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45.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drawings/drawing46.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47.xml" ContentType="application/vnd.openxmlformats-officedocument.drawing+xml"/>
  <Override PartName="/xl/charts/chart17.xml" ContentType="application/vnd.openxmlformats-officedocument.drawingml.chart+xml"/>
  <Override PartName="/xl/drawings/drawing48.xml" ContentType="application/vnd.openxmlformats-officedocument.drawing+xml"/>
  <Override PartName="/xl/drawings/drawing49.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50.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51.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drawings/drawing52.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drawings/drawing53.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drawings/drawing54.xml" ContentType="application/vnd.openxmlformats-officedocument.drawing+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drawings/drawing55.xml" ContentType="application/vnd.openxmlformats-officedocument.drawing+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drawings/drawing56.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drawings/drawing57.xml" ContentType="application/vnd.openxmlformats-officedocument.drawing+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drawings/drawing58.xml" ContentType="application/vnd.openxmlformats-officedocument.drawing+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drawings/drawing59.xml" ContentType="application/vnd.openxmlformats-officedocument.drawing+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drawings/drawing60.xml" ContentType="application/vnd.openxmlformats-officedocument.drawing+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drawings/drawing61.xml" ContentType="application/vnd.openxmlformats-officedocument.drawing+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drawings/drawing62.xml" ContentType="application/vnd.openxmlformats-officedocument.drawing+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drawings/drawing63.xml" ContentType="application/vnd.openxmlformats-officedocument.drawing+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drawings/drawing64.xml" ContentType="application/vnd.openxmlformats-officedocument.drawing+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drawings/drawing65.xml" ContentType="application/vnd.openxmlformats-officedocument.drawing+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drawings/drawing66.xml" ContentType="application/vnd.openxmlformats-officedocument.drawing+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drawings/drawing67.xml" ContentType="application/vnd.openxmlformats-officedocument.drawing+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drawings/drawing68.xml" ContentType="application/vnd.openxmlformats-officedocument.drawing+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drawings/drawing69.xml" ContentType="application/vnd.openxmlformats-officedocument.drawing+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drawings/drawing70.xml" ContentType="application/vnd.openxmlformats-officedocument.drawing+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drawings/drawing71.xml" ContentType="application/vnd.openxmlformats-officedocument.drawing+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drawings/drawing72.xml" ContentType="application/vnd.openxmlformats-officedocument.drawing+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drawings/drawing73.xml" ContentType="application/vnd.openxmlformats-officedocument.drawing+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drawings/drawing74.xml" ContentType="application/vnd.openxmlformats-officedocument.drawing+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drawings/drawing75.xml" ContentType="application/vnd.openxmlformats-officedocument.drawing+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drawings/drawing76.xml" ContentType="application/vnd.openxmlformats-officedocument.drawing+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drawings/drawing77.xml" ContentType="application/vnd.openxmlformats-officedocument.drawing+xml"/>
  <Override PartName="/xl/charts/chart130.xml" ContentType="application/vnd.openxmlformats-officedocument.drawingml.chart+xml"/>
  <Override PartName="/xl/charts/chart131.xml" ContentType="application/vnd.openxmlformats-officedocument.drawingml.chart+xml"/>
  <Override PartName="/xl/charts/chart132.xml" ContentType="application/vnd.openxmlformats-officedocument.drawingml.chart+xml"/>
  <Override PartName="/xl/charts/chart133.xml" ContentType="application/vnd.openxmlformats-officedocument.drawingml.chart+xml"/>
  <Override PartName="/xl/drawings/drawing78.xml" ContentType="application/vnd.openxmlformats-officedocument.drawing+xml"/>
  <Override PartName="/xl/charts/chart134.xml" ContentType="application/vnd.openxmlformats-officedocument.drawingml.chart+xml"/>
  <Override PartName="/xl/charts/chart135.xml" ContentType="application/vnd.openxmlformats-officedocument.drawingml.chart+xml"/>
  <Override PartName="/xl/charts/chart136.xml" ContentType="application/vnd.openxmlformats-officedocument.drawingml.chart+xml"/>
  <Override PartName="/xl/charts/chart13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714"/>
  <workbookPr showInkAnnotation="0" codeName="ThisWorkbook"/>
  <mc:AlternateContent xmlns:mc="http://schemas.openxmlformats.org/markup-compatibility/2006">
    <mc:Choice Requires="x15">
      <x15ac:absPath xmlns:x15ac="http://schemas.microsoft.com/office/spreadsheetml/2010/11/ac" url="/Users/katy/Desktop/"/>
    </mc:Choice>
  </mc:AlternateContent>
  <xr:revisionPtr revIDLastSave="0" documentId="8_{4BBE2481-351A-D64F-A9FE-F3626FBBD3E3}" xr6:coauthVersionLast="47" xr6:coauthVersionMax="47" xr10:uidLastSave="{00000000-0000-0000-0000-000000000000}"/>
  <bookViews>
    <workbookView showSheetTabs="0" xWindow="25080" yWindow="500" windowWidth="50220" windowHeight="21720" xr2:uid="{00000000-000D-0000-FFFF-FFFF00000000}"/>
  </bookViews>
  <sheets>
    <sheet name="Main Menu" sheetId="1" r:id="rId1"/>
    <sheet name="Acknowledgements" sheetId="74" r:id="rId2"/>
    <sheet name="ReadMe" sheetId="66" r:id="rId3"/>
    <sheet name="Overview" sheetId="67" r:id="rId4"/>
    <sheet name="Baseline Health" sheetId="4" r:id="rId5"/>
    <sheet name="Baseline At-Risk Pops" sheetId="6" r:id="rId6"/>
    <sheet name="Baseline PHP" sheetId="7" r:id="rId7"/>
    <sheet name="Baseline HP" sheetId="68" r:id="rId8"/>
    <sheet name="Community Characteristics" sheetId="8" r:id="rId9"/>
    <sheet name="Active Shooter" sheetId="9" r:id="rId10"/>
    <sheet name="Biological Terrorism" sheetId="17" r:id="rId11"/>
    <sheet name="Chemical Terrorism" sheetId="18" r:id="rId12"/>
    <sheet name="Civil Disturbance" sheetId="19" r:id="rId13"/>
    <sheet name="Coastal Storm" sheetId="20" r:id="rId14"/>
    <sheet name="Conventional Explosive" sheetId="21" r:id="rId15"/>
    <sheet name="Cyber Terrorism" sheetId="23" r:id="rId16"/>
    <sheet name="Drought" sheetId="24" r:id="rId17"/>
    <sheet name="Earthquake" sheetId="25" r:id="rId18"/>
    <sheet name="Flood" sheetId="27" r:id="rId19"/>
    <sheet name="Hazardous Materials Release" sheetId="28" r:id="rId20"/>
    <sheet name="Localized Infectious Disease" sheetId="29" r:id="rId21"/>
    <sheet name="Nuclear Facility Accident" sheetId="30" r:id="rId22"/>
    <sheet name="Pandemic" sheetId="31" r:id="rId23"/>
    <sheet name="Radiation Dispersal Device" sheetId="32" r:id="rId24"/>
    <sheet name="Temperature Extremes" sheetId="33" r:id="rId25"/>
    <sheet name="Tornado" sheetId="34" r:id="rId26"/>
    <sheet name="Utility Interruption" sheetId="35" r:id="rId27"/>
    <sheet name="Wildfire" sheetId="26" r:id="rId28"/>
    <sheet name="Winter Storm" sheetId="36" r:id="rId29"/>
    <sheet name="Hazard1" sheetId="81" r:id="rId30"/>
    <sheet name="Hazard2" sheetId="85" r:id="rId31"/>
    <sheet name="Hazard3" sheetId="86" r:id="rId32"/>
    <sheet name="Hazard4" sheetId="87" r:id="rId33"/>
    <sheet name="Hazard5" sheetId="88" r:id="rId34"/>
    <sheet name="Hazard6" sheetId="89" r:id="rId35"/>
    <sheet name="Hazard7" sheetId="90" r:id="rId36"/>
    <sheet name="Hazard8" sheetId="91" r:id="rId37"/>
    <sheet name="Hazard9" sheetId="92" r:id="rId38"/>
    <sheet name="Hazard10" sheetId="93" r:id="rId39"/>
    <sheet name="Summary of Impacts" sheetId="37" r:id="rId40"/>
    <sheet name="Severity" sheetId="72" r:id="rId41"/>
    <sheet name="Planning Priority Scores" sheetId="38" r:id="rId42"/>
    <sheet name="Summary of Scores" sheetId="39" r:id="rId43"/>
    <sheet name="PH vs. HC" sheetId="69" r:id="rId44"/>
    <sheet name="Probability vs. Severity" sheetId="40" r:id="rId45"/>
    <sheet name="Adjusted Risk vs. Preparedness" sheetId="41" r:id="rId46"/>
    <sheet name="At-Risk Populations" sheetId="42" r:id="rId47"/>
    <sheet name="Hazard Analyses Menu" sheetId="43" r:id="rId48"/>
    <sheet name="Active Shooter Analysis" sheetId="44" r:id="rId49"/>
    <sheet name="Biological Terrorism Analysis" sheetId="45" r:id="rId50"/>
    <sheet name="Chemical Terrorism Analysis" sheetId="46" r:id="rId51"/>
    <sheet name="Civil Disturbance Analysis" sheetId="47" r:id="rId52"/>
    <sheet name="Coastal Storm Analysis" sheetId="48" r:id="rId53"/>
    <sheet name="Conventional Explosive Analysis" sheetId="49" r:id="rId54"/>
    <sheet name="Cyber Terrorism Analysis" sheetId="50" r:id="rId55"/>
    <sheet name="Drought Analysis" sheetId="51" r:id="rId56"/>
    <sheet name="Earthquake Analysis" sheetId="52" r:id="rId57"/>
    <sheet name="Fire Analysis" sheetId="53" r:id="rId58"/>
    <sheet name="Flood Analysis" sheetId="54" r:id="rId59"/>
    <sheet name="HazMat Release Analysis" sheetId="55" r:id="rId60"/>
    <sheet name="Localized Inf Disease Analysis" sheetId="56" r:id="rId61"/>
    <sheet name="Nuc Facility Accident Analysis" sheetId="57" r:id="rId62"/>
    <sheet name="Pandemic Analysis" sheetId="58" r:id="rId63"/>
    <sheet name="RDD Analysis" sheetId="59" r:id="rId64"/>
    <sheet name="Temperature Extremes Analysis" sheetId="60" r:id="rId65"/>
    <sheet name="Tornado Analysis" sheetId="61" r:id="rId66"/>
    <sheet name="Utility Interruption Analysis" sheetId="64" r:id="rId67"/>
    <sheet name="Winter Storm Analysis" sheetId="65" r:id="rId68"/>
    <sheet name="Hazard1 Analysis" sheetId="94" r:id="rId69"/>
    <sheet name="Hazard2 Analysis" sheetId="95" r:id="rId70"/>
    <sheet name="Hazard3 Analysis" sheetId="97" r:id="rId71"/>
    <sheet name="Hazard4 Analysis" sheetId="98" r:id="rId72"/>
    <sheet name="Hazard5 Analysis" sheetId="99" r:id="rId73"/>
    <sheet name="Hazard6 Analysis" sheetId="100" r:id="rId74"/>
    <sheet name="Hazard7 Analysis" sheetId="101" r:id="rId75"/>
    <sheet name="Hazard8 Analysis" sheetId="102" r:id="rId76"/>
    <sheet name="Hazard9 Analysis" sheetId="103" r:id="rId77"/>
    <sheet name="Hazard10 Analysis" sheetId="104" r:id="rId78"/>
  </sheets>
  <definedNames>
    <definedName name="_ENREF_56" localSheetId="13">'Coastal Storm'!$D$957</definedName>
    <definedName name="_xlnm._FilterDatabase" localSheetId="40" hidden="1">Severity!$Q$151:$W$181</definedName>
    <definedName name="_xlnm._FilterDatabase" localSheetId="42" hidden="1">'Summary of Scores'!$B$6:$V$37</definedName>
    <definedName name="_xlnm.Print_Area" localSheetId="9">'Active Shooter'!$A$1:$L$1030</definedName>
    <definedName name="_xlnm.Print_Area" localSheetId="5">'Baseline At-Risk Pops'!$A$1:$K$62</definedName>
    <definedName name="_xlnm.Print_Area" localSheetId="4">'Baseline Health'!$A$1:$J$155</definedName>
    <definedName name="_xlnm.Print_Area" localSheetId="7">'Baseline HP'!$A$1:$M$110</definedName>
    <definedName name="_xlnm.Print_Area" localSheetId="6">'Baseline PHP'!$A$1:$M$224</definedName>
    <definedName name="_xlnm.Print_Area" localSheetId="10">'Biological Terrorism'!$A$1:$L$1031</definedName>
    <definedName name="_xlnm.Print_Area" localSheetId="11">'Chemical Terrorism'!$A$1:$L$1030</definedName>
    <definedName name="_xlnm.Print_Area" localSheetId="12">'Civil Disturbance'!$A$1:$L$1030</definedName>
    <definedName name="_xlnm.Print_Area" localSheetId="13">'Coastal Storm'!$A$1:$L$1030</definedName>
    <definedName name="_xlnm.Print_Area" localSheetId="8">'Community Characteristics'!$A$1:$J$119</definedName>
    <definedName name="_xlnm.Print_Area" localSheetId="14">'Conventional Explosive'!$A$1:$L$1030</definedName>
    <definedName name="_xlnm.Print_Area" localSheetId="15">'Cyber Terrorism'!$A$1:$L$1030</definedName>
    <definedName name="_xlnm.Print_Area" localSheetId="16">Drought!$A$1:$L$1030</definedName>
    <definedName name="_xlnm.Print_Area" localSheetId="17">Earthquake!$A$1:$L$1030</definedName>
    <definedName name="_xlnm.Print_Area" localSheetId="18">Flood!$A$1:$L$1030</definedName>
    <definedName name="_xlnm.Print_Area" localSheetId="29">Hazard1!$A$1:$L$1030</definedName>
    <definedName name="_xlnm.Print_Area" localSheetId="38">Hazard10!$A$1:$L$1030</definedName>
    <definedName name="_xlnm.Print_Area" localSheetId="30">Hazard2!$A$1:$L$1030</definedName>
    <definedName name="_xlnm.Print_Area" localSheetId="31">Hazard3!$A$1:$L$1030</definedName>
    <definedName name="_xlnm.Print_Area" localSheetId="32">Hazard4!$A$1:$L$1030</definedName>
    <definedName name="_xlnm.Print_Area" localSheetId="33">Hazard5!$A$1:$L$1030</definedName>
    <definedName name="_xlnm.Print_Area" localSheetId="34">Hazard6!$A$1:$L$1030</definedName>
    <definedName name="_xlnm.Print_Area" localSheetId="35">Hazard7!$A$1:$L$1030</definedName>
    <definedName name="_xlnm.Print_Area" localSheetId="36">Hazard8!$A$1:$L$1030</definedName>
    <definedName name="_xlnm.Print_Area" localSheetId="37">Hazard9!$A$1:$L$1030</definedName>
    <definedName name="_xlnm.Print_Area" localSheetId="19">'Hazardous Materials Release'!$A$1:$L$1030</definedName>
    <definedName name="_xlnm.Print_Area" localSheetId="20">'Localized Infectious Disease'!$A$1:$L$1030</definedName>
    <definedName name="_xlnm.Print_Area" localSheetId="0">'Main Menu'!$A$1:$N$113</definedName>
    <definedName name="_xlnm.Print_Area" localSheetId="21">'Nuclear Facility Accident'!$A$1:$L$1030</definedName>
    <definedName name="_xlnm.Print_Area" localSheetId="3">Overview!$A$1:$L$114</definedName>
    <definedName name="_xlnm.Print_Area" localSheetId="22">Pandemic!$A$1:$L$1030</definedName>
    <definedName name="_xlnm.Print_Area" localSheetId="41">'Planning Priority Scores'!$A$1:$K$112</definedName>
    <definedName name="_xlnm.Print_Area" localSheetId="23">'Radiation Dispersal Device'!$A$1:$L$1030</definedName>
    <definedName name="_xlnm.Print_Area" localSheetId="40">Severity!$A$1:$N$149</definedName>
    <definedName name="_xlnm.Print_Area" localSheetId="39">'Summary of Impacts'!$A$6:$AF$157</definedName>
    <definedName name="_xlnm.Print_Area" localSheetId="42">'Summary of Scores'!$A$1:$V$42</definedName>
    <definedName name="_xlnm.Print_Area" localSheetId="24">'Temperature Extremes'!$A$1:$L$1030</definedName>
    <definedName name="_xlnm.Print_Area" localSheetId="25">Tornado!$A$1:$L$1030</definedName>
    <definedName name="_xlnm.Print_Area" localSheetId="26">'Utility Interruption'!$A$1:$L$1030</definedName>
    <definedName name="_xlnm.Print_Area" localSheetId="27">Wildfire!$A$1:$L$1030</definedName>
    <definedName name="_xlnm.Print_Area" localSheetId="28">'Winter Storm'!$A$1:$L$1030</definedName>
    <definedName name="_xlnm.Print_Titles" localSheetId="39">'Summary of Impacts'!$A:$B,'Summary of Impacts'!$6:$6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21" i="29" l="1"/>
  <c r="J605" i="29"/>
  <c r="J83" i="29"/>
  <c r="J64" i="29" l="1"/>
  <c r="J162" i="29"/>
  <c r="J25" i="29" l="1"/>
  <c r="L605" i="30" l="1"/>
  <c r="J428" i="34" l="1"/>
  <c r="J245" i="34"/>
  <c r="J82" i="34" l="1"/>
  <c r="J83" i="34" s="1"/>
  <c r="J184" i="19" l="1"/>
  <c r="J102" i="19"/>
  <c r="J245" i="17" l="1"/>
  <c r="E17" i="34"/>
  <c r="G3" i="104"/>
  <c r="G3" i="103"/>
  <c r="G3" i="102"/>
  <c r="G3" i="101"/>
  <c r="G3" i="100"/>
  <c r="G3" i="99"/>
  <c r="G3" i="98"/>
  <c r="G3" i="97"/>
  <c r="G3" i="95"/>
  <c r="G3" i="94"/>
  <c r="Z6" i="37"/>
  <c r="AC6" i="37"/>
  <c r="R172" i="72"/>
  <c r="R173" i="72"/>
  <c r="AB6" i="37"/>
  <c r="Y7" i="37"/>
  <c r="X6" i="37"/>
  <c r="AA6" i="37"/>
  <c r="Y6" i="37"/>
  <c r="S172" i="72"/>
  <c r="W6" i="37"/>
  <c r="AE6" i="37"/>
  <c r="AF6" i="37"/>
  <c r="AD6" i="37"/>
  <c r="C81" i="38" l="1"/>
  <c r="C105" i="38"/>
  <c r="C101" i="38"/>
  <c r="C93" i="38"/>
  <c r="C95" i="38"/>
  <c r="C108" i="38"/>
  <c r="C106" i="38"/>
  <c r="C109" i="38"/>
  <c r="C94" i="38"/>
  <c r="C99" i="38"/>
  <c r="C96" i="38"/>
  <c r="C104" i="38"/>
  <c r="C92" i="38"/>
  <c r="C100" i="38"/>
  <c r="C102" i="38"/>
  <c r="C103" i="38"/>
  <c r="C110" i="38"/>
  <c r="C107" i="38"/>
  <c r="C97" i="38"/>
  <c r="C98" i="38"/>
  <c r="C45" i="38"/>
  <c r="C67" i="38"/>
  <c r="C64" i="38"/>
  <c r="C74" i="38"/>
  <c r="C61" i="38"/>
  <c r="C72" i="38"/>
  <c r="C68" i="38"/>
  <c r="C71" i="38"/>
  <c r="C59" i="38"/>
  <c r="C62" i="38"/>
  <c r="C60" i="38"/>
  <c r="C70" i="38"/>
  <c r="C57" i="38"/>
  <c r="C65" i="38"/>
  <c r="C66" i="38"/>
  <c r="C58" i="38"/>
  <c r="C56" i="38"/>
  <c r="C73" i="38"/>
  <c r="C63" i="38"/>
  <c r="C69" i="38"/>
  <c r="C9" i="38"/>
  <c r="C31" i="38"/>
  <c r="C30" i="38"/>
  <c r="C38" i="38"/>
  <c r="C26" i="38"/>
  <c r="C35" i="38"/>
  <c r="C32" i="38"/>
  <c r="C36" i="38"/>
  <c r="C23" i="38"/>
  <c r="C25" i="38"/>
  <c r="C24" i="38"/>
  <c r="C34" i="38"/>
  <c r="C20" i="38"/>
  <c r="C28" i="38"/>
  <c r="C29" i="38"/>
  <c r="C22" i="38"/>
  <c r="C21" i="38"/>
  <c r="C37" i="38"/>
  <c r="C27" i="38"/>
  <c r="C33" i="38"/>
  <c r="W7" i="37"/>
  <c r="J469" i="85" l="1"/>
  <c r="J932" i="93" l="1"/>
  <c r="J928" i="93"/>
  <c r="J924" i="93"/>
  <c r="J920" i="93"/>
  <c r="J916" i="93"/>
  <c r="J912" i="93"/>
  <c r="J908" i="93"/>
  <c r="J904" i="93"/>
  <c r="J890" i="93"/>
  <c r="J886" i="93"/>
  <c r="J882" i="93"/>
  <c r="J878" i="93"/>
  <c r="J874" i="93"/>
  <c r="J870" i="93"/>
  <c r="J866" i="93"/>
  <c r="J862" i="93"/>
  <c r="J858" i="93"/>
  <c r="J854" i="93"/>
  <c r="J850" i="93"/>
  <c r="J846" i="93"/>
  <c r="J842" i="93"/>
  <c r="J838" i="93"/>
  <c r="J834" i="93"/>
  <c r="J770" i="93"/>
  <c r="J769" i="93"/>
  <c r="J768" i="93"/>
  <c r="J767" i="93"/>
  <c r="J766" i="93"/>
  <c r="J765" i="93"/>
  <c r="J764" i="93"/>
  <c r="J763" i="93"/>
  <c r="J762" i="93"/>
  <c r="J755" i="93"/>
  <c r="J754" i="93"/>
  <c r="J753" i="93"/>
  <c r="J752" i="93"/>
  <c r="J751" i="93"/>
  <c r="J750" i="93"/>
  <c r="J749" i="93"/>
  <c r="J748" i="93"/>
  <c r="J747" i="93"/>
  <c r="J740" i="93"/>
  <c r="J739" i="93"/>
  <c r="J738" i="93"/>
  <c r="J737" i="93"/>
  <c r="J736" i="93"/>
  <c r="J735" i="93"/>
  <c r="J734" i="93"/>
  <c r="J733" i="93"/>
  <c r="J732" i="93"/>
  <c r="J725" i="93"/>
  <c r="J724" i="93"/>
  <c r="J723" i="93"/>
  <c r="J722" i="93"/>
  <c r="J721" i="93"/>
  <c r="J720" i="93"/>
  <c r="J719" i="93"/>
  <c r="J718" i="93"/>
  <c r="J717" i="93"/>
  <c r="J675" i="93"/>
  <c r="J673" i="93"/>
  <c r="C671" i="93"/>
  <c r="C670" i="93"/>
  <c r="C669" i="93"/>
  <c r="C668" i="93"/>
  <c r="C667" i="93"/>
  <c r="J661" i="93"/>
  <c r="J653" i="93"/>
  <c r="J651" i="93"/>
  <c r="C649" i="93"/>
  <c r="C648" i="93"/>
  <c r="C647" i="93"/>
  <c r="C646" i="93"/>
  <c r="C645" i="93"/>
  <c r="J640" i="93"/>
  <c r="J644" i="93" s="1"/>
  <c r="J631" i="93"/>
  <c r="J629" i="93"/>
  <c r="C627" i="93"/>
  <c r="C626" i="93"/>
  <c r="C625" i="93"/>
  <c r="C624" i="93"/>
  <c r="C623" i="93"/>
  <c r="J619" i="93"/>
  <c r="J622" i="93" s="1"/>
  <c r="C611" i="93"/>
  <c r="C610" i="93"/>
  <c r="C609" i="93"/>
  <c r="C608" i="93"/>
  <c r="C607" i="93"/>
  <c r="J606" i="93"/>
  <c r="J615" i="93" s="1"/>
  <c r="J597" i="93"/>
  <c r="C595" i="93"/>
  <c r="C594" i="93"/>
  <c r="C593" i="93"/>
  <c r="C592" i="93"/>
  <c r="C591" i="93"/>
  <c r="J590" i="93"/>
  <c r="J581" i="93"/>
  <c r="J579" i="93"/>
  <c r="C577" i="93"/>
  <c r="C576" i="93"/>
  <c r="C575" i="93"/>
  <c r="C574" i="93"/>
  <c r="C573" i="93"/>
  <c r="J568" i="93"/>
  <c r="J572" i="93" s="1"/>
  <c r="J558" i="93"/>
  <c r="J556" i="93"/>
  <c r="C554" i="93"/>
  <c r="C553" i="93"/>
  <c r="C552" i="93"/>
  <c r="C551" i="93"/>
  <c r="C550" i="93"/>
  <c r="J546" i="93"/>
  <c r="J533" i="93"/>
  <c r="C531" i="93"/>
  <c r="C530" i="93"/>
  <c r="C529" i="93"/>
  <c r="C528" i="93"/>
  <c r="C527" i="93"/>
  <c r="J526" i="93"/>
  <c r="J516" i="93"/>
  <c r="C514" i="93"/>
  <c r="C513" i="93"/>
  <c r="C512" i="93"/>
  <c r="C511" i="93"/>
  <c r="C510" i="93"/>
  <c r="J509" i="93"/>
  <c r="J500" i="93"/>
  <c r="C498" i="93"/>
  <c r="C497" i="93"/>
  <c r="C496" i="93"/>
  <c r="C495" i="93"/>
  <c r="C494" i="93"/>
  <c r="J493" i="93"/>
  <c r="C484" i="93"/>
  <c r="C483" i="93"/>
  <c r="C482" i="93"/>
  <c r="C481" i="93"/>
  <c r="C480" i="93"/>
  <c r="J479" i="93"/>
  <c r="J488" i="93" s="1"/>
  <c r="J469" i="93"/>
  <c r="C467" i="93"/>
  <c r="C466" i="93"/>
  <c r="C465" i="93"/>
  <c r="C464" i="93"/>
  <c r="C463" i="93"/>
  <c r="J462" i="93"/>
  <c r="J453" i="93"/>
  <c r="C451" i="93"/>
  <c r="C450" i="93"/>
  <c r="C449" i="93"/>
  <c r="C448" i="93"/>
  <c r="C447" i="93"/>
  <c r="J446" i="93"/>
  <c r="J436" i="93"/>
  <c r="C434" i="93"/>
  <c r="C433" i="93"/>
  <c r="C432" i="93"/>
  <c r="C431" i="93"/>
  <c r="C430" i="93"/>
  <c r="J429" i="93"/>
  <c r="C414" i="93"/>
  <c r="C413" i="93"/>
  <c r="C412" i="93"/>
  <c r="C411" i="93"/>
  <c r="C410" i="93"/>
  <c r="J409" i="93"/>
  <c r="J418" i="93" s="1"/>
  <c r="C400" i="93"/>
  <c r="C399" i="93"/>
  <c r="C398" i="93"/>
  <c r="C397" i="93"/>
  <c r="C396" i="93"/>
  <c r="J381" i="93"/>
  <c r="J383" i="93" s="1"/>
  <c r="C380" i="93"/>
  <c r="C379" i="93"/>
  <c r="C378" i="93"/>
  <c r="C377" i="93"/>
  <c r="C376" i="93"/>
  <c r="J363" i="93"/>
  <c r="C361" i="93"/>
  <c r="C360" i="93"/>
  <c r="C359" i="93"/>
  <c r="C358" i="93"/>
  <c r="C357" i="93"/>
  <c r="J355" i="93"/>
  <c r="J356" i="93" s="1"/>
  <c r="J341" i="93"/>
  <c r="J342" i="93" s="1"/>
  <c r="J345" i="93" s="1"/>
  <c r="C339" i="93"/>
  <c r="C338" i="93"/>
  <c r="C337" i="93"/>
  <c r="C336" i="93"/>
  <c r="C335" i="93"/>
  <c r="J322" i="93"/>
  <c r="C320" i="93"/>
  <c r="C319" i="93"/>
  <c r="C318" i="93"/>
  <c r="C317" i="93"/>
  <c r="C316" i="93"/>
  <c r="J303" i="93"/>
  <c r="C301" i="93"/>
  <c r="C300" i="93"/>
  <c r="C299" i="93"/>
  <c r="C298" i="93"/>
  <c r="C297" i="93"/>
  <c r="J284" i="93"/>
  <c r="J282" i="93"/>
  <c r="C280" i="93"/>
  <c r="C279" i="93"/>
  <c r="C278" i="93"/>
  <c r="C277" i="93"/>
  <c r="C276" i="93"/>
  <c r="J255" i="93"/>
  <c r="J253" i="93"/>
  <c r="C251" i="93"/>
  <c r="C250" i="93"/>
  <c r="C249" i="93"/>
  <c r="C248" i="93"/>
  <c r="C247" i="93"/>
  <c r="J243" i="93"/>
  <c r="J235" i="93"/>
  <c r="J233" i="93"/>
  <c r="C231" i="93"/>
  <c r="C230" i="93"/>
  <c r="C229" i="93"/>
  <c r="C228" i="93"/>
  <c r="C227" i="93"/>
  <c r="J222" i="93"/>
  <c r="J214" i="93"/>
  <c r="J212" i="93"/>
  <c r="C210" i="93"/>
  <c r="C209" i="93"/>
  <c r="C208" i="93"/>
  <c r="C207" i="93"/>
  <c r="C206" i="93"/>
  <c r="J202" i="93"/>
  <c r="J205" i="93" s="1"/>
  <c r="J194" i="93"/>
  <c r="J192" i="93"/>
  <c r="C190" i="93"/>
  <c r="C189" i="93"/>
  <c r="C188" i="93"/>
  <c r="C187" i="93"/>
  <c r="C186" i="93"/>
  <c r="J174" i="93"/>
  <c r="J172" i="93"/>
  <c r="C170" i="93"/>
  <c r="C169" i="93"/>
  <c r="C168" i="93"/>
  <c r="C167" i="93"/>
  <c r="C166" i="93"/>
  <c r="J161" i="93"/>
  <c r="J153" i="93"/>
  <c r="J151" i="93"/>
  <c r="C149" i="93"/>
  <c r="C148" i="93"/>
  <c r="C147" i="93"/>
  <c r="C146" i="93"/>
  <c r="C145" i="93"/>
  <c r="J140" i="93"/>
  <c r="J127" i="93"/>
  <c r="J125" i="93"/>
  <c r="J112" i="93"/>
  <c r="J110" i="93"/>
  <c r="C108" i="93"/>
  <c r="C107" i="93"/>
  <c r="C106" i="93"/>
  <c r="C105" i="93"/>
  <c r="C104" i="93"/>
  <c r="J101" i="93"/>
  <c r="J93" i="93"/>
  <c r="J91" i="93"/>
  <c r="C89" i="93"/>
  <c r="C88" i="93"/>
  <c r="C87" i="93"/>
  <c r="C86" i="93"/>
  <c r="C85" i="93"/>
  <c r="J142" i="93"/>
  <c r="J82" i="93"/>
  <c r="J74" i="93"/>
  <c r="J72" i="93"/>
  <c r="C70" i="93"/>
  <c r="C69" i="93"/>
  <c r="C68" i="93"/>
  <c r="C67" i="93"/>
  <c r="C66" i="93"/>
  <c r="J63" i="93"/>
  <c r="J55" i="93"/>
  <c r="J53" i="93"/>
  <c r="C51" i="93"/>
  <c r="C50" i="93"/>
  <c r="C49" i="93"/>
  <c r="C48" i="93"/>
  <c r="C47" i="93"/>
  <c r="J44" i="93"/>
  <c r="J46" i="93" s="1"/>
  <c r="J36" i="93"/>
  <c r="J34" i="93"/>
  <c r="C32" i="93"/>
  <c r="C31" i="93"/>
  <c r="C30" i="93"/>
  <c r="C29" i="93"/>
  <c r="C28" i="93"/>
  <c r="J663" i="93"/>
  <c r="J25" i="93"/>
  <c r="J27" i="93" s="1"/>
  <c r="E18" i="93"/>
  <c r="E17" i="93"/>
  <c r="J932" i="92"/>
  <c r="J928" i="92"/>
  <c r="J924" i="92"/>
  <c r="J920" i="92"/>
  <c r="J916" i="92"/>
  <c r="J912" i="92"/>
  <c r="J908" i="92"/>
  <c r="J904" i="92"/>
  <c r="J890" i="92"/>
  <c r="J886" i="92"/>
  <c r="J882" i="92"/>
  <c r="J878" i="92"/>
  <c r="J874" i="92"/>
  <c r="J870" i="92"/>
  <c r="J866" i="92"/>
  <c r="J862" i="92"/>
  <c r="J858" i="92"/>
  <c r="J854" i="92"/>
  <c r="J850" i="92"/>
  <c r="J846" i="92"/>
  <c r="J842" i="92"/>
  <c r="J838" i="92"/>
  <c r="J834" i="92"/>
  <c r="J770" i="92"/>
  <c r="J769" i="92"/>
  <c r="J768" i="92"/>
  <c r="J767" i="92"/>
  <c r="J766" i="92"/>
  <c r="J765" i="92"/>
  <c r="J764" i="92"/>
  <c r="J763" i="92"/>
  <c r="J762" i="92"/>
  <c r="J755" i="92"/>
  <c r="J754" i="92"/>
  <c r="J753" i="92"/>
  <c r="J752" i="92"/>
  <c r="J751" i="92"/>
  <c r="J750" i="92"/>
  <c r="J749" i="92"/>
  <c r="J748" i="92"/>
  <c r="J747" i="92"/>
  <c r="J740" i="92"/>
  <c r="J739" i="92"/>
  <c r="J738" i="92"/>
  <c r="J737" i="92"/>
  <c r="J736" i="92"/>
  <c r="J735" i="92"/>
  <c r="J734" i="92"/>
  <c r="J733" i="92"/>
  <c r="J732" i="92"/>
  <c r="J725" i="92"/>
  <c r="J724" i="92"/>
  <c r="J723" i="92"/>
  <c r="J722" i="92"/>
  <c r="J721" i="92"/>
  <c r="J720" i="92"/>
  <c r="J719" i="92"/>
  <c r="J718" i="92"/>
  <c r="J717" i="92"/>
  <c r="J675" i="92"/>
  <c r="J673" i="92"/>
  <c r="C671" i="92"/>
  <c r="C670" i="92"/>
  <c r="C669" i="92"/>
  <c r="C668" i="92"/>
  <c r="C667" i="92"/>
  <c r="J661" i="92"/>
  <c r="J653" i="92"/>
  <c r="J651" i="92"/>
  <c r="C649" i="92"/>
  <c r="C648" i="92"/>
  <c r="C647" i="92"/>
  <c r="C646" i="92"/>
  <c r="C645" i="92"/>
  <c r="J640" i="92"/>
  <c r="J644" i="92" s="1"/>
  <c r="J631" i="92"/>
  <c r="J629" i="92"/>
  <c r="C627" i="92"/>
  <c r="C626" i="92"/>
  <c r="C625" i="92"/>
  <c r="C624" i="92"/>
  <c r="C623" i="92"/>
  <c r="J619" i="92"/>
  <c r="J622" i="92" s="1"/>
  <c r="C611" i="92"/>
  <c r="C610" i="92"/>
  <c r="C609" i="92"/>
  <c r="C608" i="92"/>
  <c r="C607" i="92"/>
  <c r="J606" i="92"/>
  <c r="J615" i="92" s="1"/>
  <c r="J597" i="92"/>
  <c r="C595" i="92"/>
  <c r="C594" i="92"/>
  <c r="C593" i="92"/>
  <c r="C592" i="92"/>
  <c r="C591" i="92"/>
  <c r="J590" i="92"/>
  <c r="J581" i="92"/>
  <c r="J579" i="92"/>
  <c r="C577" i="92"/>
  <c r="C576" i="92"/>
  <c r="C575" i="92"/>
  <c r="C574" i="92"/>
  <c r="C573" i="92"/>
  <c r="J568" i="92"/>
  <c r="J572" i="92" s="1"/>
  <c r="J558" i="92"/>
  <c r="J556" i="92"/>
  <c r="C554" i="92"/>
  <c r="C553" i="92"/>
  <c r="C552" i="92"/>
  <c r="C551" i="92"/>
  <c r="C550" i="92"/>
  <c r="J546" i="92"/>
  <c r="J549" i="92" s="1"/>
  <c r="J533" i="92"/>
  <c r="C531" i="92"/>
  <c r="C530" i="92"/>
  <c r="C529" i="92"/>
  <c r="C528" i="92"/>
  <c r="C527" i="92"/>
  <c r="J526" i="92"/>
  <c r="J516" i="92"/>
  <c r="C514" i="92"/>
  <c r="C513" i="92"/>
  <c r="C512" i="92"/>
  <c r="C511" i="92"/>
  <c r="C510" i="92"/>
  <c r="J509" i="92"/>
  <c r="J500" i="92"/>
  <c r="C498" i="92"/>
  <c r="C497" i="92"/>
  <c r="C496" i="92"/>
  <c r="C495" i="92"/>
  <c r="C494" i="92"/>
  <c r="J493" i="92"/>
  <c r="C484" i="92"/>
  <c r="C483" i="92"/>
  <c r="C482" i="92"/>
  <c r="C481" i="92"/>
  <c r="C480" i="92"/>
  <c r="J479" i="92"/>
  <c r="J488" i="92" s="1"/>
  <c r="J469" i="92"/>
  <c r="C467" i="92"/>
  <c r="C466" i="92"/>
  <c r="C465" i="92"/>
  <c r="C464" i="92"/>
  <c r="C463" i="92"/>
  <c r="J462" i="92"/>
  <c r="J453" i="92"/>
  <c r="C451" i="92"/>
  <c r="C450" i="92"/>
  <c r="C449" i="92"/>
  <c r="C448" i="92"/>
  <c r="C447" i="92"/>
  <c r="J446" i="92"/>
  <c r="J436" i="92"/>
  <c r="C434" i="92"/>
  <c r="C433" i="92"/>
  <c r="C432" i="92"/>
  <c r="C431" i="92"/>
  <c r="C430" i="92"/>
  <c r="J429" i="92"/>
  <c r="C414" i="92"/>
  <c r="C413" i="92"/>
  <c r="C412" i="92"/>
  <c r="C411" i="92"/>
  <c r="C410" i="92"/>
  <c r="J409" i="92"/>
  <c r="J418" i="92" s="1"/>
  <c r="C400" i="92"/>
  <c r="C399" i="92"/>
  <c r="C398" i="92"/>
  <c r="C397" i="92"/>
  <c r="C396" i="92"/>
  <c r="J381" i="92"/>
  <c r="J383" i="92" s="1"/>
  <c r="C380" i="92"/>
  <c r="C379" i="92"/>
  <c r="C378" i="92"/>
  <c r="C377" i="92"/>
  <c r="C376" i="92"/>
  <c r="J363" i="92"/>
  <c r="C361" i="92"/>
  <c r="C360" i="92"/>
  <c r="C359" i="92"/>
  <c r="C358" i="92"/>
  <c r="C357" i="92"/>
  <c r="J355" i="92"/>
  <c r="J356" i="92" s="1"/>
  <c r="J341" i="92"/>
  <c r="J342" i="92" s="1"/>
  <c r="J345" i="92" s="1"/>
  <c r="C339" i="92"/>
  <c r="C338" i="92"/>
  <c r="C337" i="92"/>
  <c r="C336" i="92"/>
  <c r="C335" i="92"/>
  <c r="J322" i="92"/>
  <c r="C320" i="92"/>
  <c r="C319" i="92"/>
  <c r="C318" i="92"/>
  <c r="C317" i="92"/>
  <c r="C316" i="92"/>
  <c r="J303" i="92"/>
  <c r="C301" i="92"/>
  <c r="C300" i="92"/>
  <c r="C299" i="92"/>
  <c r="C298" i="92"/>
  <c r="C297" i="92"/>
  <c r="J284" i="92"/>
  <c r="J282" i="92"/>
  <c r="C280" i="92"/>
  <c r="C279" i="92"/>
  <c r="C278" i="92"/>
  <c r="C277" i="92"/>
  <c r="C276" i="92"/>
  <c r="J255" i="92"/>
  <c r="J253" i="92"/>
  <c r="C251" i="92"/>
  <c r="C250" i="92"/>
  <c r="C249" i="92"/>
  <c r="C248" i="92"/>
  <c r="C247" i="92"/>
  <c r="J243" i="92"/>
  <c r="J235" i="92"/>
  <c r="J233" i="92"/>
  <c r="C231" i="92"/>
  <c r="C230" i="92"/>
  <c r="C229" i="92"/>
  <c r="C228" i="92"/>
  <c r="C227" i="92"/>
  <c r="J222" i="92"/>
  <c r="J214" i="92"/>
  <c r="J212" i="92"/>
  <c r="C210" i="92"/>
  <c r="C209" i="92"/>
  <c r="C208" i="92"/>
  <c r="C207" i="92"/>
  <c r="C206" i="92"/>
  <c r="J202" i="92"/>
  <c r="J194" i="92"/>
  <c r="J192" i="92"/>
  <c r="C190" i="92"/>
  <c r="C189" i="92"/>
  <c r="C188" i="92"/>
  <c r="C187" i="92"/>
  <c r="C186" i="92"/>
  <c r="J174" i="92"/>
  <c r="J172" i="92"/>
  <c r="C170" i="92"/>
  <c r="C169" i="92"/>
  <c r="C168" i="92"/>
  <c r="C167" i="92"/>
  <c r="C166" i="92"/>
  <c r="J161" i="92"/>
  <c r="J153" i="92"/>
  <c r="J151" i="92"/>
  <c r="C149" i="92"/>
  <c r="C148" i="92"/>
  <c r="C147" i="92"/>
  <c r="C146" i="92"/>
  <c r="C145" i="92"/>
  <c r="J140" i="92"/>
  <c r="J127" i="92"/>
  <c r="J125" i="92"/>
  <c r="J112" i="92"/>
  <c r="J110" i="92"/>
  <c r="C108" i="92"/>
  <c r="C107" i="92"/>
  <c r="C106" i="92"/>
  <c r="C105" i="92"/>
  <c r="C104" i="92"/>
  <c r="J101" i="92"/>
  <c r="J93" i="92"/>
  <c r="J91" i="92"/>
  <c r="C89" i="92"/>
  <c r="C88" i="92"/>
  <c r="C87" i="92"/>
  <c r="C86" i="92"/>
  <c r="C85" i="92"/>
  <c r="J82" i="92"/>
  <c r="J142" i="92" s="1"/>
  <c r="J74" i="92"/>
  <c r="J72" i="92"/>
  <c r="C70" i="92"/>
  <c r="C69" i="92"/>
  <c r="C68" i="92"/>
  <c r="C67" i="92"/>
  <c r="C66" i="92"/>
  <c r="J63" i="92"/>
  <c r="J55" i="92"/>
  <c r="J53" i="92"/>
  <c r="C51" i="92"/>
  <c r="C50" i="92"/>
  <c r="C49" i="92"/>
  <c r="C48" i="92"/>
  <c r="C47" i="92"/>
  <c r="J44" i="92"/>
  <c r="J36" i="92"/>
  <c r="J34" i="92"/>
  <c r="C32" i="92"/>
  <c r="C31" i="92"/>
  <c r="C30" i="92"/>
  <c r="C29" i="92"/>
  <c r="C28" i="92"/>
  <c r="J663" i="92"/>
  <c r="J25" i="92"/>
  <c r="J27" i="92" s="1"/>
  <c r="E18" i="92"/>
  <c r="E17" i="92"/>
  <c r="J932" i="91"/>
  <c r="J928" i="91"/>
  <c r="J924" i="91"/>
  <c r="J920" i="91"/>
  <c r="J916" i="91"/>
  <c r="J912" i="91"/>
  <c r="J908" i="91"/>
  <c r="J904" i="91"/>
  <c r="J890" i="91"/>
  <c r="J886" i="91"/>
  <c r="J882" i="91"/>
  <c r="J878" i="91"/>
  <c r="J874" i="91"/>
  <c r="J870" i="91"/>
  <c r="J866" i="91"/>
  <c r="J862" i="91"/>
  <c r="J858" i="91"/>
  <c r="J854" i="91"/>
  <c r="J850" i="91"/>
  <c r="J846" i="91"/>
  <c r="J842" i="91"/>
  <c r="J838" i="91"/>
  <c r="J834" i="91"/>
  <c r="J770" i="91"/>
  <c r="J769" i="91"/>
  <c r="J768" i="91"/>
  <c r="J767" i="91"/>
  <c r="J766" i="91"/>
  <c r="J765" i="91"/>
  <c r="J764" i="91"/>
  <c r="J763" i="91"/>
  <c r="J762" i="91"/>
  <c r="J755" i="91"/>
  <c r="J754" i="91"/>
  <c r="J753" i="91"/>
  <c r="J752" i="91"/>
  <c r="J751" i="91"/>
  <c r="J750" i="91"/>
  <c r="J749" i="91"/>
  <c r="J748" i="91"/>
  <c r="J747" i="91"/>
  <c r="J740" i="91"/>
  <c r="J739" i="91"/>
  <c r="J738" i="91"/>
  <c r="J737" i="91"/>
  <c r="J736" i="91"/>
  <c r="J735" i="91"/>
  <c r="J734" i="91"/>
  <c r="J733" i="91"/>
  <c r="J732" i="91"/>
  <c r="J725" i="91"/>
  <c r="J724" i="91"/>
  <c r="J723" i="91"/>
  <c r="J722" i="91"/>
  <c r="J721" i="91"/>
  <c r="J720" i="91"/>
  <c r="J719" i="91"/>
  <c r="J718" i="91"/>
  <c r="J717" i="91"/>
  <c r="J675" i="91"/>
  <c r="J673" i="91"/>
  <c r="C671" i="91"/>
  <c r="C670" i="91"/>
  <c r="C669" i="91"/>
  <c r="C668" i="91"/>
  <c r="C667" i="91"/>
  <c r="J661" i="91"/>
  <c r="J653" i="91"/>
  <c r="J651" i="91"/>
  <c r="C649" i="91"/>
  <c r="C648" i="91"/>
  <c r="C647" i="91"/>
  <c r="C646" i="91"/>
  <c r="C645" i="91"/>
  <c r="J640" i="91"/>
  <c r="J644" i="91" s="1"/>
  <c r="J631" i="91"/>
  <c r="J629" i="91"/>
  <c r="C627" i="91"/>
  <c r="C626" i="91"/>
  <c r="C625" i="91"/>
  <c r="C624" i="91"/>
  <c r="C623" i="91"/>
  <c r="J619" i="91"/>
  <c r="J622" i="91" s="1"/>
  <c r="C611" i="91"/>
  <c r="C610" i="91"/>
  <c r="C609" i="91"/>
  <c r="C608" i="91"/>
  <c r="C607" i="91"/>
  <c r="J606" i="91"/>
  <c r="J615" i="91" s="1"/>
  <c r="J597" i="91"/>
  <c r="C595" i="91"/>
  <c r="C594" i="91"/>
  <c r="C593" i="91"/>
  <c r="C592" i="91"/>
  <c r="C591" i="91"/>
  <c r="J590" i="91"/>
  <c r="J581" i="91"/>
  <c r="J579" i="91"/>
  <c r="C577" i="91"/>
  <c r="C576" i="91"/>
  <c r="C575" i="91"/>
  <c r="C574" i="91"/>
  <c r="C573" i="91"/>
  <c r="J568" i="91"/>
  <c r="J572" i="91" s="1"/>
  <c r="J558" i="91"/>
  <c r="J556" i="91"/>
  <c r="C554" i="91"/>
  <c r="C553" i="91"/>
  <c r="C552" i="91"/>
  <c r="C551" i="91"/>
  <c r="C550" i="91"/>
  <c r="J546" i="91"/>
  <c r="J533" i="91"/>
  <c r="C531" i="91"/>
  <c r="C530" i="91"/>
  <c r="C529" i="91"/>
  <c r="C528" i="91"/>
  <c r="C527" i="91"/>
  <c r="J526" i="91"/>
  <c r="J516" i="91"/>
  <c r="C514" i="91"/>
  <c r="C513" i="91"/>
  <c r="C512" i="91"/>
  <c r="C511" i="91"/>
  <c r="C510" i="91"/>
  <c r="J509" i="91"/>
  <c r="J500" i="91"/>
  <c r="C498" i="91"/>
  <c r="C497" i="91"/>
  <c r="C496" i="91"/>
  <c r="C495" i="91"/>
  <c r="C494" i="91"/>
  <c r="J493" i="91"/>
  <c r="C484" i="91"/>
  <c r="C483" i="91"/>
  <c r="C482" i="91"/>
  <c r="C481" i="91"/>
  <c r="C480" i="91"/>
  <c r="J479" i="91"/>
  <c r="J488" i="91" s="1"/>
  <c r="J469" i="91"/>
  <c r="C467" i="91"/>
  <c r="C466" i="91"/>
  <c r="C465" i="91"/>
  <c r="C464" i="91"/>
  <c r="C463" i="91"/>
  <c r="J462" i="91"/>
  <c r="J453" i="91"/>
  <c r="C451" i="91"/>
  <c r="C450" i="91"/>
  <c r="C449" i="91"/>
  <c r="C448" i="91"/>
  <c r="C447" i="91"/>
  <c r="J446" i="91"/>
  <c r="J436" i="91"/>
  <c r="C434" i="91"/>
  <c r="C433" i="91"/>
  <c r="C432" i="91"/>
  <c r="C431" i="91"/>
  <c r="C430" i="91"/>
  <c r="J429" i="91"/>
  <c r="C414" i="91"/>
  <c r="C413" i="91"/>
  <c r="C412" i="91"/>
  <c r="C411" i="91"/>
  <c r="C410" i="91"/>
  <c r="J409" i="91"/>
  <c r="J418" i="91" s="1"/>
  <c r="C400" i="91"/>
  <c r="C399" i="91"/>
  <c r="C398" i="91"/>
  <c r="C397" i="91"/>
  <c r="C396" i="91"/>
  <c r="J381" i="91"/>
  <c r="J383" i="91" s="1"/>
  <c r="C380" i="91"/>
  <c r="C379" i="91"/>
  <c r="C378" i="91"/>
  <c r="C377" i="91"/>
  <c r="C376" i="91"/>
  <c r="J363" i="91"/>
  <c r="C361" i="91"/>
  <c r="C360" i="91"/>
  <c r="C359" i="91"/>
  <c r="C358" i="91"/>
  <c r="C357" i="91"/>
  <c r="J355" i="91"/>
  <c r="J356" i="91" s="1"/>
  <c r="J341" i="91"/>
  <c r="J342" i="91" s="1"/>
  <c r="J345" i="91" s="1"/>
  <c r="C339" i="91"/>
  <c r="C338" i="91"/>
  <c r="C337" i="91"/>
  <c r="C336" i="91"/>
  <c r="C335" i="91"/>
  <c r="J322" i="91"/>
  <c r="C320" i="91"/>
  <c r="C319" i="91"/>
  <c r="C318" i="91"/>
  <c r="C317" i="91"/>
  <c r="C316" i="91"/>
  <c r="J303" i="91"/>
  <c r="C301" i="91"/>
  <c r="C300" i="91"/>
  <c r="C299" i="91"/>
  <c r="C298" i="91"/>
  <c r="C297" i="91"/>
  <c r="J284" i="91"/>
  <c r="J282" i="91"/>
  <c r="C280" i="91"/>
  <c r="C279" i="91"/>
  <c r="C278" i="91"/>
  <c r="C277" i="91"/>
  <c r="C276" i="91"/>
  <c r="J255" i="91"/>
  <c r="J253" i="91"/>
  <c r="C251" i="91"/>
  <c r="C250" i="91"/>
  <c r="C249" i="91"/>
  <c r="C248" i="91"/>
  <c r="C247" i="91"/>
  <c r="J243" i="91"/>
  <c r="J235" i="91"/>
  <c r="J233" i="91"/>
  <c r="C231" i="91"/>
  <c r="C230" i="91"/>
  <c r="C229" i="91"/>
  <c r="C228" i="91"/>
  <c r="C227" i="91"/>
  <c r="J222" i="91"/>
  <c r="J214" i="91"/>
  <c r="J212" i="91"/>
  <c r="C210" i="91"/>
  <c r="C209" i="91"/>
  <c r="C208" i="91"/>
  <c r="C207" i="91"/>
  <c r="C206" i="91"/>
  <c r="J202" i="91"/>
  <c r="J194" i="91"/>
  <c r="J192" i="91"/>
  <c r="C190" i="91"/>
  <c r="C189" i="91"/>
  <c r="C188" i="91"/>
  <c r="C187" i="91"/>
  <c r="C186" i="91"/>
  <c r="J174" i="91"/>
  <c r="J172" i="91"/>
  <c r="C170" i="91"/>
  <c r="C169" i="91"/>
  <c r="C168" i="91"/>
  <c r="C167" i="91"/>
  <c r="C166" i="91"/>
  <c r="J161" i="91"/>
  <c r="J153" i="91"/>
  <c r="J151" i="91"/>
  <c r="C149" i="91"/>
  <c r="C148" i="91"/>
  <c r="C147" i="91"/>
  <c r="C146" i="91"/>
  <c r="C145" i="91"/>
  <c r="J140" i="91"/>
  <c r="J127" i="91"/>
  <c r="J125" i="91"/>
  <c r="J112" i="91"/>
  <c r="J110" i="91"/>
  <c r="C108" i="91"/>
  <c r="C107" i="91"/>
  <c r="C106" i="91"/>
  <c r="C105" i="91"/>
  <c r="C104" i="91"/>
  <c r="J224" i="91"/>
  <c r="J101" i="91"/>
  <c r="J93" i="91"/>
  <c r="J91" i="91"/>
  <c r="C89" i="91"/>
  <c r="C88" i="91"/>
  <c r="C87" i="91"/>
  <c r="C86" i="91"/>
  <c r="C85" i="91"/>
  <c r="J82" i="91"/>
  <c r="J74" i="91"/>
  <c r="J72" i="91"/>
  <c r="C70" i="91"/>
  <c r="C69" i="91"/>
  <c r="C68" i="91"/>
  <c r="C67" i="91"/>
  <c r="C66" i="91"/>
  <c r="J63" i="91"/>
  <c r="J163" i="91" s="1"/>
  <c r="J55" i="91"/>
  <c r="J53" i="91"/>
  <c r="C51" i="91"/>
  <c r="C50" i="91"/>
  <c r="C49" i="91"/>
  <c r="C48" i="91"/>
  <c r="C47" i="91"/>
  <c r="J44" i="91"/>
  <c r="J46" i="91" s="1"/>
  <c r="J36" i="91"/>
  <c r="J34" i="91"/>
  <c r="C32" i="91"/>
  <c r="C31" i="91"/>
  <c r="C30" i="91"/>
  <c r="C29" i="91"/>
  <c r="C28" i="91"/>
  <c r="J663" i="91"/>
  <c r="J25" i="91"/>
  <c r="E18" i="91"/>
  <c r="E17" i="91"/>
  <c r="J932" i="90"/>
  <c r="J928" i="90"/>
  <c r="J924" i="90"/>
  <c r="J920" i="90"/>
  <c r="J916" i="90"/>
  <c r="J912" i="90"/>
  <c r="J908" i="90"/>
  <c r="J904" i="90"/>
  <c r="J890" i="90"/>
  <c r="J886" i="90"/>
  <c r="J882" i="90"/>
  <c r="J878" i="90"/>
  <c r="J874" i="90"/>
  <c r="J870" i="90"/>
  <c r="J866" i="90"/>
  <c r="J862" i="90"/>
  <c r="J858" i="90"/>
  <c r="J854" i="90"/>
  <c r="J850" i="90"/>
  <c r="J846" i="90"/>
  <c r="J842" i="90"/>
  <c r="J838" i="90"/>
  <c r="J834" i="90"/>
  <c r="J770" i="90"/>
  <c r="J769" i="90"/>
  <c r="J768" i="90"/>
  <c r="J767" i="90"/>
  <c r="J766" i="90"/>
  <c r="J765" i="90"/>
  <c r="J764" i="90"/>
  <c r="J763" i="90"/>
  <c r="J762" i="90"/>
  <c r="J755" i="90"/>
  <c r="J754" i="90"/>
  <c r="J753" i="90"/>
  <c r="J752" i="90"/>
  <c r="J751" i="90"/>
  <c r="J750" i="90"/>
  <c r="J749" i="90"/>
  <c r="J748" i="90"/>
  <c r="J747" i="90"/>
  <c r="J740" i="90"/>
  <c r="J739" i="90"/>
  <c r="J738" i="90"/>
  <c r="J737" i="90"/>
  <c r="J736" i="90"/>
  <c r="J735" i="90"/>
  <c r="J734" i="90"/>
  <c r="J733" i="90"/>
  <c r="J732" i="90"/>
  <c r="J725" i="90"/>
  <c r="J724" i="90"/>
  <c r="J723" i="90"/>
  <c r="J722" i="90"/>
  <c r="J721" i="90"/>
  <c r="J720" i="90"/>
  <c r="J719" i="90"/>
  <c r="J718" i="90"/>
  <c r="J717" i="90"/>
  <c r="J675" i="90"/>
  <c r="J673" i="90"/>
  <c r="C671" i="90"/>
  <c r="C670" i="90"/>
  <c r="C669" i="90"/>
  <c r="C668" i="90"/>
  <c r="C667" i="90"/>
  <c r="J661" i="90"/>
  <c r="J653" i="90"/>
  <c r="J651" i="90"/>
  <c r="C649" i="90"/>
  <c r="C648" i="90"/>
  <c r="C647" i="90"/>
  <c r="C646" i="90"/>
  <c r="C645" i="90"/>
  <c r="J640" i="90"/>
  <c r="J644" i="90" s="1"/>
  <c r="J631" i="90"/>
  <c r="J629" i="90"/>
  <c r="C627" i="90"/>
  <c r="C626" i="90"/>
  <c r="C625" i="90"/>
  <c r="C624" i="90"/>
  <c r="C623" i="90"/>
  <c r="J619" i="90"/>
  <c r="J622" i="90" s="1"/>
  <c r="C611" i="90"/>
  <c r="C610" i="90"/>
  <c r="C609" i="90"/>
  <c r="C608" i="90"/>
  <c r="C607" i="90"/>
  <c r="J606" i="90"/>
  <c r="J615" i="90" s="1"/>
  <c r="J597" i="90"/>
  <c r="C595" i="90"/>
  <c r="C594" i="90"/>
  <c r="C593" i="90"/>
  <c r="C592" i="90"/>
  <c r="C591" i="90"/>
  <c r="J590" i="90"/>
  <c r="J581" i="90"/>
  <c r="J579" i="90"/>
  <c r="C577" i="90"/>
  <c r="C576" i="90"/>
  <c r="C575" i="90"/>
  <c r="C574" i="90"/>
  <c r="C573" i="90"/>
  <c r="J568" i="90"/>
  <c r="J572" i="90" s="1"/>
  <c r="J558" i="90"/>
  <c r="J556" i="90"/>
  <c r="C554" i="90"/>
  <c r="C553" i="90"/>
  <c r="C552" i="90"/>
  <c r="C551" i="90"/>
  <c r="C550" i="90"/>
  <c r="J546" i="90"/>
  <c r="J533" i="90"/>
  <c r="C531" i="90"/>
  <c r="C530" i="90"/>
  <c r="C529" i="90"/>
  <c r="C528" i="90"/>
  <c r="C527" i="90"/>
  <c r="J526" i="90"/>
  <c r="J516" i="90"/>
  <c r="C514" i="90"/>
  <c r="C513" i="90"/>
  <c r="C512" i="90"/>
  <c r="C511" i="90"/>
  <c r="C510" i="90"/>
  <c r="J509" i="90"/>
  <c r="J500" i="90"/>
  <c r="J504" i="90" s="1"/>
  <c r="C498" i="90"/>
  <c r="C497" i="90"/>
  <c r="C496" i="90"/>
  <c r="C495" i="90"/>
  <c r="C494" i="90"/>
  <c r="J493" i="90"/>
  <c r="C484" i="90"/>
  <c r="C483" i="90"/>
  <c r="C482" i="90"/>
  <c r="C481" i="90"/>
  <c r="C480" i="90"/>
  <c r="J479" i="90"/>
  <c r="J488" i="90" s="1"/>
  <c r="J469" i="90"/>
  <c r="C467" i="90"/>
  <c r="C466" i="90"/>
  <c r="C465" i="90"/>
  <c r="C464" i="90"/>
  <c r="C463" i="90"/>
  <c r="J462" i="90"/>
  <c r="J453" i="90"/>
  <c r="C451" i="90"/>
  <c r="C450" i="90"/>
  <c r="C449" i="90"/>
  <c r="C448" i="90"/>
  <c r="C447" i="90"/>
  <c r="J446" i="90"/>
  <c r="J436" i="90"/>
  <c r="C434" i="90"/>
  <c r="C433" i="90"/>
  <c r="C432" i="90"/>
  <c r="C431" i="90"/>
  <c r="C430" i="90"/>
  <c r="J429" i="90"/>
  <c r="C414" i="90"/>
  <c r="C413" i="90"/>
  <c r="C412" i="90"/>
  <c r="C411" i="90"/>
  <c r="C410" i="90"/>
  <c r="J409" i="90"/>
  <c r="J418" i="90" s="1"/>
  <c r="C400" i="90"/>
  <c r="C399" i="90"/>
  <c r="C398" i="90"/>
  <c r="C397" i="90"/>
  <c r="C396" i="90"/>
  <c r="J381" i="90"/>
  <c r="J383" i="90" s="1"/>
  <c r="C380" i="90"/>
  <c r="C379" i="90"/>
  <c r="C378" i="90"/>
  <c r="C377" i="90"/>
  <c r="C376" i="90"/>
  <c r="J363" i="90"/>
  <c r="C361" i="90"/>
  <c r="C360" i="90"/>
  <c r="C359" i="90"/>
  <c r="C358" i="90"/>
  <c r="C357" i="90"/>
  <c r="J355" i="90"/>
  <c r="J356" i="90" s="1"/>
  <c r="J341" i="90"/>
  <c r="J342" i="90" s="1"/>
  <c r="J345" i="90" s="1"/>
  <c r="C339" i="90"/>
  <c r="C338" i="90"/>
  <c r="C337" i="90"/>
  <c r="C336" i="90"/>
  <c r="C335" i="90"/>
  <c r="J322" i="90"/>
  <c r="C320" i="90"/>
  <c r="C319" i="90"/>
  <c r="C318" i="90"/>
  <c r="C317" i="90"/>
  <c r="C316" i="90"/>
  <c r="J303" i="90"/>
  <c r="C301" i="90"/>
  <c r="C300" i="90"/>
  <c r="C299" i="90"/>
  <c r="C298" i="90"/>
  <c r="C297" i="90"/>
  <c r="J284" i="90"/>
  <c r="J282" i="90"/>
  <c r="C280" i="90"/>
  <c r="C279" i="90"/>
  <c r="C278" i="90"/>
  <c r="C277" i="90"/>
  <c r="C276" i="90"/>
  <c r="J255" i="90"/>
  <c r="J253" i="90"/>
  <c r="C251" i="90"/>
  <c r="C250" i="90"/>
  <c r="C249" i="90"/>
  <c r="C248" i="90"/>
  <c r="C247" i="90"/>
  <c r="J243" i="90"/>
  <c r="J235" i="90"/>
  <c r="J233" i="90"/>
  <c r="C231" i="90"/>
  <c r="C230" i="90"/>
  <c r="C229" i="90"/>
  <c r="C228" i="90"/>
  <c r="C227" i="90"/>
  <c r="J222" i="90"/>
  <c r="J214" i="90"/>
  <c r="J212" i="90"/>
  <c r="C210" i="90"/>
  <c r="C209" i="90"/>
  <c r="C208" i="90"/>
  <c r="C207" i="90"/>
  <c r="C206" i="90"/>
  <c r="J202" i="90"/>
  <c r="J194" i="90"/>
  <c r="J192" i="90"/>
  <c r="C190" i="90"/>
  <c r="C189" i="90"/>
  <c r="C188" i="90"/>
  <c r="C187" i="90"/>
  <c r="C186" i="90"/>
  <c r="J174" i="90"/>
  <c r="J172" i="90"/>
  <c r="C170" i="90"/>
  <c r="C169" i="90"/>
  <c r="C168" i="90"/>
  <c r="C167" i="90"/>
  <c r="C166" i="90"/>
  <c r="J161" i="90"/>
  <c r="J153" i="90"/>
  <c r="J151" i="90"/>
  <c r="C149" i="90"/>
  <c r="C148" i="90"/>
  <c r="C147" i="90"/>
  <c r="C146" i="90"/>
  <c r="C145" i="90"/>
  <c r="J140" i="90"/>
  <c r="J127" i="90"/>
  <c r="J125" i="90"/>
  <c r="J112" i="90"/>
  <c r="J110" i="90"/>
  <c r="C108" i="90"/>
  <c r="C107" i="90"/>
  <c r="C106" i="90"/>
  <c r="C105" i="90"/>
  <c r="C104" i="90"/>
  <c r="J224" i="90"/>
  <c r="J101" i="90"/>
  <c r="J93" i="90"/>
  <c r="J91" i="90"/>
  <c r="C89" i="90"/>
  <c r="C88" i="90"/>
  <c r="C87" i="90"/>
  <c r="C86" i="90"/>
  <c r="C85" i="90"/>
  <c r="J82" i="90"/>
  <c r="J74" i="90"/>
  <c r="J72" i="90"/>
  <c r="C70" i="90"/>
  <c r="C69" i="90"/>
  <c r="C68" i="90"/>
  <c r="C67" i="90"/>
  <c r="C66" i="90"/>
  <c r="J63" i="90"/>
  <c r="J163" i="90" s="1"/>
  <c r="J55" i="90"/>
  <c r="J53" i="90"/>
  <c r="C51" i="90"/>
  <c r="C50" i="90"/>
  <c r="C49" i="90"/>
  <c r="C48" i="90"/>
  <c r="C47" i="90"/>
  <c r="J44" i="90"/>
  <c r="J46" i="90" s="1"/>
  <c r="J36" i="90"/>
  <c r="J34" i="90"/>
  <c r="C32" i="90"/>
  <c r="C31" i="90"/>
  <c r="C30" i="90"/>
  <c r="C29" i="90"/>
  <c r="C28" i="90"/>
  <c r="J663" i="90"/>
  <c r="J25" i="90"/>
  <c r="J27" i="90" s="1"/>
  <c r="E18" i="90"/>
  <c r="E17" i="90"/>
  <c r="J932" i="89"/>
  <c r="J928" i="89"/>
  <c r="J924" i="89"/>
  <c r="J920" i="89"/>
  <c r="J916" i="89"/>
  <c r="J912" i="89"/>
  <c r="J908" i="89"/>
  <c r="J904" i="89"/>
  <c r="J890" i="89"/>
  <c r="J886" i="89"/>
  <c r="J882" i="89"/>
  <c r="J878" i="89"/>
  <c r="J874" i="89"/>
  <c r="J870" i="89"/>
  <c r="J866" i="89"/>
  <c r="J862" i="89"/>
  <c r="J858" i="89"/>
  <c r="J854" i="89"/>
  <c r="J850" i="89"/>
  <c r="J846" i="89"/>
  <c r="J842" i="89"/>
  <c r="J838" i="89"/>
  <c r="J834" i="89"/>
  <c r="J770" i="89"/>
  <c r="J769" i="89"/>
  <c r="J768" i="89"/>
  <c r="J767" i="89"/>
  <c r="J766" i="89"/>
  <c r="J765" i="89"/>
  <c r="J764" i="89"/>
  <c r="J763" i="89"/>
  <c r="J762" i="89"/>
  <c r="J755" i="89"/>
  <c r="J754" i="89"/>
  <c r="J753" i="89"/>
  <c r="J752" i="89"/>
  <c r="J751" i="89"/>
  <c r="J750" i="89"/>
  <c r="J749" i="89"/>
  <c r="J748" i="89"/>
  <c r="J747" i="89"/>
  <c r="J740" i="89"/>
  <c r="J739" i="89"/>
  <c r="J738" i="89"/>
  <c r="J737" i="89"/>
  <c r="J736" i="89"/>
  <c r="J735" i="89"/>
  <c r="J734" i="89"/>
  <c r="J733" i="89"/>
  <c r="J732" i="89"/>
  <c r="J725" i="89"/>
  <c r="J724" i="89"/>
  <c r="J723" i="89"/>
  <c r="J722" i="89"/>
  <c r="J721" i="89"/>
  <c r="J720" i="89"/>
  <c r="J719" i="89"/>
  <c r="J783" i="89" s="1"/>
  <c r="J718" i="89"/>
  <c r="J717" i="89"/>
  <c r="J675" i="89"/>
  <c r="J673" i="89"/>
  <c r="C671" i="89"/>
  <c r="C670" i="89"/>
  <c r="C669" i="89"/>
  <c r="C668" i="89"/>
  <c r="C667" i="89"/>
  <c r="J661" i="89"/>
  <c r="J653" i="89"/>
  <c r="J651" i="89"/>
  <c r="C649" i="89"/>
  <c r="C648" i="89"/>
  <c r="C647" i="89"/>
  <c r="C646" i="89"/>
  <c r="C645" i="89"/>
  <c r="J640" i="89"/>
  <c r="J644" i="89" s="1"/>
  <c r="J631" i="89"/>
  <c r="J629" i="89"/>
  <c r="C627" i="89"/>
  <c r="C626" i="89"/>
  <c r="C625" i="89"/>
  <c r="C624" i="89"/>
  <c r="C623" i="89"/>
  <c r="J619" i="89"/>
  <c r="J622" i="89" s="1"/>
  <c r="C611" i="89"/>
  <c r="C610" i="89"/>
  <c r="C609" i="89"/>
  <c r="C608" i="89"/>
  <c r="C607" i="89"/>
  <c r="J606" i="89"/>
  <c r="J615" i="89" s="1"/>
  <c r="J597" i="89"/>
  <c r="C595" i="89"/>
  <c r="C594" i="89"/>
  <c r="C593" i="89"/>
  <c r="C592" i="89"/>
  <c r="C591" i="89"/>
  <c r="J590" i="89"/>
  <c r="J581" i="89"/>
  <c r="J579" i="89"/>
  <c r="C577" i="89"/>
  <c r="C576" i="89"/>
  <c r="C575" i="89"/>
  <c r="C574" i="89"/>
  <c r="C573" i="89"/>
  <c r="J568" i="89"/>
  <c r="J572" i="89" s="1"/>
  <c r="J558" i="89"/>
  <c r="J556" i="89"/>
  <c r="C554" i="89"/>
  <c r="C553" i="89"/>
  <c r="C552" i="89"/>
  <c r="C551" i="89"/>
  <c r="C550" i="89"/>
  <c r="J546" i="89"/>
  <c r="J549" i="89" s="1"/>
  <c r="J533" i="89"/>
  <c r="C531" i="89"/>
  <c r="C530" i="89"/>
  <c r="C529" i="89"/>
  <c r="C528" i="89"/>
  <c r="C527" i="89"/>
  <c r="J526" i="89"/>
  <c r="J516" i="89"/>
  <c r="C514" i="89"/>
  <c r="C513" i="89"/>
  <c r="C512" i="89"/>
  <c r="C511" i="89"/>
  <c r="C510" i="89"/>
  <c r="J509" i="89"/>
  <c r="J500" i="89"/>
  <c r="C498" i="89"/>
  <c r="C497" i="89"/>
  <c r="C496" i="89"/>
  <c r="C495" i="89"/>
  <c r="C494" i="89"/>
  <c r="J493" i="89"/>
  <c r="C484" i="89"/>
  <c r="C483" i="89"/>
  <c r="C482" i="89"/>
  <c r="C481" i="89"/>
  <c r="C480" i="89"/>
  <c r="J479" i="89"/>
  <c r="J488" i="89" s="1"/>
  <c r="J469" i="89"/>
  <c r="C467" i="89"/>
  <c r="C466" i="89"/>
  <c r="C465" i="89"/>
  <c r="C464" i="89"/>
  <c r="C463" i="89"/>
  <c r="J462" i="89"/>
  <c r="J453" i="89"/>
  <c r="C451" i="89"/>
  <c r="C450" i="89"/>
  <c r="C449" i="89"/>
  <c r="C448" i="89"/>
  <c r="C447" i="89"/>
  <c r="J446" i="89"/>
  <c r="J436" i="89"/>
  <c r="C434" i="89"/>
  <c r="C433" i="89"/>
  <c r="C432" i="89"/>
  <c r="C431" i="89"/>
  <c r="C430" i="89"/>
  <c r="J429" i="89"/>
  <c r="C414" i="89"/>
  <c r="C413" i="89"/>
  <c r="C412" i="89"/>
  <c r="C411" i="89"/>
  <c r="C410" i="89"/>
  <c r="J409" i="89"/>
  <c r="J418" i="89" s="1"/>
  <c r="C400" i="89"/>
  <c r="C399" i="89"/>
  <c r="C398" i="89"/>
  <c r="C397" i="89"/>
  <c r="C396" i="89"/>
  <c r="J381" i="89"/>
  <c r="J383" i="89" s="1"/>
  <c r="C380" i="89"/>
  <c r="C379" i="89"/>
  <c r="C378" i="89"/>
  <c r="C377" i="89"/>
  <c r="C376" i="89"/>
  <c r="J363" i="89"/>
  <c r="C361" i="89"/>
  <c r="C360" i="89"/>
  <c r="C359" i="89"/>
  <c r="C358" i="89"/>
  <c r="C357" i="89"/>
  <c r="J355" i="89"/>
  <c r="J356" i="89" s="1"/>
  <c r="J341" i="89"/>
  <c r="J342" i="89" s="1"/>
  <c r="J345" i="89" s="1"/>
  <c r="C339" i="89"/>
  <c r="C338" i="89"/>
  <c r="C337" i="89"/>
  <c r="C336" i="89"/>
  <c r="C335" i="89"/>
  <c r="J322" i="89"/>
  <c r="C320" i="89"/>
  <c r="C319" i="89"/>
  <c r="C318" i="89"/>
  <c r="C317" i="89"/>
  <c r="C316" i="89"/>
  <c r="J303" i="89"/>
  <c r="C301" i="89"/>
  <c r="C300" i="89"/>
  <c r="C299" i="89"/>
  <c r="C298" i="89"/>
  <c r="C297" i="89"/>
  <c r="J284" i="89"/>
  <c r="J282" i="89"/>
  <c r="C280" i="89"/>
  <c r="C279" i="89"/>
  <c r="C278" i="89"/>
  <c r="C277" i="89"/>
  <c r="C276" i="89"/>
  <c r="J255" i="89"/>
  <c r="J253" i="89"/>
  <c r="C251" i="89"/>
  <c r="C250" i="89"/>
  <c r="C249" i="89"/>
  <c r="C248" i="89"/>
  <c r="C247" i="89"/>
  <c r="J243" i="89"/>
  <c r="J235" i="89"/>
  <c r="J233" i="89"/>
  <c r="C231" i="89"/>
  <c r="C230" i="89"/>
  <c r="C229" i="89"/>
  <c r="C228" i="89"/>
  <c r="C227" i="89"/>
  <c r="J222" i="89"/>
  <c r="J214" i="89"/>
  <c r="J212" i="89"/>
  <c r="C210" i="89"/>
  <c r="C209" i="89"/>
  <c r="C208" i="89"/>
  <c r="C207" i="89"/>
  <c r="C206" i="89"/>
  <c r="J202" i="89"/>
  <c r="J194" i="89"/>
  <c r="J192" i="89"/>
  <c r="C190" i="89"/>
  <c r="C189" i="89"/>
  <c r="C188" i="89"/>
  <c r="C187" i="89"/>
  <c r="C186" i="89"/>
  <c r="J174" i="89"/>
  <c r="J172" i="89"/>
  <c r="C170" i="89"/>
  <c r="C169" i="89"/>
  <c r="C168" i="89"/>
  <c r="C167" i="89"/>
  <c r="C166" i="89"/>
  <c r="J161" i="89"/>
  <c r="J153" i="89"/>
  <c r="J151" i="89"/>
  <c r="C149" i="89"/>
  <c r="C148" i="89"/>
  <c r="C147" i="89"/>
  <c r="C146" i="89"/>
  <c r="C145" i="89"/>
  <c r="J140" i="89"/>
  <c r="J127" i="89"/>
  <c r="J125" i="89"/>
  <c r="J112" i="89"/>
  <c r="J110" i="89"/>
  <c r="C108" i="89"/>
  <c r="C107" i="89"/>
  <c r="C106" i="89"/>
  <c r="C105" i="89"/>
  <c r="C104" i="89"/>
  <c r="J101" i="89"/>
  <c r="J93" i="89"/>
  <c r="J91" i="89"/>
  <c r="C89" i="89"/>
  <c r="C88" i="89"/>
  <c r="C87" i="89"/>
  <c r="C86" i="89"/>
  <c r="C85" i="89"/>
  <c r="J82" i="89"/>
  <c r="J74" i="89"/>
  <c r="J72" i="89"/>
  <c r="C70" i="89"/>
  <c r="C69" i="89"/>
  <c r="C68" i="89"/>
  <c r="C67" i="89"/>
  <c r="C66" i="89"/>
  <c r="J163" i="89"/>
  <c r="J63" i="89"/>
  <c r="J55" i="89"/>
  <c r="J53" i="89"/>
  <c r="C51" i="89"/>
  <c r="C50" i="89"/>
  <c r="C49" i="89"/>
  <c r="C48" i="89"/>
  <c r="C47" i="89"/>
  <c r="J44" i="89"/>
  <c r="J36" i="89"/>
  <c r="J34" i="89"/>
  <c r="C32" i="89"/>
  <c r="C31" i="89"/>
  <c r="C30" i="89"/>
  <c r="C29" i="89"/>
  <c r="C28" i="89"/>
  <c r="J663" i="89"/>
  <c r="J25" i="89"/>
  <c r="J27" i="89" s="1"/>
  <c r="E18" i="89"/>
  <c r="E17" i="89"/>
  <c r="J932" i="88"/>
  <c r="J928" i="88"/>
  <c r="J924" i="88"/>
  <c r="J920" i="88"/>
  <c r="J916" i="88"/>
  <c r="J912" i="88"/>
  <c r="J908" i="88"/>
  <c r="J904" i="88"/>
  <c r="J890" i="88"/>
  <c r="J886" i="88"/>
  <c r="J882" i="88"/>
  <c r="J878" i="88"/>
  <c r="J874" i="88"/>
  <c r="J870" i="88"/>
  <c r="J866" i="88"/>
  <c r="J862" i="88"/>
  <c r="J858" i="88"/>
  <c r="J854" i="88"/>
  <c r="J850" i="88"/>
  <c r="J846" i="88"/>
  <c r="J842" i="88"/>
  <c r="J838" i="88"/>
  <c r="J834" i="88"/>
  <c r="J770" i="88"/>
  <c r="J769" i="88"/>
  <c r="J768" i="88"/>
  <c r="J767" i="88"/>
  <c r="J766" i="88"/>
  <c r="J765" i="88"/>
  <c r="J764" i="88"/>
  <c r="J763" i="88"/>
  <c r="J762" i="88"/>
  <c r="J755" i="88"/>
  <c r="J754" i="88"/>
  <c r="J753" i="88"/>
  <c r="J752" i="88"/>
  <c r="J751" i="88"/>
  <c r="J750" i="88"/>
  <c r="J749" i="88"/>
  <c r="J748" i="88"/>
  <c r="J747" i="88"/>
  <c r="J740" i="88"/>
  <c r="J739" i="88"/>
  <c r="J738" i="88"/>
  <c r="J737" i="88"/>
  <c r="J736" i="88"/>
  <c r="J735" i="88"/>
  <c r="J734" i="88"/>
  <c r="J733" i="88"/>
  <c r="J732" i="88"/>
  <c r="J725" i="88"/>
  <c r="J724" i="88"/>
  <c r="J723" i="88"/>
  <c r="J722" i="88"/>
  <c r="J721" i="88"/>
  <c r="J720" i="88"/>
  <c r="J719" i="88"/>
  <c r="J718" i="88"/>
  <c r="J717" i="88"/>
  <c r="J675" i="88"/>
  <c r="J673" i="88"/>
  <c r="C671" i="88"/>
  <c r="C670" i="88"/>
  <c r="C669" i="88"/>
  <c r="C668" i="88"/>
  <c r="C667" i="88"/>
  <c r="J661" i="88"/>
  <c r="J653" i="88"/>
  <c r="J651" i="88"/>
  <c r="C649" i="88"/>
  <c r="C648" i="88"/>
  <c r="C647" i="88"/>
  <c r="C646" i="88"/>
  <c r="C645" i="88"/>
  <c r="J640" i="88"/>
  <c r="J644" i="88" s="1"/>
  <c r="J631" i="88"/>
  <c r="J629" i="88"/>
  <c r="C627" i="88"/>
  <c r="C626" i="88"/>
  <c r="C625" i="88"/>
  <c r="C624" i="88"/>
  <c r="C623" i="88"/>
  <c r="J619" i="88"/>
  <c r="J622" i="88" s="1"/>
  <c r="C611" i="88"/>
  <c r="C610" i="88"/>
  <c r="C609" i="88"/>
  <c r="C608" i="88"/>
  <c r="C607" i="88"/>
  <c r="J606" i="88"/>
  <c r="J615" i="88" s="1"/>
  <c r="J597" i="88"/>
  <c r="C595" i="88"/>
  <c r="C594" i="88"/>
  <c r="C593" i="88"/>
  <c r="C592" i="88"/>
  <c r="C591" i="88"/>
  <c r="J590" i="88"/>
  <c r="J581" i="88"/>
  <c r="J579" i="88"/>
  <c r="C577" i="88"/>
  <c r="C576" i="88"/>
  <c r="C575" i="88"/>
  <c r="C574" i="88"/>
  <c r="C573" i="88"/>
  <c r="J568" i="88"/>
  <c r="J572" i="88" s="1"/>
  <c r="J558" i="88"/>
  <c r="J556" i="88"/>
  <c r="C554" i="88"/>
  <c r="C553" i="88"/>
  <c r="C552" i="88"/>
  <c r="C551" i="88"/>
  <c r="C550" i="88"/>
  <c r="J546" i="88"/>
  <c r="J549" i="88" s="1"/>
  <c r="J533" i="88"/>
  <c r="C531" i="88"/>
  <c r="C530" i="88"/>
  <c r="C529" i="88"/>
  <c r="C528" i="88"/>
  <c r="C527" i="88"/>
  <c r="J526" i="88"/>
  <c r="J516" i="88"/>
  <c r="C514" i="88"/>
  <c r="C513" i="88"/>
  <c r="C512" i="88"/>
  <c r="C511" i="88"/>
  <c r="C510" i="88"/>
  <c r="J509" i="88"/>
  <c r="J500" i="88"/>
  <c r="C498" i="88"/>
  <c r="C497" i="88"/>
  <c r="C496" i="88"/>
  <c r="C495" i="88"/>
  <c r="C494" i="88"/>
  <c r="J493" i="88"/>
  <c r="C484" i="88"/>
  <c r="C483" i="88"/>
  <c r="C482" i="88"/>
  <c r="C481" i="88"/>
  <c r="C480" i="88"/>
  <c r="J479" i="88"/>
  <c r="J488" i="88" s="1"/>
  <c r="J469" i="88"/>
  <c r="C467" i="88"/>
  <c r="C466" i="88"/>
  <c r="C465" i="88"/>
  <c r="C464" i="88"/>
  <c r="C463" i="88"/>
  <c r="J462" i="88"/>
  <c r="J453" i="88"/>
  <c r="C451" i="88"/>
  <c r="C450" i="88"/>
  <c r="C449" i="88"/>
  <c r="C448" i="88"/>
  <c r="C447" i="88"/>
  <c r="J446" i="88"/>
  <c r="J436" i="88"/>
  <c r="C434" i="88"/>
  <c r="C433" i="88"/>
  <c r="C432" i="88"/>
  <c r="C431" i="88"/>
  <c r="C430" i="88"/>
  <c r="J429" i="88"/>
  <c r="C414" i="88"/>
  <c r="C413" i="88"/>
  <c r="C412" i="88"/>
  <c r="C411" i="88"/>
  <c r="C410" i="88"/>
  <c r="J409" i="88"/>
  <c r="J418" i="88" s="1"/>
  <c r="C400" i="88"/>
  <c r="C399" i="88"/>
  <c r="C398" i="88"/>
  <c r="C397" i="88"/>
  <c r="C396" i="88"/>
  <c r="J381" i="88"/>
  <c r="J383" i="88" s="1"/>
  <c r="C380" i="88"/>
  <c r="C379" i="88"/>
  <c r="C378" i="88"/>
  <c r="C377" i="88"/>
  <c r="C376" i="88"/>
  <c r="J363" i="88"/>
  <c r="C361" i="88"/>
  <c r="C360" i="88"/>
  <c r="C359" i="88"/>
  <c r="C358" i="88"/>
  <c r="C357" i="88"/>
  <c r="J355" i="88"/>
  <c r="J356" i="88" s="1"/>
  <c r="J341" i="88"/>
  <c r="J342" i="88" s="1"/>
  <c r="J345" i="88" s="1"/>
  <c r="C339" i="88"/>
  <c r="C338" i="88"/>
  <c r="C337" i="88"/>
  <c r="C336" i="88"/>
  <c r="C335" i="88"/>
  <c r="J322" i="88"/>
  <c r="C320" i="88"/>
  <c r="C319" i="88"/>
  <c r="C318" i="88"/>
  <c r="C317" i="88"/>
  <c r="C316" i="88"/>
  <c r="J303" i="88"/>
  <c r="C301" i="88"/>
  <c r="C300" i="88"/>
  <c r="C299" i="88"/>
  <c r="C298" i="88"/>
  <c r="C297" i="88"/>
  <c r="J284" i="88"/>
  <c r="J282" i="88"/>
  <c r="C280" i="88"/>
  <c r="C279" i="88"/>
  <c r="C278" i="88"/>
  <c r="C277" i="88"/>
  <c r="C276" i="88"/>
  <c r="J255" i="88"/>
  <c r="J253" i="88"/>
  <c r="C251" i="88"/>
  <c r="C250" i="88"/>
  <c r="C249" i="88"/>
  <c r="C248" i="88"/>
  <c r="C247" i="88"/>
  <c r="J243" i="88"/>
  <c r="J235" i="88"/>
  <c r="J233" i="88"/>
  <c r="C231" i="88"/>
  <c r="C230" i="88"/>
  <c r="C229" i="88"/>
  <c r="C228" i="88"/>
  <c r="C227" i="88"/>
  <c r="J222" i="88"/>
  <c r="J214" i="88"/>
  <c r="J212" i="88"/>
  <c r="C210" i="88"/>
  <c r="C209" i="88"/>
  <c r="C208" i="88"/>
  <c r="C207" i="88"/>
  <c r="C206" i="88"/>
  <c r="J202" i="88"/>
  <c r="J194" i="88"/>
  <c r="J192" i="88"/>
  <c r="C190" i="88"/>
  <c r="C189" i="88"/>
  <c r="C188" i="88"/>
  <c r="C187" i="88"/>
  <c r="C186" i="88"/>
  <c r="J174" i="88"/>
  <c r="J172" i="88"/>
  <c r="C170" i="88"/>
  <c r="C169" i="88"/>
  <c r="C168" i="88"/>
  <c r="C167" i="88"/>
  <c r="C166" i="88"/>
  <c r="J161" i="88"/>
  <c r="J153" i="88"/>
  <c r="J151" i="88"/>
  <c r="C149" i="88"/>
  <c r="C148" i="88"/>
  <c r="C147" i="88"/>
  <c r="C146" i="88"/>
  <c r="C145" i="88"/>
  <c r="J140" i="88"/>
  <c r="J127" i="88"/>
  <c r="J125" i="88"/>
  <c r="J112" i="88"/>
  <c r="J110" i="88"/>
  <c r="C108" i="88"/>
  <c r="C107" i="88"/>
  <c r="C106" i="88"/>
  <c r="C105" i="88"/>
  <c r="C104" i="88"/>
  <c r="J101" i="88"/>
  <c r="J224" i="88" s="1"/>
  <c r="J93" i="88"/>
  <c r="J91" i="88"/>
  <c r="C89" i="88"/>
  <c r="C88" i="88"/>
  <c r="C87" i="88"/>
  <c r="C86" i="88"/>
  <c r="C85" i="88"/>
  <c r="J82" i="88"/>
  <c r="J74" i="88"/>
  <c r="J72" i="88"/>
  <c r="C70" i="88"/>
  <c r="C69" i="88"/>
  <c r="C68" i="88"/>
  <c r="C67" i="88"/>
  <c r="C66" i="88"/>
  <c r="J63" i="88"/>
  <c r="J163" i="88" s="1"/>
  <c r="J55" i="88"/>
  <c r="J53" i="88"/>
  <c r="C51" i="88"/>
  <c r="C50" i="88"/>
  <c r="C49" i="88"/>
  <c r="C48" i="88"/>
  <c r="C47" i="88"/>
  <c r="J44" i="88"/>
  <c r="J36" i="88"/>
  <c r="J34" i="88"/>
  <c r="C32" i="88"/>
  <c r="C31" i="88"/>
  <c r="C30" i="88"/>
  <c r="C29" i="88"/>
  <c r="C28" i="88"/>
  <c r="J663" i="88"/>
  <c r="J25" i="88"/>
  <c r="J27" i="88" s="1"/>
  <c r="E18" i="88"/>
  <c r="E17" i="88"/>
  <c r="J932" i="87"/>
  <c r="J928" i="87"/>
  <c r="J924" i="87"/>
  <c r="J920" i="87"/>
  <c r="J916" i="87"/>
  <c r="J912" i="87"/>
  <c r="J908" i="87"/>
  <c r="J904" i="87"/>
  <c r="J890" i="87"/>
  <c r="J886" i="87"/>
  <c r="J882" i="87"/>
  <c r="J878" i="87"/>
  <c r="J874" i="87"/>
  <c r="J870" i="87"/>
  <c r="J866" i="87"/>
  <c r="J862" i="87"/>
  <c r="J858" i="87"/>
  <c r="J854" i="87"/>
  <c r="J850" i="87"/>
  <c r="J846" i="87"/>
  <c r="J842" i="87"/>
  <c r="J838" i="87"/>
  <c r="J834" i="87"/>
  <c r="J770" i="87"/>
  <c r="J769" i="87"/>
  <c r="J768" i="87"/>
  <c r="J767" i="87"/>
  <c r="J766" i="87"/>
  <c r="J765" i="87"/>
  <c r="J764" i="87"/>
  <c r="J763" i="87"/>
  <c r="J762" i="87"/>
  <c r="J755" i="87"/>
  <c r="J754" i="87"/>
  <c r="J753" i="87"/>
  <c r="J752" i="87"/>
  <c r="J751" i="87"/>
  <c r="J750" i="87"/>
  <c r="J749" i="87"/>
  <c r="J748" i="87"/>
  <c r="J747" i="87"/>
  <c r="J740" i="87"/>
  <c r="J739" i="87"/>
  <c r="J738" i="87"/>
  <c r="J737" i="87"/>
  <c r="J736" i="87"/>
  <c r="J735" i="87"/>
  <c r="J734" i="87"/>
  <c r="J733" i="87"/>
  <c r="J732" i="87"/>
  <c r="J725" i="87"/>
  <c r="J724" i="87"/>
  <c r="J723" i="87"/>
  <c r="J722" i="87"/>
  <c r="J721" i="87"/>
  <c r="J720" i="87"/>
  <c r="J719" i="87"/>
  <c r="J718" i="87"/>
  <c r="J717" i="87"/>
  <c r="J675" i="87"/>
  <c r="J673" i="87"/>
  <c r="C671" i="87"/>
  <c r="C670" i="87"/>
  <c r="C669" i="87"/>
  <c r="C668" i="87"/>
  <c r="C667" i="87"/>
  <c r="J661" i="87"/>
  <c r="J653" i="87"/>
  <c r="J651" i="87"/>
  <c r="C649" i="87"/>
  <c r="C648" i="87"/>
  <c r="C647" i="87"/>
  <c r="C646" i="87"/>
  <c r="C645" i="87"/>
  <c r="J640" i="87"/>
  <c r="J644" i="87" s="1"/>
  <c r="J631" i="87"/>
  <c r="J629" i="87"/>
  <c r="C627" i="87"/>
  <c r="C626" i="87"/>
  <c r="C625" i="87"/>
  <c r="C624" i="87"/>
  <c r="C623" i="87"/>
  <c r="J619" i="87"/>
  <c r="J622" i="87" s="1"/>
  <c r="C611" i="87"/>
  <c r="C610" i="87"/>
  <c r="C609" i="87"/>
  <c r="C608" i="87"/>
  <c r="C607" i="87"/>
  <c r="J606" i="87"/>
  <c r="J615" i="87" s="1"/>
  <c r="J597" i="87"/>
  <c r="C595" i="87"/>
  <c r="C594" i="87"/>
  <c r="C593" i="87"/>
  <c r="C592" i="87"/>
  <c r="C591" i="87"/>
  <c r="J590" i="87"/>
  <c r="J581" i="87"/>
  <c r="J579" i="87"/>
  <c r="C577" i="87"/>
  <c r="C576" i="87"/>
  <c r="C575" i="87"/>
  <c r="C574" i="87"/>
  <c r="C573" i="87"/>
  <c r="J568" i="87"/>
  <c r="J572" i="87" s="1"/>
  <c r="J558" i="87"/>
  <c r="J556" i="87"/>
  <c r="C554" i="87"/>
  <c r="C553" i="87"/>
  <c r="C552" i="87"/>
  <c r="C551" i="87"/>
  <c r="C550" i="87"/>
  <c r="J546" i="87"/>
  <c r="J533" i="87"/>
  <c r="C531" i="87"/>
  <c r="C530" i="87"/>
  <c r="C529" i="87"/>
  <c r="C528" i="87"/>
  <c r="C527" i="87"/>
  <c r="J526" i="87"/>
  <c r="J516" i="87"/>
  <c r="C514" i="87"/>
  <c r="C513" i="87"/>
  <c r="C512" i="87"/>
  <c r="C511" i="87"/>
  <c r="C510" i="87"/>
  <c r="J509" i="87"/>
  <c r="J520" i="87" s="1"/>
  <c r="J500" i="87"/>
  <c r="C498" i="87"/>
  <c r="C497" i="87"/>
  <c r="C496" i="87"/>
  <c r="C495" i="87"/>
  <c r="C494" i="87"/>
  <c r="J493" i="87"/>
  <c r="C484" i="87"/>
  <c r="C483" i="87"/>
  <c r="C482" i="87"/>
  <c r="C481" i="87"/>
  <c r="C480" i="87"/>
  <c r="J479" i="87"/>
  <c r="J488" i="87" s="1"/>
  <c r="J469" i="87"/>
  <c r="C467" i="87"/>
  <c r="C466" i="87"/>
  <c r="C465" i="87"/>
  <c r="C464" i="87"/>
  <c r="C463" i="87"/>
  <c r="J462" i="87"/>
  <c r="J453" i="87"/>
  <c r="C451" i="87"/>
  <c r="C450" i="87"/>
  <c r="C449" i="87"/>
  <c r="C448" i="87"/>
  <c r="C447" i="87"/>
  <c r="J446" i="87"/>
  <c r="J436" i="87"/>
  <c r="C434" i="87"/>
  <c r="C433" i="87"/>
  <c r="C432" i="87"/>
  <c r="C431" i="87"/>
  <c r="C430" i="87"/>
  <c r="J429" i="87"/>
  <c r="C414" i="87"/>
  <c r="C413" i="87"/>
  <c r="C412" i="87"/>
  <c r="C411" i="87"/>
  <c r="C410" i="87"/>
  <c r="J409" i="87"/>
  <c r="J418" i="87" s="1"/>
  <c r="C400" i="87"/>
  <c r="C399" i="87"/>
  <c r="C398" i="87"/>
  <c r="C397" i="87"/>
  <c r="C396" i="87"/>
  <c r="J381" i="87"/>
  <c r="J383" i="87" s="1"/>
  <c r="C380" i="87"/>
  <c r="C379" i="87"/>
  <c r="C378" i="87"/>
  <c r="C377" i="87"/>
  <c r="C376" i="87"/>
  <c r="J363" i="87"/>
  <c r="C361" i="87"/>
  <c r="C360" i="87"/>
  <c r="C359" i="87"/>
  <c r="C358" i="87"/>
  <c r="C357" i="87"/>
  <c r="J355" i="87"/>
  <c r="J356" i="87" s="1"/>
  <c r="J341" i="87"/>
  <c r="J342" i="87" s="1"/>
  <c r="J345" i="87" s="1"/>
  <c r="C339" i="87"/>
  <c r="C338" i="87"/>
  <c r="C337" i="87"/>
  <c r="C336" i="87"/>
  <c r="C335" i="87"/>
  <c r="J322" i="87"/>
  <c r="C320" i="87"/>
  <c r="C319" i="87"/>
  <c r="C318" i="87"/>
  <c r="C317" i="87"/>
  <c r="C316" i="87"/>
  <c r="J303" i="87"/>
  <c r="C301" i="87"/>
  <c r="C300" i="87"/>
  <c r="C299" i="87"/>
  <c r="C298" i="87"/>
  <c r="C297" i="87"/>
  <c r="J284" i="87"/>
  <c r="J282" i="87"/>
  <c r="C280" i="87"/>
  <c r="C279" i="87"/>
  <c r="C278" i="87"/>
  <c r="C277" i="87"/>
  <c r="C276" i="87"/>
  <c r="J255" i="87"/>
  <c r="J253" i="87"/>
  <c r="C251" i="87"/>
  <c r="C250" i="87"/>
  <c r="C249" i="87"/>
  <c r="C248" i="87"/>
  <c r="C247" i="87"/>
  <c r="J243" i="87"/>
  <c r="J235" i="87"/>
  <c r="J233" i="87"/>
  <c r="C231" i="87"/>
  <c r="C230" i="87"/>
  <c r="C229" i="87"/>
  <c r="C228" i="87"/>
  <c r="C227" i="87"/>
  <c r="J222" i="87"/>
  <c r="J214" i="87"/>
  <c r="J212" i="87"/>
  <c r="C210" i="87"/>
  <c r="C209" i="87"/>
  <c r="C208" i="87"/>
  <c r="C207" i="87"/>
  <c r="C206" i="87"/>
  <c r="J202" i="87"/>
  <c r="J194" i="87"/>
  <c r="J192" i="87"/>
  <c r="C190" i="87"/>
  <c r="C189" i="87"/>
  <c r="C188" i="87"/>
  <c r="C187" i="87"/>
  <c r="C186" i="87"/>
  <c r="J174" i="87"/>
  <c r="J172" i="87"/>
  <c r="C170" i="87"/>
  <c r="C169" i="87"/>
  <c r="C168" i="87"/>
  <c r="C167" i="87"/>
  <c r="C166" i="87"/>
  <c r="J161" i="87"/>
  <c r="J153" i="87"/>
  <c r="J151" i="87"/>
  <c r="C149" i="87"/>
  <c r="C148" i="87"/>
  <c r="C147" i="87"/>
  <c r="C146" i="87"/>
  <c r="C145" i="87"/>
  <c r="J140" i="87"/>
  <c r="J127" i="87"/>
  <c r="J125" i="87"/>
  <c r="J112" i="87"/>
  <c r="J110" i="87"/>
  <c r="C108" i="87"/>
  <c r="C107" i="87"/>
  <c r="C106" i="87"/>
  <c r="C105" i="87"/>
  <c r="C104" i="87"/>
  <c r="J224" i="87"/>
  <c r="J101" i="87"/>
  <c r="J93" i="87"/>
  <c r="J91" i="87"/>
  <c r="C89" i="87"/>
  <c r="C88" i="87"/>
  <c r="C87" i="87"/>
  <c r="C86" i="87"/>
  <c r="C85" i="87"/>
  <c r="J82" i="87"/>
  <c r="J74" i="87"/>
  <c r="J72" i="87"/>
  <c r="C70" i="87"/>
  <c r="C69" i="87"/>
  <c r="C68" i="87"/>
  <c r="C67" i="87"/>
  <c r="C66" i="87"/>
  <c r="J163" i="87"/>
  <c r="J63" i="87"/>
  <c r="J55" i="87"/>
  <c r="J53" i="87"/>
  <c r="C51" i="87"/>
  <c r="C50" i="87"/>
  <c r="C49" i="87"/>
  <c r="C48" i="87"/>
  <c r="C47" i="87"/>
  <c r="J44" i="87"/>
  <c r="J36" i="87"/>
  <c r="J34" i="87"/>
  <c r="C32" i="87"/>
  <c r="C31" i="87"/>
  <c r="C30" i="87"/>
  <c r="C29" i="87"/>
  <c r="C28" i="87"/>
  <c r="J663" i="87"/>
  <c r="J25" i="87"/>
  <c r="E18" i="87"/>
  <c r="E17" i="87"/>
  <c r="J932" i="86"/>
  <c r="J928" i="86"/>
  <c r="J924" i="86"/>
  <c r="J920" i="86"/>
  <c r="J916" i="86"/>
  <c r="J912" i="86"/>
  <c r="J908" i="86"/>
  <c r="J904" i="86"/>
  <c r="J890" i="86"/>
  <c r="J886" i="86"/>
  <c r="J882" i="86"/>
  <c r="J878" i="86"/>
  <c r="J874" i="86"/>
  <c r="J870" i="86"/>
  <c r="J866" i="86"/>
  <c r="J862" i="86"/>
  <c r="J858" i="86"/>
  <c r="J854" i="86"/>
  <c r="J850" i="86"/>
  <c r="J846" i="86"/>
  <c r="J842" i="86"/>
  <c r="J838" i="86"/>
  <c r="J834" i="86"/>
  <c r="J770" i="86"/>
  <c r="J769" i="86"/>
  <c r="J768" i="86"/>
  <c r="J767" i="86"/>
  <c r="J766" i="86"/>
  <c r="J765" i="86"/>
  <c r="J764" i="86"/>
  <c r="J763" i="86"/>
  <c r="J762" i="86"/>
  <c r="J755" i="86"/>
  <c r="J754" i="86"/>
  <c r="J753" i="86"/>
  <c r="J752" i="86"/>
  <c r="J751" i="86"/>
  <c r="J750" i="86"/>
  <c r="J749" i="86"/>
  <c r="J748" i="86"/>
  <c r="J747" i="86"/>
  <c r="J740" i="86"/>
  <c r="J739" i="86"/>
  <c r="J738" i="86"/>
  <c r="J737" i="86"/>
  <c r="J736" i="86"/>
  <c r="J735" i="86"/>
  <c r="J734" i="86"/>
  <c r="J733" i="86"/>
  <c r="J732" i="86"/>
  <c r="J725" i="86"/>
  <c r="J724" i="86"/>
  <c r="J723" i="86"/>
  <c r="J722" i="86"/>
  <c r="J721" i="86"/>
  <c r="J720" i="86"/>
  <c r="J719" i="86"/>
  <c r="J718" i="86"/>
  <c r="J717" i="86"/>
  <c r="J675" i="86"/>
  <c r="J673" i="86"/>
  <c r="C671" i="86"/>
  <c r="C670" i="86"/>
  <c r="C669" i="86"/>
  <c r="C668" i="86"/>
  <c r="C667" i="86"/>
  <c r="J661" i="86"/>
  <c r="J653" i="86"/>
  <c r="J651" i="86"/>
  <c r="C649" i="86"/>
  <c r="C648" i="86"/>
  <c r="C647" i="86"/>
  <c r="C646" i="86"/>
  <c r="C645" i="86"/>
  <c r="J640" i="86"/>
  <c r="J644" i="86" s="1"/>
  <c r="J631" i="86"/>
  <c r="J629" i="86"/>
  <c r="C627" i="86"/>
  <c r="C626" i="86"/>
  <c r="C625" i="86"/>
  <c r="C624" i="86"/>
  <c r="C623" i="86"/>
  <c r="J619" i="86"/>
  <c r="J622" i="86" s="1"/>
  <c r="C611" i="86"/>
  <c r="C610" i="86"/>
  <c r="C609" i="86"/>
  <c r="C608" i="86"/>
  <c r="C607" i="86"/>
  <c r="J606" i="86"/>
  <c r="J615" i="86" s="1"/>
  <c r="J597" i="86"/>
  <c r="C595" i="86"/>
  <c r="C594" i="86"/>
  <c r="C593" i="86"/>
  <c r="C592" i="86"/>
  <c r="C591" i="86"/>
  <c r="J590" i="86"/>
  <c r="J581" i="86"/>
  <c r="J579" i="86"/>
  <c r="C577" i="86"/>
  <c r="C576" i="86"/>
  <c r="C575" i="86"/>
  <c r="C574" i="86"/>
  <c r="C573" i="86"/>
  <c r="J568" i="86"/>
  <c r="J572" i="86" s="1"/>
  <c r="J558" i="86"/>
  <c r="J556" i="86"/>
  <c r="C554" i="86"/>
  <c r="C553" i="86"/>
  <c r="C552" i="86"/>
  <c r="C551" i="86"/>
  <c r="C550" i="86"/>
  <c r="J546" i="86"/>
  <c r="J549" i="86" s="1"/>
  <c r="J533" i="86"/>
  <c r="C531" i="86"/>
  <c r="C530" i="86"/>
  <c r="C529" i="86"/>
  <c r="C528" i="86"/>
  <c r="C527" i="86"/>
  <c r="J526" i="86"/>
  <c r="J516" i="86"/>
  <c r="C514" i="86"/>
  <c r="C513" i="86"/>
  <c r="C512" i="86"/>
  <c r="C511" i="86"/>
  <c r="C510" i="86"/>
  <c r="J509" i="86"/>
  <c r="J500" i="86"/>
  <c r="C498" i="86"/>
  <c r="C497" i="86"/>
  <c r="C496" i="86"/>
  <c r="C495" i="86"/>
  <c r="C494" i="86"/>
  <c r="J493" i="86"/>
  <c r="C484" i="86"/>
  <c r="C483" i="86"/>
  <c r="C482" i="86"/>
  <c r="C481" i="86"/>
  <c r="C480" i="86"/>
  <c r="J479" i="86"/>
  <c r="J488" i="86" s="1"/>
  <c r="J469" i="86"/>
  <c r="C467" i="86"/>
  <c r="C466" i="86"/>
  <c r="C465" i="86"/>
  <c r="C464" i="86"/>
  <c r="C463" i="86"/>
  <c r="J462" i="86"/>
  <c r="J453" i="86"/>
  <c r="C451" i="86"/>
  <c r="C450" i="86"/>
  <c r="C449" i="86"/>
  <c r="C448" i="86"/>
  <c r="C447" i="86"/>
  <c r="J446" i="86"/>
  <c r="J436" i="86"/>
  <c r="C434" i="86"/>
  <c r="C433" i="86"/>
  <c r="C432" i="86"/>
  <c r="C431" i="86"/>
  <c r="C430" i="86"/>
  <c r="J429" i="86"/>
  <c r="C414" i="86"/>
  <c r="C413" i="86"/>
  <c r="C412" i="86"/>
  <c r="C411" i="86"/>
  <c r="C410" i="86"/>
  <c r="J409" i="86"/>
  <c r="J418" i="86" s="1"/>
  <c r="C400" i="86"/>
  <c r="C399" i="86"/>
  <c r="C398" i="86"/>
  <c r="C397" i="86"/>
  <c r="C396" i="86"/>
  <c r="J381" i="86"/>
  <c r="J383" i="86" s="1"/>
  <c r="C380" i="86"/>
  <c r="C379" i="86"/>
  <c r="C378" i="86"/>
  <c r="C377" i="86"/>
  <c r="C376" i="86"/>
  <c r="J363" i="86"/>
  <c r="C361" i="86"/>
  <c r="C360" i="86"/>
  <c r="C359" i="86"/>
  <c r="C358" i="86"/>
  <c r="C357" i="86"/>
  <c r="J355" i="86"/>
  <c r="J356" i="86" s="1"/>
  <c r="J341" i="86"/>
  <c r="J342" i="86" s="1"/>
  <c r="J345" i="86" s="1"/>
  <c r="C339" i="86"/>
  <c r="C338" i="86"/>
  <c r="C337" i="86"/>
  <c r="C336" i="86"/>
  <c r="C335" i="86"/>
  <c r="J322" i="86"/>
  <c r="C320" i="86"/>
  <c r="C319" i="86"/>
  <c r="C318" i="86"/>
  <c r="C317" i="86"/>
  <c r="C316" i="86"/>
  <c r="J303" i="86"/>
  <c r="C301" i="86"/>
  <c r="C300" i="86"/>
  <c r="C299" i="86"/>
  <c r="C298" i="86"/>
  <c r="C297" i="86"/>
  <c r="J284" i="86"/>
  <c r="J282" i="86"/>
  <c r="C280" i="86"/>
  <c r="C279" i="86"/>
  <c r="C278" i="86"/>
  <c r="C277" i="86"/>
  <c r="C276" i="86"/>
  <c r="J255" i="86"/>
  <c r="J253" i="86"/>
  <c r="C251" i="86"/>
  <c r="C250" i="86"/>
  <c r="C249" i="86"/>
  <c r="C248" i="86"/>
  <c r="C247" i="86"/>
  <c r="J243" i="86"/>
  <c r="J235" i="86"/>
  <c r="J233" i="86"/>
  <c r="C231" i="86"/>
  <c r="C230" i="86"/>
  <c r="C229" i="86"/>
  <c r="C228" i="86"/>
  <c r="C227" i="86"/>
  <c r="J222" i="86"/>
  <c r="J214" i="86"/>
  <c r="J212" i="86"/>
  <c r="C210" i="86"/>
  <c r="C209" i="86"/>
  <c r="C208" i="86"/>
  <c r="C207" i="86"/>
  <c r="C206" i="86"/>
  <c r="J202" i="86"/>
  <c r="J194" i="86"/>
  <c r="J192" i="86"/>
  <c r="C190" i="86"/>
  <c r="C189" i="86"/>
  <c r="C188" i="86"/>
  <c r="C187" i="86"/>
  <c r="C186" i="86"/>
  <c r="J174" i="86"/>
  <c r="J172" i="86"/>
  <c r="C170" i="86"/>
  <c r="C169" i="86"/>
  <c r="C168" i="86"/>
  <c r="C167" i="86"/>
  <c r="C166" i="86"/>
  <c r="J161" i="86"/>
  <c r="J153" i="86"/>
  <c r="J151" i="86"/>
  <c r="C149" i="86"/>
  <c r="C148" i="86"/>
  <c r="C147" i="86"/>
  <c r="C146" i="86"/>
  <c r="C145" i="86"/>
  <c r="J140" i="86"/>
  <c r="J127" i="86"/>
  <c r="J125" i="86"/>
  <c r="J112" i="86"/>
  <c r="J110" i="86"/>
  <c r="C108" i="86"/>
  <c r="C107" i="86"/>
  <c r="C106" i="86"/>
  <c r="C105" i="86"/>
  <c r="C104" i="86"/>
  <c r="J101" i="86"/>
  <c r="J93" i="86"/>
  <c r="J91" i="86"/>
  <c r="C89" i="86"/>
  <c r="C88" i="86"/>
  <c r="C87" i="86"/>
  <c r="C86" i="86"/>
  <c r="C85" i="86"/>
  <c r="J82" i="86"/>
  <c r="J74" i="86"/>
  <c r="J72" i="86"/>
  <c r="C70" i="86"/>
  <c r="C69" i="86"/>
  <c r="C68" i="86"/>
  <c r="C67" i="86"/>
  <c r="C66" i="86"/>
  <c r="J163" i="86"/>
  <c r="J63" i="86"/>
  <c r="J55" i="86"/>
  <c r="J53" i="86"/>
  <c r="C51" i="86"/>
  <c r="C50" i="86"/>
  <c r="C49" i="86"/>
  <c r="C48" i="86"/>
  <c r="C47" i="86"/>
  <c r="J44" i="86"/>
  <c r="J36" i="86"/>
  <c r="J34" i="86"/>
  <c r="C32" i="86"/>
  <c r="C31" i="86"/>
  <c r="C30" i="86"/>
  <c r="C29" i="86"/>
  <c r="C28" i="86"/>
  <c r="J663" i="86"/>
  <c r="J25" i="86"/>
  <c r="J27" i="86" s="1"/>
  <c r="E18" i="86"/>
  <c r="E17" i="86"/>
  <c r="J932" i="85"/>
  <c r="J928" i="85"/>
  <c r="J924" i="85"/>
  <c r="J920" i="85"/>
  <c r="J916" i="85"/>
  <c r="J912" i="85"/>
  <c r="J908" i="85"/>
  <c r="J904" i="85"/>
  <c r="J890" i="85"/>
  <c r="J886" i="85"/>
  <c r="J882" i="85"/>
  <c r="J878" i="85"/>
  <c r="J874" i="85"/>
  <c r="J870" i="85"/>
  <c r="J866" i="85"/>
  <c r="J862" i="85"/>
  <c r="J858" i="85"/>
  <c r="J854" i="85"/>
  <c r="J850" i="85"/>
  <c r="J846" i="85"/>
  <c r="J842" i="85"/>
  <c r="J838" i="85"/>
  <c r="J834" i="85"/>
  <c r="J770" i="85"/>
  <c r="J769" i="85"/>
  <c r="J768" i="85"/>
  <c r="J767" i="85"/>
  <c r="J766" i="85"/>
  <c r="J765" i="85"/>
  <c r="J764" i="85"/>
  <c r="J763" i="85"/>
  <c r="J762" i="85"/>
  <c r="J755" i="85"/>
  <c r="J754" i="85"/>
  <c r="J753" i="85"/>
  <c r="J752" i="85"/>
  <c r="J751" i="85"/>
  <c r="J750" i="85"/>
  <c r="J749" i="85"/>
  <c r="J748" i="85"/>
  <c r="J747" i="85"/>
  <c r="J740" i="85"/>
  <c r="J739" i="85"/>
  <c r="J738" i="85"/>
  <c r="J737" i="85"/>
  <c r="J736" i="85"/>
  <c r="J735" i="85"/>
  <c r="J734" i="85"/>
  <c r="J733" i="85"/>
  <c r="J732" i="85"/>
  <c r="J725" i="85"/>
  <c r="J724" i="85"/>
  <c r="J723" i="85"/>
  <c r="J722" i="85"/>
  <c r="J721" i="85"/>
  <c r="J720" i="85"/>
  <c r="J719" i="85"/>
  <c r="J718" i="85"/>
  <c r="J717" i="85"/>
  <c r="J675" i="85"/>
  <c r="J673" i="85"/>
  <c r="C671" i="85"/>
  <c r="C670" i="85"/>
  <c r="C669" i="85"/>
  <c r="C668" i="85"/>
  <c r="C667" i="85"/>
  <c r="J661" i="85"/>
  <c r="J653" i="85"/>
  <c r="J651" i="85"/>
  <c r="C649" i="85"/>
  <c r="C648" i="85"/>
  <c r="C647" i="85"/>
  <c r="C646" i="85"/>
  <c r="C645" i="85"/>
  <c r="J640" i="85"/>
  <c r="J644" i="85" s="1"/>
  <c r="J631" i="85"/>
  <c r="J629" i="85"/>
  <c r="C627" i="85"/>
  <c r="C626" i="85"/>
  <c r="C625" i="85"/>
  <c r="C624" i="85"/>
  <c r="C623" i="85"/>
  <c r="J619" i="85"/>
  <c r="J622" i="85" s="1"/>
  <c r="C611" i="85"/>
  <c r="C610" i="85"/>
  <c r="C609" i="85"/>
  <c r="C608" i="85"/>
  <c r="C607" i="85"/>
  <c r="J606" i="85"/>
  <c r="J615" i="85" s="1"/>
  <c r="J597" i="85"/>
  <c r="C595" i="85"/>
  <c r="C594" i="85"/>
  <c r="C593" i="85"/>
  <c r="C592" i="85"/>
  <c r="C591" i="85"/>
  <c r="J590" i="85"/>
  <c r="J581" i="85"/>
  <c r="J579" i="85"/>
  <c r="C577" i="85"/>
  <c r="C576" i="85"/>
  <c r="C575" i="85"/>
  <c r="C574" i="85"/>
  <c r="C573" i="85"/>
  <c r="J568" i="85"/>
  <c r="J572" i="85" s="1"/>
  <c r="J558" i="85"/>
  <c r="J556" i="85"/>
  <c r="C554" i="85"/>
  <c r="C553" i="85"/>
  <c r="C552" i="85"/>
  <c r="C551" i="85"/>
  <c r="C550" i="85"/>
  <c r="J546" i="85"/>
  <c r="J533" i="85"/>
  <c r="C531" i="85"/>
  <c r="C530" i="85"/>
  <c r="C529" i="85"/>
  <c r="C528" i="85"/>
  <c r="C527" i="85"/>
  <c r="J526" i="85"/>
  <c r="J516" i="85"/>
  <c r="C514" i="85"/>
  <c r="C513" i="85"/>
  <c r="C512" i="85"/>
  <c r="C511" i="85"/>
  <c r="C510" i="85"/>
  <c r="J509" i="85"/>
  <c r="J500" i="85"/>
  <c r="C498" i="85"/>
  <c r="C497" i="85"/>
  <c r="C496" i="85"/>
  <c r="C495" i="85"/>
  <c r="C494" i="85"/>
  <c r="J493" i="85"/>
  <c r="C484" i="85"/>
  <c r="C483" i="85"/>
  <c r="C482" i="85"/>
  <c r="C481" i="85"/>
  <c r="C480" i="85"/>
  <c r="J479" i="85"/>
  <c r="J488" i="85" s="1"/>
  <c r="C467" i="85"/>
  <c r="C466" i="85"/>
  <c r="C465" i="85"/>
  <c r="C464" i="85"/>
  <c r="C463" i="85"/>
  <c r="J462" i="85"/>
  <c r="J473" i="85" s="1"/>
  <c r="J453" i="85"/>
  <c r="C451" i="85"/>
  <c r="C450" i="85"/>
  <c r="C449" i="85"/>
  <c r="C448" i="85"/>
  <c r="C447" i="85"/>
  <c r="J446" i="85"/>
  <c r="J436" i="85"/>
  <c r="C434" i="85"/>
  <c r="C433" i="85"/>
  <c r="C432" i="85"/>
  <c r="C431" i="85"/>
  <c r="C430" i="85"/>
  <c r="J429" i="85"/>
  <c r="C414" i="85"/>
  <c r="C413" i="85"/>
  <c r="C412" i="85"/>
  <c r="C411" i="85"/>
  <c r="C410" i="85"/>
  <c r="J409" i="85"/>
  <c r="J418" i="85" s="1"/>
  <c r="C400" i="85"/>
  <c r="C399" i="85"/>
  <c r="C398" i="85"/>
  <c r="C397" i="85"/>
  <c r="C396" i="85"/>
  <c r="J381" i="85"/>
  <c r="J383" i="85" s="1"/>
  <c r="C380" i="85"/>
  <c r="C379" i="85"/>
  <c r="C378" i="85"/>
  <c r="C377" i="85"/>
  <c r="C376" i="85"/>
  <c r="J363" i="85"/>
  <c r="C361" i="85"/>
  <c r="C360" i="85"/>
  <c r="C359" i="85"/>
  <c r="C358" i="85"/>
  <c r="C357" i="85"/>
  <c r="J355" i="85"/>
  <c r="J356" i="85" s="1"/>
  <c r="J341" i="85"/>
  <c r="J342" i="85" s="1"/>
  <c r="J345" i="85" s="1"/>
  <c r="C339" i="85"/>
  <c r="C338" i="85"/>
  <c r="C337" i="85"/>
  <c r="C336" i="85"/>
  <c r="C335" i="85"/>
  <c r="J322" i="85"/>
  <c r="C320" i="85"/>
  <c r="C319" i="85"/>
  <c r="C318" i="85"/>
  <c r="C317" i="85"/>
  <c r="C316" i="85"/>
  <c r="J303" i="85"/>
  <c r="C301" i="85"/>
  <c r="C300" i="85"/>
  <c r="C299" i="85"/>
  <c r="C298" i="85"/>
  <c r="C297" i="85"/>
  <c r="J284" i="85"/>
  <c r="J282" i="85"/>
  <c r="C280" i="85"/>
  <c r="C279" i="85"/>
  <c r="C278" i="85"/>
  <c r="C277" i="85"/>
  <c r="C276" i="85"/>
  <c r="J255" i="85"/>
  <c r="J253" i="85"/>
  <c r="C251" i="85"/>
  <c r="C250" i="85"/>
  <c r="C249" i="85"/>
  <c r="C248" i="85"/>
  <c r="C247" i="85"/>
  <c r="J243" i="85"/>
  <c r="J235" i="85"/>
  <c r="J233" i="85"/>
  <c r="C231" i="85"/>
  <c r="C230" i="85"/>
  <c r="C229" i="85"/>
  <c r="C228" i="85"/>
  <c r="C227" i="85"/>
  <c r="J222" i="85"/>
  <c r="J214" i="85"/>
  <c r="J212" i="85"/>
  <c r="C210" i="85"/>
  <c r="C209" i="85"/>
  <c r="C208" i="85"/>
  <c r="C207" i="85"/>
  <c r="C206" i="85"/>
  <c r="J202" i="85"/>
  <c r="J205" i="85" s="1"/>
  <c r="J194" i="85"/>
  <c r="J192" i="85"/>
  <c r="C190" i="85"/>
  <c r="C189" i="85"/>
  <c r="C188" i="85"/>
  <c r="C187" i="85"/>
  <c r="C186" i="85"/>
  <c r="J271" i="85"/>
  <c r="J174" i="85"/>
  <c r="J172" i="85"/>
  <c r="C170" i="85"/>
  <c r="C169" i="85"/>
  <c r="C168" i="85"/>
  <c r="C167" i="85"/>
  <c r="C166" i="85"/>
  <c r="J161" i="85"/>
  <c r="J153" i="85"/>
  <c r="J151" i="85"/>
  <c r="C149" i="85"/>
  <c r="C148" i="85"/>
  <c r="C147" i="85"/>
  <c r="C146" i="85"/>
  <c r="C145" i="85"/>
  <c r="J140" i="85"/>
  <c r="J127" i="85"/>
  <c r="J125" i="85"/>
  <c r="J112" i="85"/>
  <c r="J110" i="85"/>
  <c r="C108" i="85"/>
  <c r="C107" i="85"/>
  <c r="C106" i="85"/>
  <c r="C105" i="85"/>
  <c r="C104" i="85"/>
  <c r="J101" i="85"/>
  <c r="J224" i="85" s="1"/>
  <c r="J93" i="85"/>
  <c r="J91" i="85"/>
  <c r="C89" i="85"/>
  <c r="C88" i="85"/>
  <c r="C87" i="85"/>
  <c r="C86" i="85"/>
  <c r="C85" i="85"/>
  <c r="J82" i="85"/>
  <c r="J74" i="85"/>
  <c r="J72" i="85"/>
  <c r="C70" i="85"/>
  <c r="C69" i="85"/>
  <c r="C68" i="85"/>
  <c r="C67" i="85"/>
  <c r="C66" i="85"/>
  <c r="J63" i="85"/>
  <c r="J55" i="85"/>
  <c r="J53" i="85"/>
  <c r="C51" i="85"/>
  <c r="C50" i="85"/>
  <c r="C49" i="85"/>
  <c r="C48" i="85"/>
  <c r="C47" i="85"/>
  <c r="J44" i="85"/>
  <c r="J46" i="85" s="1"/>
  <c r="J36" i="85"/>
  <c r="J34" i="85"/>
  <c r="C32" i="85"/>
  <c r="C31" i="85"/>
  <c r="C30" i="85"/>
  <c r="C29" i="85"/>
  <c r="C28" i="85"/>
  <c r="J663" i="85"/>
  <c r="J25" i="85"/>
  <c r="J27" i="85" s="1"/>
  <c r="E18" i="85"/>
  <c r="E17" i="85"/>
  <c r="J457" i="91" l="1"/>
  <c r="J504" i="86"/>
  <c r="J601" i="86"/>
  <c r="J131" i="91"/>
  <c r="J657" i="91"/>
  <c r="J440" i="87"/>
  <c r="J601" i="87"/>
  <c r="J218" i="85"/>
  <c r="J367" i="90"/>
  <c r="J799" i="89"/>
  <c r="J537" i="85"/>
  <c r="J520" i="86"/>
  <c r="J537" i="87"/>
  <c r="J473" i="90"/>
  <c r="J779" i="91"/>
  <c r="J585" i="90"/>
  <c r="J473" i="88"/>
  <c r="J457" i="88"/>
  <c r="J367" i="89"/>
  <c r="J440" i="89"/>
  <c r="J601" i="89"/>
  <c r="J40" i="93"/>
  <c r="J59" i="85"/>
  <c r="J657" i="85"/>
  <c r="J504" i="91"/>
  <c r="J504" i="88"/>
  <c r="J59" i="91"/>
  <c r="J635" i="92"/>
  <c r="J218" i="93"/>
  <c r="J666" i="86"/>
  <c r="J679" i="86" s="1"/>
  <c r="J226" i="87"/>
  <c r="J239" i="87" s="1"/>
  <c r="J226" i="91"/>
  <c r="J239" i="91" s="1"/>
  <c r="J144" i="93"/>
  <c r="J157" i="93" s="1"/>
  <c r="J795" i="93"/>
  <c r="J779" i="93"/>
  <c r="J791" i="93"/>
  <c r="J775" i="93"/>
  <c r="J635" i="93"/>
  <c r="J520" i="93"/>
  <c r="J504" i="93"/>
  <c r="J473" i="93"/>
  <c r="J457" i="93"/>
  <c r="J440" i="93"/>
  <c r="J367" i="93"/>
  <c r="J807" i="92"/>
  <c r="J791" i="92"/>
  <c r="J779" i="92"/>
  <c r="J775" i="92"/>
  <c r="J585" i="92"/>
  <c r="J537" i="92"/>
  <c r="J520" i="92"/>
  <c r="J440" i="92"/>
  <c r="J40" i="92"/>
  <c r="J795" i="91"/>
  <c r="J601" i="91"/>
  <c r="J585" i="91"/>
  <c r="J537" i="91"/>
  <c r="J520" i="91"/>
  <c r="J440" i="91"/>
  <c r="J367" i="91"/>
  <c r="J601" i="90"/>
  <c r="J537" i="90"/>
  <c r="J520" i="90"/>
  <c r="J457" i="90"/>
  <c r="J440" i="90"/>
  <c r="J791" i="89"/>
  <c r="J807" i="89"/>
  <c r="J775" i="89"/>
  <c r="J803" i="89"/>
  <c r="J787" i="89"/>
  <c r="J585" i="89"/>
  <c r="J537" i="89"/>
  <c r="J520" i="89"/>
  <c r="J504" i="89"/>
  <c r="J457" i="89"/>
  <c r="J131" i="89"/>
  <c r="J601" i="88"/>
  <c r="J537" i="88"/>
  <c r="J520" i="88"/>
  <c r="J440" i="88"/>
  <c r="J367" i="88"/>
  <c r="J799" i="87"/>
  <c r="J783" i="87"/>
  <c r="J803" i="87"/>
  <c r="J787" i="87"/>
  <c r="J585" i="87"/>
  <c r="J504" i="87"/>
  <c r="J367" i="87"/>
  <c r="J131" i="87"/>
  <c r="J585" i="86"/>
  <c r="J537" i="86"/>
  <c r="J473" i="86"/>
  <c r="J457" i="86"/>
  <c r="J440" i="86"/>
  <c r="J367" i="86"/>
  <c r="J799" i="85"/>
  <c r="J783" i="85"/>
  <c r="J601" i="85"/>
  <c r="J520" i="85"/>
  <c r="J457" i="85"/>
  <c r="J440" i="85"/>
  <c r="J367" i="85"/>
  <c r="J131" i="85"/>
  <c r="J549" i="93"/>
  <c r="J562" i="93" s="1"/>
  <c r="J666" i="93"/>
  <c r="J679" i="93" s="1"/>
  <c r="J787" i="93"/>
  <c r="J803" i="93"/>
  <c r="J783" i="93"/>
  <c r="J799" i="93"/>
  <c r="J59" i="93"/>
  <c r="J84" i="93"/>
  <c r="J97" i="93" s="1"/>
  <c r="J537" i="93"/>
  <c r="J585" i="93"/>
  <c r="J601" i="93"/>
  <c r="J657" i="93"/>
  <c r="J807" i="93"/>
  <c r="J131" i="93"/>
  <c r="J144" i="92"/>
  <c r="J157" i="92" s="1"/>
  <c r="J246" i="92"/>
  <c r="J259" i="92" s="1"/>
  <c r="J457" i="92"/>
  <c r="J787" i="92"/>
  <c r="J803" i="92"/>
  <c r="J783" i="92"/>
  <c r="J799" i="92"/>
  <c r="J131" i="92"/>
  <c r="J795" i="92"/>
  <c r="J367" i="92"/>
  <c r="J473" i="92"/>
  <c r="J504" i="92"/>
  <c r="J562" i="92"/>
  <c r="J601" i="92"/>
  <c r="J27" i="91"/>
  <c r="J40" i="91" s="1"/>
  <c r="J103" i="91"/>
  <c r="J116" i="91" s="1"/>
  <c r="J783" i="91"/>
  <c r="J799" i="91"/>
  <c r="J787" i="91"/>
  <c r="J803" i="91"/>
  <c r="J473" i="91"/>
  <c r="J666" i="91"/>
  <c r="J679" i="91" s="1"/>
  <c r="J775" i="91"/>
  <c r="J791" i="91"/>
  <c r="J807" i="91"/>
  <c r="J103" i="90"/>
  <c r="J116" i="90" s="1"/>
  <c r="J779" i="90"/>
  <c r="J795" i="90"/>
  <c r="J40" i="90"/>
  <c r="J226" i="90"/>
  <c r="J239" i="90" s="1"/>
  <c r="J131" i="90"/>
  <c r="J635" i="90"/>
  <c r="J783" i="90"/>
  <c r="J799" i="90"/>
  <c r="J787" i="90"/>
  <c r="J803" i="90"/>
  <c r="J59" i="90"/>
  <c r="J657" i="90"/>
  <c r="J775" i="90"/>
  <c r="J791" i="90"/>
  <c r="J807" i="90"/>
  <c r="J65" i="89"/>
  <c r="J78" i="89" s="1"/>
  <c r="J473" i="89"/>
  <c r="J666" i="89"/>
  <c r="J679" i="89" s="1"/>
  <c r="J562" i="89"/>
  <c r="J779" i="89"/>
  <c r="J795" i="89"/>
  <c r="J226" i="88"/>
  <c r="J239" i="88" s="1"/>
  <c r="J131" i="88"/>
  <c r="J783" i="88"/>
  <c r="J799" i="88"/>
  <c r="J657" i="88"/>
  <c r="J775" i="88"/>
  <c r="J791" i="88"/>
  <c r="J807" i="88"/>
  <c r="J787" i="88"/>
  <c r="J803" i="88"/>
  <c r="J562" i="88"/>
  <c r="J779" i="88"/>
  <c r="J795" i="88"/>
  <c r="J46" i="87"/>
  <c r="J59" i="87" s="1"/>
  <c r="J473" i="87"/>
  <c r="J457" i="87"/>
  <c r="J657" i="87"/>
  <c r="J775" i="87"/>
  <c r="J791" i="87"/>
  <c r="J807" i="87"/>
  <c r="J27" i="87"/>
  <c r="J40" i="87" s="1"/>
  <c r="J103" i="87"/>
  <c r="J116" i="87" s="1"/>
  <c r="J779" i="87"/>
  <c r="J795" i="87"/>
  <c r="J562" i="86"/>
  <c r="J657" i="86"/>
  <c r="J775" i="86"/>
  <c r="J791" i="86"/>
  <c r="J807" i="86"/>
  <c r="J787" i="86"/>
  <c r="J803" i="86"/>
  <c r="J131" i="86"/>
  <c r="J779" i="86"/>
  <c r="J795" i="86"/>
  <c r="J40" i="86"/>
  <c r="J635" i="86"/>
  <c r="J783" i="86"/>
  <c r="J799" i="86"/>
  <c r="J40" i="85"/>
  <c r="J585" i="85"/>
  <c r="J635" i="85"/>
  <c r="J779" i="85"/>
  <c r="J795" i="85"/>
  <c r="J775" i="85"/>
  <c r="J791" i="85"/>
  <c r="J807" i="85"/>
  <c r="J787" i="85"/>
  <c r="J803" i="85"/>
  <c r="J226" i="85"/>
  <c r="J239" i="85" s="1"/>
  <c r="J504" i="85"/>
  <c r="J103" i="93"/>
  <c r="J116" i="93" s="1"/>
  <c r="J224" i="93"/>
  <c r="J226" i="93"/>
  <c r="J239" i="93" s="1"/>
  <c r="J65" i="93"/>
  <c r="J78" i="93" s="1"/>
  <c r="J666" i="92"/>
  <c r="J679" i="92" s="1"/>
  <c r="J224" i="92"/>
  <c r="J103" i="92"/>
  <c r="J116" i="92" s="1"/>
  <c r="J657" i="92"/>
  <c r="J84" i="92"/>
  <c r="J97" i="92" s="1"/>
  <c r="J549" i="91"/>
  <c r="J562" i="91" s="1"/>
  <c r="J635" i="91"/>
  <c r="J165" i="91"/>
  <c r="J178" i="91" s="1"/>
  <c r="J65" i="91"/>
  <c r="J78" i="91" s="1"/>
  <c r="J666" i="90"/>
  <c r="J679" i="90" s="1"/>
  <c r="J165" i="90"/>
  <c r="J178" i="90" s="1"/>
  <c r="J65" i="90"/>
  <c r="J78" i="90" s="1"/>
  <c r="J142" i="89"/>
  <c r="J144" i="89" s="1"/>
  <c r="J157" i="89" s="1"/>
  <c r="J84" i="89"/>
  <c r="J97" i="89" s="1"/>
  <c r="J40" i="89"/>
  <c r="J635" i="89"/>
  <c r="J657" i="89"/>
  <c r="J165" i="89"/>
  <c r="J178" i="89" s="1"/>
  <c r="J40" i="88"/>
  <c r="J585" i="88"/>
  <c r="J666" i="88"/>
  <c r="J679" i="88" s="1"/>
  <c r="J142" i="88"/>
  <c r="J144" i="88" s="1"/>
  <c r="J157" i="88" s="1"/>
  <c r="J84" i="88"/>
  <c r="J97" i="88" s="1"/>
  <c r="J635" i="88"/>
  <c r="J103" i="88"/>
  <c r="J116" i="88" s="1"/>
  <c r="J165" i="88"/>
  <c r="J178" i="88" s="1"/>
  <c r="J65" i="88"/>
  <c r="J78" i="88" s="1"/>
  <c r="J635" i="87"/>
  <c r="J666" i="87"/>
  <c r="J679" i="87" s="1"/>
  <c r="J165" i="87"/>
  <c r="J178" i="87" s="1"/>
  <c r="J65" i="87"/>
  <c r="J78" i="87" s="1"/>
  <c r="J205" i="86"/>
  <c r="J218" i="86" s="1"/>
  <c r="J84" i="86"/>
  <c r="J97" i="86" s="1"/>
  <c r="J142" i="86"/>
  <c r="J165" i="86"/>
  <c r="J178" i="86" s="1"/>
  <c r="J65" i="86"/>
  <c r="J78" i="86" s="1"/>
  <c r="J163" i="85"/>
  <c r="J65" i="85"/>
  <c r="J78" i="85" s="1"/>
  <c r="J666" i="85"/>
  <c r="J679" i="85" s="1"/>
  <c r="J103" i="85"/>
  <c r="J116" i="85" s="1"/>
  <c r="J932" i="81"/>
  <c r="J928" i="81"/>
  <c r="J924" i="81"/>
  <c r="J920" i="81"/>
  <c r="J916" i="81"/>
  <c r="J912" i="81"/>
  <c r="J908" i="81"/>
  <c r="J904" i="81"/>
  <c r="J890" i="81"/>
  <c r="J886" i="81"/>
  <c r="J882" i="81"/>
  <c r="J878" i="81"/>
  <c r="J874" i="81"/>
  <c r="J870" i="81"/>
  <c r="J866" i="81"/>
  <c r="J862" i="81"/>
  <c r="J858" i="81"/>
  <c r="J854" i="81"/>
  <c r="J850" i="81"/>
  <c r="J846" i="81"/>
  <c r="J842" i="81"/>
  <c r="J838" i="81"/>
  <c r="J834" i="81"/>
  <c r="J770" i="81"/>
  <c r="J769" i="81"/>
  <c r="J768" i="81"/>
  <c r="J767" i="81"/>
  <c r="J766" i="81"/>
  <c r="J765" i="81"/>
  <c r="J764" i="81"/>
  <c r="J763" i="81"/>
  <c r="J762" i="81"/>
  <c r="J755" i="81"/>
  <c r="J754" i="81"/>
  <c r="J753" i="81"/>
  <c r="J752" i="81"/>
  <c r="J751" i="81"/>
  <c r="J750" i="81"/>
  <c r="J749" i="81"/>
  <c r="J748" i="81"/>
  <c r="J747" i="81"/>
  <c r="J740" i="81"/>
  <c r="J739" i="81"/>
  <c r="J738" i="81"/>
  <c r="J737" i="81"/>
  <c r="J736" i="81"/>
  <c r="J735" i="81"/>
  <c r="J734" i="81"/>
  <c r="J733" i="81"/>
  <c r="J732" i="81"/>
  <c r="J725" i="81"/>
  <c r="J724" i="81"/>
  <c r="J723" i="81"/>
  <c r="J722" i="81"/>
  <c r="J721" i="81"/>
  <c r="J720" i="81"/>
  <c r="J719" i="81"/>
  <c r="J718" i="81"/>
  <c r="J717" i="81"/>
  <c r="J675" i="81"/>
  <c r="J673" i="81"/>
  <c r="C671" i="81"/>
  <c r="C670" i="81"/>
  <c r="C669" i="81"/>
  <c r="C668" i="81"/>
  <c r="C667" i="81"/>
  <c r="J661" i="81"/>
  <c r="J653" i="81"/>
  <c r="J651" i="81"/>
  <c r="C649" i="81"/>
  <c r="C648" i="81"/>
  <c r="C647" i="81"/>
  <c r="C646" i="81"/>
  <c r="C645" i="81"/>
  <c r="J640" i="81"/>
  <c r="J644" i="81" s="1"/>
  <c r="J631" i="81"/>
  <c r="J629" i="81"/>
  <c r="C627" i="81"/>
  <c r="C626" i="81"/>
  <c r="C625" i="81"/>
  <c r="C624" i="81"/>
  <c r="C623" i="81"/>
  <c r="J619" i="81"/>
  <c r="J622" i="81" s="1"/>
  <c r="C611" i="81"/>
  <c r="C610" i="81"/>
  <c r="C609" i="81"/>
  <c r="C608" i="81"/>
  <c r="C607" i="81"/>
  <c r="J606" i="81"/>
  <c r="J615" i="81" s="1"/>
  <c r="J597" i="81"/>
  <c r="C595" i="81"/>
  <c r="C594" i="81"/>
  <c r="C593" i="81"/>
  <c r="C592" i="81"/>
  <c r="C591" i="81"/>
  <c r="J590" i="81"/>
  <c r="J581" i="81"/>
  <c r="J579" i="81"/>
  <c r="C577" i="81"/>
  <c r="C576" i="81"/>
  <c r="C575" i="81"/>
  <c r="C574" i="81"/>
  <c r="C573" i="81"/>
  <c r="J568" i="81"/>
  <c r="J572" i="81" s="1"/>
  <c r="J558" i="81"/>
  <c r="J556" i="81"/>
  <c r="C554" i="81"/>
  <c r="C553" i="81"/>
  <c r="C552" i="81"/>
  <c r="C551" i="81"/>
  <c r="C550" i="81"/>
  <c r="J546" i="81"/>
  <c r="J533" i="81"/>
  <c r="C531" i="81"/>
  <c r="C530" i="81"/>
  <c r="C529" i="81"/>
  <c r="C528" i="81"/>
  <c r="C527" i="81"/>
  <c r="J526" i="81"/>
  <c r="J516" i="81"/>
  <c r="C514" i="81"/>
  <c r="C513" i="81"/>
  <c r="C512" i="81"/>
  <c r="C511" i="81"/>
  <c r="C510" i="81"/>
  <c r="J509" i="81"/>
  <c r="J500" i="81"/>
  <c r="C498" i="81"/>
  <c r="C497" i="81"/>
  <c r="C496" i="81"/>
  <c r="C495" i="81"/>
  <c r="C494" i="81"/>
  <c r="J493" i="81"/>
  <c r="C484" i="81"/>
  <c r="C483" i="81"/>
  <c r="C482" i="81"/>
  <c r="C481" i="81"/>
  <c r="C480" i="81"/>
  <c r="J479" i="81"/>
  <c r="J488" i="81" s="1"/>
  <c r="J469" i="81"/>
  <c r="C467" i="81"/>
  <c r="C466" i="81"/>
  <c r="C465" i="81"/>
  <c r="C464" i="81"/>
  <c r="C463" i="81"/>
  <c r="J462" i="81"/>
  <c r="J453" i="81"/>
  <c r="C451" i="81"/>
  <c r="C450" i="81"/>
  <c r="C449" i="81"/>
  <c r="C448" i="81"/>
  <c r="C447" i="81"/>
  <c r="J446" i="81"/>
  <c r="J436" i="81"/>
  <c r="C434" i="81"/>
  <c r="C433" i="81"/>
  <c r="C432" i="81"/>
  <c r="C431" i="81"/>
  <c r="C430" i="81"/>
  <c r="C414" i="81"/>
  <c r="C413" i="81"/>
  <c r="C412" i="81"/>
  <c r="C411" i="81"/>
  <c r="C410" i="81"/>
  <c r="J409" i="81"/>
  <c r="J418" i="81" s="1"/>
  <c r="C400" i="81"/>
  <c r="C399" i="81"/>
  <c r="C398" i="81"/>
  <c r="C397" i="81"/>
  <c r="C396" i="81"/>
  <c r="J381" i="81"/>
  <c r="J383" i="81" s="1"/>
  <c r="C380" i="81"/>
  <c r="C379" i="81"/>
  <c r="C378" i="81"/>
  <c r="C377" i="81"/>
  <c r="C376" i="81"/>
  <c r="J363" i="81"/>
  <c r="C361" i="81"/>
  <c r="C360" i="81"/>
  <c r="C359" i="81"/>
  <c r="C358" i="81"/>
  <c r="C357" i="81"/>
  <c r="J355" i="81"/>
  <c r="J356" i="81" s="1"/>
  <c r="J341" i="81"/>
  <c r="J342" i="81" s="1"/>
  <c r="C339" i="81"/>
  <c r="C338" i="81"/>
  <c r="C337" i="81"/>
  <c r="C336" i="81"/>
  <c r="C335" i="81"/>
  <c r="J322" i="81"/>
  <c r="C320" i="81"/>
  <c r="C319" i="81"/>
  <c r="C318" i="81"/>
  <c r="C317" i="81"/>
  <c r="C316" i="81"/>
  <c r="J303" i="81"/>
  <c r="C301" i="81"/>
  <c r="C300" i="81"/>
  <c r="C299" i="81"/>
  <c r="C298" i="81"/>
  <c r="C297" i="81"/>
  <c r="J284" i="81"/>
  <c r="J282" i="81"/>
  <c r="C280" i="81"/>
  <c r="C279" i="81"/>
  <c r="C278" i="81"/>
  <c r="C277" i="81"/>
  <c r="C276" i="81"/>
  <c r="J255" i="81"/>
  <c r="J253" i="81"/>
  <c r="C251" i="81"/>
  <c r="C250" i="81"/>
  <c r="C249" i="81"/>
  <c r="C248" i="81"/>
  <c r="C247" i="81"/>
  <c r="J243" i="81"/>
  <c r="J235" i="81"/>
  <c r="J233" i="81"/>
  <c r="C231" i="81"/>
  <c r="C230" i="81"/>
  <c r="C229" i="81"/>
  <c r="C228" i="81"/>
  <c r="C227" i="81"/>
  <c r="J222" i="81"/>
  <c r="J214" i="81"/>
  <c r="J212" i="81"/>
  <c r="C210" i="81"/>
  <c r="C209" i="81"/>
  <c r="C208" i="81"/>
  <c r="C207" i="81"/>
  <c r="C206" i="81"/>
  <c r="J202" i="81"/>
  <c r="J194" i="81"/>
  <c r="J192" i="81"/>
  <c r="C190" i="81"/>
  <c r="C189" i="81"/>
  <c r="C188" i="81"/>
  <c r="C187" i="81"/>
  <c r="C186" i="81"/>
  <c r="J174" i="81"/>
  <c r="J172" i="81"/>
  <c r="C170" i="81"/>
  <c r="C169" i="81"/>
  <c r="C168" i="81"/>
  <c r="C167" i="81"/>
  <c r="C166" i="81"/>
  <c r="J161" i="81"/>
  <c r="J153" i="81"/>
  <c r="J151" i="81"/>
  <c r="C149" i="81"/>
  <c r="C148" i="81"/>
  <c r="C147" i="81"/>
  <c r="C146" i="81"/>
  <c r="C145" i="81"/>
  <c r="J140" i="81"/>
  <c r="J127" i="81"/>
  <c r="J125" i="81"/>
  <c r="J112" i="81"/>
  <c r="J110" i="81"/>
  <c r="C108" i="81"/>
  <c r="C107" i="81"/>
  <c r="C106" i="81"/>
  <c r="C105" i="81"/>
  <c r="C104" i="81"/>
  <c r="J101" i="81"/>
  <c r="J224" i="81" s="1"/>
  <c r="J93" i="81"/>
  <c r="J91" i="81"/>
  <c r="C89" i="81"/>
  <c r="C88" i="81"/>
  <c r="C87" i="81"/>
  <c r="C86" i="81"/>
  <c r="C85" i="81"/>
  <c r="J82" i="81"/>
  <c r="J74" i="81"/>
  <c r="J72" i="81"/>
  <c r="C70" i="81"/>
  <c r="C69" i="81"/>
  <c r="C68" i="81"/>
  <c r="C67" i="81"/>
  <c r="C66" i="81"/>
  <c r="J63" i="81"/>
  <c r="J163" i="81" s="1"/>
  <c r="J55" i="81"/>
  <c r="J53" i="81"/>
  <c r="C51" i="81"/>
  <c r="C50" i="81"/>
  <c r="C49" i="81"/>
  <c r="C48" i="81"/>
  <c r="C47" i="81"/>
  <c r="J44" i="81"/>
  <c r="J36" i="81"/>
  <c r="J34" i="81"/>
  <c r="C32" i="81"/>
  <c r="C31" i="81"/>
  <c r="C30" i="81"/>
  <c r="C29" i="81"/>
  <c r="C28" i="81"/>
  <c r="J663" i="81"/>
  <c r="J25" i="81"/>
  <c r="E18" i="81"/>
  <c r="E17" i="81"/>
  <c r="J601" i="81" l="1"/>
  <c r="J537" i="81"/>
  <c r="J539" i="90"/>
  <c r="J539" i="85"/>
  <c r="J539" i="88"/>
  <c r="J681" i="92"/>
  <c r="J539" i="93"/>
  <c r="J133" i="93"/>
  <c r="J539" i="92"/>
  <c r="J539" i="91"/>
  <c r="J681" i="91"/>
  <c r="J539" i="89"/>
  <c r="J681" i="89"/>
  <c r="J539" i="87"/>
  <c r="J681" i="86"/>
  <c r="J539" i="86"/>
  <c r="J791" i="81"/>
  <c r="J807" i="81"/>
  <c r="J799" i="81"/>
  <c r="J783" i="81"/>
  <c r="J775" i="81"/>
  <c r="J803" i="81"/>
  <c r="J787" i="81"/>
  <c r="J779" i="81"/>
  <c r="J520" i="81"/>
  <c r="J504" i="81"/>
  <c r="J457" i="81"/>
  <c r="J367" i="81"/>
  <c r="J131" i="81"/>
  <c r="J246" i="93"/>
  <c r="J259" i="93" s="1"/>
  <c r="J163" i="93"/>
  <c r="J271" i="93"/>
  <c r="J205" i="92"/>
  <c r="J218" i="92" s="1"/>
  <c r="J46" i="92"/>
  <c r="J59" i="92" s="1"/>
  <c r="J163" i="92"/>
  <c r="J226" i="92"/>
  <c r="J239" i="92" s="1"/>
  <c r="J205" i="91"/>
  <c r="J218" i="91" s="1"/>
  <c r="J246" i="91"/>
  <c r="J259" i="91" s="1"/>
  <c r="J142" i="91"/>
  <c r="J205" i="90"/>
  <c r="J218" i="90" s="1"/>
  <c r="J142" i="90"/>
  <c r="J549" i="90"/>
  <c r="J562" i="90" s="1"/>
  <c r="J681" i="90" s="1"/>
  <c r="J246" i="90"/>
  <c r="J259" i="90" s="1"/>
  <c r="J224" i="89"/>
  <c r="J46" i="89"/>
  <c r="J59" i="89" s="1"/>
  <c r="J246" i="89"/>
  <c r="J259" i="89" s="1"/>
  <c r="J205" i="89"/>
  <c r="J218" i="89" s="1"/>
  <c r="J103" i="89"/>
  <c r="J116" i="89" s="1"/>
  <c r="J246" i="88"/>
  <c r="J259" i="88" s="1"/>
  <c r="J681" i="88"/>
  <c r="J46" i="88"/>
  <c r="J59" i="88" s="1"/>
  <c r="J133" i="88" s="1"/>
  <c r="J205" i="88"/>
  <c r="J218" i="88" s="1"/>
  <c r="J142" i="87"/>
  <c r="J246" i="87"/>
  <c r="J259" i="87" s="1"/>
  <c r="J205" i="87"/>
  <c r="J218" i="87" s="1"/>
  <c r="J549" i="87"/>
  <c r="J562" i="87" s="1"/>
  <c r="J681" i="87" s="1"/>
  <c r="J46" i="86"/>
  <c r="J59" i="86" s="1"/>
  <c r="J144" i="86"/>
  <c r="J157" i="86" s="1"/>
  <c r="J246" i="86"/>
  <c r="J259" i="86" s="1"/>
  <c r="J224" i="86"/>
  <c r="J549" i="85"/>
  <c r="J562" i="85" s="1"/>
  <c r="J681" i="85" s="1"/>
  <c r="J246" i="85"/>
  <c r="J259" i="85" s="1"/>
  <c r="J165" i="85"/>
  <c r="J178" i="85" s="1"/>
  <c r="J142" i="85"/>
  <c r="J345" i="81"/>
  <c r="J473" i="81"/>
  <c r="J585" i="81"/>
  <c r="J429" i="81"/>
  <c r="J440" i="81" s="1"/>
  <c r="J795" i="81"/>
  <c r="J681" i="93"/>
  <c r="J65" i="92"/>
  <c r="J78" i="92" s="1"/>
  <c r="J84" i="91"/>
  <c r="J97" i="91" s="1"/>
  <c r="J133" i="91" s="1"/>
  <c r="J84" i="90"/>
  <c r="J97" i="90" s="1"/>
  <c r="J133" i="90" s="1"/>
  <c r="J84" i="87"/>
  <c r="J97" i="87" s="1"/>
  <c r="J133" i="87" s="1"/>
  <c r="J103" i="86"/>
  <c r="J116" i="86" s="1"/>
  <c r="J84" i="85"/>
  <c r="J97" i="85" s="1"/>
  <c r="J133" i="85" s="1"/>
  <c r="J666" i="81"/>
  <c r="J679" i="81" s="1"/>
  <c r="J226" i="81"/>
  <c r="J239" i="81" s="1"/>
  <c r="J103" i="81"/>
  <c r="J116" i="81" s="1"/>
  <c r="J27" i="81"/>
  <c r="J40" i="81" s="1"/>
  <c r="J635" i="81"/>
  <c r="J657" i="81"/>
  <c r="J165" i="81"/>
  <c r="J178" i="81" s="1"/>
  <c r="J65" i="81"/>
  <c r="J78" i="81" s="1"/>
  <c r="J133" i="86" l="1"/>
  <c r="J133" i="89"/>
  <c r="J539" i="81"/>
  <c r="J165" i="93"/>
  <c r="J178" i="93" s="1"/>
  <c r="J165" i="92"/>
  <c r="J178" i="92" s="1"/>
  <c r="J133" i="92"/>
  <c r="J144" i="91"/>
  <c r="J157" i="91" s="1"/>
  <c r="J144" i="90"/>
  <c r="J157" i="90" s="1"/>
  <c r="J226" i="89"/>
  <c r="J239" i="89" s="1"/>
  <c r="J144" i="87"/>
  <c r="J157" i="87" s="1"/>
  <c r="J226" i="86"/>
  <c r="J239" i="86" s="1"/>
  <c r="J144" i="85"/>
  <c r="J157" i="85" s="1"/>
  <c r="J246" i="81"/>
  <c r="J259" i="81" s="1"/>
  <c r="J46" i="81"/>
  <c r="J59" i="81" s="1"/>
  <c r="J142" i="81"/>
  <c r="J205" i="81"/>
  <c r="J218" i="81" s="1"/>
  <c r="J549" i="81"/>
  <c r="J562" i="81" s="1"/>
  <c r="J681" i="81" s="1"/>
  <c r="J84" i="81"/>
  <c r="J97" i="81" s="1"/>
  <c r="J133" i="81" l="1"/>
  <c r="J144" i="81"/>
  <c r="J157" i="81" s="1"/>
  <c r="J571" i="32" l="1"/>
  <c r="J508" i="32"/>
  <c r="J589" i="32" s="1"/>
  <c r="J408" i="32"/>
  <c r="J45" i="32"/>
  <c r="J184" i="32"/>
  <c r="J102" i="32"/>
  <c r="J83" i="32"/>
  <c r="J26" i="32"/>
  <c r="J245" i="21"/>
  <c r="J184" i="21"/>
  <c r="J102" i="21"/>
  <c r="J83" i="21"/>
  <c r="J64" i="21"/>
  <c r="J571" i="21" s="1"/>
  <c r="J45" i="21"/>
  <c r="J26" i="21"/>
  <c r="J605" i="18"/>
  <c r="J589" i="18"/>
  <c r="J571" i="18"/>
  <c r="J508" i="18"/>
  <c r="J245" i="18"/>
  <c r="J45" i="18"/>
  <c r="J64" i="18" s="1"/>
  <c r="J184" i="18" s="1"/>
  <c r="J26" i="18"/>
  <c r="J478" i="30" l="1"/>
  <c r="J355" i="36"/>
  <c r="J355" i="33"/>
  <c r="J355" i="32"/>
  <c r="J355" i="31"/>
  <c r="J355" i="30"/>
  <c r="J355" i="29"/>
  <c r="J355" i="28"/>
  <c r="J355" i="27"/>
  <c r="J355" i="26"/>
  <c r="J355" i="25"/>
  <c r="J355" i="24"/>
  <c r="J355" i="21"/>
  <c r="J355" i="19"/>
  <c r="J355" i="18"/>
  <c r="J355" i="17"/>
  <c r="J355" i="9"/>
  <c r="G59" i="4" l="1"/>
  <c r="J355" i="34" s="1"/>
  <c r="J354" i="93" l="1"/>
  <c r="J182" i="93"/>
  <c r="J185" i="93" s="1"/>
  <c r="J198" i="93" s="1"/>
  <c r="J261" i="93" s="1"/>
  <c r="J182" i="92"/>
  <c r="J354" i="91"/>
  <c r="J182" i="90"/>
  <c r="J354" i="89"/>
  <c r="J182" i="87"/>
  <c r="J354" i="92"/>
  <c r="J182" i="88"/>
  <c r="J182" i="86"/>
  <c r="J182" i="91"/>
  <c r="J354" i="90"/>
  <c r="J354" i="87"/>
  <c r="J182" i="89"/>
  <c r="J354" i="88"/>
  <c r="J354" i="86"/>
  <c r="J182" i="85"/>
  <c r="J185" i="85" s="1"/>
  <c r="J198" i="85" s="1"/>
  <c r="J261" i="85" s="1"/>
  <c r="J354" i="85"/>
  <c r="J354" i="81"/>
  <c r="J182" i="81"/>
  <c r="G100" i="4"/>
  <c r="J355" i="20"/>
  <c r="C595" i="36"/>
  <c r="C594" i="36"/>
  <c r="C593" i="36"/>
  <c r="C592" i="36"/>
  <c r="C591" i="36"/>
  <c r="C611" i="36"/>
  <c r="C610" i="36"/>
  <c r="C609" i="36"/>
  <c r="C608" i="36"/>
  <c r="C607" i="36"/>
  <c r="C649" i="36"/>
  <c r="C648" i="36"/>
  <c r="C647" i="36"/>
  <c r="C646" i="36"/>
  <c r="C645" i="36"/>
  <c r="C627" i="36"/>
  <c r="C626" i="36"/>
  <c r="C625" i="36"/>
  <c r="C624" i="36"/>
  <c r="C623" i="36"/>
  <c r="C577" i="36"/>
  <c r="C576" i="36"/>
  <c r="C575" i="36"/>
  <c r="C574" i="36"/>
  <c r="C573" i="36"/>
  <c r="C671" i="36"/>
  <c r="C670" i="36"/>
  <c r="C669" i="36"/>
  <c r="C668" i="36"/>
  <c r="C667" i="36"/>
  <c r="C595" i="35"/>
  <c r="C594" i="35"/>
  <c r="C593" i="35"/>
  <c r="C592" i="35"/>
  <c r="C591" i="35"/>
  <c r="C611" i="35"/>
  <c r="C610" i="35"/>
  <c r="C609" i="35"/>
  <c r="C608" i="35"/>
  <c r="C607" i="35"/>
  <c r="C649" i="35"/>
  <c r="C648" i="35"/>
  <c r="C647" i="35"/>
  <c r="C646" i="35"/>
  <c r="C645" i="35"/>
  <c r="C627" i="35"/>
  <c r="C626" i="35"/>
  <c r="C625" i="35"/>
  <c r="C624" i="35"/>
  <c r="C623" i="35"/>
  <c r="C577" i="35"/>
  <c r="C576" i="35"/>
  <c r="C575" i="35"/>
  <c r="C574" i="35"/>
  <c r="C573" i="35"/>
  <c r="C671" i="35"/>
  <c r="C670" i="35"/>
  <c r="C669" i="35"/>
  <c r="C668" i="35"/>
  <c r="C667" i="35"/>
  <c r="C595" i="34"/>
  <c r="C594" i="34"/>
  <c r="C593" i="34"/>
  <c r="C592" i="34"/>
  <c r="C591" i="34"/>
  <c r="C611" i="34"/>
  <c r="C610" i="34"/>
  <c r="C609" i="34"/>
  <c r="C608" i="34"/>
  <c r="C607" i="34"/>
  <c r="C649" i="34"/>
  <c r="C648" i="34"/>
  <c r="C647" i="34"/>
  <c r="C646" i="34"/>
  <c r="C645" i="34"/>
  <c r="C627" i="34"/>
  <c r="C626" i="34"/>
  <c r="C625" i="34"/>
  <c r="C624" i="34"/>
  <c r="C623" i="34"/>
  <c r="C577" i="34"/>
  <c r="C576" i="34"/>
  <c r="C575" i="34"/>
  <c r="C574" i="34"/>
  <c r="C573" i="34"/>
  <c r="C671" i="34"/>
  <c r="C670" i="34"/>
  <c r="C669" i="34"/>
  <c r="C668" i="34"/>
  <c r="C667" i="34"/>
  <c r="C595" i="33"/>
  <c r="C594" i="33"/>
  <c r="C593" i="33"/>
  <c r="C592" i="33"/>
  <c r="C591" i="33"/>
  <c r="C611" i="33"/>
  <c r="C610" i="33"/>
  <c r="C609" i="33"/>
  <c r="C608" i="33"/>
  <c r="C607" i="33"/>
  <c r="C649" i="33"/>
  <c r="C648" i="33"/>
  <c r="C647" i="33"/>
  <c r="C646" i="33"/>
  <c r="C645" i="33"/>
  <c r="C627" i="33"/>
  <c r="C626" i="33"/>
  <c r="C625" i="33"/>
  <c r="C624" i="33"/>
  <c r="C623" i="33"/>
  <c r="C577" i="33"/>
  <c r="C576" i="33"/>
  <c r="C575" i="33"/>
  <c r="C574" i="33"/>
  <c r="C573" i="33"/>
  <c r="C671" i="33"/>
  <c r="C670" i="33"/>
  <c r="C669" i="33"/>
  <c r="C668" i="33"/>
  <c r="C667" i="33"/>
  <c r="C595" i="32"/>
  <c r="C594" i="32"/>
  <c r="C593" i="32"/>
  <c r="C592" i="32"/>
  <c r="C591" i="32"/>
  <c r="C611" i="32"/>
  <c r="C610" i="32"/>
  <c r="C609" i="32"/>
  <c r="C608" i="32"/>
  <c r="C607" i="32"/>
  <c r="C649" i="32"/>
  <c r="C648" i="32"/>
  <c r="C647" i="32"/>
  <c r="C646" i="32"/>
  <c r="C645" i="32"/>
  <c r="C627" i="32"/>
  <c r="C626" i="32"/>
  <c r="C625" i="32"/>
  <c r="C624" i="32"/>
  <c r="C623" i="32"/>
  <c r="C577" i="32"/>
  <c r="C576" i="32"/>
  <c r="C575" i="32"/>
  <c r="C574" i="32"/>
  <c r="C573" i="32"/>
  <c r="C595" i="31"/>
  <c r="C594" i="31"/>
  <c r="C593" i="31"/>
  <c r="C592" i="31"/>
  <c r="C591" i="31"/>
  <c r="C611" i="31"/>
  <c r="C610" i="31"/>
  <c r="C609" i="31"/>
  <c r="C608" i="31"/>
  <c r="C607" i="31"/>
  <c r="C649" i="31"/>
  <c r="C648" i="31"/>
  <c r="C647" i="31"/>
  <c r="C646" i="31"/>
  <c r="C645" i="31"/>
  <c r="C627" i="31"/>
  <c r="C626" i="31"/>
  <c r="C625" i="31"/>
  <c r="C624" i="31"/>
  <c r="C623" i="31"/>
  <c r="C577" i="31"/>
  <c r="C576" i="31"/>
  <c r="C575" i="31"/>
  <c r="C574" i="31"/>
  <c r="C573" i="31"/>
  <c r="C671" i="31"/>
  <c r="C670" i="31"/>
  <c r="C669" i="31"/>
  <c r="C668" i="31"/>
  <c r="C667" i="31"/>
  <c r="C595" i="30"/>
  <c r="C594" i="30"/>
  <c r="C593" i="30"/>
  <c r="C592" i="30"/>
  <c r="C591" i="30"/>
  <c r="C611" i="30"/>
  <c r="C610" i="30"/>
  <c r="C609" i="30"/>
  <c r="C608" i="30"/>
  <c r="C607" i="30"/>
  <c r="C649" i="30"/>
  <c r="C648" i="30"/>
  <c r="C647" i="30"/>
  <c r="C646" i="30"/>
  <c r="C645" i="30"/>
  <c r="C627" i="30"/>
  <c r="C626" i="30"/>
  <c r="C625" i="30"/>
  <c r="C624" i="30"/>
  <c r="C623" i="30"/>
  <c r="C577" i="30"/>
  <c r="C576" i="30"/>
  <c r="C575" i="30"/>
  <c r="C574" i="30"/>
  <c r="C573" i="30"/>
  <c r="C671" i="30"/>
  <c r="C670" i="30"/>
  <c r="C669" i="30"/>
  <c r="C668" i="30"/>
  <c r="C667" i="30"/>
  <c r="C595" i="29"/>
  <c r="C594" i="29"/>
  <c r="C593" i="29"/>
  <c r="C592" i="29"/>
  <c r="C591" i="29"/>
  <c r="C611" i="29"/>
  <c r="C610" i="29"/>
  <c r="C609" i="29"/>
  <c r="C608" i="29"/>
  <c r="C607" i="29"/>
  <c r="C649" i="29"/>
  <c r="C648" i="29"/>
  <c r="C647" i="29"/>
  <c r="C646" i="29"/>
  <c r="C645" i="29"/>
  <c r="C627" i="29"/>
  <c r="C626" i="29"/>
  <c r="C625" i="29"/>
  <c r="C624" i="29"/>
  <c r="C623" i="29"/>
  <c r="C577" i="29"/>
  <c r="C576" i="29"/>
  <c r="C575" i="29"/>
  <c r="C574" i="29"/>
  <c r="C573" i="29"/>
  <c r="C671" i="29"/>
  <c r="C670" i="29"/>
  <c r="C669" i="29"/>
  <c r="C668" i="29"/>
  <c r="C667" i="29"/>
  <c r="C595" i="28"/>
  <c r="C594" i="28"/>
  <c r="C593" i="28"/>
  <c r="C592" i="28"/>
  <c r="C591" i="28"/>
  <c r="C611" i="28"/>
  <c r="C610" i="28"/>
  <c r="C609" i="28"/>
  <c r="C608" i="28"/>
  <c r="C607" i="28"/>
  <c r="C649" i="28"/>
  <c r="C648" i="28"/>
  <c r="C647" i="28"/>
  <c r="C646" i="28"/>
  <c r="C645" i="28"/>
  <c r="C627" i="28"/>
  <c r="C626" i="28"/>
  <c r="C625" i="28"/>
  <c r="C624" i="28"/>
  <c r="C623" i="28"/>
  <c r="C577" i="28"/>
  <c r="C576" i="28"/>
  <c r="C575" i="28"/>
  <c r="C574" i="28"/>
  <c r="C573" i="28"/>
  <c r="C671" i="28"/>
  <c r="C670" i="28"/>
  <c r="C669" i="28"/>
  <c r="C668" i="28"/>
  <c r="C667" i="28"/>
  <c r="C595" i="27"/>
  <c r="C594" i="27"/>
  <c r="C593" i="27"/>
  <c r="C592" i="27"/>
  <c r="C591" i="27"/>
  <c r="C611" i="27"/>
  <c r="C610" i="27"/>
  <c r="C609" i="27"/>
  <c r="C608" i="27"/>
  <c r="C607" i="27"/>
  <c r="C649" i="27"/>
  <c r="C648" i="27"/>
  <c r="C647" i="27"/>
  <c r="C646" i="27"/>
  <c r="C645" i="27"/>
  <c r="C627" i="27"/>
  <c r="C626" i="27"/>
  <c r="C625" i="27"/>
  <c r="C624" i="27"/>
  <c r="C623" i="27"/>
  <c r="C577" i="27"/>
  <c r="C576" i="27"/>
  <c r="C575" i="27"/>
  <c r="C574" i="27"/>
  <c r="C573" i="27"/>
  <c r="C671" i="27"/>
  <c r="C670" i="27"/>
  <c r="C669" i="27"/>
  <c r="C668" i="27"/>
  <c r="C667" i="27"/>
  <c r="C595" i="26"/>
  <c r="C594" i="26"/>
  <c r="C593" i="26"/>
  <c r="C592" i="26"/>
  <c r="C591" i="26"/>
  <c r="C611" i="26"/>
  <c r="C610" i="26"/>
  <c r="C609" i="26"/>
  <c r="C608" i="26"/>
  <c r="C607" i="26"/>
  <c r="C649" i="26"/>
  <c r="C648" i="26"/>
  <c r="C647" i="26"/>
  <c r="C646" i="26"/>
  <c r="C645" i="26"/>
  <c r="C627" i="26"/>
  <c r="C626" i="26"/>
  <c r="C625" i="26"/>
  <c r="C624" i="26"/>
  <c r="C623" i="26"/>
  <c r="C577" i="26"/>
  <c r="C576" i="26"/>
  <c r="C575" i="26"/>
  <c r="C574" i="26"/>
  <c r="C573" i="26"/>
  <c r="C671" i="26"/>
  <c r="C670" i="26"/>
  <c r="C669" i="26"/>
  <c r="C668" i="26"/>
  <c r="C667" i="26"/>
  <c r="C595" i="25"/>
  <c r="C594" i="25"/>
  <c r="C593" i="25"/>
  <c r="C592" i="25"/>
  <c r="C591" i="25"/>
  <c r="C611" i="25"/>
  <c r="C610" i="25"/>
  <c r="C609" i="25"/>
  <c r="C608" i="25"/>
  <c r="C607" i="25"/>
  <c r="C649" i="25"/>
  <c r="C648" i="25"/>
  <c r="C647" i="25"/>
  <c r="C646" i="25"/>
  <c r="C645" i="25"/>
  <c r="C627" i="25"/>
  <c r="C626" i="25"/>
  <c r="C625" i="25"/>
  <c r="C624" i="25"/>
  <c r="C623" i="25"/>
  <c r="C577" i="25"/>
  <c r="C576" i="25"/>
  <c r="C575" i="25"/>
  <c r="C574" i="25"/>
  <c r="C573" i="25"/>
  <c r="C671" i="25"/>
  <c r="C670" i="25"/>
  <c r="C669" i="25"/>
  <c r="C668" i="25"/>
  <c r="C667" i="25"/>
  <c r="C595" i="24"/>
  <c r="C594" i="24"/>
  <c r="C593" i="24"/>
  <c r="C592" i="24"/>
  <c r="C591" i="24"/>
  <c r="C611" i="24"/>
  <c r="C610" i="24"/>
  <c r="C609" i="24"/>
  <c r="C608" i="24"/>
  <c r="C607" i="24"/>
  <c r="C649" i="24"/>
  <c r="C648" i="24"/>
  <c r="C647" i="24"/>
  <c r="C646" i="24"/>
  <c r="C645" i="24"/>
  <c r="C627" i="24"/>
  <c r="C626" i="24"/>
  <c r="C625" i="24"/>
  <c r="C624" i="24"/>
  <c r="C623" i="24"/>
  <c r="C577" i="24"/>
  <c r="C576" i="24"/>
  <c r="C575" i="24"/>
  <c r="C574" i="24"/>
  <c r="C573" i="24"/>
  <c r="C671" i="24"/>
  <c r="C670" i="24"/>
  <c r="C669" i="24"/>
  <c r="C668" i="24"/>
  <c r="C667" i="24"/>
  <c r="C595" i="23"/>
  <c r="C594" i="23"/>
  <c r="C593" i="23"/>
  <c r="C592" i="23"/>
  <c r="C591" i="23"/>
  <c r="C611" i="23"/>
  <c r="C610" i="23"/>
  <c r="C609" i="23"/>
  <c r="C608" i="23"/>
  <c r="C607" i="23"/>
  <c r="C649" i="23"/>
  <c r="C648" i="23"/>
  <c r="C647" i="23"/>
  <c r="C646" i="23"/>
  <c r="C645" i="23"/>
  <c r="C627" i="23"/>
  <c r="C626" i="23"/>
  <c r="C625" i="23"/>
  <c r="C624" i="23"/>
  <c r="C623" i="23"/>
  <c r="C577" i="23"/>
  <c r="C576" i="23"/>
  <c r="C575" i="23"/>
  <c r="C574" i="23"/>
  <c r="C573" i="23"/>
  <c r="C671" i="23"/>
  <c r="C670" i="23"/>
  <c r="C669" i="23"/>
  <c r="C668" i="23"/>
  <c r="C667" i="23"/>
  <c r="C595" i="21"/>
  <c r="C594" i="21"/>
  <c r="C593" i="21"/>
  <c r="C592" i="21"/>
  <c r="C591" i="21"/>
  <c r="C611" i="21"/>
  <c r="C610" i="21"/>
  <c r="C609" i="21"/>
  <c r="C608" i="21"/>
  <c r="C607" i="21"/>
  <c r="C649" i="21"/>
  <c r="C648" i="21"/>
  <c r="C647" i="21"/>
  <c r="C646" i="21"/>
  <c r="C645" i="21"/>
  <c r="C627" i="21"/>
  <c r="C626" i="21"/>
  <c r="C625" i="21"/>
  <c r="C624" i="21"/>
  <c r="C623" i="21"/>
  <c r="C577" i="21"/>
  <c r="C576" i="21"/>
  <c r="C575" i="21"/>
  <c r="C574" i="21"/>
  <c r="C573" i="21"/>
  <c r="C671" i="21"/>
  <c r="C670" i="21"/>
  <c r="C669" i="21"/>
  <c r="C668" i="21"/>
  <c r="C667" i="21"/>
  <c r="C595" i="20"/>
  <c r="C594" i="20"/>
  <c r="C593" i="20"/>
  <c r="C592" i="20"/>
  <c r="C591" i="20"/>
  <c r="C611" i="20"/>
  <c r="C610" i="20"/>
  <c r="C609" i="20"/>
  <c r="C608" i="20"/>
  <c r="C607" i="20"/>
  <c r="C649" i="20"/>
  <c r="C648" i="20"/>
  <c r="C647" i="20"/>
  <c r="C646" i="20"/>
  <c r="C645" i="20"/>
  <c r="C627" i="20"/>
  <c r="C626" i="20"/>
  <c r="C625" i="20"/>
  <c r="C624" i="20"/>
  <c r="C623" i="20"/>
  <c r="C577" i="20"/>
  <c r="C576" i="20"/>
  <c r="C575" i="20"/>
  <c r="C574" i="20"/>
  <c r="C573" i="20"/>
  <c r="C671" i="20"/>
  <c r="C670" i="20"/>
  <c r="C669" i="20"/>
  <c r="C668" i="20"/>
  <c r="C667" i="20"/>
  <c r="C595" i="19"/>
  <c r="C594" i="19"/>
  <c r="C593" i="19"/>
  <c r="C592" i="19"/>
  <c r="C591" i="19"/>
  <c r="C611" i="19"/>
  <c r="C610" i="19"/>
  <c r="C609" i="19"/>
  <c r="C608" i="19"/>
  <c r="C607" i="19"/>
  <c r="C649" i="19"/>
  <c r="C648" i="19"/>
  <c r="C647" i="19"/>
  <c r="C646" i="19"/>
  <c r="C645" i="19"/>
  <c r="C627" i="19"/>
  <c r="C626" i="19"/>
  <c r="C625" i="19"/>
  <c r="C624" i="19"/>
  <c r="C623" i="19"/>
  <c r="C577" i="19"/>
  <c r="C576" i="19"/>
  <c r="C575" i="19"/>
  <c r="C574" i="19"/>
  <c r="C573" i="19"/>
  <c r="C671" i="19"/>
  <c r="C670" i="19"/>
  <c r="C669" i="19"/>
  <c r="C668" i="19"/>
  <c r="C667" i="19"/>
  <c r="C595" i="18"/>
  <c r="C594" i="18"/>
  <c r="C593" i="18"/>
  <c r="C592" i="18"/>
  <c r="C591" i="18"/>
  <c r="C611" i="18"/>
  <c r="C610" i="18"/>
  <c r="C609" i="18"/>
  <c r="C608" i="18"/>
  <c r="C607" i="18"/>
  <c r="C649" i="18"/>
  <c r="C648" i="18"/>
  <c r="C647" i="18"/>
  <c r="C646" i="18"/>
  <c r="C645" i="18"/>
  <c r="C627" i="18"/>
  <c r="C626" i="18"/>
  <c r="C625" i="18"/>
  <c r="C624" i="18"/>
  <c r="C623" i="18"/>
  <c r="C577" i="18"/>
  <c r="C576" i="18"/>
  <c r="C575" i="18"/>
  <c r="C574" i="18"/>
  <c r="C573" i="18"/>
  <c r="C671" i="18"/>
  <c r="C670" i="18"/>
  <c r="C669" i="18"/>
  <c r="C668" i="18"/>
  <c r="C667" i="18"/>
  <c r="C595" i="17"/>
  <c r="C594" i="17"/>
  <c r="C593" i="17"/>
  <c r="C592" i="17"/>
  <c r="C591" i="17"/>
  <c r="C611" i="17"/>
  <c r="C610" i="17"/>
  <c r="C609" i="17"/>
  <c r="C608" i="17"/>
  <c r="C607" i="17"/>
  <c r="C649" i="17"/>
  <c r="C648" i="17"/>
  <c r="C647" i="17"/>
  <c r="C646" i="17"/>
  <c r="C645" i="17"/>
  <c r="C627" i="17"/>
  <c r="C626" i="17"/>
  <c r="C625" i="17"/>
  <c r="C624" i="17"/>
  <c r="C623" i="17"/>
  <c r="C577" i="17"/>
  <c r="C576" i="17"/>
  <c r="C575" i="17"/>
  <c r="C574" i="17"/>
  <c r="C573" i="17"/>
  <c r="C671" i="17"/>
  <c r="C670" i="17"/>
  <c r="C669" i="17"/>
  <c r="C668" i="17"/>
  <c r="C667" i="17"/>
  <c r="C595" i="9"/>
  <c r="C594" i="9"/>
  <c r="C593" i="9"/>
  <c r="C592" i="9"/>
  <c r="C591" i="9"/>
  <c r="C611" i="9"/>
  <c r="C610" i="9"/>
  <c r="C609" i="9"/>
  <c r="C608" i="9"/>
  <c r="C607" i="9"/>
  <c r="C649" i="9"/>
  <c r="C648" i="9"/>
  <c r="C647" i="9"/>
  <c r="C646" i="9"/>
  <c r="C645" i="9"/>
  <c r="C627" i="9"/>
  <c r="C626" i="9"/>
  <c r="C625" i="9"/>
  <c r="C624" i="9"/>
  <c r="C623" i="9"/>
  <c r="C577" i="9"/>
  <c r="C576" i="9"/>
  <c r="C575" i="9"/>
  <c r="C574" i="9"/>
  <c r="C573" i="9"/>
  <c r="C671" i="9"/>
  <c r="C670" i="9"/>
  <c r="C669" i="9"/>
  <c r="C668" i="9"/>
  <c r="C667" i="9"/>
  <c r="C554" i="36"/>
  <c r="C553" i="36"/>
  <c r="C552" i="36"/>
  <c r="C551" i="36"/>
  <c r="C550" i="36"/>
  <c r="C554" i="35"/>
  <c r="C553" i="35"/>
  <c r="C552" i="35"/>
  <c r="C551" i="35"/>
  <c r="C550" i="35"/>
  <c r="C554" i="34"/>
  <c r="C553" i="34"/>
  <c r="C552" i="34"/>
  <c r="C551" i="34"/>
  <c r="C550" i="34"/>
  <c r="C554" i="33"/>
  <c r="C553" i="33"/>
  <c r="C552" i="33"/>
  <c r="C551" i="33"/>
  <c r="C550" i="33"/>
  <c r="C554" i="31"/>
  <c r="C553" i="31"/>
  <c r="C552" i="31"/>
  <c r="C551" i="31"/>
  <c r="C550" i="31"/>
  <c r="C554" i="30"/>
  <c r="C553" i="30"/>
  <c r="C552" i="30"/>
  <c r="C551" i="30"/>
  <c r="C550" i="30"/>
  <c r="C554" i="29"/>
  <c r="C553" i="29"/>
  <c r="C552" i="29"/>
  <c r="C551" i="29"/>
  <c r="C550" i="29"/>
  <c r="C554" i="28"/>
  <c r="C553" i="28"/>
  <c r="C552" i="28"/>
  <c r="C551" i="28"/>
  <c r="C550" i="28"/>
  <c r="C554" i="27"/>
  <c r="C553" i="27"/>
  <c r="C552" i="27"/>
  <c r="C551" i="27"/>
  <c r="C550" i="27"/>
  <c r="C554" i="26"/>
  <c r="C553" i="26"/>
  <c r="C552" i="26"/>
  <c r="C551" i="26"/>
  <c r="C550" i="26"/>
  <c r="C554" i="25"/>
  <c r="C553" i="25"/>
  <c r="C552" i="25"/>
  <c r="C551" i="25"/>
  <c r="C550" i="25"/>
  <c r="C554" i="24"/>
  <c r="C553" i="24"/>
  <c r="C552" i="24"/>
  <c r="C551" i="24"/>
  <c r="C550" i="24"/>
  <c r="C554" i="23"/>
  <c r="C553" i="23"/>
  <c r="C552" i="23"/>
  <c r="C551" i="23"/>
  <c r="C550" i="23"/>
  <c r="C554" i="21"/>
  <c r="C553" i="21"/>
  <c r="C552" i="21"/>
  <c r="C551" i="21"/>
  <c r="C550" i="21"/>
  <c r="C554" i="20"/>
  <c r="C553" i="20"/>
  <c r="C552" i="20"/>
  <c r="C551" i="20"/>
  <c r="C550" i="20"/>
  <c r="C554" i="19"/>
  <c r="C553" i="19"/>
  <c r="C552" i="19"/>
  <c r="C551" i="19"/>
  <c r="C550" i="19"/>
  <c r="C554" i="18"/>
  <c r="C553" i="18"/>
  <c r="C552" i="18"/>
  <c r="C551" i="18"/>
  <c r="C550" i="18"/>
  <c r="C554" i="17"/>
  <c r="C553" i="17"/>
  <c r="C552" i="17"/>
  <c r="C551" i="17"/>
  <c r="C550" i="17"/>
  <c r="C554" i="9"/>
  <c r="C553" i="9"/>
  <c r="C552" i="9"/>
  <c r="C551" i="9"/>
  <c r="C550" i="9"/>
  <c r="C531" i="36"/>
  <c r="C530" i="36"/>
  <c r="C529" i="36"/>
  <c r="C528" i="36"/>
  <c r="C527" i="36"/>
  <c r="C514" i="36"/>
  <c r="C513" i="36"/>
  <c r="C512" i="36"/>
  <c r="C511" i="36"/>
  <c r="C510" i="36"/>
  <c r="C498" i="36"/>
  <c r="C497" i="36"/>
  <c r="C496" i="36"/>
  <c r="C495" i="36"/>
  <c r="C494" i="36"/>
  <c r="C484" i="36"/>
  <c r="C483" i="36"/>
  <c r="C482" i="36"/>
  <c r="C481" i="36"/>
  <c r="C480" i="36"/>
  <c r="C467" i="36"/>
  <c r="C466" i="36"/>
  <c r="C465" i="36"/>
  <c r="C464" i="36"/>
  <c r="C463" i="36"/>
  <c r="C451" i="36"/>
  <c r="C450" i="36"/>
  <c r="C449" i="36"/>
  <c r="C448" i="36"/>
  <c r="C447" i="36"/>
  <c r="C531" i="35"/>
  <c r="C530" i="35"/>
  <c r="C529" i="35"/>
  <c r="C528" i="35"/>
  <c r="C527" i="35"/>
  <c r="C514" i="35"/>
  <c r="C513" i="35"/>
  <c r="C512" i="35"/>
  <c r="C511" i="35"/>
  <c r="C510" i="35"/>
  <c r="C498" i="35"/>
  <c r="C497" i="35"/>
  <c r="C496" i="35"/>
  <c r="C495" i="35"/>
  <c r="C494" i="35"/>
  <c r="C484" i="35"/>
  <c r="C483" i="35"/>
  <c r="C482" i="35"/>
  <c r="C481" i="35"/>
  <c r="C480" i="35"/>
  <c r="C467" i="35"/>
  <c r="C466" i="35"/>
  <c r="C465" i="35"/>
  <c r="C464" i="35"/>
  <c r="C463" i="35"/>
  <c r="C451" i="35"/>
  <c r="C450" i="35"/>
  <c r="C449" i="35"/>
  <c r="C448" i="35"/>
  <c r="C447" i="35"/>
  <c r="C531" i="34"/>
  <c r="C530" i="34"/>
  <c r="C529" i="34"/>
  <c r="C528" i="34"/>
  <c r="C527" i="34"/>
  <c r="C514" i="34"/>
  <c r="C513" i="34"/>
  <c r="C512" i="34"/>
  <c r="C511" i="34"/>
  <c r="C510" i="34"/>
  <c r="C498" i="34"/>
  <c r="C497" i="34"/>
  <c r="C496" i="34"/>
  <c r="C495" i="34"/>
  <c r="C494" i="34"/>
  <c r="C484" i="34"/>
  <c r="C483" i="34"/>
  <c r="C482" i="34"/>
  <c r="C481" i="34"/>
  <c r="C480" i="34"/>
  <c r="C467" i="34"/>
  <c r="C466" i="34"/>
  <c r="C465" i="34"/>
  <c r="C464" i="34"/>
  <c r="C463" i="34"/>
  <c r="C451" i="34"/>
  <c r="C450" i="34"/>
  <c r="C449" i="34"/>
  <c r="C448" i="34"/>
  <c r="C447" i="34"/>
  <c r="C531" i="33"/>
  <c r="C530" i="33"/>
  <c r="C529" i="33"/>
  <c r="C528" i="33"/>
  <c r="C527" i="33"/>
  <c r="C514" i="33"/>
  <c r="C513" i="33"/>
  <c r="C512" i="33"/>
  <c r="C511" i="33"/>
  <c r="C510" i="33"/>
  <c r="C498" i="33"/>
  <c r="C497" i="33"/>
  <c r="C496" i="33"/>
  <c r="C495" i="33"/>
  <c r="C494" i="33"/>
  <c r="C484" i="33"/>
  <c r="C483" i="33"/>
  <c r="C482" i="33"/>
  <c r="C481" i="33"/>
  <c r="C480" i="33"/>
  <c r="C467" i="33"/>
  <c r="C466" i="33"/>
  <c r="C465" i="33"/>
  <c r="C464" i="33"/>
  <c r="C463" i="33"/>
  <c r="C451" i="33"/>
  <c r="C450" i="33"/>
  <c r="C449" i="33"/>
  <c r="C448" i="33"/>
  <c r="C447" i="33"/>
  <c r="C531" i="32"/>
  <c r="C530" i="32"/>
  <c r="C529" i="32"/>
  <c r="C528" i="32"/>
  <c r="C527" i="32"/>
  <c r="C514" i="32"/>
  <c r="C513" i="32"/>
  <c r="C512" i="32"/>
  <c r="C511" i="32"/>
  <c r="C510" i="32"/>
  <c r="C498" i="32"/>
  <c r="C497" i="32"/>
  <c r="C496" i="32"/>
  <c r="C495" i="32"/>
  <c r="C494" i="32"/>
  <c r="C484" i="32"/>
  <c r="C483" i="32"/>
  <c r="C482" i="32"/>
  <c r="C481" i="32"/>
  <c r="C480" i="32"/>
  <c r="C467" i="32"/>
  <c r="C466" i="32"/>
  <c r="C465" i="32"/>
  <c r="C464" i="32"/>
  <c r="C463" i="32"/>
  <c r="C451" i="32"/>
  <c r="C450" i="32"/>
  <c r="C449" i="32"/>
  <c r="C448" i="32"/>
  <c r="C447" i="32"/>
  <c r="C531" i="31"/>
  <c r="C530" i="31"/>
  <c r="C529" i="31"/>
  <c r="C528" i="31"/>
  <c r="C527" i="31"/>
  <c r="C514" i="31"/>
  <c r="C513" i="31"/>
  <c r="C512" i="31"/>
  <c r="C511" i="31"/>
  <c r="C510" i="31"/>
  <c r="C498" i="31"/>
  <c r="C497" i="31"/>
  <c r="C496" i="31"/>
  <c r="C495" i="31"/>
  <c r="C494" i="31"/>
  <c r="C484" i="31"/>
  <c r="C483" i="31"/>
  <c r="C482" i="31"/>
  <c r="C481" i="31"/>
  <c r="C480" i="31"/>
  <c r="C467" i="31"/>
  <c r="C466" i="31"/>
  <c r="C465" i="31"/>
  <c r="C464" i="31"/>
  <c r="C463" i="31"/>
  <c r="C451" i="31"/>
  <c r="C450" i="31"/>
  <c r="C449" i="31"/>
  <c r="C448" i="31"/>
  <c r="C447" i="31"/>
  <c r="C531" i="30"/>
  <c r="C530" i="30"/>
  <c r="C529" i="30"/>
  <c r="C528" i="30"/>
  <c r="C527" i="30"/>
  <c r="C514" i="30"/>
  <c r="C513" i="30"/>
  <c r="C512" i="30"/>
  <c r="C511" i="30"/>
  <c r="C510" i="30"/>
  <c r="C498" i="30"/>
  <c r="C497" i="30"/>
  <c r="C496" i="30"/>
  <c r="C495" i="30"/>
  <c r="C494" i="30"/>
  <c r="C484" i="30"/>
  <c r="C483" i="30"/>
  <c r="C482" i="30"/>
  <c r="C481" i="30"/>
  <c r="C480" i="30"/>
  <c r="C467" i="30"/>
  <c r="C466" i="30"/>
  <c r="C465" i="30"/>
  <c r="C464" i="30"/>
  <c r="C463" i="30"/>
  <c r="C451" i="30"/>
  <c r="C450" i="30"/>
  <c r="C449" i="30"/>
  <c r="C448" i="30"/>
  <c r="C447" i="30"/>
  <c r="C531" i="29"/>
  <c r="C530" i="29"/>
  <c r="C529" i="29"/>
  <c r="C528" i="29"/>
  <c r="C527" i="29"/>
  <c r="C514" i="29"/>
  <c r="C513" i="29"/>
  <c r="C512" i="29"/>
  <c r="C511" i="29"/>
  <c r="C510" i="29"/>
  <c r="C498" i="29"/>
  <c r="C497" i="29"/>
  <c r="C496" i="29"/>
  <c r="C495" i="29"/>
  <c r="C494" i="29"/>
  <c r="C484" i="29"/>
  <c r="C483" i="29"/>
  <c r="C482" i="29"/>
  <c r="C481" i="29"/>
  <c r="C480" i="29"/>
  <c r="C467" i="29"/>
  <c r="C466" i="29"/>
  <c r="C465" i="29"/>
  <c r="C464" i="29"/>
  <c r="C463" i="29"/>
  <c r="C451" i="29"/>
  <c r="C450" i="29"/>
  <c r="C449" i="29"/>
  <c r="C448" i="29"/>
  <c r="C447" i="29"/>
  <c r="C531" i="28"/>
  <c r="C530" i="28"/>
  <c r="C529" i="28"/>
  <c r="C528" i="28"/>
  <c r="C527" i="28"/>
  <c r="C514" i="28"/>
  <c r="C513" i="28"/>
  <c r="C512" i="28"/>
  <c r="C511" i="28"/>
  <c r="C510" i="28"/>
  <c r="C498" i="28"/>
  <c r="C497" i="28"/>
  <c r="C496" i="28"/>
  <c r="C495" i="28"/>
  <c r="C494" i="28"/>
  <c r="C484" i="28"/>
  <c r="C483" i="28"/>
  <c r="C482" i="28"/>
  <c r="C481" i="28"/>
  <c r="C480" i="28"/>
  <c r="C467" i="28"/>
  <c r="C466" i="28"/>
  <c r="C465" i="28"/>
  <c r="C464" i="28"/>
  <c r="C463" i="28"/>
  <c r="C451" i="28"/>
  <c r="C450" i="28"/>
  <c r="C449" i="28"/>
  <c r="C448" i="28"/>
  <c r="C447" i="28"/>
  <c r="C531" i="27"/>
  <c r="C530" i="27"/>
  <c r="C529" i="27"/>
  <c r="C528" i="27"/>
  <c r="C527" i="27"/>
  <c r="C514" i="27"/>
  <c r="C513" i="27"/>
  <c r="C512" i="27"/>
  <c r="C511" i="27"/>
  <c r="C510" i="27"/>
  <c r="C498" i="27"/>
  <c r="C497" i="27"/>
  <c r="C496" i="27"/>
  <c r="C495" i="27"/>
  <c r="C494" i="27"/>
  <c r="C484" i="27"/>
  <c r="C483" i="27"/>
  <c r="C482" i="27"/>
  <c r="C481" i="27"/>
  <c r="C480" i="27"/>
  <c r="C467" i="27"/>
  <c r="C466" i="27"/>
  <c r="C465" i="27"/>
  <c r="C464" i="27"/>
  <c r="C463" i="27"/>
  <c r="C451" i="27"/>
  <c r="C450" i="27"/>
  <c r="C449" i="27"/>
  <c r="C448" i="27"/>
  <c r="C447" i="27"/>
  <c r="C531" i="26"/>
  <c r="C530" i="26"/>
  <c r="C529" i="26"/>
  <c r="C528" i="26"/>
  <c r="C527" i="26"/>
  <c r="C514" i="26"/>
  <c r="C513" i="26"/>
  <c r="C512" i="26"/>
  <c r="C511" i="26"/>
  <c r="C510" i="26"/>
  <c r="C498" i="26"/>
  <c r="C497" i="26"/>
  <c r="C496" i="26"/>
  <c r="C495" i="26"/>
  <c r="C494" i="26"/>
  <c r="C484" i="26"/>
  <c r="C483" i="26"/>
  <c r="C482" i="26"/>
  <c r="C481" i="26"/>
  <c r="C480" i="26"/>
  <c r="C467" i="26"/>
  <c r="C466" i="26"/>
  <c r="C465" i="26"/>
  <c r="C464" i="26"/>
  <c r="C463" i="26"/>
  <c r="C451" i="26"/>
  <c r="C450" i="26"/>
  <c r="C449" i="26"/>
  <c r="C448" i="26"/>
  <c r="C447" i="26"/>
  <c r="C531" i="25"/>
  <c r="C530" i="25"/>
  <c r="C529" i="25"/>
  <c r="C528" i="25"/>
  <c r="C527" i="25"/>
  <c r="C514" i="25"/>
  <c r="C513" i="25"/>
  <c r="C512" i="25"/>
  <c r="C511" i="25"/>
  <c r="C510" i="25"/>
  <c r="C498" i="25"/>
  <c r="C497" i="25"/>
  <c r="C496" i="25"/>
  <c r="C495" i="25"/>
  <c r="C494" i="25"/>
  <c r="C484" i="25"/>
  <c r="C483" i="25"/>
  <c r="C482" i="25"/>
  <c r="C481" i="25"/>
  <c r="C480" i="25"/>
  <c r="C467" i="25"/>
  <c r="C466" i="25"/>
  <c r="C465" i="25"/>
  <c r="C464" i="25"/>
  <c r="C463" i="25"/>
  <c r="C451" i="25"/>
  <c r="C450" i="25"/>
  <c r="C449" i="25"/>
  <c r="C448" i="25"/>
  <c r="C447" i="25"/>
  <c r="C531" i="24"/>
  <c r="C530" i="24"/>
  <c r="C529" i="24"/>
  <c r="C528" i="24"/>
  <c r="C527" i="24"/>
  <c r="C514" i="24"/>
  <c r="C513" i="24"/>
  <c r="C512" i="24"/>
  <c r="C511" i="24"/>
  <c r="C510" i="24"/>
  <c r="C498" i="24"/>
  <c r="C497" i="24"/>
  <c r="C496" i="24"/>
  <c r="C495" i="24"/>
  <c r="C494" i="24"/>
  <c r="C484" i="24"/>
  <c r="C483" i="24"/>
  <c r="C482" i="24"/>
  <c r="C481" i="24"/>
  <c r="C480" i="24"/>
  <c r="C467" i="24"/>
  <c r="C466" i="24"/>
  <c r="C465" i="24"/>
  <c r="C464" i="24"/>
  <c r="C463" i="24"/>
  <c r="C451" i="24"/>
  <c r="C450" i="24"/>
  <c r="C449" i="24"/>
  <c r="C448" i="24"/>
  <c r="C447" i="24"/>
  <c r="C531" i="23"/>
  <c r="C530" i="23"/>
  <c r="C529" i="23"/>
  <c r="C528" i="23"/>
  <c r="C527" i="23"/>
  <c r="C514" i="23"/>
  <c r="C513" i="23"/>
  <c r="C512" i="23"/>
  <c r="C511" i="23"/>
  <c r="C510" i="23"/>
  <c r="C498" i="23"/>
  <c r="C497" i="23"/>
  <c r="C496" i="23"/>
  <c r="C495" i="23"/>
  <c r="C494" i="23"/>
  <c r="C484" i="23"/>
  <c r="C483" i="23"/>
  <c r="C482" i="23"/>
  <c r="C481" i="23"/>
  <c r="C480" i="23"/>
  <c r="C467" i="23"/>
  <c r="C466" i="23"/>
  <c r="C465" i="23"/>
  <c r="C464" i="23"/>
  <c r="C463" i="23"/>
  <c r="C451" i="23"/>
  <c r="C450" i="23"/>
  <c r="C449" i="23"/>
  <c r="C448" i="23"/>
  <c r="C447" i="23"/>
  <c r="C531" i="21"/>
  <c r="C530" i="21"/>
  <c r="C529" i="21"/>
  <c r="C528" i="21"/>
  <c r="C527" i="21"/>
  <c r="C514" i="21"/>
  <c r="C513" i="21"/>
  <c r="C512" i="21"/>
  <c r="C511" i="21"/>
  <c r="C510" i="21"/>
  <c r="C498" i="21"/>
  <c r="C497" i="21"/>
  <c r="C496" i="21"/>
  <c r="C495" i="21"/>
  <c r="C494" i="21"/>
  <c r="C484" i="21"/>
  <c r="C483" i="21"/>
  <c r="C482" i="21"/>
  <c r="C481" i="21"/>
  <c r="C480" i="21"/>
  <c r="C467" i="21"/>
  <c r="C466" i="21"/>
  <c r="C465" i="21"/>
  <c r="C464" i="21"/>
  <c r="C463" i="21"/>
  <c r="C451" i="21"/>
  <c r="C450" i="21"/>
  <c r="C449" i="21"/>
  <c r="C448" i="21"/>
  <c r="C447" i="21"/>
  <c r="C531" i="20"/>
  <c r="C530" i="20"/>
  <c r="C529" i="20"/>
  <c r="C528" i="20"/>
  <c r="C527" i="20"/>
  <c r="C514" i="20"/>
  <c r="C513" i="20"/>
  <c r="C512" i="20"/>
  <c r="C511" i="20"/>
  <c r="C510" i="20"/>
  <c r="C498" i="20"/>
  <c r="C497" i="20"/>
  <c r="C496" i="20"/>
  <c r="C495" i="20"/>
  <c r="C494" i="20"/>
  <c r="C484" i="20"/>
  <c r="C483" i="20"/>
  <c r="C482" i="20"/>
  <c r="C481" i="20"/>
  <c r="C480" i="20"/>
  <c r="C467" i="20"/>
  <c r="C466" i="20"/>
  <c r="C465" i="20"/>
  <c r="C464" i="20"/>
  <c r="C463" i="20"/>
  <c r="C451" i="20"/>
  <c r="C450" i="20"/>
  <c r="C449" i="20"/>
  <c r="C448" i="20"/>
  <c r="C447" i="20"/>
  <c r="C531" i="19"/>
  <c r="C530" i="19"/>
  <c r="C529" i="19"/>
  <c r="C528" i="19"/>
  <c r="C527" i="19"/>
  <c r="C514" i="19"/>
  <c r="C513" i="19"/>
  <c r="C512" i="19"/>
  <c r="C511" i="19"/>
  <c r="C510" i="19"/>
  <c r="C498" i="19"/>
  <c r="C497" i="19"/>
  <c r="C496" i="19"/>
  <c r="C495" i="19"/>
  <c r="C494" i="19"/>
  <c r="C484" i="19"/>
  <c r="C483" i="19"/>
  <c r="C482" i="19"/>
  <c r="C481" i="19"/>
  <c r="C480" i="19"/>
  <c r="C467" i="19"/>
  <c r="C466" i="19"/>
  <c r="C465" i="19"/>
  <c r="C464" i="19"/>
  <c r="C463" i="19"/>
  <c r="C451" i="19"/>
  <c r="C450" i="19"/>
  <c r="C449" i="19"/>
  <c r="C448" i="19"/>
  <c r="C447" i="19"/>
  <c r="C531" i="18"/>
  <c r="C530" i="18"/>
  <c r="C529" i="18"/>
  <c r="C528" i="18"/>
  <c r="C527" i="18"/>
  <c r="C514" i="18"/>
  <c r="C513" i="18"/>
  <c r="C512" i="18"/>
  <c r="C511" i="18"/>
  <c r="C510" i="18"/>
  <c r="C498" i="18"/>
  <c r="C497" i="18"/>
  <c r="C496" i="18"/>
  <c r="C495" i="18"/>
  <c r="C494" i="18"/>
  <c r="C484" i="18"/>
  <c r="C483" i="18"/>
  <c r="C482" i="18"/>
  <c r="C481" i="18"/>
  <c r="C480" i="18"/>
  <c r="C467" i="18"/>
  <c r="C466" i="18"/>
  <c r="C465" i="18"/>
  <c r="C464" i="18"/>
  <c r="C463" i="18"/>
  <c r="C451" i="18"/>
  <c r="C450" i="18"/>
  <c r="C449" i="18"/>
  <c r="C448" i="18"/>
  <c r="C447" i="18"/>
  <c r="C531" i="17"/>
  <c r="C530" i="17"/>
  <c r="C529" i="17"/>
  <c r="C528" i="17"/>
  <c r="C527" i="17"/>
  <c r="C514" i="17"/>
  <c r="C513" i="17"/>
  <c r="C512" i="17"/>
  <c r="C511" i="17"/>
  <c r="C510" i="17"/>
  <c r="C498" i="17"/>
  <c r="C497" i="17"/>
  <c r="C496" i="17"/>
  <c r="C495" i="17"/>
  <c r="C494" i="17"/>
  <c r="C484" i="17"/>
  <c r="C483" i="17"/>
  <c r="C482" i="17"/>
  <c r="C481" i="17"/>
  <c r="C480" i="17"/>
  <c r="C467" i="17"/>
  <c r="C466" i="17"/>
  <c r="C465" i="17"/>
  <c r="C464" i="17"/>
  <c r="C463" i="17"/>
  <c r="C451" i="17"/>
  <c r="C450" i="17"/>
  <c r="C449" i="17"/>
  <c r="C448" i="17"/>
  <c r="C447" i="17"/>
  <c r="C531" i="9"/>
  <c r="C530" i="9"/>
  <c r="C529" i="9"/>
  <c r="C528" i="9"/>
  <c r="C527" i="9"/>
  <c r="C514" i="9"/>
  <c r="C513" i="9"/>
  <c r="C512" i="9"/>
  <c r="C511" i="9"/>
  <c r="C510" i="9"/>
  <c r="C498" i="9"/>
  <c r="C497" i="9"/>
  <c r="C496" i="9"/>
  <c r="C495" i="9"/>
  <c r="C494" i="9"/>
  <c r="C484" i="9"/>
  <c r="C483" i="9"/>
  <c r="C482" i="9"/>
  <c r="C481" i="9"/>
  <c r="C480" i="9"/>
  <c r="C467" i="9"/>
  <c r="C466" i="9"/>
  <c r="C465" i="9"/>
  <c r="C464" i="9"/>
  <c r="C463" i="9"/>
  <c r="C451" i="9"/>
  <c r="C450" i="9"/>
  <c r="C449" i="9"/>
  <c r="C448" i="9"/>
  <c r="C447" i="9"/>
  <c r="C434" i="36"/>
  <c r="C433" i="36"/>
  <c r="C432" i="36"/>
  <c r="C431" i="36"/>
  <c r="C430" i="36"/>
  <c r="C434" i="35"/>
  <c r="C433" i="35"/>
  <c r="C432" i="35"/>
  <c r="C431" i="35"/>
  <c r="C430" i="35"/>
  <c r="C434" i="34"/>
  <c r="C433" i="34"/>
  <c r="C432" i="34"/>
  <c r="C431" i="34"/>
  <c r="C430" i="34"/>
  <c r="C434" i="33"/>
  <c r="C433" i="33"/>
  <c r="C432" i="33"/>
  <c r="C431" i="33"/>
  <c r="C430" i="33"/>
  <c r="C434" i="32"/>
  <c r="C433" i="32"/>
  <c r="C432" i="32"/>
  <c r="C431" i="32"/>
  <c r="C430" i="32"/>
  <c r="C434" i="31"/>
  <c r="C433" i="31"/>
  <c r="C432" i="31"/>
  <c r="C431" i="31"/>
  <c r="C430" i="31"/>
  <c r="C434" i="30"/>
  <c r="C433" i="30"/>
  <c r="C432" i="30"/>
  <c r="C431" i="30"/>
  <c r="C430" i="30"/>
  <c r="C434" i="29"/>
  <c r="C433" i="29"/>
  <c r="C432" i="29"/>
  <c r="C431" i="29"/>
  <c r="C430" i="29"/>
  <c r="C434" i="28"/>
  <c r="C433" i="28"/>
  <c r="C432" i="28"/>
  <c r="C431" i="28"/>
  <c r="C430" i="28"/>
  <c r="C434" i="27"/>
  <c r="C433" i="27"/>
  <c r="C432" i="27"/>
  <c r="C431" i="27"/>
  <c r="C430" i="27"/>
  <c r="C434" i="26"/>
  <c r="C433" i="26"/>
  <c r="C432" i="26"/>
  <c r="C431" i="26"/>
  <c r="C430" i="26"/>
  <c r="C434" i="25"/>
  <c r="C433" i="25"/>
  <c r="C432" i="25"/>
  <c r="C431" i="25"/>
  <c r="C430" i="25"/>
  <c r="C434" i="24"/>
  <c r="C433" i="24"/>
  <c r="C432" i="24"/>
  <c r="C431" i="24"/>
  <c r="C430" i="24"/>
  <c r="C434" i="23"/>
  <c r="C433" i="23"/>
  <c r="C432" i="23"/>
  <c r="C431" i="23"/>
  <c r="C430" i="23"/>
  <c r="C434" i="21"/>
  <c r="C433" i="21"/>
  <c r="C432" i="21"/>
  <c r="C431" i="21"/>
  <c r="C430" i="21"/>
  <c r="C434" i="20"/>
  <c r="C433" i="20"/>
  <c r="C432" i="20"/>
  <c r="C431" i="20"/>
  <c r="C430" i="20"/>
  <c r="C434" i="19"/>
  <c r="C433" i="19"/>
  <c r="C432" i="19"/>
  <c r="C431" i="19"/>
  <c r="C430" i="19"/>
  <c r="C434" i="18"/>
  <c r="C433" i="18"/>
  <c r="C432" i="18"/>
  <c r="C431" i="18"/>
  <c r="C430" i="18"/>
  <c r="C434" i="17"/>
  <c r="C433" i="17"/>
  <c r="C432" i="17"/>
  <c r="C431" i="17"/>
  <c r="C430" i="17"/>
  <c r="C434" i="9"/>
  <c r="C433" i="9"/>
  <c r="C432" i="9"/>
  <c r="C431" i="9"/>
  <c r="C430" i="9"/>
  <c r="J271" i="81" l="1"/>
  <c r="J185" i="81"/>
  <c r="J198" i="81" s="1"/>
  <c r="J261" i="81" s="1"/>
  <c r="J271" i="91"/>
  <c r="J185" i="91"/>
  <c r="J198" i="91" s="1"/>
  <c r="J261" i="91" s="1"/>
  <c r="J271" i="87"/>
  <c r="J185" i="87"/>
  <c r="J198" i="87" s="1"/>
  <c r="J261" i="87" s="1"/>
  <c r="J271" i="92"/>
  <c r="J185" i="92"/>
  <c r="J198" i="92" s="1"/>
  <c r="J261" i="92" s="1"/>
  <c r="J271" i="89"/>
  <c r="J185" i="89"/>
  <c r="J198" i="89" s="1"/>
  <c r="J261" i="89" s="1"/>
  <c r="J271" i="86"/>
  <c r="J185" i="86"/>
  <c r="J198" i="86" s="1"/>
  <c r="J261" i="86" s="1"/>
  <c r="J690" i="93"/>
  <c r="J703" i="93" s="1"/>
  <c r="J820" i="93" s="1"/>
  <c r="J690" i="85"/>
  <c r="J703" i="85" s="1"/>
  <c r="J820" i="85" s="1"/>
  <c r="J271" i="88"/>
  <c r="J185" i="88"/>
  <c r="J198" i="88" s="1"/>
  <c r="J261" i="88" s="1"/>
  <c r="J271" i="90"/>
  <c r="J185" i="90"/>
  <c r="J198" i="90" s="1"/>
  <c r="J261" i="90" s="1"/>
  <c r="C414" i="36"/>
  <c r="C413" i="36"/>
  <c r="C412" i="36"/>
  <c r="C411" i="36"/>
  <c r="C410" i="36"/>
  <c r="C414" i="35"/>
  <c r="C413" i="35"/>
  <c r="C412" i="35"/>
  <c r="C411" i="35"/>
  <c r="C410" i="35"/>
  <c r="C414" i="34"/>
  <c r="C413" i="34"/>
  <c r="C412" i="34"/>
  <c r="C411" i="34"/>
  <c r="C410" i="34"/>
  <c r="C414" i="33"/>
  <c r="C413" i="33"/>
  <c r="C412" i="33"/>
  <c r="C411" i="33"/>
  <c r="C410" i="33"/>
  <c r="C414" i="32"/>
  <c r="C413" i="32"/>
  <c r="C412" i="32"/>
  <c r="C411" i="32"/>
  <c r="C410" i="32"/>
  <c r="C414" i="31"/>
  <c r="C413" i="31"/>
  <c r="C412" i="31"/>
  <c r="C411" i="31"/>
  <c r="C410" i="31"/>
  <c r="C414" i="30"/>
  <c r="C413" i="30"/>
  <c r="C412" i="30"/>
  <c r="C411" i="30"/>
  <c r="C410" i="30"/>
  <c r="C414" i="29"/>
  <c r="C413" i="29"/>
  <c r="C412" i="29"/>
  <c r="C411" i="29"/>
  <c r="C410" i="29"/>
  <c r="C414" i="28"/>
  <c r="C413" i="28"/>
  <c r="C412" i="28"/>
  <c r="C411" i="28"/>
  <c r="C410" i="28"/>
  <c r="C414" i="27"/>
  <c r="C413" i="27"/>
  <c r="C412" i="27"/>
  <c r="C411" i="27"/>
  <c r="C410" i="27"/>
  <c r="C414" i="26"/>
  <c r="C413" i="26"/>
  <c r="C412" i="26"/>
  <c r="C411" i="26"/>
  <c r="C410" i="26"/>
  <c r="C414" i="25"/>
  <c r="C413" i="25"/>
  <c r="C412" i="25"/>
  <c r="C411" i="25"/>
  <c r="C410" i="25"/>
  <c r="C414" i="24"/>
  <c r="C413" i="24"/>
  <c r="C412" i="24"/>
  <c r="C411" i="24"/>
  <c r="C410" i="24"/>
  <c r="C414" i="23"/>
  <c r="C413" i="23"/>
  <c r="C412" i="23"/>
  <c r="C411" i="23"/>
  <c r="C410" i="23"/>
  <c r="C414" i="21"/>
  <c r="C413" i="21"/>
  <c r="C412" i="21"/>
  <c r="C411" i="21"/>
  <c r="C410" i="21"/>
  <c r="C414" i="20"/>
  <c r="C413" i="20"/>
  <c r="C412" i="20"/>
  <c r="C411" i="20"/>
  <c r="C410" i="20"/>
  <c r="C414" i="19"/>
  <c r="C413" i="19"/>
  <c r="C412" i="19"/>
  <c r="C411" i="19"/>
  <c r="C410" i="19"/>
  <c r="C414" i="18"/>
  <c r="C413" i="18"/>
  <c r="C412" i="18"/>
  <c r="C411" i="18"/>
  <c r="C410" i="18"/>
  <c r="C414" i="17"/>
  <c r="C413" i="17"/>
  <c r="C412" i="17"/>
  <c r="C411" i="17"/>
  <c r="C410" i="17"/>
  <c r="J409" i="9"/>
  <c r="C414" i="9"/>
  <c r="C413" i="9"/>
  <c r="C412" i="9"/>
  <c r="C411" i="9"/>
  <c r="C410" i="9"/>
  <c r="C400" i="36"/>
  <c r="C399" i="36"/>
  <c r="C398" i="36"/>
  <c r="C397" i="36"/>
  <c r="C396" i="36"/>
  <c r="C380" i="36"/>
  <c r="C379" i="36"/>
  <c r="C378" i="36"/>
  <c r="C377" i="36"/>
  <c r="C376" i="36"/>
  <c r="C361" i="36"/>
  <c r="C360" i="36"/>
  <c r="C359" i="36"/>
  <c r="C358" i="36"/>
  <c r="C357" i="36"/>
  <c r="C339" i="36"/>
  <c r="C338" i="36"/>
  <c r="C337" i="36"/>
  <c r="C336" i="36"/>
  <c r="C335" i="36"/>
  <c r="C320" i="36"/>
  <c r="C319" i="36"/>
  <c r="C318" i="36"/>
  <c r="C317" i="36"/>
  <c r="C316" i="36"/>
  <c r="C400" i="35"/>
  <c r="C399" i="35"/>
  <c r="C398" i="35"/>
  <c r="C397" i="35"/>
  <c r="C396" i="35"/>
  <c r="C380" i="35"/>
  <c r="C379" i="35"/>
  <c r="C378" i="35"/>
  <c r="C377" i="35"/>
  <c r="C376" i="35"/>
  <c r="C361" i="35"/>
  <c r="C360" i="35"/>
  <c r="C359" i="35"/>
  <c r="C358" i="35"/>
  <c r="C357" i="35"/>
  <c r="C339" i="35"/>
  <c r="C338" i="35"/>
  <c r="C337" i="35"/>
  <c r="C336" i="35"/>
  <c r="C335" i="35"/>
  <c r="C320" i="35"/>
  <c r="C319" i="35"/>
  <c r="C318" i="35"/>
  <c r="C317" i="35"/>
  <c r="C316" i="35"/>
  <c r="C400" i="34"/>
  <c r="C399" i="34"/>
  <c r="C398" i="34"/>
  <c r="C397" i="34"/>
  <c r="C396" i="34"/>
  <c r="C380" i="34"/>
  <c r="C379" i="34"/>
  <c r="C378" i="34"/>
  <c r="C377" i="34"/>
  <c r="C376" i="34"/>
  <c r="C361" i="34"/>
  <c r="C360" i="34"/>
  <c r="C359" i="34"/>
  <c r="C358" i="34"/>
  <c r="C357" i="34"/>
  <c r="C339" i="34"/>
  <c r="C338" i="34"/>
  <c r="C337" i="34"/>
  <c r="C336" i="34"/>
  <c r="C335" i="34"/>
  <c r="C320" i="34"/>
  <c r="C319" i="34"/>
  <c r="C318" i="34"/>
  <c r="C317" i="34"/>
  <c r="C316" i="34"/>
  <c r="C400" i="33"/>
  <c r="C399" i="33"/>
  <c r="C398" i="33"/>
  <c r="C397" i="33"/>
  <c r="C396" i="33"/>
  <c r="C380" i="33"/>
  <c r="C379" i="33"/>
  <c r="C378" i="33"/>
  <c r="C377" i="33"/>
  <c r="C376" i="33"/>
  <c r="C361" i="33"/>
  <c r="C360" i="33"/>
  <c r="C359" i="33"/>
  <c r="C358" i="33"/>
  <c r="C357" i="33"/>
  <c r="C339" i="33"/>
  <c r="C338" i="33"/>
  <c r="C337" i="33"/>
  <c r="C336" i="33"/>
  <c r="C335" i="33"/>
  <c r="C320" i="33"/>
  <c r="C319" i="33"/>
  <c r="C318" i="33"/>
  <c r="C317" i="33"/>
  <c r="C316" i="33"/>
  <c r="C400" i="32"/>
  <c r="C399" i="32"/>
  <c r="C398" i="32"/>
  <c r="C397" i="32"/>
  <c r="C396" i="32"/>
  <c r="C380" i="32"/>
  <c r="C379" i="32"/>
  <c r="C378" i="32"/>
  <c r="C377" i="32"/>
  <c r="C376" i="32"/>
  <c r="C361" i="32"/>
  <c r="C360" i="32"/>
  <c r="C359" i="32"/>
  <c r="C358" i="32"/>
  <c r="C357" i="32"/>
  <c r="C339" i="32"/>
  <c r="C338" i="32"/>
  <c r="C337" i="32"/>
  <c r="C336" i="32"/>
  <c r="C335" i="32"/>
  <c r="C320" i="32"/>
  <c r="C319" i="32"/>
  <c r="C318" i="32"/>
  <c r="C317" i="32"/>
  <c r="C316" i="32"/>
  <c r="C400" i="31"/>
  <c r="C399" i="31"/>
  <c r="C398" i="31"/>
  <c r="C397" i="31"/>
  <c r="C396" i="31"/>
  <c r="C380" i="31"/>
  <c r="C379" i="31"/>
  <c r="C378" i="31"/>
  <c r="C377" i="31"/>
  <c r="C376" i="31"/>
  <c r="C361" i="31"/>
  <c r="C360" i="31"/>
  <c r="C359" i="31"/>
  <c r="C358" i="31"/>
  <c r="C357" i="31"/>
  <c r="C339" i="31"/>
  <c r="C338" i="31"/>
  <c r="C337" i="31"/>
  <c r="C336" i="31"/>
  <c r="C335" i="31"/>
  <c r="C320" i="31"/>
  <c r="C319" i="31"/>
  <c r="C318" i="31"/>
  <c r="C317" i="31"/>
  <c r="C316" i="31"/>
  <c r="C400" i="30"/>
  <c r="C399" i="30"/>
  <c r="C398" i="30"/>
  <c r="C397" i="30"/>
  <c r="C396" i="30"/>
  <c r="C380" i="30"/>
  <c r="C379" i="30"/>
  <c r="C378" i="30"/>
  <c r="C377" i="30"/>
  <c r="C376" i="30"/>
  <c r="C361" i="30"/>
  <c r="C360" i="30"/>
  <c r="C359" i="30"/>
  <c r="C358" i="30"/>
  <c r="C357" i="30"/>
  <c r="C339" i="30"/>
  <c r="C338" i="30"/>
  <c r="C337" i="30"/>
  <c r="C336" i="30"/>
  <c r="C335" i="30"/>
  <c r="C320" i="30"/>
  <c r="C319" i="30"/>
  <c r="C318" i="30"/>
  <c r="C317" i="30"/>
  <c r="C316" i="30"/>
  <c r="C400" i="29"/>
  <c r="C399" i="29"/>
  <c r="C398" i="29"/>
  <c r="C397" i="29"/>
  <c r="C396" i="29"/>
  <c r="C380" i="29"/>
  <c r="C379" i="29"/>
  <c r="C378" i="29"/>
  <c r="C377" i="29"/>
  <c r="C376" i="29"/>
  <c r="C361" i="29"/>
  <c r="C360" i="29"/>
  <c r="C359" i="29"/>
  <c r="C358" i="29"/>
  <c r="C357" i="29"/>
  <c r="C339" i="29"/>
  <c r="C338" i="29"/>
  <c r="C337" i="29"/>
  <c r="C336" i="29"/>
  <c r="C335" i="29"/>
  <c r="C320" i="29"/>
  <c r="C319" i="29"/>
  <c r="C318" i="29"/>
  <c r="C317" i="29"/>
  <c r="C316" i="29"/>
  <c r="C400" i="28"/>
  <c r="C399" i="28"/>
  <c r="C398" i="28"/>
  <c r="C397" i="28"/>
  <c r="C396" i="28"/>
  <c r="C380" i="28"/>
  <c r="C379" i="28"/>
  <c r="C378" i="28"/>
  <c r="C377" i="28"/>
  <c r="C376" i="28"/>
  <c r="C361" i="28"/>
  <c r="C360" i="28"/>
  <c r="C359" i="28"/>
  <c r="C358" i="28"/>
  <c r="C357" i="28"/>
  <c r="C339" i="28"/>
  <c r="C338" i="28"/>
  <c r="C337" i="28"/>
  <c r="C336" i="28"/>
  <c r="C335" i="28"/>
  <c r="C320" i="28"/>
  <c r="C319" i="28"/>
  <c r="C318" i="28"/>
  <c r="C317" i="28"/>
  <c r="C316" i="28"/>
  <c r="C400" i="27"/>
  <c r="C399" i="27"/>
  <c r="C398" i="27"/>
  <c r="C397" i="27"/>
  <c r="C396" i="27"/>
  <c r="C380" i="27"/>
  <c r="C379" i="27"/>
  <c r="C378" i="27"/>
  <c r="C377" i="27"/>
  <c r="C376" i="27"/>
  <c r="C361" i="27"/>
  <c r="C360" i="27"/>
  <c r="C359" i="27"/>
  <c r="C358" i="27"/>
  <c r="C357" i="27"/>
  <c r="C339" i="27"/>
  <c r="C338" i="27"/>
  <c r="C337" i="27"/>
  <c r="C336" i="27"/>
  <c r="C335" i="27"/>
  <c r="C320" i="27"/>
  <c r="C319" i="27"/>
  <c r="C318" i="27"/>
  <c r="C317" i="27"/>
  <c r="C316" i="27"/>
  <c r="C400" i="26"/>
  <c r="C399" i="26"/>
  <c r="C398" i="26"/>
  <c r="C397" i="26"/>
  <c r="C396" i="26"/>
  <c r="C380" i="26"/>
  <c r="C379" i="26"/>
  <c r="C378" i="26"/>
  <c r="C377" i="26"/>
  <c r="C376" i="26"/>
  <c r="C361" i="26"/>
  <c r="C360" i="26"/>
  <c r="C359" i="26"/>
  <c r="C358" i="26"/>
  <c r="C357" i="26"/>
  <c r="C339" i="26"/>
  <c r="C338" i="26"/>
  <c r="C337" i="26"/>
  <c r="C336" i="26"/>
  <c r="C335" i="26"/>
  <c r="C320" i="26"/>
  <c r="C319" i="26"/>
  <c r="C318" i="26"/>
  <c r="C317" i="26"/>
  <c r="C316" i="26"/>
  <c r="C400" i="25"/>
  <c r="C399" i="25"/>
  <c r="C398" i="25"/>
  <c r="C397" i="25"/>
  <c r="C396" i="25"/>
  <c r="C380" i="25"/>
  <c r="C379" i="25"/>
  <c r="C378" i="25"/>
  <c r="C377" i="25"/>
  <c r="C376" i="25"/>
  <c r="C361" i="25"/>
  <c r="C360" i="25"/>
  <c r="C359" i="25"/>
  <c r="C358" i="25"/>
  <c r="C357" i="25"/>
  <c r="C339" i="25"/>
  <c r="C338" i="25"/>
  <c r="C337" i="25"/>
  <c r="C336" i="25"/>
  <c r="C335" i="25"/>
  <c r="C320" i="25"/>
  <c r="C319" i="25"/>
  <c r="C318" i="25"/>
  <c r="C317" i="25"/>
  <c r="C316" i="25"/>
  <c r="C400" i="24"/>
  <c r="C399" i="24"/>
  <c r="C398" i="24"/>
  <c r="C397" i="24"/>
  <c r="C396" i="24"/>
  <c r="C380" i="24"/>
  <c r="C379" i="24"/>
  <c r="C378" i="24"/>
  <c r="C377" i="24"/>
  <c r="C376" i="24"/>
  <c r="C361" i="24"/>
  <c r="C360" i="24"/>
  <c r="C359" i="24"/>
  <c r="C358" i="24"/>
  <c r="C357" i="24"/>
  <c r="C339" i="24"/>
  <c r="C338" i="24"/>
  <c r="C337" i="24"/>
  <c r="C336" i="24"/>
  <c r="C335" i="24"/>
  <c r="C320" i="24"/>
  <c r="C319" i="24"/>
  <c r="C318" i="24"/>
  <c r="C317" i="24"/>
  <c r="C316" i="24"/>
  <c r="C400" i="23"/>
  <c r="C399" i="23"/>
  <c r="C398" i="23"/>
  <c r="C397" i="23"/>
  <c r="C396" i="23"/>
  <c r="C380" i="23"/>
  <c r="C379" i="23"/>
  <c r="C378" i="23"/>
  <c r="C377" i="23"/>
  <c r="C376" i="23"/>
  <c r="C361" i="23"/>
  <c r="C360" i="23"/>
  <c r="C359" i="23"/>
  <c r="C358" i="23"/>
  <c r="C357" i="23"/>
  <c r="C339" i="23"/>
  <c r="C338" i="23"/>
  <c r="C337" i="23"/>
  <c r="C336" i="23"/>
  <c r="C335" i="23"/>
  <c r="C320" i="23"/>
  <c r="C319" i="23"/>
  <c r="C318" i="23"/>
  <c r="C317" i="23"/>
  <c r="C316" i="23"/>
  <c r="C400" i="21"/>
  <c r="C399" i="21"/>
  <c r="C398" i="21"/>
  <c r="C397" i="21"/>
  <c r="C396" i="21"/>
  <c r="C380" i="21"/>
  <c r="C379" i="21"/>
  <c r="C378" i="21"/>
  <c r="C377" i="21"/>
  <c r="C376" i="21"/>
  <c r="C361" i="21"/>
  <c r="C360" i="21"/>
  <c r="C359" i="21"/>
  <c r="C358" i="21"/>
  <c r="C357" i="21"/>
  <c r="C339" i="21"/>
  <c r="C338" i="21"/>
  <c r="C337" i="21"/>
  <c r="C336" i="21"/>
  <c r="C335" i="21"/>
  <c r="C320" i="21"/>
  <c r="C319" i="21"/>
  <c r="C318" i="21"/>
  <c r="C317" i="21"/>
  <c r="C316" i="21"/>
  <c r="C400" i="20"/>
  <c r="C399" i="20"/>
  <c r="C398" i="20"/>
  <c r="C397" i="20"/>
  <c r="C396" i="20"/>
  <c r="C380" i="20"/>
  <c r="C379" i="20"/>
  <c r="C378" i="20"/>
  <c r="C377" i="20"/>
  <c r="C376" i="20"/>
  <c r="C361" i="20"/>
  <c r="C360" i="20"/>
  <c r="C359" i="20"/>
  <c r="C358" i="20"/>
  <c r="C357" i="20"/>
  <c r="C339" i="20"/>
  <c r="C338" i="20"/>
  <c r="C337" i="20"/>
  <c r="C336" i="20"/>
  <c r="C335" i="20"/>
  <c r="C320" i="20"/>
  <c r="C319" i="20"/>
  <c r="C318" i="20"/>
  <c r="C317" i="20"/>
  <c r="C316" i="20"/>
  <c r="C400" i="19"/>
  <c r="C399" i="19"/>
  <c r="C398" i="19"/>
  <c r="C397" i="19"/>
  <c r="C396" i="19"/>
  <c r="C380" i="19"/>
  <c r="C379" i="19"/>
  <c r="C378" i="19"/>
  <c r="C377" i="19"/>
  <c r="C376" i="19"/>
  <c r="C361" i="19"/>
  <c r="C360" i="19"/>
  <c r="C359" i="19"/>
  <c r="C358" i="19"/>
  <c r="C357" i="19"/>
  <c r="C339" i="19"/>
  <c r="C338" i="19"/>
  <c r="C337" i="19"/>
  <c r="C336" i="19"/>
  <c r="C335" i="19"/>
  <c r="C320" i="19"/>
  <c r="C319" i="19"/>
  <c r="C318" i="19"/>
  <c r="C317" i="19"/>
  <c r="C316" i="19"/>
  <c r="C400" i="18"/>
  <c r="C399" i="18"/>
  <c r="C398" i="18"/>
  <c r="C397" i="18"/>
  <c r="C396" i="18"/>
  <c r="C380" i="18"/>
  <c r="C379" i="18"/>
  <c r="C378" i="18"/>
  <c r="C377" i="18"/>
  <c r="C376" i="18"/>
  <c r="C361" i="18"/>
  <c r="C360" i="18"/>
  <c r="C359" i="18"/>
  <c r="C358" i="18"/>
  <c r="C357" i="18"/>
  <c r="C339" i="18"/>
  <c r="C338" i="18"/>
  <c r="C337" i="18"/>
  <c r="C336" i="18"/>
  <c r="C335" i="18"/>
  <c r="C320" i="18"/>
  <c r="C319" i="18"/>
  <c r="C318" i="18"/>
  <c r="C317" i="18"/>
  <c r="C316" i="18"/>
  <c r="C400" i="17"/>
  <c r="C399" i="17"/>
  <c r="C398" i="17"/>
  <c r="C397" i="17"/>
  <c r="C396" i="17"/>
  <c r="C380" i="17"/>
  <c r="C379" i="17"/>
  <c r="C378" i="17"/>
  <c r="C377" i="17"/>
  <c r="C376" i="17"/>
  <c r="C361" i="17"/>
  <c r="C360" i="17"/>
  <c r="C359" i="17"/>
  <c r="C358" i="17"/>
  <c r="C357" i="17"/>
  <c r="C339" i="17"/>
  <c r="C338" i="17"/>
  <c r="C337" i="17"/>
  <c r="C336" i="17"/>
  <c r="C335" i="17"/>
  <c r="C320" i="17"/>
  <c r="C319" i="17"/>
  <c r="C318" i="17"/>
  <c r="C317" i="17"/>
  <c r="C316" i="17"/>
  <c r="C400" i="9"/>
  <c r="C399" i="9"/>
  <c r="C398" i="9"/>
  <c r="C397" i="9"/>
  <c r="C396" i="9"/>
  <c r="C380" i="9"/>
  <c r="C379" i="9"/>
  <c r="C378" i="9"/>
  <c r="C377" i="9"/>
  <c r="C376" i="9"/>
  <c r="C361" i="9"/>
  <c r="C360" i="9"/>
  <c r="C359" i="9"/>
  <c r="C358" i="9"/>
  <c r="C357" i="9"/>
  <c r="C339" i="9"/>
  <c r="C338" i="9"/>
  <c r="C337" i="9"/>
  <c r="C336" i="9"/>
  <c r="C335" i="9"/>
  <c r="C320" i="9"/>
  <c r="C319" i="9"/>
  <c r="C318" i="9"/>
  <c r="C317" i="9"/>
  <c r="C316" i="9"/>
  <c r="C301" i="36"/>
  <c r="C300" i="36"/>
  <c r="C299" i="36"/>
  <c r="C298" i="36"/>
  <c r="C297" i="36"/>
  <c r="C301" i="35"/>
  <c r="C300" i="35"/>
  <c r="C299" i="35"/>
  <c r="C298" i="35"/>
  <c r="C297" i="35"/>
  <c r="C301" i="34"/>
  <c r="C300" i="34"/>
  <c r="C299" i="34"/>
  <c r="C298" i="34"/>
  <c r="C297" i="34"/>
  <c r="C301" i="33"/>
  <c r="C300" i="33"/>
  <c r="C299" i="33"/>
  <c r="C298" i="33"/>
  <c r="C297" i="33"/>
  <c r="C301" i="32"/>
  <c r="C300" i="32"/>
  <c r="C299" i="32"/>
  <c r="C298" i="32"/>
  <c r="C297" i="32"/>
  <c r="C301" i="31"/>
  <c r="C300" i="31"/>
  <c r="C299" i="31"/>
  <c r="C298" i="31"/>
  <c r="C297" i="31"/>
  <c r="C301" i="30"/>
  <c r="C300" i="30"/>
  <c r="C299" i="30"/>
  <c r="C298" i="30"/>
  <c r="C297" i="30"/>
  <c r="C301" i="29"/>
  <c r="C300" i="29"/>
  <c r="C299" i="29"/>
  <c r="C298" i="29"/>
  <c r="C297" i="29"/>
  <c r="C301" i="28"/>
  <c r="C300" i="28"/>
  <c r="C299" i="28"/>
  <c r="C298" i="28"/>
  <c r="C297" i="28"/>
  <c r="C301" i="27"/>
  <c r="C300" i="27"/>
  <c r="C299" i="27"/>
  <c r="C298" i="27"/>
  <c r="C297" i="27"/>
  <c r="C301" i="26"/>
  <c r="C300" i="26"/>
  <c r="C299" i="26"/>
  <c r="C298" i="26"/>
  <c r="C297" i="26"/>
  <c r="C301" i="25"/>
  <c r="C300" i="25"/>
  <c r="C299" i="25"/>
  <c r="C298" i="25"/>
  <c r="C297" i="25"/>
  <c r="C301" i="24"/>
  <c r="C300" i="24"/>
  <c r="C299" i="24"/>
  <c r="C298" i="24"/>
  <c r="C297" i="24"/>
  <c r="C301" i="23"/>
  <c r="C300" i="23"/>
  <c r="C299" i="23"/>
  <c r="C298" i="23"/>
  <c r="C297" i="23"/>
  <c r="C301" i="21"/>
  <c r="C300" i="21"/>
  <c r="C299" i="21"/>
  <c r="C298" i="21"/>
  <c r="C297" i="21"/>
  <c r="C301" i="20"/>
  <c r="C300" i="20"/>
  <c r="C299" i="20"/>
  <c r="C298" i="20"/>
  <c r="C297" i="20"/>
  <c r="C301" i="19"/>
  <c r="C300" i="19"/>
  <c r="C299" i="19"/>
  <c r="C298" i="19"/>
  <c r="C297" i="19"/>
  <c r="C301" i="18"/>
  <c r="C300" i="18"/>
  <c r="C299" i="18"/>
  <c r="C298" i="18"/>
  <c r="C297" i="18"/>
  <c r="C301" i="17"/>
  <c r="C300" i="17"/>
  <c r="C299" i="17"/>
  <c r="C298" i="17"/>
  <c r="C297" i="17"/>
  <c r="C301" i="9"/>
  <c r="C300" i="9"/>
  <c r="C299" i="9"/>
  <c r="C298" i="9"/>
  <c r="C297" i="9"/>
  <c r="C280" i="36"/>
  <c r="C279" i="36"/>
  <c r="C278" i="36"/>
  <c r="C277" i="36"/>
  <c r="C276" i="36"/>
  <c r="C280" i="35"/>
  <c r="C279" i="35"/>
  <c r="C278" i="35"/>
  <c r="C277" i="35"/>
  <c r="C276" i="35"/>
  <c r="C280" i="34"/>
  <c r="C279" i="34"/>
  <c r="C278" i="34"/>
  <c r="C277" i="34"/>
  <c r="C276" i="34"/>
  <c r="C280" i="33"/>
  <c r="C279" i="33"/>
  <c r="C278" i="33"/>
  <c r="C277" i="33"/>
  <c r="C276" i="33"/>
  <c r="C280" i="32"/>
  <c r="C279" i="32"/>
  <c r="C278" i="32"/>
  <c r="C277" i="32"/>
  <c r="C276" i="32"/>
  <c r="C280" i="31"/>
  <c r="C279" i="31"/>
  <c r="C278" i="31"/>
  <c r="C277" i="31"/>
  <c r="C276" i="31"/>
  <c r="C280" i="30"/>
  <c r="C279" i="30"/>
  <c r="C278" i="30"/>
  <c r="C277" i="30"/>
  <c r="C276" i="30"/>
  <c r="C280" i="29"/>
  <c r="C279" i="29"/>
  <c r="C278" i="29"/>
  <c r="C277" i="29"/>
  <c r="C276" i="29"/>
  <c r="C280" i="28"/>
  <c r="C279" i="28"/>
  <c r="C278" i="28"/>
  <c r="C277" i="28"/>
  <c r="C276" i="28"/>
  <c r="C280" i="27"/>
  <c r="C279" i="27"/>
  <c r="C278" i="27"/>
  <c r="C277" i="27"/>
  <c r="C276" i="27"/>
  <c r="C280" i="26"/>
  <c r="C279" i="26"/>
  <c r="C278" i="26"/>
  <c r="C277" i="26"/>
  <c r="C276" i="26"/>
  <c r="C280" i="25"/>
  <c r="C279" i="25"/>
  <c r="C278" i="25"/>
  <c r="C277" i="25"/>
  <c r="C276" i="25"/>
  <c r="C280" i="24"/>
  <c r="C279" i="24"/>
  <c r="C278" i="24"/>
  <c r="C277" i="24"/>
  <c r="C276" i="24"/>
  <c r="C280" i="23"/>
  <c r="C279" i="23"/>
  <c r="C278" i="23"/>
  <c r="C277" i="23"/>
  <c r="C276" i="23"/>
  <c r="C280" i="21"/>
  <c r="C279" i="21"/>
  <c r="C278" i="21"/>
  <c r="C277" i="21"/>
  <c r="C276" i="21"/>
  <c r="C280" i="20"/>
  <c r="C279" i="20"/>
  <c r="C278" i="20"/>
  <c r="C277" i="20"/>
  <c r="C276" i="20"/>
  <c r="C280" i="19"/>
  <c r="C279" i="19"/>
  <c r="C278" i="19"/>
  <c r="C277" i="19"/>
  <c r="C276" i="19"/>
  <c r="C280" i="18"/>
  <c r="C279" i="18"/>
  <c r="C278" i="18"/>
  <c r="C277" i="18"/>
  <c r="C276" i="18"/>
  <c r="C280" i="17"/>
  <c r="C279" i="17"/>
  <c r="C278" i="17"/>
  <c r="C277" i="17"/>
  <c r="C276" i="17"/>
  <c r="C280" i="9"/>
  <c r="C279" i="9"/>
  <c r="C278" i="9"/>
  <c r="C277" i="9"/>
  <c r="C276" i="9"/>
  <c r="C251" i="36"/>
  <c r="C250" i="36"/>
  <c r="C249" i="36"/>
  <c r="C248" i="36"/>
  <c r="C247" i="36"/>
  <c r="C231" i="36"/>
  <c r="C230" i="36"/>
  <c r="C229" i="36"/>
  <c r="C228" i="36"/>
  <c r="C227" i="36"/>
  <c r="C210" i="36"/>
  <c r="C209" i="36"/>
  <c r="C208" i="36"/>
  <c r="C207" i="36"/>
  <c r="C206" i="36"/>
  <c r="C190" i="36"/>
  <c r="C189" i="36"/>
  <c r="C188" i="36"/>
  <c r="C187" i="36"/>
  <c r="C186" i="36"/>
  <c r="C170" i="36"/>
  <c r="C169" i="36"/>
  <c r="C168" i="36"/>
  <c r="C167" i="36"/>
  <c r="C166" i="36"/>
  <c r="C251" i="35"/>
  <c r="C250" i="35"/>
  <c r="C249" i="35"/>
  <c r="C248" i="35"/>
  <c r="C247" i="35"/>
  <c r="C231" i="35"/>
  <c r="C230" i="35"/>
  <c r="C229" i="35"/>
  <c r="C228" i="35"/>
  <c r="C227" i="35"/>
  <c r="C210" i="35"/>
  <c r="C209" i="35"/>
  <c r="C208" i="35"/>
  <c r="C207" i="35"/>
  <c r="C206" i="35"/>
  <c r="C190" i="35"/>
  <c r="C189" i="35"/>
  <c r="C188" i="35"/>
  <c r="C187" i="35"/>
  <c r="C186" i="35"/>
  <c r="C170" i="35"/>
  <c r="C169" i="35"/>
  <c r="C168" i="35"/>
  <c r="C167" i="35"/>
  <c r="C166" i="35"/>
  <c r="C251" i="34"/>
  <c r="C250" i="34"/>
  <c r="C249" i="34"/>
  <c r="C248" i="34"/>
  <c r="C247" i="34"/>
  <c r="C231" i="34"/>
  <c r="C230" i="34"/>
  <c r="C229" i="34"/>
  <c r="C228" i="34"/>
  <c r="C227" i="34"/>
  <c r="C210" i="34"/>
  <c r="C209" i="34"/>
  <c r="C208" i="34"/>
  <c r="C207" i="34"/>
  <c r="C206" i="34"/>
  <c r="C190" i="34"/>
  <c r="C189" i="34"/>
  <c r="C188" i="34"/>
  <c r="C187" i="34"/>
  <c r="C186" i="34"/>
  <c r="C170" i="34"/>
  <c r="C169" i="34"/>
  <c r="C168" i="34"/>
  <c r="C167" i="34"/>
  <c r="C166" i="34"/>
  <c r="C251" i="33"/>
  <c r="C250" i="33"/>
  <c r="C249" i="33"/>
  <c r="C248" i="33"/>
  <c r="C247" i="33"/>
  <c r="C231" i="33"/>
  <c r="C230" i="33"/>
  <c r="C229" i="33"/>
  <c r="C228" i="33"/>
  <c r="C227" i="33"/>
  <c r="C210" i="33"/>
  <c r="C209" i="33"/>
  <c r="C208" i="33"/>
  <c r="C207" i="33"/>
  <c r="C206" i="33"/>
  <c r="C190" i="33"/>
  <c r="C189" i="33"/>
  <c r="C188" i="33"/>
  <c r="C187" i="33"/>
  <c r="C186" i="33"/>
  <c r="C170" i="33"/>
  <c r="C169" i="33"/>
  <c r="C168" i="33"/>
  <c r="C167" i="33"/>
  <c r="C166" i="33"/>
  <c r="C251" i="32"/>
  <c r="C250" i="32"/>
  <c r="C249" i="32"/>
  <c r="C248" i="32"/>
  <c r="C247" i="32"/>
  <c r="C231" i="32"/>
  <c r="C230" i="32"/>
  <c r="C229" i="32"/>
  <c r="C228" i="32"/>
  <c r="C227" i="32"/>
  <c r="C210" i="32"/>
  <c r="C209" i="32"/>
  <c r="C208" i="32"/>
  <c r="C207" i="32"/>
  <c r="C206" i="32"/>
  <c r="C190" i="32"/>
  <c r="C189" i="32"/>
  <c r="C188" i="32"/>
  <c r="C187" i="32"/>
  <c r="C186" i="32"/>
  <c r="C170" i="32"/>
  <c r="C169" i="32"/>
  <c r="C168" i="32"/>
  <c r="C167" i="32"/>
  <c r="C166" i="32"/>
  <c r="C251" i="31"/>
  <c r="C250" i="31"/>
  <c r="C249" i="31"/>
  <c r="C248" i="31"/>
  <c r="C247" i="31"/>
  <c r="C231" i="31"/>
  <c r="C230" i="31"/>
  <c r="C229" i="31"/>
  <c r="C228" i="31"/>
  <c r="C227" i="31"/>
  <c r="C210" i="31"/>
  <c r="C209" i="31"/>
  <c r="C208" i="31"/>
  <c r="C207" i="31"/>
  <c r="C206" i="31"/>
  <c r="C190" i="31"/>
  <c r="C189" i="31"/>
  <c r="C188" i="31"/>
  <c r="C187" i="31"/>
  <c r="C186" i="31"/>
  <c r="C170" i="31"/>
  <c r="C169" i="31"/>
  <c r="C168" i="31"/>
  <c r="C167" i="31"/>
  <c r="C166" i="31"/>
  <c r="C251" i="30"/>
  <c r="C250" i="30"/>
  <c r="C249" i="30"/>
  <c r="C248" i="30"/>
  <c r="C247" i="30"/>
  <c r="C231" i="30"/>
  <c r="C230" i="30"/>
  <c r="C229" i="30"/>
  <c r="C228" i="30"/>
  <c r="C227" i="30"/>
  <c r="C210" i="30"/>
  <c r="C209" i="30"/>
  <c r="C208" i="30"/>
  <c r="C207" i="30"/>
  <c r="C206" i="30"/>
  <c r="C190" i="30"/>
  <c r="C189" i="30"/>
  <c r="C188" i="30"/>
  <c r="C187" i="30"/>
  <c r="C186" i="30"/>
  <c r="C170" i="30"/>
  <c r="C169" i="30"/>
  <c r="C168" i="30"/>
  <c r="C167" i="30"/>
  <c r="C166" i="30"/>
  <c r="C251" i="29"/>
  <c r="C250" i="29"/>
  <c r="C249" i="29"/>
  <c r="C248" i="29"/>
  <c r="C247" i="29"/>
  <c r="C231" i="29"/>
  <c r="C230" i="29"/>
  <c r="C229" i="29"/>
  <c r="C228" i="29"/>
  <c r="C227" i="29"/>
  <c r="C210" i="29"/>
  <c r="C209" i="29"/>
  <c r="C208" i="29"/>
  <c r="C207" i="29"/>
  <c r="C206" i="29"/>
  <c r="C190" i="29"/>
  <c r="C189" i="29"/>
  <c r="C188" i="29"/>
  <c r="C187" i="29"/>
  <c r="C186" i="29"/>
  <c r="C170" i="29"/>
  <c r="C169" i="29"/>
  <c r="C168" i="29"/>
  <c r="C167" i="29"/>
  <c r="C166" i="29"/>
  <c r="C251" i="28"/>
  <c r="C250" i="28"/>
  <c r="C249" i="28"/>
  <c r="C248" i="28"/>
  <c r="C247" i="28"/>
  <c r="C231" i="28"/>
  <c r="C230" i="28"/>
  <c r="C229" i="28"/>
  <c r="C228" i="28"/>
  <c r="C227" i="28"/>
  <c r="C210" i="28"/>
  <c r="C209" i="28"/>
  <c r="C208" i="28"/>
  <c r="C207" i="28"/>
  <c r="C206" i="28"/>
  <c r="C190" i="28"/>
  <c r="C189" i="28"/>
  <c r="C188" i="28"/>
  <c r="C187" i="28"/>
  <c r="C186" i="28"/>
  <c r="C170" i="28"/>
  <c r="C169" i="28"/>
  <c r="C168" i="28"/>
  <c r="C167" i="28"/>
  <c r="C166" i="28"/>
  <c r="C251" i="27"/>
  <c r="C250" i="27"/>
  <c r="C249" i="27"/>
  <c r="C248" i="27"/>
  <c r="C247" i="27"/>
  <c r="C231" i="27"/>
  <c r="C230" i="27"/>
  <c r="C229" i="27"/>
  <c r="C228" i="27"/>
  <c r="C227" i="27"/>
  <c r="C210" i="27"/>
  <c r="C209" i="27"/>
  <c r="C208" i="27"/>
  <c r="C207" i="27"/>
  <c r="C206" i="27"/>
  <c r="C190" i="27"/>
  <c r="C189" i="27"/>
  <c r="C188" i="27"/>
  <c r="C187" i="27"/>
  <c r="C186" i="27"/>
  <c r="C170" i="27"/>
  <c r="C169" i="27"/>
  <c r="C168" i="27"/>
  <c r="C167" i="27"/>
  <c r="C166" i="27"/>
  <c r="C251" i="26"/>
  <c r="C250" i="26"/>
  <c r="C249" i="26"/>
  <c r="C248" i="26"/>
  <c r="C247" i="26"/>
  <c r="C231" i="26"/>
  <c r="C230" i="26"/>
  <c r="C229" i="26"/>
  <c r="C228" i="26"/>
  <c r="C227" i="26"/>
  <c r="C210" i="26"/>
  <c r="C209" i="26"/>
  <c r="C208" i="26"/>
  <c r="C207" i="26"/>
  <c r="C206" i="26"/>
  <c r="C190" i="26"/>
  <c r="C189" i="26"/>
  <c r="C188" i="26"/>
  <c r="C187" i="26"/>
  <c r="C186" i="26"/>
  <c r="C170" i="26"/>
  <c r="C169" i="26"/>
  <c r="C168" i="26"/>
  <c r="C167" i="26"/>
  <c r="C166" i="26"/>
  <c r="C251" i="25"/>
  <c r="C250" i="25"/>
  <c r="C249" i="25"/>
  <c r="C248" i="25"/>
  <c r="C247" i="25"/>
  <c r="C231" i="25"/>
  <c r="C230" i="25"/>
  <c r="C229" i="25"/>
  <c r="C228" i="25"/>
  <c r="C227" i="25"/>
  <c r="C210" i="25"/>
  <c r="C209" i="25"/>
  <c r="C208" i="25"/>
  <c r="C207" i="25"/>
  <c r="C206" i="25"/>
  <c r="C190" i="25"/>
  <c r="C189" i="25"/>
  <c r="C188" i="25"/>
  <c r="C187" i="25"/>
  <c r="C186" i="25"/>
  <c r="C170" i="25"/>
  <c r="C169" i="25"/>
  <c r="C168" i="25"/>
  <c r="C167" i="25"/>
  <c r="C166" i="25"/>
  <c r="C251" i="24"/>
  <c r="C250" i="24"/>
  <c r="C249" i="24"/>
  <c r="C248" i="24"/>
  <c r="C247" i="24"/>
  <c r="C231" i="24"/>
  <c r="C230" i="24"/>
  <c r="C229" i="24"/>
  <c r="C228" i="24"/>
  <c r="C227" i="24"/>
  <c r="C210" i="24"/>
  <c r="C209" i="24"/>
  <c r="C208" i="24"/>
  <c r="C207" i="24"/>
  <c r="C206" i="24"/>
  <c r="C190" i="24"/>
  <c r="C189" i="24"/>
  <c r="C188" i="24"/>
  <c r="C187" i="24"/>
  <c r="C186" i="24"/>
  <c r="C170" i="24"/>
  <c r="C169" i="24"/>
  <c r="C168" i="24"/>
  <c r="C167" i="24"/>
  <c r="C166" i="24"/>
  <c r="C251" i="23"/>
  <c r="C250" i="23"/>
  <c r="C249" i="23"/>
  <c r="C248" i="23"/>
  <c r="C247" i="23"/>
  <c r="C231" i="23"/>
  <c r="C230" i="23"/>
  <c r="C229" i="23"/>
  <c r="C228" i="23"/>
  <c r="C227" i="23"/>
  <c r="C210" i="23"/>
  <c r="C209" i="23"/>
  <c r="C208" i="23"/>
  <c r="C207" i="23"/>
  <c r="C206" i="23"/>
  <c r="C190" i="23"/>
  <c r="C189" i="23"/>
  <c r="C188" i="23"/>
  <c r="C187" i="23"/>
  <c r="C186" i="23"/>
  <c r="C170" i="23"/>
  <c r="C169" i="23"/>
  <c r="C168" i="23"/>
  <c r="C167" i="23"/>
  <c r="C166" i="23"/>
  <c r="C251" i="21"/>
  <c r="C250" i="21"/>
  <c r="C249" i="21"/>
  <c r="C248" i="21"/>
  <c r="C247" i="21"/>
  <c r="C231" i="21"/>
  <c r="C230" i="21"/>
  <c r="C229" i="21"/>
  <c r="C228" i="21"/>
  <c r="C227" i="21"/>
  <c r="C210" i="21"/>
  <c r="C209" i="21"/>
  <c r="C208" i="21"/>
  <c r="C207" i="21"/>
  <c r="C206" i="21"/>
  <c r="C190" i="21"/>
  <c r="C189" i="21"/>
  <c r="C188" i="21"/>
  <c r="C187" i="21"/>
  <c r="C186" i="21"/>
  <c r="C170" i="21"/>
  <c r="C169" i="21"/>
  <c r="C168" i="21"/>
  <c r="C167" i="21"/>
  <c r="C166" i="21"/>
  <c r="C251" i="20"/>
  <c r="C250" i="20"/>
  <c r="C249" i="20"/>
  <c r="C248" i="20"/>
  <c r="C247" i="20"/>
  <c r="C231" i="20"/>
  <c r="C230" i="20"/>
  <c r="C229" i="20"/>
  <c r="C228" i="20"/>
  <c r="C227" i="20"/>
  <c r="C210" i="20"/>
  <c r="C209" i="20"/>
  <c r="C208" i="20"/>
  <c r="C207" i="20"/>
  <c r="C206" i="20"/>
  <c r="C190" i="20"/>
  <c r="C189" i="20"/>
  <c r="C188" i="20"/>
  <c r="C187" i="20"/>
  <c r="C186" i="20"/>
  <c r="C170" i="20"/>
  <c r="C169" i="20"/>
  <c r="C168" i="20"/>
  <c r="C167" i="20"/>
  <c r="C166" i="20"/>
  <c r="C251" i="19"/>
  <c r="C250" i="19"/>
  <c r="C249" i="19"/>
  <c r="C248" i="19"/>
  <c r="C247" i="19"/>
  <c r="C231" i="19"/>
  <c r="C230" i="19"/>
  <c r="C229" i="19"/>
  <c r="C228" i="19"/>
  <c r="C227" i="19"/>
  <c r="C210" i="19"/>
  <c r="C209" i="19"/>
  <c r="C208" i="19"/>
  <c r="C207" i="19"/>
  <c r="C206" i="19"/>
  <c r="C190" i="19"/>
  <c r="C189" i="19"/>
  <c r="C188" i="19"/>
  <c r="C187" i="19"/>
  <c r="C186" i="19"/>
  <c r="C170" i="19"/>
  <c r="C169" i="19"/>
  <c r="C168" i="19"/>
  <c r="C167" i="19"/>
  <c r="C166" i="19"/>
  <c r="C251" i="18"/>
  <c r="C250" i="18"/>
  <c r="C249" i="18"/>
  <c r="C248" i="18"/>
  <c r="C247" i="18"/>
  <c r="C231" i="18"/>
  <c r="C230" i="18"/>
  <c r="C229" i="18"/>
  <c r="C228" i="18"/>
  <c r="C227" i="18"/>
  <c r="C210" i="18"/>
  <c r="C209" i="18"/>
  <c r="C208" i="18"/>
  <c r="C207" i="18"/>
  <c r="C206" i="18"/>
  <c r="C190" i="18"/>
  <c r="C189" i="18"/>
  <c r="C188" i="18"/>
  <c r="C187" i="18"/>
  <c r="C186" i="18"/>
  <c r="C170" i="18"/>
  <c r="C169" i="18"/>
  <c r="C168" i="18"/>
  <c r="C167" i="18"/>
  <c r="C166" i="18"/>
  <c r="C251" i="17"/>
  <c r="C250" i="17"/>
  <c r="C249" i="17"/>
  <c r="C248" i="17"/>
  <c r="C247" i="17"/>
  <c r="C231" i="17"/>
  <c r="C230" i="17"/>
  <c r="C229" i="17"/>
  <c r="C228" i="17"/>
  <c r="C227" i="17"/>
  <c r="C210" i="17"/>
  <c r="C209" i="17"/>
  <c r="C208" i="17"/>
  <c r="C207" i="17"/>
  <c r="C206" i="17"/>
  <c r="C190" i="17"/>
  <c r="C189" i="17"/>
  <c r="C188" i="17"/>
  <c r="C187" i="17"/>
  <c r="C186" i="17"/>
  <c r="C170" i="17"/>
  <c r="C169" i="17"/>
  <c r="C168" i="17"/>
  <c r="C167" i="17"/>
  <c r="C166" i="17"/>
  <c r="C251" i="9"/>
  <c r="C250" i="9"/>
  <c r="C249" i="9"/>
  <c r="C248" i="9"/>
  <c r="C247" i="9"/>
  <c r="C231" i="9"/>
  <c r="C230" i="9"/>
  <c r="C229" i="9"/>
  <c r="C228" i="9"/>
  <c r="C227" i="9"/>
  <c r="C210" i="9"/>
  <c r="C209" i="9"/>
  <c r="C208" i="9"/>
  <c r="C207" i="9"/>
  <c r="C206" i="9"/>
  <c r="C190" i="9"/>
  <c r="C189" i="9"/>
  <c r="C188" i="9"/>
  <c r="C187" i="9"/>
  <c r="C186" i="9"/>
  <c r="C170" i="9"/>
  <c r="C169" i="9"/>
  <c r="C168" i="9"/>
  <c r="C167" i="9"/>
  <c r="C166" i="9"/>
  <c r="C149" i="36"/>
  <c r="C148" i="36"/>
  <c r="C147" i="36"/>
  <c r="C146" i="36"/>
  <c r="C145" i="36"/>
  <c r="C149" i="35"/>
  <c r="C148" i="35"/>
  <c r="C147" i="35"/>
  <c r="C146" i="35"/>
  <c r="C145" i="35"/>
  <c r="C149" i="34"/>
  <c r="C148" i="34"/>
  <c r="C147" i="34"/>
  <c r="C146" i="34"/>
  <c r="C145" i="34"/>
  <c r="C149" i="33"/>
  <c r="C148" i="33"/>
  <c r="C147" i="33"/>
  <c r="C146" i="33"/>
  <c r="C145" i="33"/>
  <c r="C149" i="32"/>
  <c r="C148" i="32"/>
  <c r="C147" i="32"/>
  <c r="C146" i="32"/>
  <c r="C145" i="32"/>
  <c r="C149" i="31"/>
  <c r="C148" i="31"/>
  <c r="C147" i="31"/>
  <c r="C146" i="31"/>
  <c r="C145" i="31"/>
  <c r="C149" i="30"/>
  <c r="C148" i="30"/>
  <c r="C147" i="30"/>
  <c r="C146" i="30"/>
  <c r="C145" i="30"/>
  <c r="C149" i="29"/>
  <c r="C148" i="29"/>
  <c r="C147" i="29"/>
  <c r="C146" i="29"/>
  <c r="C145" i="29"/>
  <c r="C149" i="28"/>
  <c r="C148" i="28"/>
  <c r="C147" i="28"/>
  <c r="C146" i="28"/>
  <c r="C145" i="28"/>
  <c r="C149" i="27"/>
  <c r="C148" i="27"/>
  <c r="C147" i="27"/>
  <c r="C146" i="27"/>
  <c r="C145" i="27"/>
  <c r="C149" i="26"/>
  <c r="C148" i="26"/>
  <c r="C147" i="26"/>
  <c r="C146" i="26"/>
  <c r="C145" i="26"/>
  <c r="C149" i="25"/>
  <c r="C148" i="25"/>
  <c r="C147" i="25"/>
  <c r="C146" i="25"/>
  <c r="C145" i="25"/>
  <c r="C149" i="24"/>
  <c r="C148" i="24"/>
  <c r="C147" i="24"/>
  <c r="C146" i="24"/>
  <c r="C145" i="24"/>
  <c r="C149" i="23"/>
  <c r="C148" i="23"/>
  <c r="C147" i="23"/>
  <c r="C146" i="23"/>
  <c r="C145" i="23"/>
  <c r="C149" i="21"/>
  <c r="C148" i="21"/>
  <c r="C147" i="21"/>
  <c r="C146" i="21"/>
  <c r="C145" i="21"/>
  <c r="C149" i="20"/>
  <c r="C148" i="20"/>
  <c r="C147" i="20"/>
  <c r="C146" i="20"/>
  <c r="C145" i="20"/>
  <c r="C149" i="19"/>
  <c r="C148" i="19"/>
  <c r="C147" i="19"/>
  <c r="C146" i="19"/>
  <c r="C145" i="19"/>
  <c r="C149" i="18"/>
  <c r="C148" i="18"/>
  <c r="C147" i="18"/>
  <c r="C146" i="18"/>
  <c r="C145" i="18"/>
  <c r="C149" i="17"/>
  <c r="C148" i="17"/>
  <c r="C147" i="17"/>
  <c r="C146" i="17"/>
  <c r="C145" i="17"/>
  <c r="C149" i="9"/>
  <c r="C148" i="9"/>
  <c r="C147" i="9"/>
  <c r="C146" i="9"/>
  <c r="C145" i="9"/>
  <c r="C108" i="36"/>
  <c r="C107" i="36"/>
  <c r="C106" i="36"/>
  <c r="C105" i="36"/>
  <c r="C104" i="36"/>
  <c r="C89" i="36"/>
  <c r="C88" i="36"/>
  <c r="C87" i="36"/>
  <c r="C86" i="36"/>
  <c r="C85" i="36"/>
  <c r="C70" i="36"/>
  <c r="C69" i="36"/>
  <c r="C68" i="36"/>
  <c r="C67" i="36"/>
  <c r="C66" i="36"/>
  <c r="C51" i="36"/>
  <c r="C50" i="36"/>
  <c r="C49" i="36"/>
  <c r="C48" i="36"/>
  <c r="C47" i="36"/>
  <c r="C108" i="35"/>
  <c r="C107" i="35"/>
  <c r="C106" i="35"/>
  <c r="C105" i="35"/>
  <c r="C104" i="35"/>
  <c r="C89" i="35"/>
  <c r="C88" i="35"/>
  <c r="C87" i="35"/>
  <c r="C86" i="35"/>
  <c r="C85" i="35"/>
  <c r="C70" i="35"/>
  <c r="C69" i="35"/>
  <c r="C68" i="35"/>
  <c r="C67" i="35"/>
  <c r="C66" i="35"/>
  <c r="C51" i="35"/>
  <c r="C50" i="35"/>
  <c r="C49" i="35"/>
  <c r="C48" i="35"/>
  <c r="C47" i="35"/>
  <c r="C108" i="34"/>
  <c r="C107" i="34"/>
  <c r="C106" i="34"/>
  <c r="C105" i="34"/>
  <c r="C104" i="34"/>
  <c r="C89" i="34"/>
  <c r="C88" i="34"/>
  <c r="C87" i="34"/>
  <c r="C86" i="34"/>
  <c r="C85" i="34"/>
  <c r="C70" i="34"/>
  <c r="C69" i="34"/>
  <c r="C68" i="34"/>
  <c r="C67" i="34"/>
  <c r="C66" i="34"/>
  <c r="C51" i="34"/>
  <c r="C50" i="34"/>
  <c r="C49" i="34"/>
  <c r="C48" i="34"/>
  <c r="C47" i="34"/>
  <c r="C108" i="33"/>
  <c r="C107" i="33"/>
  <c r="C106" i="33"/>
  <c r="C105" i="33"/>
  <c r="C104" i="33"/>
  <c r="C89" i="33"/>
  <c r="C88" i="33"/>
  <c r="C87" i="33"/>
  <c r="C86" i="33"/>
  <c r="C85" i="33"/>
  <c r="C70" i="33"/>
  <c r="C69" i="33"/>
  <c r="C68" i="33"/>
  <c r="C67" i="33"/>
  <c r="C66" i="33"/>
  <c r="C51" i="33"/>
  <c r="C50" i="33"/>
  <c r="C49" i="33"/>
  <c r="C48" i="33"/>
  <c r="C47" i="33"/>
  <c r="C108" i="32"/>
  <c r="C107" i="32"/>
  <c r="C106" i="32"/>
  <c r="C105" i="32"/>
  <c r="C104" i="32"/>
  <c r="C89" i="32"/>
  <c r="C88" i="32"/>
  <c r="C87" i="32"/>
  <c r="C86" i="32"/>
  <c r="C85" i="32"/>
  <c r="C70" i="32"/>
  <c r="C69" i="32"/>
  <c r="C68" i="32"/>
  <c r="C67" i="32"/>
  <c r="C66" i="32"/>
  <c r="C51" i="32"/>
  <c r="C50" i="32"/>
  <c r="C49" i="32"/>
  <c r="C48" i="32"/>
  <c r="C47" i="32"/>
  <c r="C108" i="31"/>
  <c r="C107" i="31"/>
  <c r="C106" i="31"/>
  <c r="C105" i="31"/>
  <c r="C104" i="31"/>
  <c r="C89" i="31"/>
  <c r="C88" i="31"/>
  <c r="C87" i="31"/>
  <c r="C86" i="31"/>
  <c r="C85" i="31"/>
  <c r="C70" i="31"/>
  <c r="C69" i="31"/>
  <c r="C68" i="31"/>
  <c r="C67" i="31"/>
  <c r="C66" i="31"/>
  <c r="C51" i="31"/>
  <c r="C50" i="31"/>
  <c r="C49" i="31"/>
  <c r="C48" i="31"/>
  <c r="C47" i="31"/>
  <c r="C108" i="30"/>
  <c r="C107" i="30"/>
  <c r="C106" i="30"/>
  <c r="C105" i="30"/>
  <c r="C104" i="30"/>
  <c r="C89" i="30"/>
  <c r="C88" i="30"/>
  <c r="C87" i="30"/>
  <c r="C86" i="30"/>
  <c r="C85" i="30"/>
  <c r="C70" i="30"/>
  <c r="C69" i="30"/>
  <c r="C68" i="30"/>
  <c r="C67" i="30"/>
  <c r="C66" i="30"/>
  <c r="C51" i="30"/>
  <c r="C50" i="30"/>
  <c r="C49" i="30"/>
  <c r="C48" i="30"/>
  <c r="C47" i="30"/>
  <c r="C108" i="29"/>
  <c r="C107" i="29"/>
  <c r="C106" i="29"/>
  <c r="C105" i="29"/>
  <c r="C104" i="29"/>
  <c r="C89" i="29"/>
  <c r="C88" i="29"/>
  <c r="C87" i="29"/>
  <c r="C86" i="29"/>
  <c r="C85" i="29"/>
  <c r="C70" i="29"/>
  <c r="C69" i="29"/>
  <c r="C68" i="29"/>
  <c r="C67" i="29"/>
  <c r="C66" i="29"/>
  <c r="C51" i="29"/>
  <c r="C50" i="29"/>
  <c r="C49" i="29"/>
  <c r="C48" i="29"/>
  <c r="C47" i="29"/>
  <c r="C108" i="28"/>
  <c r="C107" i="28"/>
  <c r="C106" i="28"/>
  <c r="C105" i="28"/>
  <c r="C104" i="28"/>
  <c r="C89" i="28"/>
  <c r="C88" i="28"/>
  <c r="C87" i="28"/>
  <c r="C86" i="28"/>
  <c r="C85" i="28"/>
  <c r="C70" i="28"/>
  <c r="C69" i="28"/>
  <c r="C68" i="28"/>
  <c r="C67" i="28"/>
  <c r="C66" i="28"/>
  <c r="C51" i="28"/>
  <c r="C50" i="28"/>
  <c r="C49" i="28"/>
  <c r="C48" i="28"/>
  <c r="C47" i="28"/>
  <c r="C108" i="27"/>
  <c r="C107" i="27"/>
  <c r="C106" i="27"/>
  <c r="C105" i="27"/>
  <c r="C104" i="27"/>
  <c r="C89" i="27"/>
  <c r="C88" i="27"/>
  <c r="C87" i="27"/>
  <c r="C86" i="27"/>
  <c r="C85" i="27"/>
  <c r="C70" i="27"/>
  <c r="C69" i="27"/>
  <c r="C68" i="27"/>
  <c r="C67" i="27"/>
  <c r="C66" i="27"/>
  <c r="C51" i="27"/>
  <c r="C50" i="27"/>
  <c r="C49" i="27"/>
  <c r="C48" i="27"/>
  <c r="C47" i="27"/>
  <c r="C108" i="26"/>
  <c r="C107" i="26"/>
  <c r="C106" i="26"/>
  <c r="C105" i="26"/>
  <c r="C104" i="26"/>
  <c r="C89" i="26"/>
  <c r="C88" i="26"/>
  <c r="C87" i="26"/>
  <c r="C86" i="26"/>
  <c r="C85" i="26"/>
  <c r="C70" i="26"/>
  <c r="C69" i="26"/>
  <c r="C68" i="26"/>
  <c r="C67" i="26"/>
  <c r="C66" i="26"/>
  <c r="C51" i="26"/>
  <c r="C50" i="26"/>
  <c r="C49" i="26"/>
  <c r="C48" i="26"/>
  <c r="C47" i="26"/>
  <c r="C108" i="25"/>
  <c r="C107" i="25"/>
  <c r="C106" i="25"/>
  <c r="C105" i="25"/>
  <c r="C104" i="25"/>
  <c r="C89" i="25"/>
  <c r="C88" i="25"/>
  <c r="C87" i="25"/>
  <c r="C86" i="25"/>
  <c r="C85" i="25"/>
  <c r="C70" i="25"/>
  <c r="C69" i="25"/>
  <c r="C68" i="25"/>
  <c r="C67" i="25"/>
  <c r="C66" i="25"/>
  <c r="C51" i="25"/>
  <c r="C50" i="25"/>
  <c r="C49" i="25"/>
  <c r="C48" i="25"/>
  <c r="C47" i="25"/>
  <c r="C108" i="24"/>
  <c r="C107" i="24"/>
  <c r="C106" i="24"/>
  <c r="C105" i="24"/>
  <c r="C104" i="24"/>
  <c r="C89" i="24"/>
  <c r="C88" i="24"/>
  <c r="C87" i="24"/>
  <c r="C86" i="24"/>
  <c r="C85" i="24"/>
  <c r="C70" i="24"/>
  <c r="C69" i="24"/>
  <c r="C68" i="24"/>
  <c r="C67" i="24"/>
  <c r="C66" i="24"/>
  <c r="C51" i="24"/>
  <c r="C50" i="24"/>
  <c r="C49" i="24"/>
  <c r="C48" i="24"/>
  <c r="C47" i="24"/>
  <c r="C108" i="23"/>
  <c r="C107" i="23"/>
  <c r="C106" i="23"/>
  <c r="C105" i="23"/>
  <c r="C104" i="23"/>
  <c r="C89" i="23"/>
  <c r="C88" i="23"/>
  <c r="C87" i="23"/>
  <c r="C86" i="23"/>
  <c r="C85" i="23"/>
  <c r="C70" i="23"/>
  <c r="C69" i="23"/>
  <c r="C68" i="23"/>
  <c r="C67" i="23"/>
  <c r="C66" i="23"/>
  <c r="C51" i="23"/>
  <c r="C50" i="23"/>
  <c r="C49" i="23"/>
  <c r="C48" i="23"/>
  <c r="C47" i="23"/>
  <c r="C108" i="21"/>
  <c r="C107" i="21"/>
  <c r="C106" i="21"/>
  <c r="C105" i="21"/>
  <c r="C104" i="21"/>
  <c r="C89" i="21"/>
  <c r="C88" i="21"/>
  <c r="C87" i="21"/>
  <c r="C86" i="21"/>
  <c r="C85" i="21"/>
  <c r="C70" i="21"/>
  <c r="C69" i="21"/>
  <c r="C68" i="21"/>
  <c r="C67" i="21"/>
  <c r="C66" i="21"/>
  <c r="C51" i="21"/>
  <c r="C50" i="21"/>
  <c r="C49" i="21"/>
  <c r="C48" i="21"/>
  <c r="C47" i="21"/>
  <c r="C108" i="20"/>
  <c r="C107" i="20"/>
  <c r="C106" i="20"/>
  <c r="C105" i="20"/>
  <c r="C104" i="20"/>
  <c r="C89" i="20"/>
  <c r="C88" i="20"/>
  <c r="C87" i="20"/>
  <c r="C86" i="20"/>
  <c r="C85" i="20"/>
  <c r="C70" i="20"/>
  <c r="C69" i="20"/>
  <c r="C68" i="20"/>
  <c r="C67" i="20"/>
  <c r="C66" i="20"/>
  <c r="C51" i="20"/>
  <c r="C50" i="20"/>
  <c r="C49" i="20"/>
  <c r="C48" i="20"/>
  <c r="C47" i="20"/>
  <c r="C108" i="19"/>
  <c r="C107" i="19"/>
  <c r="C106" i="19"/>
  <c r="C105" i="19"/>
  <c r="C104" i="19"/>
  <c r="C89" i="19"/>
  <c r="C88" i="19"/>
  <c r="C87" i="19"/>
  <c r="C86" i="19"/>
  <c r="C85" i="19"/>
  <c r="C70" i="19"/>
  <c r="C69" i="19"/>
  <c r="C68" i="19"/>
  <c r="C67" i="19"/>
  <c r="C66" i="19"/>
  <c r="C51" i="19"/>
  <c r="C50" i="19"/>
  <c r="C49" i="19"/>
  <c r="C48" i="19"/>
  <c r="C47" i="19"/>
  <c r="C108" i="18"/>
  <c r="C107" i="18"/>
  <c r="C106" i="18"/>
  <c r="C105" i="18"/>
  <c r="C104" i="18"/>
  <c r="C89" i="18"/>
  <c r="C88" i="18"/>
  <c r="C87" i="18"/>
  <c r="C86" i="18"/>
  <c r="C85" i="18"/>
  <c r="C70" i="18"/>
  <c r="C69" i="18"/>
  <c r="C68" i="18"/>
  <c r="C67" i="18"/>
  <c r="C66" i="18"/>
  <c r="C51" i="18"/>
  <c r="C50" i="18"/>
  <c r="C49" i="18"/>
  <c r="C48" i="18"/>
  <c r="C47" i="18"/>
  <c r="C32" i="36"/>
  <c r="C31" i="36"/>
  <c r="C30" i="36"/>
  <c r="C29" i="36"/>
  <c r="C28" i="36"/>
  <c r="C32" i="35"/>
  <c r="C31" i="35"/>
  <c r="C30" i="35"/>
  <c r="C29" i="35"/>
  <c r="C28" i="35"/>
  <c r="C32" i="34"/>
  <c r="C31" i="34"/>
  <c r="C30" i="34"/>
  <c r="C29" i="34"/>
  <c r="C28" i="34"/>
  <c r="C32" i="33"/>
  <c r="C31" i="33"/>
  <c r="C30" i="33"/>
  <c r="C29" i="33"/>
  <c r="C28" i="33"/>
  <c r="C32" i="32"/>
  <c r="C31" i="32"/>
  <c r="C30" i="32"/>
  <c r="C29" i="32"/>
  <c r="C28" i="32"/>
  <c r="C32" i="31"/>
  <c r="C31" i="31"/>
  <c r="C30" i="31"/>
  <c r="C29" i="31"/>
  <c r="C28" i="31"/>
  <c r="C32" i="30"/>
  <c r="C31" i="30"/>
  <c r="C30" i="30"/>
  <c r="C29" i="30"/>
  <c r="C28" i="30"/>
  <c r="C32" i="29"/>
  <c r="C31" i="29"/>
  <c r="C30" i="29"/>
  <c r="C29" i="29"/>
  <c r="C28" i="29"/>
  <c r="C32" i="28"/>
  <c r="C31" i="28"/>
  <c r="C30" i="28"/>
  <c r="C29" i="28"/>
  <c r="C28" i="28"/>
  <c r="C32" i="27"/>
  <c r="C31" i="27"/>
  <c r="C30" i="27"/>
  <c r="C29" i="27"/>
  <c r="C28" i="27"/>
  <c r="C32" i="26"/>
  <c r="C31" i="26"/>
  <c r="C30" i="26"/>
  <c r="C29" i="26"/>
  <c r="C28" i="26"/>
  <c r="C32" i="25"/>
  <c r="C31" i="25"/>
  <c r="C30" i="25"/>
  <c r="C29" i="25"/>
  <c r="C28" i="25"/>
  <c r="C32" i="24"/>
  <c r="C31" i="24"/>
  <c r="C30" i="24"/>
  <c r="C29" i="24"/>
  <c r="C28" i="24"/>
  <c r="C32" i="23"/>
  <c r="C31" i="23"/>
  <c r="C30" i="23"/>
  <c r="C29" i="23"/>
  <c r="C28" i="23"/>
  <c r="C32" i="21"/>
  <c r="C31" i="21"/>
  <c r="C30" i="21"/>
  <c r="C29" i="21"/>
  <c r="C28" i="21"/>
  <c r="C32" i="20"/>
  <c r="C31" i="20"/>
  <c r="C30" i="20"/>
  <c r="C29" i="20"/>
  <c r="C28" i="20"/>
  <c r="C32" i="19"/>
  <c r="C31" i="19"/>
  <c r="C30" i="19"/>
  <c r="C29" i="19"/>
  <c r="C28" i="19"/>
  <c r="C32" i="18"/>
  <c r="C31" i="18"/>
  <c r="C30" i="18"/>
  <c r="C29" i="18"/>
  <c r="C28" i="18"/>
  <c r="C108" i="17"/>
  <c r="C107" i="17"/>
  <c r="C106" i="17"/>
  <c r="C105" i="17"/>
  <c r="C104" i="17"/>
  <c r="C89" i="17"/>
  <c r="C88" i="17"/>
  <c r="C87" i="17"/>
  <c r="C86" i="17"/>
  <c r="C85" i="17"/>
  <c r="C70" i="17"/>
  <c r="C69" i="17"/>
  <c r="C68" i="17"/>
  <c r="C67" i="17"/>
  <c r="C66" i="17"/>
  <c r="C51" i="17"/>
  <c r="C50" i="17"/>
  <c r="C49" i="17"/>
  <c r="C48" i="17"/>
  <c r="C47" i="17"/>
  <c r="C32" i="17"/>
  <c r="C31" i="17"/>
  <c r="C30" i="17"/>
  <c r="C29" i="17"/>
  <c r="C28" i="17"/>
  <c r="C108" i="9"/>
  <c r="C107" i="9"/>
  <c r="C106" i="9"/>
  <c r="C105" i="9"/>
  <c r="C104" i="9"/>
  <c r="C89" i="9"/>
  <c r="C88" i="9"/>
  <c r="C87" i="9"/>
  <c r="C86" i="9"/>
  <c r="C85" i="9"/>
  <c r="C70" i="9"/>
  <c r="C69" i="9"/>
  <c r="C68" i="9"/>
  <c r="C67" i="9"/>
  <c r="C66" i="9"/>
  <c r="C51" i="9"/>
  <c r="C50" i="9"/>
  <c r="C49" i="9"/>
  <c r="C48" i="9"/>
  <c r="C47" i="9"/>
  <c r="C32" i="9"/>
  <c r="C31" i="9"/>
  <c r="C30" i="9"/>
  <c r="C29" i="9"/>
  <c r="C28" i="9"/>
  <c r="J690" i="88" l="1"/>
  <c r="J703" i="88" s="1"/>
  <c r="J820" i="88" s="1"/>
  <c r="J690" i="86"/>
  <c r="J703" i="86" s="1"/>
  <c r="J820" i="86" s="1"/>
  <c r="J690" i="92"/>
  <c r="J703" i="92" s="1"/>
  <c r="J820" i="92" s="1"/>
  <c r="J690" i="91"/>
  <c r="J703" i="91" s="1"/>
  <c r="J820" i="91" s="1"/>
  <c r="J690" i="90"/>
  <c r="J703" i="90" s="1"/>
  <c r="J820" i="90" s="1"/>
  <c r="J690" i="89"/>
  <c r="J703" i="89" s="1"/>
  <c r="J820" i="89" s="1"/>
  <c r="J690" i="87"/>
  <c r="J703" i="87" s="1"/>
  <c r="J820" i="87" s="1"/>
  <c r="J690" i="81"/>
  <c r="J703" i="81" s="1"/>
  <c r="J820" i="81" s="1"/>
  <c r="J409" i="18"/>
  <c r="J673" i="33"/>
  <c r="J651" i="33"/>
  <c r="J629" i="33"/>
  <c r="J579" i="33"/>
  <c r="J556" i="33"/>
  <c r="J282" i="33"/>
  <c r="J253" i="33"/>
  <c r="J233" i="33"/>
  <c r="J212" i="33"/>
  <c r="J192" i="33"/>
  <c r="J172" i="33"/>
  <c r="J151" i="33"/>
  <c r="J110" i="33"/>
  <c r="J91" i="33"/>
  <c r="J72" i="33"/>
  <c r="J53" i="33"/>
  <c r="J34" i="33"/>
  <c r="J381" i="31" l="1"/>
  <c r="J932" i="18"/>
  <c r="J928" i="18"/>
  <c r="J924" i="18"/>
  <c r="J920" i="18"/>
  <c r="J916" i="18"/>
  <c r="J912" i="18"/>
  <c r="J908" i="18"/>
  <c r="J904" i="18"/>
  <c r="J890" i="18"/>
  <c r="J886" i="18"/>
  <c r="J882" i="18"/>
  <c r="J878" i="18"/>
  <c r="J874" i="18"/>
  <c r="J870" i="18"/>
  <c r="J866" i="18"/>
  <c r="J862" i="18"/>
  <c r="J858" i="18"/>
  <c r="J854" i="18"/>
  <c r="J850" i="18"/>
  <c r="J846" i="18"/>
  <c r="J842" i="18"/>
  <c r="J838" i="18"/>
  <c r="J834" i="18"/>
  <c r="J661" i="18"/>
  <c r="J640" i="18"/>
  <c r="J619" i="18"/>
  <c r="J568" i="18"/>
  <c r="J546" i="18"/>
  <c r="J381" i="18"/>
  <c r="J354" i="18"/>
  <c r="J341" i="18"/>
  <c r="J243" i="18"/>
  <c r="J222" i="18"/>
  <c r="J202" i="18"/>
  <c r="J204" i="18" s="1"/>
  <c r="J182" i="18"/>
  <c r="J161" i="18"/>
  <c r="J140" i="18"/>
  <c r="J101" i="18"/>
  <c r="J103" i="18" s="1"/>
  <c r="J82" i="18"/>
  <c r="J83" i="18" s="1"/>
  <c r="J63" i="18"/>
  <c r="J65" i="18" s="1"/>
  <c r="J44" i="18"/>
  <c r="J46" i="18" s="1"/>
  <c r="J25" i="18"/>
  <c r="J27" i="18" s="1"/>
  <c r="J770" i="18" l="1"/>
  <c r="J769" i="18"/>
  <c r="J768" i="18"/>
  <c r="J767" i="18"/>
  <c r="J766" i="18"/>
  <c r="J765" i="18"/>
  <c r="J764" i="18"/>
  <c r="J763" i="18"/>
  <c r="J762" i="18"/>
  <c r="J755" i="18"/>
  <c r="J754" i="18"/>
  <c r="J753" i="18"/>
  <c r="J752" i="18"/>
  <c r="J751" i="18"/>
  <c r="J750" i="18"/>
  <c r="J749" i="18"/>
  <c r="J748" i="18"/>
  <c r="J747" i="18"/>
  <c r="J740" i="18"/>
  <c r="J739" i="18"/>
  <c r="J738" i="18"/>
  <c r="J737" i="18"/>
  <c r="J736" i="18"/>
  <c r="J735" i="18"/>
  <c r="J734" i="18"/>
  <c r="J733" i="18"/>
  <c r="J732" i="18"/>
  <c r="J725" i="18"/>
  <c r="J724" i="18"/>
  <c r="J723" i="18"/>
  <c r="J722" i="18"/>
  <c r="J721" i="18"/>
  <c r="J720" i="18"/>
  <c r="J719" i="18"/>
  <c r="J718" i="18"/>
  <c r="J717" i="18"/>
  <c r="J675" i="18"/>
  <c r="J673" i="18"/>
  <c r="J663" i="18"/>
  <c r="J666" i="18"/>
  <c r="J653" i="18"/>
  <c r="J651" i="18"/>
  <c r="J644" i="18"/>
  <c r="J631" i="18"/>
  <c r="J629" i="18"/>
  <c r="J622" i="18"/>
  <c r="J606" i="18"/>
  <c r="J615" i="18" s="1"/>
  <c r="J597" i="18"/>
  <c r="J590" i="18"/>
  <c r="J581" i="18"/>
  <c r="J579" i="18"/>
  <c r="J572" i="18"/>
  <c r="J558" i="18"/>
  <c r="J556" i="18"/>
  <c r="J549" i="18"/>
  <c r="J533" i="18"/>
  <c r="J526" i="18"/>
  <c r="J516" i="18"/>
  <c r="J509" i="18"/>
  <c r="J500" i="18"/>
  <c r="J493" i="18"/>
  <c r="J479" i="18"/>
  <c r="J488" i="18" s="1"/>
  <c r="J469" i="18"/>
  <c r="J462" i="18"/>
  <c r="J453" i="18"/>
  <c r="J446" i="18"/>
  <c r="J436" i="18"/>
  <c r="J429" i="18"/>
  <c r="J418" i="18"/>
  <c r="J383" i="18"/>
  <c r="J363" i="18"/>
  <c r="J356" i="18"/>
  <c r="J342" i="18"/>
  <c r="J322" i="18"/>
  <c r="J303" i="18"/>
  <c r="J284" i="18"/>
  <c r="J282" i="18"/>
  <c r="J271" i="18"/>
  <c r="J255" i="18"/>
  <c r="J253" i="18"/>
  <c r="J246" i="18"/>
  <c r="J235" i="18"/>
  <c r="J233" i="18"/>
  <c r="J224" i="18"/>
  <c r="J226" i="18"/>
  <c r="J214" i="18"/>
  <c r="J212" i="18"/>
  <c r="J205" i="18"/>
  <c r="J194" i="18"/>
  <c r="J192" i="18"/>
  <c r="J185" i="18"/>
  <c r="J174" i="18"/>
  <c r="J172" i="18"/>
  <c r="J163" i="18"/>
  <c r="J165" i="18" s="1"/>
  <c r="J153" i="18"/>
  <c r="J151" i="18"/>
  <c r="J127" i="18"/>
  <c r="J125" i="18"/>
  <c r="J112" i="18"/>
  <c r="J110" i="18"/>
  <c r="J93" i="18"/>
  <c r="J91" i="18"/>
  <c r="J74" i="18"/>
  <c r="J72" i="18"/>
  <c r="J55" i="18"/>
  <c r="J53" i="18"/>
  <c r="J36" i="18"/>
  <c r="J34" i="18"/>
  <c r="E18" i="18"/>
  <c r="E17" i="18"/>
  <c r="J78" i="18" l="1"/>
  <c r="J59" i="18"/>
  <c r="J131" i="18"/>
  <c r="J40" i="18"/>
  <c r="J116" i="18"/>
  <c r="J440" i="18"/>
  <c r="J775" i="18"/>
  <c r="J807" i="18"/>
  <c r="J791" i="18"/>
  <c r="J520" i="18"/>
  <c r="J537" i="18"/>
  <c r="J142" i="18"/>
  <c r="J345" i="18"/>
  <c r="J84" i="18"/>
  <c r="J97" i="18" s="1"/>
  <c r="J473" i="18"/>
  <c r="J601" i="18"/>
  <c r="J178" i="18"/>
  <c r="J787" i="18"/>
  <c r="J803" i="18"/>
  <c r="J783" i="18"/>
  <c r="J799" i="18"/>
  <c r="J239" i="18"/>
  <c r="J367" i="18"/>
  <c r="J457" i="18"/>
  <c r="J779" i="18"/>
  <c r="J795" i="18"/>
  <c r="J504" i="18"/>
  <c r="J562" i="18"/>
  <c r="J585" i="18"/>
  <c r="J218" i="18"/>
  <c r="J259" i="18"/>
  <c r="J657" i="18"/>
  <c r="J198" i="18"/>
  <c r="J635" i="18"/>
  <c r="J679" i="18"/>
  <c r="J144" i="18" l="1"/>
  <c r="J157" i="18" s="1"/>
  <c r="J261" i="18" s="1"/>
  <c r="J539" i="18"/>
  <c r="J133" i="18"/>
  <c r="J681" i="18"/>
  <c r="J690" i="18" l="1"/>
  <c r="J428" i="30"/>
  <c r="J461" i="30"/>
  <c r="J36" i="17"/>
  <c r="J703" i="18" l="1"/>
  <c r="J409" i="36"/>
  <c r="J409" i="35"/>
  <c r="J409" i="34"/>
  <c r="J409" i="33"/>
  <c r="J409" i="31"/>
  <c r="J409" i="29"/>
  <c r="J409" i="27"/>
  <c r="J409" i="26"/>
  <c r="J409" i="25"/>
  <c r="J409" i="24"/>
  <c r="J409" i="23"/>
  <c r="J409" i="21"/>
  <c r="J409" i="20"/>
  <c r="J409" i="19"/>
  <c r="J354" i="36" l="1"/>
  <c r="J182" i="36"/>
  <c r="J354" i="35"/>
  <c r="J182" i="35"/>
  <c r="J354" i="34"/>
  <c r="J182" i="34"/>
  <c r="J354" i="33"/>
  <c r="J182" i="33"/>
  <c r="J354" i="32"/>
  <c r="J182" i="32"/>
  <c r="J354" i="31"/>
  <c r="J182" i="31"/>
  <c r="J354" i="30"/>
  <c r="J182" i="30"/>
  <c r="J354" i="29"/>
  <c r="J182" i="29"/>
  <c r="J354" i="28"/>
  <c r="J182" i="28"/>
  <c r="J354" i="27"/>
  <c r="J182" i="27"/>
  <c r="J354" i="26"/>
  <c r="J182" i="26"/>
  <c r="J354" i="25"/>
  <c r="J182" i="25"/>
  <c r="J354" i="24"/>
  <c r="J182" i="24"/>
  <c r="J354" i="23"/>
  <c r="J182" i="23"/>
  <c r="J354" i="21"/>
  <c r="J182" i="21"/>
  <c r="J354" i="20"/>
  <c r="J182" i="20"/>
  <c r="J354" i="19"/>
  <c r="J182" i="19"/>
  <c r="J354" i="17"/>
  <c r="J182" i="17"/>
  <c r="J354" i="9"/>
  <c r="J182" i="9"/>
  <c r="J185" i="9" s="1"/>
  <c r="J331" i="20" l="1"/>
  <c r="J392" i="30" l="1"/>
  <c r="J372" i="30"/>
  <c r="J312" i="30"/>
  <c r="J381" i="20"/>
  <c r="J363" i="20"/>
  <c r="J356" i="20"/>
  <c r="J341" i="20"/>
  <c r="J322" i="20"/>
  <c r="J303" i="20"/>
  <c r="J381" i="23"/>
  <c r="J353" i="23"/>
  <c r="J355" i="23" s="1"/>
  <c r="J363" i="23"/>
  <c r="J341" i="23"/>
  <c r="J322" i="23"/>
  <c r="J303" i="23"/>
  <c r="J381" i="27"/>
  <c r="J363" i="27"/>
  <c r="J356" i="27"/>
  <c r="J341" i="27"/>
  <c r="J322" i="27"/>
  <c r="J303" i="27"/>
  <c r="J381" i="30"/>
  <c r="J363" i="30"/>
  <c r="J356" i="30"/>
  <c r="J341" i="30"/>
  <c r="J322" i="30"/>
  <c r="J303" i="30"/>
  <c r="J363" i="31"/>
  <c r="J356" i="31"/>
  <c r="J341" i="31"/>
  <c r="J341" i="33"/>
  <c r="J322" i="31"/>
  <c r="J303" i="31"/>
  <c r="J381" i="36"/>
  <c r="J363" i="36"/>
  <c r="J356" i="36"/>
  <c r="J341" i="36"/>
  <c r="J322" i="36"/>
  <c r="J303" i="36"/>
  <c r="J381" i="35"/>
  <c r="J363" i="35"/>
  <c r="J341" i="35"/>
  <c r="J322" i="35"/>
  <c r="J303" i="35"/>
  <c r="J342" i="36" l="1"/>
  <c r="J383" i="36"/>
  <c r="J342" i="35"/>
  <c r="J383" i="35"/>
  <c r="J342" i="31"/>
  <c r="J383" i="31"/>
  <c r="J342" i="30"/>
  <c r="J383" i="30"/>
  <c r="J383" i="27"/>
  <c r="J342" i="27"/>
  <c r="J342" i="23"/>
  <c r="J383" i="23"/>
  <c r="J342" i="20"/>
  <c r="J383" i="20"/>
  <c r="J367" i="36"/>
  <c r="J367" i="31"/>
  <c r="J367" i="30"/>
  <c r="J367" i="27"/>
  <c r="J367" i="20"/>
  <c r="J932" i="36"/>
  <c r="J928" i="36"/>
  <c r="J924" i="36"/>
  <c r="J920" i="36"/>
  <c r="J916" i="36"/>
  <c r="J912" i="36"/>
  <c r="J908" i="36"/>
  <c r="J904" i="36"/>
  <c r="J890" i="36"/>
  <c r="J886" i="36"/>
  <c r="J882" i="36"/>
  <c r="J878" i="36"/>
  <c r="J874" i="36"/>
  <c r="J870" i="36"/>
  <c r="J866" i="36"/>
  <c r="J862" i="36"/>
  <c r="J858" i="36"/>
  <c r="J854" i="36"/>
  <c r="J850" i="36"/>
  <c r="J846" i="36"/>
  <c r="J842" i="36"/>
  <c r="J838" i="36"/>
  <c r="J834" i="36"/>
  <c r="J770" i="36"/>
  <c r="J769" i="36"/>
  <c r="J768" i="36"/>
  <c r="J767" i="36"/>
  <c r="J766" i="36"/>
  <c r="J765" i="36"/>
  <c r="J764" i="36"/>
  <c r="J763" i="36"/>
  <c r="J762" i="36"/>
  <c r="J755" i="36"/>
  <c r="J754" i="36"/>
  <c r="J753" i="36"/>
  <c r="J752" i="36"/>
  <c r="J751" i="36"/>
  <c r="J750" i="36"/>
  <c r="J749" i="36"/>
  <c r="J748" i="36"/>
  <c r="J747" i="36"/>
  <c r="J740" i="36"/>
  <c r="J739" i="36"/>
  <c r="J738" i="36"/>
  <c r="J737" i="36"/>
  <c r="J736" i="36"/>
  <c r="J735" i="36"/>
  <c r="J734" i="36"/>
  <c r="J733" i="36"/>
  <c r="J732" i="36"/>
  <c r="J725" i="36"/>
  <c r="J724" i="36"/>
  <c r="J723" i="36"/>
  <c r="J722" i="36"/>
  <c r="J721" i="36"/>
  <c r="J720" i="36"/>
  <c r="J719" i="36"/>
  <c r="J718" i="36"/>
  <c r="J717" i="36"/>
  <c r="J675" i="36"/>
  <c r="J673" i="36"/>
  <c r="J661" i="36"/>
  <c r="J653" i="36"/>
  <c r="J651" i="36"/>
  <c r="J640" i="36"/>
  <c r="J644" i="36" s="1"/>
  <c r="J631" i="36"/>
  <c r="J629" i="36"/>
  <c r="J619" i="36"/>
  <c r="J622" i="36" s="1"/>
  <c r="J606" i="36"/>
  <c r="J615" i="36" s="1"/>
  <c r="J597" i="36"/>
  <c r="J590" i="36"/>
  <c r="J581" i="36"/>
  <c r="J579" i="36"/>
  <c r="J568" i="36"/>
  <c r="J572" i="36" s="1"/>
  <c r="J558" i="36"/>
  <c r="J556" i="36"/>
  <c r="J546" i="36"/>
  <c r="J533" i="36"/>
  <c r="J526" i="36"/>
  <c r="J516" i="36"/>
  <c r="J509" i="36"/>
  <c r="J500" i="36"/>
  <c r="J493" i="36"/>
  <c r="J479" i="36"/>
  <c r="J488" i="36" s="1"/>
  <c r="J469" i="36"/>
  <c r="J462" i="36"/>
  <c r="J453" i="36"/>
  <c r="J446" i="36"/>
  <c r="J436" i="36"/>
  <c r="J428" i="36"/>
  <c r="J429" i="36" s="1"/>
  <c r="J418" i="36"/>
  <c r="J284" i="36"/>
  <c r="J282" i="36"/>
  <c r="J255" i="36"/>
  <c r="J253" i="36"/>
  <c r="J243" i="36"/>
  <c r="J235" i="36"/>
  <c r="J233" i="36"/>
  <c r="J222" i="36"/>
  <c r="J214" i="36"/>
  <c r="J212" i="36"/>
  <c r="J202" i="36"/>
  <c r="J194" i="36"/>
  <c r="J192" i="36"/>
  <c r="J183" i="36"/>
  <c r="J174" i="36"/>
  <c r="J172" i="36"/>
  <c r="J161" i="36"/>
  <c r="J153" i="36"/>
  <c r="J151" i="36"/>
  <c r="J140" i="36"/>
  <c r="J127" i="36"/>
  <c r="J125" i="36"/>
  <c r="J131" i="36" s="1"/>
  <c r="J112" i="36"/>
  <c r="J110" i="36"/>
  <c r="J101" i="36"/>
  <c r="J93" i="36"/>
  <c r="J91" i="36"/>
  <c r="J82" i="36"/>
  <c r="J74" i="36"/>
  <c r="J72" i="36"/>
  <c r="J63" i="36"/>
  <c r="J55" i="36"/>
  <c r="J53" i="36"/>
  <c r="J44" i="36"/>
  <c r="J36" i="36"/>
  <c r="J34" i="36"/>
  <c r="J26" i="36"/>
  <c r="J25" i="36"/>
  <c r="E18" i="36"/>
  <c r="E17" i="36"/>
  <c r="J932" i="35"/>
  <c r="J928" i="35"/>
  <c r="J924" i="35"/>
  <c r="J920" i="35"/>
  <c r="J916" i="35"/>
  <c r="J912" i="35"/>
  <c r="J908" i="35"/>
  <c r="J904" i="35"/>
  <c r="J890" i="35"/>
  <c r="J886" i="35"/>
  <c r="J882" i="35"/>
  <c r="J878" i="35"/>
  <c r="J874" i="35"/>
  <c r="J870" i="35"/>
  <c r="J866" i="35"/>
  <c r="J862" i="35"/>
  <c r="J858" i="35"/>
  <c r="J854" i="35"/>
  <c r="J850" i="35"/>
  <c r="J846" i="35"/>
  <c r="J842" i="35"/>
  <c r="J838" i="35"/>
  <c r="J834" i="35"/>
  <c r="J770" i="35"/>
  <c r="J769" i="35"/>
  <c r="J768" i="35"/>
  <c r="J767" i="35"/>
  <c r="J766" i="35"/>
  <c r="J765" i="35"/>
  <c r="J764" i="35"/>
  <c r="J763" i="35"/>
  <c r="J762" i="35"/>
  <c r="J755" i="35"/>
  <c r="J754" i="35"/>
  <c r="J753" i="35"/>
  <c r="J752" i="35"/>
  <c r="J751" i="35"/>
  <c r="J750" i="35"/>
  <c r="J749" i="35"/>
  <c r="J748" i="35"/>
  <c r="J747" i="35"/>
  <c r="J740" i="35"/>
  <c r="J739" i="35"/>
  <c r="J738" i="35"/>
  <c r="J737" i="35"/>
  <c r="J736" i="35"/>
  <c r="J735" i="35"/>
  <c r="J734" i="35"/>
  <c r="J733" i="35"/>
  <c r="J732" i="35"/>
  <c r="J725" i="35"/>
  <c r="J724" i="35"/>
  <c r="J723" i="35"/>
  <c r="J722" i="35"/>
  <c r="J721" i="35"/>
  <c r="J720" i="35"/>
  <c r="J719" i="35"/>
  <c r="J718" i="35"/>
  <c r="J717" i="35"/>
  <c r="J675" i="35"/>
  <c r="J673" i="35"/>
  <c r="J663" i="35"/>
  <c r="J661" i="35"/>
  <c r="J666" i="35" s="1"/>
  <c r="J653" i="35"/>
  <c r="J651" i="35"/>
  <c r="J640" i="35"/>
  <c r="J644" i="35" s="1"/>
  <c r="J631" i="35"/>
  <c r="J629" i="35"/>
  <c r="J619" i="35"/>
  <c r="J622" i="35" s="1"/>
  <c r="J606" i="35"/>
  <c r="J615" i="35" s="1"/>
  <c r="J597" i="35"/>
  <c r="J589" i="35"/>
  <c r="J581" i="35"/>
  <c r="J579" i="35"/>
  <c r="J568" i="35"/>
  <c r="J571" i="35" s="1"/>
  <c r="J558" i="35"/>
  <c r="J556" i="35"/>
  <c r="J546" i="35"/>
  <c r="J548" i="35" s="1"/>
  <c r="J533" i="35"/>
  <c r="J526" i="35"/>
  <c r="J516" i="35"/>
  <c r="J509" i="35"/>
  <c r="J500" i="35"/>
  <c r="J493" i="35"/>
  <c r="J479" i="35"/>
  <c r="J488" i="35" s="1"/>
  <c r="J469" i="35"/>
  <c r="J462" i="35"/>
  <c r="J453" i="35"/>
  <c r="J446" i="35"/>
  <c r="J436" i="35"/>
  <c r="J428" i="35"/>
  <c r="J429" i="35" s="1"/>
  <c r="J418" i="35"/>
  <c r="J284" i="35"/>
  <c r="J282" i="35"/>
  <c r="J271" i="35"/>
  <c r="J255" i="35"/>
  <c r="J253" i="35"/>
  <c r="J243" i="35"/>
  <c r="J235" i="35"/>
  <c r="J233" i="35"/>
  <c r="J224" i="35"/>
  <c r="J223" i="35"/>
  <c r="J222" i="35"/>
  <c r="J214" i="35"/>
  <c r="J212" i="35"/>
  <c r="J202" i="35"/>
  <c r="J203" i="35" s="1"/>
  <c r="J194" i="35"/>
  <c r="J192" i="35"/>
  <c r="J183" i="35"/>
  <c r="J353" i="35" s="1"/>
  <c r="J355" i="35" s="1"/>
  <c r="J174" i="35"/>
  <c r="J172" i="35"/>
  <c r="J162" i="35"/>
  <c r="J161" i="35"/>
  <c r="J153" i="35"/>
  <c r="J151" i="35"/>
  <c r="J142" i="35"/>
  <c r="J140" i="35"/>
  <c r="J127" i="35"/>
  <c r="J125" i="35"/>
  <c r="J112" i="35"/>
  <c r="J110" i="35"/>
  <c r="J101" i="35"/>
  <c r="J103" i="35" s="1"/>
  <c r="J93" i="35"/>
  <c r="J91" i="35"/>
  <c r="J82" i="35"/>
  <c r="J84" i="35" s="1"/>
  <c r="J74" i="35"/>
  <c r="J72" i="35"/>
  <c r="J63" i="35"/>
  <c r="J55" i="35"/>
  <c r="J53" i="35"/>
  <c r="J44" i="35"/>
  <c r="J45" i="35" s="1"/>
  <c r="J36" i="35"/>
  <c r="J34" i="35"/>
  <c r="J25" i="35"/>
  <c r="J27" i="35" s="1"/>
  <c r="J40" i="35" s="1"/>
  <c r="E18" i="35"/>
  <c r="E17" i="35"/>
  <c r="J932" i="34"/>
  <c r="J928" i="34"/>
  <c r="J924" i="34"/>
  <c r="J920" i="34"/>
  <c r="J916" i="34"/>
  <c r="J912" i="34"/>
  <c r="J908" i="34"/>
  <c r="J904" i="34"/>
  <c r="J890" i="34"/>
  <c r="J886" i="34"/>
  <c r="J882" i="34"/>
  <c r="J878" i="34"/>
  <c r="J874" i="34"/>
  <c r="J870" i="34"/>
  <c r="J866" i="34"/>
  <c r="J862" i="34"/>
  <c r="J858" i="34"/>
  <c r="J854" i="34"/>
  <c r="J850" i="34"/>
  <c r="J846" i="34"/>
  <c r="J842" i="34"/>
  <c r="J838" i="34"/>
  <c r="J834" i="34"/>
  <c r="J770" i="34"/>
  <c r="J769" i="34"/>
  <c r="J768" i="34"/>
  <c r="J767" i="34"/>
  <c r="J766" i="34"/>
  <c r="J765" i="34"/>
  <c r="J764" i="34"/>
  <c r="J763" i="34"/>
  <c r="J762" i="34"/>
  <c r="J755" i="34"/>
  <c r="J754" i="34"/>
  <c r="J753" i="34"/>
  <c r="J752" i="34"/>
  <c r="J751" i="34"/>
  <c r="J750" i="34"/>
  <c r="J749" i="34"/>
  <c r="J748" i="34"/>
  <c r="J747" i="34"/>
  <c r="J740" i="34"/>
  <c r="J739" i="34"/>
  <c r="J738" i="34"/>
  <c r="J737" i="34"/>
  <c r="J736" i="34"/>
  <c r="J735" i="34"/>
  <c r="J734" i="34"/>
  <c r="J733" i="34"/>
  <c r="J732" i="34"/>
  <c r="J725" i="34"/>
  <c r="J724" i="34"/>
  <c r="J723" i="34"/>
  <c r="J722" i="34"/>
  <c r="J721" i="34"/>
  <c r="J720" i="34"/>
  <c r="J719" i="34"/>
  <c r="J718" i="34"/>
  <c r="J717" i="34"/>
  <c r="J675" i="34"/>
  <c r="J673" i="34"/>
  <c r="J663" i="34"/>
  <c r="J661" i="34"/>
  <c r="J653" i="34"/>
  <c r="J651" i="34"/>
  <c r="J640" i="34"/>
  <c r="J644" i="34" s="1"/>
  <c r="J631" i="34"/>
  <c r="J629" i="34"/>
  <c r="J619" i="34"/>
  <c r="J621" i="34" s="1"/>
  <c r="J606" i="34"/>
  <c r="J615" i="34" s="1"/>
  <c r="J597" i="34"/>
  <c r="J590" i="34"/>
  <c r="J581" i="34"/>
  <c r="J579" i="34"/>
  <c r="J568" i="34"/>
  <c r="J558" i="34"/>
  <c r="J556" i="34"/>
  <c r="J546" i="34"/>
  <c r="J548" i="34" s="1"/>
  <c r="J533" i="34"/>
  <c r="J526" i="34"/>
  <c r="J516" i="34"/>
  <c r="J509" i="34"/>
  <c r="J500" i="34"/>
  <c r="J493" i="34"/>
  <c r="J479" i="34"/>
  <c r="J488" i="34" s="1"/>
  <c r="J469" i="34"/>
  <c r="J462" i="34"/>
  <c r="J453" i="34"/>
  <c r="J446" i="34"/>
  <c r="J436" i="34"/>
  <c r="J429" i="34"/>
  <c r="J418" i="34"/>
  <c r="J381" i="34"/>
  <c r="J363" i="34"/>
  <c r="J356" i="34"/>
  <c r="J341" i="34"/>
  <c r="J322" i="34"/>
  <c r="J303" i="34"/>
  <c r="J284" i="34"/>
  <c r="J282" i="34"/>
  <c r="J271" i="34"/>
  <c r="J255" i="34"/>
  <c r="J253" i="34"/>
  <c r="J243" i="34"/>
  <c r="J235" i="34"/>
  <c r="J233" i="34"/>
  <c r="J224" i="34"/>
  <c r="J222" i="34"/>
  <c r="J214" i="34"/>
  <c r="J212" i="34"/>
  <c r="J202" i="34"/>
  <c r="J194" i="34"/>
  <c r="J192" i="34"/>
  <c r="J185" i="34"/>
  <c r="J174" i="34"/>
  <c r="J172" i="34"/>
  <c r="J163" i="34"/>
  <c r="J161" i="34"/>
  <c r="J153" i="34"/>
  <c r="J151" i="34"/>
  <c r="J142" i="34"/>
  <c r="J140" i="34"/>
  <c r="J141" i="34" s="1"/>
  <c r="J127" i="34"/>
  <c r="J125" i="34"/>
  <c r="J131" i="34" s="1"/>
  <c r="J112" i="34"/>
  <c r="J110" i="34"/>
  <c r="J101" i="34"/>
  <c r="J103" i="34" s="1"/>
  <c r="J93" i="34"/>
  <c r="J91" i="34"/>
  <c r="J84" i="34"/>
  <c r="J74" i="34"/>
  <c r="J72" i="34"/>
  <c r="J63" i="34"/>
  <c r="J65" i="34" s="1"/>
  <c r="J55" i="34"/>
  <c r="J53" i="34"/>
  <c r="J44" i="34"/>
  <c r="J36" i="34"/>
  <c r="J34" i="34"/>
  <c r="J25" i="34"/>
  <c r="J27" i="34" s="1"/>
  <c r="E18" i="34"/>
  <c r="J932" i="33"/>
  <c r="J928" i="33"/>
  <c r="J924" i="33"/>
  <c r="J920" i="33"/>
  <c r="J916" i="33"/>
  <c r="J912" i="33"/>
  <c r="J908" i="33"/>
  <c r="J904" i="33"/>
  <c r="J890" i="33"/>
  <c r="J886" i="33"/>
  <c r="J882" i="33"/>
  <c r="J878" i="33"/>
  <c r="J874" i="33"/>
  <c r="J870" i="33"/>
  <c r="J866" i="33"/>
  <c r="J862" i="33"/>
  <c r="J858" i="33"/>
  <c r="J854" i="33"/>
  <c r="J850" i="33"/>
  <c r="J846" i="33"/>
  <c r="J842" i="33"/>
  <c r="J838" i="33"/>
  <c r="J834" i="33"/>
  <c r="J770" i="33"/>
  <c r="J769" i="33"/>
  <c r="J768" i="33"/>
  <c r="J767" i="33"/>
  <c r="J766" i="33"/>
  <c r="J765" i="33"/>
  <c r="J764" i="33"/>
  <c r="J763" i="33"/>
  <c r="J762" i="33"/>
  <c r="J755" i="33"/>
  <c r="J754" i="33"/>
  <c r="J753" i="33"/>
  <c r="J752" i="33"/>
  <c r="J751" i="33"/>
  <c r="J750" i="33"/>
  <c r="J749" i="33"/>
  <c r="J748" i="33"/>
  <c r="J747" i="33"/>
  <c r="J740" i="33"/>
  <c r="J739" i="33"/>
  <c r="J738" i="33"/>
  <c r="J737" i="33"/>
  <c r="J736" i="33"/>
  <c r="J735" i="33"/>
  <c r="J734" i="33"/>
  <c r="J733" i="33"/>
  <c r="J732" i="33"/>
  <c r="J725" i="33"/>
  <c r="J724" i="33"/>
  <c r="J723" i="33"/>
  <c r="J722" i="33"/>
  <c r="J721" i="33"/>
  <c r="J720" i="33"/>
  <c r="J719" i="33"/>
  <c r="J718" i="33"/>
  <c r="J717" i="33"/>
  <c r="J675" i="33"/>
  <c r="J661" i="33"/>
  <c r="J653" i="33"/>
  <c r="J640" i="33"/>
  <c r="J644" i="33" s="1"/>
  <c r="J631" i="33"/>
  <c r="J619" i="33"/>
  <c r="J622" i="33" s="1"/>
  <c r="J606" i="33"/>
  <c r="J615" i="33" s="1"/>
  <c r="J597" i="33"/>
  <c r="J590" i="33"/>
  <c r="J581" i="33"/>
  <c r="J568" i="33"/>
  <c r="J558" i="33"/>
  <c r="J546" i="33"/>
  <c r="J549" i="33" s="1"/>
  <c r="J533" i="33"/>
  <c r="J526" i="33"/>
  <c r="J516" i="33"/>
  <c r="J509" i="33"/>
  <c r="J500" i="33"/>
  <c r="J493" i="33"/>
  <c r="J479" i="33"/>
  <c r="J488" i="33" s="1"/>
  <c r="J469" i="33"/>
  <c r="J462" i="33"/>
  <c r="J453" i="33"/>
  <c r="J446" i="33"/>
  <c r="J436" i="33"/>
  <c r="J429" i="33"/>
  <c r="J418" i="33"/>
  <c r="J381" i="33"/>
  <c r="J363" i="33"/>
  <c r="J356" i="33"/>
  <c r="J342" i="33"/>
  <c r="J322" i="33"/>
  <c r="J303" i="33"/>
  <c r="J284" i="33"/>
  <c r="J255" i="33"/>
  <c r="J243" i="33"/>
  <c r="J246" i="33" s="1"/>
  <c r="J235" i="33"/>
  <c r="J224" i="33"/>
  <c r="J222" i="33"/>
  <c r="J226" i="33" s="1"/>
  <c r="J214" i="33"/>
  <c r="J202" i="33"/>
  <c r="J205" i="33" s="1"/>
  <c r="J194" i="33"/>
  <c r="J184" i="33"/>
  <c r="J174" i="33"/>
  <c r="J161" i="33"/>
  <c r="J153" i="33"/>
  <c r="J142" i="33"/>
  <c r="J140" i="33"/>
  <c r="J144" i="33" s="1"/>
  <c r="J127" i="33"/>
  <c r="J125" i="33"/>
  <c r="J112" i="33"/>
  <c r="J101" i="33"/>
  <c r="J103" i="33" s="1"/>
  <c r="J93" i="33"/>
  <c r="J82" i="33"/>
  <c r="J84" i="33" s="1"/>
  <c r="J74" i="33"/>
  <c r="J64" i="33"/>
  <c r="J63" i="33"/>
  <c r="J55" i="33"/>
  <c r="J44" i="33"/>
  <c r="J36" i="33"/>
  <c r="J25" i="33"/>
  <c r="E18" i="33"/>
  <c r="E17" i="33"/>
  <c r="J932" i="32"/>
  <c r="J928" i="32"/>
  <c r="J924" i="32"/>
  <c r="J920" i="32"/>
  <c r="J916" i="32"/>
  <c r="J912" i="32"/>
  <c r="J908" i="32"/>
  <c r="J904" i="32"/>
  <c r="J890" i="32"/>
  <c r="J886" i="32"/>
  <c r="J882" i="32"/>
  <c r="J878" i="32"/>
  <c r="J874" i="32"/>
  <c r="J870" i="32"/>
  <c r="J866" i="32"/>
  <c r="J862" i="32"/>
  <c r="J858" i="32"/>
  <c r="J854" i="32"/>
  <c r="J850" i="32"/>
  <c r="J846" i="32"/>
  <c r="J842" i="32"/>
  <c r="J838" i="32"/>
  <c r="J834" i="32"/>
  <c r="J770" i="32"/>
  <c r="J769" i="32"/>
  <c r="J768" i="32"/>
  <c r="J767" i="32"/>
  <c r="J766" i="32"/>
  <c r="J765" i="32"/>
  <c r="J764" i="32"/>
  <c r="J763" i="32"/>
  <c r="J762" i="32"/>
  <c r="J755" i="32"/>
  <c r="J754" i="32"/>
  <c r="J753" i="32"/>
  <c r="J752" i="32"/>
  <c r="J751" i="32"/>
  <c r="J750" i="32"/>
  <c r="J749" i="32"/>
  <c r="J748" i="32"/>
  <c r="J747" i="32"/>
  <c r="J740" i="32"/>
  <c r="J739" i="32"/>
  <c r="J738" i="32"/>
  <c r="J737" i="32"/>
  <c r="J736" i="32"/>
  <c r="J735" i="32"/>
  <c r="J734" i="32"/>
  <c r="J733" i="32"/>
  <c r="J732" i="32"/>
  <c r="J725" i="32"/>
  <c r="J724" i="32"/>
  <c r="J723" i="32"/>
  <c r="J722" i="32"/>
  <c r="J721" i="32"/>
  <c r="J720" i="32"/>
  <c r="J719" i="32"/>
  <c r="J718" i="32"/>
  <c r="J717" i="32"/>
  <c r="J675" i="32"/>
  <c r="J673" i="32"/>
  <c r="J663" i="32"/>
  <c r="J661" i="32"/>
  <c r="J653" i="32"/>
  <c r="J651" i="32"/>
  <c r="J640" i="32"/>
  <c r="J644" i="32" s="1"/>
  <c r="J631" i="32"/>
  <c r="J629" i="32"/>
  <c r="J619" i="32"/>
  <c r="J622" i="32" s="1"/>
  <c r="J606" i="32"/>
  <c r="J615" i="32" s="1"/>
  <c r="J597" i="32"/>
  <c r="J590" i="32"/>
  <c r="J581" i="32"/>
  <c r="J579" i="32"/>
  <c r="J568" i="32"/>
  <c r="J572" i="32" s="1"/>
  <c r="J558" i="32"/>
  <c r="J556" i="32"/>
  <c r="J546" i="32"/>
  <c r="J548" i="32" s="1"/>
  <c r="J533" i="32"/>
  <c r="J526" i="32"/>
  <c r="J516" i="32"/>
  <c r="J509" i="32"/>
  <c r="J500" i="32"/>
  <c r="J493" i="32"/>
  <c r="J479" i="32"/>
  <c r="J488" i="32" s="1"/>
  <c r="J469" i="32"/>
  <c r="J462" i="32"/>
  <c r="J453" i="32"/>
  <c r="J446" i="32"/>
  <c r="J436" i="32"/>
  <c r="J429" i="32"/>
  <c r="J381" i="32"/>
  <c r="J363" i="32"/>
  <c r="J356" i="32"/>
  <c r="J341" i="32"/>
  <c r="J322" i="32"/>
  <c r="J303" i="32"/>
  <c r="J284" i="32"/>
  <c r="J282" i="32"/>
  <c r="J271" i="32"/>
  <c r="J255" i="32"/>
  <c r="J253" i="32"/>
  <c r="J245" i="32"/>
  <c r="J243" i="32"/>
  <c r="J235" i="32"/>
  <c r="J233" i="32"/>
  <c r="J224" i="32"/>
  <c r="J222" i="32"/>
  <c r="J214" i="32"/>
  <c r="J212" i="32"/>
  <c r="J202" i="32"/>
  <c r="J203" i="32" s="1"/>
  <c r="J194" i="32"/>
  <c r="J192" i="32"/>
  <c r="J185" i="32"/>
  <c r="J174" i="32"/>
  <c r="J172" i="32"/>
  <c r="J163" i="32"/>
  <c r="J161" i="32"/>
  <c r="J165" i="32" s="1"/>
  <c r="J153" i="32"/>
  <c r="J151" i="32"/>
  <c r="J140" i="32"/>
  <c r="J127" i="32"/>
  <c r="J125" i="32"/>
  <c r="J112" i="32"/>
  <c r="J110" i="32"/>
  <c r="J101" i="32"/>
  <c r="J103" i="32" s="1"/>
  <c r="J93" i="32"/>
  <c r="J91" i="32"/>
  <c r="J82" i="32"/>
  <c r="J74" i="32"/>
  <c r="J72" i="32"/>
  <c r="J63" i="32"/>
  <c r="J65" i="32" s="1"/>
  <c r="J55" i="32"/>
  <c r="J53" i="32"/>
  <c r="J44" i="32"/>
  <c r="J46" i="32" s="1"/>
  <c r="J36" i="32"/>
  <c r="J34" i="32"/>
  <c r="J25" i="32"/>
  <c r="J27" i="32" s="1"/>
  <c r="J40" i="32" s="1"/>
  <c r="E18" i="32"/>
  <c r="E17" i="32"/>
  <c r="J932" i="31"/>
  <c r="J928" i="31"/>
  <c r="J924" i="31"/>
  <c r="J920" i="31"/>
  <c r="J916" i="31"/>
  <c r="J912" i="31"/>
  <c r="J908" i="31"/>
  <c r="J904" i="31"/>
  <c r="J890" i="31"/>
  <c r="J886" i="31"/>
  <c r="J882" i="31"/>
  <c r="J878" i="31"/>
  <c r="J874" i="31"/>
  <c r="J870" i="31"/>
  <c r="J866" i="31"/>
  <c r="J862" i="31"/>
  <c r="J858" i="31"/>
  <c r="J854" i="31"/>
  <c r="J850" i="31"/>
  <c r="J846" i="31"/>
  <c r="J842" i="31"/>
  <c r="J838" i="31"/>
  <c r="J834" i="31"/>
  <c r="J770" i="31"/>
  <c r="J769" i="31"/>
  <c r="J768" i="31"/>
  <c r="J767" i="31"/>
  <c r="J766" i="31"/>
  <c r="J765" i="31"/>
  <c r="J764" i="31"/>
  <c r="J763" i="31"/>
  <c r="J762" i="31"/>
  <c r="J755" i="31"/>
  <c r="J754" i="31"/>
  <c r="J753" i="31"/>
  <c r="J752" i="31"/>
  <c r="J751" i="31"/>
  <c r="J750" i="31"/>
  <c r="J749" i="31"/>
  <c r="J748" i="31"/>
  <c r="J747" i="31"/>
  <c r="J740" i="31"/>
  <c r="J739" i="31"/>
  <c r="J738" i="31"/>
  <c r="J737" i="31"/>
  <c r="J736" i="31"/>
  <c r="J735" i="31"/>
  <c r="J734" i="31"/>
  <c r="J733" i="31"/>
  <c r="J732" i="31"/>
  <c r="J725" i="31"/>
  <c r="J724" i="31"/>
  <c r="J723" i="31"/>
  <c r="J722" i="31"/>
  <c r="J721" i="31"/>
  <c r="J720" i="31"/>
  <c r="J719" i="31"/>
  <c r="J718" i="31"/>
  <c r="J717" i="31"/>
  <c r="J675" i="31"/>
  <c r="J673" i="31"/>
  <c r="J661" i="31"/>
  <c r="J653" i="31"/>
  <c r="J651" i="31"/>
  <c r="J640" i="31"/>
  <c r="J644" i="31" s="1"/>
  <c r="J631" i="31"/>
  <c r="J629" i="31"/>
  <c r="J619" i="31"/>
  <c r="J621" i="31" s="1"/>
  <c r="J606" i="31"/>
  <c r="J615" i="31" s="1"/>
  <c r="J597" i="31"/>
  <c r="J590" i="31"/>
  <c r="J581" i="31"/>
  <c r="J579" i="31"/>
  <c r="J568" i="31"/>
  <c r="J558" i="31"/>
  <c r="J556" i="31"/>
  <c r="J546" i="31"/>
  <c r="J548" i="31" s="1"/>
  <c r="J533" i="31"/>
  <c r="J526" i="31"/>
  <c r="J516" i="31"/>
  <c r="J509" i="31"/>
  <c r="J500" i="31"/>
  <c r="J493" i="31"/>
  <c r="J478" i="31"/>
  <c r="J479" i="31" s="1"/>
  <c r="J488" i="31" s="1"/>
  <c r="J469" i="31"/>
  <c r="J462" i="31"/>
  <c r="J453" i="31"/>
  <c r="J446" i="31"/>
  <c r="J436" i="31"/>
  <c r="J429" i="31"/>
  <c r="J418" i="31"/>
  <c r="J284" i="31"/>
  <c r="J282" i="31"/>
  <c r="J255" i="31"/>
  <c r="J253" i="31"/>
  <c r="J245" i="31"/>
  <c r="J243" i="31"/>
  <c r="J244" i="31" s="1"/>
  <c r="J235" i="31"/>
  <c r="J233" i="31"/>
  <c r="J224" i="31"/>
  <c r="J222" i="31"/>
  <c r="J223" i="31" s="1"/>
  <c r="J214" i="31"/>
  <c r="J212" i="31"/>
  <c r="J204" i="31"/>
  <c r="J202" i="31"/>
  <c r="J203" i="31" s="1"/>
  <c r="J194" i="31"/>
  <c r="J192" i="31"/>
  <c r="J184" i="31"/>
  <c r="J183" i="31"/>
  <c r="J174" i="31"/>
  <c r="J172" i="31"/>
  <c r="J161" i="31"/>
  <c r="J153" i="31"/>
  <c r="J151" i="31"/>
  <c r="J140" i="31"/>
  <c r="J127" i="31"/>
  <c r="J125" i="31"/>
  <c r="J112" i="31"/>
  <c r="J110" i="31"/>
  <c r="J101" i="31"/>
  <c r="J103" i="31" s="1"/>
  <c r="J93" i="31"/>
  <c r="J91" i="31"/>
  <c r="J83" i="31"/>
  <c r="J82" i="31"/>
  <c r="J74" i="31"/>
  <c r="J72" i="31"/>
  <c r="J63" i="31"/>
  <c r="J64" i="31" s="1"/>
  <c r="J55" i="31"/>
  <c r="J53" i="31"/>
  <c r="J44" i="31"/>
  <c r="J45" i="31" s="1"/>
  <c r="J36" i="31"/>
  <c r="J34" i="31"/>
  <c r="J26" i="31"/>
  <c r="J25" i="31"/>
  <c r="E18" i="31"/>
  <c r="E17" i="31"/>
  <c r="J932" i="30"/>
  <c r="J928" i="30"/>
  <c r="J924" i="30"/>
  <c r="J920" i="30"/>
  <c r="J916" i="30"/>
  <c r="J912" i="30"/>
  <c r="J908" i="30"/>
  <c r="J904" i="30"/>
  <c r="J890" i="30"/>
  <c r="J886" i="30"/>
  <c r="J882" i="30"/>
  <c r="J878" i="30"/>
  <c r="J874" i="30"/>
  <c r="J870" i="30"/>
  <c r="J866" i="30"/>
  <c r="J862" i="30"/>
  <c r="J858" i="30"/>
  <c r="J854" i="30"/>
  <c r="J850" i="30"/>
  <c r="J846" i="30"/>
  <c r="J842" i="30"/>
  <c r="J838" i="30"/>
  <c r="J834" i="30"/>
  <c r="J770" i="30"/>
  <c r="J769" i="30"/>
  <c r="J768" i="30"/>
  <c r="J767" i="30"/>
  <c r="J766" i="30"/>
  <c r="J765" i="30"/>
  <c r="J764" i="30"/>
  <c r="J763" i="30"/>
  <c r="J762" i="30"/>
  <c r="J755" i="30"/>
  <c r="J754" i="30"/>
  <c r="J753" i="30"/>
  <c r="J752" i="30"/>
  <c r="J751" i="30"/>
  <c r="J750" i="30"/>
  <c r="J749" i="30"/>
  <c r="J748" i="30"/>
  <c r="J747" i="30"/>
  <c r="J740" i="30"/>
  <c r="J739" i="30"/>
  <c r="J738" i="30"/>
  <c r="J737" i="30"/>
  <c r="J736" i="30"/>
  <c r="J735" i="30"/>
  <c r="J734" i="30"/>
  <c r="J733" i="30"/>
  <c r="J732" i="30"/>
  <c r="J725" i="30"/>
  <c r="J724" i="30"/>
  <c r="J723" i="30"/>
  <c r="J722" i="30"/>
  <c r="J721" i="30"/>
  <c r="J720" i="30"/>
  <c r="J719" i="30"/>
  <c r="J718" i="30"/>
  <c r="J717" i="30"/>
  <c r="J673" i="30"/>
  <c r="J663" i="30"/>
  <c r="J662" i="30"/>
  <c r="J675" i="30" s="1"/>
  <c r="J661" i="30"/>
  <c r="J653" i="30"/>
  <c r="J651" i="30"/>
  <c r="J640" i="30"/>
  <c r="J644" i="30" s="1"/>
  <c r="J629" i="30"/>
  <c r="J621" i="30"/>
  <c r="J631" i="30" s="1"/>
  <c r="J619" i="30"/>
  <c r="J606" i="30"/>
  <c r="J615" i="30" s="1"/>
  <c r="J589" i="30"/>
  <c r="J597" i="30" s="1"/>
  <c r="J579" i="30"/>
  <c r="J568" i="30"/>
  <c r="J556" i="30"/>
  <c r="J546" i="30"/>
  <c r="J525" i="30"/>
  <c r="J533" i="30" s="1"/>
  <c r="J508" i="30"/>
  <c r="J516" i="30" s="1"/>
  <c r="J492" i="30"/>
  <c r="J493" i="30" s="1"/>
  <c r="J479" i="30"/>
  <c r="J488" i="30" s="1"/>
  <c r="J462" i="30"/>
  <c r="J453" i="30"/>
  <c r="J446" i="30"/>
  <c r="J429" i="30"/>
  <c r="J282" i="30"/>
  <c r="J271" i="30"/>
  <c r="J269" i="30"/>
  <c r="J253" i="30"/>
  <c r="J245" i="30"/>
  <c r="J244" i="30"/>
  <c r="J243" i="30"/>
  <c r="J233" i="30"/>
  <c r="J224" i="30"/>
  <c r="J223" i="30"/>
  <c r="J235" i="30" s="1"/>
  <c r="J222" i="30"/>
  <c r="J212" i="30"/>
  <c r="J203" i="30"/>
  <c r="J202" i="30"/>
  <c r="J204" i="30" s="1"/>
  <c r="J192" i="30"/>
  <c r="J183" i="30"/>
  <c r="J194" i="30" s="1"/>
  <c r="J172" i="30"/>
  <c r="J162" i="30"/>
  <c r="J161" i="30"/>
  <c r="J151" i="30"/>
  <c r="J141" i="30"/>
  <c r="J140" i="30"/>
  <c r="J127" i="30"/>
  <c r="J125" i="30"/>
  <c r="J112" i="30"/>
  <c r="J110" i="30"/>
  <c r="J101" i="30"/>
  <c r="J103" i="30" s="1"/>
  <c r="J91" i="30"/>
  <c r="J82" i="30"/>
  <c r="J72" i="30"/>
  <c r="J64" i="30"/>
  <c r="J63" i="30"/>
  <c r="J53" i="30"/>
  <c r="J44" i="30"/>
  <c r="J36" i="30"/>
  <c r="J34" i="30"/>
  <c r="J25" i="30"/>
  <c r="J27" i="30" s="1"/>
  <c r="E18" i="30"/>
  <c r="E17" i="30"/>
  <c r="J932" i="29"/>
  <c r="J928" i="29"/>
  <c r="J924" i="29"/>
  <c r="J920" i="29"/>
  <c r="J916" i="29"/>
  <c r="J912" i="29"/>
  <c r="J908" i="29"/>
  <c r="J904" i="29"/>
  <c r="J890" i="29"/>
  <c r="J886" i="29"/>
  <c r="J882" i="29"/>
  <c r="J878" i="29"/>
  <c r="J874" i="29"/>
  <c r="J870" i="29"/>
  <c r="J866" i="29"/>
  <c r="J862" i="29"/>
  <c r="J858" i="29"/>
  <c r="J854" i="29"/>
  <c r="J850" i="29"/>
  <c r="J846" i="29"/>
  <c r="J842" i="29"/>
  <c r="J838" i="29"/>
  <c r="J834" i="29"/>
  <c r="J770" i="29"/>
  <c r="J769" i="29"/>
  <c r="J768" i="29"/>
  <c r="J767" i="29"/>
  <c r="J766" i="29"/>
  <c r="J765" i="29"/>
  <c r="J764" i="29"/>
  <c r="J763" i="29"/>
  <c r="J762" i="29"/>
  <c r="J755" i="29"/>
  <c r="J754" i="29"/>
  <c r="J753" i="29"/>
  <c r="J752" i="29"/>
  <c r="J751" i="29"/>
  <c r="J750" i="29"/>
  <c r="J749" i="29"/>
  <c r="J748" i="29"/>
  <c r="J747" i="29"/>
  <c r="J740" i="29"/>
  <c r="J739" i="29"/>
  <c r="J738" i="29"/>
  <c r="J737" i="29"/>
  <c r="J736" i="29"/>
  <c r="J735" i="29"/>
  <c r="J734" i="29"/>
  <c r="J733" i="29"/>
  <c r="J732" i="29"/>
  <c r="J725" i="29"/>
  <c r="J724" i="29"/>
  <c r="J723" i="29"/>
  <c r="J722" i="29"/>
  <c r="J721" i="29"/>
  <c r="J720" i="29"/>
  <c r="J719" i="29"/>
  <c r="J718" i="29"/>
  <c r="J717" i="29"/>
  <c r="J675" i="29"/>
  <c r="J673" i="29"/>
  <c r="J661" i="29"/>
  <c r="J653" i="29"/>
  <c r="J651" i="29"/>
  <c r="J640" i="29"/>
  <c r="J644" i="29" s="1"/>
  <c r="J631" i="29"/>
  <c r="J629" i="29"/>
  <c r="J619" i="29"/>
  <c r="J606" i="29"/>
  <c r="J615" i="29" s="1"/>
  <c r="J597" i="29"/>
  <c r="J590" i="29"/>
  <c r="J581" i="29"/>
  <c r="J579" i="29"/>
  <c r="J568" i="29"/>
  <c r="J558" i="29"/>
  <c r="J556" i="29"/>
  <c r="J546" i="29"/>
  <c r="J549" i="29" s="1"/>
  <c r="J533" i="29"/>
  <c r="J526" i="29"/>
  <c r="J516" i="29"/>
  <c r="J509" i="29"/>
  <c r="J500" i="29"/>
  <c r="J493" i="29"/>
  <c r="J479" i="29"/>
  <c r="J488" i="29" s="1"/>
  <c r="J469" i="29"/>
  <c r="J462" i="29"/>
  <c r="J453" i="29"/>
  <c r="J446" i="29"/>
  <c r="J436" i="29"/>
  <c r="J429" i="29"/>
  <c r="J418" i="29"/>
  <c r="J381" i="29"/>
  <c r="J363" i="29"/>
  <c r="J356" i="29"/>
  <c r="J341" i="29"/>
  <c r="J322" i="29"/>
  <c r="J303" i="29"/>
  <c r="J284" i="29"/>
  <c r="J282" i="29"/>
  <c r="J271" i="29"/>
  <c r="J255" i="29"/>
  <c r="J253" i="29"/>
  <c r="J243" i="29"/>
  <c r="J246" i="29" s="1"/>
  <c r="J235" i="29"/>
  <c r="J233" i="29"/>
  <c r="J224" i="29"/>
  <c r="J222" i="29"/>
  <c r="J214" i="29"/>
  <c r="J212" i="29"/>
  <c r="J202" i="29"/>
  <c r="J205" i="29" s="1"/>
  <c r="J194" i="29"/>
  <c r="J192" i="29"/>
  <c r="J174" i="29"/>
  <c r="J172" i="29"/>
  <c r="J161" i="29"/>
  <c r="J153" i="29"/>
  <c r="J151" i="29"/>
  <c r="J140" i="29"/>
  <c r="J127" i="29"/>
  <c r="J125" i="29"/>
  <c r="J112" i="29"/>
  <c r="J110" i="29"/>
  <c r="J101" i="29"/>
  <c r="J103" i="29" s="1"/>
  <c r="J93" i="29"/>
  <c r="J91" i="29"/>
  <c r="J82" i="29"/>
  <c r="J74" i="29"/>
  <c r="J72" i="29"/>
  <c r="J63" i="29"/>
  <c r="J55" i="29"/>
  <c r="J53" i="29"/>
  <c r="J44" i="29"/>
  <c r="J46" i="29" s="1"/>
  <c r="J36" i="29"/>
  <c r="J34" i="29"/>
  <c r="E18" i="29"/>
  <c r="E17" i="29"/>
  <c r="J932" i="28"/>
  <c r="J928" i="28"/>
  <c r="J924" i="28"/>
  <c r="J920" i="28"/>
  <c r="J916" i="28"/>
  <c r="J912" i="28"/>
  <c r="J908" i="28"/>
  <c r="J904" i="28"/>
  <c r="J890" i="28"/>
  <c r="J886" i="28"/>
  <c r="J882" i="28"/>
  <c r="J878" i="28"/>
  <c r="J874" i="28"/>
  <c r="J870" i="28"/>
  <c r="J866" i="28"/>
  <c r="J862" i="28"/>
  <c r="J858" i="28"/>
  <c r="J854" i="28"/>
  <c r="J850" i="28"/>
  <c r="J846" i="28"/>
  <c r="J842" i="28"/>
  <c r="J838" i="28"/>
  <c r="J834" i="28"/>
  <c r="J770" i="28"/>
  <c r="J769" i="28"/>
  <c r="J768" i="28"/>
  <c r="J767" i="28"/>
  <c r="J766" i="28"/>
  <c r="J765" i="28"/>
  <c r="J764" i="28"/>
  <c r="J763" i="28"/>
  <c r="J762" i="28"/>
  <c r="J755" i="28"/>
  <c r="J754" i="28"/>
  <c r="J753" i="28"/>
  <c r="J752" i="28"/>
  <c r="J751" i="28"/>
  <c r="J750" i="28"/>
  <c r="J749" i="28"/>
  <c r="J748" i="28"/>
  <c r="J747" i="28"/>
  <c r="J740" i="28"/>
  <c r="J739" i="28"/>
  <c r="J738" i="28"/>
  <c r="J737" i="28"/>
  <c r="J736" i="28"/>
  <c r="J735" i="28"/>
  <c r="J734" i="28"/>
  <c r="J733" i="28"/>
  <c r="J732" i="28"/>
  <c r="J725" i="28"/>
  <c r="J724" i="28"/>
  <c r="J723" i="28"/>
  <c r="J722" i="28"/>
  <c r="J721" i="28"/>
  <c r="J720" i="28"/>
  <c r="J719" i="28"/>
  <c r="J718" i="28"/>
  <c r="J717" i="28"/>
  <c r="J675" i="28"/>
  <c r="J673" i="28"/>
  <c r="J663" i="28"/>
  <c r="J661" i="28"/>
  <c r="J653" i="28"/>
  <c r="J651" i="28"/>
  <c r="J640" i="28"/>
  <c r="J644" i="28" s="1"/>
  <c r="J631" i="28"/>
  <c r="J629" i="28"/>
  <c r="J619" i="28"/>
  <c r="J622" i="28" s="1"/>
  <c r="J606" i="28"/>
  <c r="J615" i="28" s="1"/>
  <c r="J597" i="28"/>
  <c r="J589" i="28"/>
  <c r="J590" i="28" s="1"/>
  <c r="J581" i="28"/>
  <c r="J579" i="28"/>
  <c r="J568" i="28"/>
  <c r="J572" i="28" s="1"/>
  <c r="J558" i="28"/>
  <c r="J556" i="28"/>
  <c r="J546" i="28"/>
  <c r="J549" i="28" s="1"/>
  <c r="J533" i="28"/>
  <c r="J526" i="28"/>
  <c r="J516" i="28"/>
  <c r="J508" i="28"/>
  <c r="J509" i="28" s="1"/>
  <c r="J500" i="28"/>
  <c r="J493" i="28"/>
  <c r="J479" i="28"/>
  <c r="J488" i="28" s="1"/>
  <c r="J469" i="28"/>
  <c r="J462" i="28"/>
  <c r="J453" i="28"/>
  <c r="J446" i="28"/>
  <c r="J436" i="28"/>
  <c r="J429" i="28"/>
  <c r="J408" i="28"/>
  <c r="J381" i="28"/>
  <c r="J363" i="28"/>
  <c r="J356" i="28"/>
  <c r="J341" i="28"/>
  <c r="J322" i="28"/>
  <c r="J303" i="28"/>
  <c r="J284" i="28"/>
  <c r="J282" i="28"/>
  <c r="J271" i="28"/>
  <c r="J255" i="28"/>
  <c r="J253" i="28"/>
  <c r="J245" i="28"/>
  <c r="J243" i="28"/>
  <c r="J235" i="28"/>
  <c r="J233" i="28"/>
  <c r="J224" i="28"/>
  <c r="J222" i="28"/>
  <c r="J226" i="28" s="1"/>
  <c r="J214" i="28"/>
  <c r="J212" i="28"/>
  <c r="J202" i="28"/>
  <c r="J205" i="28" s="1"/>
  <c r="J194" i="28"/>
  <c r="J192" i="28"/>
  <c r="J185" i="28"/>
  <c r="J174" i="28"/>
  <c r="J172" i="28"/>
  <c r="J163" i="28"/>
  <c r="J161" i="28"/>
  <c r="J165" i="28" s="1"/>
  <c r="J153" i="28"/>
  <c r="J151" i="28"/>
  <c r="J142" i="28"/>
  <c r="J140" i="28"/>
  <c r="J144" i="28" s="1"/>
  <c r="J127" i="28"/>
  <c r="J125" i="28"/>
  <c r="J112" i="28"/>
  <c r="J110" i="28"/>
  <c r="J101" i="28"/>
  <c r="J103" i="28" s="1"/>
  <c r="J93" i="28"/>
  <c r="J91" i="28"/>
  <c r="J82" i="28"/>
  <c r="J84" i="28" s="1"/>
  <c r="J74" i="28"/>
  <c r="J72" i="28"/>
  <c r="J63" i="28"/>
  <c r="J65" i="28" s="1"/>
  <c r="J55" i="28"/>
  <c r="J53" i="28"/>
  <c r="J44" i="28"/>
  <c r="J46" i="28" s="1"/>
  <c r="J36" i="28"/>
  <c r="J34" i="28"/>
  <c r="J25" i="28"/>
  <c r="J27" i="28" s="1"/>
  <c r="E18" i="28"/>
  <c r="E17" i="28"/>
  <c r="J932" i="27"/>
  <c r="J928" i="27"/>
  <c r="J924" i="27"/>
  <c r="J920" i="27"/>
  <c r="J916" i="27"/>
  <c r="J912" i="27"/>
  <c r="J908" i="27"/>
  <c r="J904" i="27"/>
  <c r="J890" i="27"/>
  <c r="J886" i="27"/>
  <c r="J882" i="27"/>
  <c r="J878" i="27"/>
  <c r="J874" i="27"/>
  <c r="J870" i="27"/>
  <c r="J866" i="27"/>
  <c r="J862" i="27"/>
  <c r="J858" i="27"/>
  <c r="J854" i="27"/>
  <c r="J850" i="27"/>
  <c r="J846" i="27"/>
  <c r="J842" i="27"/>
  <c r="J838" i="27"/>
  <c r="J834" i="27"/>
  <c r="J770" i="27"/>
  <c r="J769" i="27"/>
  <c r="J768" i="27"/>
  <c r="J767" i="27"/>
  <c r="J766" i="27"/>
  <c r="J765" i="27"/>
  <c r="J764" i="27"/>
  <c r="J763" i="27"/>
  <c r="J762" i="27"/>
  <c r="J755" i="27"/>
  <c r="J754" i="27"/>
  <c r="J753" i="27"/>
  <c r="J752" i="27"/>
  <c r="J751" i="27"/>
  <c r="J750" i="27"/>
  <c r="J749" i="27"/>
  <c r="J748" i="27"/>
  <c r="J747" i="27"/>
  <c r="J740" i="27"/>
  <c r="J739" i="27"/>
  <c r="J738" i="27"/>
  <c r="J737" i="27"/>
  <c r="J736" i="27"/>
  <c r="J735" i="27"/>
  <c r="J734" i="27"/>
  <c r="J733" i="27"/>
  <c r="J732" i="27"/>
  <c r="J725" i="27"/>
  <c r="J724" i="27"/>
  <c r="J723" i="27"/>
  <c r="J722" i="27"/>
  <c r="J721" i="27"/>
  <c r="J720" i="27"/>
  <c r="J719" i="27"/>
  <c r="J718" i="27"/>
  <c r="J717" i="27"/>
  <c r="J675" i="27"/>
  <c r="J673" i="27"/>
  <c r="J663" i="27"/>
  <c r="J661" i="27"/>
  <c r="J666" i="27" s="1"/>
  <c r="J653" i="27"/>
  <c r="J651" i="27"/>
  <c r="J640" i="27"/>
  <c r="J644" i="27" s="1"/>
  <c r="J631" i="27"/>
  <c r="J629" i="27"/>
  <c r="J619" i="27"/>
  <c r="J606" i="27"/>
  <c r="J615" i="27" s="1"/>
  <c r="J597" i="27"/>
  <c r="J590" i="27"/>
  <c r="J581" i="27"/>
  <c r="J579" i="27"/>
  <c r="J568" i="27"/>
  <c r="J558" i="27"/>
  <c r="J556" i="27"/>
  <c r="J546" i="27"/>
  <c r="J548" i="27" s="1"/>
  <c r="J533" i="27"/>
  <c r="J526" i="27"/>
  <c r="J516" i="27"/>
  <c r="J509" i="27"/>
  <c r="J500" i="27"/>
  <c r="J493" i="27"/>
  <c r="J479" i="27"/>
  <c r="J488" i="27" s="1"/>
  <c r="J469" i="27"/>
  <c r="J462" i="27"/>
  <c r="J453" i="27"/>
  <c r="J445" i="27"/>
  <c r="J446" i="27" s="1"/>
  <c r="J436" i="27"/>
  <c r="J428" i="27"/>
  <c r="J429" i="27" s="1"/>
  <c r="J418" i="27"/>
  <c r="J284" i="27"/>
  <c r="J282" i="27"/>
  <c r="J271" i="27"/>
  <c r="J255" i="27"/>
  <c r="J253" i="27"/>
  <c r="J243" i="27"/>
  <c r="J245" i="27" s="1"/>
  <c r="J235" i="27"/>
  <c r="J233" i="27"/>
  <c r="J224" i="27"/>
  <c r="J222" i="27"/>
  <c r="J214" i="27"/>
  <c r="J212" i="27"/>
  <c r="J202" i="27"/>
  <c r="J203" i="27" s="1"/>
  <c r="J194" i="27"/>
  <c r="J192" i="27"/>
  <c r="J185" i="27"/>
  <c r="J174" i="27"/>
  <c r="J172" i="27"/>
  <c r="J161" i="27"/>
  <c r="J153" i="27"/>
  <c r="J151" i="27"/>
  <c r="J142" i="27"/>
  <c r="J140" i="27"/>
  <c r="J127" i="27"/>
  <c r="J125" i="27"/>
  <c r="J112" i="27"/>
  <c r="J110" i="27"/>
  <c r="J101" i="27"/>
  <c r="J103" i="27" s="1"/>
  <c r="J93" i="27"/>
  <c r="J91" i="27"/>
  <c r="J82" i="27"/>
  <c r="J84" i="27" s="1"/>
  <c r="J74" i="27"/>
  <c r="J72" i="27"/>
  <c r="J63" i="27"/>
  <c r="J55" i="27"/>
  <c r="J53" i="27"/>
  <c r="J44" i="27"/>
  <c r="J36" i="27"/>
  <c r="J34" i="27"/>
  <c r="J25" i="27"/>
  <c r="J27" i="27" s="1"/>
  <c r="E18" i="27"/>
  <c r="E17" i="27"/>
  <c r="J932" i="26"/>
  <c r="J928" i="26"/>
  <c r="J924" i="26"/>
  <c r="J920" i="26"/>
  <c r="J916" i="26"/>
  <c r="J912" i="26"/>
  <c r="J908" i="26"/>
  <c r="J904" i="26"/>
  <c r="J890" i="26"/>
  <c r="J886" i="26"/>
  <c r="J882" i="26"/>
  <c r="J878" i="26"/>
  <c r="J874" i="26"/>
  <c r="J870" i="26"/>
  <c r="J866" i="26"/>
  <c r="J862" i="26"/>
  <c r="J858" i="26"/>
  <c r="J854" i="26"/>
  <c r="J850" i="26"/>
  <c r="J846" i="26"/>
  <c r="J842" i="26"/>
  <c r="J838" i="26"/>
  <c r="J834" i="26"/>
  <c r="J770" i="26"/>
  <c r="J769" i="26"/>
  <c r="J768" i="26"/>
  <c r="J767" i="26"/>
  <c r="J766" i="26"/>
  <c r="J765" i="26"/>
  <c r="J764" i="26"/>
  <c r="J763" i="26"/>
  <c r="J762" i="26"/>
  <c r="J755" i="26"/>
  <c r="J754" i="26"/>
  <c r="J753" i="26"/>
  <c r="J752" i="26"/>
  <c r="J751" i="26"/>
  <c r="J750" i="26"/>
  <c r="J749" i="26"/>
  <c r="J748" i="26"/>
  <c r="J747" i="26"/>
  <c r="J740" i="26"/>
  <c r="J739" i="26"/>
  <c r="J738" i="26"/>
  <c r="J737" i="26"/>
  <c r="J736" i="26"/>
  <c r="J735" i="26"/>
  <c r="J734" i="26"/>
  <c r="J733" i="26"/>
  <c r="J732" i="26"/>
  <c r="J725" i="26"/>
  <c r="J724" i="26"/>
  <c r="J723" i="26"/>
  <c r="J722" i="26"/>
  <c r="J721" i="26"/>
  <c r="J720" i="26"/>
  <c r="J719" i="26"/>
  <c r="J718" i="26"/>
  <c r="J717" i="26"/>
  <c r="J675" i="26"/>
  <c r="J673" i="26"/>
  <c r="J663" i="26"/>
  <c r="J661" i="26"/>
  <c r="J653" i="26"/>
  <c r="J651" i="26"/>
  <c r="J640" i="26"/>
  <c r="J644" i="26" s="1"/>
  <c r="J631" i="26"/>
  <c r="J629" i="26"/>
  <c r="J619" i="26"/>
  <c r="J622" i="26" s="1"/>
  <c r="J606" i="26"/>
  <c r="J615" i="26" s="1"/>
  <c r="J597" i="26"/>
  <c r="J590" i="26"/>
  <c r="J581" i="26"/>
  <c r="J579" i="26"/>
  <c r="J568" i="26"/>
  <c r="J572" i="26" s="1"/>
  <c r="J558" i="26"/>
  <c r="J556" i="26"/>
  <c r="J546" i="26"/>
  <c r="J549" i="26" s="1"/>
  <c r="J533" i="26"/>
  <c r="J526" i="26"/>
  <c r="J516" i="26"/>
  <c r="J509" i="26"/>
  <c r="J500" i="26"/>
  <c r="J493" i="26"/>
  <c r="J479" i="26"/>
  <c r="J488" i="26" s="1"/>
  <c r="J469" i="26"/>
  <c r="J462" i="26"/>
  <c r="J453" i="26"/>
  <c r="J446" i="26"/>
  <c r="J436" i="26"/>
  <c r="J429" i="26"/>
  <c r="J418" i="26"/>
  <c r="J381" i="26"/>
  <c r="J363" i="26"/>
  <c r="J356" i="26"/>
  <c r="J341" i="26"/>
  <c r="J322" i="26"/>
  <c r="J303" i="26"/>
  <c r="J284" i="26"/>
  <c r="J282" i="26"/>
  <c r="J271" i="26"/>
  <c r="J255" i="26"/>
  <c r="J253" i="26"/>
  <c r="J243" i="26"/>
  <c r="J246" i="26" s="1"/>
  <c r="J235" i="26"/>
  <c r="J233" i="26"/>
  <c r="J224" i="26"/>
  <c r="J222" i="26"/>
  <c r="J214" i="26"/>
  <c r="J212" i="26"/>
  <c r="J202" i="26"/>
  <c r="J205" i="26" s="1"/>
  <c r="J194" i="26"/>
  <c r="J192" i="26"/>
  <c r="J185" i="26"/>
  <c r="J174" i="26"/>
  <c r="J172" i="26"/>
  <c r="J163" i="26"/>
  <c r="J161" i="26"/>
  <c r="J153" i="26"/>
  <c r="J151" i="26"/>
  <c r="J142" i="26"/>
  <c r="J140" i="26"/>
  <c r="J144" i="26" s="1"/>
  <c r="J127" i="26"/>
  <c r="J125" i="26"/>
  <c r="J112" i="26"/>
  <c r="J110" i="26"/>
  <c r="J101" i="26"/>
  <c r="J103" i="26" s="1"/>
  <c r="J93" i="26"/>
  <c r="J91" i="26"/>
  <c r="J82" i="26"/>
  <c r="J84" i="26" s="1"/>
  <c r="J74" i="26"/>
  <c r="J72" i="26"/>
  <c r="J63" i="26"/>
  <c r="J65" i="26" s="1"/>
  <c r="J55" i="26"/>
  <c r="J53" i="26"/>
  <c r="J44" i="26"/>
  <c r="J46" i="26" s="1"/>
  <c r="J36" i="26"/>
  <c r="J34" i="26"/>
  <c r="J25" i="26"/>
  <c r="J27" i="26" s="1"/>
  <c r="E18" i="26"/>
  <c r="E17" i="26"/>
  <c r="J932" i="25"/>
  <c r="J928" i="25"/>
  <c r="J924" i="25"/>
  <c r="J920" i="25"/>
  <c r="J916" i="25"/>
  <c r="J912" i="25"/>
  <c r="J908" i="25"/>
  <c r="J904" i="25"/>
  <c r="J890" i="25"/>
  <c r="J886" i="25"/>
  <c r="J882" i="25"/>
  <c r="J878" i="25"/>
  <c r="J874" i="25"/>
  <c r="J870" i="25"/>
  <c r="J866" i="25"/>
  <c r="J862" i="25"/>
  <c r="J858" i="25"/>
  <c r="J854" i="25"/>
  <c r="J850" i="25"/>
  <c r="J846" i="25"/>
  <c r="J842" i="25"/>
  <c r="J838" i="25"/>
  <c r="J834" i="25"/>
  <c r="J770" i="25"/>
  <c r="J769" i="25"/>
  <c r="J768" i="25"/>
  <c r="J767" i="25"/>
  <c r="J766" i="25"/>
  <c r="J765" i="25"/>
  <c r="J764" i="25"/>
  <c r="J763" i="25"/>
  <c r="J762" i="25"/>
  <c r="J755" i="25"/>
  <c r="J754" i="25"/>
  <c r="J753" i="25"/>
  <c r="J752" i="25"/>
  <c r="J751" i="25"/>
  <c r="J750" i="25"/>
  <c r="J749" i="25"/>
  <c r="J748" i="25"/>
  <c r="J747" i="25"/>
  <c r="J740" i="25"/>
  <c r="J739" i="25"/>
  <c r="J738" i="25"/>
  <c r="J737" i="25"/>
  <c r="J736" i="25"/>
  <c r="J735" i="25"/>
  <c r="J734" i="25"/>
  <c r="J733" i="25"/>
  <c r="J732" i="25"/>
  <c r="J725" i="25"/>
  <c r="J724" i="25"/>
  <c r="J723" i="25"/>
  <c r="J722" i="25"/>
  <c r="J721" i="25"/>
  <c r="J720" i="25"/>
  <c r="J719" i="25"/>
  <c r="J718" i="25"/>
  <c r="J717" i="25"/>
  <c r="J675" i="25"/>
  <c r="J673" i="25"/>
  <c r="J663" i="25"/>
  <c r="J661" i="25"/>
  <c r="J653" i="25"/>
  <c r="J651" i="25"/>
  <c r="J640" i="25"/>
  <c r="J644" i="25" s="1"/>
  <c r="J631" i="25"/>
  <c r="J629" i="25"/>
  <c r="J619" i="25"/>
  <c r="J622" i="25" s="1"/>
  <c r="J606" i="25"/>
  <c r="J615" i="25" s="1"/>
  <c r="J597" i="25"/>
  <c r="J590" i="25"/>
  <c r="J581" i="25"/>
  <c r="J579" i="25"/>
  <c r="J568" i="25"/>
  <c r="J572" i="25" s="1"/>
  <c r="J558" i="25"/>
  <c r="J556" i="25"/>
  <c r="J546" i="25"/>
  <c r="J549" i="25" s="1"/>
  <c r="J533" i="25"/>
  <c r="J526" i="25"/>
  <c r="J516" i="25"/>
  <c r="J509" i="25"/>
  <c r="J500" i="25"/>
  <c r="J493" i="25"/>
  <c r="J479" i="25"/>
  <c r="J488" i="25" s="1"/>
  <c r="J469" i="25"/>
  <c r="J462" i="25"/>
  <c r="J453" i="25"/>
  <c r="J446" i="25"/>
  <c r="J436" i="25"/>
  <c r="J428" i="25"/>
  <c r="J429" i="25" s="1"/>
  <c r="J418" i="25"/>
  <c r="J381" i="25"/>
  <c r="J363" i="25"/>
  <c r="J356" i="25"/>
  <c r="J341" i="25"/>
  <c r="J322" i="25"/>
  <c r="J303" i="25"/>
  <c r="J284" i="25"/>
  <c r="J282" i="25"/>
  <c r="J271" i="25"/>
  <c r="J255" i="25"/>
  <c r="J253" i="25"/>
  <c r="J243" i="25"/>
  <c r="J246" i="25" s="1"/>
  <c r="J235" i="25"/>
  <c r="J233" i="25"/>
  <c r="J224" i="25"/>
  <c r="J222" i="25"/>
  <c r="J214" i="25"/>
  <c r="J212" i="25"/>
  <c r="J202" i="25"/>
  <c r="J205" i="25" s="1"/>
  <c r="J194" i="25"/>
  <c r="J192" i="25"/>
  <c r="J185" i="25"/>
  <c r="J174" i="25"/>
  <c r="J172" i="25"/>
  <c r="J163" i="25"/>
  <c r="J161" i="25"/>
  <c r="J165" i="25" s="1"/>
  <c r="J153" i="25"/>
  <c r="J151" i="25"/>
  <c r="J142" i="25"/>
  <c r="J140" i="25"/>
  <c r="J144" i="25" s="1"/>
  <c r="J127" i="25"/>
  <c r="J125" i="25"/>
  <c r="J131" i="25" s="1"/>
  <c r="J112" i="25"/>
  <c r="J110" i="25"/>
  <c r="J101" i="25"/>
  <c r="J103" i="25" s="1"/>
  <c r="J93" i="25"/>
  <c r="J91" i="25"/>
  <c r="J82" i="25"/>
  <c r="J84" i="25" s="1"/>
  <c r="J74" i="25"/>
  <c r="J72" i="25"/>
  <c r="J63" i="25"/>
  <c r="J65" i="25" s="1"/>
  <c r="J55" i="25"/>
  <c r="J53" i="25"/>
  <c r="J44" i="25"/>
  <c r="J46" i="25" s="1"/>
  <c r="J36" i="25"/>
  <c r="J34" i="25"/>
  <c r="J25" i="25"/>
  <c r="J27" i="25" s="1"/>
  <c r="E18" i="25"/>
  <c r="E17" i="25"/>
  <c r="J932" i="24"/>
  <c r="J928" i="24"/>
  <c r="J924" i="24"/>
  <c r="J920" i="24"/>
  <c r="J916" i="24"/>
  <c r="J912" i="24"/>
  <c r="J908" i="24"/>
  <c r="J904" i="24"/>
  <c r="J890" i="24"/>
  <c r="J886" i="24"/>
  <c r="J882" i="24"/>
  <c r="J878" i="24"/>
  <c r="J874" i="24"/>
  <c r="J870" i="24"/>
  <c r="J866" i="24"/>
  <c r="J862" i="24"/>
  <c r="J858" i="24"/>
  <c r="J854" i="24"/>
  <c r="J850" i="24"/>
  <c r="J846" i="24"/>
  <c r="J842" i="24"/>
  <c r="J838" i="24"/>
  <c r="J834" i="24"/>
  <c r="J770" i="24"/>
  <c r="J769" i="24"/>
  <c r="J768" i="24"/>
  <c r="J767" i="24"/>
  <c r="J766" i="24"/>
  <c r="J765" i="24"/>
  <c r="J764" i="24"/>
  <c r="J763" i="24"/>
  <c r="J762" i="24"/>
  <c r="J755" i="24"/>
  <c r="J754" i="24"/>
  <c r="J753" i="24"/>
  <c r="J752" i="24"/>
  <c r="J751" i="24"/>
  <c r="J750" i="24"/>
  <c r="J749" i="24"/>
  <c r="J748" i="24"/>
  <c r="J747" i="24"/>
  <c r="J740" i="24"/>
  <c r="J739" i="24"/>
  <c r="J738" i="24"/>
  <c r="J737" i="24"/>
  <c r="J736" i="24"/>
  <c r="J735" i="24"/>
  <c r="J734" i="24"/>
  <c r="J733" i="24"/>
  <c r="J732" i="24"/>
  <c r="J725" i="24"/>
  <c r="J724" i="24"/>
  <c r="J723" i="24"/>
  <c r="J722" i="24"/>
  <c r="J721" i="24"/>
  <c r="J720" i="24"/>
  <c r="J719" i="24"/>
  <c r="J718" i="24"/>
  <c r="J717" i="24"/>
  <c r="J675" i="24"/>
  <c r="J673" i="24"/>
  <c r="J663" i="24"/>
  <c r="J661" i="24"/>
  <c r="J653" i="24"/>
  <c r="J651" i="24"/>
  <c r="J640" i="24"/>
  <c r="J644" i="24" s="1"/>
  <c r="J631" i="24"/>
  <c r="J629" i="24"/>
  <c r="J619" i="24"/>
  <c r="J622" i="24" s="1"/>
  <c r="J606" i="24"/>
  <c r="J615" i="24" s="1"/>
  <c r="J597" i="24"/>
  <c r="J590" i="24"/>
  <c r="J581" i="24"/>
  <c r="J579" i="24"/>
  <c r="J568" i="24"/>
  <c r="J571" i="24" s="1"/>
  <c r="J558" i="24"/>
  <c r="J556" i="24"/>
  <c r="J546" i="24"/>
  <c r="J549" i="24" s="1"/>
  <c r="J533" i="24"/>
  <c r="J526" i="24"/>
  <c r="J516" i="24"/>
  <c r="J509" i="24"/>
  <c r="J500" i="24"/>
  <c r="J493" i="24"/>
  <c r="J479" i="24"/>
  <c r="J488" i="24" s="1"/>
  <c r="J469" i="24"/>
  <c r="J462" i="24"/>
  <c r="J453" i="24"/>
  <c r="J446" i="24"/>
  <c r="J436" i="24"/>
  <c r="J429" i="24"/>
  <c r="J418" i="24"/>
  <c r="J381" i="24"/>
  <c r="J363" i="24"/>
  <c r="J356" i="24"/>
  <c r="J341" i="24"/>
  <c r="J322" i="24"/>
  <c r="J303" i="24"/>
  <c r="J284" i="24"/>
  <c r="J282" i="24"/>
  <c r="J271" i="24"/>
  <c r="J255" i="24"/>
  <c r="J253" i="24"/>
  <c r="J243" i="24"/>
  <c r="J245" i="24" s="1"/>
  <c r="J235" i="24"/>
  <c r="J233" i="24"/>
  <c r="J224" i="24"/>
  <c r="J222" i="24"/>
  <c r="J214" i="24"/>
  <c r="J212" i="24"/>
  <c r="J202" i="24"/>
  <c r="J205" i="24" s="1"/>
  <c r="J194" i="24"/>
  <c r="J192" i="24"/>
  <c r="J185" i="24"/>
  <c r="J174" i="24"/>
  <c r="J172" i="24"/>
  <c r="J163" i="24"/>
  <c r="J161" i="24"/>
  <c r="J165" i="24" s="1"/>
  <c r="J153" i="24"/>
  <c r="J151" i="24"/>
  <c r="J140" i="24"/>
  <c r="J127" i="24"/>
  <c r="J125" i="24"/>
  <c r="J112" i="24"/>
  <c r="J110" i="24"/>
  <c r="J101" i="24"/>
  <c r="J103" i="24" s="1"/>
  <c r="J93" i="24"/>
  <c r="J91" i="24"/>
  <c r="J82" i="24"/>
  <c r="J74" i="24"/>
  <c r="J72" i="24"/>
  <c r="J63" i="24"/>
  <c r="J65" i="24" s="1"/>
  <c r="J55" i="24"/>
  <c r="J53" i="24"/>
  <c r="J44" i="24"/>
  <c r="J46" i="24" s="1"/>
  <c r="J36" i="24"/>
  <c r="J34" i="24"/>
  <c r="J25" i="24"/>
  <c r="J27" i="24" s="1"/>
  <c r="E18" i="24"/>
  <c r="E17" i="24"/>
  <c r="J932" i="23"/>
  <c r="J928" i="23"/>
  <c r="J924" i="23"/>
  <c r="J920" i="23"/>
  <c r="J916" i="23"/>
  <c r="J912" i="23"/>
  <c r="J908" i="23"/>
  <c r="J904" i="23"/>
  <c r="J890" i="23"/>
  <c r="J886" i="23"/>
  <c r="J882" i="23"/>
  <c r="J878" i="23"/>
  <c r="J874" i="23"/>
  <c r="J870" i="23"/>
  <c r="J866" i="23"/>
  <c r="J862" i="23"/>
  <c r="J858" i="23"/>
  <c r="J854" i="23"/>
  <c r="J850" i="23"/>
  <c r="J846" i="23"/>
  <c r="J842" i="23"/>
  <c r="J838" i="23"/>
  <c r="J834" i="23"/>
  <c r="J770" i="23"/>
  <c r="J769" i="23"/>
  <c r="J768" i="23"/>
  <c r="J767" i="23"/>
  <c r="J766" i="23"/>
  <c r="J765" i="23"/>
  <c r="J764" i="23"/>
  <c r="J763" i="23"/>
  <c r="J762" i="23"/>
  <c r="J755" i="23"/>
  <c r="J754" i="23"/>
  <c r="J753" i="23"/>
  <c r="J752" i="23"/>
  <c r="J751" i="23"/>
  <c r="J750" i="23"/>
  <c r="J749" i="23"/>
  <c r="J748" i="23"/>
  <c r="J747" i="23"/>
  <c r="J740" i="23"/>
  <c r="J739" i="23"/>
  <c r="J738" i="23"/>
  <c r="J737" i="23"/>
  <c r="J736" i="23"/>
  <c r="J735" i="23"/>
  <c r="J734" i="23"/>
  <c r="J733" i="23"/>
  <c r="J732" i="23"/>
  <c r="J725" i="23"/>
  <c r="J724" i="23"/>
  <c r="J723" i="23"/>
  <c r="J722" i="23"/>
  <c r="J721" i="23"/>
  <c r="J720" i="23"/>
  <c r="J719" i="23"/>
  <c r="J718" i="23"/>
  <c r="J717" i="23"/>
  <c r="J675" i="23"/>
  <c r="J673" i="23"/>
  <c r="J663" i="23"/>
  <c r="J661" i="23"/>
  <c r="J653" i="23"/>
  <c r="J651" i="23"/>
  <c r="J640" i="23"/>
  <c r="J644" i="23" s="1"/>
  <c r="J631" i="23"/>
  <c r="J629" i="23"/>
  <c r="J619" i="23"/>
  <c r="J622" i="23" s="1"/>
  <c r="J606" i="23"/>
  <c r="J615" i="23" s="1"/>
  <c r="J597" i="23"/>
  <c r="J590" i="23"/>
  <c r="J581" i="23"/>
  <c r="J579" i="23"/>
  <c r="J568" i="23"/>
  <c r="J572" i="23" s="1"/>
  <c r="J558" i="23"/>
  <c r="J556" i="23"/>
  <c r="J546" i="23"/>
  <c r="J549" i="23" s="1"/>
  <c r="J533" i="23"/>
  <c r="J526" i="23"/>
  <c r="J516" i="23"/>
  <c r="J509" i="23"/>
  <c r="J500" i="23"/>
  <c r="J493" i="23"/>
  <c r="J479" i="23"/>
  <c r="J488" i="23" s="1"/>
  <c r="J469" i="23"/>
  <c r="J462" i="23"/>
  <c r="J453" i="23"/>
  <c r="J446" i="23"/>
  <c r="J436" i="23"/>
  <c r="J429" i="23"/>
  <c r="J418" i="23"/>
  <c r="J284" i="23"/>
  <c r="J282" i="23"/>
  <c r="J255" i="23"/>
  <c r="J253" i="23"/>
  <c r="J243" i="23"/>
  <c r="J235" i="23"/>
  <c r="J233" i="23"/>
  <c r="J224" i="23"/>
  <c r="J222" i="23"/>
  <c r="J226" i="23" s="1"/>
  <c r="J214" i="23"/>
  <c r="J212" i="23"/>
  <c r="J202" i="23"/>
  <c r="J194" i="23"/>
  <c r="J192" i="23"/>
  <c r="J184" i="23"/>
  <c r="J174" i="23"/>
  <c r="J172" i="23"/>
  <c r="J163" i="23"/>
  <c r="J161" i="23"/>
  <c r="J153" i="23"/>
  <c r="J151" i="23"/>
  <c r="J142" i="23"/>
  <c r="J140" i="23"/>
  <c r="J144" i="23" s="1"/>
  <c r="J127" i="23"/>
  <c r="J125" i="23"/>
  <c r="J112" i="23"/>
  <c r="J110" i="23"/>
  <c r="J101" i="23"/>
  <c r="J103" i="23" s="1"/>
  <c r="J93" i="23"/>
  <c r="J91" i="23"/>
  <c r="J82" i="23"/>
  <c r="J84" i="23" s="1"/>
  <c r="J74" i="23"/>
  <c r="J72" i="23"/>
  <c r="J63" i="23"/>
  <c r="J65" i="23" s="1"/>
  <c r="J55" i="23"/>
  <c r="J53" i="23"/>
  <c r="J44" i="23"/>
  <c r="J46" i="23" s="1"/>
  <c r="J36" i="23"/>
  <c r="J34" i="23"/>
  <c r="J25" i="23"/>
  <c r="J27" i="23" s="1"/>
  <c r="E18" i="23"/>
  <c r="E17" i="23"/>
  <c r="J932" i="21"/>
  <c r="J928" i="21"/>
  <c r="J924" i="21"/>
  <c r="J920" i="21"/>
  <c r="J916" i="21"/>
  <c r="J912" i="21"/>
  <c r="J908" i="21"/>
  <c r="J904" i="21"/>
  <c r="J890" i="21"/>
  <c r="J886" i="21"/>
  <c r="J882" i="21"/>
  <c r="J878" i="21"/>
  <c r="J874" i="21"/>
  <c r="J870" i="21"/>
  <c r="J866" i="21"/>
  <c r="J862" i="21"/>
  <c r="J858" i="21"/>
  <c r="J854" i="21"/>
  <c r="J850" i="21"/>
  <c r="J846" i="21"/>
  <c r="J842" i="21"/>
  <c r="J838" i="21"/>
  <c r="J834" i="21"/>
  <c r="J770" i="21"/>
  <c r="J769" i="21"/>
  <c r="J768" i="21"/>
  <c r="J767" i="21"/>
  <c r="J766" i="21"/>
  <c r="J765" i="21"/>
  <c r="J764" i="21"/>
  <c r="J763" i="21"/>
  <c r="J762" i="21"/>
  <c r="J755" i="21"/>
  <c r="J754" i="21"/>
  <c r="J753" i="21"/>
  <c r="J752" i="21"/>
  <c r="J751" i="21"/>
  <c r="J750" i="21"/>
  <c r="J749" i="21"/>
  <c r="J748" i="21"/>
  <c r="J747" i="21"/>
  <c r="J740" i="21"/>
  <c r="J739" i="21"/>
  <c r="J738" i="21"/>
  <c r="J737" i="21"/>
  <c r="J736" i="21"/>
  <c r="J735" i="21"/>
  <c r="J734" i="21"/>
  <c r="J733" i="21"/>
  <c r="J732" i="21"/>
  <c r="J725" i="21"/>
  <c r="J724" i="21"/>
  <c r="J723" i="21"/>
  <c r="J722" i="21"/>
  <c r="J721" i="21"/>
  <c r="J720" i="21"/>
  <c r="J719" i="21"/>
  <c r="J718" i="21"/>
  <c r="J717" i="21"/>
  <c r="J675" i="21"/>
  <c r="J673" i="21"/>
  <c r="J663" i="21"/>
  <c r="J661" i="21"/>
  <c r="J666" i="21" s="1"/>
  <c r="J653" i="21"/>
  <c r="J651" i="21"/>
  <c r="J640" i="21"/>
  <c r="J644" i="21" s="1"/>
  <c r="J631" i="21"/>
  <c r="J629" i="21"/>
  <c r="J619" i="21"/>
  <c r="J622" i="21" s="1"/>
  <c r="J606" i="21"/>
  <c r="J615" i="21" s="1"/>
  <c r="J597" i="21"/>
  <c r="J590" i="21"/>
  <c r="J581" i="21"/>
  <c r="J579" i="21"/>
  <c r="J568" i="21"/>
  <c r="J558" i="21"/>
  <c r="J556" i="21"/>
  <c r="J546" i="21"/>
  <c r="J547" i="21" s="1"/>
  <c r="J533" i="21"/>
  <c r="J526" i="21"/>
  <c r="J516" i="21"/>
  <c r="J509" i="21"/>
  <c r="J500" i="21"/>
  <c r="J493" i="21"/>
  <c r="J479" i="21"/>
  <c r="J488" i="21" s="1"/>
  <c r="J469" i="21"/>
  <c r="J462" i="21"/>
  <c r="J453" i="21"/>
  <c r="J446" i="21"/>
  <c r="J436" i="21"/>
  <c r="J440" i="21" s="1"/>
  <c r="J429" i="21"/>
  <c r="J418" i="21"/>
  <c r="J381" i="21"/>
  <c r="J363" i="21"/>
  <c r="J356" i="21"/>
  <c r="J341" i="21"/>
  <c r="J322" i="21"/>
  <c r="J303" i="21"/>
  <c r="J284" i="21"/>
  <c r="J282" i="21"/>
  <c r="J271" i="21"/>
  <c r="J255" i="21"/>
  <c r="J253" i="21"/>
  <c r="J243" i="21"/>
  <c r="J235" i="21"/>
  <c r="J233" i="21"/>
  <c r="J224" i="21"/>
  <c r="J222" i="21"/>
  <c r="J214" i="21"/>
  <c r="J212" i="21"/>
  <c r="J202" i="21"/>
  <c r="J205" i="21" s="1"/>
  <c r="J194" i="21"/>
  <c r="J192" i="21"/>
  <c r="J185" i="21"/>
  <c r="J174" i="21"/>
  <c r="J172" i="21"/>
  <c r="J163" i="21"/>
  <c r="J161" i="21"/>
  <c r="J153" i="21"/>
  <c r="J151" i="21"/>
  <c r="J142" i="21"/>
  <c r="J140" i="21"/>
  <c r="J144" i="21" s="1"/>
  <c r="J127" i="21"/>
  <c r="J125" i="21"/>
  <c r="J112" i="21"/>
  <c r="J110" i="21"/>
  <c r="J101" i="21"/>
  <c r="J103" i="21" s="1"/>
  <c r="J93" i="21"/>
  <c r="J91" i="21"/>
  <c r="J82" i="21"/>
  <c r="J84" i="21" s="1"/>
  <c r="J74" i="21"/>
  <c r="J72" i="21"/>
  <c r="J63" i="21"/>
  <c r="J65" i="21" s="1"/>
  <c r="J55" i="21"/>
  <c r="J53" i="21"/>
  <c r="J44" i="21"/>
  <c r="J46" i="21" s="1"/>
  <c r="J36" i="21"/>
  <c r="J34" i="21"/>
  <c r="J25" i="21"/>
  <c r="J27" i="21" s="1"/>
  <c r="E18" i="21"/>
  <c r="E17" i="21"/>
  <c r="J932" i="20"/>
  <c r="J928" i="20"/>
  <c r="J924" i="20"/>
  <c r="J920" i="20"/>
  <c r="J916" i="20"/>
  <c r="J912" i="20"/>
  <c r="J908" i="20"/>
  <c r="J904" i="20"/>
  <c r="J890" i="20"/>
  <c r="J886" i="20"/>
  <c r="J882" i="20"/>
  <c r="J878" i="20"/>
  <c r="J874" i="20"/>
  <c r="J870" i="20"/>
  <c r="J866" i="20"/>
  <c r="J862" i="20"/>
  <c r="J858" i="20"/>
  <c r="J854" i="20"/>
  <c r="J850" i="20"/>
  <c r="J846" i="20"/>
  <c r="J842" i="20"/>
  <c r="J838" i="20"/>
  <c r="J834" i="20"/>
  <c r="J770" i="20"/>
  <c r="J769" i="20"/>
  <c r="J768" i="20"/>
  <c r="J767" i="20"/>
  <c r="J766" i="20"/>
  <c r="J765" i="20"/>
  <c r="J764" i="20"/>
  <c r="J763" i="20"/>
  <c r="J762" i="20"/>
  <c r="J755" i="20"/>
  <c r="J754" i="20"/>
  <c r="J753" i="20"/>
  <c r="J752" i="20"/>
  <c r="J751" i="20"/>
  <c r="J750" i="20"/>
  <c r="J749" i="20"/>
  <c r="J748" i="20"/>
  <c r="J747" i="20"/>
  <c r="J740" i="20"/>
  <c r="J739" i="20"/>
  <c r="J738" i="20"/>
  <c r="J737" i="20"/>
  <c r="J736" i="20"/>
  <c r="J735" i="20"/>
  <c r="J734" i="20"/>
  <c r="J733" i="20"/>
  <c r="J732" i="20"/>
  <c r="J725" i="20"/>
  <c r="J724" i="20"/>
  <c r="J723" i="20"/>
  <c r="J722" i="20"/>
  <c r="J721" i="20"/>
  <c r="J720" i="20"/>
  <c r="J719" i="20"/>
  <c r="J718" i="20"/>
  <c r="J717" i="20"/>
  <c r="J675" i="20"/>
  <c r="J673" i="20"/>
  <c r="J663" i="20"/>
  <c r="J661" i="20"/>
  <c r="J653" i="20"/>
  <c r="J651" i="20"/>
  <c r="J640" i="20"/>
  <c r="J644" i="20" s="1"/>
  <c r="J631" i="20"/>
  <c r="J629" i="20"/>
  <c r="J619" i="20"/>
  <c r="J606" i="20"/>
  <c r="J615" i="20" s="1"/>
  <c r="J597" i="20"/>
  <c r="J590" i="20"/>
  <c r="J581" i="20"/>
  <c r="J579" i="20"/>
  <c r="J568" i="20"/>
  <c r="J558" i="20"/>
  <c r="J556" i="20"/>
  <c r="J546" i="20"/>
  <c r="J533" i="20"/>
  <c r="J526" i="20"/>
  <c r="J516" i="20"/>
  <c r="J509" i="20"/>
  <c r="J500" i="20"/>
  <c r="J493" i="20"/>
  <c r="J479" i="20"/>
  <c r="J488" i="20" s="1"/>
  <c r="J469" i="20"/>
  <c r="J462" i="20"/>
  <c r="J453" i="20"/>
  <c r="J446" i="20"/>
  <c r="J436" i="20"/>
  <c r="J429" i="20"/>
  <c r="J418" i="20"/>
  <c r="J284" i="20"/>
  <c r="J282" i="20"/>
  <c r="J271" i="20"/>
  <c r="J255" i="20"/>
  <c r="J253" i="20"/>
  <c r="J243" i="20"/>
  <c r="J235" i="20"/>
  <c r="J233" i="20"/>
  <c r="J222" i="20"/>
  <c r="J214" i="20"/>
  <c r="J212" i="20"/>
  <c r="J202" i="20"/>
  <c r="J194" i="20"/>
  <c r="J192" i="20"/>
  <c r="J185" i="20"/>
  <c r="J174" i="20"/>
  <c r="J172" i="20"/>
  <c r="J161" i="20"/>
  <c r="J153" i="20"/>
  <c r="J151" i="20"/>
  <c r="J142" i="20"/>
  <c r="J140" i="20"/>
  <c r="J127" i="20"/>
  <c r="J125" i="20"/>
  <c r="J112" i="20"/>
  <c r="J110" i="20"/>
  <c r="J101" i="20"/>
  <c r="J93" i="20"/>
  <c r="J91" i="20"/>
  <c r="J82" i="20"/>
  <c r="J84" i="20" s="1"/>
  <c r="J74" i="20"/>
  <c r="J72" i="20"/>
  <c r="J63" i="20"/>
  <c r="J55" i="20"/>
  <c r="J53" i="20"/>
  <c r="J44" i="20"/>
  <c r="J36" i="20"/>
  <c r="J34" i="20"/>
  <c r="J25" i="20"/>
  <c r="J27" i="20" s="1"/>
  <c r="E18" i="20"/>
  <c r="E17" i="20"/>
  <c r="J932" i="19"/>
  <c r="J928" i="19"/>
  <c r="J924" i="19"/>
  <c r="J920" i="19"/>
  <c r="J916" i="19"/>
  <c r="J912" i="19"/>
  <c r="J908" i="19"/>
  <c r="J904" i="19"/>
  <c r="J890" i="19"/>
  <c r="J886" i="19"/>
  <c r="J882" i="19"/>
  <c r="J878" i="19"/>
  <c r="J874" i="19"/>
  <c r="J870" i="19"/>
  <c r="J866" i="19"/>
  <c r="J862" i="19"/>
  <c r="J858" i="19"/>
  <c r="J854" i="19"/>
  <c r="J850" i="19"/>
  <c r="J846" i="19"/>
  <c r="J842" i="19"/>
  <c r="J838" i="19"/>
  <c r="J834" i="19"/>
  <c r="J770" i="19"/>
  <c r="J769" i="19"/>
  <c r="J768" i="19"/>
  <c r="J767" i="19"/>
  <c r="J766" i="19"/>
  <c r="J765" i="19"/>
  <c r="J764" i="19"/>
  <c r="J763" i="19"/>
  <c r="J762" i="19"/>
  <c r="J755" i="19"/>
  <c r="J754" i="19"/>
  <c r="J753" i="19"/>
  <c r="J752" i="19"/>
  <c r="J751" i="19"/>
  <c r="J750" i="19"/>
  <c r="J749" i="19"/>
  <c r="J748" i="19"/>
  <c r="J747" i="19"/>
  <c r="J740" i="19"/>
  <c r="J739" i="19"/>
  <c r="J738" i="19"/>
  <c r="J737" i="19"/>
  <c r="J736" i="19"/>
  <c r="J735" i="19"/>
  <c r="J734" i="19"/>
  <c r="J733" i="19"/>
  <c r="J732" i="19"/>
  <c r="J725" i="19"/>
  <c r="J724" i="19"/>
  <c r="J723" i="19"/>
  <c r="J722" i="19"/>
  <c r="J721" i="19"/>
  <c r="J720" i="19"/>
  <c r="J719" i="19"/>
  <c r="J718" i="19"/>
  <c r="J717" i="19"/>
  <c r="J675" i="19"/>
  <c r="J673" i="19"/>
  <c r="J661" i="19"/>
  <c r="J653" i="19"/>
  <c r="J651" i="19"/>
  <c r="J640" i="19"/>
  <c r="J644" i="19" s="1"/>
  <c r="J631" i="19"/>
  <c r="J629" i="19"/>
  <c r="J619" i="19"/>
  <c r="J622" i="19" s="1"/>
  <c r="J606" i="19"/>
  <c r="J615" i="19" s="1"/>
  <c r="J597" i="19"/>
  <c r="J590" i="19"/>
  <c r="J581" i="19"/>
  <c r="J579" i="19"/>
  <c r="J568" i="19"/>
  <c r="J571" i="19" s="1"/>
  <c r="J558" i="19"/>
  <c r="J556" i="19"/>
  <c r="J548" i="19"/>
  <c r="J546" i="19"/>
  <c r="J533" i="19"/>
  <c r="J526" i="19"/>
  <c r="J516" i="19"/>
  <c r="J509" i="19"/>
  <c r="J500" i="19"/>
  <c r="J493" i="19"/>
  <c r="J479" i="19"/>
  <c r="J488" i="19" s="1"/>
  <c r="J469" i="19"/>
  <c r="J462" i="19"/>
  <c r="J453" i="19"/>
  <c r="J446" i="19"/>
  <c r="J436" i="19"/>
  <c r="J429" i="19"/>
  <c r="J418" i="19"/>
  <c r="J381" i="19"/>
  <c r="J363" i="19"/>
  <c r="J356" i="19"/>
  <c r="J341" i="19"/>
  <c r="J322" i="19"/>
  <c r="J303" i="19"/>
  <c r="J284" i="19"/>
  <c r="J282" i="19"/>
  <c r="J255" i="19"/>
  <c r="J253" i="19"/>
  <c r="J245" i="19"/>
  <c r="J243" i="19"/>
  <c r="J244" i="19" s="1"/>
  <c r="J235" i="19"/>
  <c r="J233" i="19"/>
  <c r="J222" i="19"/>
  <c r="J214" i="19"/>
  <c r="J212" i="19"/>
  <c r="J202" i="19"/>
  <c r="J194" i="19"/>
  <c r="J192" i="19"/>
  <c r="J174" i="19"/>
  <c r="J172" i="19"/>
  <c r="J161" i="19"/>
  <c r="J153" i="19"/>
  <c r="J151" i="19"/>
  <c r="J142" i="19"/>
  <c r="J141" i="19"/>
  <c r="J140" i="19"/>
  <c r="J127" i="19"/>
  <c r="J125" i="19"/>
  <c r="J112" i="19"/>
  <c r="J110" i="19"/>
  <c r="J101" i="19"/>
  <c r="J93" i="19"/>
  <c r="J91" i="19"/>
  <c r="J82" i="19"/>
  <c r="J84" i="19" s="1"/>
  <c r="J97" i="19" s="1"/>
  <c r="J74" i="19"/>
  <c r="J72" i="19"/>
  <c r="J63" i="19"/>
  <c r="J55" i="19"/>
  <c r="J53" i="19"/>
  <c r="J44" i="19"/>
  <c r="J36" i="19"/>
  <c r="J34" i="19"/>
  <c r="J26" i="19"/>
  <c r="J25" i="19"/>
  <c r="E18" i="19"/>
  <c r="E17" i="19"/>
  <c r="J932" i="17"/>
  <c r="J928" i="17"/>
  <c r="J924" i="17"/>
  <c r="J920" i="17"/>
  <c r="J916" i="17"/>
  <c r="J912" i="17"/>
  <c r="J908" i="17"/>
  <c r="J904" i="17"/>
  <c r="J890" i="17"/>
  <c r="J886" i="17"/>
  <c r="J882" i="17"/>
  <c r="J878" i="17"/>
  <c r="J874" i="17"/>
  <c r="J870" i="17"/>
  <c r="J866" i="17"/>
  <c r="J862" i="17"/>
  <c r="J858" i="17"/>
  <c r="J854" i="17"/>
  <c r="J850" i="17"/>
  <c r="J846" i="17"/>
  <c r="J842" i="17"/>
  <c r="J838" i="17"/>
  <c r="J834" i="17"/>
  <c r="J770" i="17"/>
  <c r="J769" i="17"/>
  <c r="J768" i="17"/>
  <c r="J767" i="17"/>
  <c r="J766" i="17"/>
  <c r="J765" i="17"/>
  <c r="J764" i="17"/>
  <c r="J763" i="17"/>
  <c r="J762" i="17"/>
  <c r="J755" i="17"/>
  <c r="J754" i="17"/>
  <c r="J753" i="17"/>
  <c r="J752" i="17"/>
  <c r="J751" i="17"/>
  <c r="J750" i="17"/>
  <c r="J749" i="17"/>
  <c r="J748" i="17"/>
  <c r="J747" i="17"/>
  <c r="J740" i="17"/>
  <c r="J739" i="17"/>
  <c r="J738" i="17"/>
  <c r="J737" i="17"/>
  <c r="J736" i="17"/>
  <c r="J735" i="17"/>
  <c r="J734" i="17"/>
  <c r="J733" i="17"/>
  <c r="J732" i="17"/>
  <c r="J725" i="17"/>
  <c r="J724" i="17"/>
  <c r="J723" i="17"/>
  <c r="J722" i="17"/>
  <c r="J721" i="17"/>
  <c r="J720" i="17"/>
  <c r="J719" i="17"/>
  <c r="J718" i="17"/>
  <c r="J717" i="17"/>
  <c r="J675" i="17"/>
  <c r="J673" i="17"/>
  <c r="J661" i="17"/>
  <c r="J653" i="17"/>
  <c r="J651" i="17"/>
  <c r="J640" i="17"/>
  <c r="J644" i="17" s="1"/>
  <c r="J631" i="17"/>
  <c r="J629" i="17"/>
  <c r="J619" i="17"/>
  <c r="J606" i="17"/>
  <c r="J615" i="17" s="1"/>
  <c r="J597" i="17"/>
  <c r="J590" i="17"/>
  <c r="J581" i="17"/>
  <c r="J579" i="17"/>
  <c r="J621" i="17"/>
  <c r="J568" i="17"/>
  <c r="J572" i="17" s="1"/>
  <c r="J558" i="17"/>
  <c r="J556" i="17"/>
  <c r="J546" i="17"/>
  <c r="J547" i="17" s="1"/>
  <c r="J533" i="17"/>
  <c r="J526" i="17"/>
  <c r="J516" i="17"/>
  <c r="J509" i="17"/>
  <c r="J500" i="17"/>
  <c r="J493" i="17"/>
  <c r="J479" i="17"/>
  <c r="J488" i="17" s="1"/>
  <c r="J469" i="17"/>
  <c r="J462" i="17"/>
  <c r="J453" i="17"/>
  <c r="J446" i="17"/>
  <c r="J436" i="17"/>
  <c r="J429" i="17"/>
  <c r="J381" i="17"/>
  <c r="J363" i="17"/>
  <c r="J356" i="17"/>
  <c r="J341" i="17"/>
  <c r="J322" i="17"/>
  <c r="J303" i="17"/>
  <c r="J284" i="17"/>
  <c r="J282" i="17"/>
  <c r="J255" i="17"/>
  <c r="J253" i="17"/>
  <c r="J243" i="17"/>
  <c r="J235" i="17"/>
  <c r="J233" i="17"/>
  <c r="J224" i="17"/>
  <c r="J222" i="17"/>
  <c r="J214" i="17"/>
  <c r="J212" i="17"/>
  <c r="J202" i="17"/>
  <c r="J203" i="17" s="1"/>
  <c r="J194" i="17"/>
  <c r="J192" i="17"/>
  <c r="J184" i="17"/>
  <c r="J271" i="17" s="1"/>
  <c r="J174" i="17"/>
  <c r="J172" i="17"/>
  <c r="J161" i="17"/>
  <c r="J153" i="17"/>
  <c r="J151" i="17"/>
  <c r="J140" i="17"/>
  <c r="J127" i="17"/>
  <c r="J125" i="17"/>
  <c r="J112" i="17"/>
  <c r="J110" i="17"/>
  <c r="J101" i="17"/>
  <c r="J103" i="17" s="1"/>
  <c r="J93" i="17"/>
  <c r="J91" i="17"/>
  <c r="J142" i="17"/>
  <c r="J82" i="17"/>
  <c r="J84" i="17" s="1"/>
  <c r="J74" i="17"/>
  <c r="J72" i="17"/>
  <c r="J163" i="17"/>
  <c r="J63" i="17"/>
  <c r="J65" i="17" s="1"/>
  <c r="J55" i="17"/>
  <c r="J53" i="17"/>
  <c r="J44" i="17"/>
  <c r="J46" i="17" s="1"/>
  <c r="J34" i="17"/>
  <c r="J663" i="17"/>
  <c r="J25" i="17"/>
  <c r="J27" i="17" s="1"/>
  <c r="E18" i="17"/>
  <c r="E17" i="17"/>
  <c r="J932" i="9"/>
  <c r="J928" i="9"/>
  <c r="J924" i="9"/>
  <c r="J920" i="9"/>
  <c r="J916" i="9"/>
  <c r="J912" i="9"/>
  <c r="J908" i="9"/>
  <c r="J904" i="9"/>
  <c r="J890" i="9"/>
  <c r="J886" i="9"/>
  <c r="J882" i="9"/>
  <c r="J878" i="9"/>
  <c r="J874" i="9"/>
  <c r="J870" i="9"/>
  <c r="J866" i="9"/>
  <c r="J862" i="9"/>
  <c r="J858" i="9"/>
  <c r="J854" i="9"/>
  <c r="J850" i="9"/>
  <c r="J846" i="9"/>
  <c r="J842" i="9"/>
  <c r="J838" i="9"/>
  <c r="J834" i="9"/>
  <c r="J770" i="9"/>
  <c r="J769" i="9"/>
  <c r="J768" i="9"/>
  <c r="J767" i="9"/>
  <c r="J766" i="9"/>
  <c r="J765" i="9"/>
  <c r="J764" i="9"/>
  <c r="J763" i="9"/>
  <c r="J762" i="9"/>
  <c r="J755" i="9"/>
  <c r="J754" i="9"/>
  <c r="J753" i="9"/>
  <c r="J752" i="9"/>
  <c r="J751" i="9"/>
  <c r="J750" i="9"/>
  <c r="J749" i="9"/>
  <c r="J748" i="9"/>
  <c r="J747" i="9"/>
  <c r="J740" i="9"/>
  <c r="J739" i="9"/>
  <c r="J738" i="9"/>
  <c r="J737" i="9"/>
  <c r="J736" i="9"/>
  <c r="J735" i="9"/>
  <c r="J734" i="9"/>
  <c r="J733" i="9"/>
  <c r="J732" i="9"/>
  <c r="J725" i="9"/>
  <c r="J724" i="9"/>
  <c r="J723" i="9"/>
  <c r="J722" i="9"/>
  <c r="J721" i="9"/>
  <c r="J720" i="9"/>
  <c r="J719" i="9"/>
  <c r="J718" i="9"/>
  <c r="J717" i="9"/>
  <c r="J675" i="9"/>
  <c r="J673" i="9"/>
  <c r="J663" i="9"/>
  <c r="J661" i="9"/>
  <c r="J653" i="9"/>
  <c r="J651" i="9"/>
  <c r="J640" i="9"/>
  <c r="J644" i="9" s="1"/>
  <c r="J631" i="9"/>
  <c r="J629" i="9"/>
  <c r="J619" i="9"/>
  <c r="J622" i="9" s="1"/>
  <c r="J606" i="9"/>
  <c r="J615" i="9" s="1"/>
  <c r="J597" i="9"/>
  <c r="J590" i="9"/>
  <c r="J581" i="9"/>
  <c r="J579" i="9"/>
  <c r="J568" i="9"/>
  <c r="J572" i="9" s="1"/>
  <c r="J558" i="9"/>
  <c r="J556" i="9"/>
  <c r="J546" i="9"/>
  <c r="J549" i="9" s="1"/>
  <c r="J533" i="9"/>
  <c r="J526" i="9"/>
  <c r="J516" i="9"/>
  <c r="J508" i="9"/>
  <c r="J509" i="9" s="1"/>
  <c r="J500" i="9"/>
  <c r="J493" i="9"/>
  <c r="J479" i="9"/>
  <c r="J488" i="9" s="1"/>
  <c r="J469" i="9"/>
  <c r="J462" i="9"/>
  <c r="J453" i="9"/>
  <c r="J446" i="9"/>
  <c r="J436" i="9"/>
  <c r="J429" i="9"/>
  <c r="J418" i="9"/>
  <c r="J381" i="9"/>
  <c r="J363" i="9"/>
  <c r="J341" i="9"/>
  <c r="J322" i="9"/>
  <c r="J303" i="9"/>
  <c r="J284" i="9"/>
  <c r="J282" i="9"/>
  <c r="J271" i="9"/>
  <c r="J255" i="9"/>
  <c r="J253" i="9"/>
  <c r="J245" i="9"/>
  <c r="J243" i="9"/>
  <c r="J235" i="9"/>
  <c r="J233" i="9"/>
  <c r="J224" i="9"/>
  <c r="J222" i="9"/>
  <c r="J214" i="9"/>
  <c r="J212" i="9"/>
  <c r="J202" i="9"/>
  <c r="J205" i="9" s="1"/>
  <c r="J194" i="9"/>
  <c r="J192" i="9"/>
  <c r="J174" i="9"/>
  <c r="J172" i="9"/>
  <c r="J163" i="9"/>
  <c r="J161" i="9"/>
  <c r="J153" i="9"/>
  <c r="J151" i="9"/>
  <c r="J142" i="9"/>
  <c r="J140" i="9"/>
  <c r="J127" i="9"/>
  <c r="J125" i="9"/>
  <c r="J112" i="9"/>
  <c r="J110" i="9"/>
  <c r="J101" i="9"/>
  <c r="J103" i="9" s="1"/>
  <c r="J93" i="9"/>
  <c r="J91" i="9"/>
  <c r="J82" i="9"/>
  <c r="J84" i="9" s="1"/>
  <c r="J74" i="9"/>
  <c r="J72" i="9"/>
  <c r="J63" i="9"/>
  <c r="J65" i="9" s="1"/>
  <c r="J55" i="9"/>
  <c r="J53" i="9"/>
  <c r="J44" i="9"/>
  <c r="J46" i="9" s="1"/>
  <c r="J36" i="9"/>
  <c r="J34" i="9"/>
  <c r="J25" i="9"/>
  <c r="J27" i="9" s="1"/>
  <c r="E18" i="9"/>
  <c r="E17" i="9"/>
  <c r="H10" i="8"/>
  <c r="H92" i="8" s="1"/>
  <c r="J106" i="68"/>
  <c r="J104" i="68"/>
  <c r="J102" i="68"/>
  <c r="J100" i="68"/>
  <c r="J92" i="68"/>
  <c r="J90" i="68"/>
  <c r="J82" i="68"/>
  <c r="J80" i="68"/>
  <c r="J78" i="68"/>
  <c r="J76" i="68"/>
  <c r="J74" i="68"/>
  <c r="J66" i="68"/>
  <c r="J64" i="68"/>
  <c r="J56" i="68"/>
  <c r="J54" i="68"/>
  <c r="J52" i="68"/>
  <c r="J44" i="68"/>
  <c r="J42" i="68"/>
  <c r="J40" i="68"/>
  <c r="J38" i="68"/>
  <c r="J30" i="68"/>
  <c r="J28" i="68"/>
  <c r="J20" i="68"/>
  <c r="J18" i="68"/>
  <c r="J16" i="68"/>
  <c r="J14" i="68"/>
  <c r="J12" i="68"/>
  <c r="J10" i="68"/>
  <c r="J8" i="68"/>
  <c r="J220" i="7"/>
  <c r="J218" i="7"/>
  <c r="J216" i="7"/>
  <c r="J214" i="7"/>
  <c r="J206" i="7"/>
  <c r="J204" i="7"/>
  <c r="J202" i="7"/>
  <c r="J200" i="7"/>
  <c r="J192" i="7"/>
  <c r="J190" i="7"/>
  <c r="J188" i="7"/>
  <c r="J186" i="7"/>
  <c r="J178" i="7"/>
  <c r="J176" i="7"/>
  <c r="J174" i="7"/>
  <c r="J172" i="7"/>
  <c r="J170" i="7"/>
  <c r="J162" i="7"/>
  <c r="J160" i="7"/>
  <c r="J158" i="7"/>
  <c r="J156" i="7"/>
  <c r="J148" i="7"/>
  <c r="J146" i="7"/>
  <c r="J144" i="7"/>
  <c r="J142" i="7"/>
  <c r="J134" i="7"/>
  <c r="J132" i="7"/>
  <c r="J130" i="7"/>
  <c r="J128" i="7"/>
  <c r="J126" i="7"/>
  <c r="J124" i="7"/>
  <c r="J116" i="7"/>
  <c r="J114" i="7"/>
  <c r="J112" i="7"/>
  <c r="J110" i="7"/>
  <c r="J108" i="7"/>
  <c r="J100" i="7"/>
  <c r="J98" i="7"/>
  <c r="J96" i="7"/>
  <c r="J94" i="7"/>
  <c r="J86" i="7"/>
  <c r="J84" i="7"/>
  <c r="J82" i="7"/>
  <c r="J74" i="7"/>
  <c r="J72" i="7"/>
  <c r="J70" i="7"/>
  <c r="J68" i="7"/>
  <c r="J66" i="7"/>
  <c r="J58" i="7"/>
  <c r="J56" i="7"/>
  <c r="J54" i="7"/>
  <c r="J52" i="7"/>
  <c r="J50" i="7"/>
  <c r="J42" i="7"/>
  <c r="J40" i="7"/>
  <c r="J38" i="7"/>
  <c r="J36" i="7"/>
  <c r="J34" i="7"/>
  <c r="J26" i="7"/>
  <c r="J24" i="7"/>
  <c r="J22" i="7"/>
  <c r="J14" i="7"/>
  <c r="J12" i="7"/>
  <c r="J10" i="7"/>
  <c r="J8" i="7"/>
  <c r="H58" i="6"/>
  <c r="H52" i="6"/>
  <c r="H46" i="6"/>
  <c r="H40" i="6"/>
  <c r="H34" i="6"/>
  <c r="H27" i="6"/>
  <c r="H21" i="6"/>
  <c r="H14" i="6"/>
  <c r="H8" i="6"/>
  <c r="G151" i="4"/>
  <c r="G124" i="4"/>
  <c r="G102" i="4"/>
  <c r="G93" i="4"/>
  <c r="G88" i="4"/>
  <c r="G78" i="4"/>
  <c r="G72" i="4"/>
  <c r="G66" i="4"/>
  <c r="G60" i="4"/>
  <c r="G52" i="4"/>
  <c r="G46" i="4"/>
  <c r="G36" i="4"/>
  <c r="G30" i="4"/>
  <c r="G24" i="4"/>
  <c r="G18" i="4"/>
  <c r="G12" i="4"/>
  <c r="J97" i="27" l="1"/>
  <c r="J59" i="28"/>
  <c r="J131" i="28"/>
  <c r="J779" i="17"/>
  <c r="J40" i="9"/>
  <c r="J59" i="24"/>
  <c r="J504" i="23"/>
  <c r="J131" i="26"/>
  <c r="J78" i="26"/>
  <c r="J116" i="30"/>
  <c r="J203" i="34"/>
  <c r="J204" i="34"/>
  <c r="J165" i="26"/>
  <c r="J178" i="26" s="1"/>
  <c r="J165" i="34"/>
  <c r="J226" i="34"/>
  <c r="J457" i="19"/>
  <c r="J78" i="34"/>
  <c r="J165" i="21"/>
  <c r="J40" i="28"/>
  <c r="J520" i="34"/>
  <c r="J97" i="35"/>
  <c r="J97" i="9"/>
  <c r="J59" i="21"/>
  <c r="J78" i="23"/>
  <c r="J779" i="23"/>
  <c r="J116" i="24"/>
  <c r="J795" i="24"/>
  <c r="J537" i="25"/>
  <c r="J97" i="20"/>
  <c r="J116" i="21"/>
  <c r="J59" i="23"/>
  <c r="J131" i="23"/>
  <c r="J97" i="25"/>
  <c r="J537" i="26"/>
  <c r="J803" i="19"/>
  <c r="J97" i="26"/>
  <c r="J131" i="33"/>
  <c r="J131" i="35"/>
  <c r="J40" i="20"/>
  <c r="J666" i="32"/>
  <c r="J679" i="32" s="1"/>
  <c r="J473" i="29"/>
  <c r="J473" i="33"/>
  <c r="J116" i="9"/>
  <c r="J40" i="17"/>
  <c r="J795" i="17"/>
  <c r="J131" i="20"/>
  <c r="J131" i="24"/>
  <c r="J473" i="26"/>
  <c r="J795" i="26"/>
  <c r="J40" i="27"/>
  <c r="J59" i="29"/>
  <c r="J131" i="30"/>
  <c r="J59" i="32"/>
  <c r="J787" i="32"/>
  <c r="J520" i="24"/>
  <c r="J131" i="19"/>
  <c r="J457" i="24"/>
  <c r="J78" i="25"/>
  <c r="J40" i="26"/>
  <c r="J520" i="27"/>
  <c r="J537" i="34"/>
  <c r="J601" i="34"/>
  <c r="J457" i="34"/>
  <c r="J131" i="32"/>
  <c r="J803" i="32"/>
  <c r="J473" i="34"/>
  <c r="J537" i="33"/>
  <c r="J440" i="23"/>
  <c r="J40" i="25"/>
  <c r="J601" i="25"/>
  <c r="J59" i="26"/>
  <c r="J803" i="28"/>
  <c r="J131" i="29"/>
  <c r="J131" i="31"/>
  <c r="J40" i="34"/>
  <c r="J601" i="29"/>
  <c r="J59" i="9"/>
  <c r="J78" i="17"/>
  <c r="J116" i="17"/>
  <c r="J787" i="19"/>
  <c r="J97" i="21"/>
  <c r="J116" i="23"/>
  <c r="J78" i="24"/>
  <c r="J131" i="27"/>
  <c r="J97" i="28"/>
  <c r="J97" i="34"/>
  <c r="J150" i="7"/>
  <c r="J871" i="89" s="1"/>
  <c r="J457" i="23"/>
  <c r="J537" i="24"/>
  <c r="J504" i="29"/>
  <c r="J440" i="32"/>
  <c r="J504" i="33"/>
  <c r="J504" i="26"/>
  <c r="J504" i="28"/>
  <c r="J457" i="17"/>
  <c r="J539" i="17" s="1"/>
  <c r="J504" i="19"/>
  <c r="J601" i="21"/>
  <c r="J457" i="33"/>
  <c r="J601" i="33"/>
  <c r="J504" i="34"/>
  <c r="J78" i="21"/>
  <c r="J473" i="21"/>
  <c r="J40" i="23"/>
  <c r="J40" i="24"/>
  <c r="J440" i="24"/>
  <c r="J504" i="24"/>
  <c r="J457" i="26"/>
  <c r="J520" i="26"/>
  <c r="J779" i="26"/>
  <c r="J116" i="27"/>
  <c r="J116" i="28"/>
  <c r="J457" i="28"/>
  <c r="J537" i="29"/>
  <c r="J116" i="32"/>
  <c r="J473" i="32"/>
  <c r="J537" i="32"/>
  <c r="J97" i="33"/>
  <c r="J457" i="36"/>
  <c r="J520" i="36"/>
  <c r="J504" i="32"/>
  <c r="J504" i="17"/>
  <c r="J537" i="23"/>
  <c r="J791" i="24"/>
  <c r="J440" i="28"/>
  <c r="J194" i="7"/>
  <c r="J883" i="35" s="1"/>
  <c r="J78" i="9"/>
  <c r="J131" i="17"/>
  <c r="J473" i="17"/>
  <c r="J537" i="17"/>
  <c r="J537" i="20"/>
  <c r="J601" i="20"/>
  <c r="J131" i="21"/>
  <c r="J97" i="23"/>
  <c r="J59" i="25"/>
  <c r="J116" i="26"/>
  <c r="J457" i="27"/>
  <c r="J787" i="28"/>
  <c r="J116" i="34"/>
  <c r="J116" i="35"/>
  <c r="J601" i="36"/>
  <c r="J520" i="23"/>
  <c r="J473" i="24"/>
  <c r="J601" i="24"/>
  <c r="J440" i="17"/>
  <c r="J440" i="29"/>
  <c r="J440" i="33"/>
  <c r="J539" i="33" s="1"/>
  <c r="J473" i="23"/>
  <c r="J601" i="23"/>
  <c r="J440" i="26"/>
  <c r="J457" i="32"/>
  <c r="J520" i="17"/>
  <c r="J537" i="21"/>
  <c r="J520" i="33"/>
  <c r="J131" i="9"/>
  <c r="J59" i="17"/>
  <c r="J97" i="17"/>
  <c r="J40" i="21"/>
  <c r="J779" i="24"/>
  <c r="J807" i="24"/>
  <c r="J116" i="25"/>
  <c r="J601" i="26"/>
  <c r="J78" i="28"/>
  <c r="J473" i="28"/>
  <c r="J537" i="28"/>
  <c r="J116" i="29"/>
  <c r="J40" i="30"/>
  <c r="J116" i="31"/>
  <c r="J78" i="32"/>
  <c r="J116" i="33"/>
  <c r="J222" i="7"/>
  <c r="J891" i="93" s="1"/>
  <c r="J208" i="7"/>
  <c r="J887" i="86" s="1"/>
  <c r="J180" i="7"/>
  <c r="J879" i="92" s="1"/>
  <c r="J164" i="7"/>
  <c r="J875" i="93" s="1"/>
  <c r="J136" i="7"/>
  <c r="J867" i="93" s="1"/>
  <c r="J806" i="18"/>
  <c r="J808" i="18" s="1"/>
  <c r="J806" i="92"/>
  <c r="J808" i="92" s="1"/>
  <c r="J806" i="89"/>
  <c r="J808" i="89" s="1"/>
  <c r="J806" i="87"/>
  <c r="J808" i="87" s="1"/>
  <c r="J806" i="85"/>
  <c r="J808" i="85" s="1"/>
  <c r="J806" i="93"/>
  <c r="J808" i="93" s="1"/>
  <c r="J806" i="86"/>
  <c r="J808" i="86" s="1"/>
  <c r="J806" i="91"/>
  <c r="J808" i="91" s="1"/>
  <c r="J806" i="90"/>
  <c r="J808" i="90" s="1"/>
  <c r="J806" i="88"/>
  <c r="J808" i="88" s="1"/>
  <c r="J806" i="81"/>
  <c r="J808" i="81" s="1"/>
  <c r="J802" i="18"/>
  <c r="J804" i="18" s="1"/>
  <c r="J802" i="87"/>
  <c r="J804" i="87" s="1"/>
  <c r="J802" i="88"/>
  <c r="J804" i="88" s="1"/>
  <c r="J802" i="92"/>
  <c r="J804" i="92" s="1"/>
  <c r="J802" i="91"/>
  <c r="J804" i="91" s="1"/>
  <c r="J802" i="89"/>
  <c r="J804" i="89" s="1"/>
  <c r="J802" i="86"/>
  <c r="J804" i="86" s="1"/>
  <c r="J802" i="85"/>
  <c r="J804" i="85" s="1"/>
  <c r="J802" i="93"/>
  <c r="J804" i="93" s="1"/>
  <c r="J802" i="90"/>
  <c r="J804" i="90" s="1"/>
  <c r="J802" i="81"/>
  <c r="J804" i="81" s="1"/>
  <c r="J798" i="18"/>
  <c r="J800" i="18" s="1"/>
  <c r="J798" i="93"/>
  <c r="J800" i="93" s="1"/>
  <c r="J798" i="92"/>
  <c r="J800" i="92" s="1"/>
  <c r="J798" i="91"/>
  <c r="J800" i="91" s="1"/>
  <c r="J798" i="86"/>
  <c r="J800" i="86" s="1"/>
  <c r="J798" i="90"/>
  <c r="J800" i="90" s="1"/>
  <c r="J798" i="89"/>
  <c r="J800" i="89" s="1"/>
  <c r="J798" i="88"/>
  <c r="J800" i="88" s="1"/>
  <c r="J798" i="87"/>
  <c r="J800" i="87" s="1"/>
  <c r="J798" i="85"/>
  <c r="J800" i="85" s="1"/>
  <c r="J798" i="81"/>
  <c r="J800" i="81" s="1"/>
  <c r="J794" i="18"/>
  <c r="J796" i="18" s="1"/>
  <c r="J794" i="91"/>
  <c r="J796" i="91" s="1"/>
  <c r="J794" i="89"/>
  <c r="J796" i="89" s="1"/>
  <c r="J794" i="85"/>
  <c r="J796" i="85" s="1"/>
  <c r="J794" i="93"/>
  <c r="J796" i="93" s="1"/>
  <c r="J794" i="88"/>
  <c r="J796" i="88" s="1"/>
  <c r="J794" i="92"/>
  <c r="J796" i="92" s="1"/>
  <c r="J794" i="87"/>
  <c r="J796" i="87" s="1"/>
  <c r="J794" i="86"/>
  <c r="J796" i="86" s="1"/>
  <c r="J794" i="90"/>
  <c r="J796" i="90" s="1"/>
  <c r="J794" i="81"/>
  <c r="J796" i="81" s="1"/>
  <c r="J790" i="18"/>
  <c r="J792" i="18" s="1"/>
  <c r="J790" i="92"/>
  <c r="J792" i="92" s="1"/>
  <c r="J790" i="89"/>
  <c r="J792" i="89" s="1"/>
  <c r="J790" i="87"/>
  <c r="J792" i="87" s="1"/>
  <c r="J790" i="85"/>
  <c r="J792" i="85" s="1"/>
  <c r="J790" i="93"/>
  <c r="J792" i="93" s="1"/>
  <c r="J790" i="86"/>
  <c r="J792" i="86" s="1"/>
  <c r="J790" i="91"/>
  <c r="J792" i="91" s="1"/>
  <c r="J790" i="90"/>
  <c r="J792" i="90" s="1"/>
  <c r="J790" i="88"/>
  <c r="J792" i="88" s="1"/>
  <c r="J790" i="81"/>
  <c r="J792" i="81" s="1"/>
  <c r="J790" i="24"/>
  <c r="J792" i="24" s="1"/>
  <c r="J786" i="87"/>
  <c r="J788" i="87" s="1"/>
  <c r="J786" i="88"/>
  <c r="J788" i="88" s="1"/>
  <c r="J786" i="92"/>
  <c r="J788" i="92" s="1"/>
  <c r="J786" i="91"/>
  <c r="J788" i="91" s="1"/>
  <c r="J786" i="89"/>
  <c r="J788" i="89" s="1"/>
  <c r="J786" i="86"/>
  <c r="J788" i="86" s="1"/>
  <c r="J786" i="85"/>
  <c r="J788" i="85" s="1"/>
  <c r="J786" i="93"/>
  <c r="J788" i="93" s="1"/>
  <c r="J786" i="90"/>
  <c r="J788" i="90" s="1"/>
  <c r="J786" i="81"/>
  <c r="J788" i="81" s="1"/>
  <c r="J782" i="18"/>
  <c r="J784" i="18" s="1"/>
  <c r="J782" i="93"/>
  <c r="J784" i="93" s="1"/>
  <c r="J782" i="92"/>
  <c r="J784" i="92" s="1"/>
  <c r="J782" i="91"/>
  <c r="J784" i="91" s="1"/>
  <c r="J782" i="86"/>
  <c r="J784" i="86" s="1"/>
  <c r="J782" i="90"/>
  <c r="J784" i="90" s="1"/>
  <c r="J782" i="89"/>
  <c r="J784" i="89" s="1"/>
  <c r="J782" i="88"/>
  <c r="J784" i="88" s="1"/>
  <c r="J782" i="87"/>
  <c r="J784" i="87" s="1"/>
  <c r="J782" i="85"/>
  <c r="J784" i="85" s="1"/>
  <c r="J782" i="81"/>
  <c r="J784" i="81" s="1"/>
  <c r="J778" i="91"/>
  <c r="J780" i="91" s="1"/>
  <c r="J778" i="89"/>
  <c r="J780" i="89" s="1"/>
  <c r="J778" i="85"/>
  <c r="J780" i="85" s="1"/>
  <c r="J778" i="93"/>
  <c r="J780" i="93" s="1"/>
  <c r="J778" i="88"/>
  <c r="J780" i="88" s="1"/>
  <c r="J778" i="92"/>
  <c r="J780" i="92" s="1"/>
  <c r="J778" i="87"/>
  <c r="J780" i="87" s="1"/>
  <c r="J778" i="86"/>
  <c r="J780" i="86" s="1"/>
  <c r="J778" i="90"/>
  <c r="J780" i="90" s="1"/>
  <c r="J778" i="81"/>
  <c r="J780" i="81" s="1"/>
  <c r="J774" i="92"/>
  <c r="J776" i="92" s="1"/>
  <c r="J774" i="89"/>
  <c r="J776" i="89" s="1"/>
  <c r="J774" i="87"/>
  <c r="J776" i="87" s="1"/>
  <c r="J774" i="85"/>
  <c r="J776" i="85" s="1"/>
  <c r="J774" i="93"/>
  <c r="J776" i="93" s="1"/>
  <c r="J774" i="86"/>
  <c r="J776" i="86" s="1"/>
  <c r="J774" i="91"/>
  <c r="J776" i="91" s="1"/>
  <c r="J774" i="90"/>
  <c r="J776" i="90" s="1"/>
  <c r="J774" i="88"/>
  <c r="J776" i="88" s="1"/>
  <c r="J774" i="81"/>
  <c r="J776" i="81" s="1"/>
  <c r="J270" i="18"/>
  <c r="J270" i="92"/>
  <c r="J270" i="91"/>
  <c r="J270" i="90"/>
  <c r="J270" i="89"/>
  <c r="J270" i="88"/>
  <c r="J270" i="87"/>
  <c r="J270" i="85"/>
  <c r="J270" i="93"/>
  <c r="J270" i="86"/>
  <c r="J270" i="81"/>
  <c r="J268" i="18"/>
  <c r="J268" i="93"/>
  <c r="J268" i="92"/>
  <c r="J268" i="90"/>
  <c r="J268" i="88"/>
  <c r="J268" i="91"/>
  <c r="J268" i="89"/>
  <c r="J268" i="87"/>
  <c r="J268" i="86"/>
  <c r="J268" i="85"/>
  <c r="J268" i="81"/>
  <c r="J393" i="93"/>
  <c r="J374" i="93"/>
  <c r="J375" i="93" s="1"/>
  <c r="J387" i="93" s="1"/>
  <c r="J333" i="93"/>
  <c r="J334" i="93" s="1"/>
  <c r="J349" i="93" s="1"/>
  <c r="J314" i="93"/>
  <c r="J315" i="93" s="1"/>
  <c r="J326" i="93" s="1"/>
  <c r="J295" i="93"/>
  <c r="J296" i="93" s="1"/>
  <c r="J307" i="93" s="1"/>
  <c r="J394" i="92"/>
  <c r="J395" i="92" s="1"/>
  <c r="J404" i="92" s="1"/>
  <c r="J373" i="92"/>
  <c r="J374" i="91"/>
  <c r="J375" i="91" s="1"/>
  <c r="J387" i="91" s="1"/>
  <c r="J332" i="91"/>
  <c r="J313" i="91"/>
  <c r="J294" i="91"/>
  <c r="J393" i="89"/>
  <c r="J374" i="89"/>
  <c r="J375" i="89" s="1"/>
  <c r="J387" i="89" s="1"/>
  <c r="J332" i="89"/>
  <c r="J313" i="89"/>
  <c r="J295" i="89"/>
  <c r="J296" i="89" s="1"/>
  <c r="J307" i="89" s="1"/>
  <c r="J393" i="87"/>
  <c r="J374" i="87"/>
  <c r="J375" i="87" s="1"/>
  <c r="J387" i="87" s="1"/>
  <c r="J393" i="85"/>
  <c r="J332" i="85"/>
  <c r="J332" i="93"/>
  <c r="J313" i="93"/>
  <c r="J294" i="93"/>
  <c r="J393" i="92"/>
  <c r="J374" i="92"/>
  <c r="J375" i="92" s="1"/>
  <c r="J387" i="92" s="1"/>
  <c r="J333" i="92"/>
  <c r="J334" i="92" s="1"/>
  <c r="J349" i="92" s="1"/>
  <c r="J314" i="92"/>
  <c r="J315" i="92" s="1"/>
  <c r="J326" i="92" s="1"/>
  <c r="J295" i="92"/>
  <c r="J296" i="92" s="1"/>
  <c r="J307" i="92" s="1"/>
  <c r="J394" i="90"/>
  <c r="J395" i="90" s="1"/>
  <c r="J404" i="90" s="1"/>
  <c r="J373" i="90"/>
  <c r="J333" i="90"/>
  <c r="J334" i="90" s="1"/>
  <c r="J349" i="90" s="1"/>
  <c r="J314" i="90"/>
  <c r="J315" i="90" s="1"/>
  <c r="J326" i="90" s="1"/>
  <c r="J295" i="90"/>
  <c r="J296" i="90" s="1"/>
  <c r="J307" i="90" s="1"/>
  <c r="J294" i="89"/>
  <c r="J373" i="87"/>
  <c r="J333" i="87"/>
  <c r="J334" i="87" s="1"/>
  <c r="J349" i="87" s="1"/>
  <c r="J314" i="87"/>
  <c r="J315" i="87" s="1"/>
  <c r="J326" i="87" s="1"/>
  <c r="J295" i="87"/>
  <c r="J296" i="87" s="1"/>
  <c r="J307" i="87" s="1"/>
  <c r="J394" i="86"/>
  <c r="J395" i="86" s="1"/>
  <c r="J404" i="86" s="1"/>
  <c r="J332" i="92"/>
  <c r="J313" i="92"/>
  <c r="J294" i="92"/>
  <c r="J394" i="91"/>
  <c r="J395" i="91" s="1"/>
  <c r="J404" i="91" s="1"/>
  <c r="J393" i="90"/>
  <c r="J374" i="90"/>
  <c r="J375" i="90" s="1"/>
  <c r="J387" i="90" s="1"/>
  <c r="J332" i="90"/>
  <c r="J313" i="90"/>
  <c r="J294" i="90"/>
  <c r="J394" i="88"/>
  <c r="J395" i="88" s="1"/>
  <c r="J404" i="88" s="1"/>
  <c r="J373" i="88"/>
  <c r="J333" i="88"/>
  <c r="J334" i="88" s="1"/>
  <c r="J349" i="88" s="1"/>
  <c r="J314" i="88"/>
  <c r="J315" i="88" s="1"/>
  <c r="J326" i="88" s="1"/>
  <c r="J295" i="88"/>
  <c r="J296" i="88" s="1"/>
  <c r="J307" i="88" s="1"/>
  <c r="J332" i="87"/>
  <c r="J313" i="87"/>
  <c r="J294" i="87"/>
  <c r="J393" i="86"/>
  <c r="J373" i="86"/>
  <c r="J333" i="86"/>
  <c r="J334" i="86" s="1"/>
  <c r="J349" i="86" s="1"/>
  <c r="J314" i="86"/>
  <c r="J315" i="86" s="1"/>
  <c r="J326" i="86" s="1"/>
  <c r="J295" i="86"/>
  <c r="J296" i="86" s="1"/>
  <c r="J307" i="86" s="1"/>
  <c r="J394" i="93"/>
  <c r="J395" i="93" s="1"/>
  <c r="J404" i="93" s="1"/>
  <c r="J373" i="93"/>
  <c r="J393" i="91"/>
  <c r="J373" i="91"/>
  <c r="J333" i="91"/>
  <c r="J334" i="91" s="1"/>
  <c r="J349" i="91" s="1"/>
  <c r="J314" i="91"/>
  <c r="J315" i="91" s="1"/>
  <c r="J326" i="91" s="1"/>
  <c r="J295" i="91"/>
  <c r="J296" i="91" s="1"/>
  <c r="J307" i="91" s="1"/>
  <c r="J394" i="89"/>
  <c r="J395" i="89" s="1"/>
  <c r="J404" i="89" s="1"/>
  <c r="J373" i="89"/>
  <c r="J333" i="89"/>
  <c r="J334" i="89" s="1"/>
  <c r="J349" i="89" s="1"/>
  <c r="J314" i="89"/>
  <c r="J315" i="89" s="1"/>
  <c r="J326" i="89" s="1"/>
  <c r="J393" i="88"/>
  <c r="J374" i="88"/>
  <c r="J375" i="88" s="1"/>
  <c r="J387" i="88" s="1"/>
  <c r="J332" i="88"/>
  <c r="J313" i="88"/>
  <c r="J294" i="88"/>
  <c r="J394" i="87"/>
  <c r="J395" i="87" s="1"/>
  <c r="J404" i="87" s="1"/>
  <c r="J374" i="86"/>
  <c r="J375" i="86" s="1"/>
  <c r="J387" i="86" s="1"/>
  <c r="J332" i="86"/>
  <c r="J313" i="86"/>
  <c r="J294" i="86"/>
  <c r="J394" i="85"/>
  <c r="J395" i="85" s="1"/>
  <c r="J404" i="85" s="1"/>
  <c r="J374" i="85"/>
  <c r="J375" i="85" s="1"/>
  <c r="J387" i="85" s="1"/>
  <c r="J333" i="85"/>
  <c r="J334" i="85" s="1"/>
  <c r="J349" i="85" s="1"/>
  <c r="J314" i="85"/>
  <c r="J315" i="85" s="1"/>
  <c r="J326" i="85" s="1"/>
  <c r="J295" i="85"/>
  <c r="J296" i="85" s="1"/>
  <c r="J307" i="85" s="1"/>
  <c r="J373" i="85"/>
  <c r="J313" i="85"/>
  <c r="J294" i="85"/>
  <c r="J393" i="81"/>
  <c r="J373" i="81"/>
  <c r="J394" i="81"/>
  <c r="J395" i="81" s="1"/>
  <c r="J404" i="81" s="1"/>
  <c r="J333" i="81"/>
  <c r="J334" i="81" s="1"/>
  <c r="J349" i="81" s="1"/>
  <c r="J314" i="81"/>
  <c r="J315" i="81" s="1"/>
  <c r="J326" i="81" s="1"/>
  <c r="J295" i="81"/>
  <c r="J296" i="81" s="1"/>
  <c r="J307" i="81" s="1"/>
  <c r="J332" i="81"/>
  <c r="J313" i="81"/>
  <c r="J294" i="81"/>
  <c r="J374" i="81"/>
  <c r="J375" i="81" s="1"/>
  <c r="J387" i="81" s="1"/>
  <c r="J108" i="68"/>
  <c r="J933" i="21" s="1"/>
  <c r="J94" i="68"/>
  <c r="J929" i="26" s="1"/>
  <c r="J84" i="68"/>
  <c r="J925" i="29" s="1"/>
  <c r="J68" i="68"/>
  <c r="J921" i="32" s="1"/>
  <c r="J58" i="68"/>
  <c r="J917" i="20" s="1"/>
  <c r="J46" i="68"/>
  <c r="J32" i="68"/>
  <c r="J909" i="23" s="1"/>
  <c r="J22" i="68"/>
  <c r="J601" i="32"/>
  <c r="J520" i="32"/>
  <c r="J504" i="21"/>
  <c r="J118" i="7"/>
  <c r="J102" i="7"/>
  <c r="J88" i="7"/>
  <c r="J76" i="7"/>
  <c r="J60" i="7"/>
  <c r="J44" i="7"/>
  <c r="J28" i="7"/>
  <c r="J16" i="7"/>
  <c r="J806" i="19"/>
  <c r="J806" i="24"/>
  <c r="J806" i="29"/>
  <c r="J806" i="32"/>
  <c r="J806" i="33"/>
  <c r="J806" i="34"/>
  <c r="J806" i="20"/>
  <c r="J806" i="21"/>
  <c r="J806" i="23"/>
  <c r="J806" i="28"/>
  <c r="J806" i="35"/>
  <c r="J806" i="36"/>
  <c r="J806" i="9"/>
  <c r="J806" i="17"/>
  <c r="J806" i="26"/>
  <c r="J806" i="27"/>
  <c r="J806" i="30"/>
  <c r="J806" i="31"/>
  <c r="J806" i="25"/>
  <c r="J802" i="17"/>
  <c r="J802" i="27"/>
  <c r="J802" i="28"/>
  <c r="J802" i="29"/>
  <c r="J802" i="31"/>
  <c r="J802" i="33"/>
  <c r="J802" i="36"/>
  <c r="J802" i="20"/>
  <c r="J802" i="34"/>
  <c r="J802" i="21"/>
  <c r="J802" i="9"/>
  <c r="J802" i="19"/>
  <c r="J804" i="19" s="1"/>
  <c r="J802" i="23"/>
  <c r="J802" i="24"/>
  <c r="J802" i="25"/>
  <c r="J802" i="26"/>
  <c r="J802" i="30"/>
  <c r="J802" i="32"/>
  <c r="J804" i="32" s="1"/>
  <c r="J802" i="35"/>
  <c r="J798" i="24"/>
  <c r="J798" i="9"/>
  <c r="J798" i="26"/>
  <c r="J798" i="29"/>
  <c r="J798" i="30"/>
  <c r="J798" i="33"/>
  <c r="J798" i="32"/>
  <c r="J798" i="34"/>
  <c r="J798" i="20"/>
  <c r="J798" i="23"/>
  <c r="J798" i="35"/>
  <c r="J798" i="17"/>
  <c r="J798" i="19"/>
  <c r="J798" i="27"/>
  <c r="J798" i="31"/>
  <c r="J798" i="21"/>
  <c r="J798" i="25"/>
  <c r="J798" i="28"/>
  <c r="J798" i="36"/>
  <c r="J794" i="21"/>
  <c r="J794" i="27"/>
  <c r="J794" i="29"/>
  <c r="J794" i="31"/>
  <c r="J794" i="33"/>
  <c r="J794" i="17"/>
  <c r="J794" i="9"/>
  <c r="J794" i="19"/>
  <c r="J794" i="20"/>
  <c r="J794" i="24"/>
  <c r="J796" i="24" s="1"/>
  <c r="J794" i="26"/>
  <c r="J796" i="26" s="1"/>
  <c r="J794" i="30"/>
  <c r="J794" i="32"/>
  <c r="J794" i="28"/>
  <c r="J794" i="36"/>
  <c r="J794" i="23"/>
  <c r="J794" i="25"/>
  <c r="J794" i="34"/>
  <c r="J794" i="35"/>
  <c r="J790" i="29"/>
  <c r="J790" i="32"/>
  <c r="J790" i="33"/>
  <c r="J790" i="34"/>
  <c r="J790" i="19"/>
  <c r="J790" i="28"/>
  <c r="J790" i="35"/>
  <c r="J790" i="36"/>
  <c r="J790" i="20"/>
  <c r="J790" i="21"/>
  <c r="J790" i="23"/>
  <c r="J790" i="26"/>
  <c r="J790" i="27"/>
  <c r="J790" i="30"/>
  <c r="J790" i="31"/>
  <c r="J790" i="9"/>
  <c r="J790" i="17"/>
  <c r="J790" i="25"/>
  <c r="J786" i="29"/>
  <c r="J786" i="18"/>
  <c r="J788" i="18" s="1"/>
  <c r="J778" i="28"/>
  <c r="J778" i="18"/>
  <c r="J780" i="18" s="1"/>
  <c r="J774" i="33"/>
  <c r="J774" i="18"/>
  <c r="J776" i="18" s="1"/>
  <c r="J774" i="9"/>
  <c r="J394" i="9"/>
  <c r="J395" i="9" s="1"/>
  <c r="J404" i="9" s="1"/>
  <c r="J270" i="17"/>
  <c r="J333" i="17"/>
  <c r="J334" i="17" s="1"/>
  <c r="J374" i="17"/>
  <c r="J375" i="17" s="1"/>
  <c r="J314" i="19"/>
  <c r="J315" i="19" s="1"/>
  <c r="J394" i="19"/>
  <c r="J395" i="19" s="1"/>
  <c r="J404" i="19" s="1"/>
  <c r="J268" i="20"/>
  <c r="J270" i="21"/>
  <c r="J333" i="21"/>
  <c r="J334" i="21" s="1"/>
  <c r="J374" i="21"/>
  <c r="J375" i="21" s="1"/>
  <c r="J270" i="24"/>
  <c r="J333" i="24"/>
  <c r="J334" i="24" s="1"/>
  <c r="J374" i="24"/>
  <c r="J375" i="24" s="1"/>
  <c r="J314" i="25"/>
  <c r="J394" i="25"/>
  <c r="J395" i="25" s="1"/>
  <c r="J404" i="25" s="1"/>
  <c r="J270" i="26"/>
  <c r="J333" i="26"/>
  <c r="J334" i="26" s="1"/>
  <c r="J374" i="26"/>
  <c r="J375" i="26" s="1"/>
  <c r="J268" i="27"/>
  <c r="J269" i="27" s="1"/>
  <c r="J314" i="28"/>
  <c r="J394" i="28"/>
  <c r="J395" i="28" s="1"/>
  <c r="J404" i="28" s="1"/>
  <c r="J270" i="29"/>
  <c r="J333" i="29"/>
  <c r="J334" i="29" s="1"/>
  <c r="J374" i="29"/>
  <c r="J375" i="29" s="1"/>
  <c r="J268" i="30"/>
  <c r="J268" i="31"/>
  <c r="J269" i="31" s="1"/>
  <c r="J314" i="32"/>
  <c r="J315" i="32" s="1"/>
  <c r="J326" i="32" s="1"/>
  <c r="J394" i="32"/>
  <c r="J395" i="32" s="1"/>
  <c r="J404" i="32" s="1"/>
  <c r="J314" i="34"/>
  <c r="J315" i="34" s="1"/>
  <c r="J394" i="34"/>
  <c r="J395" i="34" s="1"/>
  <c r="J404" i="34" s="1"/>
  <c r="J268" i="35"/>
  <c r="J374" i="30"/>
  <c r="J375" i="30" s="1"/>
  <c r="J387" i="30" s="1"/>
  <c r="J314" i="30"/>
  <c r="J315" i="30" s="1"/>
  <c r="J326" i="30" s="1"/>
  <c r="J314" i="9"/>
  <c r="J315" i="9" s="1"/>
  <c r="J394" i="31"/>
  <c r="J395" i="31" s="1"/>
  <c r="J404" i="31" s="1"/>
  <c r="J294" i="18"/>
  <c r="J373" i="31"/>
  <c r="J314" i="18"/>
  <c r="J315" i="18" s="1"/>
  <c r="J326" i="18" s="1"/>
  <c r="J374" i="18"/>
  <c r="J375" i="18" s="1"/>
  <c r="J387" i="18" s="1"/>
  <c r="J313" i="18"/>
  <c r="J393" i="31"/>
  <c r="J394" i="18"/>
  <c r="J395" i="18" s="1"/>
  <c r="J404" i="18" s="1"/>
  <c r="J373" i="18"/>
  <c r="J333" i="18"/>
  <c r="J334" i="18" s="1"/>
  <c r="J349" i="18" s="1"/>
  <c r="J295" i="18"/>
  <c r="J296" i="18" s="1"/>
  <c r="J307" i="18" s="1"/>
  <c r="J393" i="18"/>
  <c r="J332" i="18"/>
  <c r="J313" i="36"/>
  <c r="J313" i="35"/>
  <c r="J313" i="32"/>
  <c r="J373" i="30"/>
  <c r="J295" i="29"/>
  <c r="J296" i="29" s="1"/>
  <c r="J307" i="29" s="1"/>
  <c r="J373" i="27"/>
  <c r="J295" i="26"/>
  <c r="J296" i="26" s="1"/>
  <c r="J307" i="26" s="1"/>
  <c r="J373" i="24"/>
  <c r="J373" i="21"/>
  <c r="J295" i="20"/>
  <c r="J296" i="20" s="1"/>
  <c r="J307" i="20" s="1"/>
  <c r="J373" i="17"/>
  <c r="J295" i="9"/>
  <c r="J296" i="9" s="1"/>
  <c r="J307" i="9" s="1"/>
  <c r="J332" i="21"/>
  <c r="J332" i="17"/>
  <c r="J332" i="9"/>
  <c r="J295" i="34"/>
  <c r="J296" i="34" s="1"/>
  <c r="J307" i="34" s="1"/>
  <c r="J313" i="30"/>
  <c r="J313" i="28"/>
  <c r="J313" i="24"/>
  <c r="J313" i="21"/>
  <c r="J393" i="36"/>
  <c r="J294" i="36"/>
  <c r="J393" i="35"/>
  <c r="J294" i="35"/>
  <c r="J393" i="34"/>
  <c r="J294" i="34"/>
  <c r="J393" i="33"/>
  <c r="J294" i="33"/>
  <c r="J393" i="32"/>
  <c r="J294" i="32"/>
  <c r="J332" i="31"/>
  <c r="J332" i="30"/>
  <c r="J332" i="29"/>
  <c r="J332" i="28"/>
  <c r="J332" i="27"/>
  <c r="J332" i="26"/>
  <c r="J332" i="25"/>
  <c r="J332" i="24"/>
  <c r="J332" i="23"/>
  <c r="J295" i="33"/>
  <c r="J296" i="33" s="1"/>
  <c r="J307" i="33" s="1"/>
  <c r="J313" i="29"/>
  <c r="J313" i="27"/>
  <c r="J313" i="20"/>
  <c r="J313" i="9"/>
  <c r="J373" i="36"/>
  <c r="J295" i="36"/>
  <c r="J296" i="36" s="1"/>
  <c r="J307" i="36" s="1"/>
  <c r="J373" i="35"/>
  <c r="J295" i="35"/>
  <c r="J296" i="35" s="1"/>
  <c r="J307" i="35" s="1"/>
  <c r="J373" i="33"/>
  <c r="J373" i="32"/>
  <c r="J313" i="31"/>
  <c r="J313" i="23"/>
  <c r="J332" i="36"/>
  <c r="J332" i="35"/>
  <c r="J332" i="34"/>
  <c r="J332" i="33"/>
  <c r="J332" i="32"/>
  <c r="J294" i="31"/>
  <c r="J393" i="30"/>
  <c r="J294" i="30"/>
  <c r="J393" i="29"/>
  <c r="J294" i="29"/>
  <c r="J393" i="28"/>
  <c r="J294" i="28"/>
  <c r="J393" i="27"/>
  <c r="J294" i="27"/>
  <c r="J393" i="26"/>
  <c r="J294" i="26"/>
  <c r="J393" i="25"/>
  <c r="J294" i="25"/>
  <c r="J393" i="24"/>
  <c r="J294" i="24"/>
  <c r="J393" i="23"/>
  <c r="J294" i="23"/>
  <c r="J393" i="21"/>
  <c r="J294" i="21"/>
  <c r="J393" i="20"/>
  <c r="J294" i="20"/>
  <c r="J393" i="19"/>
  <c r="J294" i="19"/>
  <c r="J393" i="17"/>
  <c r="J294" i="17"/>
  <c r="J393" i="9"/>
  <c r="J294" i="9"/>
  <c r="J313" i="34"/>
  <c r="J313" i="33"/>
  <c r="J295" i="31"/>
  <c r="J296" i="31" s="1"/>
  <c r="J307" i="31" s="1"/>
  <c r="J295" i="30"/>
  <c r="J296" i="30" s="1"/>
  <c r="J307" i="30" s="1"/>
  <c r="J373" i="29"/>
  <c r="J373" i="28"/>
  <c r="J295" i="28"/>
  <c r="J296" i="28" s="1"/>
  <c r="J307" i="28" s="1"/>
  <c r="J295" i="27"/>
  <c r="J296" i="27" s="1"/>
  <c r="J307" i="27" s="1"/>
  <c r="J373" i="26"/>
  <c r="J373" i="25"/>
  <c r="J295" i="25"/>
  <c r="J296" i="25" s="1"/>
  <c r="J307" i="25" s="1"/>
  <c r="J295" i="24"/>
  <c r="J296" i="24" s="1"/>
  <c r="J307" i="24" s="1"/>
  <c r="J373" i="23"/>
  <c r="J295" i="23"/>
  <c r="J296" i="23" s="1"/>
  <c r="J307" i="23" s="1"/>
  <c r="J295" i="21"/>
  <c r="J296" i="21" s="1"/>
  <c r="J307" i="21" s="1"/>
  <c r="J373" i="20"/>
  <c r="J373" i="19"/>
  <c r="J295" i="19"/>
  <c r="J296" i="19" s="1"/>
  <c r="J307" i="19" s="1"/>
  <c r="J295" i="17"/>
  <c r="J296" i="17" s="1"/>
  <c r="J307" i="17" s="1"/>
  <c r="J373" i="9"/>
  <c r="J332" i="20"/>
  <c r="J332" i="19"/>
  <c r="J373" i="34"/>
  <c r="J295" i="32"/>
  <c r="J296" i="32" s="1"/>
  <c r="J307" i="32" s="1"/>
  <c r="J313" i="26"/>
  <c r="J313" i="25"/>
  <c r="J313" i="19"/>
  <c r="J313" i="17"/>
  <c r="J314" i="20"/>
  <c r="J315" i="20" s="1"/>
  <c r="J326" i="20" s="1"/>
  <c r="J394" i="36"/>
  <c r="J395" i="36" s="1"/>
  <c r="J404" i="36" s="1"/>
  <c r="J314" i="36"/>
  <c r="J315" i="36" s="1"/>
  <c r="J326" i="36" s="1"/>
  <c r="J374" i="35"/>
  <c r="J375" i="35" s="1"/>
  <c r="J387" i="35" s="1"/>
  <c r="J312" i="35"/>
  <c r="J314" i="27"/>
  <c r="J315" i="27" s="1"/>
  <c r="J326" i="27" s="1"/>
  <c r="J372" i="31"/>
  <c r="J374" i="31" s="1"/>
  <c r="J375" i="31" s="1"/>
  <c r="J312" i="31"/>
  <c r="J314" i="31" s="1"/>
  <c r="J315" i="31" s="1"/>
  <c r="J326" i="31" s="1"/>
  <c r="J372" i="36"/>
  <c r="J374" i="36" s="1"/>
  <c r="J375" i="36" s="1"/>
  <c r="J333" i="36"/>
  <c r="J334" i="36" s="1"/>
  <c r="J394" i="20"/>
  <c r="J395" i="20" s="1"/>
  <c r="J404" i="20" s="1"/>
  <c r="J374" i="23"/>
  <c r="J375" i="23" s="1"/>
  <c r="J387" i="23" s="1"/>
  <c r="J333" i="23"/>
  <c r="J334" i="23" s="1"/>
  <c r="J394" i="27"/>
  <c r="J395" i="27" s="1"/>
  <c r="J404" i="27" s="1"/>
  <c r="J372" i="27"/>
  <c r="J374" i="27" s="1"/>
  <c r="J375" i="27" s="1"/>
  <c r="J394" i="35"/>
  <c r="J395" i="35" s="1"/>
  <c r="J404" i="35" s="1"/>
  <c r="J333" i="20"/>
  <c r="J334" i="20" s="1"/>
  <c r="J394" i="23"/>
  <c r="J395" i="23" s="1"/>
  <c r="J404" i="23" s="1"/>
  <c r="J314" i="23"/>
  <c r="J315" i="23" s="1"/>
  <c r="J326" i="23" s="1"/>
  <c r="J333" i="27"/>
  <c r="J334" i="27" s="1"/>
  <c r="J333" i="30"/>
  <c r="J334" i="30" s="1"/>
  <c r="J333" i="31"/>
  <c r="J334" i="31" s="1"/>
  <c r="J331" i="35"/>
  <c r="J333" i="35" s="1"/>
  <c r="J334" i="35" s="1"/>
  <c r="J270" i="20"/>
  <c r="J268" i="23"/>
  <c r="J268" i="25"/>
  <c r="J270" i="27"/>
  <c r="J268" i="28"/>
  <c r="J270" i="31"/>
  <c r="J268" i="32"/>
  <c r="J269" i="32" s="1"/>
  <c r="J333" i="33"/>
  <c r="J334" i="33" s="1"/>
  <c r="J374" i="33"/>
  <c r="J375" i="33" s="1"/>
  <c r="J268" i="34"/>
  <c r="J270" i="35"/>
  <c r="J268" i="36"/>
  <c r="J269" i="36" s="1"/>
  <c r="G97" i="4"/>
  <c r="J268" i="9"/>
  <c r="J333" i="9"/>
  <c r="J334" i="9" s="1"/>
  <c r="J374" i="9"/>
  <c r="J375" i="9" s="1"/>
  <c r="J314" i="17"/>
  <c r="J315" i="17" s="1"/>
  <c r="J326" i="17" s="1"/>
  <c r="J394" i="17"/>
  <c r="J395" i="17" s="1"/>
  <c r="J404" i="17" s="1"/>
  <c r="J268" i="19"/>
  <c r="J333" i="19"/>
  <c r="J334" i="19" s="1"/>
  <c r="J374" i="19"/>
  <c r="J375" i="19" s="1"/>
  <c r="J314" i="21"/>
  <c r="J315" i="21" s="1"/>
  <c r="J394" i="21"/>
  <c r="J395" i="21" s="1"/>
  <c r="J404" i="21" s="1"/>
  <c r="J270" i="23"/>
  <c r="J314" i="24"/>
  <c r="J315" i="24" s="1"/>
  <c r="J394" i="24"/>
  <c r="J395" i="24" s="1"/>
  <c r="J404" i="24" s="1"/>
  <c r="J270" i="25"/>
  <c r="J333" i="25"/>
  <c r="J334" i="25" s="1"/>
  <c r="J374" i="25"/>
  <c r="J375" i="25" s="1"/>
  <c r="J314" i="26"/>
  <c r="J315" i="26" s="1"/>
  <c r="J394" i="26"/>
  <c r="J395" i="26" s="1"/>
  <c r="J404" i="26" s="1"/>
  <c r="J270" i="28"/>
  <c r="J333" i="28"/>
  <c r="J334" i="28" s="1"/>
  <c r="J374" i="28"/>
  <c r="J375" i="28" s="1"/>
  <c r="J314" i="29"/>
  <c r="J315" i="29" s="1"/>
  <c r="J394" i="29"/>
  <c r="J395" i="29" s="1"/>
  <c r="J404" i="29" s="1"/>
  <c r="J270" i="30"/>
  <c r="J270" i="32"/>
  <c r="J333" i="32"/>
  <c r="J334" i="32" s="1"/>
  <c r="J374" i="32"/>
  <c r="J375" i="32" s="1"/>
  <c r="J268" i="33"/>
  <c r="J270" i="34"/>
  <c r="J333" i="34"/>
  <c r="J334" i="34" s="1"/>
  <c r="J374" i="34"/>
  <c r="J375" i="34" s="1"/>
  <c r="J270" i="36"/>
  <c r="J270" i="9"/>
  <c r="J268" i="17"/>
  <c r="J269" i="17" s="1"/>
  <c r="J270" i="19"/>
  <c r="J268" i="21"/>
  <c r="J268" i="24"/>
  <c r="J268" i="26"/>
  <c r="J268" i="29"/>
  <c r="J270" i="33"/>
  <c r="J314" i="33"/>
  <c r="J315" i="33" s="1"/>
  <c r="J394" i="33"/>
  <c r="J395" i="33" s="1"/>
  <c r="J404" i="33" s="1"/>
  <c r="J394" i="30"/>
  <c r="J395" i="30" s="1"/>
  <c r="J404" i="30" s="1"/>
  <c r="J663" i="29"/>
  <c r="J666" i="29" s="1"/>
  <c r="J679" i="29" s="1"/>
  <c r="J284" i="30"/>
  <c r="J271" i="31"/>
  <c r="J205" i="35"/>
  <c r="J218" i="35" s="1"/>
  <c r="J345" i="20"/>
  <c r="J205" i="27"/>
  <c r="J218" i="27" s="1"/>
  <c r="J142" i="31"/>
  <c r="J205" i="32"/>
  <c r="J218" i="32" s="1"/>
  <c r="J345" i="33"/>
  <c r="J622" i="34"/>
  <c r="J635" i="34" s="1"/>
  <c r="J663" i="36"/>
  <c r="J666" i="36" s="1"/>
  <c r="J345" i="27"/>
  <c r="J345" i="30"/>
  <c r="J224" i="19"/>
  <c r="J572" i="20"/>
  <c r="J585" i="20" s="1"/>
  <c r="J590" i="35"/>
  <c r="J601" i="35" s="1"/>
  <c r="J345" i="35"/>
  <c r="J345" i="36"/>
  <c r="J663" i="19"/>
  <c r="J163" i="19"/>
  <c r="J271" i="19"/>
  <c r="J185" i="23"/>
  <c r="J198" i="23" s="1"/>
  <c r="J246" i="24"/>
  <c r="J163" i="29"/>
  <c r="J165" i="29" s="1"/>
  <c r="J178" i="29" s="1"/>
  <c r="J142" i="29"/>
  <c r="J144" i="29" s="1"/>
  <c r="J157" i="29" s="1"/>
  <c r="J163" i="30"/>
  <c r="J165" i="30" s="1"/>
  <c r="J65" i="31"/>
  <c r="J78" i="31" s="1"/>
  <c r="J142" i="32"/>
  <c r="J549" i="34"/>
  <c r="J562" i="34" s="1"/>
  <c r="J572" i="35"/>
  <c r="J585" i="35" s="1"/>
  <c r="J345" i="23"/>
  <c r="J345" i="31"/>
  <c r="J226" i="9"/>
  <c r="J239" i="9" s="1"/>
  <c r="J144" i="9"/>
  <c r="J157" i="9" s="1"/>
  <c r="J165" i="9"/>
  <c r="J178" i="9" s="1"/>
  <c r="J246" i="9"/>
  <c r="J259" i="9" s="1"/>
  <c r="J162" i="36"/>
  <c r="J141" i="36"/>
  <c r="J141" i="35"/>
  <c r="J141" i="32"/>
  <c r="J162" i="31"/>
  <c r="J141" i="31"/>
  <c r="J409" i="30"/>
  <c r="J418" i="30" s="1"/>
  <c r="J141" i="27"/>
  <c r="J162" i="23"/>
  <c r="J165" i="19"/>
  <c r="J178" i="19" s="1"/>
  <c r="J144" i="19"/>
  <c r="J157" i="19" s="1"/>
  <c r="J141" i="17"/>
  <c r="J27" i="36"/>
  <c r="J40" i="36" s="1"/>
  <c r="J83" i="36"/>
  <c r="J64" i="36"/>
  <c r="J45" i="36"/>
  <c r="J102" i="36"/>
  <c r="J64" i="35"/>
  <c r="J26" i="33"/>
  <c r="J65" i="33"/>
  <c r="J78" i="33" s="1"/>
  <c r="J45" i="33"/>
  <c r="J84" i="32"/>
  <c r="J97" i="32" s="1"/>
  <c r="J84" i="31"/>
  <c r="J97" i="31" s="1"/>
  <c r="J27" i="31"/>
  <c r="J40" i="31" s="1"/>
  <c r="J83" i="30"/>
  <c r="J65" i="30"/>
  <c r="J65" i="29"/>
  <c r="J78" i="29" s="1"/>
  <c r="J84" i="29"/>
  <c r="J97" i="29" s="1"/>
  <c r="J27" i="29"/>
  <c r="J40" i="29" s="1"/>
  <c r="J45" i="27"/>
  <c r="J83" i="24"/>
  <c r="J27" i="19"/>
  <c r="J40" i="19" s="1"/>
  <c r="J46" i="19"/>
  <c r="J59" i="19" s="1"/>
  <c r="J65" i="19"/>
  <c r="J78" i="19" s="1"/>
  <c r="J103" i="19"/>
  <c r="J116" i="19" s="1"/>
  <c r="J342" i="34"/>
  <c r="J383" i="34"/>
  <c r="J383" i="33"/>
  <c r="J342" i="32"/>
  <c r="J383" i="32"/>
  <c r="J342" i="29"/>
  <c r="J383" i="29"/>
  <c r="J342" i="28"/>
  <c r="J383" i="28"/>
  <c r="J342" i="26"/>
  <c r="J383" i="26"/>
  <c r="J342" i="25"/>
  <c r="J383" i="25"/>
  <c r="J342" i="24"/>
  <c r="J383" i="24"/>
  <c r="J356" i="23"/>
  <c r="J367" i="23" s="1"/>
  <c r="J342" i="21"/>
  <c r="J383" i="21"/>
  <c r="J342" i="19"/>
  <c r="J383" i="19"/>
  <c r="J342" i="17"/>
  <c r="J383" i="17"/>
  <c r="J666" i="9"/>
  <c r="J679" i="9" s="1"/>
  <c r="J356" i="9"/>
  <c r="J367" i="9" s="1"/>
  <c r="J791" i="9"/>
  <c r="J440" i="9"/>
  <c r="J473" i="9"/>
  <c r="J342" i="9"/>
  <c r="J383" i="9"/>
  <c r="J504" i="9"/>
  <c r="J537" i="9"/>
  <c r="J562" i="9"/>
  <c r="J473" i="36"/>
  <c r="J504" i="36"/>
  <c r="J537" i="36"/>
  <c r="J666" i="34"/>
  <c r="J679" i="34" s="1"/>
  <c r="J157" i="33"/>
  <c r="J226" i="32"/>
  <c r="J239" i="32" s="1"/>
  <c r="J457" i="30"/>
  <c r="J787" i="29"/>
  <c r="J803" i="29"/>
  <c r="J457" i="29"/>
  <c r="J520" i="29"/>
  <c r="J226" i="29"/>
  <c r="J239" i="29" s="1"/>
  <c r="J666" i="28"/>
  <c r="J226" i="27"/>
  <c r="J239" i="27" s="1"/>
  <c r="J473" i="27"/>
  <c r="J504" i="27"/>
  <c r="J537" i="27"/>
  <c r="J601" i="27"/>
  <c r="J787" i="27"/>
  <c r="J803" i="27"/>
  <c r="J787" i="26"/>
  <c r="J803" i="26"/>
  <c r="J157" i="26"/>
  <c r="J666" i="26"/>
  <c r="J226" i="26"/>
  <c r="J239" i="26" s="1"/>
  <c r="J783" i="26"/>
  <c r="J226" i="25"/>
  <c r="J239" i="25" s="1"/>
  <c r="J259" i="25"/>
  <c r="J779" i="25"/>
  <c r="J473" i="25"/>
  <c r="J504" i="25"/>
  <c r="J457" i="25"/>
  <c r="J520" i="25"/>
  <c r="J562" i="25"/>
  <c r="J666" i="25"/>
  <c r="J178" i="24"/>
  <c r="J666" i="24"/>
  <c r="J679" i="24" s="1"/>
  <c r="J799" i="24"/>
  <c r="J226" i="24"/>
  <c r="J239" i="24" s="1"/>
  <c r="J795" i="23"/>
  <c r="J666" i="23"/>
  <c r="J457" i="21"/>
  <c r="J520" i="21"/>
  <c r="J572" i="21"/>
  <c r="J585" i="21" s="1"/>
  <c r="J226" i="21"/>
  <c r="J239" i="21" s="1"/>
  <c r="J520" i="19"/>
  <c r="J473" i="19"/>
  <c r="J205" i="17"/>
  <c r="J218" i="17" s="1"/>
  <c r="J226" i="17"/>
  <c r="J239" i="17" s="1"/>
  <c r="J787" i="17"/>
  <c r="J803" i="17"/>
  <c r="J666" i="17"/>
  <c r="J622" i="17"/>
  <c r="J601" i="17"/>
  <c r="J457" i="9"/>
  <c r="J779" i="9"/>
  <c r="J795" i="9"/>
  <c r="J799" i="9"/>
  <c r="J601" i="9"/>
  <c r="J440" i="34"/>
  <c r="J585" i="28"/>
  <c r="J198" i="27"/>
  <c r="J367" i="25"/>
  <c r="J367" i="21"/>
  <c r="J666" i="20"/>
  <c r="J679" i="20" s="1"/>
  <c r="J504" i="20"/>
  <c r="J457" i="20"/>
  <c r="J520" i="20"/>
  <c r="J635" i="19"/>
  <c r="J601" i="19"/>
  <c r="J259" i="29"/>
  <c r="J218" i="29"/>
  <c r="J779" i="29"/>
  <c r="J795" i="29"/>
  <c r="J635" i="33"/>
  <c r="J787" i="33"/>
  <c r="J803" i="33"/>
  <c r="J787" i="34"/>
  <c r="J803" i="34"/>
  <c r="J178" i="34"/>
  <c r="J367" i="34"/>
  <c r="J440" i="35"/>
  <c r="J473" i="35"/>
  <c r="J504" i="35"/>
  <c r="J787" i="35"/>
  <c r="J803" i="35"/>
  <c r="J783" i="35"/>
  <c r="J799" i="35"/>
  <c r="J783" i="36"/>
  <c r="J799" i="36"/>
  <c r="J787" i="36"/>
  <c r="J803" i="36"/>
  <c r="J775" i="36"/>
  <c r="J791" i="36"/>
  <c r="J807" i="36"/>
  <c r="J779" i="36"/>
  <c r="J795" i="36"/>
  <c r="J783" i="34"/>
  <c r="J799" i="34"/>
  <c r="J775" i="34"/>
  <c r="J791" i="34"/>
  <c r="J807" i="34"/>
  <c r="J239" i="34"/>
  <c r="J779" i="34"/>
  <c r="J795" i="34"/>
  <c r="J562" i="33"/>
  <c r="J779" i="33"/>
  <c r="J795" i="33"/>
  <c r="J259" i="33"/>
  <c r="J783" i="33"/>
  <c r="J799" i="33"/>
  <c r="J775" i="33"/>
  <c r="J791" i="33"/>
  <c r="J807" i="33"/>
  <c r="J585" i="36"/>
  <c r="J635" i="36"/>
  <c r="J440" i="36"/>
  <c r="J657" i="36"/>
  <c r="J657" i="34"/>
  <c r="J198" i="34"/>
  <c r="J218" i="33"/>
  <c r="J775" i="32"/>
  <c r="J791" i="32"/>
  <c r="J807" i="32"/>
  <c r="J779" i="32"/>
  <c r="J795" i="32"/>
  <c r="J783" i="32"/>
  <c r="J799" i="32"/>
  <c r="J779" i="30"/>
  <c r="J795" i="30"/>
  <c r="J657" i="33"/>
  <c r="J239" i="33"/>
  <c r="J367" i="33"/>
  <c r="J787" i="31"/>
  <c r="J779" i="31"/>
  <c r="J473" i="31"/>
  <c r="J537" i="31"/>
  <c r="J787" i="30"/>
  <c r="J803" i="30"/>
  <c r="J178" i="32"/>
  <c r="J409" i="32"/>
  <c r="J418" i="32" s="1"/>
  <c r="J585" i="32"/>
  <c r="J635" i="32"/>
  <c r="J367" i="32"/>
  <c r="J198" i="32"/>
  <c r="J657" i="32"/>
  <c r="J520" i="31"/>
  <c r="J775" i="31"/>
  <c r="J791" i="31"/>
  <c r="J807" i="31"/>
  <c r="J440" i="31"/>
  <c r="J795" i="31"/>
  <c r="J457" i="31"/>
  <c r="J601" i="31"/>
  <c r="J803" i="31"/>
  <c r="J504" i="31"/>
  <c r="J657" i="31"/>
  <c r="J783" i="31"/>
  <c r="J799" i="31"/>
  <c r="J783" i="30"/>
  <c r="J799" i="30"/>
  <c r="J775" i="30"/>
  <c r="J791" i="30"/>
  <c r="J807" i="30"/>
  <c r="J657" i="30"/>
  <c r="J218" i="28"/>
  <c r="J562" i="28"/>
  <c r="J367" i="29"/>
  <c r="J775" i="29"/>
  <c r="J791" i="29"/>
  <c r="J807" i="29"/>
  <c r="J783" i="29"/>
  <c r="J799" i="29"/>
  <c r="J562" i="29"/>
  <c r="J657" i="29"/>
  <c r="J779" i="27"/>
  <c r="J795" i="27"/>
  <c r="J779" i="28"/>
  <c r="J795" i="28"/>
  <c r="J239" i="28"/>
  <c r="J367" i="28"/>
  <c r="J601" i="28"/>
  <c r="J783" i="28"/>
  <c r="J799" i="28"/>
  <c r="J157" i="28"/>
  <c r="J775" i="28"/>
  <c r="J791" i="28"/>
  <c r="J807" i="28"/>
  <c r="J315" i="28"/>
  <c r="J178" i="28"/>
  <c r="J409" i="28"/>
  <c r="J418" i="28" s="1"/>
  <c r="J520" i="28"/>
  <c r="J198" i="28"/>
  <c r="J657" i="28"/>
  <c r="J635" i="28"/>
  <c r="J367" i="26"/>
  <c r="J783" i="27"/>
  <c r="J799" i="27"/>
  <c r="J679" i="27"/>
  <c r="J775" i="27"/>
  <c r="J791" i="27"/>
  <c r="J807" i="27"/>
  <c r="J440" i="27"/>
  <c r="J657" i="27"/>
  <c r="J585" i="25"/>
  <c r="J787" i="25"/>
  <c r="J803" i="25"/>
  <c r="J775" i="25"/>
  <c r="J791" i="25"/>
  <c r="J807" i="25"/>
  <c r="J198" i="26"/>
  <c r="J562" i="26"/>
  <c r="J775" i="26"/>
  <c r="J791" i="26"/>
  <c r="J807" i="26"/>
  <c r="J799" i="26"/>
  <c r="J218" i="26"/>
  <c r="J585" i="26"/>
  <c r="J635" i="26"/>
  <c r="J259" i="26"/>
  <c r="J657" i="26"/>
  <c r="J635" i="24"/>
  <c r="J198" i="24"/>
  <c r="J635" i="25"/>
  <c r="J783" i="25"/>
  <c r="J799" i="25"/>
  <c r="J795" i="25"/>
  <c r="J440" i="25"/>
  <c r="J315" i="25"/>
  <c r="J218" i="25"/>
  <c r="J157" i="25"/>
  <c r="J178" i="25"/>
  <c r="J198" i="25"/>
  <c r="J657" i="25"/>
  <c r="J657" i="23"/>
  <c r="J367" i="24"/>
  <c r="J783" i="24"/>
  <c r="J787" i="24"/>
  <c r="J803" i="24"/>
  <c r="J562" i="24"/>
  <c r="J775" i="24"/>
  <c r="J218" i="24"/>
  <c r="J657" i="24"/>
  <c r="J259" i="24"/>
  <c r="J218" i="21"/>
  <c r="J779" i="21"/>
  <c r="J795" i="21"/>
  <c r="J791" i="21"/>
  <c r="J807" i="21"/>
  <c r="J157" i="21"/>
  <c r="J178" i="21"/>
  <c r="J787" i="23"/>
  <c r="J803" i="23"/>
  <c r="J775" i="23"/>
  <c r="J791" i="23"/>
  <c r="J807" i="23"/>
  <c r="J783" i="23"/>
  <c r="J799" i="23"/>
  <c r="J239" i="23"/>
  <c r="J585" i="23"/>
  <c r="J635" i="23"/>
  <c r="J157" i="23"/>
  <c r="J562" i="23"/>
  <c r="J787" i="20"/>
  <c r="J803" i="20"/>
  <c r="J787" i="21"/>
  <c r="J803" i="21"/>
  <c r="J799" i="21"/>
  <c r="J775" i="21"/>
  <c r="J783" i="21"/>
  <c r="J635" i="21"/>
  <c r="J679" i="21"/>
  <c r="J198" i="21"/>
  <c r="J657" i="21"/>
  <c r="J775" i="20"/>
  <c r="J791" i="20"/>
  <c r="J807" i="20"/>
  <c r="J779" i="20"/>
  <c r="J795" i="20"/>
  <c r="J198" i="20"/>
  <c r="J783" i="20"/>
  <c r="J799" i="20"/>
  <c r="J440" i="20"/>
  <c r="J473" i="20"/>
  <c r="J657" i="20"/>
  <c r="J367" i="19"/>
  <c r="J779" i="19"/>
  <c r="J775" i="19"/>
  <c r="J791" i="19"/>
  <c r="J807" i="19"/>
  <c r="J440" i="19"/>
  <c r="J537" i="19"/>
  <c r="J657" i="19"/>
  <c r="J783" i="19"/>
  <c r="J799" i="19"/>
  <c r="J795" i="19"/>
  <c r="J226" i="19"/>
  <c r="J239" i="19" s="1"/>
  <c r="J409" i="17"/>
  <c r="J418" i="17" s="1"/>
  <c r="J783" i="17"/>
  <c r="J799" i="17"/>
  <c r="J775" i="17"/>
  <c r="J791" i="17"/>
  <c r="J807" i="17"/>
  <c r="J585" i="17"/>
  <c r="J367" i="17"/>
  <c r="J657" i="17"/>
  <c r="J787" i="9"/>
  <c r="J803" i="9"/>
  <c r="J783" i="9"/>
  <c r="J807" i="9"/>
  <c r="J775" i="9"/>
  <c r="J218" i="9"/>
  <c r="J198" i="9"/>
  <c r="J657" i="9"/>
  <c r="J520" i="9"/>
  <c r="J585" i="9"/>
  <c r="J635" i="9"/>
  <c r="J786" i="17"/>
  <c r="J788" i="17" s="1"/>
  <c r="J786" i="20"/>
  <c r="J786" i="28"/>
  <c r="J788" i="28" s="1"/>
  <c r="J786" i="31"/>
  <c r="J786" i="32"/>
  <c r="J786" i="35"/>
  <c r="J786" i="36"/>
  <c r="J786" i="24"/>
  <c r="J786" i="27"/>
  <c r="J788" i="27" s="1"/>
  <c r="J786" i="34"/>
  <c r="J788" i="34" s="1"/>
  <c r="J786" i="21"/>
  <c r="J786" i="23"/>
  <c r="J786" i="30"/>
  <c r="J788" i="30" s="1"/>
  <c r="J786" i="33"/>
  <c r="J786" i="9"/>
  <c r="J786" i="19"/>
  <c r="J786" i="25"/>
  <c r="J786" i="26"/>
  <c r="J782" i="19"/>
  <c r="J782" i="9"/>
  <c r="J782" i="21"/>
  <c r="J782" i="25"/>
  <c r="J784" i="25" s="1"/>
  <c r="J782" i="27"/>
  <c r="J784" i="27" s="1"/>
  <c r="J782" i="28"/>
  <c r="J782" i="33"/>
  <c r="J784" i="33" s="1"/>
  <c r="J782" i="34"/>
  <c r="J784" i="34" s="1"/>
  <c r="J782" i="20"/>
  <c r="J782" i="23"/>
  <c r="J782" i="24"/>
  <c r="J782" i="26"/>
  <c r="J782" i="29"/>
  <c r="J782" i="30"/>
  <c r="J782" i="31"/>
  <c r="J784" i="31" s="1"/>
  <c r="J782" i="32"/>
  <c r="J782" i="35"/>
  <c r="J784" i="35" s="1"/>
  <c r="J782" i="36"/>
  <c r="J782" i="17"/>
  <c r="J778" i="20"/>
  <c r="J778" i="21"/>
  <c r="J778" i="25"/>
  <c r="J778" i="31"/>
  <c r="J778" i="32"/>
  <c r="J780" i="32" s="1"/>
  <c r="J778" i="33"/>
  <c r="J778" i="35"/>
  <c r="J778" i="36"/>
  <c r="J778" i="19"/>
  <c r="J778" i="29"/>
  <c r="J778" i="34"/>
  <c r="J778" i="17"/>
  <c r="J780" i="17" s="1"/>
  <c r="J778" i="23"/>
  <c r="J780" i="23" s="1"/>
  <c r="J778" i="26"/>
  <c r="J778" i="27"/>
  <c r="J778" i="30"/>
  <c r="J780" i="30" s="1"/>
  <c r="J778" i="9"/>
  <c r="J778" i="24"/>
  <c r="J774" i="24"/>
  <c r="J776" i="24" s="1"/>
  <c r="J774" i="29"/>
  <c r="J774" i="17"/>
  <c r="J774" i="28"/>
  <c r="J776" i="28" s="1"/>
  <c r="J774" i="34"/>
  <c r="J774" i="19"/>
  <c r="J774" i="20"/>
  <c r="J774" i="23"/>
  <c r="J774" i="26"/>
  <c r="J774" i="30"/>
  <c r="J776" i="30" s="1"/>
  <c r="J774" i="31"/>
  <c r="J774" i="32"/>
  <c r="J774" i="35"/>
  <c r="J774" i="36"/>
  <c r="J774" i="21"/>
  <c r="J774" i="25"/>
  <c r="J774" i="27"/>
  <c r="J246" i="34"/>
  <c r="J259" i="34" s="1"/>
  <c r="J571" i="34"/>
  <c r="J271" i="33"/>
  <c r="J185" i="33"/>
  <c r="J198" i="33" s="1"/>
  <c r="J163" i="33"/>
  <c r="J571" i="33"/>
  <c r="J246" i="32"/>
  <c r="J259" i="32" s="1"/>
  <c r="J549" i="32"/>
  <c r="J622" i="29"/>
  <c r="J185" i="29"/>
  <c r="J198" i="29" s="1"/>
  <c r="J572" i="29"/>
  <c r="J246" i="28"/>
  <c r="J259" i="28" s="1"/>
  <c r="J244" i="27"/>
  <c r="J572" i="24"/>
  <c r="J246" i="21"/>
  <c r="J259" i="21" s="1"/>
  <c r="J548" i="21"/>
  <c r="J246" i="19"/>
  <c r="J259" i="19" s="1"/>
  <c r="J205" i="19"/>
  <c r="J218" i="19" s="1"/>
  <c r="J572" i="19"/>
  <c r="J185" i="19"/>
  <c r="J198" i="19" s="1"/>
  <c r="J547" i="19"/>
  <c r="J183" i="17"/>
  <c r="J244" i="17"/>
  <c r="J548" i="17"/>
  <c r="H69" i="8"/>
  <c r="H87" i="8"/>
  <c r="H64" i="8"/>
  <c r="H97" i="8"/>
  <c r="J590" i="30"/>
  <c r="J601" i="30" s="1"/>
  <c r="J622" i="20"/>
  <c r="J204" i="23"/>
  <c r="J245" i="23"/>
  <c r="J271" i="23"/>
  <c r="J571" i="27"/>
  <c r="J64" i="27"/>
  <c r="J549" i="27"/>
  <c r="J621" i="27"/>
  <c r="J666" i="30"/>
  <c r="J214" i="30"/>
  <c r="J174" i="30"/>
  <c r="J205" i="30"/>
  <c r="J255" i="30"/>
  <c r="J526" i="30"/>
  <c r="J537" i="30" s="1"/>
  <c r="J226" i="30"/>
  <c r="J239" i="30" s="1"/>
  <c r="J246" i="30"/>
  <c r="J74" i="30"/>
  <c r="J622" i="30"/>
  <c r="J45" i="30"/>
  <c r="J436" i="30"/>
  <c r="J440" i="30" s="1"/>
  <c r="J469" i="30"/>
  <c r="J473" i="30" s="1"/>
  <c r="J500" i="30"/>
  <c r="J504" i="30" s="1"/>
  <c r="J509" i="30"/>
  <c r="J520" i="30" s="1"/>
  <c r="J548" i="30"/>
  <c r="J185" i="30"/>
  <c r="J198" i="30" s="1"/>
  <c r="J547" i="30"/>
  <c r="J571" i="30"/>
  <c r="J581" i="30" s="1"/>
  <c r="J246" i="31"/>
  <c r="J259" i="31" s="1"/>
  <c r="J185" i="31"/>
  <c r="J198" i="31" s="1"/>
  <c r="J226" i="31"/>
  <c r="J239" i="31" s="1"/>
  <c r="J547" i="31"/>
  <c r="J663" i="31"/>
  <c r="J571" i="31"/>
  <c r="J622" i="31"/>
  <c r="J205" i="31"/>
  <c r="J218" i="31" s="1"/>
  <c r="J184" i="36"/>
  <c r="J204" i="36"/>
  <c r="J244" i="36"/>
  <c r="J547" i="36"/>
  <c r="J245" i="36"/>
  <c r="J457" i="35"/>
  <c r="J520" i="35"/>
  <c r="J779" i="35"/>
  <c r="J795" i="35"/>
  <c r="J775" i="35"/>
  <c r="J791" i="35"/>
  <c r="J807" i="35"/>
  <c r="J537" i="35"/>
  <c r="J679" i="35"/>
  <c r="J547" i="35"/>
  <c r="J635" i="35"/>
  <c r="J226" i="35"/>
  <c r="J239" i="35" s="1"/>
  <c r="J185" i="35"/>
  <c r="J198" i="35" s="1"/>
  <c r="J657" i="35"/>
  <c r="J244" i="35"/>
  <c r="J788" i="19" l="1"/>
  <c r="J539" i="32"/>
  <c r="J776" i="25"/>
  <c r="J776" i="19"/>
  <c r="J796" i="17"/>
  <c r="J804" i="28"/>
  <c r="J776" i="26"/>
  <c r="J788" i="20"/>
  <c r="J808" i="24"/>
  <c r="J784" i="26"/>
  <c r="J780" i="20"/>
  <c r="J776" i="32"/>
  <c r="J776" i="29"/>
  <c r="J784" i="17"/>
  <c r="J387" i="17"/>
  <c r="J387" i="29"/>
  <c r="J349" i="27"/>
  <c r="J776" i="31"/>
  <c r="J788" i="26"/>
  <c r="J539" i="26"/>
  <c r="J776" i="17"/>
  <c r="J780" i="36"/>
  <c r="J784" i="21"/>
  <c r="J788" i="32"/>
  <c r="J387" i="24"/>
  <c r="J780" i="19"/>
  <c r="J780" i="34"/>
  <c r="J539" i="29"/>
  <c r="J349" i="23"/>
  <c r="J883" i="21"/>
  <c r="J883" i="93"/>
  <c r="J871" i="25"/>
  <c r="J871" i="86"/>
  <c r="J808" i="9"/>
  <c r="J387" i="19"/>
  <c r="J387" i="25"/>
  <c r="J909" i="28"/>
  <c r="J883" i="23"/>
  <c r="J883" i="20"/>
  <c r="J883" i="81"/>
  <c r="J883" i="85"/>
  <c r="J883" i="88"/>
  <c r="J875" i="27"/>
  <c r="J875" i="34"/>
  <c r="J871" i="34"/>
  <c r="J871" i="35"/>
  <c r="J871" i="20"/>
  <c r="J871" i="21"/>
  <c r="J871" i="91"/>
  <c r="J871" i="28"/>
  <c r="J871" i="85"/>
  <c r="J871" i="27"/>
  <c r="J871" i="32"/>
  <c r="J871" i="87"/>
  <c r="J871" i="19"/>
  <c r="J871" i="88"/>
  <c r="J871" i="33"/>
  <c r="J871" i="26"/>
  <c r="J871" i="31"/>
  <c r="J871" i="9"/>
  <c r="J871" i="81"/>
  <c r="J871" i="90"/>
  <c r="J871" i="24"/>
  <c r="J871" i="30"/>
  <c r="J871" i="92"/>
  <c r="J871" i="23"/>
  <c r="J871" i="29"/>
  <c r="J871" i="93"/>
  <c r="J871" i="36"/>
  <c r="J871" i="17"/>
  <c r="J871" i="18"/>
  <c r="J387" i="9"/>
  <c r="J792" i="26"/>
  <c r="J796" i="36"/>
  <c r="J800" i="23"/>
  <c r="J804" i="31"/>
  <c r="J808" i="27"/>
  <c r="J808" i="21"/>
  <c r="J811" i="90"/>
  <c r="J776" i="23"/>
  <c r="J780" i="21"/>
  <c r="J788" i="29"/>
  <c r="J792" i="23"/>
  <c r="J792" i="33"/>
  <c r="J796" i="28"/>
  <c r="J800" i="25"/>
  <c r="J800" i="24"/>
  <c r="J804" i="29"/>
  <c r="J808" i="20"/>
  <c r="J811" i="91"/>
  <c r="J776" i="21"/>
  <c r="J792" i="25"/>
  <c r="J792" i="21"/>
  <c r="J792" i="32"/>
  <c r="J800" i="21"/>
  <c r="J804" i="35"/>
  <c r="J808" i="34"/>
  <c r="J891" i="17"/>
  <c r="J539" i="24"/>
  <c r="J891" i="36"/>
  <c r="J539" i="23"/>
  <c r="J792" i="36"/>
  <c r="J796" i="29"/>
  <c r="J804" i="30"/>
  <c r="J804" i="34"/>
  <c r="J808" i="36"/>
  <c r="J891" i="29"/>
  <c r="J891" i="23"/>
  <c r="J784" i="32"/>
  <c r="J780" i="31"/>
  <c r="J788" i="25"/>
  <c r="J804" i="23"/>
  <c r="J780" i="25"/>
  <c r="J796" i="32"/>
  <c r="J796" i="33"/>
  <c r="J800" i="34"/>
  <c r="J808" i="17"/>
  <c r="J811" i="86"/>
  <c r="J883" i="19"/>
  <c r="J883" i="89"/>
  <c r="J883" i="34"/>
  <c r="J780" i="24"/>
  <c r="J780" i="29"/>
  <c r="J784" i="29"/>
  <c r="J788" i="36"/>
  <c r="J804" i="9"/>
  <c r="J800" i="9"/>
  <c r="J78" i="30"/>
  <c r="J792" i="17"/>
  <c r="J792" i="20"/>
  <c r="J792" i="29"/>
  <c r="J796" i="30"/>
  <c r="J796" i="31"/>
  <c r="J800" i="31"/>
  <c r="J800" i="32"/>
  <c r="J804" i="21"/>
  <c r="J804" i="27"/>
  <c r="J811" i="93"/>
  <c r="J883" i="9"/>
  <c r="J883" i="91"/>
  <c r="J883" i="28"/>
  <c r="J891" i="21"/>
  <c r="J891" i="31"/>
  <c r="J800" i="28"/>
  <c r="J539" i="21"/>
  <c r="J788" i="33"/>
  <c r="J800" i="27"/>
  <c r="J811" i="85"/>
  <c r="J776" i="36"/>
  <c r="J784" i="24"/>
  <c r="J792" i="9"/>
  <c r="J387" i="21"/>
  <c r="J776" i="33"/>
  <c r="J792" i="31"/>
  <c r="J792" i="35"/>
  <c r="J796" i="34"/>
  <c r="J796" i="27"/>
  <c r="J800" i="19"/>
  <c r="J800" i="30"/>
  <c r="J804" i="26"/>
  <c r="J804" i="20"/>
  <c r="J808" i="25"/>
  <c r="J808" i="35"/>
  <c r="J808" i="29"/>
  <c r="J811" i="87"/>
  <c r="J883" i="31"/>
  <c r="J883" i="25"/>
  <c r="J883" i="86"/>
  <c r="J883" i="30"/>
  <c r="J891" i="25"/>
  <c r="J792" i="34"/>
  <c r="J776" i="27"/>
  <c r="J784" i="28"/>
  <c r="J788" i="24"/>
  <c r="J776" i="20"/>
  <c r="J796" i="9"/>
  <c r="J387" i="26"/>
  <c r="J804" i="17"/>
  <c r="J808" i="32"/>
  <c r="J883" i="90"/>
  <c r="J776" i="35"/>
  <c r="J776" i="34"/>
  <c r="J780" i="27"/>
  <c r="J780" i="35"/>
  <c r="J784" i="36"/>
  <c r="J784" i="23"/>
  <c r="J788" i="23"/>
  <c r="J788" i="31"/>
  <c r="J387" i="34"/>
  <c r="J792" i="30"/>
  <c r="J792" i="28"/>
  <c r="J796" i="25"/>
  <c r="J796" i="20"/>
  <c r="J796" i="21"/>
  <c r="J800" i="17"/>
  <c r="J800" i="29"/>
  <c r="J804" i="25"/>
  <c r="J804" i="36"/>
  <c r="J808" i="31"/>
  <c r="J808" i="28"/>
  <c r="J875" i="24"/>
  <c r="J883" i="29"/>
  <c r="J883" i="17"/>
  <c r="J883" i="87"/>
  <c r="J883" i="26"/>
  <c r="J891" i="26"/>
  <c r="J800" i="20"/>
  <c r="J808" i="26"/>
  <c r="J784" i="30"/>
  <c r="J796" i="35"/>
  <c r="J883" i="32"/>
  <c r="J883" i="33"/>
  <c r="J883" i="36"/>
  <c r="J891" i="24"/>
  <c r="J780" i="26"/>
  <c r="J780" i="33"/>
  <c r="J784" i="20"/>
  <c r="J784" i="19"/>
  <c r="J788" i="21"/>
  <c r="J780" i="28"/>
  <c r="J792" i="27"/>
  <c r="J792" i="19"/>
  <c r="J796" i="23"/>
  <c r="J796" i="19"/>
  <c r="J800" i="36"/>
  <c r="J800" i="35"/>
  <c r="J800" i="26"/>
  <c r="J804" i="24"/>
  <c r="J804" i="33"/>
  <c r="J808" i="30"/>
  <c r="J808" i="23"/>
  <c r="J808" i="19"/>
  <c r="J811" i="88"/>
  <c r="J875" i="33"/>
  <c r="J883" i="27"/>
  <c r="J883" i="18"/>
  <c r="J883" i="92"/>
  <c r="J883" i="24"/>
  <c r="J891" i="33"/>
  <c r="J933" i="18"/>
  <c r="J933" i="93"/>
  <c r="J933" i="90"/>
  <c r="J933" i="87"/>
  <c r="J933" i="88"/>
  <c r="J933" i="92"/>
  <c r="J933" i="91"/>
  <c r="J933" i="89"/>
  <c r="J933" i="86"/>
  <c r="J933" i="85"/>
  <c r="J933" i="81"/>
  <c r="J929" i="20"/>
  <c r="J929" i="18"/>
  <c r="J929" i="86"/>
  <c r="J929" i="90"/>
  <c r="J929" i="89"/>
  <c r="J929" i="88"/>
  <c r="J929" i="87"/>
  <c r="J929" i="85"/>
  <c r="J929" i="93"/>
  <c r="J929" i="92"/>
  <c r="J929" i="91"/>
  <c r="J929" i="81"/>
  <c r="J929" i="27"/>
  <c r="J929" i="17"/>
  <c r="J929" i="34"/>
  <c r="J925" i="18"/>
  <c r="J925" i="93"/>
  <c r="J925" i="88"/>
  <c r="J925" i="92"/>
  <c r="J925" i="87"/>
  <c r="J925" i="86"/>
  <c r="J925" i="90"/>
  <c r="J925" i="91"/>
  <c r="J925" i="89"/>
  <c r="J925" i="85"/>
  <c r="J925" i="81"/>
  <c r="J921" i="18"/>
  <c r="J921" i="92"/>
  <c r="J921" i="89"/>
  <c r="J921" i="87"/>
  <c r="J921" i="85"/>
  <c r="J921" i="93"/>
  <c r="J921" i="86"/>
  <c r="J921" i="91"/>
  <c r="J921" i="90"/>
  <c r="J921" i="88"/>
  <c r="J921" i="81"/>
  <c r="J921" i="36"/>
  <c r="J921" i="35"/>
  <c r="J921" i="21"/>
  <c r="J921" i="23"/>
  <c r="J917" i="18"/>
  <c r="J917" i="93"/>
  <c r="J917" i="90"/>
  <c r="J917" i="87"/>
  <c r="J917" i="88"/>
  <c r="J917" i="92"/>
  <c r="J917" i="91"/>
  <c r="J917" i="89"/>
  <c r="J917" i="86"/>
  <c r="J917" i="85"/>
  <c r="J917" i="81"/>
  <c r="J913" i="18"/>
  <c r="J913" i="86"/>
  <c r="J913" i="90"/>
  <c r="J913" i="89"/>
  <c r="J913" i="88"/>
  <c r="J913" i="87"/>
  <c r="J913" i="85"/>
  <c r="J913" i="93"/>
  <c r="J913" i="92"/>
  <c r="J913" i="91"/>
  <c r="J913" i="81"/>
  <c r="J913" i="17"/>
  <c r="J909" i="30"/>
  <c r="J909" i="9"/>
  <c r="J909" i="18"/>
  <c r="J909" i="93"/>
  <c r="J909" i="88"/>
  <c r="J909" i="92"/>
  <c r="J909" i="87"/>
  <c r="J909" i="86"/>
  <c r="J909" i="90"/>
  <c r="J909" i="91"/>
  <c r="J909" i="89"/>
  <c r="J909" i="85"/>
  <c r="J909" i="81"/>
  <c r="J909" i="17"/>
  <c r="J905" i="18"/>
  <c r="J905" i="92"/>
  <c r="J905" i="85"/>
  <c r="J905" i="89"/>
  <c r="J905" i="87"/>
  <c r="J905" i="93"/>
  <c r="J905" i="86"/>
  <c r="J905" i="91"/>
  <c r="J905" i="90"/>
  <c r="J905" i="88"/>
  <c r="J905" i="81"/>
  <c r="J891" i="35"/>
  <c r="J891" i="86"/>
  <c r="J891" i="88"/>
  <c r="J891" i="9"/>
  <c r="J891" i="18"/>
  <c r="J891" i="89"/>
  <c r="J891" i="87"/>
  <c r="J891" i="34"/>
  <c r="J891" i="27"/>
  <c r="J891" i="19"/>
  <c r="J891" i="81"/>
  <c r="J891" i="91"/>
  <c r="J891" i="90"/>
  <c r="J891" i="30"/>
  <c r="J891" i="20"/>
  <c r="J891" i="28"/>
  <c r="J891" i="32"/>
  <c r="J891" i="85"/>
  <c r="J891" i="92"/>
  <c r="J887" i="36"/>
  <c r="J887" i="21"/>
  <c r="J887" i="33"/>
  <c r="J887" i="35"/>
  <c r="J887" i="92"/>
  <c r="J887" i="23"/>
  <c r="J887" i="88"/>
  <c r="J887" i="26"/>
  <c r="J887" i="19"/>
  <c r="J887" i="24"/>
  <c r="J887" i="9"/>
  <c r="J887" i="18"/>
  <c r="J887" i="93"/>
  <c r="J887" i="89"/>
  <c r="J887" i="17"/>
  <c r="J887" i="29"/>
  <c r="J887" i="32"/>
  <c r="J887" i="27"/>
  <c r="J887" i="25"/>
  <c r="J887" i="81"/>
  <c r="J887" i="85"/>
  <c r="J887" i="90"/>
  <c r="J887" i="20"/>
  <c r="J887" i="30"/>
  <c r="J887" i="34"/>
  <c r="J887" i="31"/>
  <c r="J887" i="28"/>
  <c r="J887" i="91"/>
  <c r="J887" i="87"/>
  <c r="J879" i="27"/>
  <c r="J879" i="35"/>
  <c r="J879" i="25"/>
  <c r="J879" i="21"/>
  <c r="J879" i="90"/>
  <c r="J879" i="30"/>
  <c r="J879" i="28"/>
  <c r="J879" i="26"/>
  <c r="J879" i="19"/>
  <c r="J879" i="85"/>
  <c r="J879" i="32"/>
  <c r="J879" i="20"/>
  <c r="J879" i="36"/>
  <c r="J879" i="18"/>
  <c r="J879" i="91"/>
  <c r="J879" i="87"/>
  <c r="J879" i="33"/>
  <c r="J879" i="24"/>
  <c r="J879" i="9"/>
  <c r="J879" i="81"/>
  <c r="J879" i="86"/>
  <c r="J879" i="89"/>
  <c r="J879" i="23"/>
  <c r="J879" i="31"/>
  <c r="J879" i="34"/>
  <c r="J879" i="29"/>
  <c r="J879" i="17"/>
  <c r="J879" i="88"/>
  <c r="J879" i="93"/>
  <c r="J875" i="35"/>
  <c r="J875" i="86"/>
  <c r="J875" i="88"/>
  <c r="J875" i="25"/>
  <c r="J875" i="36"/>
  <c r="J875" i="28"/>
  <c r="J875" i="9"/>
  <c r="J875" i="18"/>
  <c r="J875" i="89"/>
  <c r="J875" i="87"/>
  <c r="J875" i="17"/>
  <c r="J875" i="26"/>
  <c r="J875" i="20"/>
  <c r="J875" i="29"/>
  <c r="J875" i="19"/>
  <c r="J875" i="81"/>
  <c r="J875" i="91"/>
  <c r="J875" i="90"/>
  <c r="J875" i="21"/>
  <c r="J875" i="30"/>
  <c r="J875" i="23"/>
  <c r="J875" i="31"/>
  <c r="J875" i="32"/>
  <c r="J875" i="85"/>
  <c r="J875" i="92"/>
  <c r="J867" i="9"/>
  <c r="J867" i="26"/>
  <c r="J867" i="34"/>
  <c r="J867" i="27"/>
  <c r="J867" i="30"/>
  <c r="J867" i="25"/>
  <c r="J867" i="32"/>
  <c r="J867" i="21"/>
  <c r="J867" i="36"/>
  <c r="J867" i="33"/>
  <c r="J867" i="89"/>
  <c r="J867" i="24"/>
  <c r="J867" i="28"/>
  <c r="J867" i="23"/>
  <c r="J867" i="87"/>
  <c r="J867" i="18"/>
  <c r="J867" i="91"/>
  <c r="J867" i="92"/>
  <c r="J867" i="35"/>
  <c r="J867" i="19"/>
  <c r="J867" i="29"/>
  <c r="J867" i="81"/>
  <c r="J867" i="90"/>
  <c r="J867" i="88"/>
  <c r="J867" i="17"/>
  <c r="J867" i="20"/>
  <c r="J867" i="31"/>
  <c r="J867" i="85"/>
  <c r="J867" i="86"/>
  <c r="J863" i="18"/>
  <c r="J863" i="92"/>
  <c r="J863" i="89"/>
  <c r="J863" i="87"/>
  <c r="J863" i="85"/>
  <c r="J863" i="93"/>
  <c r="J863" i="86"/>
  <c r="J863" i="91"/>
  <c r="J863" i="90"/>
  <c r="J863" i="88"/>
  <c r="J863" i="81"/>
  <c r="J859" i="18"/>
  <c r="J859" i="93"/>
  <c r="J859" i="90"/>
  <c r="J859" i="87"/>
  <c r="J859" i="88"/>
  <c r="J859" i="92"/>
  <c r="J859" i="91"/>
  <c r="J859" i="89"/>
  <c r="J859" i="86"/>
  <c r="J859" i="85"/>
  <c r="J859" i="81"/>
  <c r="J855" i="20"/>
  <c r="J855" i="86"/>
  <c r="J855" i="90"/>
  <c r="J855" i="89"/>
  <c r="J855" i="88"/>
  <c r="J855" i="87"/>
  <c r="J855" i="85"/>
  <c r="J855" i="93"/>
  <c r="J855" i="92"/>
  <c r="J855" i="91"/>
  <c r="J855" i="81"/>
  <c r="J851" i="18"/>
  <c r="J851" i="93"/>
  <c r="J851" i="88"/>
  <c r="J851" i="92"/>
  <c r="J851" i="87"/>
  <c r="J851" i="86"/>
  <c r="J851" i="90"/>
  <c r="J851" i="91"/>
  <c r="J851" i="89"/>
  <c r="J851" i="85"/>
  <c r="J851" i="81"/>
  <c r="J847" i="18"/>
  <c r="J847" i="92"/>
  <c r="J847" i="89"/>
  <c r="J847" i="87"/>
  <c r="J847" i="93"/>
  <c r="J847" i="86"/>
  <c r="J847" i="91"/>
  <c r="J847" i="90"/>
  <c r="J847" i="88"/>
  <c r="J847" i="85"/>
  <c r="J847" i="81"/>
  <c r="J843" i="18"/>
  <c r="J843" i="93"/>
  <c r="J843" i="90"/>
  <c r="J843" i="87"/>
  <c r="J843" i="88"/>
  <c r="J843" i="92"/>
  <c r="J843" i="91"/>
  <c r="J843" i="89"/>
  <c r="J843" i="86"/>
  <c r="J843" i="85"/>
  <c r="J843" i="81"/>
  <c r="J839" i="20"/>
  <c r="J839" i="86"/>
  <c r="J839" i="90"/>
  <c r="J839" i="89"/>
  <c r="J839" i="88"/>
  <c r="J839" i="87"/>
  <c r="J839" i="85"/>
  <c r="J839" i="93"/>
  <c r="J839" i="92"/>
  <c r="J839" i="91"/>
  <c r="J839" i="81"/>
  <c r="J835" i="18"/>
  <c r="J835" i="93"/>
  <c r="J835" i="88"/>
  <c r="J835" i="92"/>
  <c r="J835" i="87"/>
  <c r="J835" i="86"/>
  <c r="J835" i="90"/>
  <c r="J835" i="91"/>
  <c r="J835" i="89"/>
  <c r="J835" i="85"/>
  <c r="J835" i="81"/>
  <c r="J811" i="81"/>
  <c r="J811" i="89"/>
  <c r="J811" i="92"/>
  <c r="J387" i="32"/>
  <c r="J273" i="91"/>
  <c r="J273" i="89"/>
  <c r="J273" i="87"/>
  <c r="J273" i="86"/>
  <c r="J273" i="85"/>
  <c r="J273" i="93"/>
  <c r="J273" i="92"/>
  <c r="J273" i="90"/>
  <c r="J273" i="88"/>
  <c r="J273" i="81"/>
  <c r="J387" i="28"/>
  <c r="J387" i="33"/>
  <c r="J808" i="33"/>
  <c r="J800" i="33"/>
  <c r="J788" i="35"/>
  <c r="J933" i="28"/>
  <c r="J933" i="27"/>
  <c r="J933" i="34"/>
  <c r="J933" i="23"/>
  <c r="J933" i="20"/>
  <c r="J933" i="26"/>
  <c r="J933" i="29"/>
  <c r="J933" i="25"/>
  <c r="J933" i="9"/>
  <c r="J933" i="35"/>
  <c r="J933" i="30"/>
  <c r="J933" i="32"/>
  <c r="J933" i="17"/>
  <c r="J933" i="36"/>
  <c r="J933" i="19"/>
  <c r="J933" i="31"/>
  <c r="J933" i="33"/>
  <c r="J933" i="24"/>
  <c r="J929" i="21"/>
  <c r="J929" i="23"/>
  <c r="J929" i="30"/>
  <c r="J929" i="28"/>
  <c r="J929" i="9"/>
  <c r="J929" i="32"/>
  <c r="J929" i="24"/>
  <c r="J929" i="33"/>
  <c r="J929" i="29"/>
  <c r="J929" i="19"/>
  <c r="J929" i="35"/>
  <c r="J929" i="25"/>
  <c r="J929" i="36"/>
  <c r="J929" i="31"/>
  <c r="J925" i="33"/>
  <c r="J925" i="32"/>
  <c r="J925" i="20"/>
  <c r="J925" i="27"/>
  <c r="J925" i="21"/>
  <c r="J925" i="17"/>
  <c r="J925" i="30"/>
  <c r="J925" i="34"/>
  <c r="J925" i="31"/>
  <c r="J925" i="25"/>
  <c r="J925" i="19"/>
  <c r="J925" i="35"/>
  <c r="J925" i="9"/>
  <c r="J925" i="36"/>
  <c r="J925" i="28"/>
  <c r="J925" i="26"/>
  <c r="J925" i="23"/>
  <c r="J925" i="24"/>
  <c r="J921" i="27"/>
  <c r="J921" i="24"/>
  <c r="J921" i="17"/>
  <c r="J921" i="9"/>
  <c r="J921" i="25"/>
  <c r="J921" i="29"/>
  <c r="J921" i="26"/>
  <c r="J921" i="28"/>
  <c r="J921" i="19"/>
  <c r="J921" i="33"/>
  <c r="J921" i="31"/>
  <c r="J921" i="30"/>
  <c r="J921" i="34"/>
  <c r="J921" i="20"/>
  <c r="J917" i="27"/>
  <c r="J917" i="33"/>
  <c r="J917" i="32"/>
  <c r="J917" i="29"/>
  <c r="J917" i="21"/>
  <c r="J917" i="34"/>
  <c r="J917" i="30"/>
  <c r="J917" i="9"/>
  <c r="J917" i="35"/>
  <c r="J917" i="23"/>
  <c r="J917" i="19"/>
  <c r="J917" i="31"/>
  <c r="J917" i="17"/>
  <c r="J917" i="36"/>
  <c r="J917" i="28"/>
  <c r="J917" i="26"/>
  <c r="J917" i="25"/>
  <c r="J917" i="24"/>
  <c r="J913" i="20"/>
  <c r="J913" i="27"/>
  <c r="J913" i="34"/>
  <c r="J913" i="26"/>
  <c r="J913" i="21"/>
  <c r="J913" i="23"/>
  <c r="J913" i="30"/>
  <c r="J913" i="28"/>
  <c r="J913" i="9"/>
  <c r="J913" i="32"/>
  <c r="J913" i="24"/>
  <c r="J913" i="33"/>
  <c r="J913" i="29"/>
  <c r="J913" i="19"/>
  <c r="J913" i="35"/>
  <c r="J913" i="25"/>
  <c r="J913" i="36"/>
  <c r="J913" i="31"/>
  <c r="J909" i="20"/>
  <c r="J909" i="33"/>
  <c r="J909" i="19"/>
  <c r="J909" i="35"/>
  <c r="J909" i="32"/>
  <c r="J909" i="21"/>
  <c r="J909" i="24"/>
  <c r="J909" i="26"/>
  <c r="J909" i="31"/>
  <c r="J909" i="34"/>
  <c r="J909" i="25"/>
  <c r="J909" i="27"/>
  <c r="J909" i="29"/>
  <c r="J909" i="36"/>
  <c r="J905" i="25"/>
  <c r="J905" i="29"/>
  <c r="J905" i="26"/>
  <c r="J905" i="9"/>
  <c r="J905" i="28"/>
  <c r="J905" i="19"/>
  <c r="J905" i="33"/>
  <c r="J905" i="31"/>
  <c r="J905" i="30"/>
  <c r="J905" i="34"/>
  <c r="J905" i="20"/>
  <c r="J905" i="21"/>
  <c r="J905" i="32"/>
  <c r="J905" i="36"/>
  <c r="J905" i="35"/>
  <c r="J905" i="23"/>
  <c r="J905" i="27"/>
  <c r="J905" i="24"/>
  <c r="J905" i="17"/>
  <c r="J859" i="29"/>
  <c r="J859" i="25"/>
  <c r="J859" i="9"/>
  <c r="J859" i="35"/>
  <c r="J863" i="34"/>
  <c r="J863" i="23"/>
  <c r="J863" i="9"/>
  <c r="J863" i="24"/>
  <c r="J863" i="30"/>
  <c r="J863" i="29"/>
  <c r="J863" i="19"/>
  <c r="J863" i="28"/>
  <c r="J863" i="31"/>
  <c r="J863" i="17"/>
  <c r="J863" i="32"/>
  <c r="J863" i="20"/>
  <c r="J863" i="35"/>
  <c r="J863" i="26"/>
  <c r="J863" i="25"/>
  <c r="J863" i="33"/>
  <c r="J863" i="21"/>
  <c r="J863" i="36"/>
  <c r="J863" i="27"/>
  <c r="J859" i="36"/>
  <c r="J859" i="28"/>
  <c r="J859" i="32"/>
  <c r="J859" i="21"/>
  <c r="J859" i="24"/>
  <c r="J859" i="33"/>
  <c r="J859" i="27"/>
  <c r="J859" i="30"/>
  <c r="J859" i="23"/>
  <c r="J859" i="34"/>
  <c r="J859" i="31"/>
  <c r="J859" i="17"/>
  <c r="J859" i="26"/>
  <c r="J859" i="19"/>
  <c r="J859" i="20"/>
  <c r="J855" i="19"/>
  <c r="J855" i="32"/>
  <c r="J855" i="28"/>
  <c r="J855" i="29"/>
  <c r="J855" i="23"/>
  <c r="J855" i="24"/>
  <c r="J855" i="34"/>
  <c r="J855" i="36"/>
  <c r="J855" i="30"/>
  <c r="J855" i="35"/>
  <c r="J855" i="27"/>
  <c r="J855" i="21"/>
  <c r="J855" i="9"/>
  <c r="J855" i="33"/>
  <c r="J855" i="18"/>
  <c r="J855" i="17"/>
  <c r="J855" i="31"/>
  <c r="J855" i="25"/>
  <c r="J855" i="26"/>
  <c r="J851" i="17"/>
  <c r="J851" i="31"/>
  <c r="J851" i="20"/>
  <c r="J851" i="23"/>
  <c r="J851" i="32"/>
  <c r="J851" i="25"/>
  <c r="J851" i="21"/>
  <c r="J851" i="33"/>
  <c r="J851" i="24"/>
  <c r="J851" i="28"/>
  <c r="J851" i="34"/>
  <c r="J851" i="27"/>
  <c r="J851" i="9"/>
  <c r="J851" i="26"/>
  <c r="J851" i="36"/>
  <c r="J851" i="35"/>
  <c r="J851" i="29"/>
  <c r="J851" i="19"/>
  <c r="J851" i="30"/>
  <c r="J847" i="34"/>
  <c r="J847" i="9"/>
  <c r="J847" i="24"/>
  <c r="J847" i="17"/>
  <c r="J847" i="30"/>
  <c r="J847" i="23"/>
  <c r="J847" i="29"/>
  <c r="J847" i="19"/>
  <c r="J847" i="28"/>
  <c r="J847" i="31"/>
  <c r="J847" i="32"/>
  <c r="J847" i="20"/>
  <c r="J847" i="35"/>
  <c r="J847" i="26"/>
  <c r="J847" i="25"/>
  <c r="J847" i="33"/>
  <c r="J847" i="21"/>
  <c r="J847" i="36"/>
  <c r="J847" i="27"/>
  <c r="J843" i="29"/>
  <c r="J843" i="35"/>
  <c r="J843" i="25"/>
  <c r="J843" i="9"/>
  <c r="J843" i="36"/>
  <c r="J843" i="28"/>
  <c r="J843" i="32"/>
  <c r="J843" i="21"/>
  <c r="J843" i="24"/>
  <c r="J843" i="33"/>
  <c r="J843" i="27"/>
  <c r="J843" i="30"/>
  <c r="J843" i="23"/>
  <c r="J843" i="34"/>
  <c r="J843" i="31"/>
  <c r="J843" i="17"/>
  <c r="J843" i="26"/>
  <c r="J843" i="19"/>
  <c r="J843" i="20"/>
  <c r="J839" i="24"/>
  <c r="J839" i="34"/>
  <c r="J839" i="28"/>
  <c r="J839" i="29"/>
  <c r="J839" i="23"/>
  <c r="J839" i="27"/>
  <c r="J839" i="17"/>
  <c r="J839" i="36"/>
  <c r="J839" i="30"/>
  <c r="J839" i="35"/>
  <c r="J839" i="31"/>
  <c r="J839" i="21"/>
  <c r="J839" i="9"/>
  <c r="J839" i="33"/>
  <c r="J839" i="18"/>
  <c r="J839" i="19"/>
  <c r="J839" i="32"/>
  <c r="J839" i="25"/>
  <c r="J839" i="26"/>
  <c r="J835" i="17"/>
  <c r="J835" i="31"/>
  <c r="J835" i="20"/>
  <c r="J835" i="23"/>
  <c r="J835" i="32"/>
  <c r="J835" i="25"/>
  <c r="J835" i="21"/>
  <c r="J835" i="33"/>
  <c r="J835" i="24"/>
  <c r="J835" i="28"/>
  <c r="J835" i="34"/>
  <c r="J835" i="27"/>
  <c r="J835" i="9"/>
  <c r="J835" i="26"/>
  <c r="J835" i="36"/>
  <c r="J835" i="35"/>
  <c r="J835" i="29"/>
  <c r="J835" i="19"/>
  <c r="J835" i="30"/>
  <c r="J811" i="18"/>
  <c r="J349" i="30"/>
  <c r="J349" i="20"/>
  <c r="J776" i="9"/>
  <c r="J820" i="18"/>
  <c r="J349" i="36"/>
  <c r="J349" i="35"/>
  <c r="J349" i="33"/>
  <c r="J163" i="31"/>
  <c r="J165" i="31" s="1"/>
  <c r="J178" i="31" s="1"/>
  <c r="J349" i="31"/>
  <c r="J273" i="18"/>
  <c r="J273" i="36"/>
  <c r="J273" i="35"/>
  <c r="J274" i="35" s="1"/>
  <c r="J273" i="27"/>
  <c r="J274" i="27" s="1"/>
  <c r="J273" i="23"/>
  <c r="J274" i="23" s="1"/>
  <c r="J275" i="23" s="1"/>
  <c r="J288" i="23" s="1"/>
  <c r="J273" i="20"/>
  <c r="J274" i="20" s="1"/>
  <c r="J273" i="31"/>
  <c r="J274" i="31" s="1"/>
  <c r="J275" i="31" s="1"/>
  <c r="J288" i="31" s="1"/>
  <c r="J273" i="29"/>
  <c r="J274" i="29" s="1"/>
  <c r="J273" i="26"/>
  <c r="J274" i="26" s="1"/>
  <c r="J273" i="24"/>
  <c r="J274" i="24" s="1"/>
  <c r="J273" i="21"/>
  <c r="J274" i="21" s="1"/>
  <c r="J273" i="17"/>
  <c r="J274" i="17" s="1"/>
  <c r="J273" i="9"/>
  <c r="J274" i="9" s="1"/>
  <c r="J273" i="34"/>
  <c r="J274" i="34" s="1"/>
  <c r="J273" i="33"/>
  <c r="J274" i="33" s="1"/>
  <c r="J273" i="32"/>
  <c r="J274" i="32" s="1"/>
  <c r="J273" i="30"/>
  <c r="J274" i="30" s="1"/>
  <c r="J273" i="28"/>
  <c r="J274" i="28" s="1"/>
  <c r="J273" i="25"/>
  <c r="J274" i="25" s="1"/>
  <c r="J273" i="19"/>
  <c r="J274" i="19" s="1"/>
  <c r="J387" i="36"/>
  <c r="J374" i="20"/>
  <c r="J375" i="20" s="1"/>
  <c r="J387" i="20" s="1"/>
  <c r="J387" i="27"/>
  <c r="J387" i="31"/>
  <c r="J421" i="31" s="1"/>
  <c r="J314" i="35"/>
  <c r="J315" i="35" s="1"/>
  <c r="J326" i="35" s="1"/>
  <c r="J549" i="31"/>
  <c r="J562" i="31" s="1"/>
  <c r="J205" i="20"/>
  <c r="J218" i="20" s="1"/>
  <c r="J246" i="17"/>
  <c r="J259" i="17" s="1"/>
  <c r="J622" i="27"/>
  <c r="J635" i="27" s="1"/>
  <c r="J246" i="23"/>
  <c r="J259" i="23" s="1"/>
  <c r="J549" i="20"/>
  <c r="J562" i="20" s="1"/>
  <c r="J185" i="17"/>
  <c r="J198" i="17" s="1"/>
  <c r="J549" i="19"/>
  <c r="J562" i="19" s="1"/>
  <c r="J549" i="21"/>
  <c r="J562" i="21" s="1"/>
  <c r="J205" i="34"/>
  <c r="J218" i="34" s="1"/>
  <c r="J345" i="19"/>
  <c r="J349" i="19" s="1"/>
  <c r="J345" i="25"/>
  <c r="J349" i="25" s="1"/>
  <c r="J345" i="29"/>
  <c r="J349" i="29" s="1"/>
  <c r="J163" i="20"/>
  <c r="J93" i="30"/>
  <c r="J663" i="33"/>
  <c r="J46" i="36"/>
  <c r="J59" i="36" s="1"/>
  <c r="J144" i="17"/>
  <c r="J157" i="17" s="1"/>
  <c r="J144" i="27"/>
  <c r="J157" i="27" s="1"/>
  <c r="J144" i="34"/>
  <c r="J157" i="34" s="1"/>
  <c r="J46" i="30"/>
  <c r="J246" i="27"/>
  <c r="J259" i="27" s="1"/>
  <c r="J572" i="33"/>
  <c r="J585" i="33" s="1"/>
  <c r="J345" i="34"/>
  <c r="J349" i="34" s="1"/>
  <c r="J46" i="35"/>
  <c r="J59" i="35" s="1"/>
  <c r="J65" i="36"/>
  <c r="J78" i="36" s="1"/>
  <c r="J144" i="31"/>
  <c r="J157" i="31" s="1"/>
  <c r="J144" i="35"/>
  <c r="J157" i="35" s="1"/>
  <c r="J666" i="19"/>
  <c r="J679" i="19" s="1"/>
  <c r="J572" i="27"/>
  <c r="J585" i="27" s="1"/>
  <c r="J205" i="23"/>
  <c r="J218" i="23" s="1"/>
  <c r="J246" i="20"/>
  <c r="J259" i="20" s="1"/>
  <c r="J549" i="35"/>
  <c r="J562" i="35" s="1"/>
  <c r="J185" i="36"/>
  <c r="J198" i="36" s="1"/>
  <c r="J572" i="31"/>
  <c r="J585" i="31" s="1"/>
  <c r="J666" i="31"/>
  <c r="J679" i="31" s="1"/>
  <c r="J65" i="27"/>
  <c r="J78" i="27" s="1"/>
  <c r="J549" i="17"/>
  <c r="J562" i="17" s="1"/>
  <c r="J345" i="17"/>
  <c r="J349" i="17" s="1"/>
  <c r="J345" i="21"/>
  <c r="J349" i="21" s="1"/>
  <c r="J345" i="24"/>
  <c r="J349" i="24" s="1"/>
  <c r="J345" i="26"/>
  <c r="J349" i="26" s="1"/>
  <c r="J345" i="28"/>
  <c r="J349" i="28" s="1"/>
  <c r="J345" i="32"/>
  <c r="J349" i="32" s="1"/>
  <c r="J142" i="24"/>
  <c r="J46" i="33"/>
  <c r="J59" i="33" s="1"/>
  <c r="J65" i="35"/>
  <c r="J78" i="35" s="1"/>
  <c r="J142" i="36"/>
  <c r="J144" i="36" s="1"/>
  <c r="J157" i="36" s="1"/>
  <c r="J572" i="34"/>
  <c r="J585" i="34" s="1"/>
  <c r="J103" i="20"/>
  <c r="J116" i="20" s="1"/>
  <c r="J46" i="27"/>
  <c r="J59" i="27" s="1"/>
  <c r="J224" i="36"/>
  <c r="J165" i="23"/>
  <c r="J178" i="23" s="1"/>
  <c r="J144" i="32"/>
  <c r="J157" i="32" s="1"/>
  <c r="J261" i="32" s="1"/>
  <c r="J784" i="9"/>
  <c r="J165" i="33"/>
  <c r="J178" i="33" s="1"/>
  <c r="J261" i="33" s="1"/>
  <c r="J224" i="20"/>
  <c r="J144" i="20"/>
  <c r="J157" i="20" s="1"/>
  <c r="J165" i="17"/>
  <c r="J178" i="17" s="1"/>
  <c r="J163" i="36"/>
  <c r="J103" i="36"/>
  <c r="J116" i="36" s="1"/>
  <c r="J84" i="36"/>
  <c r="J97" i="36" s="1"/>
  <c r="J163" i="35"/>
  <c r="J46" i="34"/>
  <c r="J59" i="34" s="1"/>
  <c r="J133" i="34" s="1"/>
  <c r="J27" i="33"/>
  <c r="J40" i="33" s="1"/>
  <c r="J46" i="31"/>
  <c r="J59" i="31" s="1"/>
  <c r="J133" i="31" s="1"/>
  <c r="J142" i="30"/>
  <c r="J84" i="30"/>
  <c r="J84" i="24"/>
  <c r="J97" i="24" s="1"/>
  <c r="J133" i="24" s="1"/>
  <c r="J46" i="20"/>
  <c r="J59" i="20" s="1"/>
  <c r="J65" i="20"/>
  <c r="J78" i="20" s="1"/>
  <c r="J539" i="36"/>
  <c r="J679" i="36"/>
  <c r="J356" i="35"/>
  <c r="J367" i="35" s="1"/>
  <c r="J539" i="34"/>
  <c r="J326" i="34"/>
  <c r="J326" i="33"/>
  <c r="J562" i="32"/>
  <c r="J679" i="30"/>
  <c r="J585" i="29"/>
  <c r="J635" i="29"/>
  <c r="J326" i="29"/>
  <c r="J539" i="28"/>
  <c r="J679" i="28"/>
  <c r="J326" i="28"/>
  <c r="J539" i="27"/>
  <c r="J679" i="26"/>
  <c r="J326" i="26"/>
  <c r="J679" i="25"/>
  <c r="J681" i="25" s="1"/>
  <c r="J326" i="25"/>
  <c r="J539" i="25"/>
  <c r="J585" i="24"/>
  <c r="J326" i="24"/>
  <c r="J679" i="23"/>
  <c r="J326" i="21"/>
  <c r="J635" i="20"/>
  <c r="J585" i="19"/>
  <c r="J326" i="19"/>
  <c r="J679" i="17"/>
  <c r="J635" i="17"/>
  <c r="J345" i="9"/>
  <c r="J349" i="9" s="1"/>
  <c r="J780" i="9"/>
  <c r="J788" i="9"/>
  <c r="J539" i="9"/>
  <c r="J326" i="9"/>
  <c r="J261" i="28"/>
  <c r="J133" i="25"/>
  <c r="J539" i="35"/>
  <c r="J133" i="32"/>
  <c r="J261" i="26"/>
  <c r="J261" i="25"/>
  <c r="J261" i="21"/>
  <c r="J539" i="20"/>
  <c r="J539" i="31"/>
  <c r="J133" i="28"/>
  <c r="J133" i="26"/>
  <c r="J133" i="23"/>
  <c r="J133" i="21"/>
  <c r="J539" i="19"/>
  <c r="J133" i="17"/>
  <c r="J681" i="9"/>
  <c r="J261" i="9"/>
  <c r="J133" i="9"/>
  <c r="J133" i="29"/>
  <c r="J261" i="29"/>
  <c r="J133" i="19"/>
  <c r="J261" i="19"/>
  <c r="J218" i="30"/>
  <c r="J163" i="27"/>
  <c r="J562" i="27"/>
  <c r="J259" i="30"/>
  <c r="J558" i="30"/>
  <c r="J549" i="30"/>
  <c r="J178" i="30"/>
  <c r="J539" i="30"/>
  <c r="J55" i="30"/>
  <c r="J153" i="30"/>
  <c r="J635" i="30"/>
  <c r="J572" i="30"/>
  <c r="J635" i="31"/>
  <c r="J271" i="36"/>
  <c r="J549" i="36"/>
  <c r="J205" i="36"/>
  <c r="J218" i="36" s="1"/>
  <c r="J246" i="36"/>
  <c r="J259" i="36" s="1"/>
  <c r="J246" i="35"/>
  <c r="J259" i="35" s="1"/>
  <c r="J811" i="25" l="1"/>
  <c r="J811" i="35"/>
  <c r="J811" i="21"/>
  <c r="J811" i="29"/>
  <c r="J133" i="27"/>
  <c r="J59" i="30"/>
  <c r="J936" i="93"/>
  <c r="J133" i="33"/>
  <c r="J275" i="26"/>
  <c r="J288" i="26" s="1"/>
  <c r="J421" i="26" s="1"/>
  <c r="J133" i="20"/>
  <c r="J811" i="19"/>
  <c r="J811" i="30"/>
  <c r="J811" i="24"/>
  <c r="J133" i="35"/>
  <c r="J133" i="36"/>
  <c r="J894" i="18"/>
  <c r="J952" i="18" s="1"/>
  <c r="J936" i="18"/>
  <c r="J811" i="33"/>
  <c r="J811" i="23"/>
  <c r="J811" i="26"/>
  <c r="J811" i="28"/>
  <c r="J811" i="27"/>
  <c r="J811" i="36"/>
  <c r="J811" i="32"/>
  <c r="J811" i="17"/>
  <c r="J894" i="81"/>
  <c r="J952" i="81" s="1"/>
  <c r="J274" i="36"/>
  <c r="J97" i="30"/>
  <c r="J275" i="24"/>
  <c r="J288" i="24" s="1"/>
  <c r="J421" i="24" s="1"/>
  <c r="J275" i="27"/>
  <c r="J288" i="27" s="1"/>
  <c r="J421" i="27" s="1"/>
  <c r="J894" i="90"/>
  <c r="J952" i="90" s="1"/>
  <c r="J275" i="9"/>
  <c r="J288" i="9" s="1"/>
  <c r="J421" i="9" s="1"/>
  <c r="J936" i="34"/>
  <c r="J275" i="17"/>
  <c r="J288" i="17" s="1"/>
  <c r="J894" i="86"/>
  <c r="J952" i="86" s="1"/>
  <c r="J894" i="88"/>
  <c r="J952" i="88" s="1"/>
  <c r="J894" i="85"/>
  <c r="J952" i="85" s="1"/>
  <c r="J936" i="86"/>
  <c r="J936" i="19"/>
  <c r="J936" i="87"/>
  <c r="J936" i="90"/>
  <c r="J936" i="88"/>
  <c r="J936" i="30"/>
  <c r="J936" i="26"/>
  <c r="J936" i="17"/>
  <c r="J936" i="81"/>
  <c r="J936" i="27"/>
  <c r="J936" i="91"/>
  <c r="J936" i="92"/>
  <c r="J936" i="28"/>
  <c r="J936" i="35"/>
  <c r="J936" i="23"/>
  <c r="J936" i="85"/>
  <c r="J936" i="21"/>
  <c r="J936" i="89"/>
  <c r="J894" i="93"/>
  <c r="J894" i="89"/>
  <c r="J952" i="89" s="1"/>
  <c r="J894" i="87"/>
  <c r="J952" i="87" s="1"/>
  <c r="J894" i="91"/>
  <c r="J894" i="92"/>
  <c r="J274" i="85"/>
  <c r="J275" i="85" s="1"/>
  <c r="J288" i="85" s="1"/>
  <c r="J421" i="85" s="1"/>
  <c r="J274" i="81"/>
  <c r="J275" i="81" s="1"/>
  <c r="J288" i="81" s="1"/>
  <c r="J421" i="81" s="1"/>
  <c r="J274" i="93"/>
  <c r="J275" i="93" s="1"/>
  <c r="J288" i="93" s="1"/>
  <c r="J421" i="93" s="1"/>
  <c r="J274" i="89"/>
  <c r="J275" i="89" s="1"/>
  <c r="J288" i="89" s="1"/>
  <c r="J421" i="89" s="1"/>
  <c r="J274" i="88"/>
  <c r="J275" i="88" s="1"/>
  <c r="J288" i="88" s="1"/>
  <c r="J421" i="88" s="1"/>
  <c r="J274" i="90"/>
  <c r="J275" i="90" s="1"/>
  <c r="J288" i="90" s="1"/>
  <c r="J421" i="90" s="1"/>
  <c r="J274" i="86"/>
  <c r="J275" i="86" s="1"/>
  <c r="J288" i="86" s="1"/>
  <c r="J421" i="86" s="1"/>
  <c r="J274" i="91"/>
  <c r="J275" i="91" s="1"/>
  <c r="J288" i="91" s="1"/>
  <c r="J421" i="91" s="1"/>
  <c r="J275" i="35"/>
  <c r="J288" i="35" s="1"/>
  <c r="J421" i="35" s="1"/>
  <c r="J275" i="34"/>
  <c r="J288" i="34" s="1"/>
  <c r="J421" i="34" s="1"/>
  <c r="J275" i="20"/>
  <c r="J288" i="20" s="1"/>
  <c r="J421" i="20" s="1"/>
  <c r="J274" i="92"/>
  <c r="J275" i="92" s="1"/>
  <c r="J288" i="92" s="1"/>
  <c r="J421" i="92" s="1"/>
  <c r="J274" i="87"/>
  <c r="J275" i="87" s="1"/>
  <c r="J288" i="87" s="1"/>
  <c r="J421" i="87" s="1"/>
  <c r="J936" i="31"/>
  <c r="J936" i="9"/>
  <c r="J936" i="20"/>
  <c r="J936" i="33"/>
  <c r="J936" i="32"/>
  <c r="J936" i="25"/>
  <c r="J936" i="24"/>
  <c r="J936" i="36"/>
  <c r="J936" i="29"/>
  <c r="J261" i="34"/>
  <c r="J894" i="17"/>
  <c r="J894" i="31"/>
  <c r="J894" i="32"/>
  <c r="J894" i="23"/>
  <c r="J894" i="20"/>
  <c r="J894" i="19"/>
  <c r="J894" i="26"/>
  <c r="J894" i="28"/>
  <c r="J894" i="29"/>
  <c r="J894" i="9"/>
  <c r="J894" i="24"/>
  <c r="J894" i="35"/>
  <c r="J894" i="27"/>
  <c r="J894" i="33"/>
  <c r="J894" i="30"/>
  <c r="J894" i="36"/>
  <c r="J894" i="34"/>
  <c r="J894" i="21"/>
  <c r="J894" i="25"/>
  <c r="J261" i="31"/>
  <c r="J421" i="17"/>
  <c r="J275" i="21"/>
  <c r="J288" i="21" s="1"/>
  <c r="J421" i="21" s="1"/>
  <c r="J275" i="19"/>
  <c r="J288" i="19" s="1"/>
  <c r="J421" i="19" s="1"/>
  <c r="J275" i="29"/>
  <c r="J288" i="29" s="1"/>
  <c r="J421" i="29" s="1"/>
  <c r="J275" i="30"/>
  <c r="J288" i="30" s="1"/>
  <c r="J421" i="30" s="1"/>
  <c r="J275" i="32"/>
  <c r="J288" i="32" s="1"/>
  <c r="J421" i="32" s="1"/>
  <c r="J261" i="23"/>
  <c r="J275" i="28"/>
  <c r="J288" i="28" s="1"/>
  <c r="J421" i="28" s="1"/>
  <c r="J275" i="25"/>
  <c r="J288" i="25" s="1"/>
  <c r="J421" i="25" s="1"/>
  <c r="J275" i="33"/>
  <c r="J288" i="33" s="1"/>
  <c r="J421" i="33" s="1"/>
  <c r="J274" i="18"/>
  <c r="J275" i="18" s="1"/>
  <c r="J288" i="18" s="1"/>
  <c r="J421" i="18" s="1"/>
  <c r="J226" i="36"/>
  <c r="J239" i="36" s="1"/>
  <c r="J666" i="33"/>
  <c r="J679" i="33" s="1"/>
  <c r="J681" i="33" s="1"/>
  <c r="J165" i="27"/>
  <c r="J178" i="27" s="1"/>
  <c r="J261" i="27" s="1"/>
  <c r="J144" i="30"/>
  <c r="J157" i="30" s="1"/>
  <c r="J261" i="30" s="1"/>
  <c r="J261" i="17"/>
  <c r="J165" i="20"/>
  <c r="J178" i="20" s="1"/>
  <c r="J226" i="20"/>
  <c r="J239" i="20" s="1"/>
  <c r="J144" i="24"/>
  <c r="J157" i="24" s="1"/>
  <c r="J261" i="24" s="1"/>
  <c r="J165" i="36"/>
  <c r="J178" i="36" s="1"/>
  <c r="J165" i="35"/>
  <c r="J178" i="35" s="1"/>
  <c r="J261" i="35" s="1"/>
  <c r="J562" i="36"/>
  <c r="J681" i="35"/>
  <c r="J681" i="34"/>
  <c r="J681" i="32"/>
  <c r="J681" i="29"/>
  <c r="J681" i="28"/>
  <c r="J681" i="26"/>
  <c r="J681" i="24"/>
  <c r="J421" i="23"/>
  <c r="J681" i="23"/>
  <c r="J681" i="21"/>
  <c r="J681" i="20"/>
  <c r="J681" i="19"/>
  <c r="J681" i="17"/>
  <c r="J811" i="9"/>
  <c r="J811" i="34"/>
  <c r="J690" i="25"/>
  <c r="J811" i="31"/>
  <c r="J811" i="20"/>
  <c r="J690" i="9"/>
  <c r="J681" i="27"/>
  <c r="J562" i="30"/>
  <c r="J585" i="30"/>
  <c r="J681" i="31"/>
  <c r="J275" i="36"/>
  <c r="J288" i="36" s="1"/>
  <c r="J942" i="93" l="1"/>
  <c r="J942" i="18"/>
  <c r="J942" i="85"/>
  <c r="J952" i="93"/>
  <c r="J942" i="87"/>
  <c r="J942" i="81"/>
  <c r="J942" i="86"/>
  <c r="J942" i="88"/>
  <c r="J133" i="30"/>
  <c r="J942" i="91"/>
  <c r="J687" i="85"/>
  <c r="J700" i="85" s="1"/>
  <c r="J817" i="85" s="1"/>
  <c r="J693" i="85"/>
  <c r="J706" i="85" s="1"/>
  <c r="J823" i="85" s="1"/>
  <c r="J955" i="85" s="1"/>
  <c r="J942" i="90"/>
  <c r="J942" i="89"/>
  <c r="J942" i="92"/>
  <c r="J952" i="91"/>
  <c r="J952" i="92"/>
  <c r="J942" i="32"/>
  <c r="J693" i="93"/>
  <c r="J706" i="93" s="1"/>
  <c r="J823" i="93" s="1"/>
  <c r="J955" i="93" s="1"/>
  <c r="J687" i="93"/>
  <c r="J700" i="93" s="1"/>
  <c r="J817" i="93" s="1"/>
  <c r="J693" i="92"/>
  <c r="J706" i="92" s="1"/>
  <c r="J823" i="92" s="1"/>
  <c r="J955" i="92" s="1"/>
  <c r="J687" i="92"/>
  <c r="J700" i="92" s="1"/>
  <c r="J817" i="92" s="1"/>
  <c r="J687" i="91"/>
  <c r="J700" i="91" s="1"/>
  <c r="J817" i="91" s="1"/>
  <c r="J693" i="91"/>
  <c r="J706" i="91" s="1"/>
  <c r="J823" i="91" s="1"/>
  <c r="J955" i="91" s="1"/>
  <c r="J687" i="81"/>
  <c r="J700" i="81" s="1"/>
  <c r="J817" i="81" s="1"/>
  <c r="J693" i="81"/>
  <c r="J706" i="81" s="1"/>
  <c r="J823" i="81" s="1"/>
  <c r="J955" i="81" s="1"/>
  <c r="J693" i="87"/>
  <c r="J706" i="87" s="1"/>
  <c r="J823" i="87" s="1"/>
  <c r="J955" i="87" s="1"/>
  <c r="J687" i="87"/>
  <c r="J700" i="87" s="1"/>
  <c r="J817" i="87" s="1"/>
  <c r="J687" i="89"/>
  <c r="J700" i="89" s="1"/>
  <c r="J817" i="89" s="1"/>
  <c r="J693" i="89"/>
  <c r="J706" i="89" s="1"/>
  <c r="J823" i="89" s="1"/>
  <c r="J955" i="89" s="1"/>
  <c r="J693" i="90"/>
  <c r="J706" i="90" s="1"/>
  <c r="J823" i="90" s="1"/>
  <c r="J955" i="90" s="1"/>
  <c r="J687" i="90"/>
  <c r="J700" i="90" s="1"/>
  <c r="J817" i="90" s="1"/>
  <c r="J687" i="86"/>
  <c r="J700" i="86" s="1"/>
  <c r="J817" i="86" s="1"/>
  <c r="J693" i="86"/>
  <c r="J706" i="86" s="1"/>
  <c r="J823" i="86" s="1"/>
  <c r="J955" i="86" s="1"/>
  <c r="J693" i="88"/>
  <c r="J706" i="88" s="1"/>
  <c r="J823" i="88" s="1"/>
  <c r="J955" i="88" s="1"/>
  <c r="J687" i="88"/>
  <c r="J700" i="88" s="1"/>
  <c r="J817" i="88" s="1"/>
  <c r="J693" i="31"/>
  <c r="J706" i="31" s="1"/>
  <c r="J261" i="36"/>
  <c r="J942" i="17"/>
  <c r="J942" i="20"/>
  <c r="J942" i="23"/>
  <c r="J942" i="31"/>
  <c r="J942" i="25"/>
  <c r="J942" i="34"/>
  <c r="J942" i="21"/>
  <c r="J942" i="33"/>
  <c r="J942" i="9"/>
  <c r="J942" i="27"/>
  <c r="J942" i="29"/>
  <c r="J942" i="36"/>
  <c r="J942" i="35"/>
  <c r="J942" i="28"/>
  <c r="J942" i="24"/>
  <c r="J942" i="26"/>
  <c r="J942" i="30"/>
  <c r="J942" i="19"/>
  <c r="J693" i="17"/>
  <c r="J693" i="32"/>
  <c r="J687" i="18"/>
  <c r="J693" i="18"/>
  <c r="J261" i="20"/>
  <c r="J690" i="33"/>
  <c r="J690" i="17"/>
  <c r="J690" i="19"/>
  <c r="J690" i="32"/>
  <c r="J690" i="21"/>
  <c r="J690" i="29"/>
  <c r="J690" i="24"/>
  <c r="J687" i="34"/>
  <c r="J687" i="33"/>
  <c r="J687" i="32"/>
  <c r="J693" i="27"/>
  <c r="J687" i="26"/>
  <c r="J693" i="25"/>
  <c r="J693" i="23"/>
  <c r="J693" i="19"/>
  <c r="J687" i="17"/>
  <c r="J681" i="36"/>
  <c r="J421" i="36"/>
  <c r="J687" i="35"/>
  <c r="J693" i="34"/>
  <c r="J690" i="34"/>
  <c r="J693" i="33"/>
  <c r="J687" i="31"/>
  <c r="J687" i="29"/>
  <c r="J693" i="29"/>
  <c r="J693" i="28"/>
  <c r="J690" i="28"/>
  <c r="J687" i="28"/>
  <c r="J693" i="26"/>
  <c r="J690" i="26"/>
  <c r="J687" i="25"/>
  <c r="J693" i="24"/>
  <c r="J687" i="24"/>
  <c r="J690" i="23"/>
  <c r="J687" i="23"/>
  <c r="J693" i="21"/>
  <c r="J687" i="21"/>
  <c r="J687" i="19"/>
  <c r="J687" i="9"/>
  <c r="J693" i="9"/>
  <c r="J703" i="9"/>
  <c r="J703" i="25"/>
  <c r="J690" i="35"/>
  <c r="J690" i="27"/>
  <c r="J687" i="27"/>
  <c r="J681" i="30"/>
  <c r="J690" i="31"/>
  <c r="J693" i="35"/>
  <c r="J949" i="93" l="1"/>
  <c r="J949" i="85"/>
  <c r="J949" i="86"/>
  <c r="J949" i="81"/>
  <c r="J949" i="89"/>
  <c r="J949" i="88"/>
  <c r="J949" i="87"/>
  <c r="J949" i="92"/>
  <c r="J949" i="91"/>
  <c r="J949" i="90"/>
  <c r="J687" i="20"/>
  <c r="J700" i="20" s="1"/>
  <c r="J703" i="24"/>
  <c r="J703" i="17"/>
  <c r="J820" i="17" s="1"/>
  <c r="J703" i="21"/>
  <c r="J820" i="21" s="1"/>
  <c r="J706" i="17"/>
  <c r="J823" i="17" s="1"/>
  <c r="J703" i="19"/>
  <c r="J820" i="19" s="1"/>
  <c r="J703" i="29"/>
  <c r="J820" i="29" s="1"/>
  <c r="J703" i="33"/>
  <c r="J820" i="33" s="1"/>
  <c r="J706" i="32"/>
  <c r="J703" i="32"/>
  <c r="J820" i="32" s="1"/>
  <c r="J706" i="18"/>
  <c r="J690" i="20"/>
  <c r="J693" i="20"/>
  <c r="J700" i="18"/>
  <c r="J703" i="28"/>
  <c r="J703" i="26"/>
  <c r="J700" i="17"/>
  <c r="J706" i="9"/>
  <c r="J700" i="21"/>
  <c r="J706" i="26"/>
  <c r="J706" i="19"/>
  <c r="J706" i="27"/>
  <c r="J700" i="9"/>
  <c r="J706" i="24"/>
  <c r="J700" i="29"/>
  <c r="J706" i="33"/>
  <c r="J706" i="23"/>
  <c r="J700" i="32"/>
  <c r="J700" i="31"/>
  <c r="J703" i="34"/>
  <c r="J690" i="36"/>
  <c r="J706" i="25"/>
  <c r="J700" i="33"/>
  <c r="J700" i="26"/>
  <c r="J700" i="34"/>
  <c r="J693" i="36"/>
  <c r="J687" i="36"/>
  <c r="J706" i="35"/>
  <c r="J700" i="35"/>
  <c r="J706" i="34"/>
  <c r="J690" i="30"/>
  <c r="J706" i="29"/>
  <c r="J706" i="28"/>
  <c r="J700" i="28"/>
  <c r="J700" i="27"/>
  <c r="J703" i="27"/>
  <c r="J700" i="25"/>
  <c r="J820" i="25"/>
  <c r="J700" i="24"/>
  <c r="J820" i="24"/>
  <c r="J703" i="23"/>
  <c r="J700" i="23"/>
  <c r="J706" i="21"/>
  <c r="J700" i="19"/>
  <c r="J820" i="9"/>
  <c r="J703" i="35"/>
  <c r="J693" i="30"/>
  <c r="J687" i="30"/>
  <c r="J703" i="31"/>
  <c r="J823" i="31"/>
  <c r="J817" i="20" l="1"/>
  <c r="J949" i="20" s="1"/>
  <c r="J823" i="25"/>
  <c r="J955" i="25" s="1"/>
  <c r="J823" i="24"/>
  <c r="J955" i="24" s="1"/>
  <c r="J823" i="26"/>
  <c r="J955" i="26" s="1"/>
  <c r="J823" i="23"/>
  <c r="J955" i="23" s="1"/>
  <c r="J817" i="9"/>
  <c r="J949" i="9" s="1"/>
  <c r="J817" i="21"/>
  <c r="J949" i="21" s="1"/>
  <c r="J820" i="26"/>
  <c r="J952" i="26" s="1"/>
  <c r="J703" i="20"/>
  <c r="J820" i="20" s="1"/>
  <c r="J817" i="26"/>
  <c r="J949" i="26" s="1"/>
  <c r="J823" i="27"/>
  <c r="J955" i="27" s="1"/>
  <c r="J823" i="9"/>
  <c r="J955" i="9" s="1"/>
  <c r="J817" i="32"/>
  <c r="J949" i="32" s="1"/>
  <c r="J952" i="32"/>
  <c r="J703" i="36"/>
  <c r="J820" i="36" s="1"/>
  <c r="J823" i="33"/>
  <c r="J955" i="33" s="1"/>
  <c r="J823" i="32"/>
  <c r="J955" i="32" s="1"/>
  <c r="J817" i="33"/>
  <c r="J949" i="33" s="1"/>
  <c r="J817" i="31"/>
  <c r="J949" i="31" s="1"/>
  <c r="J817" i="29"/>
  <c r="J949" i="29" s="1"/>
  <c r="J823" i="19"/>
  <c r="J955" i="19" s="1"/>
  <c r="J817" i="18"/>
  <c r="J706" i="20"/>
  <c r="J823" i="18"/>
  <c r="J703" i="30"/>
  <c r="J820" i="30" s="1"/>
  <c r="J820" i="34"/>
  <c r="J952" i="34" s="1"/>
  <c r="J952" i="21"/>
  <c r="J817" i="17"/>
  <c r="J952" i="33"/>
  <c r="J817" i="27"/>
  <c r="J817" i="34"/>
  <c r="J817" i="28"/>
  <c r="J820" i="28"/>
  <c r="J700" i="36"/>
  <c r="J706" i="36"/>
  <c r="J823" i="35"/>
  <c r="J823" i="34"/>
  <c r="J823" i="29"/>
  <c r="J823" i="28"/>
  <c r="J817" i="25"/>
  <c r="J817" i="24"/>
  <c r="J820" i="23"/>
  <c r="J823" i="21"/>
  <c r="J817" i="19"/>
  <c r="J955" i="17"/>
  <c r="J952" i="17"/>
  <c r="J817" i="35"/>
  <c r="J820" i="31"/>
  <c r="J706" i="30"/>
  <c r="J820" i="27"/>
  <c r="J952" i="25"/>
  <c r="J952" i="24"/>
  <c r="J817" i="23"/>
  <c r="J952" i="9"/>
  <c r="J952" i="19"/>
  <c r="J952" i="29"/>
  <c r="J820" i="35"/>
  <c r="J700" i="30"/>
  <c r="J955" i="31"/>
  <c r="J949" i="27" l="1"/>
  <c r="J949" i="28"/>
  <c r="J823" i="36"/>
  <c r="J955" i="36" s="1"/>
  <c r="J817" i="36"/>
  <c r="J949" i="36" s="1"/>
  <c r="J955" i="18"/>
  <c r="J823" i="20"/>
  <c r="J949" i="18"/>
  <c r="J952" i="28"/>
  <c r="J952" i="30"/>
  <c r="J949" i="35"/>
  <c r="J949" i="25"/>
  <c r="J955" i="34"/>
  <c r="J949" i="34"/>
  <c r="J952" i="31"/>
  <c r="J955" i="35"/>
  <c r="J949" i="17"/>
  <c r="J952" i="20"/>
  <c r="J823" i="30"/>
  <c r="J955" i="29"/>
  <c r="J955" i="28"/>
  <c r="J949" i="24"/>
  <c r="J952" i="23"/>
  <c r="J955" i="21"/>
  <c r="J949" i="19"/>
  <c r="J952" i="27"/>
  <c r="J949" i="23"/>
  <c r="J952" i="35"/>
  <c r="J817" i="30"/>
  <c r="J952" i="36"/>
  <c r="J955" i="20" l="1"/>
  <c r="J955" i="30"/>
  <c r="J949" i="30"/>
  <c r="S50" i="37"/>
  <c r="X91" i="37"/>
  <c r="AB130" i="37"/>
  <c r="Y93" i="37"/>
  <c r="I67" i="37"/>
  <c r="AB15" i="37"/>
  <c r="AD15" i="37"/>
  <c r="U81" i="37"/>
  <c r="AF61" i="37"/>
  <c r="N30" i="39"/>
  <c r="X40" i="37"/>
  <c r="C118" i="37"/>
  <c r="D120" i="37"/>
  <c r="U66" i="37"/>
  <c r="Q107" i="37"/>
  <c r="G74" i="37"/>
  <c r="P34" i="39"/>
  <c r="AB137" i="37"/>
  <c r="Z114" i="37"/>
  <c r="D15" i="37"/>
  <c r="V57" i="37"/>
  <c r="R11" i="39"/>
  <c r="K37" i="39"/>
  <c r="AD110" i="37"/>
  <c r="O76" i="37"/>
  <c r="X148" i="37"/>
  <c r="H43" i="37"/>
  <c r="T44" i="37"/>
  <c r="Q30" i="39"/>
  <c r="D58" i="37"/>
  <c r="C19" i="37"/>
  <c r="M76" i="37"/>
  <c r="E73" i="37"/>
  <c r="L34" i="39"/>
  <c r="X38" i="37"/>
  <c r="AC43" i="37"/>
  <c r="F106" i="37"/>
  <c r="H72" i="37"/>
  <c r="W86" i="37"/>
  <c r="K23" i="37"/>
  <c r="AE36" i="37"/>
  <c r="M153" i="37"/>
  <c r="AA90" i="37"/>
  <c r="E20" i="37"/>
  <c r="U94" i="37"/>
  <c r="AA136" i="37"/>
  <c r="D87" i="37"/>
  <c r="AE41" i="37"/>
  <c r="O94" i="37"/>
  <c r="J19" i="39"/>
  <c r="L107" i="37"/>
  <c r="N50" i="37"/>
  <c r="P67" i="37"/>
  <c r="AF35" i="37"/>
  <c r="L37" i="39"/>
  <c r="AB154" i="37"/>
  <c r="P11" i="39"/>
  <c r="G80" i="37"/>
  <c r="T116" i="37"/>
  <c r="L10" i="37"/>
  <c r="AC104" i="37"/>
  <c r="F143" i="37"/>
  <c r="AB138" i="37"/>
  <c r="O116" i="37"/>
  <c r="J105" i="37"/>
  <c r="Q79" i="37"/>
  <c r="Z86" i="37"/>
  <c r="J39" i="37"/>
  <c r="I52" i="37"/>
  <c r="X143" i="37"/>
  <c r="W34" i="37"/>
  <c r="C147" i="37"/>
  <c r="X14" i="37"/>
  <c r="W178" i="72"/>
  <c r="Q48" i="37"/>
  <c r="V69" i="37"/>
  <c r="W73" i="37"/>
  <c r="Y86" i="37"/>
  <c r="P56" i="37"/>
  <c r="X61" i="37"/>
  <c r="K154" i="37"/>
  <c r="R20" i="39"/>
  <c r="M131" i="37"/>
  <c r="P98" i="37"/>
  <c r="R130" i="37"/>
  <c r="N12" i="37"/>
  <c r="AD129" i="37"/>
  <c r="Q15" i="37"/>
  <c r="K45" i="37"/>
  <c r="D157" i="37"/>
  <c r="T105" i="37"/>
  <c r="Z83" i="37"/>
  <c r="D114" i="37"/>
  <c r="K36" i="37"/>
  <c r="P13" i="39"/>
  <c r="T31" i="39"/>
  <c r="Y62" i="37"/>
  <c r="S62" i="37"/>
  <c r="S86" i="37"/>
  <c r="F78" i="37"/>
  <c r="Q64" i="37"/>
  <c r="Z69" i="37"/>
  <c r="C22" i="39"/>
  <c r="N36" i="39"/>
  <c r="Z14" i="37"/>
  <c r="AD55" i="37"/>
  <c r="S155" i="37"/>
  <c r="AB107" i="37"/>
  <c r="AC86" i="37"/>
  <c r="Q19" i="37"/>
  <c r="M23" i="39"/>
  <c r="J82" i="37"/>
  <c r="V171" i="72"/>
  <c r="AF83" i="37"/>
  <c r="G36" i="39"/>
  <c r="P154" i="37"/>
  <c r="J69" i="37"/>
  <c r="F94" i="37"/>
  <c r="J87" i="37"/>
  <c r="G131" i="37"/>
  <c r="N34" i="39"/>
  <c r="C49" i="37"/>
  <c r="W39" i="37"/>
  <c r="Y105" i="37"/>
  <c r="AA149" i="37"/>
  <c r="H15" i="37"/>
  <c r="Q77" i="37"/>
  <c r="J19" i="37"/>
  <c r="L12" i="37"/>
  <c r="I30" i="39"/>
  <c r="AD53" i="37"/>
  <c r="AF112" i="37"/>
  <c r="S152" i="72"/>
  <c r="Y58" i="37"/>
  <c r="V101" i="37"/>
  <c r="W124" i="37"/>
  <c r="G123" i="37"/>
  <c r="D126" i="37"/>
  <c r="W19" i="37"/>
  <c r="Q11" i="37"/>
  <c r="O14" i="37"/>
  <c r="V169" i="72"/>
  <c r="J64" i="37"/>
  <c r="T107" i="37"/>
  <c r="P29" i="39"/>
  <c r="P133" i="37"/>
  <c r="W170" i="72"/>
  <c r="AB96" i="37"/>
  <c r="AF148" i="37"/>
  <c r="M40" i="37"/>
  <c r="AC18" i="37"/>
  <c r="J10" i="37"/>
  <c r="Q153" i="37"/>
  <c r="AF103" i="37"/>
  <c r="U15" i="37"/>
  <c r="V35" i="37"/>
  <c r="I121" i="37"/>
  <c r="X152" i="37"/>
  <c r="G105" i="37"/>
  <c r="J29" i="37"/>
  <c r="AE79" i="37"/>
  <c r="W181" i="72"/>
  <c r="V173" i="72"/>
  <c r="R16" i="39"/>
  <c r="V134" i="37"/>
  <c r="AD37" i="37"/>
  <c r="E142" i="37"/>
  <c r="O86" i="37"/>
  <c r="R24" i="37"/>
  <c r="H23" i="39"/>
  <c r="AA48" i="37"/>
  <c r="X126" i="37"/>
  <c r="E134" i="37"/>
  <c r="I32" i="39"/>
  <c r="U68" i="37"/>
  <c r="G34" i="39"/>
  <c r="Q151" i="37"/>
  <c r="D41" i="37"/>
  <c r="L88" i="37"/>
  <c r="M107" i="37"/>
  <c r="J37" i="39"/>
  <c r="K90" i="37"/>
  <c r="Q45" i="37"/>
  <c r="AE133" i="37"/>
  <c r="T80" i="37"/>
  <c r="AE93" i="37"/>
  <c r="AA147" i="37"/>
  <c r="M42" i="37"/>
  <c r="V24" i="37"/>
  <c r="W79" i="37"/>
  <c r="Z32" i="37"/>
  <c r="H10" i="39"/>
  <c r="AC142" i="37"/>
  <c r="V126" i="37"/>
  <c r="M33" i="37"/>
  <c r="T172" i="72"/>
  <c r="I113" i="37"/>
  <c r="J128" i="37"/>
  <c r="G142" i="37"/>
  <c r="J41" i="37"/>
  <c r="Y55" i="37"/>
  <c r="AE67" i="37"/>
  <c r="J78" i="37"/>
  <c r="H135" i="37"/>
  <c r="AD36" i="37"/>
  <c r="Z29" i="37"/>
  <c r="R85" i="37"/>
  <c r="R90" i="37"/>
  <c r="AC123" i="37"/>
  <c r="N19" i="39"/>
  <c r="N27" i="39"/>
  <c r="X146" i="37"/>
  <c r="AC62" i="37"/>
  <c r="Y32" i="37"/>
  <c r="V12" i="37"/>
  <c r="W28" i="37"/>
  <c r="AD132" i="37"/>
  <c r="V67" i="37"/>
  <c r="N14" i="37"/>
  <c r="M15" i="39"/>
  <c r="X36" i="37"/>
  <c r="M74" i="37"/>
  <c r="E132" i="37"/>
  <c r="P115" i="37"/>
  <c r="L95" i="37"/>
  <c r="O20" i="37"/>
  <c r="Y101" i="37"/>
  <c r="P61" i="37"/>
  <c r="U153" i="37"/>
  <c r="D76" i="37"/>
  <c r="C110" i="37"/>
  <c r="S164" i="72"/>
  <c r="G152" i="37"/>
  <c r="Y121" i="37"/>
  <c r="AF32" i="37"/>
  <c r="S152" i="37"/>
  <c r="I101" i="37"/>
  <c r="D62" i="37"/>
  <c r="X133" i="37"/>
  <c r="AC91" i="37"/>
  <c r="P145" i="37"/>
  <c r="Z66" i="37"/>
  <c r="J42" i="37"/>
  <c r="X52" i="37"/>
  <c r="U57" i="37"/>
  <c r="H25" i="37"/>
  <c r="S77" i="37"/>
  <c r="W118" i="37"/>
  <c r="Z56" i="37"/>
  <c r="V161" i="72"/>
  <c r="X22" i="37"/>
  <c r="T177" i="72"/>
  <c r="AD48" i="37"/>
  <c r="D137" i="37"/>
  <c r="E114" i="37"/>
  <c r="T97" i="37"/>
  <c r="L14" i="39"/>
  <c r="J103" i="37"/>
  <c r="D16" i="39"/>
  <c r="Q13" i="37"/>
  <c r="V157" i="37"/>
  <c r="K22" i="37"/>
  <c r="E95" i="37"/>
  <c r="W77" i="37"/>
  <c r="K65" i="37"/>
  <c r="B32" i="39"/>
  <c r="T74" i="37"/>
  <c r="E96" i="37"/>
  <c r="J154" i="37"/>
  <c r="V18" i="37"/>
  <c r="S158" i="72"/>
  <c r="C62" i="37"/>
  <c r="F101" i="37"/>
  <c r="AF34" i="37"/>
  <c r="Y34" i="37"/>
  <c r="AD80" i="37"/>
  <c r="S29" i="39"/>
  <c r="F12" i="39"/>
  <c r="S105" i="37"/>
  <c r="X62" i="37"/>
  <c r="AE75" i="37"/>
  <c r="K100" i="37"/>
  <c r="AB25" i="37"/>
  <c r="L106" i="37"/>
  <c r="AD50" i="37"/>
  <c r="R15" i="39"/>
  <c r="E32" i="37"/>
  <c r="U53" i="37"/>
  <c r="AD127" i="37"/>
  <c r="Z81" i="37"/>
  <c r="J33" i="39"/>
  <c r="K151" i="37"/>
  <c r="R24" i="39"/>
  <c r="Q121" i="37"/>
  <c r="Z96" i="37"/>
  <c r="S130" i="37"/>
  <c r="W131" i="37"/>
  <c r="G130" i="37"/>
  <c r="AE66" i="37"/>
  <c r="E118" i="37"/>
  <c r="D93" i="37"/>
  <c r="AB152" i="37"/>
  <c r="Q27" i="37"/>
  <c r="I66" i="37"/>
  <c r="AF76" i="37"/>
  <c r="S9" i="39"/>
  <c r="R139" i="37"/>
  <c r="V139" i="37"/>
  <c r="S161" i="72"/>
  <c r="I89" i="37"/>
  <c r="AA118" i="37"/>
  <c r="AE138" i="37"/>
  <c r="O37" i="39"/>
  <c r="D36" i="37"/>
  <c r="F102" i="37"/>
  <c r="U48" i="37"/>
  <c r="P86" i="37"/>
  <c r="F81" i="37"/>
  <c r="AF110" i="37"/>
  <c r="AA130" i="37"/>
  <c r="M39" i="37"/>
  <c r="V158" i="72"/>
  <c r="AD131" i="37"/>
  <c r="T21" i="37"/>
  <c r="K93" i="37"/>
  <c r="H10" i="37"/>
  <c r="Z36" i="37"/>
  <c r="C24" i="39"/>
  <c r="N123" i="37"/>
  <c r="H32" i="39"/>
  <c r="K149" i="37"/>
  <c r="Y82" i="37"/>
  <c r="AA67" i="37"/>
  <c r="T144" i="37"/>
  <c r="O50" i="37"/>
  <c r="Q120" i="37"/>
  <c r="X103" i="37"/>
  <c r="P35" i="37"/>
  <c r="X111" i="37"/>
  <c r="T124" i="37"/>
  <c r="D20" i="37"/>
  <c r="AB55" i="37"/>
  <c r="Q65" i="37"/>
  <c r="F23" i="39"/>
  <c r="F25" i="37"/>
  <c r="D8" i="39"/>
  <c r="M135" i="37"/>
  <c r="L133" i="37"/>
  <c r="AF155" i="37"/>
  <c r="V98" i="37"/>
  <c r="Q58" i="37"/>
  <c r="Y94" i="37"/>
  <c r="W169" i="72"/>
  <c r="S136" i="37"/>
  <c r="G10" i="39"/>
  <c r="Y143" i="37"/>
  <c r="AD91" i="37"/>
  <c r="O114" i="37"/>
  <c r="V149" i="37"/>
  <c r="Q101" i="37"/>
  <c r="AD105" i="37"/>
  <c r="AB112" i="37"/>
  <c r="E12" i="37"/>
  <c r="Y155" i="37"/>
  <c r="AD146" i="37"/>
  <c r="K33" i="37"/>
  <c r="C22" i="37"/>
  <c r="N131" i="37"/>
  <c r="K55" i="37"/>
  <c r="F138" i="37"/>
  <c r="C86" i="37"/>
  <c r="P116" i="37"/>
  <c r="H79" i="37"/>
  <c r="P26" i="39"/>
  <c r="Q12" i="39"/>
  <c r="S24" i="39"/>
  <c r="D111" i="37"/>
  <c r="K29" i="39"/>
  <c r="Z13" i="37"/>
  <c r="T62" i="37"/>
  <c r="AE111" i="37"/>
  <c r="AA91" i="37"/>
  <c r="K20" i="37"/>
  <c r="AD142" i="37"/>
  <c r="Z101" i="37"/>
  <c r="W133" i="37"/>
  <c r="AD39" i="37"/>
  <c r="U35" i="37"/>
  <c r="H24" i="37"/>
  <c r="R55" i="37"/>
  <c r="AF15" i="37"/>
  <c r="Z50" i="37"/>
  <c r="R136" i="37"/>
  <c r="AF48" i="37"/>
  <c r="AE89" i="37"/>
  <c r="F139" i="37"/>
  <c r="AD57" i="37"/>
  <c r="AE126" i="37"/>
  <c r="AE137" i="37"/>
  <c r="AF91" i="37"/>
  <c r="C36" i="39"/>
  <c r="S175" i="72"/>
  <c r="M18" i="37"/>
  <c r="P142" i="37"/>
  <c r="L84" i="37"/>
  <c r="AB94" i="37"/>
  <c r="E55" i="37"/>
  <c r="AE83" i="37"/>
  <c r="O43" i="37"/>
  <c r="S137" i="37"/>
  <c r="J90" i="37"/>
  <c r="V82" i="37"/>
  <c r="I13" i="39"/>
  <c r="T153" i="37"/>
  <c r="V89" i="37"/>
  <c r="E113" i="37"/>
  <c r="B37" i="39"/>
  <c r="O44" i="37"/>
  <c r="K57" i="37"/>
  <c r="I127" i="37"/>
  <c r="AD92" i="37"/>
  <c r="N17" i="39"/>
  <c r="C7" i="37"/>
  <c r="P15" i="39"/>
  <c r="N18" i="39"/>
  <c r="J132" i="37"/>
  <c r="J119" i="37"/>
  <c r="Z117" i="37"/>
  <c r="L14" i="37"/>
  <c r="V14" i="37"/>
  <c r="U181" i="72"/>
  <c r="D45" i="37"/>
  <c r="AB122" i="37"/>
  <c r="N42" i="37"/>
  <c r="Z73" i="37"/>
  <c r="L130" i="37"/>
  <c r="AE55" i="37"/>
  <c r="B31" i="39"/>
  <c r="F98" i="37"/>
  <c r="Z67" i="37"/>
  <c r="S143" i="37"/>
  <c r="U110" i="37"/>
  <c r="V28" i="39"/>
  <c r="AD58" i="37"/>
  <c r="N80" i="37"/>
  <c r="Y57" i="37"/>
  <c r="K53" i="37"/>
  <c r="Z91" i="37"/>
  <c r="D34" i="39"/>
  <c r="M32" i="39"/>
  <c r="L121" i="37"/>
  <c r="I50" i="37"/>
  <c r="X29" i="37"/>
  <c r="AD134" i="37"/>
  <c r="AE73" i="37"/>
  <c r="R89" i="37"/>
  <c r="F22" i="37"/>
  <c r="E125" i="37"/>
  <c r="S99" i="37"/>
  <c r="AC92" i="37"/>
  <c r="W110" i="37"/>
  <c r="F11" i="37"/>
  <c r="H22" i="37"/>
  <c r="AD152" i="37"/>
  <c r="AA106" i="37"/>
  <c r="N83" i="37"/>
  <c r="AC58" i="37"/>
  <c r="N120" i="37"/>
  <c r="O28" i="39"/>
  <c r="X81" i="37"/>
  <c r="P36" i="39"/>
  <c r="R25" i="39"/>
  <c r="D30" i="39"/>
  <c r="O145" i="37"/>
  <c r="V81" i="37"/>
  <c r="AE72" i="37"/>
  <c r="AD116" i="37"/>
  <c r="W98" i="37"/>
  <c r="K67" i="37"/>
  <c r="C29" i="39"/>
  <c r="Q92" i="37"/>
  <c r="I135" i="37"/>
  <c r="G95" i="37"/>
  <c r="F37" i="39"/>
  <c r="D9" i="39"/>
  <c r="AF72" i="37"/>
  <c r="AA45" i="37"/>
  <c r="E7" i="37"/>
  <c r="W26" i="37"/>
  <c r="AF118" i="37"/>
  <c r="N24" i="37"/>
  <c r="J54" i="37"/>
  <c r="Q53" i="37"/>
  <c r="V132" i="37"/>
  <c r="C58" i="37"/>
  <c r="X105" i="37"/>
  <c r="Q34" i="37"/>
  <c r="P13" i="37"/>
  <c r="R17" i="39"/>
  <c r="O62" i="37"/>
  <c r="V65" i="37"/>
  <c r="AB54" i="37"/>
  <c r="U135" i="37"/>
  <c r="R12" i="39"/>
  <c r="R101" i="37"/>
  <c r="T19" i="37"/>
  <c r="AC100" i="37"/>
  <c r="AA83" i="37"/>
  <c r="AE136" i="37"/>
  <c r="N22" i="39"/>
  <c r="C53" i="37"/>
  <c r="F83" i="37"/>
  <c r="O125" i="37"/>
  <c r="AF154" i="37"/>
  <c r="P9" i="39"/>
  <c r="E53" i="37"/>
  <c r="G49" i="37"/>
  <c r="AC83" i="37"/>
  <c r="T18" i="37"/>
  <c r="M33" i="39"/>
  <c r="AD19" i="37"/>
  <c r="G57" i="37"/>
  <c r="Z88" i="37"/>
  <c r="E30" i="39"/>
  <c r="T27" i="37"/>
  <c r="R64" i="37"/>
  <c r="X44" i="37"/>
  <c r="O52" i="37"/>
  <c r="AC97" i="37"/>
  <c r="L97" i="37"/>
  <c r="AD151" i="37"/>
  <c r="Q43" i="37"/>
  <c r="I56" i="37"/>
  <c r="Q115" i="37"/>
  <c r="V115" i="37"/>
  <c r="AB121" i="37"/>
  <c r="V51" i="37"/>
  <c r="W75" i="37"/>
  <c r="U39" i="37"/>
  <c r="R88" i="37"/>
  <c r="J14" i="39"/>
  <c r="AC107" i="37"/>
  <c r="R122" i="37"/>
  <c r="AF114" i="37"/>
  <c r="E102" i="37"/>
  <c r="W53" i="37"/>
  <c r="V167" i="72"/>
  <c r="W139" i="37"/>
  <c r="E42" i="37"/>
  <c r="F30" i="39"/>
  <c r="V76" i="37"/>
  <c r="L20" i="37"/>
  <c r="L9" i="39"/>
  <c r="AC136" i="37"/>
  <c r="C34" i="39"/>
  <c r="W44" i="37"/>
  <c r="U118" i="37"/>
  <c r="W168" i="72"/>
  <c r="AC7" i="37"/>
  <c r="AD126" i="37"/>
  <c r="U112" i="37"/>
  <c r="F131" i="37"/>
  <c r="S133" i="37"/>
  <c r="S19" i="39"/>
  <c r="S69" i="37"/>
  <c r="AA148" i="37"/>
  <c r="AE77" i="37"/>
  <c r="L134" i="37"/>
  <c r="F136" i="37"/>
  <c r="X39" i="37"/>
  <c r="C88" i="37"/>
  <c r="R33" i="37"/>
  <c r="K54" i="37"/>
  <c r="J21" i="37"/>
  <c r="W81" i="37"/>
  <c r="AB115" i="37"/>
  <c r="X11" i="37"/>
  <c r="X24" i="37"/>
  <c r="J134" i="37"/>
  <c r="C13" i="39"/>
  <c r="E36" i="37"/>
  <c r="G111" i="37"/>
  <c r="AE143" i="37"/>
  <c r="D12" i="39"/>
  <c r="G134" i="37"/>
  <c r="S119" i="37"/>
  <c r="G112" i="37"/>
  <c r="D88" i="37"/>
  <c r="F53" i="37"/>
  <c r="AB119" i="37"/>
  <c r="D153" i="37"/>
  <c r="F39" i="37"/>
  <c r="U157" i="37"/>
  <c r="AA154" i="37"/>
  <c r="D117" i="37"/>
  <c r="O79" i="37"/>
  <c r="K79" i="37"/>
  <c r="H35" i="39"/>
  <c r="AB52" i="37"/>
  <c r="W21" i="37"/>
  <c r="AA36" i="37"/>
  <c r="P94" i="37"/>
  <c r="T53" i="37"/>
  <c r="C129" i="37"/>
  <c r="P52" i="37"/>
  <c r="P110" i="37"/>
  <c r="W95" i="37"/>
  <c r="N44" i="37"/>
  <c r="AC64" i="37"/>
  <c r="G82" i="37"/>
  <c r="L54" i="37"/>
  <c r="V58" i="37"/>
  <c r="F24" i="37"/>
  <c r="F137" i="37"/>
  <c r="S173" i="72"/>
  <c r="AE87" i="37"/>
  <c r="AB38" i="37"/>
  <c r="S19" i="37"/>
  <c r="V166" i="72"/>
  <c r="J26" i="39"/>
  <c r="F111" i="37"/>
  <c r="G88" i="37"/>
  <c r="Z75" i="37"/>
  <c r="H57" i="37"/>
  <c r="AD99" i="37"/>
  <c r="V22" i="37"/>
  <c r="AE35" i="37"/>
  <c r="M103" i="37"/>
  <c r="N10" i="39"/>
  <c r="AA72" i="37"/>
  <c r="Y20" i="37"/>
  <c r="T48" i="37"/>
  <c r="K83" i="37"/>
  <c r="AB153" i="37"/>
  <c r="K19" i="39"/>
  <c r="AA19" i="37"/>
  <c r="T170" i="72"/>
  <c r="AC11" i="37"/>
  <c r="M130" i="37"/>
  <c r="H42" i="37"/>
  <c r="E35" i="39"/>
  <c r="Y69" i="37"/>
  <c r="D64" i="37"/>
  <c r="AA29" i="37"/>
  <c r="W142" i="37"/>
  <c r="AA82" i="37"/>
  <c r="R128" i="37"/>
  <c r="AE34" i="37"/>
  <c r="C66" i="37"/>
  <c r="L119" i="37"/>
  <c r="AB128" i="37"/>
  <c r="K124" i="37"/>
  <c r="D18" i="37"/>
  <c r="J44" i="37"/>
  <c r="U130" i="37"/>
  <c r="N21" i="39"/>
  <c r="W177" i="72"/>
  <c r="Q135" i="37"/>
  <c r="P26" i="37"/>
  <c r="G22" i="39"/>
  <c r="Y144" i="37"/>
  <c r="F73" i="37"/>
  <c r="AC76" i="37"/>
  <c r="L65" i="37"/>
  <c r="Y24" i="37"/>
  <c r="V164" i="72"/>
  <c r="AF98" i="37"/>
  <c r="X128" i="37"/>
  <c r="D134" i="37"/>
  <c r="AD97" i="37"/>
  <c r="T121" i="37"/>
  <c r="W33" i="37"/>
  <c r="G22" i="37"/>
  <c r="G53" i="37"/>
  <c r="K24" i="39"/>
  <c r="I157" i="37"/>
  <c r="T7" i="37"/>
  <c r="I142" i="37"/>
  <c r="G117" i="37"/>
  <c r="E150" i="37"/>
  <c r="AD90" i="37"/>
  <c r="J117" i="37"/>
  <c r="R148" i="37"/>
  <c r="T119" i="37"/>
  <c r="AA85" i="37"/>
  <c r="W48" i="37"/>
  <c r="O95" i="37"/>
  <c r="O39" i="37"/>
  <c r="L105" i="37"/>
  <c r="Q9" i="39"/>
  <c r="F62" i="37"/>
  <c r="D54" i="37"/>
  <c r="S68" i="37"/>
  <c r="AF28" i="37"/>
  <c r="I41" i="37"/>
  <c r="AE15" i="37"/>
  <c r="X73" i="37"/>
  <c r="L36" i="39"/>
  <c r="Q32" i="39"/>
  <c r="I139" i="37"/>
  <c r="E16" i="39"/>
  <c r="V23" i="37"/>
  <c r="X153" i="37"/>
  <c r="V142" i="37"/>
  <c r="L32" i="39"/>
  <c r="W20" i="37"/>
  <c r="L25" i="39"/>
  <c r="V135" i="37"/>
  <c r="AE74" i="37"/>
  <c r="Y92" i="37"/>
  <c r="F132" i="37"/>
  <c r="K148" i="37"/>
  <c r="R37" i="39"/>
  <c r="V127" i="37"/>
  <c r="AC72" i="37"/>
  <c r="H115" i="37"/>
  <c r="AC95" i="37"/>
  <c r="F115" i="37"/>
  <c r="V174" i="72"/>
  <c r="Q103" i="37"/>
  <c r="W163" i="72"/>
  <c r="H116" i="37"/>
  <c r="Y51" i="37"/>
  <c r="I156" i="37"/>
  <c r="U155" i="72"/>
  <c r="Z115" i="37"/>
  <c r="Y77" i="37"/>
  <c r="E83" i="37"/>
  <c r="M25" i="39"/>
  <c r="Z76" i="37"/>
  <c r="F144" i="37"/>
  <c r="AC38" i="37"/>
  <c r="AE90" i="37"/>
  <c r="AF127" i="37"/>
  <c r="AA62" i="37"/>
  <c r="I24" i="39"/>
  <c r="AB11" i="37"/>
  <c r="P30" i="39"/>
  <c r="F36" i="39"/>
  <c r="W143" i="37"/>
  <c r="AE85" i="37"/>
  <c r="K73" i="37"/>
  <c r="X7" i="37"/>
  <c r="AF49" i="37"/>
  <c r="K126" i="37"/>
  <c r="W100" i="37"/>
  <c r="AE54" i="37"/>
  <c r="T25" i="37"/>
  <c r="K43" i="37"/>
  <c r="S65" i="37"/>
  <c r="U29" i="37"/>
  <c r="R65" i="37"/>
  <c r="R134" i="37"/>
  <c r="I112" i="37"/>
  <c r="J127" i="37"/>
  <c r="AC117" i="37"/>
  <c r="U119" i="37"/>
  <c r="E111" i="37"/>
  <c r="H94" i="37"/>
  <c r="S178" i="72"/>
  <c r="T169" i="72"/>
  <c r="R41" i="37"/>
  <c r="G118" i="37"/>
  <c r="L81" i="37"/>
  <c r="E12" i="39"/>
  <c r="F72" i="37"/>
  <c r="AD101" i="37"/>
  <c r="R143" i="37"/>
  <c r="Q14" i="39"/>
  <c r="E13" i="37"/>
  <c r="W52" i="37"/>
  <c r="Y157" i="37"/>
  <c r="AA134" i="37"/>
  <c r="Y23" i="37"/>
  <c r="K111" i="37"/>
  <c r="AC118" i="37"/>
  <c r="M22" i="39"/>
  <c r="Z146" i="37"/>
  <c r="H114" i="37"/>
  <c r="F21" i="39"/>
  <c r="H155" i="37"/>
  <c r="L33" i="37"/>
  <c r="X18" i="37"/>
  <c r="S10" i="39"/>
  <c r="Y72" i="37"/>
  <c r="X136" i="37"/>
  <c r="V15" i="37"/>
  <c r="W43" i="37"/>
  <c r="Z130" i="37"/>
  <c r="H153" i="37"/>
  <c r="Z65" i="37"/>
  <c r="E23" i="39"/>
  <c r="Y41" i="37"/>
  <c r="U120" i="37"/>
  <c r="M120" i="37"/>
  <c r="O134" i="37"/>
  <c r="E22" i="39"/>
  <c r="C55" i="37"/>
  <c r="L26" i="39"/>
  <c r="N84" i="37"/>
  <c r="N111" i="37"/>
  <c r="I93" i="37"/>
  <c r="C146" i="37"/>
  <c r="R7" i="37"/>
  <c r="C98" i="37"/>
  <c r="AF104" i="37"/>
  <c r="J116" i="37"/>
  <c r="AD79" i="37"/>
  <c r="Q39" i="37"/>
  <c r="G13" i="37"/>
  <c r="M32" i="37"/>
  <c r="AC122" i="37"/>
  <c r="AF150" i="37"/>
  <c r="M66" i="37"/>
  <c r="O23" i="37"/>
  <c r="E14" i="39"/>
  <c r="P17" i="39"/>
  <c r="P75" i="37"/>
  <c r="N13" i="37"/>
  <c r="P41" i="37"/>
  <c r="U35" i="39"/>
  <c r="O36" i="39"/>
  <c r="C82" i="37"/>
  <c r="W149" i="37"/>
  <c r="G19" i="39"/>
  <c r="Q132" i="37"/>
  <c r="V45" i="37"/>
  <c r="J28" i="37"/>
  <c r="D35" i="37"/>
  <c r="K12" i="39"/>
  <c r="U56" i="37"/>
  <c r="K32" i="39"/>
  <c r="J23" i="37"/>
  <c r="AC152" i="37"/>
  <c r="AB62" i="37"/>
  <c r="AE65" i="37"/>
  <c r="Y75" i="37"/>
  <c r="AC88" i="37"/>
  <c r="L135" i="37"/>
  <c r="AE27" i="37"/>
  <c r="C38" i="37"/>
  <c r="E151" i="37"/>
  <c r="H64" i="37"/>
  <c r="AD136" i="37"/>
  <c r="N20" i="37"/>
  <c r="M61" i="37"/>
  <c r="AA15" i="37"/>
  <c r="G40" i="37"/>
  <c r="P64" i="37"/>
  <c r="L92" i="37"/>
  <c r="W116" i="37"/>
  <c r="Z37" i="37"/>
  <c r="P72" i="37"/>
  <c r="AC69" i="37"/>
  <c r="X156" i="37"/>
  <c r="W25" i="37"/>
  <c r="G153" i="37"/>
  <c r="Q113" i="37"/>
  <c r="L145" i="37"/>
  <c r="I144" i="37"/>
  <c r="S97" i="37"/>
  <c r="J14" i="37"/>
  <c r="G7" i="37"/>
  <c r="V93" i="37"/>
  <c r="N105" i="37"/>
  <c r="AC73" i="37"/>
  <c r="K21" i="39"/>
  <c r="AE88" i="37"/>
  <c r="AF81" i="37"/>
  <c r="AB100" i="37"/>
  <c r="S23" i="39"/>
  <c r="E143" i="37"/>
  <c r="J99" i="37"/>
  <c r="G14" i="37"/>
  <c r="AF43" i="37"/>
  <c r="C37" i="37"/>
  <c r="U97" i="37"/>
  <c r="T104" i="37"/>
  <c r="S18" i="37"/>
  <c r="J92" i="37"/>
  <c r="R27" i="39"/>
  <c r="R126" i="37"/>
  <c r="X115" i="37"/>
  <c r="AB61" i="37"/>
  <c r="S100" i="37"/>
  <c r="S52" i="37"/>
  <c r="AA55" i="37"/>
  <c r="AE149" i="37"/>
  <c r="AC53" i="37"/>
  <c r="F91" i="37"/>
  <c r="AE157" i="37"/>
  <c r="AF68" i="37"/>
  <c r="S134" i="37"/>
  <c r="Q119" i="37"/>
  <c r="W51" i="37"/>
  <c r="AE38" i="37"/>
  <c r="J97" i="37"/>
  <c r="AD86" i="37"/>
  <c r="O8" i="39"/>
  <c r="AF138" i="37"/>
  <c r="L153" i="37"/>
  <c r="J34" i="39"/>
  <c r="AE117" i="37"/>
  <c r="AC87" i="37"/>
  <c r="F85" i="37"/>
  <c r="C74" i="37"/>
  <c r="F120" i="37"/>
  <c r="AF25" i="37"/>
  <c r="AF152" i="37"/>
  <c r="AC135" i="37"/>
  <c r="AE127" i="37"/>
  <c r="AF113" i="37"/>
  <c r="P130" i="37"/>
  <c r="S29" i="37"/>
  <c r="AE112" i="37"/>
  <c r="C26" i="37"/>
  <c r="E157" i="37"/>
  <c r="Z15" i="37"/>
  <c r="AF145" i="37"/>
  <c r="Q51" i="37"/>
  <c r="V181" i="72"/>
  <c r="L99" i="37"/>
  <c r="F130" i="37"/>
  <c r="D27" i="37"/>
  <c r="E20" i="39"/>
  <c r="AB7" i="37"/>
  <c r="V105" i="37"/>
  <c r="Q36" i="39"/>
  <c r="AA77" i="37"/>
  <c r="V36" i="39"/>
  <c r="P139" i="37"/>
  <c r="O54" i="37"/>
  <c r="Y48" i="37"/>
  <c r="C35" i="39"/>
  <c r="AF20" i="37"/>
  <c r="F104" i="37"/>
  <c r="AA61" i="37"/>
  <c r="AF87" i="37"/>
  <c r="W88" i="37"/>
  <c r="P50" i="37"/>
  <c r="D149" i="37"/>
  <c r="K19" i="37"/>
  <c r="D23" i="37"/>
  <c r="O25" i="37"/>
  <c r="S44" i="37"/>
  <c r="Y99" i="37"/>
  <c r="R102" i="37"/>
  <c r="I130" i="37"/>
  <c r="V44" i="37"/>
  <c r="R179" i="72"/>
  <c r="W130" i="37"/>
  <c r="U167" i="72"/>
  <c r="T14" i="37"/>
  <c r="H12" i="39"/>
  <c r="Z41" i="37"/>
  <c r="V165" i="72"/>
  <c r="AF95" i="37"/>
  <c r="I18" i="39"/>
  <c r="H125" i="37"/>
  <c r="H74" i="37"/>
  <c r="U85" i="37"/>
  <c r="M106" i="37"/>
  <c r="L82" i="37"/>
  <c r="D103" i="37"/>
  <c r="AA10" i="37"/>
  <c r="K105" i="37"/>
  <c r="Y45" i="37"/>
  <c r="Z121" i="37"/>
  <c r="Z80" i="37"/>
  <c r="J15" i="39"/>
  <c r="U63" i="37"/>
  <c r="Q14" i="37"/>
  <c r="N64" i="37"/>
  <c r="N86" i="37"/>
  <c r="AB69" i="37"/>
  <c r="AB48" i="37"/>
  <c r="AB110" i="37"/>
  <c r="L40" i="37"/>
  <c r="F9" i="39"/>
  <c r="R98" i="37"/>
  <c r="F28" i="39"/>
  <c r="R175" i="72"/>
  <c r="AB72" i="37"/>
  <c r="AC102" i="37"/>
  <c r="W176" i="72"/>
  <c r="E121" i="37"/>
  <c r="E62" i="37"/>
  <c r="X93" i="37"/>
  <c r="I18" i="37"/>
  <c r="S66" i="37"/>
  <c r="AB143" i="37"/>
  <c r="AA73" i="37"/>
  <c r="Y133" i="37"/>
  <c r="W61" i="37"/>
  <c r="S84" i="37"/>
  <c r="H104" i="37"/>
  <c r="Q28" i="37"/>
  <c r="C80" i="37"/>
  <c r="P152" i="37"/>
  <c r="P21" i="37"/>
  <c r="Q99" i="37"/>
  <c r="D122" i="37"/>
  <c r="F43" i="37"/>
  <c r="AA155" i="37"/>
  <c r="U36" i="39"/>
  <c r="Q76" i="37"/>
  <c r="C85" i="37"/>
  <c r="T35" i="39"/>
  <c r="J135" i="37"/>
  <c r="N157" i="37"/>
  <c r="AB51" i="37"/>
  <c r="AF14" i="37"/>
  <c r="O149" i="37"/>
  <c r="S26" i="39"/>
  <c r="V176" i="72"/>
  <c r="N13" i="39"/>
  <c r="AF11" i="37"/>
  <c r="U82" i="37"/>
  <c r="C136" i="37"/>
  <c r="P28" i="37"/>
  <c r="P150" i="37"/>
  <c r="D63" i="37"/>
  <c r="O124" i="37"/>
  <c r="S144" i="37"/>
  <c r="O29" i="39"/>
  <c r="E66" i="37"/>
  <c r="K25" i="39"/>
  <c r="G103" i="37"/>
  <c r="Y61" i="37"/>
  <c r="V180" i="72"/>
  <c r="E81" i="37"/>
  <c r="K18" i="37"/>
  <c r="G113" i="37"/>
  <c r="AA122" i="37"/>
  <c r="T96" i="37"/>
  <c r="AD112" i="37"/>
  <c r="AF94" i="37"/>
  <c r="Q40" i="37"/>
  <c r="J121" i="37"/>
  <c r="P134" i="37"/>
  <c r="T163" i="72"/>
  <c r="Q18" i="37"/>
  <c r="R117" i="37"/>
  <c r="Z112" i="37"/>
  <c r="K145" i="37"/>
  <c r="AA138" i="37"/>
  <c r="AE81" i="37"/>
  <c r="W157" i="37"/>
  <c r="L52" i="37"/>
  <c r="D61" i="37"/>
  <c r="X20" i="37"/>
  <c r="K89" i="37"/>
  <c r="AC144" i="37"/>
  <c r="E82" i="37"/>
  <c r="L48" i="37"/>
  <c r="O152" i="37"/>
  <c r="Y64" i="37"/>
  <c r="P104" i="37"/>
  <c r="Q11" i="39"/>
  <c r="E41" i="37"/>
  <c r="V34" i="37"/>
  <c r="O117" i="37"/>
  <c r="W120" i="37"/>
  <c r="O146" i="37"/>
  <c r="AC34" i="37"/>
  <c r="T34" i="39"/>
  <c r="S12" i="37"/>
  <c r="U161" i="72"/>
  <c r="U111" i="37"/>
  <c r="C51" i="37"/>
  <c r="O138" i="37"/>
  <c r="E28" i="39"/>
  <c r="E19" i="39"/>
  <c r="Z143" i="37"/>
  <c r="G52" i="37"/>
  <c r="J21" i="39"/>
  <c r="I147" i="37"/>
  <c r="X106" i="37"/>
  <c r="Z44" i="37"/>
  <c r="N156" i="37"/>
  <c r="P14" i="39"/>
  <c r="N40" i="37"/>
  <c r="T85" i="37"/>
  <c r="N85" i="37"/>
  <c r="N97" i="37"/>
  <c r="N100" i="37"/>
  <c r="E88" i="37"/>
  <c r="T166" i="72"/>
  <c r="M62" i="37"/>
  <c r="W32" i="37"/>
  <c r="D37" i="37"/>
  <c r="AA132" i="37"/>
  <c r="S91" i="37"/>
  <c r="W152" i="37"/>
  <c r="AF39" i="37"/>
  <c r="Z39" i="37"/>
  <c r="J11" i="39"/>
  <c r="AE11" i="37"/>
  <c r="S22" i="39"/>
  <c r="I131" i="37"/>
  <c r="N136" i="37"/>
  <c r="AC79" i="37"/>
  <c r="M49" i="37"/>
  <c r="C32" i="39"/>
  <c r="AA110" i="37"/>
  <c r="H18" i="37"/>
  <c r="W23" i="37"/>
  <c r="F38" i="37"/>
  <c r="P25" i="37"/>
  <c r="AC153" i="37"/>
  <c r="C93" i="37"/>
  <c r="R113" i="37"/>
  <c r="F26" i="39"/>
  <c r="W62" i="37"/>
  <c r="H27" i="37"/>
  <c r="AB87" i="37"/>
  <c r="AC19" i="37"/>
  <c r="U21" i="37"/>
  <c r="U42" i="37"/>
  <c r="G25" i="39"/>
  <c r="AD147" i="37"/>
  <c r="H143" i="37"/>
  <c r="F67" i="37"/>
  <c r="N12" i="39"/>
  <c r="AB91" i="37"/>
  <c r="R115" i="37"/>
  <c r="G28" i="39"/>
  <c r="E93" i="37"/>
  <c r="G58" i="37"/>
  <c r="G35" i="37"/>
  <c r="Y56" i="37"/>
  <c r="M115" i="37"/>
  <c r="S135" i="37"/>
  <c r="I149" i="37"/>
  <c r="H28" i="37"/>
  <c r="Z28" i="37"/>
  <c r="V35" i="39"/>
  <c r="G21" i="39"/>
  <c r="R9" i="39"/>
  <c r="AC77" i="37"/>
  <c r="X124" i="37"/>
  <c r="AF122" i="37"/>
  <c r="AD145" i="37"/>
  <c r="R53" i="37"/>
  <c r="W41" i="37"/>
  <c r="V29" i="39"/>
  <c r="AA68" i="37"/>
  <c r="S20" i="39"/>
  <c r="T106" i="37"/>
  <c r="D94" i="37"/>
  <c r="F74" i="37"/>
  <c r="J12" i="37"/>
  <c r="S32" i="39"/>
  <c r="E129" i="37"/>
  <c r="M58" i="37"/>
  <c r="X88" i="37"/>
  <c r="U121" i="37"/>
  <c r="S42" i="37"/>
  <c r="T133" i="37"/>
  <c r="U138" i="37"/>
  <c r="I28" i="37"/>
  <c r="P76" i="37"/>
  <c r="J111" i="37"/>
  <c r="S162" i="72"/>
  <c r="Z156" i="37"/>
  <c r="I68" i="37"/>
  <c r="AD125" i="37"/>
  <c r="T158" i="72"/>
  <c r="I129" i="37"/>
  <c r="AE155" i="37"/>
  <c r="E52" i="37"/>
  <c r="K23" i="39"/>
  <c r="AD154" i="37"/>
  <c r="E122" i="37"/>
  <c r="R147" i="37"/>
  <c r="O102" i="37"/>
  <c r="AD49" i="37"/>
  <c r="C23" i="39"/>
  <c r="H40" i="37"/>
  <c r="U177" i="72"/>
  <c r="M122" i="37"/>
  <c r="G50" i="37"/>
  <c r="W156" i="72"/>
  <c r="R36" i="39"/>
  <c r="G12" i="37"/>
  <c r="L56" i="37"/>
  <c r="G30" i="39"/>
  <c r="U99" i="37"/>
  <c r="W180" i="72"/>
  <c r="Y114" i="37"/>
  <c r="Q98" i="37"/>
  <c r="G147" i="37"/>
  <c r="Q95" i="37"/>
  <c r="X54" i="37"/>
  <c r="G29" i="39"/>
  <c r="I124" i="37"/>
  <c r="E135" i="37"/>
  <c r="U83" i="37"/>
  <c r="I138" i="37"/>
  <c r="P147" i="37"/>
  <c r="AE40" i="37"/>
  <c r="T179" i="72"/>
  <c r="L62" i="37"/>
  <c r="AB139" i="37"/>
  <c r="AF120" i="37"/>
  <c r="D50" i="37"/>
  <c r="I73" i="37"/>
  <c r="I117" i="37"/>
  <c r="I27" i="39"/>
  <c r="H35" i="37"/>
  <c r="AE145" i="37"/>
  <c r="I72" i="37"/>
  <c r="S10" i="37"/>
  <c r="H18" i="39"/>
  <c r="AA97" i="37"/>
  <c r="X155" i="37"/>
  <c r="T10" i="37"/>
  <c r="AE131" i="37"/>
  <c r="X118" i="37"/>
  <c r="C115" i="37"/>
  <c r="G144" i="37"/>
  <c r="K17" i="39"/>
  <c r="D22" i="37"/>
  <c r="V123" i="37"/>
  <c r="AB37" i="37"/>
  <c r="H105" i="37"/>
  <c r="AF40" i="37"/>
  <c r="AB88" i="37"/>
  <c r="M29" i="39"/>
  <c r="K130" i="37"/>
  <c r="T112" i="37"/>
  <c r="N87" i="37"/>
  <c r="AD119" i="37"/>
  <c r="F17" i="39"/>
  <c r="V54" i="37"/>
  <c r="R137" i="37"/>
  <c r="AD73" i="37"/>
  <c r="AC63" i="37"/>
  <c r="M89" i="37"/>
  <c r="AF78" i="37"/>
  <c r="H144" i="37"/>
  <c r="D72" i="37"/>
  <c r="J88" i="37"/>
  <c r="X82" i="37"/>
  <c r="I25" i="39"/>
  <c r="AF137" i="37"/>
  <c r="AB83" i="37"/>
  <c r="N103" i="37"/>
  <c r="T20" i="37"/>
  <c r="F77" i="37"/>
  <c r="N14" i="39"/>
  <c r="W154" i="37"/>
  <c r="I83" i="37"/>
  <c r="C19" i="39"/>
  <c r="AF124" i="37"/>
  <c r="M68" i="37"/>
  <c r="X84" i="37"/>
  <c r="J51" i="37"/>
  <c r="L68" i="37"/>
  <c r="S168" i="72"/>
  <c r="U33" i="37"/>
  <c r="Y147" i="37"/>
  <c r="X21" i="37"/>
  <c r="J104" i="37"/>
  <c r="M17" i="39"/>
  <c r="G32" i="39"/>
  <c r="W153" i="72"/>
  <c r="Z142" i="37"/>
  <c r="Y90" i="37"/>
  <c r="X144" i="37"/>
  <c r="S14" i="39"/>
  <c r="AB53" i="37"/>
  <c r="R45" i="37"/>
  <c r="S37" i="39"/>
  <c r="AC110" i="37"/>
  <c r="N126" i="37"/>
  <c r="I33" i="37"/>
  <c r="Y42" i="37"/>
  <c r="E72" i="37"/>
  <c r="X92" i="37"/>
  <c r="Y117" i="37"/>
  <c r="Y14" i="37"/>
  <c r="R34" i="39"/>
  <c r="AF21" i="37"/>
  <c r="E94" i="37"/>
  <c r="I155" i="37"/>
  <c r="E22" i="37"/>
  <c r="AA139" i="37"/>
  <c r="X13" i="37"/>
  <c r="U69" i="37"/>
  <c r="T32" i="39"/>
  <c r="S35" i="39"/>
  <c r="AE129" i="37"/>
  <c r="K12" i="37"/>
  <c r="AB22" i="37"/>
  <c r="J80" i="37"/>
  <c r="Q136" i="37"/>
  <c r="AE154" i="37"/>
  <c r="AC124" i="37"/>
  <c r="X107" i="37"/>
  <c r="V133" i="37"/>
  <c r="S180" i="72"/>
  <c r="L13" i="39"/>
  <c r="AD123" i="37"/>
  <c r="D13" i="39"/>
  <c r="X41" i="37"/>
  <c r="G68" i="37"/>
  <c r="I57" i="37"/>
  <c r="J25" i="37"/>
  <c r="G54" i="37"/>
  <c r="P12" i="37"/>
  <c r="R138" i="37"/>
  <c r="Z26" i="37"/>
  <c r="X112" i="37"/>
  <c r="S150" i="37"/>
  <c r="G44" i="37"/>
  <c r="Q93" i="37"/>
  <c r="Q125" i="37"/>
  <c r="AF136" i="37"/>
  <c r="V179" i="72"/>
  <c r="F68" i="37"/>
  <c r="U32" i="37"/>
  <c r="T115" i="37"/>
  <c r="AC84" i="37"/>
  <c r="G38" i="37"/>
  <c r="M93" i="37"/>
  <c r="AE107" i="37"/>
  <c r="Y100" i="37"/>
  <c r="AB29" i="37"/>
  <c r="X78" i="37"/>
  <c r="N139" i="37"/>
  <c r="P18" i="39"/>
  <c r="J18" i="37"/>
  <c r="Y104" i="37"/>
  <c r="I45" i="37"/>
  <c r="M24" i="39"/>
  <c r="Q149" i="37"/>
  <c r="H20" i="39"/>
  <c r="M67" i="37"/>
  <c r="U171" i="72"/>
  <c r="O27" i="39"/>
  <c r="Y103" i="37"/>
  <c r="AA107" i="37"/>
  <c r="C154" i="37"/>
  <c r="AB133" i="37"/>
  <c r="Q52" i="37"/>
  <c r="X43" i="37"/>
  <c r="K66" i="37"/>
  <c r="K113" i="37"/>
  <c r="V122" i="37"/>
  <c r="X110" i="37"/>
  <c r="AA20" i="37"/>
  <c r="C123" i="37"/>
  <c r="J65" i="37"/>
  <c r="AF115" i="37"/>
  <c r="X34" i="37"/>
  <c r="R50" i="37"/>
  <c r="E90" i="37"/>
  <c r="AA79" i="37"/>
  <c r="V138" i="37"/>
  <c r="P91" i="37"/>
  <c r="O26" i="37"/>
  <c r="J149" i="37"/>
  <c r="M65" i="37"/>
  <c r="V85" i="37"/>
  <c r="V84" i="37"/>
  <c r="Z10" i="37"/>
  <c r="AE78" i="37"/>
  <c r="L147" i="37"/>
  <c r="AD100" i="37"/>
  <c r="Q110" i="37"/>
  <c r="N33" i="37"/>
  <c r="AF131" i="37"/>
  <c r="W38" i="37"/>
  <c r="J136" i="37"/>
  <c r="E77" i="37"/>
  <c r="U38" i="37"/>
  <c r="AD84" i="37"/>
  <c r="X96" i="37"/>
  <c r="Y12" i="37"/>
  <c r="Y22" i="37"/>
  <c r="AF133" i="37"/>
  <c r="AD148" i="37"/>
  <c r="Z107" i="37"/>
  <c r="D12" i="37"/>
  <c r="G28" i="37"/>
  <c r="X69" i="37"/>
  <c r="H127" i="37"/>
  <c r="U123" i="37"/>
  <c r="F51" i="37"/>
  <c r="L146" i="37"/>
  <c r="Y113" i="37"/>
  <c r="I84" i="37"/>
  <c r="AB32" i="37"/>
  <c r="AC101" i="37"/>
  <c r="AA93" i="37"/>
  <c r="Z127" i="37"/>
  <c r="G125" i="37"/>
  <c r="G37" i="39"/>
  <c r="M137" i="37"/>
  <c r="AD144" i="37"/>
  <c r="D105" i="37"/>
  <c r="Q85" i="37"/>
  <c r="I151" i="37"/>
  <c r="D147" i="37"/>
  <c r="C81" i="37"/>
  <c r="N107" i="37"/>
  <c r="U132" i="37"/>
  <c r="I21" i="39"/>
  <c r="M155" i="37"/>
  <c r="I9" i="39"/>
  <c r="AB67" i="37"/>
  <c r="D150" i="37"/>
  <c r="S156" i="37"/>
  <c r="P22" i="37"/>
  <c r="N96" i="37"/>
  <c r="AA14" i="37"/>
  <c r="V52" i="37"/>
  <c r="G121" i="37"/>
  <c r="C65" i="37"/>
  <c r="W155" i="72"/>
  <c r="J37" i="37"/>
  <c r="U173" i="72"/>
  <c r="M87" i="37"/>
  <c r="AD155" i="37"/>
  <c r="AF153" i="37"/>
  <c r="J57" i="37"/>
  <c r="Q19" i="39"/>
  <c r="AD111" i="37"/>
  <c r="U55" i="37"/>
  <c r="Q26" i="37"/>
  <c r="M23" i="37"/>
  <c r="D155" i="37"/>
  <c r="Z136" i="37"/>
  <c r="I63" i="37"/>
  <c r="Q27" i="39"/>
  <c r="S43" i="37"/>
  <c r="AB126" i="37"/>
  <c r="H151" i="37"/>
  <c r="U92" i="37"/>
  <c r="J31" i="39"/>
  <c r="J13" i="37"/>
  <c r="M83" i="37"/>
  <c r="W153" i="37"/>
  <c r="P127" i="37"/>
  <c r="O82" i="37"/>
  <c r="Q94" i="37"/>
  <c r="Q36" i="37"/>
  <c r="E69" i="37"/>
  <c r="S92" i="37"/>
  <c r="E120" i="37"/>
  <c r="I19" i="39"/>
  <c r="K139" i="37"/>
  <c r="U180" i="72"/>
  <c r="G156" i="37"/>
  <c r="AD13" i="37"/>
  <c r="T29" i="39"/>
  <c r="V162" i="72"/>
  <c r="AD77" i="37"/>
  <c r="Y128" i="37"/>
  <c r="W83" i="37"/>
  <c r="O28" i="37"/>
  <c r="K26" i="39"/>
  <c r="O65" i="37"/>
  <c r="AB40" i="37"/>
  <c r="Y43" i="37"/>
  <c r="D131" i="37"/>
  <c r="T174" i="72"/>
  <c r="F79" i="37"/>
  <c r="E149" i="37"/>
  <c r="W90" i="37"/>
  <c r="W93" i="37"/>
  <c r="F55" i="37"/>
  <c r="O103" i="37"/>
  <c r="X76" i="37"/>
  <c r="E34" i="39"/>
  <c r="W14" i="37"/>
  <c r="D23" i="39"/>
  <c r="AF90" i="37"/>
  <c r="S74" i="37"/>
  <c r="S159" i="72"/>
  <c r="AB65" i="37"/>
  <c r="M64" i="37"/>
  <c r="X114" i="37"/>
  <c r="H83" i="37"/>
  <c r="N98" i="37"/>
  <c r="AE103" i="37"/>
  <c r="R15" i="37"/>
  <c r="U100" i="37"/>
  <c r="O35" i="37"/>
  <c r="K8" i="39"/>
  <c r="S78" i="37"/>
  <c r="O131" i="37"/>
  <c r="AC130" i="37"/>
  <c r="AE84" i="37"/>
  <c r="T136" i="37"/>
  <c r="O130" i="37"/>
  <c r="R124" i="37"/>
  <c r="I126" i="37"/>
  <c r="F32" i="37"/>
  <c r="V107" i="37"/>
  <c r="AD67" i="37"/>
  <c r="S157" i="37"/>
  <c r="AB79" i="37"/>
  <c r="D24" i="39"/>
  <c r="E25" i="37"/>
  <c r="AA88" i="37"/>
  <c r="N19" i="37"/>
  <c r="D102" i="37"/>
  <c r="H138" i="37"/>
  <c r="N104" i="37"/>
  <c r="R82" i="37"/>
  <c r="O106" i="37"/>
  <c r="H69" i="37"/>
  <c r="L13" i="37"/>
  <c r="R62" i="37"/>
  <c r="AF151" i="37"/>
  <c r="T102" i="37"/>
  <c r="P121" i="37"/>
  <c r="Q126" i="37"/>
  <c r="AB58" i="37"/>
  <c r="M45" i="37"/>
  <c r="Z55" i="37"/>
  <c r="C133" i="37"/>
  <c r="V25" i="37"/>
  <c r="O81" i="37"/>
  <c r="AD29" i="37"/>
  <c r="G106" i="37"/>
  <c r="M26" i="39"/>
  <c r="AC128" i="37"/>
  <c r="Z131" i="37"/>
  <c r="G18" i="37"/>
  <c r="E50" i="37"/>
  <c r="G116" i="37"/>
  <c r="G24" i="39"/>
  <c r="AB129" i="37"/>
  <c r="U147" i="37"/>
  <c r="W85" i="37"/>
  <c r="V146" i="37"/>
  <c r="AD128" i="37"/>
  <c r="AE123" i="37"/>
  <c r="AE100" i="37"/>
  <c r="P79" i="37"/>
  <c r="K81" i="37"/>
  <c r="R13" i="39"/>
  <c r="J93" i="37"/>
  <c r="Y11" i="37"/>
  <c r="AC133" i="37"/>
  <c r="F29" i="39"/>
  <c r="AD35" i="37"/>
  <c r="V42" i="37"/>
  <c r="S13" i="37"/>
  <c r="AD157" i="37"/>
  <c r="AA117" i="37"/>
  <c r="D119" i="37"/>
  <c r="J138" i="37"/>
  <c r="G33" i="37"/>
  <c r="T110" i="37"/>
  <c r="T155" i="37"/>
  <c r="D21" i="39"/>
  <c r="U50" i="37"/>
  <c r="S38" i="37"/>
  <c r="K115" i="37"/>
  <c r="G93" i="37"/>
  <c r="R99" i="37"/>
  <c r="Z133" i="37"/>
  <c r="N32" i="39"/>
  <c r="I145" i="37"/>
  <c r="R68" i="37"/>
  <c r="O129" i="37"/>
  <c r="W64" i="37"/>
  <c r="O121" i="37"/>
  <c r="Q122" i="37"/>
  <c r="F142" i="37"/>
  <c r="B28" i="39"/>
  <c r="T165" i="72"/>
  <c r="D65" i="37"/>
  <c r="AE29" i="37"/>
  <c r="C111" i="37"/>
  <c r="E28" i="37"/>
  <c r="J98" i="37"/>
  <c r="K74" i="37"/>
  <c r="F86" i="37"/>
  <c r="AB156" i="37"/>
  <c r="V131" i="37"/>
  <c r="R22" i="37"/>
  <c r="AD56" i="37"/>
  <c r="X55" i="37"/>
  <c r="AD120" i="37"/>
  <c r="L11" i="39"/>
  <c r="G43" i="37"/>
  <c r="AF119" i="37"/>
  <c r="X53" i="37"/>
  <c r="M80" i="37"/>
  <c r="U174" i="72"/>
  <c r="Q152" i="37"/>
  <c r="AC103" i="37"/>
  <c r="P114" i="37"/>
  <c r="U144" i="37"/>
  <c r="G37" i="37"/>
  <c r="E24" i="39"/>
  <c r="E33" i="39"/>
  <c r="G127" i="37"/>
  <c r="AB142" i="37"/>
  <c r="P87" i="37"/>
  <c r="Y73" i="37"/>
  <c r="Z106" i="37"/>
  <c r="D128" i="37"/>
  <c r="C11" i="39"/>
  <c r="AA26" i="37"/>
  <c r="U129" i="37"/>
  <c r="V74" i="37"/>
  <c r="AA57" i="37"/>
  <c r="P24" i="37"/>
  <c r="S40" i="37"/>
  <c r="D22" i="39"/>
  <c r="I105" i="37"/>
  <c r="Q10" i="37"/>
  <c r="AB50" i="37"/>
  <c r="H54" i="37"/>
  <c r="O21" i="37"/>
  <c r="W173" i="72"/>
  <c r="AD139" i="37"/>
  <c r="Y89" i="37"/>
  <c r="H30" i="39"/>
  <c r="AD41" i="37"/>
  <c r="N92" i="37"/>
  <c r="L15" i="37"/>
  <c r="U175" i="72"/>
  <c r="V178" i="72"/>
  <c r="N35" i="39"/>
  <c r="R61" i="37"/>
  <c r="AC139" i="37"/>
  <c r="U168" i="72"/>
  <c r="R22" i="39"/>
  <c r="F129" i="37"/>
  <c r="X85" i="37"/>
  <c r="N24" i="39"/>
  <c r="P81" i="37"/>
  <c r="J79" i="37"/>
  <c r="M50" i="37"/>
  <c r="W92" i="37"/>
  <c r="V32" i="37"/>
  <c r="L78" i="37"/>
  <c r="T94" i="37"/>
  <c r="Y68" i="37"/>
  <c r="K153" i="37"/>
  <c r="U125" i="37"/>
  <c r="O148" i="37"/>
  <c r="R177" i="72"/>
  <c r="V156" i="37"/>
  <c r="AE156" i="37"/>
  <c r="AD103" i="37"/>
  <c r="J62" i="37"/>
  <c r="O63" i="37"/>
  <c r="F33" i="39"/>
  <c r="I40" i="37"/>
  <c r="F93" i="37"/>
  <c r="M21" i="39"/>
  <c r="O13" i="39"/>
  <c r="AD23" i="37"/>
  <c r="N26" i="39"/>
  <c r="L151" i="37"/>
  <c r="D34" i="37"/>
  <c r="Y139" i="37"/>
  <c r="Y37" i="37"/>
  <c r="C116" i="37"/>
  <c r="L124" i="37"/>
  <c r="T100" i="37"/>
  <c r="O37" i="37"/>
  <c r="O123" i="37"/>
  <c r="K142" i="37"/>
  <c r="V27" i="37"/>
  <c r="K33" i="39"/>
  <c r="AE121" i="37"/>
  <c r="X101" i="37"/>
  <c r="V103" i="37"/>
  <c r="M101" i="37"/>
  <c r="W78" i="37"/>
  <c r="T93" i="37"/>
  <c r="J15" i="37"/>
  <c r="G56" i="37"/>
  <c r="E137" i="37"/>
  <c r="J73" i="37"/>
  <c r="T28" i="39"/>
  <c r="Z118" i="37"/>
  <c r="L45" i="37"/>
  <c r="F121" i="37"/>
  <c r="Q86" i="37"/>
  <c r="O10" i="39"/>
  <c r="AA119" i="37"/>
  <c r="J12" i="39"/>
  <c r="D101" i="37"/>
  <c r="D135" i="37"/>
  <c r="J28" i="39"/>
  <c r="Y50" i="37"/>
  <c r="K27" i="39"/>
  <c r="X142" i="37"/>
  <c r="AF100" i="37"/>
  <c r="M43" i="37"/>
  <c r="D89" i="37"/>
  <c r="S120" i="37"/>
  <c r="G92" i="37"/>
  <c r="L139" i="37"/>
  <c r="Q118" i="37"/>
  <c r="N153" i="37"/>
  <c r="AF51" i="37"/>
  <c r="W175" i="72"/>
  <c r="D28" i="37"/>
  <c r="H11" i="37"/>
  <c r="E148" i="37"/>
  <c r="Z20" i="37"/>
  <c r="H95" i="37"/>
  <c r="U62" i="37"/>
  <c r="T64" i="37"/>
  <c r="I29" i="37"/>
  <c r="U116" i="37"/>
  <c r="G67" i="37"/>
  <c r="L38" i="37"/>
  <c r="N99" i="37"/>
  <c r="D33" i="37"/>
  <c r="K94" i="37"/>
  <c r="Y148" i="37"/>
  <c r="N121" i="37"/>
  <c r="K96" i="37"/>
  <c r="M145" i="37"/>
  <c r="K20" i="39"/>
  <c r="C11" i="37"/>
  <c r="V148" i="37"/>
  <c r="K69" i="37"/>
  <c r="W167" i="72"/>
  <c r="M55" i="37"/>
  <c r="E124" i="37"/>
  <c r="P42" i="37"/>
  <c r="K118" i="37"/>
  <c r="U101" i="37"/>
  <c r="AE92" i="37"/>
  <c r="R13" i="37"/>
  <c r="Z116" i="37"/>
  <c r="AE91" i="37"/>
  <c r="U28" i="39"/>
  <c r="AB111" i="37"/>
  <c r="AE61" i="37"/>
  <c r="D116" i="37"/>
  <c r="J13" i="39"/>
  <c r="N11" i="39"/>
  <c r="Q75" i="37"/>
  <c r="E156" i="37"/>
  <c r="AE52" i="37"/>
  <c r="E87" i="37"/>
  <c r="Y132" i="37"/>
  <c r="I133" i="37"/>
  <c r="L157" i="37"/>
  <c r="S28" i="39"/>
  <c r="S55" i="37"/>
  <c r="S156" i="72"/>
  <c r="T160" i="72"/>
  <c r="AF79" i="37"/>
  <c r="P22" i="39"/>
  <c r="I35" i="39"/>
  <c r="AD115" i="37"/>
  <c r="I81" i="37"/>
  <c r="R18" i="39"/>
  <c r="AE110" i="37"/>
  <c r="AE10" i="37"/>
  <c r="X97" i="37"/>
  <c r="W138" i="37"/>
  <c r="R11" i="37"/>
  <c r="Z154" i="37"/>
  <c r="D129" i="37"/>
  <c r="M102" i="37"/>
  <c r="U12" i="37"/>
  <c r="I11" i="37"/>
  <c r="D28" i="39"/>
  <c r="L155" i="37"/>
  <c r="R80" i="37"/>
  <c r="I125" i="37"/>
  <c r="C104" i="37"/>
  <c r="O12" i="39"/>
  <c r="S15" i="39"/>
  <c r="I54" i="37"/>
  <c r="E154" i="37"/>
  <c r="P27" i="39"/>
  <c r="H48" i="37"/>
  <c r="V112" i="37"/>
  <c r="O73" i="37"/>
  <c r="L7" i="37"/>
  <c r="AA11" i="37"/>
  <c r="M18" i="39"/>
  <c r="AC75" i="37"/>
  <c r="AA145" i="37"/>
  <c r="E37" i="39"/>
  <c r="D36" i="39"/>
  <c r="Y91" i="37"/>
  <c r="I33" i="39"/>
  <c r="P44" i="37"/>
  <c r="H13" i="37"/>
  <c r="E57" i="37"/>
  <c r="AA37" i="37"/>
  <c r="R105" i="37"/>
  <c r="R178" i="72"/>
  <c r="G150" i="37"/>
  <c r="AB19" i="37"/>
  <c r="P100" i="37"/>
  <c r="L58" i="37"/>
  <c r="L77" i="37"/>
  <c r="J55" i="37"/>
  <c r="AE118" i="37"/>
  <c r="AB12" i="37"/>
  <c r="AC151" i="37"/>
  <c r="R74" i="37"/>
  <c r="AA94" i="37"/>
  <c r="G24" i="37"/>
  <c r="X99" i="37"/>
  <c r="X48" i="37"/>
  <c r="P24" i="39"/>
  <c r="Q127" i="37"/>
  <c r="M10" i="39"/>
  <c r="D67" i="37"/>
  <c r="H118" i="37"/>
  <c r="L66" i="37"/>
  <c r="I128" i="37"/>
  <c r="AB35" i="37"/>
  <c r="T152" i="72"/>
  <c r="S11" i="39"/>
  <c r="AC48" i="37"/>
  <c r="N69" i="37"/>
  <c r="E136" i="37"/>
  <c r="U113" i="37"/>
  <c r="AF86" i="37"/>
  <c r="V159" i="72"/>
  <c r="G10" i="37"/>
  <c r="F92" i="37"/>
  <c r="AB93" i="37"/>
  <c r="AC119" i="37"/>
  <c r="Y29" i="37"/>
  <c r="AF149" i="37"/>
  <c r="J75" i="37"/>
  <c r="P49" i="37"/>
  <c r="AC150" i="37"/>
  <c r="U32" i="39"/>
  <c r="C29" i="37"/>
  <c r="I55" i="37"/>
  <c r="AA152" i="37"/>
  <c r="J16" i="39"/>
  <c r="M82" i="37"/>
  <c r="G98" i="37"/>
  <c r="H26" i="39"/>
  <c r="V38" i="37"/>
  <c r="H34" i="39"/>
  <c r="AC23" i="37"/>
  <c r="D156" i="37"/>
  <c r="AC54" i="37"/>
  <c r="H78" i="37"/>
  <c r="S153" i="37"/>
  <c r="F56" i="37"/>
  <c r="S167" i="72"/>
  <c r="AD137" i="37"/>
  <c r="AA128" i="37"/>
  <c r="M14" i="39"/>
  <c r="H103" i="37"/>
  <c r="AC90" i="37"/>
  <c r="K37" i="37"/>
  <c r="Q83" i="37"/>
  <c r="F14" i="39"/>
  <c r="N127" i="37"/>
  <c r="X26" i="37"/>
  <c r="AF93" i="37"/>
  <c r="AC42" i="37"/>
  <c r="E130" i="37"/>
  <c r="S131" i="37"/>
  <c r="D10" i="39"/>
  <c r="AF105" i="37"/>
  <c r="AC51" i="37"/>
  <c r="H56" i="37"/>
  <c r="AF84" i="37"/>
  <c r="P117" i="37"/>
  <c r="Z53" i="37"/>
  <c r="I107" i="37"/>
  <c r="AE119" i="37"/>
  <c r="G114" i="37"/>
  <c r="P122" i="37"/>
  <c r="AC37" i="37"/>
  <c r="W112" i="37"/>
  <c r="Z155" i="37"/>
  <c r="C13" i="37"/>
  <c r="F7" i="37"/>
  <c r="E105" i="37"/>
  <c r="W111" i="37"/>
  <c r="AB157" i="37"/>
  <c r="I75" i="37"/>
  <c r="M26" i="37"/>
  <c r="H36" i="37"/>
  <c r="AF33" i="37"/>
  <c r="E68" i="37"/>
  <c r="J152" i="37"/>
  <c r="H145" i="37"/>
  <c r="S139" i="37"/>
  <c r="F133" i="37"/>
  <c r="C101" i="37"/>
  <c r="Y38" i="37"/>
  <c r="AF18" i="37"/>
  <c r="T157" i="37"/>
  <c r="AF73" i="37"/>
  <c r="AB101" i="37"/>
  <c r="AD11" i="37"/>
  <c r="U86" i="37"/>
  <c r="AC138" i="37"/>
  <c r="R133" i="37"/>
  <c r="C125" i="37"/>
  <c r="L61" i="37"/>
  <c r="Z18" i="37"/>
  <c r="H58" i="37"/>
  <c r="G72" i="37"/>
  <c r="Q56" i="37"/>
  <c r="S166" i="72"/>
  <c r="W67" i="37"/>
  <c r="V106" i="37"/>
  <c r="C23" i="37"/>
  <c r="AE86" i="37"/>
  <c r="V80" i="37"/>
  <c r="T157" i="72"/>
  <c r="Z58" i="37"/>
  <c r="K144" i="37"/>
  <c r="AB18" i="37"/>
  <c r="W106" i="37"/>
  <c r="M110" i="37"/>
  <c r="Y95" i="37"/>
  <c r="AF63" i="37"/>
  <c r="G99" i="37"/>
  <c r="C149" i="37"/>
  <c r="N33" i="39"/>
  <c r="M27" i="37"/>
  <c r="D97" i="37"/>
  <c r="P156" i="37"/>
  <c r="I22" i="39"/>
  <c r="H137" i="37"/>
  <c r="H88" i="37"/>
  <c r="P89" i="37"/>
  <c r="K56" i="37"/>
  <c r="N106" i="37"/>
  <c r="L85" i="37"/>
  <c r="AB24" i="37"/>
  <c r="W49" i="37"/>
  <c r="O126" i="37"/>
  <c r="K114" i="37"/>
  <c r="N132" i="37"/>
  <c r="E25" i="39"/>
  <c r="AC85" i="37"/>
  <c r="AD27" i="37"/>
  <c r="C10" i="39"/>
  <c r="D40" i="37"/>
  <c r="AD130" i="37"/>
  <c r="E91" i="37"/>
  <c r="V72" i="37"/>
  <c r="Y123" i="37"/>
  <c r="T61" i="37"/>
  <c r="P25" i="39"/>
  <c r="AC66" i="37"/>
  <c r="R57" i="37"/>
  <c r="S51" i="37"/>
  <c r="G79" i="37"/>
  <c r="Q137" i="37"/>
  <c r="G151" i="37"/>
  <c r="X64" i="37"/>
  <c r="N67" i="37"/>
  <c r="F123" i="37"/>
  <c r="Z148" i="37"/>
  <c r="P95" i="37"/>
  <c r="AC67" i="37"/>
  <c r="R49" i="37"/>
  <c r="J89" i="37"/>
  <c r="Q50" i="37"/>
  <c r="U163" i="72"/>
  <c r="T103" i="37"/>
  <c r="C144" i="37"/>
  <c r="R132" i="37"/>
  <c r="C151" i="37"/>
  <c r="K102" i="37"/>
  <c r="F103" i="37"/>
  <c r="G20" i="39"/>
  <c r="T86" i="37"/>
  <c r="R32" i="37"/>
  <c r="Z64" i="37"/>
  <c r="T129" i="37"/>
  <c r="L127" i="37"/>
  <c r="K13" i="39"/>
  <c r="S147" i="37"/>
  <c r="Q37" i="39"/>
  <c r="G138" i="37"/>
  <c r="I36" i="39"/>
  <c r="K44" i="37"/>
  <c r="AF157" i="37"/>
  <c r="M28" i="39"/>
  <c r="M154" i="37"/>
  <c r="I17" i="39"/>
  <c r="L103" i="37"/>
  <c r="M29" i="37"/>
  <c r="M134" i="37"/>
  <c r="O88" i="37"/>
  <c r="M12" i="39"/>
  <c r="AE82" i="37"/>
  <c r="Z119" i="37"/>
  <c r="Z113" i="37"/>
  <c r="F42" i="37"/>
  <c r="AB97" i="37"/>
  <c r="AA89" i="37"/>
  <c r="V110" i="37"/>
  <c r="AC45" i="37"/>
  <c r="J36" i="39"/>
  <c r="J84" i="37"/>
  <c r="AC49" i="37"/>
  <c r="AC78" i="37"/>
  <c r="S148" i="37"/>
  <c r="O23" i="39"/>
  <c r="W107" i="37"/>
  <c r="O153" i="37"/>
  <c r="N142" i="37"/>
  <c r="X138" i="37"/>
  <c r="AC20" i="37"/>
  <c r="P135" i="37"/>
  <c r="E31" i="39"/>
  <c r="R103" i="37"/>
  <c r="H130" i="37"/>
  <c r="U104" i="37"/>
  <c r="W126" i="37"/>
  <c r="C95" i="37"/>
  <c r="M69" i="37"/>
  <c r="T37" i="37"/>
  <c r="W158" i="72"/>
  <c r="K15" i="37"/>
  <c r="E36" i="39"/>
  <c r="L8" i="39"/>
  <c r="J26" i="37"/>
  <c r="X72" i="37"/>
  <c r="G29" i="37"/>
  <c r="M119" i="37"/>
  <c r="V68" i="37"/>
  <c r="Q28" i="39"/>
  <c r="U36" i="37"/>
  <c r="AC35" i="37"/>
  <c r="C99" i="37"/>
  <c r="H55" i="37"/>
  <c r="I120" i="37"/>
  <c r="O64" i="37"/>
  <c r="D78" i="37"/>
  <c r="U90" i="37"/>
  <c r="S12" i="39"/>
  <c r="V172" i="72"/>
  <c r="K131" i="37"/>
  <c r="AC145" i="37"/>
  <c r="Y107" i="37"/>
  <c r="H39" i="37"/>
  <c r="G87" i="37"/>
  <c r="C143" i="37"/>
  <c r="Q29" i="37"/>
  <c r="N23" i="39"/>
  <c r="P129" i="37"/>
  <c r="F107" i="37"/>
  <c r="S118" i="37"/>
  <c r="O98" i="37"/>
  <c r="L75" i="37"/>
  <c r="D125" i="37"/>
  <c r="T118" i="37"/>
  <c r="AC24" i="37"/>
  <c r="V114" i="37"/>
  <c r="M138" i="37"/>
  <c r="AF64" i="37"/>
  <c r="B29" i="39"/>
  <c r="Z34" i="37"/>
  <c r="M37" i="39"/>
  <c r="L20" i="39"/>
  <c r="M21" i="37"/>
  <c r="M136" i="37"/>
  <c r="AC156" i="37"/>
  <c r="E27" i="37"/>
  <c r="AC120" i="37"/>
  <c r="K128" i="37"/>
  <c r="T117" i="37"/>
  <c r="Y63" i="37"/>
  <c r="L116" i="37"/>
  <c r="D106" i="37"/>
  <c r="S103" i="37"/>
  <c r="AC68" i="37"/>
  <c r="H61" i="37"/>
  <c r="AA42" i="37"/>
  <c r="K78" i="37"/>
  <c r="AE12" i="37"/>
  <c r="P97" i="37"/>
  <c r="Q42" i="37"/>
  <c r="N133" i="37"/>
  <c r="Y66" i="37"/>
  <c r="I8" i="39"/>
  <c r="P63" i="37"/>
  <c r="E13" i="39"/>
  <c r="D148" i="37"/>
  <c r="C132" i="37"/>
  <c r="H15" i="39"/>
  <c r="AB114" i="37"/>
  <c r="F8" i="39"/>
  <c r="AD42" i="37"/>
  <c r="AE116" i="37"/>
  <c r="AB98" i="37"/>
  <c r="N20" i="39"/>
  <c r="R129" i="37"/>
  <c r="S132" i="37"/>
  <c r="T39" i="37"/>
  <c r="AA112" i="37"/>
  <c r="G120" i="37"/>
  <c r="AE63" i="37"/>
  <c r="AF65" i="37"/>
  <c r="D44" i="37"/>
  <c r="O26" i="39"/>
  <c r="P77" i="37"/>
  <c r="J23" i="39"/>
  <c r="M7" i="37"/>
  <c r="L126" i="37"/>
  <c r="AA111" i="37"/>
  <c r="J11" i="37"/>
  <c r="J45" i="37"/>
  <c r="AC106" i="37"/>
  <c r="M144" i="37"/>
  <c r="F90" i="37"/>
  <c r="P90" i="37"/>
  <c r="X68" i="37"/>
  <c r="AC40" i="37"/>
  <c r="E39" i="37"/>
  <c r="AD45" i="37"/>
  <c r="H93" i="37"/>
  <c r="X75" i="37"/>
  <c r="AF74" i="37"/>
  <c r="R19" i="37"/>
  <c r="N56" i="37"/>
  <c r="V95" i="37"/>
  <c r="S17" i="39"/>
  <c r="C34" i="37"/>
  <c r="E15" i="37"/>
  <c r="AE101" i="37"/>
  <c r="Z103" i="37"/>
  <c r="H19" i="37"/>
  <c r="R112" i="37"/>
  <c r="L21" i="39"/>
  <c r="Z54" i="37"/>
  <c r="J100" i="37"/>
  <c r="C119" i="37"/>
  <c r="M24" i="37"/>
  <c r="AD102" i="37"/>
  <c r="T22" i="37"/>
  <c r="C155" i="37"/>
  <c r="G27" i="39"/>
  <c r="AE21" i="37"/>
  <c r="S24" i="37"/>
  <c r="W37" i="37"/>
  <c r="C63" i="37"/>
  <c r="L67" i="37"/>
  <c r="U152" i="37"/>
  <c r="H14" i="37"/>
  <c r="G27" i="37"/>
  <c r="O136" i="37"/>
  <c r="W162" i="72"/>
  <c r="T67" i="37"/>
  <c r="S110" i="37"/>
  <c r="L100" i="37"/>
  <c r="G115" i="37"/>
  <c r="D99" i="37"/>
  <c r="AA56" i="37"/>
  <c r="J126" i="37"/>
  <c r="G35" i="39"/>
  <c r="AF62" i="37"/>
  <c r="AD113" i="37"/>
  <c r="N36" i="37"/>
  <c r="K87" i="37"/>
  <c r="E17" i="39"/>
  <c r="S27" i="37"/>
  <c r="U24" i="37"/>
  <c r="AE7" i="37"/>
  <c r="W159" i="72"/>
  <c r="J147" i="37"/>
  <c r="W113" i="37"/>
  <c r="M81" i="37"/>
  <c r="N110" i="37"/>
  <c r="P23" i="37"/>
  <c r="H25" i="39"/>
  <c r="AF96" i="37"/>
  <c r="O27" i="37"/>
  <c r="G8" i="39"/>
  <c r="Z99" i="37"/>
  <c r="F14" i="37"/>
  <c r="D136" i="37"/>
  <c r="AE105" i="37"/>
  <c r="Z68" i="37"/>
  <c r="V157" i="72"/>
  <c r="Q49" i="37"/>
  <c r="P102" i="37"/>
  <c r="K28" i="39"/>
  <c r="AA98" i="37"/>
  <c r="AE99" i="37"/>
  <c r="AF67" i="37"/>
  <c r="D113" i="37"/>
  <c r="J144" i="37"/>
  <c r="AD22" i="37"/>
  <c r="W99" i="37"/>
  <c r="I154" i="37"/>
  <c r="W18" i="37"/>
  <c r="U157" i="72"/>
  <c r="Y119" i="37"/>
  <c r="Q128" i="37"/>
  <c r="V116" i="37"/>
  <c r="AF129" i="37"/>
  <c r="Q44" i="37"/>
  <c r="P120" i="37"/>
  <c r="D154" i="37"/>
  <c r="O110" i="37"/>
  <c r="P111" i="37"/>
  <c r="AD85" i="37"/>
  <c r="C16" i="39"/>
  <c r="AD10" i="37"/>
  <c r="O21" i="39"/>
  <c r="M19" i="39"/>
  <c r="S21" i="39"/>
  <c r="L143" i="37"/>
  <c r="C28" i="39"/>
  <c r="U30" i="39"/>
  <c r="E18" i="39"/>
  <c r="AE106" i="37"/>
  <c r="R176" i="72"/>
  <c r="G146" i="37"/>
  <c r="F20" i="39"/>
  <c r="Y97" i="37"/>
  <c r="P37" i="39"/>
  <c r="L125" i="37"/>
  <c r="N10" i="37"/>
  <c r="K155" i="37"/>
  <c r="N41" i="37"/>
  <c r="Q24" i="37"/>
  <c r="C121" i="37"/>
  <c r="J124" i="37"/>
  <c r="F105" i="37"/>
  <c r="AC126" i="37"/>
  <c r="S13" i="39"/>
  <c r="M111" i="37"/>
  <c r="S27" i="39"/>
  <c r="X102" i="37"/>
  <c r="S72" i="37"/>
  <c r="AE153" i="37"/>
  <c r="AD14" i="37"/>
  <c r="X45" i="37"/>
  <c r="E43" i="37"/>
  <c r="AB105" i="37"/>
  <c r="H32" i="37"/>
  <c r="Z49" i="37"/>
  <c r="AB56" i="37"/>
  <c r="L131" i="37"/>
  <c r="AA12" i="37"/>
  <c r="AA49" i="37"/>
  <c r="O10" i="37"/>
  <c r="Y36" i="37"/>
  <c r="L55" i="37"/>
  <c r="I102" i="37"/>
  <c r="AB77" i="37"/>
  <c r="J139" i="37"/>
  <c r="P7" i="37"/>
  <c r="L64" i="37"/>
  <c r="T38" i="37"/>
  <c r="Z51" i="37"/>
  <c r="C120" i="37"/>
  <c r="AD20" i="37"/>
  <c r="R154" i="37"/>
  <c r="L150" i="37"/>
  <c r="AA92" i="37"/>
  <c r="Q25" i="39"/>
  <c r="U95" i="37"/>
  <c r="C138" i="37"/>
  <c r="O107" i="37"/>
  <c r="R118" i="37"/>
  <c r="AA121" i="37"/>
  <c r="J125" i="37"/>
  <c r="Q88" i="37"/>
  <c r="C36" i="37"/>
  <c r="R104" i="37"/>
  <c r="Q130" i="37"/>
  <c r="F22" i="39"/>
  <c r="U179" i="72"/>
  <c r="L53" i="37"/>
  <c r="AF53" i="37"/>
  <c r="AE37" i="37"/>
  <c r="AD28" i="37"/>
  <c r="AC94" i="37"/>
  <c r="X35" i="37"/>
  <c r="H23" i="37"/>
  <c r="Q111" i="37"/>
  <c r="G89" i="37"/>
  <c r="R30" i="39"/>
  <c r="F32" i="39"/>
  <c r="X15" i="37"/>
  <c r="R131" i="37"/>
  <c r="U13" i="37"/>
  <c r="D74" i="37"/>
  <c r="Y33" i="37"/>
  <c r="D139" i="37"/>
  <c r="S7" i="37"/>
  <c r="K31" i="39"/>
  <c r="K76" i="37"/>
  <c r="L28" i="37"/>
  <c r="L23" i="37"/>
  <c r="S39" i="37"/>
  <c r="E133" i="37"/>
  <c r="K119" i="37"/>
  <c r="L101" i="37"/>
  <c r="W156" i="37"/>
  <c r="W89" i="37"/>
  <c r="S76" i="37"/>
  <c r="M20" i="39"/>
  <c r="E152" i="37"/>
  <c r="C153" i="37"/>
  <c r="G12" i="39"/>
  <c r="J22" i="37"/>
  <c r="AD135" i="37"/>
  <c r="W155" i="37"/>
  <c r="AE68" i="37"/>
  <c r="D90" i="37"/>
  <c r="AD156" i="37"/>
  <c r="G14" i="39"/>
  <c r="K75" i="37"/>
  <c r="V151" i="37"/>
  <c r="U14" i="37"/>
  <c r="P123" i="37"/>
  <c r="S49" i="37"/>
  <c r="U105" i="37"/>
  <c r="AA99" i="37"/>
  <c r="H101" i="37"/>
  <c r="U88" i="37"/>
  <c r="AB123" i="37"/>
  <c r="N23" i="37"/>
  <c r="Y13" i="37"/>
  <c r="AC29" i="37"/>
  <c r="L24" i="37"/>
  <c r="D31" i="39"/>
  <c r="N143" i="37"/>
  <c r="Q12" i="37"/>
  <c r="U98" i="37"/>
  <c r="O127" i="37"/>
  <c r="D26" i="39"/>
  <c r="L41" i="37"/>
  <c r="N29" i="39"/>
  <c r="Y21" i="37"/>
  <c r="AD40" i="37"/>
  <c r="R73" i="37"/>
  <c r="Z45" i="37"/>
  <c r="V97" i="37"/>
  <c r="E147" i="37"/>
  <c r="O22" i="37"/>
  <c r="V111" i="37"/>
  <c r="P151" i="37"/>
  <c r="K123" i="37"/>
  <c r="V50" i="37"/>
  <c r="V11" i="37"/>
  <c r="Y120" i="37"/>
  <c r="S45" i="37"/>
  <c r="AB104" i="37"/>
  <c r="T88" i="37"/>
  <c r="AD24" i="37"/>
  <c r="S85" i="37"/>
  <c r="AE142" i="37"/>
  <c r="N66" i="37"/>
  <c r="F15" i="37"/>
  <c r="T50" i="37"/>
  <c r="G81" i="37"/>
  <c r="G61" i="37"/>
  <c r="X86" i="37"/>
  <c r="E61" i="37"/>
  <c r="M13" i="39"/>
  <c r="AD61" i="37"/>
  <c r="X122" i="37"/>
  <c r="H73" i="37"/>
  <c r="AD150" i="37"/>
  <c r="S31" i="39"/>
  <c r="AD96" i="37"/>
  <c r="AF116" i="37"/>
  <c r="K28" i="37"/>
  <c r="M129" i="37"/>
  <c r="J76" i="37"/>
  <c r="H84" i="37"/>
  <c r="T41" i="37"/>
  <c r="AD98" i="37"/>
  <c r="F19" i="39"/>
  <c r="N88" i="37"/>
  <c r="J91" i="37"/>
  <c r="AC93" i="37"/>
  <c r="Z123" i="37"/>
  <c r="AA135" i="37"/>
  <c r="Z95" i="37"/>
  <c r="P38" i="37"/>
  <c r="C39" i="37"/>
  <c r="AD69" i="37"/>
  <c r="H147" i="37"/>
  <c r="AD51" i="37"/>
  <c r="P11" i="37"/>
  <c r="M150" i="37"/>
  <c r="AD75" i="37"/>
  <c r="S48" i="37"/>
  <c r="AE28" i="37"/>
  <c r="R144" i="37"/>
  <c r="K39" i="37"/>
  <c r="E104" i="37"/>
  <c r="J148" i="37"/>
  <c r="S106" i="37"/>
  <c r="O33" i="39"/>
  <c r="K49" i="37"/>
  <c r="V90" i="37"/>
  <c r="H77" i="37"/>
  <c r="N62" i="37"/>
  <c r="AD94" i="37"/>
  <c r="M152" i="37"/>
  <c r="AA100" i="37"/>
  <c r="P51" i="37"/>
  <c r="AF82" i="37"/>
  <c r="N58" i="37"/>
  <c r="Y137" i="37"/>
  <c r="AC149" i="37"/>
  <c r="X49" i="37"/>
  <c r="D143" i="37"/>
  <c r="I35" i="37"/>
  <c r="O30" i="39"/>
  <c r="K34" i="37"/>
  <c r="AF75" i="37"/>
  <c r="AF106" i="37"/>
  <c r="H117" i="37"/>
  <c r="L15" i="39"/>
  <c r="AC129" i="37"/>
  <c r="C135" i="37"/>
  <c r="H52" i="37"/>
  <c r="R145" i="37"/>
  <c r="AB127" i="37"/>
  <c r="Z129" i="37"/>
  <c r="Q23" i="39"/>
  <c r="Y110" i="37"/>
  <c r="P93" i="37"/>
  <c r="J96" i="37"/>
  <c r="Y153" i="37"/>
  <c r="V143" i="37"/>
  <c r="B36" i="39"/>
  <c r="X135" i="37"/>
  <c r="Q66" i="37"/>
  <c r="G96" i="37"/>
  <c r="D73" i="37"/>
  <c r="AF156" i="37"/>
  <c r="Y112" i="37"/>
  <c r="F10" i="37"/>
  <c r="E32" i="39"/>
  <c r="I148" i="37"/>
  <c r="AF125" i="37"/>
  <c r="AA78" i="37"/>
  <c r="X145" i="37"/>
  <c r="N39" i="37"/>
  <c r="AA116" i="37"/>
  <c r="V86" i="37"/>
  <c r="T30" i="39"/>
  <c r="H86" i="37"/>
  <c r="Q23" i="37"/>
  <c r="V28" i="37"/>
  <c r="Z7" i="37"/>
  <c r="AF130" i="37"/>
  <c r="I24" i="37"/>
  <c r="S25" i="37"/>
  <c r="O24" i="37"/>
  <c r="U22" i="37"/>
  <c r="I95" i="37"/>
  <c r="C21" i="39"/>
  <c r="AF12" i="37"/>
  <c r="X119" i="37"/>
  <c r="O22" i="39"/>
  <c r="U89" i="37"/>
  <c r="P40" i="37"/>
  <c r="Z137" i="37"/>
  <c r="Q31" i="39"/>
  <c r="Y129" i="37"/>
  <c r="I153" i="37"/>
  <c r="AC146" i="37"/>
  <c r="Y138" i="37"/>
  <c r="W161" i="72"/>
  <c r="W135" i="37"/>
  <c r="N48" i="37"/>
  <c r="Z79" i="37"/>
  <c r="J66" i="37"/>
  <c r="I111" i="37"/>
  <c r="J77" i="37"/>
  <c r="W165" i="72"/>
  <c r="M99" i="37"/>
  <c r="O104" i="37"/>
  <c r="D142" i="37"/>
  <c r="G64" i="37"/>
  <c r="AB82" i="37"/>
  <c r="AB27" i="37"/>
  <c r="T180" i="72"/>
  <c r="AA43" i="37"/>
  <c r="P99" i="37"/>
  <c r="W117" i="37"/>
  <c r="AC127" i="37"/>
  <c r="W166" i="72"/>
  <c r="E11" i="37"/>
  <c r="L24" i="39"/>
  <c r="AE18" i="37"/>
  <c r="K127" i="37"/>
  <c r="Z128" i="37"/>
  <c r="S8" i="39"/>
  <c r="S28" i="37"/>
  <c r="D52" i="37"/>
  <c r="F113" i="37"/>
  <c r="AB113" i="37"/>
  <c r="D14" i="39"/>
  <c r="I12" i="39"/>
  <c r="F152" i="37"/>
  <c r="T101" i="37"/>
  <c r="F28" i="37"/>
  <c r="E8" i="39"/>
  <c r="E138" i="37"/>
  <c r="AA133" i="37"/>
  <c r="Q35" i="39"/>
  <c r="D25" i="37"/>
  <c r="H150" i="37"/>
  <c r="C57" i="37"/>
  <c r="Z57" i="37"/>
  <c r="V177" i="72"/>
  <c r="I143" i="37"/>
  <c r="AA104" i="37"/>
  <c r="AB134" i="37"/>
  <c r="L104" i="37"/>
  <c r="W96" i="37"/>
  <c r="T32" i="37"/>
  <c r="E74" i="37"/>
  <c r="L123" i="37"/>
  <c r="AE58" i="37"/>
  <c r="R157" i="37"/>
  <c r="H98" i="37"/>
  <c r="AF22" i="37"/>
  <c r="F135" i="37"/>
  <c r="G25" i="37"/>
  <c r="AC131" i="37"/>
  <c r="G100" i="37"/>
  <c r="Z122" i="37"/>
  <c r="AF56" i="37"/>
  <c r="P83" i="37"/>
  <c r="D37" i="39"/>
  <c r="N129" i="37"/>
  <c r="O105" i="37"/>
  <c r="X127" i="37"/>
  <c r="AA27" i="37"/>
  <c r="F25" i="39"/>
  <c r="O90" i="37"/>
  <c r="Q17" i="39"/>
  <c r="J107" i="37"/>
  <c r="D144" i="37"/>
  <c r="T150" i="37"/>
  <c r="N25" i="37"/>
  <c r="W127" i="37"/>
  <c r="U26" i="37"/>
  <c r="R35" i="39"/>
  <c r="K88" i="37"/>
  <c r="J61" i="37"/>
  <c r="F64" i="37"/>
  <c r="AC134" i="37"/>
  <c r="L115" i="37"/>
  <c r="M57" i="37"/>
  <c r="X125" i="37"/>
  <c r="AB23" i="37"/>
  <c r="Z102" i="37"/>
  <c r="AF36" i="37"/>
  <c r="Q97" i="37"/>
  <c r="Y44" i="37"/>
  <c r="I110" i="37"/>
  <c r="AD21" i="37"/>
  <c r="Z62" i="37"/>
  <c r="AB120" i="37"/>
  <c r="U115" i="37"/>
  <c r="J123" i="37"/>
  <c r="R42" i="37"/>
  <c r="M77" i="37"/>
  <c r="J110" i="37"/>
  <c r="X19" i="37"/>
  <c r="T135" i="37"/>
  <c r="R39" i="37"/>
  <c r="K101" i="37"/>
  <c r="S64" i="37"/>
  <c r="Q105" i="37"/>
  <c r="E79" i="37"/>
  <c r="T149" i="37"/>
  <c r="X131" i="37"/>
  <c r="T33" i="37"/>
  <c r="H27" i="39"/>
  <c r="I25" i="37"/>
  <c r="AC98" i="37"/>
  <c r="E48" i="37"/>
  <c r="U67" i="37"/>
  <c r="Y54" i="37"/>
  <c r="S94" i="37"/>
  <c r="C35" i="37"/>
  <c r="F117" i="37"/>
  <c r="V83" i="37"/>
  <c r="AC99" i="37"/>
  <c r="P32" i="39"/>
  <c r="AF121" i="37"/>
  <c r="J137" i="37"/>
  <c r="Q114" i="37"/>
  <c r="D26" i="37"/>
  <c r="X79" i="37"/>
  <c r="T167" i="72"/>
  <c r="P23" i="39"/>
  <c r="D98" i="37"/>
  <c r="G104" i="37"/>
  <c r="S34" i="39"/>
  <c r="Z21" i="37"/>
  <c r="AC81" i="37"/>
  <c r="Q24" i="39"/>
  <c r="H62" i="37"/>
  <c r="I137" i="37"/>
  <c r="AC55" i="37"/>
  <c r="U134" i="37"/>
  <c r="F54" i="37"/>
  <c r="O74" i="37"/>
  <c r="V62" i="37"/>
  <c r="U28" i="37"/>
  <c r="T34" i="37"/>
  <c r="V88" i="37"/>
  <c r="C150" i="37"/>
  <c r="G65" i="37"/>
  <c r="G135" i="37"/>
  <c r="O56" i="37"/>
  <c r="K29" i="37"/>
  <c r="P10" i="39"/>
  <c r="Q148" i="37"/>
  <c r="S20" i="37"/>
  <c r="S93" i="37"/>
  <c r="F31" i="39"/>
  <c r="N76" i="37"/>
  <c r="Q157" i="37"/>
  <c r="G11" i="39"/>
  <c r="U23" i="37"/>
  <c r="C12" i="39"/>
  <c r="AE64" i="37"/>
  <c r="J50" i="37"/>
  <c r="AE13" i="37"/>
  <c r="D19" i="37"/>
  <c r="T11" i="37"/>
  <c r="V156" i="72"/>
  <c r="H26" i="37"/>
  <c r="N68" i="37"/>
  <c r="X130" i="37"/>
  <c r="AD18" i="37"/>
  <c r="S83" i="37"/>
  <c r="N93" i="37"/>
  <c r="K103" i="37"/>
  <c r="AF101" i="37"/>
  <c r="G32" i="37"/>
  <c r="R111" i="37"/>
  <c r="K14" i="39"/>
  <c r="X139" i="37"/>
  <c r="U10" i="37"/>
  <c r="L113" i="37"/>
  <c r="S57" i="37"/>
  <c r="R34" i="37"/>
  <c r="AF92" i="37"/>
  <c r="T35" i="37"/>
  <c r="E15" i="39"/>
  <c r="AE130" i="37"/>
  <c r="T152" i="37"/>
  <c r="D25" i="39"/>
  <c r="M20" i="37"/>
  <c r="I23" i="39"/>
  <c r="W80" i="37"/>
  <c r="O18" i="37"/>
  <c r="AA126" i="37"/>
  <c r="AC14" i="37"/>
  <c r="X89" i="37"/>
  <c r="I91" i="37"/>
  <c r="K9" i="39"/>
  <c r="E64" i="37"/>
  <c r="C87" i="37"/>
  <c r="AA113" i="37"/>
  <c r="W36" i="37"/>
  <c r="W12" i="37"/>
  <c r="R75" i="37"/>
  <c r="D118" i="37"/>
  <c r="S32" i="37"/>
  <c r="Z152" i="37"/>
  <c r="J118" i="37"/>
  <c r="AF135" i="37"/>
  <c r="M53" i="37"/>
  <c r="L19" i="37"/>
  <c r="J27" i="39"/>
  <c r="V154" i="37"/>
  <c r="AC105" i="37"/>
  <c r="R36" i="37"/>
  <c r="Q104" i="37"/>
  <c r="K135" i="37"/>
  <c r="F63" i="37"/>
  <c r="L17" i="39"/>
  <c r="D130" i="37"/>
  <c r="AA124" i="37"/>
  <c r="U80" i="37"/>
  <c r="F35" i="39"/>
  <c r="AA75" i="37"/>
  <c r="Z93" i="37"/>
  <c r="C12" i="37"/>
  <c r="E26" i="39"/>
  <c r="Y115" i="37"/>
  <c r="W146" i="37"/>
  <c r="AA143" i="37"/>
  <c r="AA25" i="37"/>
  <c r="AC114" i="37"/>
  <c r="Z134" i="37"/>
  <c r="L102" i="37"/>
  <c r="F16" i="39"/>
  <c r="E63" i="37"/>
  <c r="E49" i="37"/>
  <c r="W94" i="37"/>
  <c r="I10" i="39"/>
  <c r="V37" i="37"/>
  <c r="Z92" i="37"/>
  <c r="AC113" i="37"/>
  <c r="G66" i="37"/>
  <c r="Y83" i="37"/>
  <c r="T154" i="37"/>
  <c r="AD121" i="37"/>
  <c r="AA63" i="37"/>
  <c r="K38" i="37"/>
  <c r="P32" i="37"/>
  <c r="L79" i="37"/>
  <c r="E123" i="37"/>
  <c r="AE45" i="37"/>
  <c r="E110" i="37"/>
  <c r="H31" i="39"/>
  <c r="W45" i="37"/>
  <c r="C33" i="37"/>
  <c r="Z153" i="37"/>
  <c r="Q37" i="37"/>
  <c r="W137" i="37"/>
  <c r="U146" i="37"/>
  <c r="J35" i="39"/>
  <c r="K138" i="37"/>
  <c r="U44" i="37"/>
  <c r="C91" i="37"/>
  <c r="AC36" i="37"/>
  <c r="J35" i="37"/>
  <c r="T73" i="37"/>
  <c r="L80" i="37"/>
  <c r="K112" i="37"/>
  <c r="U156" i="37"/>
  <c r="D57" i="37"/>
  <c r="AA41" i="37"/>
  <c r="M139" i="37"/>
  <c r="O85" i="37"/>
  <c r="AD26" i="37"/>
  <c r="AF57" i="37"/>
  <c r="O92" i="37"/>
  <c r="G26" i="37"/>
  <c r="V32" i="39"/>
  <c r="V13" i="37"/>
  <c r="N122" i="37"/>
  <c r="X63" i="37"/>
  <c r="D112" i="37"/>
  <c r="R33" i="39"/>
  <c r="H37" i="39"/>
  <c r="C100" i="37"/>
  <c r="G132" i="37"/>
  <c r="F48" i="37"/>
  <c r="AF69" i="37"/>
  <c r="Z138" i="37"/>
  <c r="P78" i="37"/>
  <c r="T142" i="37"/>
  <c r="G13" i="39"/>
  <c r="F36" i="37"/>
  <c r="R27" i="37"/>
  <c r="Y85" i="37"/>
  <c r="J151" i="37"/>
  <c r="I136" i="37"/>
  <c r="I26" i="37"/>
  <c r="H92" i="37"/>
  <c r="Y111" i="37"/>
  <c r="I34" i="37"/>
  <c r="P45" i="37"/>
  <c r="N16" i="39"/>
  <c r="M100" i="37"/>
  <c r="Y78" i="37"/>
  <c r="K42" i="37"/>
  <c r="L26" i="37"/>
  <c r="M52" i="37"/>
  <c r="C17" i="39"/>
  <c r="S79" i="37"/>
  <c r="R96" i="37"/>
  <c r="R20" i="37"/>
  <c r="AC41" i="37"/>
  <c r="R18" i="37"/>
  <c r="S37" i="37"/>
  <c r="E106" i="37"/>
  <c r="T111" i="37"/>
  <c r="R77" i="37"/>
  <c r="R123" i="37"/>
  <c r="T156" i="37"/>
  <c r="P66" i="37"/>
  <c r="AF128" i="37"/>
  <c r="I92" i="37"/>
  <c r="AD95" i="37"/>
  <c r="D10" i="37"/>
  <c r="L18" i="37"/>
  <c r="P131" i="37"/>
  <c r="U65" i="37"/>
  <c r="H148" i="37"/>
  <c r="E100" i="37"/>
  <c r="O143" i="37"/>
  <c r="AD81" i="37"/>
  <c r="S124" i="37"/>
  <c r="M90" i="37"/>
  <c r="C113" i="37"/>
  <c r="I152" i="37"/>
  <c r="V21" i="37"/>
  <c r="Y152" i="37"/>
  <c r="H51" i="37"/>
  <c r="F151" i="37"/>
  <c r="S126" i="37"/>
  <c r="G139" i="37"/>
  <c r="AB85" i="37"/>
  <c r="N25" i="39"/>
  <c r="E84" i="37"/>
  <c r="AE23" i="37"/>
  <c r="T147" i="37"/>
  <c r="O20" i="39"/>
  <c r="Y127" i="37"/>
  <c r="Z25" i="37"/>
  <c r="AF89" i="37"/>
  <c r="D66" i="37"/>
  <c r="I106" i="37"/>
  <c r="AC27" i="37"/>
  <c r="P19" i="39"/>
  <c r="T45" i="37"/>
  <c r="G11" i="37"/>
  <c r="R38" i="37"/>
  <c r="AF99" i="37"/>
  <c r="U127" i="37"/>
  <c r="V77" i="37"/>
  <c r="N49" i="37"/>
  <c r="Z22" i="37"/>
  <c r="AB73" i="37"/>
  <c r="X132" i="37"/>
  <c r="S88" i="37"/>
  <c r="R81" i="37"/>
  <c r="D95" i="37"/>
  <c r="AC125" i="37"/>
  <c r="S145" i="37"/>
  <c r="K150" i="37"/>
  <c r="O122" i="37"/>
  <c r="U77" i="37"/>
  <c r="K16" i="39"/>
  <c r="K41" i="37"/>
  <c r="H75" i="37"/>
  <c r="M146" i="37"/>
  <c r="T168" i="72"/>
  <c r="K10" i="37"/>
  <c r="Q139" i="37"/>
  <c r="M142" i="37"/>
  <c r="N11" i="37"/>
  <c r="G31" i="39"/>
  <c r="C50" i="37"/>
  <c r="I85" i="37"/>
  <c r="L87" i="37"/>
  <c r="AD52" i="37"/>
  <c r="N154" i="37"/>
  <c r="AE19" i="37"/>
  <c r="AC33" i="37"/>
  <c r="H112" i="37"/>
  <c r="S25" i="39"/>
  <c r="D53" i="37"/>
  <c r="AF58" i="37"/>
  <c r="Q147" i="37"/>
  <c r="O17" i="39"/>
  <c r="H107" i="37"/>
  <c r="AD76" i="37"/>
  <c r="C139" i="37"/>
  <c r="J155" i="37"/>
  <c r="R150" i="37"/>
  <c r="AE43" i="37"/>
  <c r="N54" i="37"/>
  <c r="X32" i="37"/>
  <c r="M156" i="37"/>
  <c r="O112" i="37"/>
  <c r="AC12" i="37"/>
  <c r="Y49" i="37"/>
  <c r="C148" i="37"/>
  <c r="F147" i="37"/>
  <c r="W58" i="37"/>
  <c r="AB116" i="37"/>
  <c r="AC147" i="37"/>
  <c r="K134" i="37"/>
  <c r="R174" i="72"/>
  <c r="M35" i="39"/>
  <c r="K7" i="37"/>
  <c r="AE96" i="37"/>
  <c r="AB132" i="37"/>
  <c r="AF132" i="37"/>
  <c r="O132" i="37"/>
  <c r="M34" i="39"/>
  <c r="H113" i="37"/>
  <c r="O15" i="37"/>
  <c r="W157" i="72"/>
  <c r="G119" i="37"/>
  <c r="I26" i="39"/>
  <c r="L43" i="37"/>
  <c r="Z11" i="37"/>
  <c r="F41" i="37"/>
  <c r="X149" i="37"/>
  <c r="T55" i="37"/>
  <c r="D100" i="37"/>
  <c r="AE26" i="37"/>
  <c r="U93" i="37"/>
  <c r="C92" i="37"/>
  <c r="S41" i="37"/>
  <c r="M118" i="37"/>
  <c r="AB57" i="37"/>
  <c r="T178" i="72"/>
  <c r="W57" i="37"/>
  <c r="R181" i="72"/>
  <c r="J156" i="37"/>
  <c r="O100" i="37"/>
  <c r="S75" i="37"/>
  <c r="H123" i="37"/>
  <c r="I74" i="37"/>
  <c r="L35" i="39"/>
  <c r="F24" i="39"/>
  <c r="J68" i="37"/>
  <c r="AB124" i="37"/>
  <c r="Q63" i="37"/>
  <c r="S121" i="37"/>
  <c r="F88" i="37"/>
  <c r="V43" i="37"/>
  <c r="G149" i="37"/>
  <c r="C107" i="37"/>
  <c r="T137" i="37"/>
  <c r="H122" i="37"/>
  <c r="AB13" i="37"/>
  <c r="T52" i="37"/>
  <c r="T66" i="37"/>
  <c r="E103" i="37"/>
  <c r="W104" i="37"/>
  <c r="AF54" i="37"/>
  <c r="Y135" i="37"/>
  <c r="V155" i="37"/>
  <c r="L110" i="37"/>
  <c r="M27" i="39"/>
  <c r="AF41" i="37"/>
  <c r="AE76" i="37"/>
  <c r="R79" i="37"/>
  <c r="U148" i="37"/>
  <c r="I119" i="37"/>
  <c r="R26" i="37"/>
  <c r="N63" i="37"/>
  <c r="V160" i="72"/>
  <c r="R84" i="37"/>
  <c r="P107" i="37"/>
  <c r="AA115" i="37"/>
  <c r="R120" i="37"/>
  <c r="AC121" i="37"/>
  <c r="V37" i="39"/>
  <c r="C89" i="37"/>
  <c r="K136" i="37"/>
  <c r="J122" i="37"/>
  <c r="M34" i="37"/>
  <c r="V102" i="37"/>
  <c r="J30" i="39"/>
  <c r="M14" i="37"/>
  <c r="AA74" i="37"/>
  <c r="AD32" i="37"/>
  <c r="N73" i="37"/>
  <c r="I88" i="37"/>
  <c r="C137" i="37"/>
  <c r="Q124" i="37"/>
  <c r="J131" i="37"/>
  <c r="D85" i="37"/>
  <c r="I96" i="37"/>
  <c r="N148" i="37"/>
  <c r="T138" i="37"/>
  <c r="N117" i="37"/>
  <c r="O139" i="37"/>
  <c r="O32" i="39"/>
  <c r="D81" i="37"/>
  <c r="AF13" i="37"/>
  <c r="Y80" i="37"/>
  <c r="W154" i="72"/>
  <c r="AD78" i="37"/>
  <c r="C20" i="39"/>
  <c r="T15" i="37"/>
  <c r="G83" i="37"/>
  <c r="H37" i="37"/>
  <c r="N29" i="37"/>
  <c r="Q91" i="37"/>
  <c r="N51" i="37"/>
  <c r="U124" i="37"/>
  <c r="C134" i="37"/>
  <c r="G155" i="37"/>
  <c r="X129" i="37"/>
  <c r="L39" i="37"/>
  <c r="W68" i="37"/>
  <c r="V30" i="39"/>
  <c r="T29" i="37"/>
  <c r="U51" i="37"/>
  <c r="AE97" i="37"/>
  <c r="AB117" i="37"/>
  <c r="Z27" i="37"/>
  <c r="I11" i="39"/>
  <c r="Q90" i="37"/>
  <c r="F116" i="37"/>
  <c r="P29" i="37"/>
  <c r="S138" i="37"/>
  <c r="D110" i="37"/>
  <c r="P143" i="37"/>
  <c r="AA102" i="37"/>
  <c r="H16" i="39"/>
  <c r="R58" i="37"/>
  <c r="L57" i="37"/>
  <c r="V63" i="37"/>
  <c r="Q87" i="37"/>
  <c r="O55" i="37"/>
  <c r="S176" i="72"/>
  <c r="J157" i="37"/>
  <c r="V153" i="72"/>
  <c r="G33" i="39"/>
  <c r="I31" i="39"/>
  <c r="R114" i="37"/>
  <c r="AF88" i="37"/>
  <c r="C18" i="37"/>
  <c r="G42" i="37"/>
  <c r="D24" i="37"/>
  <c r="G15" i="37"/>
  <c r="S115" i="37"/>
  <c r="S36" i="37"/>
  <c r="P84" i="37"/>
  <c r="AD143" i="37"/>
  <c r="G126" i="37"/>
  <c r="M126" i="37"/>
  <c r="C106" i="37"/>
  <c r="C54" i="37"/>
  <c r="J7" i="37"/>
  <c r="AC65" i="37"/>
  <c r="AB147" i="37"/>
  <c r="I15" i="37"/>
  <c r="F75" i="37"/>
  <c r="Y124" i="37"/>
  <c r="E29" i="39"/>
  <c r="P96" i="37"/>
  <c r="S89" i="37"/>
  <c r="F27" i="37"/>
  <c r="K91" i="37"/>
  <c r="D11" i="37"/>
  <c r="H21" i="39"/>
  <c r="K62" i="37"/>
  <c r="Z63" i="37"/>
  <c r="C14" i="39"/>
  <c r="AB106" i="37"/>
  <c r="N65" i="37"/>
  <c r="W172" i="72"/>
  <c r="R146" i="37"/>
  <c r="K117" i="37"/>
  <c r="Z61" i="37"/>
  <c r="L96" i="37"/>
  <c r="L122" i="37"/>
  <c r="K122" i="37"/>
  <c r="O135" i="37"/>
  <c r="L83" i="37"/>
  <c r="AA24" i="37"/>
  <c r="C67" i="37"/>
  <c r="Y19" i="37"/>
  <c r="B33" i="39"/>
  <c r="V26" i="37"/>
  <c r="P68" i="37"/>
  <c r="S127" i="37"/>
  <c r="U25" i="37"/>
  <c r="F10" i="39"/>
  <c r="Q142" i="37"/>
  <c r="V153" i="37"/>
  <c r="N78" i="37"/>
  <c r="E92" i="37"/>
  <c r="K48" i="37"/>
  <c r="P43" i="37"/>
  <c r="N116" i="37"/>
  <c r="I14" i="37"/>
  <c r="H29" i="37"/>
  <c r="H33" i="37"/>
  <c r="N79" i="37"/>
  <c r="P137" i="37"/>
  <c r="AA22" i="37"/>
  <c r="Q68" i="37"/>
  <c r="M124" i="37"/>
  <c r="N155" i="37"/>
  <c r="AA18" i="37"/>
  <c r="N75" i="37"/>
  <c r="W125" i="37"/>
  <c r="AB89" i="37"/>
  <c r="H133" i="37"/>
  <c r="S30" i="39"/>
  <c r="H154" i="37"/>
  <c r="J143" i="37"/>
  <c r="F112" i="37"/>
  <c r="X58" i="37"/>
  <c r="S177" i="72"/>
  <c r="Y26" i="37"/>
  <c r="H65" i="37"/>
  <c r="O7" i="37"/>
  <c r="AD43" i="37"/>
  <c r="W87" i="37"/>
  <c r="AA69" i="37"/>
  <c r="F153" i="37"/>
  <c r="AC112" i="37"/>
  <c r="Z24" i="37"/>
  <c r="R67" i="37"/>
  <c r="P106" i="37"/>
  <c r="F49" i="37"/>
  <c r="AE147" i="37"/>
  <c r="K84" i="37"/>
  <c r="X12" i="37"/>
  <c r="H87" i="37"/>
  <c r="G45" i="37"/>
  <c r="Q156" i="37"/>
  <c r="K146" i="37"/>
  <c r="R69" i="37"/>
  <c r="AD34" i="37"/>
  <c r="G36" i="37"/>
  <c r="C27" i="37"/>
  <c r="G97" i="37"/>
  <c r="J94" i="37"/>
  <c r="AB64" i="37"/>
  <c r="S34" i="37"/>
  <c r="N26" i="37"/>
  <c r="F57" i="37"/>
  <c r="AD88" i="37"/>
  <c r="AA21" i="37"/>
  <c r="V10" i="37"/>
  <c r="H50" i="37"/>
  <c r="W13" i="37"/>
  <c r="P55" i="37"/>
  <c r="AF97" i="37"/>
  <c r="N101" i="37"/>
  <c r="AE120" i="37"/>
  <c r="S155" i="72"/>
  <c r="R76" i="37"/>
  <c r="I103" i="37"/>
  <c r="P103" i="37"/>
  <c r="R44" i="37"/>
  <c r="AA80" i="37"/>
  <c r="N37" i="37"/>
  <c r="I80" i="37"/>
  <c r="P58" i="37"/>
  <c r="Y151" i="37"/>
  <c r="R94" i="37"/>
  <c r="AB148" i="37"/>
  <c r="T92" i="37"/>
  <c r="N134" i="37"/>
  <c r="AE48" i="37"/>
  <c r="D107" i="37"/>
  <c r="AD63" i="37"/>
  <c r="Q15" i="39"/>
  <c r="R40" i="37"/>
  <c r="W22" i="37"/>
  <c r="F26" i="37"/>
  <c r="R51" i="37"/>
  <c r="AF50" i="37"/>
  <c r="D86" i="37"/>
  <c r="S117" i="37"/>
  <c r="O34" i="39"/>
  <c r="AA84" i="37"/>
  <c r="W69" i="37"/>
  <c r="G84" i="37"/>
  <c r="AA34" i="37"/>
  <c r="V130" i="37"/>
  <c r="L112" i="37"/>
  <c r="I114" i="37"/>
  <c r="U37" i="39"/>
  <c r="H139" i="37"/>
  <c r="V36" i="37"/>
  <c r="AC74" i="37"/>
  <c r="AA13" i="37"/>
  <c r="J49" i="37"/>
  <c r="AB146" i="37"/>
  <c r="R106" i="37"/>
  <c r="X120" i="37"/>
  <c r="G90" i="37"/>
  <c r="Y142" i="37"/>
  <c r="V66" i="37"/>
  <c r="M36" i="39"/>
  <c r="S181" i="72"/>
  <c r="N112" i="37"/>
  <c r="M88" i="37"/>
  <c r="U170" i="72"/>
  <c r="L22" i="39"/>
  <c r="N43" i="37"/>
  <c r="AB86" i="37"/>
  <c r="M84" i="37"/>
  <c r="F15" i="39"/>
  <c r="I20" i="37"/>
  <c r="F125" i="37"/>
  <c r="O78" i="37"/>
  <c r="R23" i="37"/>
  <c r="C43" i="37"/>
  <c r="O111" i="37"/>
  <c r="O87" i="37"/>
  <c r="Q20" i="39"/>
  <c r="N31" i="39"/>
  <c r="G63" i="37"/>
  <c r="U7" i="37"/>
  <c r="I69" i="37"/>
  <c r="AE134" i="37"/>
  <c r="L129" i="37"/>
  <c r="X28" i="37"/>
  <c r="C131" i="37"/>
  <c r="W136" i="37"/>
  <c r="AB45" i="37"/>
  <c r="R121" i="37"/>
  <c r="D35" i="39"/>
  <c r="H33" i="39"/>
  <c r="Q80" i="37"/>
  <c r="T126" i="37"/>
  <c r="D121" i="37"/>
  <c r="AB63" i="37"/>
  <c r="H45" i="37"/>
  <c r="I61" i="37"/>
  <c r="G78" i="37"/>
  <c r="F18" i="39"/>
  <c r="U11" i="37"/>
  <c r="T77" i="37"/>
  <c r="C26" i="39"/>
  <c r="W91" i="37"/>
  <c r="V100" i="37"/>
  <c r="AF38" i="37"/>
  <c r="S90" i="37"/>
  <c r="P119" i="37"/>
  <c r="N28" i="39"/>
  <c r="J56" i="37"/>
  <c r="H21" i="37"/>
  <c r="H22" i="39"/>
  <c r="E117" i="37"/>
  <c r="X113" i="37"/>
  <c r="AE62" i="37"/>
  <c r="N82" i="37"/>
  <c r="F99" i="37"/>
  <c r="O77" i="37"/>
  <c r="M94" i="37"/>
  <c r="L89" i="37"/>
  <c r="N77" i="37"/>
  <c r="D115" i="37"/>
  <c r="O68" i="37"/>
  <c r="AB68" i="37"/>
  <c r="T139" i="37"/>
  <c r="G77" i="37"/>
  <c r="S14" i="37"/>
  <c r="M10" i="37"/>
  <c r="M22" i="37"/>
  <c r="P62" i="37"/>
  <c r="P20" i="39"/>
  <c r="M79" i="37"/>
  <c r="K26" i="37"/>
  <c r="U107" i="37"/>
  <c r="Y126" i="37"/>
  <c r="S98" i="37"/>
  <c r="C61" i="37"/>
  <c r="AC13" i="37"/>
  <c r="T176" i="72"/>
  <c r="T56" i="37"/>
  <c r="M123" i="37"/>
  <c r="K133" i="37"/>
  <c r="F118" i="37"/>
  <c r="AC80" i="37"/>
  <c r="W121" i="37"/>
  <c r="C96" i="37"/>
  <c r="AD72" i="37"/>
  <c r="AE14" i="37"/>
  <c r="Q129" i="37"/>
  <c r="V79" i="37"/>
  <c r="O49" i="37"/>
  <c r="R56" i="37"/>
  <c r="AC26" i="37"/>
  <c r="Z40" i="37"/>
  <c r="M96" i="37"/>
  <c r="Y15" i="37"/>
  <c r="O83" i="37"/>
  <c r="S154" i="72"/>
  <c r="S58" i="37"/>
  <c r="U76" i="37"/>
  <c r="M157" i="37"/>
  <c r="N147" i="37"/>
  <c r="V104" i="37"/>
  <c r="S56" i="37"/>
  <c r="S11" i="37"/>
  <c r="D79" i="37"/>
  <c r="N72" i="37"/>
  <c r="N146" i="37"/>
  <c r="T42" i="37"/>
  <c r="Q138" i="37"/>
  <c r="P146" i="37"/>
  <c r="F150" i="37"/>
  <c r="X23" i="37"/>
  <c r="C142" i="37"/>
  <c r="Z94" i="37"/>
  <c r="O31" i="39"/>
  <c r="U131" i="37"/>
  <c r="D38" i="37"/>
  <c r="T58" i="37"/>
  <c r="E101" i="37"/>
  <c r="X98" i="37"/>
  <c r="E27" i="39"/>
  <c r="X65" i="37"/>
  <c r="M36" i="37"/>
  <c r="AC50" i="37"/>
  <c r="C124" i="37"/>
  <c r="O115" i="37"/>
  <c r="M63" i="37"/>
  <c r="J106" i="37"/>
  <c r="AE57" i="37"/>
  <c r="L72" i="37"/>
  <c r="V29" i="37"/>
  <c r="F45" i="37"/>
  <c r="AF126" i="37"/>
  <c r="E10" i="37"/>
  <c r="U151" i="37"/>
  <c r="C9" i="39"/>
  <c r="AE20" i="37"/>
  <c r="Q82" i="37"/>
  <c r="R21" i="39"/>
  <c r="S179" i="72"/>
  <c r="V136" i="37"/>
  <c r="AD114" i="37"/>
  <c r="R93" i="37"/>
  <c r="M116" i="37"/>
  <c r="F95" i="37"/>
  <c r="U37" i="37"/>
  <c r="N61" i="37"/>
  <c r="L138" i="37"/>
  <c r="E75" i="37"/>
  <c r="K11" i="37"/>
  <c r="Q116" i="37"/>
  <c r="E34" i="37"/>
  <c r="AA65" i="37"/>
  <c r="P138" i="37"/>
  <c r="U64" i="37"/>
  <c r="Y28" i="37"/>
  <c r="J32" i="37"/>
  <c r="F146" i="37"/>
  <c r="AA151" i="37"/>
  <c r="H66" i="37"/>
  <c r="K27" i="37"/>
  <c r="Z12" i="37"/>
  <c r="H28" i="39"/>
  <c r="K64" i="37"/>
  <c r="T78" i="37"/>
  <c r="M104" i="37"/>
  <c r="O16" i="39"/>
  <c r="L16" i="39"/>
  <c r="J32" i="39"/>
  <c r="K77" i="37"/>
  <c r="U178" i="72"/>
  <c r="AB80" i="37"/>
  <c r="T114" i="37"/>
  <c r="Z82" i="37"/>
  <c r="I51" i="37"/>
  <c r="V39" i="37"/>
  <c r="Y125" i="37"/>
  <c r="P74" i="37"/>
  <c r="D133" i="37"/>
  <c r="AA44" i="37"/>
  <c r="AB74" i="37"/>
  <c r="S63" i="37"/>
  <c r="AD104" i="37"/>
  <c r="F27" i="39"/>
  <c r="T113" i="37"/>
  <c r="AF37" i="37"/>
  <c r="T24" i="37"/>
  <c r="AD124" i="37"/>
  <c r="V117" i="37"/>
  <c r="M12" i="37"/>
  <c r="H111" i="37"/>
  <c r="J20" i="37"/>
  <c r="P82" i="37"/>
  <c r="M31" i="39"/>
  <c r="P153" i="37"/>
  <c r="C25" i="39"/>
  <c r="L23" i="39"/>
  <c r="V119" i="37"/>
  <c r="J95" i="37"/>
  <c r="AE128" i="37"/>
  <c r="Q143" i="37"/>
  <c r="J130" i="37"/>
  <c r="U155" i="37"/>
  <c r="O120" i="37"/>
  <c r="D124" i="37"/>
  <c r="U73" i="37"/>
  <c r="H136" i="37"/>
  <c r="Y35" i="37"/>
  <c r="I115" i="37"/>
  <c r="K120" i="37"/>
  <c r="R119" i="37"/>
  <c r="Y10" i="37"/>
  <c r="P28" i="39"/>
  <c r="C112" i="37"/>
  <c r="AE94" i="37"/>
  <c r="H132" i="37"/>
  <c r="B30" i="39"/>
  <c r="S170" i="72"/>
  <c r="AE144" i="37"/>
  <c r="S114" i="37"/>
  <c r="P118" i="37"/>
  <c r="Z105" i="37"/>
  <c r="Z98" i="37"/>
  <c r="AF66" i="37"/>
  <c r="L36" i="37"/>
  <c r="S33" i="39"/>
  <c r="J36" i="37"/>
  <c r="R110" i="37"/>
  <c r="P92" i="37"/>
  <c r="B34" i="39"/>
  <c r="Z104" i="37"/>
  <c r="O155" i="37"/>
  <c r="I13" i="37"/>
  <c r="P15" i="37"/>
  <c r="C10" i="37"/>
  <c r="X37" i="37"/>
  <c r="L114" i="37"/>
  <c r="R29" i="39"/>
  <c r="Q67" i="37"/>
  <c r="E23" i="37"/>
  <c r="M72" i="37"/>
  <c r="C76" i="37"/>
  <c r="P132" i="37"/>
  <c r="J150" i="37"/>
  <c r="S125" i="37"/>
  <c r="Y39" i="37"/>
  <c r="AE122" i="37"/>
  <c r="L152" i="37"/>
  <c r="R95" i="37"/>
  <c r="N35" i="37"/>
  <c r="W10" i="37"/>
  <c r="H11" i="39"/>
  <c r="E54" i="37"/>
  <c r="T69" i="37"/>
  <c r="Z78" i="37"/>
  <c r="C75" i="37"/>
  <c r="V163" i="72"/>
  <c r="S112" i="37"/>
  <c r="H38" i="37"/>
  <c r="AC89" i="37"/>
  <c r="W174" i="72"/>
  <c r="AC15" i="37"/>
  <c r="AC154" i="37"/>
  <c r="D151" i="37"/>
  <c r="J153" i="37"/>
  <c r="T63" i="37"/>
  <c r="AD117" i="37"/>
  <c r="O72" i="37"/>
  <c r="S102" i="37"/>
  <c r="K15" i="39"/>
  <c r="AF117" i="37"/>
  <c r="K99" i="37"/>
  <c r="K82" i="37"/>
  <c r="W145" i="37"/>
  <c r="U54" i="37"/>
  <c r="P31" i="39"/>
  <c r="C73" i="37"/>
  <c r="L137" i="37"/>
  <c r="S87" i="37"/>
  <c r="K14" i="37"/>
  <c r="H91" i="37"/>
  <c r="J72" i="37"/>
  <c r="AE124" i="37"/>
  <c r="I14" i="39"/>
  <c r="E107" i="37"/>
  <c r="X150" i="37"/>
  <c r="T89" i="37"/>
  <c r="AB28" i="37"/>
  <c r="Y88" i="37"/>
  <c r="E85" i="37"/>
  <c r="O11" i="39"/>
  <c r="S151" i="37"/>
  <c r="W97" i="37"/>
  <c r="P80" i="37"/>
  <c r="W102" i="37"/>
  <c r="V152" i="37"/>
  <c r="T83" i="37"/>
  <c r="Q133" i="37"/>
  <c r="W50" i="37"/>
  <c r="I34" i="39"/>
  <c r="S36" i="39"/>
  <c r="G39" i="37"/>
  <c r="Z151" i="37"/>
  <c r="D17" i="39"/>
  <c r="J114" i="37"/>
  <c r="U96" i="37"/>
  <c r="AF123" i="37"/>
  <c r="Q54" i="37"/>
  <c r="N45" i="37"/>
  <c r="D56" i="37"/>
  <c r="E29" i="37"/>
  <c r="L156" i="37"/>
  <c r="H156" i="37"/>
  <c r="AA76" i="37"/>
  <c r="L73" i="37"/>
  <c r="F89" i="37"/>
  <c r="M98" i="37"/>
  <c r="X56" i="37"/>
  <c r="T132" i="37"/>
  <c r="D138" i="37"/>
  <c r="AC22" i="37"/>
  <c r="V33" i="39"/>
  <c r="C15" i="39"/>
  <c r="T153" i="72"/>
  <c r="Q102" i="37"/>
  <c r="Z42" i="37"/>
  <c r="X90" i="37"/>
  <c r="X87" i="37"/>
  <c r="C24" i="37"/>
  <c r="L10" i="39"/>
  <c r="V91" i="37"/>
  <c r="T146" i="37"/>
  <c r="L49" i="37"/>
  <c r="N135" i="37"/>
  <c r="V73" i="37"/>
  <c r="V118" i="37"/>
  <c r="R66" i="37"/>
  <c r="U43" i="37"/>
  <c r="Y154" i="37"/>
  <c r="V19" i="37"/>
  <c r="E126" i="37"/>
  <c r="K104" i="37"/>
  <c r="N94" i="37"/>
  <c r="AD118" i="37"/>
  <c r="L120" i="37"/>
  <c r="T36" i="37"/>
  <c r="Z84" i="37"/>
  <c r="V168" i="72"/>
  <c r="T125" i="37"/>
  <c r="P157" i="37"/>
  <c r="AF85" i="37"/>
  <c r="O101" i="37"/>
  <c r="O69" i="37"/>
  <c r="X67" i="37"/>
  <c r="I78" i="37"/>
  <c r="V170" i="72"/>
  <c r="M121" i="37"/>
  <c r="AE51" i="37"/>
  <c r="R32" i="39"/>
  <c r="S174" i="72"/>
  <c r="E14" i="37"/>
  <c r="T130" i="37"/>
  <c r="E155" i="37"/>
  <c r="S95" i="37"/>
  <c r="T72" i="37"/>
  <c r="N8" i="39"/>
  <c r="O36" i="37"/>
  <c r="U172" i="72"/>
  <c r="P113" i="37"/>
  <c r="C30" i="39"/>
  <c r="N138" i="37"/>
  <c r="AC116" i="37"/>
  <c r="K110" i="37"/>
  <c r="M91" i="37"/>
  <c r="Y67" i="37"/>
  <c r="M113" i="37"/>
  <c r="Q154" i="37"/>
  <c r="AE53" i="37"/>
  <c r="R151" i="37"/>
  <c r="V152" i="72"/>
  <c r="L86" i="37"/>
  <c r="AC10" i="37"/>
  <c r="AA137" i="37"/>
  <c r="G107" i="37"/>
  <c r="K143" i="37"/>
  <c r="AE98" i="37"/>
  <c r="F37" i="37"/>
  <c r="F148" i="37"/>
  <c r="M114" i="37"/>
  <c r="Z147" i="37"/>
  <c r="D96" i="37"/>
  <c r="AE22" i="37"/>
  <c r="W119" i="37"/>
  <c r="U164" i="72"/>
  <c r="N144" i="37"/>
  <c r="O118" i="37"/>
  <c r="O75" i="37"/>
  <c r="D19" i="39"/>
  <c r="I123" i="37"/>
  <c r="P88" i="37"/>
  <c r="K106" i="37"/>
  <c r="Z157" i="37"/>
  <c r="J38" i="37"/>
  <c r="Z19" i="37"/>
  <c r="H8" i="39"/>
  <c r="G23" i="37"/>
  <c r="C122" i="37"/>
  <c r="X137" i="37"/>
  <c r="Y149" i="37"/>
  <c r="C15" i="37"/>
  <c r="M147" i="37"/>
  <c r="K156" i="37"/>
  <c r="AF27" i="37"/>
  <c r="N119" i="37"/>
  <c r="W114" i="37"/>
  <c r="H100" i="37"/>
  <c r="O48" i="37"/>
  <c r="C14" i="37"/>
  <c r="AE148" i="37"/>
  <c r="F58" i="37"/>
  <c r="AD68" i="37"/>
  <c r="AC111" i="37"/>
  <c r="I10" i="37"/>
  <c r="AF111" i="37"/>
  <c r="AA53" i="37"/>
  <c r="L12" i="39"/>
  <c r="M151" i="37"/>
  <c r="W132" i="37"/>
  <c r="I79" i="37"/>
  <c r="J9" i="39"/>
  <c r="AF7" i="37"/>
  <c r="T161" i="72"/>
  <c r="AB44" i="37"/>
  <c r="C103" i="37"/>
  <c r="AC28" i="37"/>
  <c r="AA23" i="37"/>
  <c r="N145" i="37"/>
  <c r="M13" i="37"/>
  <c r="G75" i="37"/>
  <c r="R86" i="37"/>
  <c r="AB41" i="37"/>
  <c r="Z38" i="37"/>
  <c r="U158" i="72"/>
  <c r="X154" i="37"/>
  <c r="H29" i="39"/>
  <c r="Q20" i="37"/>
  <c r="Y40" i="37"/>
  <c r="T43" i="37"/>
  <c r="I38" i="37"/>
  <c r="M73" i="37"/>
  <c r="G19" i="37"/>
  <c r="U114" i="37"/>
  <c r="C64" i="37"/>
  <c r="I39" i="37"/>
  <c r="C127" i="37"/>
  <c r="Q18" i="39"/>
  <c r="G76" i="37"/>
  <c r="Y52" i="37"/>
  <c r="P144" i="37"/>
  <c r="M54" i="37"/>
  <c r="Q55" i="37"/>
  <c r="T40" i="37"/>
  <c r="E127" i="37"/>
  <c r="U160" i="72"/>
  <c r="V78" i="37"/>
  <c r="J43" i="37"/>
  <c r="C94" i="37"/>
  <c r="AD65" i="37"/>
  <c r="W40" i="37"/>
  <c r="T162" i="72"/>
  <c r="AE56" i="37"/>
  <c r="U61" i="37"/>
  <c r="V96" i="37"/>
  <c r="Q10" i="39"/>
  <c r="V154" i="72"/>
  <c r="X51" i="37"/>
  <c r="F87" i="37"/>
  <c r="G21" i="37"/>
  <c r="L136" i="37"/>
  <c r="AC61" i="37"/>
  <c r="U137" i="37"/>
  <c r="J18" i="39"/>
  <c r="D20" i="39"/>
  <c r="M37" i="37"/>
  <c r="J33" i="37"/>
  <c r="D15" i="39"/>
  <c r="AB10" i="37"/>
  <c r="AB150" i="37"/>
  <c r="P48" i="37"/>
  <c r="E11" i="39"/>
  <c r="T51" i="37"/>
  <c r="J53" i="37"/>
  <c r="J67" i="37"/>
  <c r="Y106" i="37"/>
  <c r="X116" i="37"/>
  <c r="T68" i="37"/>
  <c r="L63" i="37"/>
  <c r="X74" i="37"/>
  <c r="Q16" i="39"/>
  <c r="H89" i="37"/>
  <c r="Q72" i="37"/>
  <c r="AA50" i="37"/>
  <c r="W128" i="37"/>
  <c r="V99" i="37"/>
  <c r="AD122" i="37"/>
  <c r="C21" i="37"/>
  <c r="AB14" i="37"/>
  <c r="X33" i="37"/>
  <c r="X134" i="37"/>
  <c r="I22" i="37"/>
  <c r="P85" i="37"/>
  <c r="Z77" i="37"/>
  <c r="AA52" i="37"/>
  <c r="S81" i="37"/>
  <c r="K107" i="37"/>
  <c r="E35" i="37"/>
  <c r="P73" i="37"/>
  <c r="AD33" i="37"/>
  <c r="T131" i="37"/>
  <c r="H20" i="37"/>
  <c r="V75" i="37"/>
  <c r="AF26" i="37"/>
  <c r="G137" i="37"/>
  <c r="M95" i="37"/>
  <c r="M105" i="37"/>
  <c r="H53" i="37"/>
  <c r="P8" i="39"/>
  <c r="T81" i="37"/>
  <c r="T84" i="37"/>
  <c r="K35" i="37"/>
  <c r="L94" i="37"/>
  <c r="T95" i="37"/>
  <c r="AC21" i="37"/>
  <c r="AC132" i="37"/>
  <c r="W105" i="37"/>
  <c r="V150" i="37"/>
  <c r="Q22" i="39"/>
  <c r="T54" i="37"/>
  <c r="D69" i="37"/>
  <c r="M143" i="37"/>
  <c r="W76" i="37"/>
  <c r="AF23" i="37"/>
  <c r="K92" i="37"/>
  <c r="T175" i="72"/>
  <c r="U41" i="37"/>
  <c r="D152" i="37"/>
  <c r="AE80" i="37"/>
  <c r="D77" i="37"/>
  <c r="E115" i="37"/>
  <c r="V125" i="37"/>
  <c r="AB43" i="37"/>
  <c r="U153" i="72"/>
  <c r="G143" i="37"/>
  <c r="V56" i="37"/>
  <c r="Z35" i="37"/>
  <c r="K24" i="37"/>
  <c r="C90" i="37"/>
  <c r="H126" i="37"/>
  <c r="C42" i="37"/>
  <c r="AA96" i="37"/>
  <c r="AF80" i="37"/>
  <c r="D51" i="37"/>
  <c r="AE39" i="37"/>
  <c r="U52" i="37"/>
  <c r="H80" i="37"/>
  <c r="U159" i="72"/>
  <c r="AF134" i="37"/>
  <c r="M78" i="37"/>
  <c r="L132" i="37"/>
  <c r="U154" i="72"/>
  <c r="AA120" i="37"/>
  <c r="AE42" i="37"/>
  <c r="G129" i="37"/>
  <c r="O66" i="37"/>
  <c r="C114" i="37"/>
  <c r="N37" i="39"/>
  <c r="T90" i="37"/>
  <c r="F65" i="37"/>
  <c r="S73" i="37"/>
  <c r="G148" i="37"/>
  <c r="G17" i="39"/>
  <c r="V61" i="37"/>
  <c r="L32" i="37"/>
  <c r="D82" i="37"/>
  <c r="AA146" i="37"/>
  <c r="T23" i="37"/>
  <c r="AE25" i="37"/>
  <c r="AD38" i="37"/>
  <c r="AF142" i="37"/>
  <c r="AF44" i="37"/>
  <c r="M86" i="37"/>
  <c r="H19" i="39"/>
  <c r="AD138" i="37"/>
  <c r="S22" i="37"/>
  <c r="H110" i="37"/>
  <c r="I116" i="37"/>
  <c r="D33" i="39"/>
  <c r="Q34" i="39"/>
  <c r="M149" i="37"/>
  <c r="T120" i="37"/>
  <c r="V145" i="37"/>
  <c r="E112" i="37"/>
  <c r="T91" i="37"/>
  <c r="I27" i="37"/>
  <c r="M9" i="39"/>
  <c r="P20" i="37"/>
  <c r="C44" i="37"/>
  <c r="Z126" i="37"/>
  <c r="Y116" i="37"/>
  <c r="R116" i="37"/>
  <c r="V92" i="37"/>
  <c r="I104" i="37"/>
  <c r="AC155" i="37"/>
  <c r="S101" i="37"/>
  <c r="X104" i="37"/>
  <c r="F122" i="37"/>
  <c r="G9" i="39"/>
  <c r="M75" i="37"/>
  <c r="T28" i="37"/>
  <c r="H63" i="37"/>
  <c r="S165" i="72"/>
  <c r="H81" i="37"/>
  <c r="O29" i="37"/>
  <c r="H121" i="37"/>
  <c r="H96" i="37"/>
  <c r="F35" i="37"/>
  <c r="T98" i="37"/>
  <c r="E38" i="37"/>
  <c r="K30" i="39"/>
  <c r="D55" i="37"/>
  <c r="O40" i="37"/>
  <c r="J101" i="37"/>
  <c r="P148" i="37"/>
  <c r="Y65" i="37"/>
  <c r="G51" i="37"/>
  <c r="N89" i="37"/>
  <c r="N28" i="37"/>
  <c r="L35" i="37"/>
  <c r="AA28" i="37"/>
  <c r="Z120" i="37"/>
  <c r="T181" i="72"/>
  <c r="AA153" i="37"/>
  <c r="H7" i="37"/>
  <c r="N102" i="37"/>
  <c r="N74" i="37"/>
  <c r="Y79" i="37"/>
  <c r="AD66" i="37"/>
  <c r="R152" i="37"/>
  <c r="M28" i="37"/>
  <c r="W74" i="37"/>
  <c r="S157" i="72"/>
  <c r="U49" i="37"/>
  <c r="P19" i="37"/>
  <c r="H142" i="37"/>
  <c r="P65" i="37"/>
  <c r="I43" i="37"/>
  <c r="T79" i="37"/>
  <c r="AA38" i="37"/>
  <c r="X66" i="37"/>
  <c r="AD89" i="37"/>
  <c r="R29" i="37"/>
  <c r="AA51" i="37"/>
  <c r="K132" i="37"/>
  <c r="C126" i="37"/>
  <c r="O32" i="37"/>
  <c r="H34" i="37"/>
  <c r="R23" i="39"/>
  <c r="S16" i="39"/>
  <c r="AD82" i="37"/>
  <c r="D132" i="37"/>
  <c r="M127" i="37"/>
  <c r="M44" i="37"/>
  <c r="D146" i="37"/>
  <c r="AB81" i="37"/>
  <c r="V137" i="37"/>
  <c r="H119" i="37"/>
  <c r="Z125" i="37"/>
  <c r="V120" i="37"/>
  <c r="I100" i="37"/>
  <c r="R21" i="37"/>
  <c r="AE24" i="37"/>
  <c r="I21" i="37"/>
  <c r="I86" i="37"/>
  <c r="Y131" i="37"/>
  <c r="X57" i="37"/>
  <c r="F34" i="37"/>
  <c r="O42" i="37"/>
  <c r="AF102" i="37"/>
  <c r="W15" i="37"/>
  <c r="F13" i="39"/>
  <c r="U58" i="37"/>
  <c r="N9" i="39"/>
  <c r="K152" i="37"/>
  <c r="C105" i="37"/>
  <c r="M8" i="39"/>
  <c r="K116" i="37"/>
  <c r="J145" i="37"/>
  <c r="D68" i="37"/>
  <c r="AC143" i="37"/>
  <c r="AE95" i="37"/>
  <c r="S33" i="37"/>
  <c r="M85" i="37"/>
  <c r="AF139" i="37"/>
  <c r="S96" i="37"/>
  <c r="AB125" i="37"/>
  <c r="W160" i="72"/>
  <c r="Q57" i="37"/>
  <c r="Q61" i="37"/>
  <c r="AA101" i="37"/>
  <c r="L27" i="37"/>
  <c r="AB34" i="37"/>
  <c r="V48" i="37"/>
  <c r="P33" i="39"/>
  <c r="O84" i="37"/>
  <c r="E98" i="37"/>
  <c r="W101" i="37"/>
  <c r="R142" i="37"/>
  <c r="AD62" i="37"/>
  <c r="N149" i="37"/>
  <c r="H76" i="37"/>
  <c r="AE115" i="37"/>
  <c r="X151" i="37"/>
  <c r="T143" i="37"/>
  <c r="AB42" i="37"/>
  <c r="AC25" i="37"/>
  <c r="G85" i="37"/>
  <c r="X27" i="37"/>
  <c r="J24" i="39"/>
  <c r="G91" i="37"/>
  <c r="N113" i="37"/>
  <c r="E139" i="37"/>
  <c r="C8" i="39"/>
  <c r="O13" i="37"/>
  <c r="N27" i="37"/>
  <c r="N15" i="37"/>
  <c r="E67" i="37"/>
  <c r="AC96" i="37"/>
  <c r="D145" i="37"/>
  <c r="O24" i="39"/>
  <c r="N57" i="37"/>
  <c r="G48" i="37"/>
  <c r="M128" i="37"/>
  <c r="L69" i="37"/>
  <c r="S61" i="37"/>
  <c r="Q7" i="37"/>
  <c r="J8" i="39"/>
  <c r="U84" i="37"/>
  <c r="D123" i="37"/>
  <c r="AD83" i="37"/>
  <c r="Z74" i="37"/>
  <c r="AD44" i="37"/>
  <c r="L30" i="39"/>
  <c r="AE102" i="37"/>
  <c r="AA156" i="37"/>
  <c r="AB151" i="37"/>
  <c r="AE113" i="37"/>
  <c r="AA103" i="37"/>
  <c r="Z43" i="37"/>
  <c r="E128" i="37"/>
  <c r="O9" i="39"/>
  <c r="X121" i="37"/>
  <c r="T164" i="72"/>
  <c r="H49" i="37"/>
  <c r="M112" i="37"/>
  <c r="L19" i="39"/>
  <c r="U34" i="39"/>
  <c r="AA142" i="37"/>
  <c r="C84" i="37"/>
  <c r="X77" i="37"/>
  <c r="C40" i="37"/>
  <c r="T151" i="37"/>
  <c r="AC115" i="37"/>
  <c r="Z85" i="37"/>
  <c r="R125" i="37"/>
  <c r="E78" i="37"/>
  <c r="Y81" i="37"/>
  <c r="I42" i="37"/>
  <c r="U106" i="37"/>
  <c r="AB102" i="37"/>
  <c r="R127" i="37"/>
  <c r="AE69" i="37"/>
  <c r="E153" i="37"/>
  <c r="AA35" i="37"/>
  <c r="N21" i="37"/>
  <c r="F69" i="37"/>
  <c r="D91" i="37"/>
  <c r="W55" i="37"/>
  <c r="N15" i="39"/>
  <c r="W179" i="72"/>
  <c r="AB145" i="37"/>
  <c r="M19" i="37"/>
  <c r="G18" i="39"/>
  <c r="Z139" i="37"/>
  <c r="G55" i="37"/>
  <c r="U169" i="72"/>
  <c r="W35" i="37"/>
  <c r="Y102" i="37"/>
  <c r="I65" i="37"/>
  <c r="C41" i="37"/>
  <c r="C32" i="37"/>
  <c r="N128" i="37"/>
  <c r="I94" i="37"/>
  <c r="O151" i="37"/>
  <c r="AA144" i="37"/>
  <c r="I20" i="39"/>
  <c r="Y118" i="37"/>
  <c r="R48" i="37"/>
  <c r="C56" i="37"/>
  <c r="H9" i="39"/>
  <c r="AF77" i="37"/>
  <c r="Y53" i="37"/>
  <c r="H120" i="37"/>
  <c r="F34" i="39"/>
  <c r="O14" i="39"/>
  <c r="AB78" i="37"/>
  <c r="Q8" i="39"/>
  <c r="Y156" i="37"/>
  <c r="C156" i="37"/>
  <c r="AB33" i="37"/>
  <c r="AB144" i="37"/>
  <c r="Q62" i="37"/>
  <c r="T171" i="72"/>
  <c r="F157" i="37"/>
  <c r="O19" i="39"/>
  <c r="E26" i="37"/>
  <c r="U74" i="37"/>
  <c r="F149" i="37"/>
  <c r="D32" i="37"/>
  <c r="X83" i="37"/>
  <c r="M125" i="37"/>
  <c r="R180" i="72"/>
  <c r="Q96" i="37"/>
  <c r="D80" i="37"/>
  <c r="L154" i="37"/>
  <c r="R19" i="39"/>
  <c r="AB84" i="37"/>
  <c r="C102" i="37"/>
  <c r="T154" i="72"/>
  <c r="U143" i="37"/>
  <c r="E58" i="37"/>
  <c r="Q33" i="39"/>
  <c r="L51" i="37"/>
  <c r="S82" i="37"/>
  <c r="Z52" i="37"/>
  <c r="U136" i="37"/>
  <c r="AF144" i="37"/>
  <c r="Y136" i="37"/>
  <c r="Q29" i="39"/>
  <c r="P53" i="37"/>
  <c r="Y27" i="37"/>
  <c r="W29" i="37"/>
  <c r="G34" i="37"/>
  <c r="T145" i="37"/>
  <c r="O34" i="37"/>
  <c r="O99" i="37"/>
  <c r="C83" i="37"/>
  <c r="Z72" i="37"/>
  <c r="Q150" i="37"/>
  <c r="C68" i="37"/>
  <c r="M117" i="37"/>
  <c r="E37" i="37"/>
  <c r="S122" i="37"/>
  <c r="AF55" i="37"/>
  <c r="C130" i="37"/>
  <c r="N130" i="37"/>
  <c r="C145" i="37"/>
  <c r="AA86" i="37"/>
  <c r="P155" i="37"/>
  <c r="Z33" i="37"/>
  <c r="S26" i="37"/>
  <c r="O33" i="37"/>
  <c r="AC57" i="37"/>
  <c r="M30" i="39"/>
  <c r="E10" i="39"/>
  <c r="F12" i="37"/>
  <c r="N95" i="37"/>
  <c r="S18" i="39"/>
  <c r="T127" i="37"/>
  <c r="X100" i="37"/>
  <c r="AB155" i="37"/>
  <c r="K63" i="37"/>
  <c r="C78" i="37"/>
  <c r="Y122" i="37"/>
  <c r="W115" i="37"/>
  <c r="AE104" i="37"/>
  <c r="U122" i="37"/>
  <c r="E33" i="37"/>
  <c r="AB99" i="37"/>
  <c r="C157" i="37"/>
  <c r="V147" i="37"/>
  <c r="W152" i="72"/>
  <c r="V175" i="72"/>
  <c r="O147" i="37"/>
  <c r="G86" i="37"/>
  <c r="C77" i="37"/>
  <c r="Q35" i="37"/>
  <c r="K157" i="37"/>
  <c r="F80" i="37"/>
  <c r="F155" i="37"/>
  <c r="U79" i="37"/>
  <c r="D49" i="37"/>
  <c r="R100" i="37"/>
  <c r="G128" i="37"/>
  <c r="AF29" i="37"/>
  <c r="I37" i="37"/>
  <c r="R78" i="37"/>
  <c r="G145" i="37"/>
  <c r="P36" i="37"/>
  <c r="K11" i="39"/>
  <c r="AA125" i="37"/>
  <c r="J129" i="37"/>
  <c r="AE33" i="37"/>
  <c r="C27" i="39"/>
  <c r="AD54" i="37"/>
  <c r="G41" i="37"/>
  <c r="Q131" i="37"/>
  <c r="T33" i="39"/>
  <c r="L76" i="37"/>
  <c r="X80" i="37"/>
  <c r="AD106" i="37"/>
  <c r="P54" i="37"/>
  <c r="AB95" i="37"/>
  <c r="I132" i="37"/>
  <c r="S15" i="37"/>
  <c r="Q21" i="37"/>
  <c r="K25" i="37"/>
  <c r="L21" i="37"/>
  <c r="AA58" i="37"/>
  <c r="K86" i="37"/>
  <c r="O15" i="39"/>
  <c r="AD64" i="37"/>
  <c r="U117" i="37"/>
  <c r="D27" i="39"/>
  <c r="M41" i="37"/>
  <c r="O38" i="37"/>
  <c r="G94" i="37"/>
  <c r="F154" i="37"/>
  <c r="D14" i="37"/>
  <c r="W84" i="37"/>
  <c r="AD149" i="37"/>
  <c r="U145" i="37"/>
  <c r="Y98" i="37"/>
  <c r="Q144" i="37"/>
  <c r="C37" i="39"/>
  <c r="H85" i="37"/>
  <c r="AB136" i="37"/>
  <c r="O53" i="37"/>
  <c r="O45" i="37"/>
  <c r="S113" i="37"/>
  <c r="G20" i="37"/>
  <c r="M11" i="39"/>
  <c r="I49" i="37"/>
  <c r="O144" i="37"/>
  <c r="Z144" i="37"/>
  <c r="Q32" i="37"/>
  <c r="AA95" i="37"/>
  <c r="N150" i="37"/>
  <c r="AB135" i="37"/>
  <c r="J133" i="37"/>
  <c r="O157" i="37"/>
  <c r="AC56" i="37"/>
  <c r="W129" i="37"/>
  <c r="E51" i="37"/>
  <c r="P149" i="37"/>
  <c r="I150" i="37"/>
  <c r="W42" i="37"/>
  <c r="X25" i="37"/>
  <c r="M132" i="37"/>
  <c r="H134" i="37"/>
  <c r="U20" i="37"/>
  <c r="R28" i="37"/>
  <c r="B35" i="39"/>
  <c r="G69" i="37"/>
  <c r="R87" i="37"/>
  <c r="X157" i="37"/>
  <c r="O97" i="37"/>
  <c r="S116" i="37"/>
  <c r="J40" i="37"/>
  <c r="AA150" i="37"/>
  <c r="I7" i="37"/>
  <c r="N152" i="37"/>
  <c r="O154" i="37"/>
  <c r="F84" i="37"/>
  <c r="E76" i="37"/>
  <c r="I98" i="37"/>
  <c r="M35" i="37"/>
  <c r="S171" i="72"/>
  <c r="T75" i="37"/>
  <c r="U29" i="39"/>
  <c r="W66" i="37"/>
  <c r="W27" i="37"/>
  <c r="I146" i="37"/>
  <c r="I77" i="37"/>
  <c r="Z150" i="37"/>
  <c r="AD87" i="37"/>
  <c r="S160" i="72"/>
  <c r="L149" i="37"/>
  <c r="D32" i="39"/>
  <c r="I29" i="39"/>
  <c r="W24" i="37"/>
  <c r="L98" i="37"/>
  <c r="G73" i="37"/>
  <c r="G23" i="39"/>
  <c r="AB103" i="37"/>
  <c r="F40" i="37"/>
  <c r="J120" i="37"/>
  <c r="G133" i="37"/>
  <c r="K13" i="37"/>
  <c r="I122" i="37"/>
  <c r="T82" i="37"/>
  <c r="F33" i="37"/>
  <c r="O57" i="37"/>
  <c r="F96" i="37"/>
  <c r="S169" i="72"/>
  <c r="Q25" i="37"/>
  <c r="P10" i="37"/>
  <c r="R35" i="37"/>
  <c r="I53" i="37"/>
  <c r="Z145" i="37"/>
  <c r="AB49" i="37"/>
  <c r="Z97" i="37"/>
  <c r="E21" i="39"/>
  <c r="O25" i="39"/>
  <c r="F126" i="37"/>
  <c r="C33" i="39"/>
  <c r="E9" i="39"/>
  <c r="O41" i="37"/>
  <c r="G124" i="37"/>
  <c r="V34" i="39"/>
  <c r="V40" i="37"/>
  <c r="I16" i="39"/>
  <c r="F145" i="37"/>
  <c r="I97" i="37"/>
  <c r="W134" i="37"/>
  <c r="M48" i="37"/>
  <c r="Z23" i="37"/>
  <c r="F44" i="37"/>
  <c r="G16" i="39"/>
  <c r="F13" i="37"/>
  <c r="AE132" i="37"/>
  <c r="I15" i="39"/>
  <c r="N114" i="37"/>
  <c r="N81" i="37"/>
  <c r="AE135" i="37"/>
  <c r="J58" i="37"/>
  <c r="AA114" i="37"/>
  <c r="V55" i="37"/>
  <c r="D42" i="37"/>
  <c r="AB26" i="37"/>
  <c r="H14" i="39"/>
  <c r="V113" i="37"/>
  <c r="S153" i="72"/>
  <c r="J24" i="37"/>
  <c r="E116" i="37"/>
  <c r="R92" i="37"/>
  <c r="I44" i="37"/>
  <c r="AD133" i="37"/>
  <c r="Q33" i="37"/>
  <c r="AE152" i="37"/>
  <c r="V94" i="37"/>
  <c r="E86" i="37"/>
  <c r="K32" i="37"/>
  <c r="Y146" i="37"/>
  <c r="H131" i="37"/>
  <c r="P21" i="39"/>
  <c r="R83" i="37"/>
  <c r="AA127" i="37"/>
  <c r="N52" i="37"/>
  <c r="E65" i="37"/>
  <c r="Q74" i="37"/>
  <c r="W171" i="72"/>
  <c r="Q112" i="37"/>
  <c r="H67" i="37"/>
  <c r="I19" i="37"/>
  <c r="Z124" i="37"/>
  <c r="P34" i="37"/>
  <c r="H24" i="39"/>
  <c r="O67" i="37"/>
  <c r="AD107" i="37"/>
  <c r="R31" i="39"/>
  <c r="G15" i="39"/>
  <c r="K35" i="39"/>
  <c r="S123" i="37"/>
  <c r="Q106" i="37"/>
  <c r="O89" i="37"/>
  <c r="K21" i="37"/>
  <c r="R97" i="37"/>
  <c r="W147" i="37"/>
  <c r="AB36" i="37"/>
  <c r="P128" i="37"/>
  <c r="D127" i="37"/>
  <c r="U78" i="37"/>
  <c r="U31" i="39"/>
  <c r="S154" i="37"/>
  <c r="AF52" i="37"/>
  <c r="T26" i="37"/>
  <c r="T36" i="39"/>
  <c r="J34" i="37"/>
  <c r="J81" i="37"/>
  <c r="AA40" i="37"/>
  <c r="M25" i="37"/>
  <c r="Y18" i="37"/>
  <c r="T123" i="37"/>
  <c r="K80" i="37"/>
  <c r="U133" i="37"/>
  <c r="X10" i="37"/>
  <c r="R26" i="39"/>
  <c r="Q38" i="37"/>
  <c r="E99" i="37"/>
  <c r="N7" i="37"/>
  <c r="R37" i="37"/>
  <c r="AA81" i="37"/>
  <c r="F100" i="37"/>
  <c r="V31" i="39"/>
  <c r="T159" i="72"/>
  <c r="N18" i="37"/>
  <c r="G26" i="39"/>
  <c r="F82" i="37"/>
  <c r="L44" i="37"/>
  <c r="R12" i="37"/>
  <c r="E40" i="37"/>
  <c r="V129" i="37"/>
  <c r="M51" i="37"/>
  <c r="P105" i="37"/>
  <c r="W164" i="72"/>
  <c r="V64" i="37"/>
  <c r="X42" i="37"/>
  <c r="O35" i="39"/>
  <c r="T122" i="37"/>
  <c r="V49" i="37"/>
  <c r="K51" i="37"/>
  <c r="S107" i="37"/>
  <c r="E56" i="37"/>
  <c r="J22" i="39"/>
  <c r="T37" i="39"/>
  <c r="X95" i="37"/>
  <c r="I87" i="37"/>
  <c r="Z111" i="37"/>
  <c r="U156" i="72"/>
  <c r="S21" i="37"/>
  <c r="D18" i="39"/>
  <c r="W151" i="37"/>
  <c r="Z110" i="37"/>
  <c r="L29" i="37"/>
  <c r="D29" i="37"/>
  <c r="M38" i="37"/>
  <c r="H128" i="37"/>
  <c r="L27" i="39"/>
  <c r="U34" i="37"/>
  <c r="Q41" i="37"/>
  <c r="Q145" i="37"/>
  <c r="H129" i="37"/>
  <c r="J102" i="37"/>
  <c r="H44" i="37"/>
  <c r="W123" i="37"/>
  <c r="AE146" i="37"/>
  <c r="U33" i="39"/>
  <c r="E146" i="37"/>
  <c r="E119" i="37"/>
  <c r="T128" i="37"/>
  <c r="AA7" i="37"/>
  <c r="I36" i="37"/>
  <c r="N90" i="37"/>
  <c r="P112" i="37"/>
  <c r="F134" i="37"/>
  <c r="W148" i="37"/>
  <c r="AB76" i="37"/>
  <c r="D84" i="37"/>
  <c r="Q13" i="39"/>
  <c r="G122" i="37"/>
  <c r="P16" i="39"/>
  <c r="S53" i="37"/>
  <c r="L144" i="37"/>
  <c r="O128" i="37"/>
  <c r="U149" i="37"/>
  <c r="J17" i="39"/>
  <c r="AF146" i="37"/>
  <c r="X117" i="37"/>
  <c r="O11" i="37"/>
  <c r="Z149" i="37"/>
  <c r="N115" i="37"/>
  <c r="AB149" i="37"/>
  <c r="L118" i="37"/>
  <c r="AA123" i="37"/>
  <c r="I37" i="39"/>
  <c r="O58" i="37"/>
  <c r="H41" i="37"/>
  <c r="L34" i="37"/>
  <c r="E80" i="37"/>
  <c r="K85" i="37"/>
  <c r="AE125" i="37"/>
  <c r="P125" i="37"/>
  <c r="F128" i="37"/>
  <c r="K34" i="39"/>
  <c r="C117" i="37"/>
  <c r="D48" i="37"/>
  <c r="S149" i="37"/>
  <c r="X94" i="37"/>
  <c r="AA33" i="37"/>
  <c r="L111" i="37"/>
  <c r="K22" i="39"/>
  <c r="N53" i="37"/>
  <c r="S23" i="37"/>
  <c r="T65" i="37"/>
  <c r="O119" i="37"/>
  <c r="T173" i="72"/>
  <c r="H13" i="39"/>
  <c r="F124" i="37"/>
  <c r="K52" i="37"/>
  <c r="AF143" i="37"/>
  <c r="AF24" i="37"/>
  <c r="V53" i="37"/>
  <c r="H99" i="37"/>
  <c r="AA32" i="37"/>
  <c r="P57" i="37"/>
  <c r="P27" i="37"/>
  <c r="U91" i="37"/>
  <c r="V128" i="37"/>
  <c r="N124" i="37"/>
  <c r="AB118" i="37"/>
  <c r="J27" i="37"/>
  <c r="D13" i="37"/>
  <c r="O12" i="37"/>
  <c r="AA64" i="37"/>
  <c r="R91" i="37"/>
  <c r="J63" i="37"/>
  <c r="AB20" i="37"/>
  <c r="AD93" i="37"/>
  <c r="R72" i="37"/>
  <c r="Y150" i="37"/>
  <c r="W11" i="37"/>
  <c r="C45" i="37"/>
  <c r="AA129" i="37"/>
  <c r="AF45" i="37"/>
  <c r="T156" i="72"/>
  <c r="K18" i="39"/>
  <c r="H82" i="37"/>
  <c r="K121" i="37"/>
  <c r="T13" i="37"/>
  <c r="S104" i="37"/>
  <c r="M92" i="37"/>
  <c r="P39" i="37"/>
  <c r="V155" i="72"/>
  <c r="T155" i="72"/>
  <c r="O96" i="37"/>
  <c r="O150" i="37"/>
  <c r="D29" i="39"/>
  <c r="X50" i="37"/>
  <c r="T148" i="37"/>
  <c r="V33" i="37"/>
  <c r="H146" i="37"/>
  <c r="F50" i="37"/>
  <c r="Z132" i="37"/>
  <c r="Z48" i="37"/>
  <c r="Y74" i="37"/>
  <c r="P126" i="37"/>
  <c r="Q22" i="37"/>
  <c r="D7" i="37"/>
  <c r="R14" i="39"/>
  <c r="U139" i="37"/>
  <c r="E144" i="37"/>
  <c r="H90" i="37"/>
  <c r="U75" i="37"/>
  <c r="K147" i="37"/>
  <c r="U150" i="37"/>
  <c r="O113" i="37"/>
  <c r="R63" i="37"/>
  <c r="J25" i="39"/>
  <c r="K125" i="37"/>
  <c r="F18" i="37"/>
  <c r="C79" i="37"/>
  <c r="P12" i="39"/>
  <c r="M97" i="37"/>
  <c r="W82" i="37"/>
  <c r="Y25" i="37"/>
  <c r="Q146" i="37"/>
  <c r="N55" i="37"/>
  <c r="Q69" i="37"/>
  <c r="L42" i="37"/>
  <c r="U154" i="37"/>
  <c r="R28" i="39"/>
  <c r="E24" i="37"/>
  <c r="AF10" i="37"/>
  <c r="AA54" i="37"/>
  <c r="I32" i="37"/>
  <c r="R149" i="37"/>
  <c r="O80" i="37"/>
  <c r="U87" i="37"/>
  <c r="K137" i="37"/>
  <c r="O93" i="37"/>
  <c r="Y76" i="37"/>
  <c r="I12" i="37"/>
  <c r="AE32" i="37"/>
  <c r="D43" i="37"/>
  <c r="L90" i="37"/>
  <c r="L93" i="37"/>
  <c r="AE49" i="37"/>
  <c r="AE139" i="37"/>
  <c r="K129" i="37"/>
  <c r="D39" i="37"/>
  <c r="AF42" i="37"/>
  <c r="Q117" i="37"/>
  <c r="F76" i="37"/>
  <c r="V124" i="37"/>
  <c r="S67" i="37"/>
  <c r="L91" i="37"/>
  <c r="AB21" i="37"/>
  <c r="N91" i="37"/>
  <c r="AD74" i="37"/>
  <c r="AC39" i="37"/>
  <c r="F97" i="37"/>
  <c r="AC44" i="37"/>
  <c r="I28" i="39"/>
  <c r="H17" i="39"/>
  <c r="P124" i="37"/>
  <c r="U166" i="72"/>
  <c r="E89" i="37"/>
  <c r="Y96" i="37"/>
  <c r="F61" i="37"/>
  <c r="AE44" i="37"/>
  <c r="R135" i="37"/>
  <c r="R43" i="37"/>
  <c r="W103" i="37"/>
  <c r="J113" i="37"/>
  <c r="AE150" i="37"/>
  <c r="I99" i="37"/>
  <c r="S80" i="37"/>
  <c r="AC148" i="37"/>
  <c r="O18" i="39"/>
  <c r="K40" i="37"/>
  <c r="R14" i="37"/>
  <c r="F23" i="37"/>
  <c r="H124" i="37"/>
  <c r="O91" i="37"/>
  <c r="H149" i="37"/>
  <c r="AF19" i="37"/>
  <c r="H106" i="37"/>
  <c r="U40" i="37"/>
  <c r="N118" i="37"/>
  <c r="U19" i="37"/>
  <c r="T12" i="37"/>
  <c r="E44" i="37"/>
  <c r="N22" i="37"/>
  <c r="Y130" i="37"/>
  <c r="E21" i="37"/>
  <c r="K97" i="37"/>
  <c r="L74" i="37"/>
  <c r="H97" i="37"/>
  <c r="AB92" i="37"/>
  <c r="E145" i="37"/>
  <c r="AD153" i="37"/>
  <c r="L117" i="37"/>
  <c r="K68" i="37"/>
  <c r="J142" i="37"/>
  <c r="K95" i="37"/>
  <c r="W54" i="37"/>
  <c r="E18" i="37"/>
  <c r="N125" i="37"/>
  <c r="I76" i="37"/>
  <c r="Q100" i="37"/>
  <c r="D92" i="37"/>
  <c r="R8" i="39"/>
  <c r="J112" i="37"/>
  <c r="O133" i="37"/>
  <c r="J10" i="39"/>
  <c r="N151" i="37"/>
  <c r="Q73" i="37"/>
  <c r="R54" i="37"/>
  <c r="M148" i="37"/>
  <c r="W65" i="37"/>
  <c r="U103" i="37"/>
  <c r="Z135" i="37"/>
  <c r="Q155" i="37"/>
  <c r="L28" i="39"/>
  <c r="X123" i="37"/>
  <c r="I62" i="37"/>
  <c r="M133" i="37"/>
  <c r="V87" i="37"/>
  <c r="X147" i="37"/>
  <c r="D75" i="37"/>
  <c r="R52" i="37"/>
  <c r="F114" i="37"/>
  <c r="U102" i="37"/>
  <c r="N32" i="37"/>
  <c r="S142" i="37"/>
  <c r="I48" i="37"/>
  <c r="J20" i="39"/>
  <c r="O142" i="37"/>
  <c r="J52" i="37"/>
  <c r="U162" i="72"/>
  <c r="T76" i="37"/>
  <c r="AC82" i="37"/>
  <c r="C48" i="37"/>
  <c r="AB75" i="37"/>
  <c r="P14" i="37"/>
  <c r="I90" i="37"/>
  <c r="T87" i="37"/>
  <c r="Z87" i="37"/>
  <c r="Q123" i="37"/>
  <c r="K98" i="37"/>
  <c r="AE114" i="37"/>
  <c r="I64" i="37"/>
  <c r="AE151" i="37"/>
  <c r="Y134" i="37"/>
  <c r="K10" i="39"/>
  <c r="K72" i="37"/>
  <c r="Q84" i="37"/>
  <c r="R153" i="37"/>
  <c r="Z89" i="37"/>
  <c r="I82" i="37"/>
  <c r="F29" i="37"/>
  <c r="C20" i="37"/>
  <c r="C97" i="37"/>
  <c r="J146" i="37"/>
  <c r="H68" i="37"/>
  <c r="R10" i="37"/>
  <c r="U126" i="37"/>
  <c r="AA131" i="37"/>
  <c r="AC52" i="37"/>
  <c r="F119" i="37"/>
  <c r="G62" i="37"/>
  <c r="I23" i="37"/>
  <c r="G101" i="37"/>
  <c r="H152" i="37"/>
  <c r="C152" i="37"/>
  <c r="U128" i="37"/>
  <c r="E97" i="37"/>
  <c r="P18" i="37"/>
  <c r="C128" i="37"/>
  <c r="U176" i="72"/>
  <c r="L11" i="37"/>
  <c r="D104" i="37"/>
  <c r="AC32" i="37"/>
  <c r="D21" i="37"/>
  <c r="W150" i="37"/>
  <c r="J86" i="37"/>
  <c r="AF147" i="37"/>
  <c r="C69" i="37"/>
  <c r="M16" i="39"/>
  <c r="J48" i="37"/>
  <c r="R155" i="37"/>
  <c r="K36" i="39"/>
  <c r="M56" i="37"/>
  <c r="O51" i="37"/>
  <c r="AB131" i="37"/>
  <c r="F20" i="37"/>
  <c r="AE50" i="37"/>
  <c r="Q78" i="37"/>
  <c r="J115" i="37"/>
  <c r="D11" i="39"/>
  <c r="AB90" i="37"/>
  <c r="I134" i="37"/>
  <c r="V20" i="37"/>
  <c r="Q89" i="37"/>
  <c r="L50" i="37"/>
  <c r="C18" i="39"/>
  <c r="F52" i="37"/>
  <c r="J85" i="37"/>
  <c r="S146" i="37"/>
  <c r="W72" i="37"/>
  <c r="G157" i="37"/>
  <c r="C25" i="37"/>
  <c r="R156" i="37"/>
  <c r="J29" i="39"/>
  <c r="AB39" i="37"/>
  <c r="AC137" i="37"/>
  <c r="V121" i="37"/>
  <c r="S54" i="37"/>
  <c r="J83" i="37"/>
  <c r="Y84" i="37"/>
  <c r="AD7" i="37"/>
  <c r="S35" i="37"/>
  <c r="Q21" i="39"/>
  <c r="C28" i="37"/>
  <c r="J74" i="37"/>
  <c r="S129" i="37"/>
  <c r="AC157" i="37"/>
  <c r="M15" i="37"/>
  <c r="U142" i="37"/>
  <c r="C72" i="37"/>
  <c r="G154" i="37"/>
  <c r="W122" i="37"/>
  <c r="F110" i="37"/>
  <c r="L142" i="37"/>
  <c r="T49" i="37"/>
  <c r="U165" i="72"/>
  <c r="U152" i="72"/>
  <c r="L18" i="39"/>
  <c r="F19" i="37"/>
  <c r="O137" i="37"/>
  <c r="P35" i="39"/>
  <c r="C31" i="39"/>
  <c r="F127" i="37"/>
  <c r="N38" i="37"/>
  <c r="W56" i="37"/>
  <c r="F21" i="37"/>
  <c r="C52" i="37"/>
  <c r="Z100" i="37"/>
  <c r="O156" i="37"/>
  <c r="H36" i="39"/>
  <c r="R107" i="37"/>
  <c r="L128" i="37"/>
  <c r="E45" i="37"/>
  <c r="O61" i="37"/>
  <c r="G102" i="37"/>
  <c r="Q26" i="39"/>
  <c r="AF107" i="37"/>
  <c r="N34" i="37"/>
  <c r="K50" i="37"/>
  <c r="N137" i="37"/>
  <c r="W144" i="37"/>
  <c r="W63" i="37"/>
  <c r="L31" i="39"/>
  <c r="T57" i="37"/>
  <c r="V7" i="37"/>
  <c r="U72" i="37"/>
  <c r="G110" i="37"/>
  <c r="U18" i="37"/>
  <c r="V41" i="37"/>
  <c r="F11" i="39"/>
  <c r="M11" i="37"/>
  <c r="L25" i="37"/>
  <c r="S163" i="72"/>
  <c r="O19" i="37"/>
  <c r="L37" i="37"/>
  <c r="L33" i="39"/>
  <c r="I58" i="37"/>
  <c r="Y87" i="37"/>
  <c r="P33" i="37"/>
  <c r="AA157" i="37"/>
  <c r="Y145" i="37"/>
  <c r="G136" i="37"/>
  <c r="AA105" i="37"/>
  <c r="AD25" i="37"/>
  <c r="K61" i="37"/>
  <c r="E19" i="37"/>
  <c r="Q134" i="37"/>
  <c r="H157" i="37"/>
  <c r="AA39" i="37"/>
  <c r="AA87" i="37"/>
  <c r="Q81" i="37"/>
  <c r="E131" i="37"/>
  <c r="AD12" i="37"/>
  <c r="L29" i="39"/>
  <c r="Z90" i="37"/>
  <c r="H12" i="37"/>
  <c r="AB66" i="37"/>
  <c r="R25" i="37"/>
  <c r="L148" i="37"/>
  <c r="H102" i="37"/>
  <c r="V144" i="37"/>
  <c r="U27" i="37"/>
  <c r="F66" i="37"/>
  <c r="P136" i="37"/>
  <c r="P69" i="37"/>
  <c r="K58" i="37"/>
  <c r="S111" i="37"/>
  <c r="P101" i="37"/>
  <c r="I118" i="37"/>
  <c r="T134" i="37"/>
  <c r="F156" i="37"/>
  <c r="R10" i="39"/>
  <c r="U45" i="37"/>
  <c r="AA66" i="37"/>
  <c r="P37" i="37"/>
  <c r="T99" i="37"/>
  <c r="S128" i="37"/>
  <c r="D83" i="37"/>
  <c r="L22" i="37"/>
  <c r="U10" i="39" l="1"/>
  <c r="H105" i="38" s="1"/>
  <c r="T26" i="39"/>
  <c r="H73" i="38" s="1"/>
  <c r="T21" i="39"/>
  <c r="H57" i="38" s="1"/>
  <c r="U8" i="39"/>
  <c r="H98" i="38" s="1"/>
  <c r="U14" i="39"/>
  <c r="H108" i="38" s="1"/>
  <c r="T13" i="39"/>
  <c r="H61" i="38" s="1"/>
  <c r="H84" i="38"/>
  <c r="H53" i="38"/>
  <c r="H11" i="38"/>
  <c r="U26" i="39"/>
  <c r="H107" i="38" s="1"/>
  <c r="H49" i="38"/>
  <c r="H83" i="38"/>
  <c r="H16" i="38"/>
  <c r="H82" i="38"/>
  <c r="C86" i="38"/>
  <c r="C50" i="38"/>
  <c r="C14" i="38"/>
  <c r="H48" i="38"/>
  <c r="V18" i="39"/>
  <c r="H25" i="38" s="1"/>
  <c r="U19" i="39"/>
  <c r="H96" i="38" s="1"/>
  <c r="T8" i="39"/>
  <c r="H69" i="38" s="1"/>
  <c r="H88" i="38"/>
  <c r="V16" i="39"/>
  <c r="H36" i="38" s="1"/>
  <c r="U23" i="39"/>
  <c r="H102" i="38" s="1"/>
  <c r="T22" i="39"/>
  <c r="H65" i="38" s="1"/>
  <c r="T16" i="39"/>
  <c r="H71" i="38" s="1"/>
  <c r="T10" i="39"/>
  <c r="H67" i="38" s="1"/>
  <c r="T18" i="39"/>
  <c r="H62" i="38" s="1"/>
  <c r="H12" i="38"/>
  <c r="C52" i="38"/>
  <c r="C16" i="38"/>
  <c r="C88" i="38"/>
  <c r="C87" i="38"/>
  <c r="C51" i="38"/>
  <c r="C15" i="38"/>
  <c r="U21" i="39"/>
  <c r="H92" i="38" s="1"/>
  <c r="T20" i="39"/>
  <c r="H70" i="38" s="1"/>
  <c r="H89" i="38"/>
  <c r="T15" i="39"/>
  <c r="H68" i="38" s="1"/>
  <c r="C12" i="38"/>
  <c r="C48" i="38"/>
  <c r="C84" i="38"/>
  <c r="H15" i="38"/>
  <c r="H17" i="38"/>
  <c r="V25" i="39"/>
  <c r="H21" i="38" s="1"/>
  <c r="H19" i="38"/>
  <c r="T24" i="39"/>
  <c r="H58" i="38" s="1"/>
  <c r="T17" i="39"/>
  <c r="H59" i="38" s="1"/>
  <c r="V8" i="39"/>
  <c r="H33" i="38" s="1"/>
  <c r="H51" i="38"/>
  <c r="C13" i="38"/>
  <c r="C85" i="38"/>
  <c r="C49" i="38"/>
  <c r="T23" i="39"/>
  <c r="H66" i="38" s="1"/>
  <c r="T25" i="39"/>
  <c r="H56" i="38" s="1"/>
  <c r="V27" i="39"/>
  <c r="H27" i="38" s="1"/>
  <c r="V13" i="39"/>
  <c r="H26" i="38" s="1"/>
  <c r="H87" i="38"/>
  <c r="V21" i="39"/>
  <c r="H20" i="38" s="1"/>
  <c r="V17" i="39"/>
  <c r="H23" i="38" s="1"/>
  <c r="C46" i="38"/>
  <c r="C10" i="38"/>
  <c r="C82" i="38"/>
  <c r="V12" i="39"/>
  <c r="H38" i="38" s="1"/>
  <c r="H91" i="38"/>
  <c r="V11" i="39"/>
  <c r="H30" i="38" s="1"/>
  <c r="V15" i="39"/>
  <c r="H32" i="38" s="1"/>
  <c r="U18" i="39"/>
  <c r="H99" i="38" s="1"/>
  <c r="H90" i="38"/>
  <c r="H54" i="38"/>
  <c r="U22" i="39"/>
  <c r="H100" i="38" s="1"/>
  <c r="C18" i="38"/>
  <c r="C90" i="38"/>
  <c r="C54" i="38"/>
  <c r="U13" i="39"/>
  <c r="H95" i="38" s="1"/>
  <c r="H46" i="38"/>
  <c r="T27" i="39"/>
  <c r="H63" i="38" s="1"/>
  <c r="T19" i="39"/>
  <c r="H60" i="38" s="1"/>
  <c r="H55" i="38"/>
  <c r="V14" i="39"/>
  <c r="H35" i="38" s="1"/>
  <c r="V20" i="39"/>
  <c r="H34" i="38" s="1"/>
  <c r="H10" i="38"/>
  <c r="U9" i="39"/>
  <c r="H81" i="38" s="1"/>
  <c r="H14" i="38"/>
  <c r="V22" i="39"/>
  <c r="H28" i="38" s="1"/>
  <c r="H52" i="38"/>
  <c r="T11" i="39"/>
  <c r="H64" i="38" s="1"/>
  <c r="V26" i="39"/>
  <c r="H37" i="38" s="1"/>
  <c r="H50" i="38"/>
  <c r="H85" i="38"/>
  <c r="H13" i="38"/>
  <c r="U27" i="39"/>
  <c r="H97" i="38" s="1"/>
  <c r="V23" i="39"/>
  <c r="H29" i="38" s="1"/>
  <c r="H86" i="38"/>
  <c r="V10" i="39"/>
  <c r="H31" i="38" s="1"/>
  <c r="T14" i="39"/>
  <c r="H72" i="38" s="1"/>
  <c r="T9" i="39"/>
  <c r="H45" i="38" s="1"/>
  <c r="V19" i="39"/>
  <c r="H24" i="38" s="1"/>
  <c r="U12" i="39"/>
  <c r="H93" i="38" s="1"/>
  <c r="U17" i="39"/>
  <c r="H94" i="38" s="1"/>
  <c r="U25" i="39"/>
  <c r="H110" i="38" s="1"/>
  <c r="H18" i="38"/>
  <c r="C83" i="38"/>
  <c r="C11" i="38"/>
  <c r="C47" i="38"/>
  <c r="C89" i="38"/>
  <c r="C17" i="38"/>
  <c r="C53" i="38"/>
  <c r="V24" i="39"/>
  <c r="H22" i="38" s="1"/>
  <c r="T12" i="39"/>
  <c r="H74" i="38" s="1"/>
  <c r="V9" i="39"/>
  <c r="H9" i="38" s="1"/>
  <c r="U24" i="39"/>
  <c r="H103" i="38" s="1"/>
  <c r="U15" i="39"/>
  <c r="H106" i="38" s="1"/>
  <c r="C55" i="38"/>
  <c r="C19" i="38"/>
  <c r="C91" i="38"/>
  <c r="U16" i="39"/>
  <c r="H109" i="38" s="1"/>
  <c r="H47" i="38"/>
  <c r="U20" i="39"/>
  <c r="H104" i="38" s="1"/>
  <c r="U11" i="39"/>
  <c r="H101" i="3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Rachel Peters</author>
  </authors>
  <commentList>
    <comment ref="B14" authorId="0" shapeId="0" xr:uid="{00000000-0006-0000-0300-000001000000}">
      <text/>
    </comment>
    <comment ref="G14" authorId="0" shapeId="0" xr:uid="{00000000-0006-0000-0300-000002000000}">
      <text>
        <r>
          <rPr>
            <sz val="10"/>
            <color indexed="81"/>
            <rFont val="Calibri"/>
            <family val="2"/>
            <scheme val="minor"/>
          </rPr>
          <t>Risk Score=(Probability Score × Severity Score)/16×100</t>
        </r>
      </text>
    </comment>
    <comment ref="B17" authorId="0" shapeId="0" xr:uid="{00000000-0006-0000-0300-000003000000}">
      <text/>
    </comment>
    <comment ref="B20" authorId="0" shapeId="0" xr:uid="{00000000-0006-0000-0300-000004000000}">
      <text/>
    </comment>
    <comment ref="E20" authorId="0" shapeId="0" xr:uid="{00000000-0006-0000-0300-000005000000}">
      <text>
        <r>
          <rPr>
            <sz val="10"/>
            <color indexed="81"/>
            <rFont val="Calibri"/>
            <family val="2"/>
            <scheme val="minor"/>
          </rPr>
          <t>Severity Score = Average of all Impact Scores</t>
        </r>
      </text>
    </comment>
    <comment ref="I22" authorId="0" shapeId="0" xr:uid="{00000000-0006-0000-0300-000006000000}">
      <text>
        <r>
          <rPr>
            <sz val="10"/>
            <color indexed="81"/>
            <rFont val="Calibri"/>
            <family val="2"/>
            <scheme val="minor"/>
          </rPr>
          <t>Adjusted Risk Score =Risk Score ×((At−Risk Populations Score)/4+1)</t>
        </r>
      </text>
    </comment>
    <comment ref="B23" authorId="0" shapeId="0" xr:uid="{00000000-0006-0000-0300-000007000000}">
      <text/>
    </comment>
    <comment ref="B26" authorId="0" shapeId="0" xr:uid="{00000000-0006-0000-0300-000008000000}">
      <text/>
    </comment>
    <comment ref="K29" authorId="0" shapeId="0" xr:uid="{00000000-0006-0000-0300-000009000000}">
      <text>
        <r>
          <rPr>
            <sz val="10"/>
            <color indexed="81"/>
            <rFont val="Calibri"/>
            <family val="2"/>
            <scheme val="minor"/>
          </rPr>
          <t>Planning Priority Indicator =  (Adjusted Risk Score)/(Preparedness Score)</t>
        </r>
      </text>
    </comment>
    <comment ref="B30" authorId="0" shapeId="0" xr:uid="{00000000-0006-0000-0300-00000A000000}">
      <text/>
    </comment>
    <comment ref="B34" authorId="0" shapeId="0" xr:uid="{00000000-0006-0000-0300-00000B000000}">
      <text/>
    </comment>
    <comment ref="E35" authorId="0" shapeId="0" xr:uid="{00000000-0006-0000-0300-00000C000000}">
      <text>
        <r>
          <rPr>
            <sz val="10"/>
            <color indexed="81"/>
            <rFont val="Calibri"/>
            <family val="2"/>
            <scheme val="minor"/>
          </rPr>
          <t>Overall Preparedness = Average of Public Health and Healthcare Preparedness</t>
        </r>
      </text>
    </comment>
    <comment ref="B37" authorId="0" shapeId="0" xr:uid="{00000000-0006-0000-0300-00000D000000}">
      <text/>
    </comment>
    <comment ref="B50" authorId="0" shapeId="0" xr:uid="{00000000-0006-0000-0300-00000E000000}">
      <text/>
    </comment>
    <comment ref="G50" authorId="0" shapeId="0" xr:uid="{00000000-0006-0000-0300-00000F000000}">
      <text>
        <r>
          <rPr>
            <sz val="10"/>
            <color indexed="81"/>
            <rFont val="Calibri"/>
            <family val="2"/>
            <scheme val="minor"/>
          </rPr>
          <t>Public Health System Risk Score=(Probability Score × Public Health System Severity Score)/16×100</t>
        </r>
      </text>
    </comment>
    <comment ref="B53" authorId="0" shapeId="0" xr:uid="{00000000-0006-0000-0300-000010000000}">
      <text/>
    </comment>
    <comment ref="E56" authorId="0" shapeId="0" xr:uid="{00000000-0006-0000-0300-000011000000}">
      <text>
        <r>
          <rPr>
            <sz val="10"/>
            <color indexed="81"/>
            <rFont val="Calibri"/>
            <family val="2"/>
            <scheme val="minor"/>
          </rPr>
          <t>Public Health System Severity Score = Average of four Impact Scores</t>
        </r>
      </text>
    </comment>
    <comment ref="I58" authorId="0" shapeId="0" xr:uid="{00000000-0006-0000-0300-000012000000}">
      <text>
        <r>
          <rPr>
            <sz val="10"/>
            <color indexed="81"/>
            <rFont val="Calibri"/>
            <family val="2"/>
            <scheme val="minor"/>
          </rPr>
          <t>Public Health System Adjusted Risk Score = Public Health System Risk Score × ((At−Risk Populations Score)/4+1)</t>
        </r>
      </text>
    </comment>
    <comment ref="B59" authorId="0" shapeId="0" xr:uid="{00000000-0006-0000-0300-000013000000}">
      <text/>
    </comment>
    <comment ref="B62" authorId="0" shapeId="0" xr:uid="{00000000-0006-0000-0300-000014000000}">
      <text/>
    </comment>
    <comment ref="K65" authorId="0" shapeId="0" xr:uid="{00000000-0006-0000-0300-000015000000}">
      <text>
        <r>
          <rPr>
            <sz val="10"/>
            <color indexed="81"/>
            <rFont val="Calibri"/>
            <family val="2"/>
            <scheme val="minor"/>
          </rPr>
          <t>Public Health System Planning Priority Indicator =  (Public Health System Adjusted Risk Score)/(Public Health Preparedness Score)</t>
        </r>
      </text>
    </comment>
    <comment ref="B66" authorId="0" shapeId="0" xr:uid="{00000000-0006-0000-0300-000016000000}">
      <text/>
    </comment>
    <comment ref="B70" authorId="0" shapeId="0" xr:uid="{00000000-0006-0000-0300-000017000000}">
      <text/>
    </comment>
    <comment ref="B86" authorId="0" shapeId="0" xr:uid="{00000000-0006-0000-0300-000018000000}">
      <text/>
    </comment>
    <comment ref="G86" authorId="0" shapeId="0" xr:uid="{00000000-0006-0000-0300-000019000000}">
      <text>
        <r>
          <rPr>
            <sz val="10"/>
            <color indexed="81"/>
            <rFont val="Calibri"/>
            <family val="2"/>
            <scheme val="minor"/>
          </rPr>
          <t>Healthcare System Risk Score=(Probability Score × Healthcare System Severity Score)/16×100</t>
        </r>
      </text>
    </comment>
    <comment ref="B89" authorId="0" shapeId="0" xr:uid="{00000000-0006-0000-0300-00001A000000}">
      <text/>
    </comment>
    <comment ref="B92" authorId="0" shapeId="0" xr:uid="{00000000-0006-0000-0300-00001B000000}">
      <text/>
    </comment>
    <comment ref="E92" authorId="0" shapeId="0" xr:uid="{00000000-0006-0000-0300-00001C000000}">
      <text>
        <r>
          <rPr>
            <sz val="10"/>
            <color indexed="81"/>
            <rFont val="Calibri"/>
            <family val="2"/>
            <scheme val="minor"/>
          </rPr>
          <t>Healthcare System Severity Score = Average of three Impact Scores</t>
        </r>
      </text>
    </comment>
    <comment ref="I94" authorId="0" shapeId="0" xr:uid="{00000000-0006-0000-0300-00001D000000}">
      <text>
        <r>
          <rPr>
            <sz val="10"/>
            <color indexed="81"/>
            <rFont val="Calibri"/>
            <family val="2"/>
            <scheme val="minor"/>
          </rPr>
          <t>Healthcare System Adjusted Risk Score = Healthcare System Risk Score × ((At−Risk Populations Score)/4+1)</t>
        </r>
      </text>
    </comment>
    <comment ref="K101" authorId="0" shapeId="0" xr:uid="{00000000-0006-0000-0300-00001E000000}">
      <text>
        <r>
          <rPr>
            <sz val="10"/>
            <color indexed="81"/>
            <rFont val="Calibri"/>
            <family val="2"/>
            <scheme val="minor"/>
          </rPr>
          <t>Healthcare System Planning Priority Indicator =  (Healthcare System Adjusted Risk Score)/(Healthcare Preparedness Score)</t>
        </r>
      </text>
    </comment>
    <comment ref="B102" authorId="0" shapeId="0" xr:uid="{00000000-0006-0000-0300-00001F000000}">
      <text/>
    </comment>
    <comment ref="B109" authorId="0" shapeId="0" xr:uid="{00000000-0006-0000-0300-000020000000}">
      <text/>
    </comment>
  </commentList>
</comments>
</file>

<file path=xl/sharedStrings.xml><?xml version="1.0" encoding="utf-8"?>
<sst xmlns="http://schemas.openxmlformats.org/spreadsheetml/2006/main" count="28597" uniqueCount="1359">
  <si>
    <t>Step 1. Baseline Data</t>
  </si>
  <si>
    <t>Baseline Public Health Preparedness Capability Status</t>
  </si>
  <si>
    <t>Step 2. Hazard Data</t>
  </si>
  <si>
    <t>Coastal Storm</t>
  </si>
  <si>
    <t>Flood</t>
  </si>
  <si>
    <t>Winter Storm</t>
  </si>
  <si>
    <t>Temperature Extremes</t>
  </si>
  <si>
    <t>Tornado</t>
  </si>
  <si>
    <t>Localized Infectious Disease</t>
  </si>
  <si>
    <t>Pandemic</t>
  </si>
  <si>
    <t>Drought</t>
  </si>
  <si>
    <t>Earthquake</t>
  </si>
  <si>
    <t>Utility Interruption</t>
  </si>
  <si>
    <t>Nuclear Facility Accident</t>
  </si>
  <si>
    <t>Civil Disturbance</t>
  </si>
  <si>
    <t>Active Shooter</t>
  </si>
  <si>
    <t>Biological Terrorism</t>
  </si>
  <si>
    <t>Chemical Terrorism</t>
  </si>
  <si>
    <t>Conventional Explosive</t>
  </si>
  <si>
    <t>Radiation Dispersal Device</t>
  </si>
  <si>
    <t>Hazardous Materials Release</t>
  </si>
  <si>
    <t>Community Characteristics</t>
  </si>
  <si>
    <t>Step 3. Analysis</t>
  </si>
  <si>
    <t>Summary of Impacts</t>
  </si>
  <si>
    <t>Individual Hazard Analyses</t>
  </si>
  <si>
    <t>Baseline Health, Services, and Infrastructure</t>
  </si>
  <si>
    <t>Human Impact</t>
  </si>
  <si>
    <t>Healthcare Service Impact</t>
  </si>
  <si>
    <t>http://www.countyhealthrankings.org/#app/</t>
  </si>
  <si>
    <t>Public Health Service Impact</t>
  </si>
  <si>
    <t>Hearing Disability</t>
  </si>
  <si>
    <t>Data Source:</t>
  </si>
  <si>
    <t>Vision Disability</t>
  </si>
  <si>
    <t>US Census ACS: Total civilian noninstitutionalized population with a vision difficulty</t>
  </si>
  <si>
    <t>Ambulatory Disability</t>
  </si>
  <si>
    <t>Cognitive Disability</t>
  </si>
  <si>
    <t>US Census ACS: Total civilian noninstitutionalized population 5 years and over with a cognitive difficulty</t>
  </si>
  <si>
    <t>Limited English Proficiency</t>
  </si>
  <si>
    <t>Poverty</t>
  </si>
  <si>
    <t>US Census ACS: Below poverty level</t>
  </si>
  <si>
    <t>Chronic Diseases (Diabetes)</t>
  </si>
  <si>
    <t>Children 18 and under</t>
  </si>
  <si>
    <t>US Census ACS: Under 18 years</t>
  </si>
  <si>
    <t>Elderly 65 and older</t>
  </si>
  <si>
    <t>US Census ACS: 65 years and over</t>
  </si>
  <si>
    <t>Total Population in Jurisdiction:</t>
  </si>
  <si>
    <t>Total Deaths Per Day:</t>
  </si>
  <si>
    <t>Data source:</t>
  </si>
  <si>
    <t>Deaths per 100,000 Per Day:</t>
  </si>
  <si>
    <t>Total Transports Per Day:</t>
  </si>
  <si>
    <t>Transports per 100,000 Per Day:</t>
  </si>
  <si>
    <t>EMS Transports</t>
  </si>
  <si>
    <t>Total ED Visits Per Day:</t>
  </si>
  <si>
    <t>ED Visits per 100,000 Per Day:</t>
  </si>
  <si>
    <t>ED Visits</t>
  </si>
  <si>
    <t>Total Office Visits Per Day:</t>
  </si>
  <si>
    <t>Office Visits per 100,000 Per Day:</t>
  </si>
  <si>
    <t>Primary Care Office Visits</t>
  </si>
  <si>
    <t>Total Trauma Center Injuries Per Day:</t>
  </si>
  <si>
    <t>Trauma Ctr Injuries per 100,000 Per Day:</t>
  </si>
  <si>
    <t>Trauma Center Injuries</t>
  </si>
  <si>
    <t>Mortality</t>
  </si>
  <si>
    <t>Total PCPs:</t>
  </si>
  <si>
    <t>PCPs per 100,000:</t>
  </si>
  <si>
    <t>Total ED Beds:</t>
  </si>
  <si>
    <t>ED Beds per 100,000:</t>
  </si>
  <si>
    <t>Total Hospital Beds:</t>
  </si>
  <si>
    <t>Hospital Beds per 100,000:</t>
  </si>
  <si>
    <t>Total Pharmacists:</t>
  </si>
  <si>
    <t>Pharmacists per 100,000:</t>
  </si>
  <si>
    <t>Total Mental Health Providers:</t>
  </si>
  <si>
    <t>Mental Health Providers per 100,000:</t>
  </si>
  <si>
    <t>Outpatient Services</t>
  </si>
  <si>
    <t>Emergency Department Services</t>
  </si>
  <si>
    <t>Hospital Beds</t>
  </si>
  <si>
    <t>Ancillary Services</t>
  </si>
  <si>
    <t>Trauma Units</t>
  </si>
  <si>
    <t>Mental Health Services</t>
  </si>
  <si>
    <t>Total Hospital-Employed FTE RNs:</t>
  </si>
  <si>
    <t>RNs per Shift:</t>
  </si>
  <si>
    <t>Hospital Personnel</t>
  </si>
  <si>
    <t>Total Patient Days of Care Per Year:</t>
  </si>
  <si>
    <t>Patients Per Day:</t>
  </si>
  <si>
    <t>Patient-to-Nurse Ratio:</t>
  </si>
  <si>
    <t>Smallest Number of Hours of Back-Up Generator Fuel On Hand in Facility:</t>
  </si>
  <si>
    <t>Smallest Number of Days of Linens On Hand in Facility:</t>
  </si>
  <si>
    <t>Total Public Health Staff:</t>
  </si>
  <si>
    <t>Public Health Staff per 100,000:</t>
  </si>
  <si>
    <t>Public Health Personnel</t>
  </si>
  <si>
    <t>Surveillance</t>
  </si>
  <si>
    <t>Number of Case Reports per Day to Health Department (requiring investigation, monitoring, tracking, or other public health action):</t>
  </si>
  <si>
    <t>No. of Specimens Processed per Day:</t>
  </si>
  <si>
    <t>Laboratory Services</t>
  </si>
  <si>
    <t>Health Communications and Public Information</t>
  </si>
  <si>
    <t>Number of Personnel Hours per Week Needed to Generate Health Communications to External Partners or the General Public):</t>
  </si>
  <si>
    <t>Total Morgue Capacity:</t>
  </si>
  <si>
    <t>Morgue Capacity per 100,000:</t>
  </si>
  <si>
    <t>Fatality Management</t>
  </si>
  <si>
    <t>Population Size Score:</t>
  </si>
  <si>
    <t>Percent of Population with a Hearing Disability:</t>
  </si>
  <si>
    <t>Community Preparedness</t>
  </si>
  <si>
    <t xml:space="preserve"> Full ability/capacity</t>
  </si>
  <si>
    <t>Community Preparedness Score</t>
  </si>
  <si>
    <t>Community Recovery</t>
  </si>
  <si>
    <t>Some ability/capacity</t>
  </si>
  <si>
    <t>Significant ability/capacity</t>
  </si>
  <si>
    <t>Community Recovery Score</t>
  </si>
  <si>
    <t>Emergency Operations Coordination</t>
  </si>
  <si>
    <t>Emergency Operations Coordination Score</t>
  </si>
  <si>
    <t>Emergency Public Info and Warning</t>
  </si>
  <si>
    <t>Emergency Public Info and Warning Score</t>
  </si>
  <si>
    <t>Fatality Management Score</t>
  </si>
  <si>
    <t>Information Sharing</t>
  </si>
  <si>
    <t>Limited ability/capacity</t>
  </si>
  <si>
    <t>Information Sharing Score</t>
  </si>
  <si>
    <t>Mass Care</t>
  </si>
  <si>
    <t>Mass Care Score</t>
  </si>
  <si>
    <t>Medical Countermeasure Dispens.</t>
  </si>
  <si>
    <t>Medical Countermeasure Dispensing Score</t>
  </si>
  <si>
    <t>Medical Materiel Mngmnt &amp; Distr.</t>
  </si>
  <si>
    <t>Medical Materiel Management &amp; Distribution Score</t>
  </si>
  <si>
    <t>Medical Surge</t>
  </si>
  <si>
    <t>Medical Surge Score</t>
  </si>
  <si>
    <t>Non-Pharmaceutical Interventions</t>
  </si>
  <si>
    <t>Non-Pharmaceutical Interventions Score</t>
  </si>
  <si>
    <t>Public Health Laboratory Testing</t>
  </si>
  <si>
    <t>Public Health Laboratory Testing Score</t>
  </si>
  <si>
    <t>Public Health Surveillance and Epi.</t>
  </si>
  <si>
    <t>Responder Safety and Health</t>
  </si>
  <si>
    <t>Responder Safety and Health Score</t>
  </si>
  <si>
    <t>Volunteer Management</t>
  </si>
  <si>
    <t>Volunteer Management Score</t>
  </si>
  <si>
    <t>Community Preparedness, Current Status</t>
  </si>
  <si>
    <t>No ability/capacity</t>
  </si>
  <si>
    <t>Current Status:</t>
  </si>
  <si>
    <t>Status Score:</t>
  </si>
  <si>
    <r>
      <rPr>
        <u/>
        <sz val="11"/>
        <color theme="1"/>
        <rFont val="Calibri"/>
        <family val="2"/>
        <scheme val="minor"/>
      </rPr>
      <t>Function 2</t>
    </r>
    <r>
      <rPr>
        <sz val="11"/>
        <color theme="1"/>
        <rFont val="Calibri"/>
        <family val="2"/>
        <scheme val="minor"/>
      </rPr>
      <t>: Build community partnerships to support health preparedness. Identify and engage with public and private community partners who can do the following:
• Assist with the mitigation of identified health risks
• Be integrated into the jurisdiction’s all-hazards emergency plans with defined community roles and responsibilities related to the provision of public health, medical, and mental/behavioral health as directed under the Emergency Support Function #8 definition at the state or local level.</t>
    </r>
  </si>
  <si>
    <r>
      <rPr>
        <u/>
        <sz val="11"/>
        <color theme="1"/>
        <rFont val="Calibri"/>
        <family val="2"/>
        <scheme val="minor"/>
      </rPr>
      <t>Function 2</t>
    </r>
    <r>
      <rPr>
        <sz val="11"/>
        <color theme="1"/>
        <rFont val="Calibri"/>
        <family val="2"/>
        <scheme val="minor"/>
      </rPr>
      <t>: Coordinate community public health, medical, and mental/behavioral health system recovery operations.  Facilitate interaction among community and faith-based organizations (e.g., businesses and non-governmental organizations) to build a network of support services which will minimize any negative public health effects of the incident. This function addresses the National Health Security Strategy Objective 8 outcome recommendation that jurisdictions should have an integrated plan as to how post-incident public health, medical, and mental/behavioral services can be coordinated with organizations responsible for community restoration.</t>
    </r>
  </si>
  <si>
    <r>
      <rPr>
        <u/>
        <sz val="11"/>
        <color theme="1"/>
        <rFont val="Calibri"/>
        <family val="2"/>
        <scheme val="minor"/>
      </rPr>
      <t>Function 3</t>
    </r>
    <r>
      <rPr>
        <sz val="11"/>
        <color theme="1"/>
        <rFont val="Calibri"/>
        <family val="2"/>
        <scheme val="minor"/>
      </rPr>
      <t>: Implement corrective actions to mitigate damages from future incidents.  Incorporate observations from the current incident to describe actions needed to return to a level of public health, medical, and mental/behavioral health system function at least comparable to pre-incident levels or improved levels where appropriate. Document these items in a written after action report and improvement plan, and implement those corrective actions that are within the purview of public health.  This function addresses the intent of the National Health Security Strategy Outcome 8 recommendation that jurisdictions should have a monitoring and evaluation plan for recovery efforts.</t>
    </r>
  </si>
  <si>
    <r>
      <rPr>
        <u/>
        <sz val="11"/>
        <color theme="1"/>
        <rFont val="Calibri"/>
        <family val="2"/>
        <scheme val="minor"/>
      </rPr>
      <t>Function 2</t>
    </r>
    <r>
      <rPr>
        <sz val="11"/>
        <color theme="1"/>
        <rFont val="Calibri"/>
        <family val="2"/>
        <scheme val="minor"/>
      </rPr>
      <t>: Identify safety and personal protective needs.  Coordinate with occupational health and safety and other subject matter experts, based on incident-specific conditions, to determine the necessary personal protective equipment, medical countermeasures, mental/behavioral health support services and other items and services, and distribute these, as applicable, to protect the health of public health responders.</t>
    </r>
  </si>
  <si>
    <r>
      <rPr>
        <u/>
        <sz val="11"/>
        <color theme="1"/>
        <rFont val="Calibri"/>
        <family val="2"/>
        <scheme val="minor"/>
      </rPr>
      <t>Function 3</t>
    </r>
    <r>
      <rPr>
        <sz val="11"/>
        <color theme="1"/>
        <rFont val="Calibri"/>
        <family val="2"/>
        <scheme val="minor"/>
      </rPr>
      <t>: Coordinate with partners to facilitate risk-specific safety and health training.  In conjunction with partner agencies, facilitate the inclusion of risk-specific physical safety, mental/behavioral health, and personal protective equipment topics (based on jurisdictional risk assessment) into public health responder training to prepare responders for the incident.</t>
    </r>
  </si>
  <si>
    <r>
      <rPr>
        <u/>
        <sz val="11"/>
        <color theme="1"/>
        <rFont val="Calibri"/>
        <family val="2"/>
        <scheme val="minor"/>
      </rPr>
      <t>Function 4</t>
    </r>
    <r>
      <rPr>
        <sz val="11"/>
        <color theme="1"/>
        <rFont val="Calibri"/>
        <family val="2"/>
        <scheme val="minor"/>
      </rPr>
      <t>: Monitor responder safety and health actions.  Conduct or participate in monitoring and surveillance activities to identify any potential adverse health effects of public health responders.</t>
    </r>
  </si>
  <si>
    <r>
      <rPr>
        <u/>
        <sz val="11"/>
        <color theme="1"/>
        <rFont val="Calibri"/>
        <family val="2"/>
        <scheme val="minor"/>
      </rPr>
      <t>Function 4</t>
    </r>
    <r>
      <rPr>
        <sz val="11"/>
        <color theme="1"/>
        <rFont val="Calibri"/>
        <family val="2"/>
        <scheme val="minor"/>
      </rPr>
      <t>: Demobilize volunteers.  Release volunteers based on evolving incident requirements or incident-action plan and coordinate with partner agencies to assure provision of any medical and mental/behavioral health support needed for volunteers to return to pre-incident status.</t>
    </r>
  </si>
  <si>
    <r>
      <rPr>
        <u/>
        <sz val="11"/>
        <color theme="1"/>
        <rFont val="Calibri"/>
        <family val="2"/>
        <scheme val="minor"/>
      </rPr>
      <t>Function 2</t>
    </r>
    <r>
      <rPr>
        <sz val="11"/>
        <color theme="1"/>
        <rFont val="Calibri"/>
        <family val="2"/>
        <scheme val="minor"/>
      </rPr>
      <t>: Notify volunteers.  At the time of an incident, utilize redundant communication systems where available (e.g., reverse 911 or text messaging) to request that prospective volunteers participate in the public health agency’s response.</t>
    </r>
  </si>
  <si>
    <r>
      <rPr>
        <u/>
        <sz val="11"/>
        <color theme="1"/>
        <rFont val="Calibri"/>
        <family val="2"/>
        <scheme val="minor"/>
      </rPr>
      <t>Function 1</t>
    </r>
    <r>
      <rPr>
        <sz val="11"/>
        <color theme="1"/>
        <rFont val="Calibri"/>
        <family val="2"/>
        <scheme val="minor"/>
      </rPr>
      <t>: Coordinate volunteers.  Recruit, identify, and train volunteers who can support the public health agency’s response to an incident. Volunteers identified prior to an incident must be registered with the Emergency System for Advance Registration of Volunteer Health Professionals (ESAR-VHP), Medical Reserve Corps, or other pre-identified partner groups (e.g., Red Cross or Community Emergency Response Teams).</t>
    </r>
  </si>
  <si>
    <r>
      <rPr>
        <u/>
        <sz val="11"/>
        <color theme="1"/>
        <rFont val="Calibri"/>
        <family val="2"/>
        <scheme val="minor"/>
      </rPr>
      <t>Function 4</t>
    </r>
    <r>
      <rPr>
        <sz val="11"/>
        <color theme="1"/>
        <rFont val="Calibri"/>
        <family val="2"/>
        <scheme val="minor"/>
      </rPr>
      <t>: Improve public health surveillance and epidemiological investigation systems.  Assess internal agency surveillance and epidemiologic investigation both during and after an incident and implement quality improvement measures that are within jurisdictional public health agency control.</t>
    </r>
  </si>
  <si>
    <r>
      <rPr>
        <u/>
        <sz val="11"/>
        <color theme="1"/>
        <rFont val="Calibri"/>
        <family val="2"/>
        <scheme val="minor"/>
      </rPr>
      <t>Function 3</t>
    </r>
    <r>
      <rPr>
        <sz val="11"/>
        <color theme="1"/>
        <rFont val="Calibri"/>
        <family val="2"/>
        <scheme val="minor"/>
      </rPr>
      <t>: Recommend, monitor, and analyze mitigation actions.  Recommend, implement, or support public health interventions that contribute to the mitigation of a threat or incident as well as monitor the effectiveness of the interventions.</t>
    </r>
  </si>
  <si>
    <r>
      <rPr>
        <u/>
        <sz val="11"/>
        <color theme="1"/>
        <rFont val="Calibri"/>
        <family val="2"/>
        <scheme val="minor"/>
      </rPr>
      <t>Function 2</t>
    </r>
    <r>
      <rPr>
        <sz val="11"/>
        <color theme="1"/>
        <rFont val="Calibri"/>
        <family val="2"/>
        <scheme val="minor"/>
      </rPr>
      <t>: Conduct public health and epidemiological investigations.  Identify the source of a case or outbreak of disease, injury, or exposure and its determinants in a population (e.g., time, place, person, disability status, living status, or other indices) to coordinate and report the summary results of the analysis to jurisdictional and federal partners, as appropriate.</t>
    </r>
  </si>
  <si>
    <r>
      <rPr>
        <u/>
        <sz val="11"/>
        <color theme="1"/>
        <rFont val="Calibri"/>
        <family val="2"/>
        <scheme val="minor"/>
      </rPr>
      <t>Function 1</t>
    </r>
    <r>
      <rPr>
        <sz val="11"/>
        <color theme="1"/>
        <rFont val="Calibri"/>
        <family val="2"/>
        <scheme val="minor"/>
      </rPr>
      <t>: Conduct public health surveillance and detection.  Conduct ongoing systematic collection, analysis, interpretation, and management of public health-related data to verify a threat or incident of public health concern, and to characterize and manage it effectively through all phases of the incident.</t>
    </r>
  </si>
  <si>
    <r>
      <rPr>
        <u/>
        <sz val="11"/>
        <color theme="1"/>
        <rFont val="Calibri"/>
        <family val="2"/>
        <scheme val="minor"/>
      </rPr>
      <t>Function 4</t>
    </r>
    <r>
      <rPr>
        <sz val="11"/>
        <color theme="1"/>
        <rFont val="Calibri"/>
        <family val="2"/>
        <scheme val="minor"/>
      </rPr>
      <t>: Support public health investigations.  Provide analytical and investigative support to epidemiologists, healthcare providers, law enforcement, environmental health, food safety, and poison control efforts to help determine cause and origin of, and definitively characterize, a public health incident.</t>
    </r>
  </si>
  <si>
    <r>
      <rPr>
        <u/>
        <sz val="11"/>
        <color theme="1"/>
        <rFont val="Calibri"/>
        <family val="2"/>
        <scheme val="minor"/>
      </rPr>
      <t>Function 3</t>
    </r>
    <r>
      <rPr>
        <sz val="11"/>
        <color theme="1"/>
        <rFont val="Calibri"/>
        <family val="2"/>
        <scheme val="minor"/>
      </rPr>
      <t>: Conduct testing and analysis for routine and surge capacity.  Perform, or coordinate with the applicable lead agency, testing of chemical, biological, radiological, nuclear, and explosive samples, utilizing CDC-established protocols and procedures (e.g., LRN), where available and applicable, to provide detection, characterization and confirmatory testing to identify public health incidents. This testing may include clinical, food, and environmental samples.</t>
    </r>
  </si>
  <si>
    <r>
      <rPr>
        <u/>
        <sz val="11"/>
        <color theme="1"/>
        <rFont val="Calibri"/>
        <family val="2"/>
        <scheme val="minor"/>
      </rPr>
      <t>Function 2</t>
    </r>
    <r>
      <rPr>
        <sz val="11"/>
        <color theme="1"/>
        <rFont val="Calibri"/>
        <family val="2"/>
        <scheme val="minor"/>
      </rPr>
      <t>: Perform sample management.  Implement LRN-established protocols and procedures where available and applicable [and other mandatory protocols such as those for the International Air Transport Association (IATA) and the U.S. Department of Transportation (DOT)] for sample collection, handling, packaging, processing, transport, receipt, storage, retrieval, and disposal.</t>
    </r>
  </si>
  <si>
    <r>
      <rPr>
        <u/>
        <sz val="11"/>
        <color theme="1"/>
        <rFont val="Calibri"/>
        <family val="2"/>
        <scheme val="minor"/>
      </rPr>
      <t>Function 1</t>
    </r>
    <r>
      <rPr>
        <sz val="11"/>
        <color theme="1"/>
        <rFont val="Calibri"/>
        <family val="2"/>
        <scheme val="minor"/>
      </rPr>
      <t>: Manage laboratory activities.  Manage and coordinate communications and resource sharing with the jurisdiction’s network of human, food, veterinary, and environmental testing laboratory efforts in order to respond to chemical, biological, radiological, nuclear, explosive, and other public health threats.</t>
    </r>
  </si>
  <si>
    <r>
      <rPr>
        <u/>
        <sz val="11"/>
        <color theme="1"/>
        <rFont val="Calibri"/>
        <family val="2"/>
        <scheme val="minor"/>
      </rPr>
      <t>Function 4</t>
    </r>
    <r>
      <rPr>
        <sz val="11"/>
        <color theme="1"/>
        <rFont val="Calibri"/>
        <family val="2"/>
        <scheme val="minor"/>
      </rPr>
      <t>: Monitor non-pharmaceutical interventions.  Monitor the implementation and effectiveness of interventions, adjust intervention methods and scope as the incident evolves, and determine the level or point at which interventions are no longer needed.</t>
    </r>
  </si>
  <si>
    <r>
      <rPr>
        <u/>
        <sz val="11"/>
        <color theme="1"/>
        <rFont val="Calibri"/>
        <family val="2"/>
        <scheme val="minor"/>
      </rPr>
      <t>Function 2</t>
    </r>
    <r>
      <rPr>
        <sz val="11"/>
        <color theme="1"/>
        <rFont val="Calibri"/>
        <family val="2"/>
        <scheme val="minor"/>
      </rPr>
      <t>: Determine non-pharmaceutical interventions.  Work with subject matter experts (e.g., epidemiology, laboratory, surveillance, medical, chemical, biological, radiological, social service, emergency management, and legal) to recommend the non-pharmaceutical intervention(s) to be implemented.</t>
    </r>
  </si>
  <si>
    <r>
      <rPr>
        <u/>
        <sz val="11"/>
        <color theme="1"/>
        <rFont val="Calibri"/>
        <family val="2"/>
        <scheme val="minor"/>
      </rPr>
      <t>Function 4</t>
    </r>
    <r>
      <rPr>
        <sz val="11"/>
        <color theme="1"/>
        <rFont val="Calibri"/>
        <family val="2"/>
        <scheme val="minor"/>
      </rPr>
      <t>: Support demobilization of medical surge operations.  In conjunction with other jurisdictional partners, return healthcare system to pre-incident operations by incrementally decreasing surge staffing, equipment needs, alternate care facilities, and other systems, and transition patients from acute care services into their pre-incident medical environment or other applicable medical setting.</t>
    </r>
  </si>
  <si>
    <r>
      <rPr>
        <u/>
        <sz val="11"/>
        <color theme="1"/>
        <rFont val="Calibri"/>
        <family val="2"/>
        <scheme val="minor"/>
      </rPr>
      <t>Function 2</t>
    </r>
    <r>
      <rPr>
        <sz val="11"/>
        <color theme="1"/>
        <rFont val="Calibri"/>
        <family val="2"/>
        <scheme val="minor"/>
      </rPr>
      <t>: Support activation of medical surge.  Support healthcare coalitions and response partners in the expansion of the jurisdiction’s healthcare system (includes additional staff, beds and equipment) to provide access to additional healthcare services (e.g., call centers, alternate care systems, emergency medical services, emergency department services, and inpatient services) in response to the incident.</t>
    </r>
  </si>
  <si>
    <r>
      <rPr>
        <u/>
        <sz val="11"/>
        <color theme="1"/>
        <rFont val="Calibri"/>
        <family val="2"/>
        <scheme val="minor"/>
      </rPr>
      <t>Function 1</t>
    </r>
    <r>
      <rPr>
        <sz val="11"/>
        <color theme="1"/>
        <rFont val="Calibri"/>
        <family val="2"/>
        <scheme val="minor"/>
      </rPr>
      <t>: Assess the nature and scope of the incident.  In conjunction with jurisdictional partners, coordinate with the jurisdiction’s healthcare response through the collection and analysis of health data (e.g., from emergency medical services, fire service, law enforcement, public health, medical, public works, utilization of incident command system, mutual aid agreements, and activation of Emergency Management Assistance Compact agreements) to define the needs of the incident and the available healthcare staffing and resources.</t>
    </r>
  </si>
  <si>
    <r>
      <rPr>
        <u/>
        <sz val="11"/>
        <color theme="1"/>
        <rFont val="Calibri"/>
        <family val="2"/>
        <scheme val="minor"/>
      </rPr>
      <t>Function 6</t>
    </r>
    <r>
      <rPr>
        <sz val="11"/>
        <color theme="1"/>
        <rFont val="Calibri"/>
        <family val="2"/>
        <scheme val="minor"/>
      </rPr>
      <t>: Recover medical materiel and demobilize distribution operations.  Recover remaining medical materiel in accordance with jurisdictional policies and federal regulations and demobilize distribution operations as required by incident needs.</t>
    </r>
  </si>
  <si>
    <r>
      <rPr>
        <u/>
        <sz val="11"/>
        <color theme="1"/>
        <rFont val="Calibri"/>
        <family val="2"/>
        <scheme val="minor"/>
      </rPr>
      <t>Function 5</t>
    </r>
    <r>
      <rPr>
        <sz val="11"/>
        <color theme="1"/>
        <rFont val="Calibri"/>
        <family val="2"/>
        <scheme val="minor"/>
      </rPr>
      <t>: Distribute medical materiel.  Distribute medical materiel to modalities (e.g., dispensing sites, treatment locations, intermediary distribution sites, and/or closed sites).</t>
    </r>
  </si>
  <si>
    <r>
      <rPr>
        <u/>
        <sz val="11"/>
        <color theme="1"/>
        <rFont val="Calibri"/>
        <family val="2"/>
        <scheme val="minor"/>
      </rPr>
      <t>Function 4</t>
    </r>
    <r>
      <rPr>
        <sz val="11"/>
        <color theme="1"/>
        <rFont val="Calibri"/>
        <family val="2"/>
        <scheme val="minor"/>
      </rPr>
      <t>: Establish and maintain security.  In coordination with emergency management and jurisdictional law enforcement, secure personnel and medical materiel during all phases of transport and ensure security for receiving site and distribution personnel.</t>
    </r>
  </si>
  <si>
    <r>
      <rPr>
        <u/>
        <sz val="11"/>
        <color theme="1"/>
        <rFont val="Calibri"/>
        <family val="2"/>
        <scheme val="minor"/>
      </rPr>
      <t>Function 3</t>
    </r>
    <r>
      <rPr>
        <sz val="11"/>
        <color theme="1"/>
        <rFont val="Calibri"/>
        <family val="2"/>
        <scheme val="minor"/>
      </rPr>
      <t>: Maintain updated inventory management and reporting system.  Maintain inventory system for the jurisdiction’s medical materiel for the life of the materiel, including acquisition, receipt, storage, transport, recovery, disposal, and return or loss.</t>
    </r>
  </si>
  <si>
    <r>
      <rPr>
        <u/>
        <sz val="11"/>
        <color theme="1"/>
        <rFont val="Calibri"/>
        <family val="2"/>
        <scheme val="minor"/>
      </rPr>
      <t>Function 2</t>
    </r>
    <r>
      <rPr>
        <sz val="11"/>
        <color theme="1"/>
        <rFont val="Calibri"/>
        <family val="2"/>
        <scheme val="minor"/>
      </rPr>
      <t>: Acquire medical materiel.  Obtain medical materiel from jurisdictional caches and request materiel from jurisdictional, private, regional, or federal partners, as necessary.</t>
    </r>
  </si>
  <si>
    <r>
      <rPr>
        <u/>
        <sz val="11"/>
        <color theme="1"/>
        <rFont val="Calibri"/>
        <family val="2"/>
        <scheme val="minor"/>
      </rPr>
      <t>Function 1</t>
    </r>
    <r>
      <rPr>
        <sz val="11"/>
        <color theme="1"/>
        <rFont val="Calibri"/>
        <family val="2"/>
        <scheme val="minor"/>
      </rPr>
      <t>: Direct and activate medical materiel management and distribution.  Coordinate logistical operations and medical materiel requests when an incident exceeds the capacity of the jurisdiction’s normal supply chain, including the support and activation of staging operations to receive and/or transport additional medical materiel. This should be accomplished at the request of the incident commander and in coordination with jurisdictional emergency management.</t>
    </r>
  </si>
  <si>
    <r>
      <rPr>
        <u/>
        <sz val="11"/>
        <color theme="1"/>
        <rFont val="Calibri"/>
        <family val="2"/>
        <scheme val="minor"/>
      </rPr>
      <t>Function 5</t>
    </r>
    <r>
      <rPr>
        <sz val="11"/>
        <color theme="1"/>
        <rFont val="Calibri"/>
        <family val="2"/>
        <scheme val="minor"/>
      </rPr>
      <t>: Report adverse events.  Report adverse event notifications (e.g., negative medical countermeasure side effects) received from an individual, healthcare provider, or other source.</t>
    </r>
  </si>
  <si>
    <r>
      <rPr>
        <u/>
        <sz val="11"/>
        <color theme="1"/>
        <rFont val="Calibri"/>
        <family val="2"/>
        <scheme val="minor"/>
      </rPr>
      <t>Function 4</t>
    </r>
    <r>
      <rPr>
        <sz val="11"/>
        <color theme="1"/>
        <rFont val="Calibri"/>
        <family val="2"/>
        <scheme val="minor"/>
      </rPr>
      <t>: Dispense medical countermeasures to identified population. Provide medical countermeasures to individuals in the target population, in accordance with public health guidelines and/or recommendations for the suspected or identified agent or exposure.</t>
    </r>
  </si>
  <si>
    <r>
      <rPr>
        <u/>
        <sz val="11"/>
        <color theme="1"/>
        <rFont val="Calibri"/>
        <family val="2"/>
        <scheme val="minor"/>
      </rPr>
      <t>Function 3</t>
    </r>
    <r>
      <rPr>
        <sz val="11"/>
        <color theme="1"/>
        <rFont val="Calibri"/>
        <family val="2"/>
        <scheme val="minor"/>
      </rPr>
      <t>: Activate dispensing modalities.  Ensure resources (e.g., human, technical, and space) are activated to initiate dispensing modalities that support a response requiring the use of medical countermeasures for prophylaxis and/or treatment.</t>
    </r>
  </si>
  <si>
    <r>
      <rPr>
        <u/>
        <sz val="11"/>
        <color theme="1"/>
        <rFont val="Calibri"/>
        <family val="2"/>
        <scheme val="minor"/>
      </rPr>
      <t>Function 2</t>
    </r>
    <r>
      <rPr>
        <sz val="11"/>
        <color theme="1"/>
        <rFont val="Calibri"/>
        <family val="2"/>
        <scheme val="minor"/>
      </rPr>
      <t>: Receive medical countermeasures.  Identify dispensing sites and/or intermediary distribution sites and prepare these modalities to receive medical countermeasures in a time frame applicable to the agent or exposure.</t>
    </r>
  </si>
  <si>
    <r>
      <rPr>
        <u/>
        <sz val="11"/>
        <color theme="1"/>
        <rFont val="Calibri"/>
        <family val="2"/>
        <scheme val="minor"/>
      </rPr>
      <t>Function 1</t>
    </r>
    <r>
      <rPr>
        <sz val="11"/>
        <color theme="1"/>
        <rFont val="Calibri"/>
        <family val="2"/>
        <scheme val="minor"/>
      </rPr>
      <t>: Identify and initiate medical countermeasure dispensing strategies.  Notify and coordinate with partners to identify roles and responsibilities consistent with the identified agent or exposure and within a time frame appropriate to the incident.</t>
    </r>
  </si>
  <si>
    <r>
      <rPr>
        <u/>
        <sz val="11"/>
        <color theme="1"/>
        <rFont val="Calibri"/>
        <family val="2"/>
        <scheme val="minor"/>
      </rPr>
      <t>Function 4</t>
    </r>
    <r>
      <rPr>
        <sz val="11"/>
        <color theme="1"/>
        <rFont val="Calibri"/>
        <family val="2"/>
        <scheme val="minor"/>
      </rPr>
      <t>: Monitor mass care population health.  Monitor ongoing health-related mass care support, and ensure health needs continue to be met as the incident response evolves.</t>
    </r>
  </si>
  <si>
    <r>
      <rPr>
        <u/>
        <sz val="11"/>
        <color theme="1"/>
        <rFont val="Calibri"/>
        <family val="2"/>
        <scheme val="minor"/>
      </rPr>
      <t>Function 3</t>
    </r>
    <r>
      <rPr>
        <sz val="11"/>
        <color theme="1"/>
        <rFont val="Calibri"/>
        <family val="2"/>
        <scheme val="minor"/>
      </rPr>
      <t>: Coordinate public health, medical, and mental/behavioral health services.  Coordinate with partner agencies to provide access to health services, medication and consumable medical supplies (e.g., hearing aid batteries and incontinence supplies), and durable medical equipment for the impacted population.</t>
    </r>
  </si>
  <si>
    <r>
      <rPr>
        <u/>
        <sz val="11"/>
        <color theme="1"/>
        <rFont val="Calibri"/>
        <family val="2"/>
        <scheme val="minor"/>
      </rPr>
      <t>Function 2</t>
    </r>
    <r>
      <rPr>
        <sz val="11"/>
        <color theme="1"/>
        <rFont val="Calibri"/>
        <family val="2"/>
        <scheme val="minor"/>
      </rPr>
      <t>: Determine mass care needs of the impacted population.  In conjunction with Emergency Support Function #6, #8, and #11 partners, emergency management and other partner agencies, determine the public health, medical, mental/behavioral health needs of those impacted by the incident.</t>
    </r>
  </si>
  <si>
    <r>
      <rPr>
        <u/>
        <sz val="11"/>
        <color theme="1"/>
        <rFont val="Calibri"/>
        <family val="2"/>
        <scheme val="minor"/>
      </rPr>
      <t>Function 1</t>
    </r>
    <r>
      <rPr>
        <sz val="11"/>
        <color theme="1"/>
        <rFont val="Calibri"/>
        <family val="2"/>
        <scheme val="minor"/>
      </rPr>
      <t>: Determine public health role in mass care operations.  In conjunction with Emergency Support Function #6, #8, and #11 partners, emergency management, and other partner agencies, determine the jurisdictional public health roles and responsibilities in providing medical care, health services, and shelter services during a mass care incident.</t>
    </r>
  </si>
  <si>
    <r>
      <rPr>
        <u/>
        <sz val="11"/>
        <color theme="1"/>
        <rFont val="Calibri"/>
        <family val="2"/>
        <scheme val="minor"/>
      </rPr>
      <t>Function 1</t>
    </r>
    <r>
      <rPr>
        <sz val="11"/>
        <color theme="1"/>
        <rFont val="Calibri"/>
        <family val="2"/>
        <scheme val="minor"/>
      </rPr>
      <t xml:space="preserve">: Identify stakeholders to be incorporated into information flow.  Identify stakeholders within the jurisdiction across public health, medical, law enforcement, and other disciplines that should be included in information exchange, and identify inter-jurisdictional public health stakeholders that should be included in information exchange. Determine the levels of security clearance needed for information access across and between these stakeholders. </t>
    </r>
  </si>
  <si>
    <r>
      <rPr>
        <u/>
        <sz val="11"/>
        <color theme="1"/>
        <rFont val="Calibri"/>
        <family val="2"/>
        <scheme val="minor"/>
      </rPr>
      <t>Function 2</t>
    </r>
    <r>
      <rPr>
        <sz val="11"/>
        <color theme="1"/>
        <rFont val="Calibri"/>
        <family val="2"/>
        <scheme val="minor"/>
      </rPr>
      <t xml:space="preserve">: Identify and develop rules and data elements for sharing.  Define minimum requirements for information sharing for the purpose of developing and maintaining situational awareness. Minimum requirements include the following elements: 
• When data should be shared 
• Who is authorized to receive data 
• Who is authorized to share data 
• What types of data can be shared 
• Data use and re-release parameters 
• What data protections are sufficient 
• Legal, statutory, privacy, and intellectual property considerations </t>
    </r>
  </si>
  <si>
    <r>
      <rPr>
        <u/>
        <sz val="11"/>
        <color theme="1"/>
        <rFont val="Calibri"/>
        <family val="2"/>
        <scheme val="minor"/>
      </rPr>
      <t>Function 1</t>
    </r>
    <r>
      <rPr>
        <sz val="11"/>
        <color theme="1"/>
        <rFont val="Calibri"/>
        <family val="2"/>
        <scheme val="minor"/>
      </rPr>
      <t>: Conduct preliminary assessment to determine need for public activation.  Define the public health impact of an event or incident and gather subject matter experts to make recommendations on the need for, and scale of, incident command operations.</t>
    </r>
  </si>
  <si>
    <r>
      <rPr>
        <u/>
        <sz val="11"/>
        <color theme="1"/>
        <rFont val="Calibri"/>
        <family val="2"/>
        <scheme val="minor"/>
      </rPr>
      <t>Function 2</t>
    </r>
    <r>
      <rPr>
        <sz val="11"/>
        <color theme="1"/>
        <rFont val="Calibri"/>
        <family val="2"/>
        <scheme val="minor"/>
      </rPr>
      <t>: Activate public health emergency operations In preparation for an event, or in response to an incident of public health significance, engage resources (e.g., human, technical, physical space, and physical assets) to address the incident or event in accordance with the National Incident Management System and consistent with jurisdictional standards and practices.</t>
    </r>
  </si>
  <si>
    <r>
      <rPr>
        <u/>
        <sz val="11"/>
        <color theme="1"/>
        <rFont val="Calibri"/>
        <family val="2"/>
        <scheme val="minor"/>
      </rPr>
      <t>Function 3</t>
    </r>
    <r>
      <rPr>
        <sz val="11"/>
        <color theme="1"/>
        <rFont val="Calibri"/>
        <family val="2"/>
        <scheme val="minor"/>
      </rPr>
      <t>: Develop incident response strategy.  Produce or provide input to an Incident Commander or Unified Command approved, written Incident Action Plan, as dictated by the incident, containing objectives reflecting the response strategy for managing Type 1, Type 2, and Type 3 events or incidents, as described in the National Incident Management System, during one or more operational periods.</t>
    </r>
  </si>
  <si>
    <r>
      <rPr>
        <u/>
        <sz val="11"/>
        <color theme="1"/>
        <rFont val="Calibri"/>
        <family val="2"/>
        <scheme val="minor"/>
      </rPr>
      <t>Function 4</t>
    </r>
    <r>
      <rPr>
        <sz val="11"/>
        <color theme="1"/>
        <rFont val="Calibri"/>
        <family val="2"/>
        <scheme val="minor"/>
      </rPr>
      <t>: Manage and sustain the public health response. Direct ongoing public health emergency operations to sustain the public health and medical response for the duration of the response, including multiple operational periods and multiple concurrent responses.</t>
    </r>
  </si>
  <si>
    <r>
      <rPr>
        <u/>
        <sz val="11"/>
        <color theme="1"/>
        <rFont val="Calibri"/>
        <family val="2"/>
        <scheme val="minor"/>
      </rPr>
      <t>Function 1</t>
    </r>
    <r>
      <rPr>
        <sz val="11"/>
        <color theme="1"/>
        <rFont val="Calibri"/>
        <family val="2"/>
        <scheme val="minor"/>
      </rPr>
      <t xml:space="preserve">: Activate the emergency public information system. Notify and assemble key public information personnel and potential spokespersons, which were identified prior to an incident, to provide information to the public during an incident. </t>
    </r>
  </si>
  <si>
    <r>
      <rPr>
        <u/>
        <sz val="11"/>
        <color theme="1"/>
        <rFont val="Calibri"/>
        <family val="2"/>
        <scheme val="minor"/>
      </rPr>
      <t>Function 2</t>
    </r>
    <r>
      <rPr>
        <sz val="11"/>
        <color theme="1"/>
        <rFont val="Calibri"/>
        <family val="2"/>
        <scheme val="minor"/>
      </rPr>
      <t>: Determine the need for a joint public information system. Determine the need for, and scale of, a joint public information system, including if appropriate, activation of a Joint Information Center within the public health agency. Participate with other jurisdictional Joint Information Centers in order to combine information sharing abilities and coordinate messages.</t>
    </r>
  </si>
  <si>
    <r>
      <rPr>
        <u/>
        <sz val="11"/>
        <color theme="1"/>
        <rFont val="Calibri"/>
        <family val="2"/>
        <scheme val="minor"/>
      </rPr>
      <t>Function 3</t>
    </r>
    <r>
      <rPr>
        <sz val="11"/>
        <color theme="1"/>
        <rFont val="Calibri"/>
        <family val="2"/>
        <scheme val="minor"/>
      </rPr>
      <t>: Establish and participate in information system operations. Monitor jurisdictional media, conduct press briefings, and provide rumor control for media outlets, utilizing a National Incident Management System compliant framework for coordinating incident-related communications.</t>
    </r>
  </si>
  <si>
    <r>
      <rPr>
        <u/>
        <sz val="11"/>
        <color theme="1"/>
        <rFont val="Calibri"/>
        <family val="2"/>
        <scheme val="minor"/>
      </rPr>
      <t>Function 4</t>
    </r>
    <r>
      <rPr>
        <sz val="11"/>
        <color theme="1"/>
        <rFont val="Calibri"/>
        <family val="2"/>
        <scheme val="minor"/>
      </rPr>
      <t>: Establish avenues for public interaction and information exchange.  Provide methods for the public to contact the health department with questions and concerns through call centers, help desks, hotlines, social media, web chat or other communication platforms.</t>
    </r>
  </si>
  <si>
    <r>
      <rPr>
        <u/>
        <sz val="11"/>
        <color theme="1"/>
        <rFont val="Calibri"/>
        <family val="2"/>
        <scheme val="minor"/>
      </rPr>
      <t>Function 5</t>
    </r>
    <r>
      <rPr>
        <sz val="11"/>
        <color theme="1"/>
        <rFont val="Calibri"/>
        <family val="2"/>
        <scheme val="minor"/>
      </rPr>
      <t>: Issue public information, alerts, warnings, and notifications.  Utilizing crisis and emergency risk communication principles, disseminate critical health and safety information to alert the media, public, and other stakeholders to potential health risks and reduce the risk of exposure to ongoing and potential hazards.</t>
    </r>
  </si>
  <si>
    <r>
      <rPr>
        <u/>
        <sz val="11"/>
        <color theme="1"/>
        <rFont val="Calibri"/>
        <family val="2"/>
        <scheme val="minor"/>
      </rPr>
      <t>Function 5</t>
    </r>
    <r>
      <rPr>
        <sz val="11"/>
        <color theme="1"/>
        <rFont val="Calibri"/>
        <family val="2"/>
        <scheme val="minor"/>
      </rPr>
      <t xml:space="preserve">: Participate in fatality processing and storage operations.  Assist the lead jurisdictional authority and partners in ensuring that human remains and associated personal effects are safely recovered, processed, transported, tracked, stored, and disposed of or released to authorized person(s), if requested. </t>
    </r>
  </si>
  <si>
    <r>
      <rPr>
        <u/>
        <sz val="11"/>
        <color theme="1"/>
        <rFont val="Calibri"/>
        <family val="2"/>
        <scheme val="minor"/>
      </rPr>
      <t>Function 4</t>
    </r>
    <r>
      <rPr>
        <sz val="11"/>
        <color theme="1"/>
        <rFont val="Calibri"/>
        <family val="2"/>
        <scheme val="minor"/>
      </rPr>
      <t>: Participate in survivor mental/behavioral health services.  Coordinate with the lead jurisdictional authority and jurisdictional and regional partners to support the provision of non-intrusive, culturally sensitive mental/behavioral health support services to family members of the deceased, incident survivors, and responders, if requested.</t>
    </r>
  </si>
  <si>
    <r>
      <rPr>
        <u/>
        <sz val="11"/>
        <color theme="1"/>
        <rFont val="Calibri"/>
        <family val="2"/>
        <scheme val="minor"/>
      </rPr>
      <t>Function 3</t>
    </r>
    <r>
      <rPr>
        <sz val="11"/>
        <color theme="1"/>
        <rFont val="Calibri"/>
        <family val="2"/>
        <scheme val="minor"/>
      </rPr>
      <t xml:space="preserve">: Assist in the collection and dissemination of ante mortem data.  Assist, if requested, the lead jurisdictional authority and jurisdictional and regional partners to gather and disseminate ante mortem data through a Family Assistance Center Model or other mechanism. </t>
    </r>
  </si>
  <si>
    <r>
      <rPr>
        <u/>
        <sz val="11"/>
        <color theme="1"/>
        <rFont val="Calibri"/>
        <family val="2"/>
        <scheme val="minor"/>
      </rPr>
      <t>Function 2</t>
    </r>
    <r>
      <rPr>
        <sz val="11"/>
        <color theme="1"/>
        <rFont val="Calibri"/>
        <family val="2"/>
        <scheme val="minor"/>
      </rPr>
      <t xml:space="preserve">: Activate public health fatality management operations.  Facilitate access to resources (e.g., human, record keeping, and physical space) to address the fatalities from an incident in accordance with public health jurisdictional standards and practices and as requested by lead jurisdictional authority. </t>
    </r>
  </si>
  <si>
    <r>
      <rPr>
        <u/>
        <sz val="11"/>
        <color theme="1"/>
        <rFont val="Calibri"/>
        <family val="2"/>
        <scheme val="minor"/>
      </rPr>
      <t>Function 1</t>
    </r>
    <r>
      <rPr>
        <sz val="11"/>
        <color theme="1"/>
        <rFont val="Calibri"/>
        <family val="2"/>
        <scheme val="minor"/>
      </rPr>
      <t xml:space="preserve">: Determine role for public health in fatality management. Coordinate with the lead jurisdictional authority (e.g., coroner, medical examiner, sheriff, or other agent) to identify the roles and responsibilities of jurisdictional public health entities in fatality management activities. </t>
    </r>
  </si>
  <si>
    <t>Does any part of the region fall within a 50-mile radius of a nuclear reactor?</t>
  </si>
  <si>
    <t>Yes</t>
  </si>
  <si>
    <t>Are there major transportation routes in the region within 10 miles of a nuclear reactor?</t>
  </si>
  <si>
    <t>Total Population:</t>
  </si>
  <si>
    <t>Largest City or Population Center:</t>
  </si>
  <si>
    <t>Largest Hospital:</t>
  </si>
  <si>
    <t>ED Beds at Largest Hospital:</t>
  </si>
  <si>
    <t>If Hospital 2 is a Trauma Center, Number of ORs (otherwise, 0):</t>
  </si>
  <si>
    <t>Total Beds at Largest Hospital:</t>
  </si>
  <si>
    <t>If Largest Hospital is a Trauma Center, Number of ORs (otherwise, 0):</t>
  </si>
  <si>
    <t>Another Hospital (Hospital 2):</t>
  </si>
  <si>
    <t>ED Beds at Hospital 2:</t>
  </si>
  <si>
    <t>Total Beds at Hospital 2:</t>
  </si>
  <si>
    <t>No</t>
  </si>
  <si>
    <t>Hospital(s) Within 10 Miles of a Nuclear Reactor:</t>
  </si>
  <si>
    <t>Total ED Beds at Hospital(s) Within 10 Miles of a Nuclear Reactor:</t>
  </si>
  <si>
    <t>Total Beds at Hospital(s) Within 10 Miles of a Nuclear Reactor:</t>
  </si>
  <si>
    <t>FTE Nurses Employed at Hospital(s) Within 10 Miles of a Nuclear Reactor:</t>
  </si>
  <si>
    <t>If Hospital(s) Within 10 Miles of a Nuclear Reactor is a Trauma Center, Number of ORs (otherwise, 0):</t>
  </si>
  <si>
    <t>PCPs per 100,000 Within 10 Miles of a Nuclear Reactor:</t>
  </si>
  <si>
    <t>Pharmacists per 100,000 Within 10 Miles of a Nuclear Reactor:</t>
  </si>
  <si>
    <t>Mental Health Professionals Within 10 Miles of a Nuclear Reactor:</t>
  </si>
  <si>
    <t>Mental Health Professionals per 100,000 Within 10 Miles of a Nuclear Reactor:</t>
  </si>
  <si>
    <t>Large College Campus:</t>
  </si>
  <si>
    <t>Population Living on Large College Campus:</t>
  </si>
  <si>
    <t>ED Beds per 100,000 Within 10 Miles of a Nuclear Reactor:</t>
  </si>
  <si>
    <t>Beds per 100,000 Within 10 Miles of a Nuclear Reactor:</t>
  </si>
  <si>
    <t>estimate the impacts of various hazards on the jurisdiction.</t>
  </si>
  <si>
    <t xml:space="preserve">The following information will be used to develop hazard scenarios and </t>
  </si>
  <si>
    <t>Percent of Population with a Vision Disability:</t>
  </si>
  <si>
    <t>Percent of Population with a Cognitive Disability:</t>
  </si>
  <si>
    <t>Percent of Population with Limited English Proficiency:</t>
  </si>
  <si>
    <t>Percent of Population with Diabetes:</t>
  </si>
  <si>
    <t>Percent of Population Under Age 18:</t>
  </si>
  <si>
    <t>Percent of Population Age 65 and Older:</t>
  </si>
  <si>
    <t>Children Under 18</t>
  </si>
  <si>
    <t>Elderly 65 and Older</t>
  </si>
  <si>
    <t>Probability</t>
  </si>
  <si>
    <t>The hazard is likely to occur several times in the system lifecycle (100 years).</t>
  </si>
  <si>
    <t>Probability Score</t>
  </si>
  <si>
    <t>Population displays distress with 25% - 49% psychopathology.</t>
  </si>
  <si>
    <t>Community Impact</t>
  </si>
  <si>
    <t>Risk</t>
  </si>
  <si>
    <t>At-Risk Populations</t>
  </si>
  <si>
    <t>Adjusted Risk</t>
  </si>
  <si>
    <t>Critical</t>
  </si>
  <si>
    <t>Important</t>
  </si>
  <si>
    <t>Not relevant</t>
  </si>
  <si>
    <t>Limited importance</t>
  </si>
  <si>
    <t>Highly Important</t>
  </si>
  <si>
    <t>Planning Priority</t>
  </si>
  <si>
    <t>The probability of the occurrence of the hazard is zero.</t>
  </si>
  <si>
    <t>The hazard is not likely to occur in the system lifecycle (100 years), but it is possible.</t>
  </si>
  <si>
    <t>The hazard is likely to occur at least once in the system lifecycle (100 years).</t>
  </si>
  <si>
    <t>The hazard is likely to occur cyclically or annually in the system lifecycle (100 years).</t>
  </si>
  <si>
    <t>Severity - Mental Health Impact</t>
  </si>
  <si>
    <t>Minimal change in population behavior and negligible effects on social functioning.</t>
  </si>
  <si>
    <t>Effects weak or highly transient; occasional or minor loss of nonessential social functions in a circumscribed geographical area.</t>
  </si>
  <si>
    <t xml:space="preserve">Population displays distress with &lt;25% psychopathology. </t>
  </si>
  <si>
    <t>Population displays distress with ≥50% psychopathology.</t>
  </si>
  <si>
    <t>Community Preparedness, Relevance</t>
  </si>
  <si>
    <t>Improbable</t>
  </si>
  <si>
    <t>Remote</t>
  </si>
  <si>
    <t>Occasional</t>
  </si>
  <si>
    <t>Probable</t>
  </si>
  <si>
    <t>Frequent</t>
  </si>
  <si>
    <t>Probability:</t>
  </si>
  <si>
    <t>Probability Score:</t>
  </si>
  <si>
    <t>Duration of Impact:</t>
  </si>
  <si>
    <t>Mortality Score:</t>
  </si>
  <si>
    <t>Duration Scale 1</t>
  </si>
  <si>
    <t>Magnitude Score:</t>
  </si>
  <si>
    <t>Duration Score:</t>
  </si>
  <si>
    <t>Mental Health Impact</t>
  </si>
  <si>
    <t>EMS Transports Score:</t>
  </si>
  <si>
    <t>ED Visits Score:</t>
  </si>
  <si>
    <t>Primary Care Office Visits Score:</t>
  </si>
  <si>
    <t>Trauma Center Injuries Score:</t>
  </si>
  <si>
    <t>Mental Health Score:</t>
  </si>
  <si>
    <t>Mental Health Impact (Percent of population developing psychopathology and behavioral changes after the incident, including PTST, depression, anxiety, alcohol and substance abuse, domestic violence, and loss of social functions):</t>
  </si>
  <si>
    <t>Human Impact Score:</t>
  </si>
  <si>
    <t>Hazard-Related Loss of PCPs:</t>
  </si>
  <si>
    <t>Outpatient Services Score:</t>
  </si>
  <si>
    <t>Healthcare Service Impact Score:</t>
  </si>
  <si>
    <t>ED Services</t>
  </si>
  <si>
    <t>ED Services Score:</t>
  </si>
  <si>
    <t>Hospital Beds Score:</t>
  </si>
  <si>
    <t>Ancillary Services Score:</t>
  </si>
  <si>
    <t>Trauma Units Score:</t>
  </si>
  <si>
    <t>Mental Health Services Services</t>
  </si>
  <si>
    <t>Mental Health Services Score:</t>
  </si>
  <si>
    <t>Hazard-Related Loss of ED Beds:</t>
  </si>
  <si>
    <t>Hazard-Related Loss of Hospital Beds:</t>
  </si>
  <si>
    <t>Hazard-Related Loss of Pharmacists:</t>
  </si>
  <si>
    <t>Baseline Hospital-Employed RNs per Shift:</t>
  </si>
  <si>
    <t>Hazard-Related Loss of RNs per Shift:</t>
  </si>
  <si>
    <t>Baseline Patients Per Day:</t>
  </si>
  <si>
    <t>Hazard-Related Increase in Patients Per Day:</t>
  </si>
  <si>
    <t>Hazard-Related Increase in Transports per Day:</t>
  </si>
  <si>
    <t>Hazard-Related Increase in Mortality per Day:</t>
  </si>
  <si>
    <t>Hazard-Related Increase in ED Visits per Day:</t>
  </si>
  <si>
    <t>Hazard-Related Increase in Office Visits per Day:</t>
  </si>
  <si>
    <t>Hazard-Related Increase in Trauma Injuries per Day:</t>
  </si>
  <si>
    <t>Baseline Patient-to-Nurse Ratio:</t>
  </si>
  <si>
    <t>Hazard-Related Patient-to-Nurse Ratio:</t>
  </si>
  <si>
    <t>Duration Scale 2</t>
  </si>
  <si>
    <t>Hospital Personnel Score:</t>
  </si>
  <si>
    <t>Hours of Electricity Loss:</t>
  </si>
  <si>
    <t>Days of Interruption of Linen Services:</t>
  </si>
  <si>
    <t>Number of Patients Requiring Decontamination at Hospitals:</t>
  </si>
  <si>
    <t>Water Supply</t>
  </si>
  <si>
    <t>Percent of Population Affected by Boil Water Order or Water Outage:</t>
  </si>
  <si>
    <t>Water Supply Score:</t>
  </si>
  <si>
    <t>Community Impact Score:</t>
  </si>
  <si>
    <t>Sewage/Sanitation System</t>
  </si>
  <si>
    <t>Sewage/Sanitation System Score:</t>
  </si>
  <si>
    <t>Percent of Population Affected by Disruption of Sanitation or Sewage Systems:</t>
  </si>
  <si>
    <t>Public Utilities</t>
  </si>
  <si>
    <t>Public Utilities Score:</t>
  </si>
  <si>
    <t>Transportation</t>
  </si>
  <si>
    <t>Transportation Score:</t>
  </si>
  <si>
    <t>Duration (in Days) That at Least One Major Transportation Corrider or Transit Line is Interrupted:</t>
  </si>
  <si>
    <t>Business Continuity</t>
  </si>
  <si>
    <t>Percent of Region's Businesses Closed:</t>
  </si>
  <si>
    <t>Duration of Business Closure:</t>
  </si>
  <si>
    <t>Population Displacement</t>
  </si>
  <si>
    <t>Duration of Population Displacement:</t>
  </si>
  <si>
    <t>Number of Persons Evacuated From or To the Jurisdiction:</t>
  </si>
  <si>
    <t>Environmental Contamination</t>
  </si>
  <si>
    <t>Radius (in Miles) of Area Requiring Environmental Safety Assessment, Remediation, or Decontamination:</t>
  </si>
  <si>
    <t>Environmental Contamination Score:</t>
  </si>
  <si>
    <t>Population Displacement Score:</t>
  </si>
  <si>
    <t>Business Continuity Score:</t>
  </si>
  <si>
    <t>Hazard-Related Loss of Public Health Staff:</t>
  </si>
  <si>
    <t>Public Health Personnel Score:</t>
  </si>
  <si>
    <t>Surveillance Score:</t>
  </si>
  <si>
    <t>Mass Care Score:</t>
  </si>
  <si>
    <t>Medical Countermeasures</t>
  </si>
  <si>
    <t>Medical Countermeasures Score:</t>
  </si>
  <si>
    <t>Laboratory Services Score:</t>
  </si>
  <si>
    <t>Health Communications</t>
  </si>
  <si>
    <t>Health Communications Score:</t>
  </si>
  <si>
    <t>Fatality Management Score:</t>
  </si>
  <si>
    <t>Public Health Service Impact Score:</t>
  </si>
  <si>
    <t>Baseline Number of Case Reports per Day to Health Department (Requiring Investigation, Monitoring, Tracking, or Other Public Health Action):</t>
  </si>
  <si>
    <t>Hazard-Related Increase in Number of Case Reports per Day to Health Department (Requiring Investigation, Monitoring, Tracking, or Other Public Health Action):</t>
  </si>
  <si>
    <t>Number of Persons Requiring Mass Care, Sheltering, Monitoring:</t>
  </si>
  <si>
    <t>Percent of Population Requiring Medication or Prophylaxis:</t>
  </si>
  <si>
    <t>Baseline Number of Specimens Processed per Day:</t>
  </si>
  <si>
    <t>Hazard-Related Increase in Number of Specimens to be Processed per Day:</t>
  </si>
  <si>
    <t>Baseline Number of Personnel Hours per Week Needed to Generate Health Communications to External Partners or the General Public:</t>
  </si>
  <si>
    <t>Hazard-Related Increase in Number of Personnel Hours per Week Needed to Generate Health Communications to External Partners or the General Public:</t>
  </si>
  <si>
    <t>Hazard-Related Loss of Morgue Capacity:</t>
  </si>
  <si>
    <t>(Increase = Hazard-Related Increase in Mortality per 100,000 per Day)</t>
  </si>
  <si>
    <t>(Human, Healthcare Service, Healthcare Infrastructure, Community, Public Health)</t>
  </si>
  <si>
    <t>(Human, Healthcare Service, Community, Public Health)</t>
  </si>
  <si>
    <t>(Human, Healthcare Service, Healthcare Infrastructure)</t>
  </si>
  <si>
    <t>Severity</t>
  </si>
  <si>
    <t>Total Trauma Center Functioning ORs:</t>
  </si>
  <si>
    <t>Trauma ORs per 100,000:</t>
  </si>
  <si>
    <t>In the VA Tech Massacre of 2007, 27 are known to have been treated at local emergency departments (Virginia Tech Review Panel, 2007).</t>
  </si>
  <si>
    <t>In the VA Tech Massacre of 2007, 10 were taken to surgery at Level III trauma centers, and 2 at a Level I trauma center (Armstrong &amp; Frykberg, 2007).</t>
  </si>
  <si>
    <t>(PCP Demand = Increase in Office Visits / 20)</t>
  </si>
  <si>
    <t>After the VA Tech Massacre of 2007, 15.4% of VA Tech students screened showed high levels of posttraumatic stress symptoms (Hughes et al., 2011).  In addition to PTSD, behavioral changes, anxiety, depression, and other behavioral health consequences are likely to occur.</t>
  </si>
  <si>
    <t>(ED Bed Demand per Day = Increase in ED Visits / 4.5)</t>
  </si>
  <si>
    <t>Hazard-Related Increase in  Demand for Hospital Beds:</t>
  </si>
  <si>
    <t>Hazard-Related Increase in  Demand for Pharmacists:</t>
  </si>
  <si>
    <t>Baseline Trauma Center Functioning ORs:</t>
  </si>
  <si>
    <t>Hazard-Related Loss of Trauma Center Functioning ORs:</t>
  </si>
  <si>
    <t>Hazard-Related Loss of Mental Health Providers:</t>
  </si>
  <si>
    <t>Demand = (Total Students living on the county’s largest college campus / 250 × 40.  In general, 40 providers are needed per 250 disaster victims (Landesman, 2005).   It is assumed that the shooting will occur at the county’s largest college campus, and the total number of students living on that campus is the number of disaster victims.</t>
  </si>
  <si>
    <t>Hazard-Related Increase in Demand for Mental Health Providers:</t>
  </si>
  <si>
    <t>The total number of students living on county’s largest college campus will be displaced.  During and after the VA Tech Massacre of 2007, more than 100 buildings on campus were evacuated in response to bomb threats and reports of a second shooter (Horwitz, 2007).</t>
  </si>
  <si>
    <t xml:space="preserve"> Information regarding access to mental health services will be disseminated.</t>
  </si>
  <si>
    <t>Public Information</t>
  </si>
  <si>
    <t>Does an appropriate response to this hazard require special plans and procedures to be in place relevant to emergency communication and public information (both delivery mechanisms and content messaging) for the following at-risk populations?</t>
  </si>
  <si>
    <t>Does an appropriate response to this hazard require special plans and procedures to be in place relevant to sheltering and mass care in shelters for the following at-risk populations?</t>
  </si>
  <si>
    <t>Evacuation</t>
  </si>
  <si>
    <t>Does an appropriate response to this hazard require special plans and procedures to be in place relevant to evacuation or evacuation-related transportation for the following at-risk populations?</t>
  </si>
  <si>
    <t>Medical Management</t>
  </si>
  <si>
    <t>Does an appropriate response to this hazard require special plans and procedures to be in place relevant to human services and medical management for the following at-risk populations?</t>
  </si>
  <si>
    <t>Populations Size Score:</t>
  </si>
  <si>
    <t>Access Planning Score:</t>
  </si>
  <si>
    <t>Population Impact Score:</t>
  </si>
  <si>
    <t>At-Risk Populations Score:</t>
  </si>
  <si>
    <r>
      <t>Overall Adjsuted Risk = Overall Risk × ((At-Risk Populations Score / 4) + 1</t>
    </r>
    <r>
      <rPr>
        <sz val="9.35"/>
        <color theme="1"/>
        <rFont val="Calibri"/>
        <family val="2"/>
      </rPr>
      <t>)</t>
    </r>
  </si>
  <si>
    <r>
      <t>Public Health Adjsuted Risk = Public Health Risk × ((At-Risk Populations Score / 4) + 1</t>
    </r>
    <r>
      <rPr>
        <sz val="9.35"/>
        <color theme="1"/>
        <rFont val="Calibri"/>
        <family val="2"/>
      </rPr>
      <t>)</t>
    </r>
  </si>
  <si>
    <r>
      <t>Healthcare Adjsuted Risk = Healthcare Risk × ((At-Risk Populations Score / 4) + 1</t>
    </r>
    <r>
      <rPr>
        <sz val="9.35"/>
        <color theme="1"/>
        <rFont val="Calibri"/>
        <family val="2"/>
      </rPr>
      <t>)</t>
    </r>
  </si>
  <si>
    <r>
      <t xml:space="preserve">Overall Risk = 100 × (Probability </t>
    </r>
    <r>
      <rPr>
        <sz val="11"/>
        <color theme="1"/>
        <rFont val="Calibri"/>
        <family val="2"/>
        <scheme val="minor"/>
      </rPr>
      <t>× Overall Severity) / 16</t>
    </r>
  </si>
  <si>
    <r>
      <t xml:space="preserve">Public Health Risk = 100 × (Probability </t>
    </r>
    <r>
      <rPr>
        <sz val="11"/>
        <color theme="1"/>
        <rFont val="Calibri"/>
        <family val="2"/>
        <scheme val="minor"/>
      </rPr>
      <t>× Public Health Severity) / 16</t>
    </r>
  </si>
  <si>
    <r>
      <t xml:space="preserve">Healthcare Risk = 100 × (Probability </t>
    </r>
    <r>
      <rPr>
        <sz val="11"/>
        <color theme="1"/>
        <rFont val="Calibri"/>
        <family val="2"/>
        <scheme val="minor"/>
      </rPr>
      <t>× Healthcare Severity) / 16</t>
    </r>
  </si>
  <si>
    <t>Relevance:</t>
  </si>
  <si>
    <t>At-Risk Populations Score</t>
  </si>
  <si>
    <t>Cyber Terrorism</t>
  </si>
  <si>
    <t>Click on the hazard to see to see an analysis of the associated public health risks.</t>
  </si>
  <si>
    <t>Planning Priority Scores</t>
  </si>
  <si>
    <t>Summary of Scores</t>
  </si>
  <si>
    <t>Probability vs. Severity</t>
  </si>
  <si>
    <t>Hazard</t>
  </si>
  <si>
    <t>Severity Score</t>
  </si>
  <si>
    <t>Overall</t>
  </si>
  <si>
    <t>Risk Score</t>
  </si>
  <si>
    <t>Adjusted Risk Score</t>
  </si>
  <si>
    <t>Planning Priority Score</t>
  </si>
  <si>
    <t>Planning Priority Indicator</t>
  </si>
  <si>
    <t>Preparedness Score</t>
  </si>
  <si>
    <t>Hazard:</t>
  </si>
  <si>
    <t>Planning Priority Score:</t>
  </si>
  <si>
    <t>Adjusted Risk vs. Preparedness</t>
  </si>
  <si>
    <t>Active Shooter: Analysis</t>
  </si>
  <si>
    <t>Biological Terrorism: Analysis</t>
  </si>
  <si>
    <t>Chemical Terrorism: Analysis</t>
  </si>
  <si>
    <t>Civil Disturbance: Analysis</t>
  </si>
  <si>
    <t>Coastal Storm: Analysis</t>
  </si>
  <si>
    <t>Conventional Explosive: Analysis</t>
  </si>
  <si>
    <t>Cyber Terrorism: Analysis</t>
  </si>
  <si>
    <t>Drought: Analysis</t>
  </si>
  <si>
    <t>Earthquake: Analysis</t>
  </si>
  <si>
    <t>Flood: Analysis</t>
  </si>
  <si>
    <t>Hazardous Materials Release: Analysis</t>
  </si>
  <si>
    <t>Localized Infectious Disease: Analysis</t>
  </si>
  <si>
    <t>Nuclear Facility Accident: Analysis</t>
  </si>
  <si>
    <t>Pandemic: Analysis</t>
  </si>
  <si>
    <t>Radiation Dispersal Device: Analysis</t>
  </si>
  <si>
    <t>Temperature Extremes: Analysis</t>
  </si>
  <si>
    <t>Tornado: Analysis</t>
  </si>
  <si>
    <t>Utility Interruption: Analysis</t>
  </si>
  <si>
    <t>Winter Storm: Analysis</t>
  </si>
  <si>
    <t>Overview</t>
  </si>
  <si>
    <t>It is assumed that 2% of providers are unable to report to work due to illness, based upon the attack rate in Sverdlovsk after an accidental weaponized anthrax release (Meselson et al., 1994).</t>
  </si>
  <si>
    <t xml:space="preserve"> It is assumed that the number of staffed beds is reduced because 2% of providers are unable to report to work due to illness, based upon the attack rate in Sverdlovsk after the 1979 accidental weaponized anthrax release (Meselson et al., 1994). </t>
  </si>
  <si>
    <t>Road closures and public transit closures are predicted.</t>
  </si>
  <si>
    <t>In Sverdlovsk, newspaper articles and posters were generated to warn of the risk of anthrax from consumption of uninspected meat and contact with sick animals (Meselson et al., 1994).  Information will be disseminated regarding appropriate use of antibiotic prophylaxis, sheltering in place, worrisome symptoms, decontamination, etc.  It is estimated that two full-time employees will be dedicated to health communication.</t>
  </si>
  <si>
    <t>It is estimated that PCP visits will increase significantly due to behavioral health impacts, the worried well, and patients with psychosomatic symptoms.</t>
  </si>
  <si>
    <t>It is estimated that demand for pharmaceuticals will increase due to the high rate of anxiety and post-traumatic stress in the population.</t>
  </si>
  <si>
    <t xml:space="preserve">In general, 40 providers are needed per 250 disaster victims (Landesman, 2005).   It is predicted that 60% of the population will be affected (Ohbu et al., 1997). </t>
  </si>
  <si>
    <t>In the National Planning Scenario, victims will be decontaminated before being transported to hospitals.</t>
  </si>
  <si>
    <t>Road closures or subway / public transit closures are predicted.</t>
  </si>
  <si>
    <t>It is estimated that the number of personnel necessary would be at least as great as in a hazardous materials release.  In a 2005 South Carolina chlorine spill, 70 additional personnel were brought in to maintain 24-hour surveillance for 17 days (Cladwell, 2005)</t>
  </si>
  <si>
    <t>Hazard-Related Increase in  Demand for Public Health Staff:</t>
  </si>
  <si>
    <t>It is assumed that the number of  providers is reduced  by 2% due to illness, based upon the attack rate in Sverdlovsk after the 1979 accidental weaponized anthrax release (Meselson et al., 1994).   It is assumed that the demand for public health personnel will increase by a factor of 2, based upon the need for public health services, including disease surveillance, epidemiological investigation, environmental assessment, medical countermeasure dispensing, etc.</t>
  </si>
  <si>
    <t>Clinical laboratory samples will be analyzed to identify the chemical agent.  Environmental samples will be analyzed to assess contamination.  Additionally, forensic laboratory services will be necessary to track and apprehend suspects.</t>
  </si>
  <si>
    <t>It is estimated that two full-time employees will be required to disseminate information regarding signs &amp; symptoms, protection, treatment, and mental health services.</t>
  </si>
  <si>
    <t>(Increase = Increase in Hospital Bed Demand)</t>
  </si>
  <si>
    <t xml:space="preserve"> The health department may provide information regarding mental health services or health, hygiene, and safety for protestors/rioters.  It is predicted that 8 hours will be required.</t>
  </si>
  <si>
    <t>Baseline Mortality per Day:</t>
  </si>
  <si>
    <t>Baseline Transports per Day:</t>
  </si>
  <si>
    <t>Baseline ED Visits per Day:</t>
  </si>
  <si>
    <t>Baseline Office Visits per Day:</t>
  </si>
  <si>
    <t>Baseline Trauma Injuries per Day:</t>
  </si>
  <si>
    <t>Hazard-Related Increase in Demand for PCPs per Day:</t>
  </si>
  <si>
    <t>Baseline PCPs:</t>
  </si>
  <si>
    <t>Baseline ED Beds:</t>
  </si>
  <si>
    <t>Hazard-Related Increase in Demand for ED Beds per Day:</t>
  </si>
  <si>
    <t>Baseline Hospital Beds:</t>
  </si>
  <si>
    <t>Baseline Pharmacists:</t>
  </si>
  <si>
    <t>Hazard-Related Increase in  Demand for Trauma ORs:</t>
  </si>
  <si>
    <t>(Demand = Increase in Trauma Injuries per Day)</t>
  </si>
  <si>
    <t>Baseline Mental Health Providers:</t>
  </si>
  <si>
    <t>Baseline Public Health Staff:</t>
  </si>
  <si>
    <t>Morgue Capacity:</t>
  </si>
  <si>
    <t>Hazard-Related Increase in  Demand for Morgue Capacity per Day:</t>
  </si>
  <si>
    <t>Evidence suggests that 30-40% of people affected by a terrorist action are likely to develop PTSD (Whalley &amp; Brewin, 2007).  In addition to PTSD, behavioral changes, anxiety, depression, and other behavioral health consequences are likely to occur.</t>
  </si>
  <si>
    <t>Business closures are predicted during decontamination, while residents are instructed to shelter in place (Department of Homeland Security, 2006).</t>
  </si>
  <si>
    <t>After the Tokyo Sarin attack, almost 60% of victims suffered from PTSD (Ohbu et al., 1997).</t>
  </si>
  <si>
    <t>During Hurricane Ike in Franklin County, Ohio, calls for emergency assistance increased by a factor of 2.52 for one day (Schmidlin, 2010).</t>
  </si>
  <si>
    <t>During Hurricane Ike in Franklin County, Ohio, ED visits increased by 33% for two days (Schmidlin, 2011) .</t>
  </si>
  <si>
    <t>Staff shortages and practice closures are expected due to transportation route closures.</t>
  </si>
  <si>
    <t xml:space="preserve">Some staff shortages are expected, but hospitals likely will compensate.  There may be some increased demand due to the inability to discharge patients during the storm, but this is likely counterbalanced by non-emergent patients being discharged in preparation for the storm. </t>
  </si>
  <si>
    <t>Staff shortages and pharmacy closures are expected due to transportation route closures.</t>
  </si>
  <si>
    <t>Staff shortages are expected due to transportation route closures.  Demand is expected to decrease because non-emergent cases will postpone their appointments.</t>
  </si>
  <si>
    <t>Personnel shortages are expected due to transportation route closures.</t>
  </si>
  <si>
    <t>Magnitude = Percent of Residents with well water.  After Irene and Lee, residents were told to boil well water until it could be shock chlorinated, and then to wait several days to have water tested (Campbell, 2011).</t>
  </si>
  <si>
    <t>Hazard = 0.  No hospitals in SE Pennsylvania lost power in Hurrican Irene or Tropical Storm Lee.</t>
  </si>
  <si>
    <t>One day of supply chain disruption is expected due to transportation route closures.</t>
  </si>
  <si>
    <t xml:space="preserve">After Hurricane Irene and Tropical Storm Lee, 14 Sewage treatment plants were shut down across PA (Masterson, 2011).  Water can be pumped from facilities only after flood waters subside. </t>
  </si>
  <si>
    <t>Some homes are expected to flood.</t>
  </si>
  <si>
    <t>Recreational water and wells throughout county will have to be assessed.</t>
  </si>
  <si>
    <t>There is expected to be an increase in case reports of vector-borne diseases related to sitting flood water, foodborne diseases due to lack of refrigeration from power outages, respiratory illnesses due to mold, etc.</t>
  </si>
  <si>
    <t>Laboratory specimens are expected to increase due to lab testing of wells.</t>
  </si>
  <si>
    <t>After Irene and lee, the Montgomery County Health Department issued a number of alerts regarding water safety and mold removal.  It is estimated that one full-time employee is necessary to generate this information.</t>
  </si>
  <si>
    <t>A small increase in surveillance is expected due to the monitoring of blast victims for long-term outcomes</t>
  </si>
  <si>
    <t>Public information regarding mental health services, environmental hazards, and dust inhalational hazards will be released.  Communications with hospitals will also be vital.  This is predicted to require 12 hours.</t>
  </si>
  <si>
    <t>Concerns about privacy, security, and an impending physical attack are likely to be related to a mental health impact.</t>
  </si>
  <si>
    <t>After a Seattle hospital botnet attack, the aftermath lasted for weeks. As computers stopped working, extra workers were brought in to help carry out tasks by hand. Lab results, for instance, were run from the lab to the hospital floor to the patient's bedside. To save time, elective procedures were postponed (Gage, 2007).  The number of staffed beds is expected to decline due to the additional demands on staff.</t>
  </si>
  <si>
    <t>After a Seattle hospital botnet attack, the aftermath lasted for weeks. As computers stopped working, extra workers were brought in to help carry out tasks by hand. Lab results, for instance, were run from the lab to the hospital floor to the patient's bedside. To save time, elective procedures were postponed (Gage, 2007).  The number of pharmacists needed is expected to increase due to the additional demands on staff.</t>
  </si>
  <si>
    <t>Additional mental health providers are expected to be required due to the mental health impact of the attack.</t>
  </si>
  <si>
    <t xml:space="preserve"> After a Seattle hospital botnet attack, the aftermath lasted for weeks (Gage, 2007).  It is assumed that the attack occurs at the region's largest hospital.</t>
  </si>
  <si>
    <t>Communication with the public will be necessary regarding the status of the hospital &amp; the attack, security, privacy, etc.</t>
  </si>
  <si>
    <t xml:space="preserve">Higher water temperatures usually accompanying drought and resultant low flow conditions can affect the susceptibility and spread of disease (bacterial, fungal, parasitic) in fish and shellfish (Centers for Disease Control and Prevention et al., 2010).  Other drought-related factors affect air quality, including the presence of airborne toxins originating from freshwater blooms of cyanobacteria. These aerosolized toxins have been associated with lung irritation, which can lead to adverse health effects in certain populations. The dry, dusty conditions associated with drought also can lead to infectious disease, such as coccidioidomycosis (valley fever).   People who engage in water-related recreational activities during drought may be at increased risk for waterborne disease caused by bacteria, protozoa, and other contaminants (e.g., chemicals and heavy metals) (Centers for Disease Control and Prevention et al., 2010). </t>
  </si>
  <si>
    <t xml:space="preserve"> The financial implications of drought have been shown to have an adverse effect on persons who rely on rainfall and water for their economic survival, including farmers and other agriculture-related professionals, ranchers, landscapers, horticulturalists, nursery and garden supply owners and employees, and recreational facility operators. Financial-related stress and worry can cause depression, anxiety, and a host of other mental and behavioral health conditions and disorders.  During the 1980s, male farmers and ranchers in the states of Wisconsin, Minnesota, North Dakota, South Dakota, and Montana demonstrated rates of suicide that were twice the national rate. It is believed that drought was a major contributor to this outcome (Centers for Disease Control and Prevention et al., 2010). </t>
  </si>
  <si>
    <t>The demand for mental health services is expected to increase due to the adverse psychological consequences of drought.</t>
  </si>
  <si>
    <t xml:space="preserve">Runoff from drought-related wildfires can carry extra sediment, ash, charcoal, and woody debris to surface waters, killing fish and other aquatic life by decreasing oxygen levels in the water. During the 1996 Buffalo Creek fire in Colorado, municipal water supplies were forced to shut off, one of Denver’s water treatment plant closed, a water-supply reservoir required extensive cleaning, and a local beverage manufacturer was forced to haul in water for use during production activities (Centers for Disease Control and Prevention, U.S. Environmental Protection Agency, National Oceanic and Atmospheric Agency, &amp; American Water Works Association, 2010). </t>
  </si>
  <si>
    <t>Lack of water, along with the changes in water temperature that often accompany drought, can compromise production capacity within power plants. Lower production capacity causes shortages in available electricity (Centers for Disease Control and Prevention et al., 2010).</t>
  </si>
  <si>
    <t>During the 1996 Buffalo Creek fire in Colorado, a water-supply reservoir required extensive cleaning (Centers for Disease Control and Prevention, U.S. Environmental Protection Agency, National Oceanic and Atmospheric Agency, &amp; American Water Works Association, 2010).  Well-water would require testing.</t>
  </si>
  <si>
    <t>During the early stages of drought, public health professionals should inform the public about a wide range of drought-related issues, such as water conservation practices and the hazards posed by recreational water(Centers for Disease Control and Prevention et al., 2010).  Public Health information must be released regarding the quantity and quality of potable water, food and nutrition, energy, air quality, recreation, mental and behavioral health, infectious diseases, and certain chronic diseases (respiratory conditions and immune disorders).</t>
  </si>
  <si>
    <t>Health alerts regarding water safety would be released.  It is estimated that one full-time employee is necessary to generate this information.</t>
  </si>
  <si>
    <t>Well water and recreational quality must be assessed, and environmental remediation efforts must be undertaken to remove debris and ash and evaluate burnt structures for asbestos and other hazardous materials.</t>
  </si>
  <si>
    <t>Closures are expected due to flooded roadways.</t>
  </si>
  <si>
    <t>Some people displaced from homes due to flooding will require shelter.</t>
  </si>
  <si>
    <t>The 2005 SC train derailment/chlorine spill caused 9 deaths (CDC, 2005).</t>
  </si>
  <si>
    <t>After the 2005 SC train derailment/chlorine spill, 511 were examined in EDs (CDC, 2005); it is assumed that half were transported by EMS.</t>
  </si>
  <si>
    <t>After the 2005 SC train derailment/chlorine spill, 511 were examined in EDs (CDC, 2005).</t>
  </si>
  <si>
    <t>After the 2005 SC train derailment/chlorine spill, 18 were treated at area physician offices (CDC, 2005).</t>
  </si>
  <si>
    <t>After the 2005 SC train derailment/chlorine spill, 44 out of 94 community respondents to a questionnaire screened positive for PTSD (Duncan et al., 2011).  In addition to PTSD, behavioral changes, anxiety, depression, and other behavioral health consequences are likely to occur.</t>
  </si>
  <si>
    <t>After the 2005 SC train derailment/chlorine spill, 69 were hospitalized in 7 area hospitals (CDC, 2005).</t>
  </si>
  <si>
    <t>Demand = (Population of largest city or population center) × 40 / 250.   In general, 40 providers are needed per 250 disaster victims (Landesman, 2005). It is assumed that the hazardous materials release will occur in the most densely populated city or geographic area.</t>
  </si>
  <si>
    <t>After the 2005 SC train derailment/chlorine spill, 511 were examined in EDs (CDC, 2005); it is assumed that half were transported by EMS.  The other half will self-transport and require decontamination at hospitals.</t>
  </si>
  <si>
    <t>After the 2005 SC chlorine spill, the train tracks themselves and roads adjacent were heavily damaged.  SCDOT had to remove and completely reconstruct them (Dunning &amp; Oswalt, 2007).  Major routes within the plume were closed temporarily.</t>
  </si>
  <si>
    <t>After the 2005 SC chlorine spill, area schools and businesses remained closed for about 14 days(CDC, 2005).</t>
  </si>
  <si>
    <t xml:space="preserve">3.14159 × population density of most densely populated city or geographic area in county, for more than 14 days.  After the 2005 SC chlorine spill, residents within a one-mile radius were evacuated for several weeks (CDC, 2005).  </t>
  </si>
  <si>
    <t>After the SC chlorine spill, homes within a 500-yard radius were monitored and evaluated (EPA, 2005).</t>
  </si>
  <si>
    <t>After the SC chlorine spill, 70 additional personnel were brought in to maintain 24-hour surveillance for 17 days (Cladwell, 2005).</t>
  </si>
  <si>
    <t>After the SC chlorine spill, all those with symptoms were assessed via interview and monitored for long-term complications (CDC, 2005).</t>
  </si>
  <si>
    <t>3.14159 × population density of most densely populated city or geographic area in county, for less than 14 days.  After the 2005 SC shelters were set up for residents within a one-mile radius (CDC, 2005).  Shelters were closed on Day 5; those who could not return to their homes found other accommodations.</t>
  </si>
  <si>
    <t>Environmental samples will be analyzed to assess contamination.</t>
  </si>
  <si>
    <t xml:space="preserve"> It is estimated that one full-time employee will be required to disseminate information regarding signs &amp; symptoms, protection, treatment, evacuation, shelter facilities, and mental health services.</t>
  </si>
  <si>
    <t>During the Fukushima Daiichi disaster there was no mortality.</t>
  </si>
  <si>
    <t>ome increase in EMS transports is expected due to panic and evacuation, including heart attacks, anxiety, trip and fall accidents, etc.</t>
  </si>
  <si>
    <t>In 1987, in Goiania, Brazil, 250 people were contaminated with radiation, and approximately 130,000 people descended upon the local emergency room (10% of Goiania's 1.3 million population).  It is assumed that 10% of the region's population will seek emergency care/assessment.</t>
  </si>
  <si>
    <t>PCP visits are expected to increase due to a surge of patients seeking assessment and advice regarding the appropriate use of KI and other protective measures.  After the radiation exposure in Goiânia, many patients presented to PCPs with psychosomatic symptoms.  In Fukushima,  all children will have thyroid checks every two years until the age of 20 (Tedder, 2011).</t>
  </si>
  <si>
    <t xml:space="preserve">All PCPs within a 10-mile radius of the  nuclear reactor would be evacuated. </t>
  </si>
  <si>
    <t xml:space="preserve">All EDs within 10-mile radius of nuclear reactor would be closed/evacuated.  </t>
  </si>
  <si>
    <t xml:space="preserve">All hosptials within a 10-mile radius of the nuclear reactor would be closed/evacuated.  </t>
  </si>
  <si>
    <t xml:space="preserve"> All pharmacies within a 10-mile radius of the nuclear reactor would be closed/evacuated.  Some increased demand for pharmacists is expected due to the surge of patients wanting to fill prescriptions before or after evacuation.</t>
  </si>
  <si>
    <t>Demand = (Population within 10-mile radius of a nuclear reactor) × 40 / 250.  All mental health providers within a 10-mile radius of the nuclear reactor will be evacuated.   In general, 40 providers are needed per 250 disaster victims (Landesman, 2005).</t>
  </si>
  <si>
    <t xml:space="preserve"> All nurses within a 10-mile radius of the nuclear reactor will be evacuated.</t>
  </si>
  <si>
    <t>Other power plants on the same grid may not be able to compensate for the loss of the nuclear reactor's generating capacity.  The area will most likely experience rolling brown-outs.</t>
  </si>
  <si>
    <t>After Fukushima, water as far as Tokyo was unsafe for infants (McCurry, 2011).</t>
  </si>
  <si>
    <t>IF any major transportation routes in the region fall within the 10-mile exclusion zone around a nuclear reactor.  Roads within a 10-mile evacuation zone will be closed.</t>
  </si>
  <si>
    <t>Businesses that fall within the 10-mile exclusion zone around a nuclear reactor will be closed/evacuated.</t>
  </si>
  <si>
    <t xml:space="preserve"> Agricultural products within a 50-mile radius will have to be assessed and monitored periodically.</t>
  </si>
  <si>
    <t>An increased demand for public health staff is expected in order to dispense KI, assess radiation exposure, staff shelters for evacuees, distribute public information, conduct environmental assessments, and monitor health impacts.</t>
  </si>
  <si>
    <t>In Fukushima, 160,000 people in the general population were screened in March 2011 for radiation exposure (Nuclear and Industrial Safety Agency, 2011).  100,000 were evacuated.  The ratio of screenings per evacuees is used to determine the number of screenings predicted given the number of people in the county who live within a 10-mile radius of a nuclear reactor.</t>
  </si>
  <si>
    <t xml:space="preserve"> People within 10 miles of the reactor will be evacuated to shelters and require monitoring for signs of contamination.</t>
  </si>
  <si>
    <t>Percent = Percent of county under age 40, IF part of the county falls within a 50-mile radius of a nuclear reactor.  All children and adults under 40 should receive KI.</t>
  </si>
  <si>
    <t>Bioassays would be needed to examine victims for signs of radioactive contamination, and air, soil, water, milk, and agricultural products would be regularly tested for radiological contaminants for years.</t>
  </si>
  <si>
    <t>Morgue units with the 10-mile exclusion zone of a nuclear reactor would be unusable.</t>
  </si>
  <si>
    <t>According to the National Planning Scenario, "Family members are distraught and outraged when loved ones die within a matter of a few days. Public anxiety heightens mistrust of government, diminishing compliance with public health advisories."</t>
  </si>
  <si>
    <t>OSHA predicts 40% workplace absenteeism during the peak week of a pandemic (OSHA, 2007).</t>
  </si>
  <si>
    <t>OSHA predicts 40% workplace absenteeism during the peak week of a pandemic (OSHA, 2007).   Additionally, medical equipment supply may be disrupted due to illness in truck drivers (Department of Homeland Security, 2006).</t>
  </si>
  <si>
    <t>OSHA predicts 40% workplace absenteeism during the peak week of a pandemic (OSHA, 2007).   Additionally, medical equipment supply may be disrupted due to illness in truck drivers (Department of Homeland Security, 2006).   The National Planning Scenario predicts 0.57% of the population to be hospitalized during the peak week (Department of Homeland Security, 2006).</t>
  </si>
  <si>
    <t>OSHA predicts 40% workplace absenteeism during the peak week of a pandemic (OSHA, 2007).  Additionally, medical equipment supply may be disrupted due to illness in truck drivers (Department of Homeland Security, 2006).  The National Planning Scenario predicts that 30% of the population will be ill over 8 weeks (Department of Homeland Security, 2006).   It is assumed that one pharmacist can fill 480 drug orders per day (3 minutes each); therefore, (population x 30%) / 480 = pharmacists needed.</t>
  </si>
  <si>
    <t>OSHA predicts 40% workplace absenteeism during the peak week of a pandemic (OSHA, 2007).  Additionally, medical equipment supply may be disrupted due to illness in truck drivers (Department of Homeland Security, 2006).</t>
  </si>
  <si>
    <t xml:space="preserve">OSHA predicts 40% workplace absenteeism during the peak week of a pandemic (OSHA, 2007).  During the SARS incident in Toronto, 16% of the population experienced traumatic stress (Ursano et al., 2006).  It is assumed that a pandemic will cause a similar number rate of traumatic stress.  In general, 40 providers are needed per 250 disaster victims (Landesman, 2005), so (16% of the population) / 250 × 40 additional providers are required. </t>
  </si>
  <si>
    <t>"In a severe pandemic, absenteeism will increase from illness, the need to care for ill family members, and the fear of infection. This is predicted to reach up to 40% during the peak weeks of an outbreak. This absenteeism can affect drinking water and wastewater system operators and their capability to operate and maintain their systems adequately, thereby increasing the risks to public health. Absenteeism would also affect workers from other essential and interdependent sectors such as the transportation, power, and chemical sectors. It can have an adverse impact on services such as delivery of chemicals and other essential materials and supplies." (EPA, 2009).</t>
  </si>
  <si>
    <t>Medical equipment supply may be disrupted due to illness in truck drivers (Department of Homeland Security, 2006).</t>
  </si>
  <si>
    <t xml:space="preserve"> "In a severe pandemic, absenteeism will increase from illness, the need to care for ill family members, and the fear of infection. This is predicted to reach up to 40% during the peak weeks of an outbreak. This absenteeism can affect drinking water and wastewater system operators and their capability to operate and maintain their systems adequately, thereby increasing the risks to public health. Absenteeism would also affect workers from other essential and interdependent sectors such as the transportation, power, and chemical sectors. It can have an adverse impact on services such as delivery of chemicals and other essential materials and supplies." (EPA, 2009).</t>
  </si>
  <si>
    <t>The HHS Pandemic Influenza Plan includes plans to curtain interstate modes of transportation and close mass transit systems (HHS, 2005).</t>
  </si>
  <si>
    <t xml:space="preserve"> "In communities, during the peak weeks of influenza outbreaks 6-8 weeks in length, about a quarter of workers are absent because of illness, the need to care for ill relatives, and fear of becoming infected in public or workplace settings... Supplies of food, fuel, and medical supplies are disrupted as truck drivers become ill or stay home from work. In some areas, grocery store shelves are empty, and social unrest occurs" (Department of Homeland Security, 2006).</t>
  </si>
  <si>
    <t>"Evacuations will have no meaningful effect on the spread of disease and may be counter-productive by spreading infection to as yet unaffected areas and by overburdening services in a site that soon is likely to experience an outbreak of disease. Isolating ill persons at home, if hospital care is not needed, can decrease the transmission of infection but requires that health care and other services can be delivered, as needed. Quarantine of exposed persons is not likely to affect the spread of influenza because of the short incubation" (Department of Homeland Security, 2006)</t>
  </si>
  <si>
    <t>OSHA predicts 40% workplace absenteeism during the peak week of a pandemic (OSHA, 2007).  The demand for public health personnel is expected to increase due to the need to track and monitor illness, distribute public information, and dispense vaccinations and medication.</t>
  </si>
  <si>
    <t>During H1N1, a laboratory in New York City reported a 7.5× increase in laboratory specimens (Crawford et al., 2010).</t>
  </si>
  <si>
    <t>Immunization and/or antivirals will be distributed to 100% of the population.</t>
  </si>
  <si>
    <t>Public information would be distributed regarding signs and symptoms of illness, precautions against exposure, vaccinations, medication, mental health services, etc.  It is predicted that two full-time employees would be necessary for communication.</t>
  </si>
  <si>
    <t>The National Planning Scenario predicts  50,000 "worried well" will visit EDs (Department of Homeland Security, 2006).</t>
  </si>
  <si>
    <t>Research suggests that 26% of providers will be unable or unwilling to report to work after a radiation dispersal device (Redlener, Garrett, Levine, &amp; Mener).</t>
  </si>
  <si>
    <t>After the Goiânia accident, 35.8% of the population experienced psychopathology (Hall et al., 2006).  In general, 40 providers are needed per 250 disaster victims (Landesman, 2005).  (35.8% of population) / 250 × 40 additional providers are necessary.</t>
  </si>
  <si>
    <t>Even if individuals with blast injuries are decontaminated before transport, the presence of radioactive shrapnel in wounds may require additional decontamination at hospitals.</t>
  </si>
  <si>
    <t>Transportation corridors adjacent to the blast site will be closed during decontamination and clean-up.</t>
  </si>
  <si>
    <t>Businesses in the area of the blast site will be closed during decontamination and clean-up.</t>
  </si>
  <si>
    <t>A 3-mile radius will require assessment/decontamination (Department of Homeland Security, 2006; EPA, 2010).</t>
  </si>
  <si>
    <t>The demand for public health personnel is expected to increase  due to the need to assess radiation exposure, staff shelters for evacuees, distribute public information, conduct environmental assessments, and monitor health impacts.</t>
  </si>
  <si>
    <t>Laboratories will have to conduct bioassays to determine internal contamination as well as assessmensts of environmental contamination.</t>
  </si>
  <si>
    <t>Public information would be distributed regarding mental health services, signs and symptoms of radiation exposure, evacuation, shelters, protection, etc.  It is predicted that two full-time employees would be necessary for communication.</t>
  </si>
  <si>
    <t>During the Chicago Heat Wave of July 13-21, 1995, a total of 1177 deaths occurred in Chicago.  This is an 85% increase over the same period in 1994 (637 deaths) (CDC, 1995).</t>
  </si>
  <si>
    <t>During the Chicago Heat Wave of July 13-21, 1995, Chicago experienced a 67% increase in 911 calls (Kaplan, 1995).</t>
  </si>
  <si>
    <t>During the Chicago Heat Wave of July 13-21, 1995, Chicago experienced 3,300 excess ED visits (Kaplan, 1995).  Based on Chicago's 2.7 million population, this is 0.122% of the population.</t>
  </si>
  <si>
    <t xml:space="preserve"> During and after the Chicago Heat Wave, hospital admissions in Chicago increased 3.4% for one month.</t>
  </si>
  <si>
    <t>During the Chicago Heat Wave, some communities lost water pressure due to open fire hydrants around the city (Klinenberg, 2002).</t>
  </si>
  <si>
    <t>During the Chicago Heat Wave, 40,000 people lost power overnight due to strain on the power grid (Changnon, 1996).  Based on Chicago’s 2.7 million people, this represents 1.5% of the population.</t>
  </si>
  <si>
    <t>During the Chicago Heat Wave, commuter and freight delays were experienced due to buckling roads and warped railroad tracks from the heat (Changnon, 1996).</t>
  </si>
  <si>
    <t>During the Chicago Heat Wave, several business were closed due to power loss (Changnon, 1996).</t>
  </si>
  <si>
    <t>Some increased surveillance is expected for diarrheal illness associated with spoiled food, due to power outages.  Public Health officials will also monitoring heat-related illness.</t>
  </si>
  <si>
    <t>It is expected that information will be disseminated about heat exhaustion/stroke, keeping cool, drinking water, using cooling centers, etc.  It is expected that 12 hours will be necessary to generate and disseminate this information.</t>
  </si>
  <si>
    <t>After the 2011 tornado in Joplin, Missouri, 800 children were in need of therapy (Morris, 2011), 40 adults treated for severe depression, and 3 suicides took place (MU, 2011).  Joplin is a city of 50,000.</t>
  </si>
  <si>
    <t xml:space="preserve">In general, 40 providers are needed per 250 disaster victims (Landesman, 2005). It is assumed that the tornado will occur in the most densely populated city or geographic area. </t>
  </si>
  <si>
    <t>Due to power outage, residents reliant on well water will lose the ability to pump water until power is restored.</t>
  </si>
  <si>
    <t>Public information will be disseminated related to fungal and bacterial infections, shelters, safety, food and water safety related to the power outage, the need for immunizations and medical treatment for infections, etc.  It is estimated that three full-time employees will be necessary to generate and disseminate this information.</t>
  </si>
  <si>
    <t>During the Northeast Blackout of 2003, two deaths in NYC were linked to the use of flame for candlelight (Prezant et al., 2005)</t>
  </si>
  <si>
    <t>During the Northeast Blackout of 2003, 911 calls in NYC increased 9% (Prezant et al., 2005).</t>
  </si>
  <si>
    <t>During the Northeast Blackout of 2003, one ED in NYC reported a 4× increase in volume (Pérez-Peña, 2003), and another reported only a 6% increase (Prezant et al., 2005).  A 2× increase is assumed.</t>
  </si>
  <si>
    <t>During the Northeast Blackout of 2003, New York Presbyterian in NYC did not experience an increase in volume (Eachempati, Mick, &amp; Barie, 2004).</t>
  </si>
  <si>
    <t xml:space="preserve">During the Northeast Blackout of 2003 in NYC, many residents feared the blackout was the result of a terrorist attack and experienced panic.  Vulnerable pops, people stuck in elevators and on subway trains, etc. would be disproportionately impacted. </t>
  </si>
  <si>
    <t xml:space="preserve">Many private offices do not have back-up generators.  It is assumed that all PCP offices will be closed. </t>
  </si>
  <si>
    <t>During the Northeast Blackout of 2003, four hospitals in NYC experienced back-up generator failure for approximately 2 hours (Beatty et al., 2006).  It is assumed that backup generator failures occur at 2 region hospitals, including the region's largest hospital.</t>
  </si>
  <si>
    <t>Many pharmacies do not have back-up generators.  It is assumed that all pharmacies will be closed.</t>
  </si>
  <si>
    <t>Many private offices do not have back-up generators.  It is assumed that half of mental health provider offices will be closed.</t>
  </si>
  <si>
    <t xml:space="preserve">Sewage treatment facilities will begin to discharge raw sewage within a day.  It is assumed that power will be out for 3 days. </t>
  </si>
  <si>
    <t>After the Northeast Blackout of of 2003, back-up generators at two sewage treatment plants failed and emptied 500 million gallons of untreated waste into the surrounding waterways (Beatty et al., 2006).</t>
  </si>
  <si>
    <t>Interruption is estimated due to personnel being unable to report to work due to school closings, public transportation closure, etc.  During the Northeast Blackout of 2003, no additional personnel were needed in NYC, but 12-hour shifts were established (Beatty et al., 2006), which represents a 1.5× increase.  Restaurants will have to be inspected, and loss of electronic surveillance will result in additional work for personnel.</t>
  </si>
  <si>
    <t xml:space="preserve">During the Northeast Blackout of 2003, syndromic surveillance was used in NYC to monitor for a terror attack.  Heat stroke and carbon monoxide poisoning were monitored.  Syndromic surveillance detected diarrheal illness due to spoiled food.  Electronic reporting was inoperable so staff were discharged to hospitals to manually collect data (Beatty et al., 2006). </t>
  </si>
  <si>
    <t>During the Northeast Blackout of 2003 in NYC, cooling centers with backup generators were opened for the elderly, mentally impaired, and other vulnerable populations (Beatty et al., 2006).  It is assumed that  0.1% of the population will utilize these shelters.</t>
  </si>
  <si>
    <t>During the Northeast Blackout of 2003, demand increased due to 50 sets of beach water specimens tested for fecal coliform after sewage release (Beatty et al., 2006).</t>
  </si>
  <si>
    <t xml:space="preserve"> During the Northeast Blackout of 2003 in NYC, public health officials developed health alerts for newspapers and radio to inform public of contamination of recreational waterways and to alert the public to discard spoiled food (Beatty et al., 2006).  It is estimated that one full-time employee is necessary to generate this information.</t>
  </si>
  <si>
    <t>During the February 2010 blizzards, there were 8 storm-related deaths in New Castle County, DE, which is about 0.002% of the population (Kane, 2010).</t>
  </si>
  <si>
    <t>Hospitals typically experience a 60% decline in visits during winter storms (CDC, 1982).</t>
  </si>
  <si>
    <t>Hospitals typically experience a 60% decline in visits during winter storms (CDC, 1982); it is extrapolated that PCPs will experience a similar decline.</t>
  </si>
  <si>
    <t>It is estimated that traumas will increase due to transportation accidents, injuries from snow removal equipment, falling objects, etc.</t>
  </si>
  <si>
    <t>60% of PCP offices are expected to close.</t>
  </si>
  <si>
    <t>It is assumed that EDs will experience a 5% interruption due to reduced staff.</t>
  </si>
  <si>
    <t>It is assumed that hospitals will experience a 5% interruption due to reduced staff.  Hospitals typically experience a 60% decline in visits during winter storms (CDC, 1982).</t>
  </si>
  <si>
    <t>Some increased demand is expected pre-incident as patients prepare for the storm.</t>
  </si>
  <si>
    <t>It is assumed that 60% of mental health providers will be closed, and that there will be a 60% reduction in demand due to many non-critical patients canceling appointments.</t>
  </si>
  <si>
    <t xml:space="preserve">It is assumed that hospitals will experience a 5% interruption of personnel due to weather conditions. </t>
  </si>
  <si>
    <t>During the February  2010 blizzards, no hospitals lost electricity.</t>
  </si>
  <si>
    <t>Supply chains may be disrupted for up to three days due to weather conditions and road closures.</t>
  </si>
  <si>
    <t>Due to power outage, some residents reliant on well water will lose the ability to pump water until power is restored.</t>
  </si>
  <si>
    <t>During the February  2010 blizzards, there were 106,000 power outages in the 5-county SE PA region, which took up to five days to restore (Electric Light &amp; Power, 2010).  Out of 1,657,226 total households in the 5 counties, 106,000 is 6.4%.</t>
  </si>
  <si>
    <t>During the February 2010 blizzards, most trains and buses were stopped Friday evening and closed most of Saturday (McFadden, 2010).</t>
  </si>
  <si>
    <t>During the February 2010 blizzards, most non-essential businesses in Philadelphia were closed on Wednesday, Feb. 10 (Van Allen, 2010).</t>
  </si>
  <si>
    <t>Staff shortages are predicted due to road closures and school closings.</t>
  </si>
  <si>
    <t>No additional surveillance is expected (CDC, 1982).</t>
  </si>
  <si>
    <t xml:space="preserve"> Health officials will likely release bulletins regarding CO poisoning, food spoilage, hypothermia, etc.  It is assumed that half of one full-time employee’s time will be necessary to generate and disseminate this information.</t>
  </si>
  <si>
    <t>Bio Terrorism</t>
  </si>
  <si>
    <t>Chem Terrorism</t>
  </si>
  <si>
    <t>Conv Explosive</t>
  </si>
  <si>
    <t>HazMat Release</t>
  </si>
  <si>
    <t>Localized ID</t>
  </si>
  <si>
    <t>Nuclear Facility</t>
  </si>
  <si>
    <t>RDD</t>
  </si>
  <si>
    <t>Temp Extremes</t>
  </si>
  <si>
    <t>Utility Interr</t>
  </si>
  <si>
    <t>Mental Health Impact (Percent of population developing psychopathology and behavioral changes after the incident, including PTST, depression, anxiety, alcohol and substance abuse, domestic violence, and loss of social functions)</t>
  </si>
  <si>
    <t>Interruption</t>
  </si>
  <si>
    <t>Demand</t>
  </si>
  <si>
    <t>Transportation (Duration in days that at least one major transportation corridor or transit line is interrupted)</t>
  </si>
  <si>
    <t>Population Displacement (Number of persons evacuated from or to the jurisdiction)</t>
  </si>
  <si>
    <t>Personnel (Number public health staff)</t>
  </si>
  <si>
    <t>Mass Care (Number of persons requiring mass care, sheltering, monitoring)</t>
  </si>
  <si>
    <t>Medical Countermeasures (Percentage of population requiring medication or vaccine prophylaxis)</t>
  </si>
  <si>
    <t>Fatality Management (Morgue capacity)</t>
  </si>
  <si>
    <t>Communication and Public Info</t>
  </si>
  <si>
    <t>Sheltering and Mass Care</t>
  </si>
  <si>
    <t>Evacuation and Transportation</t>
  </si>
  <si>
    <t>Human Services and Medical Mgmt</t>
  </si>
  <si>
    <t>Relevance</t>
  </si>
  <si>
    <t>Status</t>
  </si>
  <si>
    <t>Outpatient services (PCPs)</t>
  </si>
  <si>
    <t>Emergency Department Services (ED beds)</t>
  </si>
  <si>
    <t>Ancillary Services (Pharmacists)</t>
  </si>
  <si>
    <t>Trauma Units (Functioning ORs)</t>
  </si>
  <si>
    <t>Mental Health Services (Mental Health Providers)</t>
  </si>
  <si>
    <t>Mortality (Increase in Deaths per day)</t>
  </si>
  <si>
    <t>EMS Transports (Increase in Transports per day)</t>
  </si>
  <si>
    <t>Hospital Beds (Beds set up and staffed)</t>
  </si>
  <si>
    <t>Duration of Impact</t>
  </si>
  <si>
    <t>Hours of Electricity Loss</t>
  </si>
  <si>
    <t>Duration of Interruption</t>
  </si>
  <si>
    <t>Days of Interruption</t>
  </si>
  <si>
    <t xml:space="preserve">ED Visits (Increase in ED visits per day) </t>
  </si>
  <si>
    <t xml:space="preserve">Primary Care Office Visits (Increase in office visits per day) </t>
  </si>
  <si>
    <t>Trauma Center Injuries (Increase in Trauma Center Injuries per day)</t>
  </si>
  <si>
    <t>Environmental Contamination (Radius in miles of area requiring environmental safety assessment, remediation, or decontamination)</t>
  </si>
  <si>
    <t>Percent Affected</t>
  </si>
  <si>
    <t xml:space="preserve"> In the VA Tech Massacre of 2007,  33 died at the scene, including the shooter (Armstrong &amp; Frykberg, 2007).</t>
  </si>
  <si>
    <t>Emerg Ops Coord</t>
  </si>
  <si>
    <t>Emerg Public Info</t>
  </si>
  <si>
    <t>Info Sharing</t>
  </si>
  <si>
    <t>Fatality Mgmt</t>
  </si>
  <si>
    <t>MCM Dispens</t>
  </si>
  <si>
    <t>PH Lab Testing</t>
  </si>
  <si>
    <t>PH Surv &amp; Epi</t>
  </si>
  <si>
    <t>Responder Safety</t>
  </si>
  <si>
    <t>Volunteer Mgmt</t>
  </si>
  <si>
    <t>Community Prep</t>
  </si>
  <si>
    <t>Community Recov</t>
  </si>
  <si>
    <t>Med Materiel Mgmt</t>
  </si>
  <si>
    <t>Non-Pharm Interv</t>
  </si>
  <si>
    <t>Baseline At-Risk Populations</t>
  </si>
  <si>
    <t>=</t>
  </si>
  <si>
    <t>Qualitative Magnitude Score:</t>
  </si>
  <si>
    <t>Use Quantititive Value</t>
  </si>
  <si>
    <t>OR, Estimate the Magnitude Qualitatively:</t>
  </si>
  <si>
    <t>An active shooter is an individual actively engaged in killing or attempting to kill people in a confined and other populated area. In most cases, active shooters use firearms and there is no pattern or method to their selection of victims. Active shooter situations are unpredictable and evolve quickly (FEMA, 2011).  The shooter in an active shooter scenario may be a sniper.  A sniper is a concealed, usually skilled shooter who fires at exposed persons, typically using powerful high-energy, military-style assault rifles.  Assault rifles are becoming more available to the public (Ciottone, 2006).</t>
  </si>
  <si>
    <t>The following hazard impacts have been estimated using historical data, predictive models, estimations where necessary, and the information entered in the "Baseline Data" worksheets.  The information below can be altered as needed to more accurately reflect hazard impacts in your jurisdiction.  The impacts should reflect the worst-case reasonable scenario.</t>
  </si>
  <si>
    <t>Briefly describe the worst-case reasonable scenario of this hazard (the scenario to which the following impacts apply) here:</t>
  </si>
  <si>
    <t>Chemical terrorism is the use of chemical agents to inflict mass casualties.  There are four groups of such agents: inhalants, cyanide gases, vesicants, and nerve agents.  Vesicants and nerve agents have the most potential to cause mass destruction.  Mustard is an example of a vesicant; its sulfur and nitrogen analogues are aerosolized liquids that linger on victims, incapacitating through their effects on the skin, eye, and respiratory tract.  Mortality is low, but morbidity is substantial and mass casualties strain health care resources.  Nerve agents produce much higher mortality.   Tabun, Sarin, Soman, and VX are nerve agents that can be fatal without timely administration of antidotes (Goozner, Lutwick, &amp; Bourke, 2002).</t>
  </si>
  <si>
    <t>Civil disturbance refers to a spectrum of activities progressively disruptive to public order and tranquility.  Examples of civil disturbance include labor strikes, large demonstrations, and riots.  Riots are violent disruptions of the public order that threaten public safety (Ciottone, 2006).</t>
  </si>
  <si>
    <t>Coastal Storms, or cyclones, include tropical depressions, tropical storms, and hurricanes.  Coastal storms in the Atlantic typically begin as waves of warm air from the Sahara.  As the air moves over the ocean, it derives moisture and energy from the warm water.  Rapid cooling of the atmosphere as the storm moves creates thunderstorms and liberates enough heat from the ocean to allow a cyclone to develop.  In the Northern Hemisphere, a tropical cyclone consists of a closed circulation storm with an average diameter of 10-30 miles around a low-pressure center.  Tropical depressions generate sustained wind speeds of less than 39 mph.  Tropical storms generate winds that range from 39-73 mph.  The Saffir-Simpson Hurricane scale rates hurricanes on a scale of 1-5, with category 1 hurricanes generating winds of 74-95 mph, and category 5 hurricanes generating winds of at least 156 mph (Ciottone, 2006). 
The majority of hurricanes and tropical storms form in the Atlantic Ocean, Caribbean Sea, and Gulf of Mexico during the official Atlantic hurricane season (June through November) (FEMA, 1997).  The high-level sustained winds and heavy precipitation associated with coastal storms can have devastating consequences for coastal regions (Ciottone, 2006).</t>
  </si>
  <si>
    <t>Conventional explosives, such as trinitrotoluene (TNT) or other nitrate compounds, detonate very rapidly and release large amounts of energy capable of causing blast injuries as well as severe structural damage.  Powerful explosions have the potential to inflict many different types of traumatic injuries on humans, but such injuries can vary depending on the type and amount of explosive agent, the location of the victims (inside or outside), and whether the blast occurs on air or water (Ciottone, 2006).  Terrorists have used conventional explosives to damage and destroy financial, political, social, and religious institutions. Attacks often occur in public places such as busy city streets or public transportation.</t>
  </si>
  <si>
    <t>Floods are the most common natural disaster, accounting for approximately 40% of natural disasters worldwide.  They cause greater mortality than any other natural disaster.  Floods may be caused by an abundance of rainfall, melting snow, dam or levee failure, the sudden release of water from an ice or debris jam, or the expanding development of wetlands, which reduces absorption of rainfall.  Areas at greatest risk are those located in low-lying areas, nearby water, or downstream from a dam (Ciottone, 2006).</t>
  </si>
  <si>
    <t>A hazardous materials release can occur at a fixed facility or as hazardous materials are in transit.  This can include toxic chemicals, infectious substances, biohazardous waste, or any materials that are explosive, corrosive, flammable, or radioactive (PL 1990-165, § 207(e)).</t>
  </si>
  <si>
    <t>An outbreak is a sudden rise in the occurrence of a disease. Some outbreaks are expected each year, like influenza, hand-foot-and-mouth disease, and bronchiolitis (Aronson, Shope, &amp; Cotler, 2008).  Small infectious disease outbreaks can be foodborne, waterborne, vector-borne, environmental, or transmitted person-to-person.</t>
  </si>
  <si>
    <t xml:space="preserve">Nuclear incidents involve the release of significant levels of radioactivity or exposure of workers or the general public to radiation (FEMA, 1997).  There are three categories of nuclear accidents/incidents: 
• Critical accidents that involve loss of control of nuclear assemblies or power reactors
• Loss-of-coolant accidents that occur when a reactor coolant system experiences a break or opening large enough that the coolant inventory in the system cannot be maintained by the normally operating back-up system
• Loss-of-containment accidents that involve the release of radioactivity. 
The primary concern following such an incident or accident is the extent of radiation, inhalation, and ingestion of radioactive isotopes that cause acute health effects (FEMA, 1997).
</t>
  </si>
  <si>
    <t>A pandemic is an epidemic that occurs over a wide geographic area, often global.  A pandemic results when a new microorganism (or disease condition) emerges that is pathogenic for humans but to which humans have no immunity or prior protection.  Thus, an epidemic occurs and the number of cases substantially exceeds the number of expected cases over a given period of time.  Pandemics generally refer to infectious disease that spread efficiently from person to person across the globe, although the tem may be used to describe medical condition with other risk factors, such as chronic illnesses like cardiovascular diseases. (Martin &amp; Martin-Granel, 2006).</t>
  </si>
  <si>
    <t>A radiation dispersal device, or “dirty bomb,” is a device that combines radioactive materials with conventional explosives.  Global terrorist organizations are believed to be interested in and capable of constructing dirty bombs and launching attacks with them.  There are only two documented cases of terrorist use of dirty bombs in the world today.  Both incidents occurred in Russia.  Dirty bombs are attractive to terrorists because they are relatively easy to acquire and have the potential to cause casualties, contamination of widespread areas, adverse psychological effects, and economic disruption.  A dirty bomb threat potentially poses a medical and public health disaster (Ciottone, 2006).</t>
  </si>
  <si>
    <t>Extreme temperatures include both high temperatures and low temperatures.  Extreme low temperatures drop well below the normal temperature for an area during the winter months, and often accompany winter storms.  Combined with high winds, these conditions can be life threatening to those with extended exposure, particularly homeless populations.  Extreme high temperatures climb at least 10°F or more above the region’s average high temperature during the summer months  (Lawrence, 2004).  The term “heat wave” is used to describe a prolonged period of heat and humidity (Ciottone).  Extreme heat is responsible for more annual deaths in Pennsylvania than all other natural disasters combined (Lawrence, 2004).</t>
  </si>
  <si>
    <t>A tornado is a violently rotating column of air with a tremendous potential for destruction.  The strongest tornados can reach wind speeds of 250 mph or more and leave behind damage paths at least 1 mile wide and 50 miles long (Ciottone).</t>
  </si>
  <si>
    <t>Electric power outages can be caused by lighting, high winds, ice storms, hurricanes, floods, overuse (as in heat waves), solar flares, accidents, or deliberate sabotage or attack of the power system.  In some cases, power failures can be massive and prolonged, compounding the impact of an ongoing disaster.  They can also occur outside the context of another incident, and in and of themselves constitute a disaster (Ciottone, 2006).</t>
  </si>
  <si>
    <t>Winter storms consist of snow, high winds, and freezing rain.  They include blizzards, heavy snow, sleet, and ice storms.  A blizzard is defined as a snow storm with sustained wind speeds of at least 35 miles per hour and visibility of less than a quarter mile.  Heavy snow is defined as 6 or more inches of falling snow in less than 12 hours.  Sleet consists of frozen rain-drops that bounce when they hit the ground, and ice storms are defined by rain that hits the ground and then freezes (Ciottone).</t>
  </si>
  <si>
    <t>An earthquake is the motion or trembling of the ground produced by sudden displacement of rock usually within the upper 10-20 miles of the Earth's crust.  Earthquakes result from crustal strain, volcanism, landslides, or the collapse of underground caverns. Earthquakes can affect hundreds of thousands of square miles, cause damage to property measured in the tens of billions of dollars, result in loss of life and injury to hundreds of thousands of persons, and disrupt the social and economic functioning of the affected area. Most property damage and earthquake-related deaths are caused by the failure and collapse of structures due to ground shaking which is dependent upon amplitude and duration of the earthquake. (FEMA, 1997).</t>
  </si>
  <si>
    <t xml:space="preserve">Cyber-attacks involve the use of technology to disable operational systems, including those with information, communication, and security functions. By remotely infiltrating a network, hackers can install viruses or other malware to infect computers, resulting in system malfunction. Additionally, hackers can redirect or change operational functions, including safety procedures. In terms of public health and health care, cyber-attacks have the potential to disrupt care delivery through a cascading effect of disabling emergency communication systems, electronic medical records, and computer supply systems. </t>
  </si>
  <si>
    <t xml:space="preserve">Hospital Personnel </t>
  </si>
  <si>
    <t>Loss of RNs per Shift</t>
  </si>
  <si>
    <t>Change in Nurse-Pt Ratio</t>
  </si>
  <si>
    <t>This space is available for any additional notes, references, etc.:</t>
  </si>
  <si>
    <t>Armstrong, J. H., &amp; Frykberg, E. R. (2007). Lessons from the Response to the Virginia Tech Shootings. Disaster Medicine and Public Health Preparedness, 1, S7-S8. doi: Doi 10.1097/Dmp.0b013e3181514969</t>
  </si>
  <si>
    <t>Virginia Tech Review Panel. (2007). Report of the Virginia Tech Review Panel. In C. o. Virginia (Ed.), (pp. 260).</t>
  </si>
  <si>
    <t>Hughes, M., Brymer, M., Chiu, W. T., Fairbank, J. A., Jones, R. T., Pynoos, R. S., . . . Kessler, R. C. (2011). Posttraumatic Stress Among Students After the Shootings at Virginia Tech. Psychological Trauma-Theory Research Practice and Policy, 3(4), 403-411. doi: Doi 10.1037/A0024565</t>
  </si>
  <si>
    <t>Landesman, L. Y. (2005). Public health management of disasters : the practice guide (2nd ed.). Washington, DC: American Public Health Association.</t>
  </si>
  <si>
    <t xml:space="preserve">Horwitz, S. (2007). 8 Minutes After 911 Call, A Rescue From Madness. The Wahington Post. </t>
  </si>
  <si>
    <t>FEMA. (2011). IS-907 - Active Shooter:  What You Can Do. Independent Study Program  Retrieved March 30, 2012, from http://training.fema.gov/EMIWeb/IS/is907.asp</t>
  </si>
  <si>
    <t>Ciottone, G. R. (2006). Disaster medicine (1st ed.). Philadelphia, PA: Mosby Elsevier.</t>
  </si>
  <si>
    <t>Aronson, S. S., Shope, T. R., &amp; Cotler, J. (2008). Managing infectious diseases in child care and schools : a quick reference guide (2nd ed.). Elk Grove Village, IL: American Acadmey of Pediatrics.</t>
  </si>
  <si>
    <t>Biological terrorism is the intentional release of a biological agent to cause illness. The biological agent involved in bioterrorism may be a living germ or a poison, such as anthrax, ricin, or botulism toxin (Aronson et al., 2008).</t>
  </si>
  <si>
    <t>Department of Homeland Security. (2006). National Planning Scenarios Version 21.3 (pp. 161).</t>
  </si>
  <si>
    <t xml:space="preserve">Meselson, M., Guillemin, J., Hughjones, M., Langmuir, A., Popova, I., Shelokov, A., &amp; Yampolskaya, O. (1994). The Sverdlovsk Anthrax Outbreak of 1979. Science, 266(5188), 1202-1208. </t>
  </si>
  <si>
    <t>Whalley, M. G., &amp; Brewin, C. R. (2007). Mental health following terrorist attacks. British Journal of Psychiatry, 190, 94-96. doi: DOI 10.1192/bjp.bp.106.026427</t>
  </si>
  <si>
    <t xml:space="preserve">Goozner, B., Lutwick, L. I., &amp; Bourke, E. (2002). Chemical terrorism: a primer for 2002. [Historical Article]. J Assoc Acad Minor Phys, 13(1), 14-18. </t>
  </si>
  <si>
    <t xml:space="preserve">Ohbu, S., Yamashina, A., Takasu, N., Yamaguchi, T., Murai, T., Nakano, K., . . . Hinohara, S. (1997). Sarin poisoning on Tokyo subway. Southern Medical Journal, 90(6), 587-593. </t>
  </si>
  <si>
    <t>Cladwell, R. (2005). Train Derailment and Chlorine Release. In S. D. o. H. a. E. Control (Ed.).</t>
  </si>
  <si>
    <t xml:space="preserve">Evans, C. A. (1993). Public-Health Impact of the 1992 Los-Angeles Civil Unrest. Public Health Reports, 108(3), 265-272. </t>
  </si>
  <si>
    <t>Crogan, J. (2002). The L.A. 53. LA Weekly.  Retrieved from http://www.laweekly.com/2002-05-02/news/the-l-a-53/</t>
  </si>
  <si>
    <t>O'Leary, M. (2004). The First 72 Hours: A Community Approach to Disaster Preparedness. Lincoln, Nebraska: iUniverse Publishing.</t>
  </si>
  <si>
    <t xml:space="preserve">Ordog, G. J., Shoemaker, W., Wasserberger, J., &amp; Bishop, M. (1995). Gunshot Wounds Seen at a County Hospital before and after a Riot and Gang Truce .2. Journal of Trauma-Injury Infection and Critical Care, 38(3), 417-419. </t>
  </si>
  <si>
    <t xml:space="preserve">Brown, V. B., Melchior, L. A., Reback, C., &amp; Huba, G. J. (1994). Psychological Functioning and Substance-Abuse before and after the 1992 Los-Angeles Riot in a Community Sample of Women. Journal of Psychoactive Drugs, 26(4), 431-437. </t>
  </si>
  <si>
    <t xml:space="preserve">HarveyLintz, T., &amp; Tidwell, R. (1997). Effects of the 1992 Los Angeles Civil Unrest: Post traumatic stress disorder symptomatology among law enforcement officers. Social Science Journal, 34(2), 171-183. </t>
  </si>
  <si>
    <t>FEMA. (1997). Multi-Hazard Identification and Risk Assessment: A Cornerstone of the National Mitigation Strategy.  Washington, D.C.</t>
  </si>
  <si>
    <t>Schmidlin, T. W. (2011). Public health consequences of the 2008 Hurricane Ike windstorm in Ohio, USA. Natural Hazards, 58(1), 235-249. doi: DOI 10.1007/s11069-010-9663-x</t>
  </si>
  <si>
    <t>Campbell, E. (2011). County Warnings: Boil Well Water, Avoid Swimming or Fishing in Creeks Ardmore-Merion-Wynnewood Patch  Retrieved June 14, 2012, from http://ardmore.patch.com/articles/county-warnings-boil-well-water-avoid-swimming-or-fishing-in-creeks</t>
  </si>
  <si>
    <t>Masterson, T. (2011, September 9). Water in the Streets Is Toxic, Full of Sewage: Corbett. News  Retrieved June 14, 2012, from http://www.nbcphiladelphia.com/news/local/Water-in-the-Streets-Is-Toxic-Full-of-Sewage-Corbett-129538833.html</t>
  </si>
  <si>
    <t>The Delaware County Daily Times. (2011). 28 deaths blamed on Hurricane Irene; 5 in Pa.</t>
  </si>
  <si>
    <t>Gage, D. (2007). Security Case: How To Survive a Bot Attack, Baseline. Retrieved from http://www.baselinemag.com/c/a/Projects-Security/Security-Case-How-To-Survive-a-Bot-Attack/</t>
  </si>
  <si>
    <t>GRTI. (2007). Chlorine's Casualties and Counsel: GTRI Scientists and Engineers Assist in Aftermath of Chlorine Spill Case Study  Retrieved April 3, 2012, from http://www.gtri.gatech.edu/casestudy/chlorines-casualties-and-counsel</t>
  </si>
  <si>
    <t xml:space="preserve">CDC. (2005). Public Health Consequences from Hazardous Substances Acutely Released During Rail Transit --- South Carolina, 2005; Selected States, 1999--2004. MMWR, 54(03), 4. </t>
  </si>
  <si>
    <t>Duncan, M. A., Drociuk, D., Belflower-Thomas, A., Van Sickle, D., Gibson, J. J., Youngblood, C., &amp; Daley, W. R. (2011). Follow-up assessment of health consequences after a chlorine release from a train derailment--Graniteville, SC, 2005. J Med Toxicol, 7(1), 85-91. doi: 10.1007/s13181-010-0130-6</t>
  </si>
  <si>
    <t xml:space="preserve">Dunning, A. E., &amp; Oswalt, J. L. (2007). Train Wreck and Chlorine Spill in Graniteville, South Carolina: Transportation Effects and Lessons in Small-Town Capacity for No-Notice Evacuation. Transportation Research Record: Journal of the Transportation Research Board, 6. </t>
  </si>
  <si>
    <t>EPA. (2005). Southern Graniteville Derailment Final Pollution Report #2.: Environmental Protection Agency Region IV Norfolk.</t>
  </si>
  <si>
    <t xml:space="preserve">Wheeler, C., Vogt, T. M., Armstrong, G. L., Vaughan, G., Weltman, A., Nainan, O. V., . . . Bell, B. P. (2005). An outbreak of hepatitis A associated with green onions. New England Journal of Medicine, 353(9), 890-897. </t>
  </si>
  <si>
    <t>CDC. (2012). Press Release: Update: Listeriosis Outbreak Investigation: CDC Media Relations.</t>
  </si>
  <si>
    <t>FSIS. (2002). Pennsylvania Firm Expands Recall Of Turkey And Chicken Products For Possible Listeria Contamination. Washington, D.C.: Food Safety and Inspectiou Service, United States Department of Agriculture.</t>
  </si>
  <si>
    <t>Flynn, D. (2009). Chi-Chi's Hepatitis A Outbreak. Food Safety News  Retrieved June 14, 2012, from http://www.foodsafetynews.com/2009/09/meaningful-outbreak-6-chi-chis-hepatitis-a-outbreak/</t>
  </si>
  <si>
    <t>Tedder, J. (2011, October 18). Fukushima Children Tested for Thyroid Cancer Risk, Voice of America. Retrieved from http://www.voanews.com/learningenglish/home/health/Fukushima-Children-Tested-for-Thyroid-Cancer-Risk-132088473.html</t>
  </si>
  <si>
    <t>McCurry, J. (2011, March 23). Tokyo water unsafe for infants after high radiation levels detected, The Guardian. Retrieved from http://www.guardian.co.uk/world/2011/mar/23/tokyo-water-unsafe-infants</t>
  </si>
  <si>
    <t>Nuclear and Industrial Safety Agency. (2011). Seismic Damage Information (pp. 50): Ministry of Economy, Trade, and Industry.</t>
  </si>
  <si>
    <t>OSHA. (2007). Guidance on Preparing Workplaces for an Influenza Pandemic. We Can Help  Retrieved July 2, 2012, from http://www.osha.gov/Publications/influenza_pandemic.html#affect_workplaces</t>
  </si>
  <si>
    <t>Ursano, R., Hamaoka, D., Benedek, D., Vineburgh, N., Fullerton, C., Holloway, H., &amp; Reissman, D. (2006). Mental Health and Behavioral Guidelines for Response to a Pandemic Flu Outbreak. In U. S. U. o. t. H. S. Center for the Study of Traumatic Stress (Ed.).</t>
  </si>
  <si>
    <t>EPA. (2009). Pandemic Influenza Fact Sheet for the Water Sector.</t>
  </si>
  <si>
    <t xml:space="preserve">
</t>
  </si>
  <si>
    <t xml:space="preserve">Martin, P. M., &amp; Martin-Granel, E. (2006). 2,500-year evolution of the term epidemic. [Historical Article
Review]. Emerging Infectious Diseases, 12(6), 976-980. </t>
  </si>
  <si>
    <t>EPA. (2010). Liberty RadEx Exercise NARRATIVE: The Fictional History of the Liberty RadEx Incident Draft Liberty RadEx Narrative v.4.5.</t>
  </si>
  <si>
    <t>Hall, R. C. W., Hall, R. C. W., &amp; Chapman, M. J. (2006). Medical and psychiatric casualties caused by conventional and radiological (dirty) bombs (vol 28, pg 242, 2006). General Hospital Psychiatry, 28(6), 546-546. doi: DOI 10.1016/j.genhosppsych.2006.08.003</t>
  </si>
  <si>
    <t>Redlener, I., Garrett, A. L., Levine, K. L., &amp; Mener, A. (2010). Regional Health and Public Health Preparedness for Nuclear Terrorism: Optimizing Survival in a Low Probability/High Consequence Disaster. New York: National Center for Disaster Preparedness, Columbia University Mailman School of Public Health.</t>
  </si>
  <si>
    <t>Lawrence. ( 2004). Lawrence County Hazard Mitigation Plan.  New Castle: Lawrence County, PA.</t>
  </si>
  <si>
    <t>NOAA. (2010, September 2). A Meteorological Diagnosis of the Chicago Killer Heat Event of July 13, 1995, from http://www.crh.noaa.gov/lot/science/jul1395/jul1395.php</t>
  </si>
  <si>
    <t xml:space="preserve">CDC. (1995). Heat-Related Mortality -- Chicago, July 1995 Morbidity and Mortality Weekly Report, 44(31), 3. </t>
  </si>
  <si>
    <t>Kaplan, J. S., Sharman. (1995). City Deaths In Heat Wave Triple Normal, Chicago Tribune. Retrieved from http://articles.chicagotribune.com/1995-07-20/news/9507200228_1_heat-related-deaths-heat-wave-death-certificates</t>
  </si>
  <si>
    <t>Klinenberg, E. (Producer). (2002, March 13, 2012). Dying Alone: An interview with Eric Klinenberg. Retrieved from http://www.press.uchicago.edu/Misc/Chicago/443213in.html</t>
  </si>
  <si>
    <t xml:space="preserve">Changnon, S. A. K., K. E.; Reinke, B. C. . (1996). Impacts and Responses to the 1995 Heat Wave: A Call to Action. Bulletin of the American Meteorological Society, 77(7), 1497-1506. </t>
  </si>
  <si>
    <t>Earthsky. (2011, June 7). Massachusetts tornado left a track visible from space  Retrieved June 8, 2012, from http://earthsky.org/earth/massachusetts-tornado-left-a-track-visible-from-space</t>
  </si>
  <si>
    <t>Goodnough, A. (2011). At Least 4 Are Killed in Massachusetts Tornadoes. The New York Times, from http://www.nytimes.com/2011/06/02/us/02tornado.html</t>
  </si>
  <si>
    <t>AMR. (2012). AMR Responds to Mass. Tornado  Retrieved June 14, 2012, from http://www.amr.net/About-AMR/Mission-Vision/Living-Our-Mission/Caregiver-Inspired/AMR-Responds-to-Mass--Tornado.aspx</t>
  </si>
  <si>
    <t>CBS. (2011, June 2). Springfield, Mass., battered by deadly tornado. CBS News  Retrieved June 14, 2012, from http://www.cbsnews.com/2100-201_162-20068192.html</t>
  </si>
  <si>
    <t>VINNews. (2011, June 1). Springfield, MA - UPDATE: 4 Reported Dead, Dozens Injured After Tornadoes In Mass. VINNews.com  Retrieved June 14, 2012, from http://www.vosizneias.com/84844/2011/06/01/springfield-ma-update-4-reported-dead-dozens-injured-after-tornadoes-in-mass-photos/</t>
  </si>
  <si>
    <t>MU. (2011). Tornado Survivors Receive New Mental Health Services from MU. MU School of Medicine News, from http://medicine.missouri.edu/news/0136.php</t>
  </si>
  <si>
    <t>Soens, D. (2011, June 2). At least 3 Mass. Tornadoes confirmed. FoxProvidence.  Retrieved June 14, 2012, from http://www.foxprovidence.com/dpps/news/massachusetts/springfield-3-tornadoes-in-mass_3835416</t>
  </si>
  <si>
    <t>Associated Press. (2011). Deadly Tornadoes Hit Massachusetts, Killing 4. Fox News  Retrieved June 14, 2012, from http://www.foxnews.com/us/2011/06/01/tornado-damage-reported-springfield-mass/</t>
  </si>
  <si>
    <t>HAPHousing. (2011). Tornado Re-Building and Re-Housing Update. HAPHousing  Retrieved June 14, 2012, from http://www.haphousing.org/default/index.cfm/news/tornado-update/</t>
  </si>
  <si>
    <t>NewsMappers. (2011). Path of the Springfield / Monson Tornado. Tripline  Retrieved June 14, 2012, from http://www.tripline.net/trip/Path_of_the_Springfield_/_Monson_Tornado-67260334774010039838AE02C8A41537</t>
  </si>
  <si>
    <t>Morris, F. (2011). For Joplin's Children, Tornado's Effects Persist, NPR. Retrieved from http://www.npr.org/2011/09/15/140476898/for-joplins-children-tornados-effects-persist</t>
  </si>
  <si>
    <t xml:space="preserve">Beatty, M. E., Phelps, S., Rohner, C., &amp; Weisfuse, I. (2006). Blackout of 2003: Public health effects and emergency response. Public Health Reports, 121(1), 36-44. </t>
  </si>
  <si>
    <t xml:space="preserve">Prezant, D. J., Clair, J., Belyaev, S., Alleyne, D., Banauch, G. I., Davitt, M., . . . Kalkut, G. (2005). Effects of the August 2003 blackout on the New York City healthcare delivery system: a lesson for disaster preparedness. Crit Care Med, 33(1 Suppl), S96-101. </t>
  </si>
  <si>
    <t>Pérez-Peña, R. (2003, August 15). THE BLACKOUT OF 2003: HEALTH CARE; Early Panic Leads to a Rush on Emergency Rooms, The New York Times. Retrieved from http://www.nytimes.com/2003/08/15/nyregion/15HOSP.html?ref=newyorkcityblackoutof2003</t>
  </si>
  <si>
    <t>Eachempati, S. R., Mick, S., &amp; Barie, P. S. (2004). The impact of the 2003 blackout on a level 1 trauma center: Lessons learned and implications for injury prevention. Journal of Trauma-Injury Infection and Critical Care, 57(5), 1127-1131. doi: Doi 10.1097/01.Ta.0000141891.51102.28</t>
  </si>
  <si>
    <t>Kane, K. (2010, February 8). Two dead, dozens sickened trying to keep warm, Pittsburgh Post-Gazette. Retrieved from http://old.post-gazette.com/pg/10039/1034340-114.stm</t>
  </si>
  <si>
    <t xml:space="preserve">CDC. (1982). Public Health Impact of a Snow Disaster. Morbidity and Mortality Weekly Report, 31(51), 2. </t>
  </si>
  <si>
    <t>Electric Light &amp; Power. (2010, February 11). Blizzard severely damages PECO electric system</t>
  </si>
  <si>
    <t>McFadden, R. D. (2010, February 6). A Storm Part Crippling and Part Enchanting, The New York Times. Retrieved from http://www.nytimes.com/2010/02/07/us/07storm.html?_r=1</t>
  </si>
  <si>
    <t>Van Allen, P. (2010, February 10). Philadelphia Snow closes nonessential offices, not coffee sellers, Philadelphia Business Journal. Retrieved from http://www.bizjournals.com/philadelphia/stories/2010/02/08/daily21.html?page=all</t>
  </si>
  <si>
    <t>NOAA. (2010). NAA US Historical Tornadoes  Retrieved June 28, 2012, from http://nationalatlas.gov</t>
  </si>
  <si>
    <t>Drought is a natural climatic condition which occurs in virtually all climates, the consequence of a natural reduction in the amount of precipitation experienced over a long period of time, usually a season or more in length. High temperatures, prolonged winds, and low relative humidity can exacerbate the severity of drought. This hazard is of particular concern in Pennsylvania due to the presence of farms as well as water-dependent industries and recreation areas across the Commonwealth. A prolonged drought could severely impact these sectors of the local economy, as well as residents who depend on wells for drinking water and other personal uses. (Baker, 2010).</t>
  </si>
  <si>
    <t>Baker, M. (2010). Commonwealth of Pennsylvania 2010 Standard All-Hazard Mitigation Plan.</t>
  </si>
  <si>
    <t>Centers for Disease Control and Prevention, U.S. Environmental Protection Agency, National Oceanic and Atmospheric Agency, &amp; American Water Works Association. (2010). When every drop counts: protecting public health during drought conditions—a guide for public health professionals.  Atlanta: U.S. Department of Health and Human Services.</t>
  </si>
  <si>
    <t>Dewey, J. W., &amp; Hopper, M. G. (1998, December 14). Intensity Distribution and Isoseismal Maps for the Pymatuning (Northwestern Pennsylvania) Earthquake of 25 September, 1998  Retrieved September 17, 2012, from http://earthquake.usgs.gov/neis/intensity/pym/</t>
  </si>
  <si>
    <t xml:space="preserve">Gorokhvovich, Y., &amp; Fleeger, G. (2007). Pymatuning earthquake in Pennsylvania and Late Minoan Crisis on Crete. Water Science &amp; Technology: Water Supply, 7(1), 245-251. </t>
  </si>
  <si>
    <t>Henshaw, S., &amp; Kahl, J. (2012). Wildfire burns up to 500 acres, Reading Eagle. Retrieved from http://readingeagle.com/article.aspx?id=379027</t>
  </si>
  <si>
    <t xml:space="preserve">Devlin, R. (2012). Hopewell Fire out, but still a threat Reading Eagle. Retrieved from http://readingeagle.com/article.aspx?id=380394 </t>
  </si>
  <si>
    <t>In the French Creek area fire of 2012, 3 firefighters were injured (Henshaw &amp; Kahl, 2012).</t>
  </si>
  <si>
    <t>In the French Creek Area Fire of 2012, there were only minor injuries (Henshaw &amp; Kahl, 2012).</t>
  </si>
  <si>
    <t>In the French Creek area fire of 2012, residents were evacuated from homes along four roads near the fire (The Associated Press, 2012)</t>
  </si>
  <si>
    <t>The Associated Press. (2012). Forest fire in eastern Pennsylvania prompts evacuations, The Patriot-News. Retrieved from http://www.pennlive.com/midstate/index.ssf/2012/04/forest_fire_in_eastern_pennsyl.html</t>
  </si>
  <si>
    <t>No buildings were damaged by the French Creek area fire of 2012 (Henshaw &amp; Kahl, 2012).</t>
  </si>
  <si>
    <t>Baseline Healthcare Preparedness Capability Status</t>
  </si>
  <si>
    <t>Healthcare System Preparedness</t>
  </si>
  <si>
    <t>Healthcare System Recovery</t>
  </si>
  <si>
    <t>Healthcare System Preparedness Score</t>
  </si>
  <si>
    <t>Healthcare System Recovery Score</t>
  </si>
  <si>
    <r>
      <rPr>
        <u/>
        <sz val="11"/>
        <color theme="1"/>
        <rFont val="Calibri"/>
        <family val="2"/>
        <scheme val="minor"/>
      </rPr>
      <t>Function 1</t>
    </r>
    <r>
      <rPr>
        <sz val="11"/>
        <color theme="1"/>
        <rFont val="Calibri"/>
        <family val="2"/>
        <scheme val="minor"/>
      </rPr>
      <t>: Develop, refine, or sustain Healthcare Coalitions consisting of a collaborative network of healthcare organizations and their respective public and private sector response partners within a defined region. Healthcare Coalitions serve as a multi-agency coordinating group that assists Emergency Management and Emergency Support Function (ESF) #8 with preparedness, response, recovery, and mitigation activities related to healthcare organization disaster operations. The primary function of the Healthcare Coalition includes sub-state regional, healthcare system emergency preparedness activities involving the member organizations. Healthcare Coalitions also may provide multiagency coordination to interface with the appropriate level of emergency operations in order to assist with the provision of situational awareness and the coordination of resources for healthcare organizations during a response.</t>
    </r>
  </si>
  <si>
    <r>
      <rPr>
        <u/>
        <sz val="11"/>
        <color theme="1"/>
        <rFont val="Calibri"/>
        <family val="2"/>
        <scheme val="minor"/>
      </rPr>
      <t>Function 2</t>
    </r>
    <r>
      <rPr>
        <sz val="11"/>
        <color theme="1"/>
        <rFont val="Calibri"/>
        <family val="2"/>
        <scheme val="minor"/>
      </rPr>
      <t>: Coordinate with emergency management to develop local and state emergency operations plans that address the concerns and unique needs of healthcare organizations. Plans should encompass the ability to deliver essential healthcare services during a response. This includes the assessment phases of planning to determine needs and priorities of healthcare organizations and the development of operational courses of action used during responses.</t>
    </r>
  </si>
  <si>
    <r>
      <rPr>
        <u/>
        <sz val="11"/>
        <color theme="1"/>
        <rFont val="Calibri"/>
        <family val="2"/>
        <scheme val="minor"/>
      </rPr>
      <t>Function 3</t>
    </r>
    <r>
      <rPr>
        <sz val="11"/>
        <color theme="1"/>
        <rFont val="Calibri"/>
        <family val="2"/>
        <scheme val="minor"/>
      </rPr>
      <t>: Identify and prioritize healthcare assets and essential services within a healthcare delivery area or region (Healthcare Coalition area). Coordinate planning to protect and enhance priority healthcare assets and essential services in order to ensure continued healthcare delivery to the community during a disaster.</t>
    </r>
  </si>
  <si>
    <r>
      <rPr>
        <u/>
        <sz val="11"/>
        <color theme="1"/>
        <rFont val="Calibri"/>
        <family val="2"/>
        <scheme val="minor"/>
      </rPr>
      <t>Function 4</t>
    </r>
    <r>
      <rPr>
        <sz val="11"/>
        <color theme="1"/>
        <rFont val="Calibri"/>
        <family val="2"/>
        <scheme val="minor"/>
      </rPr>
      <t>: Perform resource assessments and develop plans to assist healthcare organizations address gaps associated with planning, training, staffing, and equipping that improve resource availability during response and recovery. This is an ongoing process in the preparedness cycle guided by healthcare organization resource needs. These needs are based on the outcome of gap analysis, the evaluation of training, exercises, and actual incidents or events, and subsequent corrective actions.</t>
    </r>
  </si>
  <si>
    <r>
      <rPr>
        <u/>
        <sz val="11"/>
        <color theme="1"/>
        <rFont val="Calibri"/>
        <family val="2"/>
        <scheme val="minor"/>
      </rPr>
      <t>Function 5</t>
    </r>
    <r>
      <rPr>
        <sz val="11"/>
        <color theme="1"/>
        <rFont val="Calibri"/>
        <family val="2"/>
        <scheme val="minor"/>
      </rPr>
      <t>: Coordinate training for healthcare responders and supporting agencies in order to provide the required knowledge, skills, and abilities needed to prepare and respond to a disaster. Training curriculums are based on assessments, strategies, improvement plans, and ongoing evaluation efforts. Training is coordinated with ongoing training initiatives from healthcare and response partners. Training should include appropriate National Incident Management System (NIMS) or equivalent training.</t>
    </r>
  </si>
  <si>
    <r>
      <rPr>
        <u/>
        <sz val="11"/>
        <color theme="1"/>
        <rFont val="Calibri"/>
        <family val="2"/>
        <scheme val="minor"/>
      </rPr>
      <t>Function 6</t>
    </r>
    <r>
      <rPr>
        <sz val="11"/>
        <color theme="1"/>
        <rFont val="Calibri"/>
        <family val="2"/>
        <scheme val="minor"/>
      </rPr>
      <t>: Coordinate an exercise, evaluation, and corrective action program to continuously improve healthcare preparedness, response, and recovery. Exercises should assess and validate the effectiveness and efficiency of capabilities and the adequacy of policies, plans, procedures, and protocols. Exercises should be coordinated vertically and horizontally with healthcare and emergency response partners. Evaluation and improvement planning should track corrective actions associated with identified healthcare capability deficiencies observed during exercises and incidents. Corrective actions provide the means to improve medical operational preparedness to perform critical healthcare response tasks. Corrective actions also contribute to the continuous preparedness cycle by ensuring updated strategies and plans are incorporated into new preparedness-building activities.</t>
    </r>
  </si>
  <si>
    <r>
      <rPr>
        <u/>
        <sz val="11"/>
        <color theme="1"/>
        <rFont val="Calibri"/>
        <family val="2"/>
        <scheme val="minor"/>
      </rPr>
      <t>Function 7</t>
    </r>
    <r>
      <rPr>
        <sz val="11"/>
        <color theme="1"/>
        <rFont val="Calibri"/>
        <family val="2"/>
        <scheme val="minor"/>
      </rPr>
      <t>: Participate with planning to address at-risk individuals and those with special medical needs whose care can only occur at healthcare facilities. This includes coordination with public health and ESF#6 mass care planning to determine the transfer and transport options for individuals with special medical needs to and from shelters/healthcare facilities. It also includes continued involvement with public health planning initiatives for at-risk individuals with functional needs so that assistance or guidance can be provided to healthcare organizations regarding activity that may affect healthcare.</t>
    </r>
  </si>
  <si>
    <r>
      <rPr>
        <u/>
        <sz val="11"/>
        <color theme="1"/>
        <rFont val="Calibri"/>
        <family val="2"/>
        <scheme val="minor"/>
      </rPr>
      <t>Function 1</t>
    </r>
    <r>
      <rPr>
        <sz val="11"/>
        <color theme="1"/>
        <rFont val="Calibri"/>
        <family val="2"/>
        <scheme val="minor"/>
      </rPr>
      <t>: Identify healthcare organization recovery needs and develop priority recovery processes to support a return to normalcy of operations or a
new standard of normalcy for the provision of healthcare delivery to the community.</t>
    </r>
  </si>
  <si>
    <r>
      <rPr>
        <u/>
        <sz val="11"/>
        <color theme="1"/>
        <rFont val="Calibri"/>
        <family val="2"/>
        <scheme val="minor"/>
      </rPr>
      <t>Function 2</t>
    </r>
    <r>
      <rPr>
        <sz val="11"/>
        <color theme="1"/>
        <rFont val="Calibri"/>
        <family val="2"/>
        <scheme val="minor"/>
      </rPr>
      <t>: Maintain continuity of the healthcare delivery by coordinating recovery across functional healthcare organizations and encouraging business continuity planning. COOP guides how key resources from governmental, non-governmental, and private sector agencies can be used to support the sustainment and reestablishment of essential services for healthcare organizations. This coordination assists healthcare organizations to maintain their functional capabilities during, and after an all hazards incident and enables a rapid and more effective recovery.</t>
    </r>
  </si>
  <si>
    <r>
      <rPr>
        <u/>
        <sz val="11"/>
        <color theme="1"/>
        <rFont val="Calibri"/>
        <family val="2"/>
        <scheme val="minor"/>
      </rPr>
      <t>Function 1</t>
    </r>
    <r>
      <rPr>
        <sz val="11"/>
        <color theme="1"/>
        <rFont val="Calibri"/>
        <family val="2"/>
        <scheme val="minor"/>
      </rPr>
      <t>: Coordinate the protocols and criteria for the multi-agency representation of healthcare organizations into local and state emergency operations during an incident response.</t>
    </r>
  </si>
  <si>
    <r>
      <rPr>
        <u/>
        <sz val="11"/>
        <color theme="1"/>
        <rFont val="Calibri"/>
        <family val="2"/>
        <scheme val="minor"/>
      </rPr>
      <t>Function 2</t>
    </r>
    <r>
      <rPr>
        <sz val="11"/>
        <color theme="1"/>
        <rFont val="Calibri"/>
        <family val="2"/>
        <scheme val="minor"/>
      </rPr>
      <t>: Assess the incident’s impact on healthcare delivery in order to determine immediate healthcare organization resource needs and the status of healthcare delivery during an incident response. This includes assisting with the creation of the incident common operating picture and developing the processes for notification and information exchange between relevant response partners, stakeholders, and healthcare organizations.</t>
    </r>
  </si>
  <si>
    <r>
      <rPr>
        <u/>
        <sz val="11"/>
        <color theme="1"/>
        <rFont val="Calibri"/>
        <family val="2"/>
        <scheme val="minor"/>
      </rPr>
      <t>Function 3</t>
    </r>
    <r>
      <rPr>
        <sz val="11"/>
        <color theme="1"/>
        <rFont val="Calibri"/>
        <family val="2"/>
        <scheme val="minor"/>
      </rPr>
      <t>: Coordinate resource allocation for healthcare organizations by assisting incident management with decisions regarding resource availability and needs. This process should continue throughout incident response and recovery; including ongoing coordination to track resources for decision-making and optimal resource allocation.</t>
    </r>
  </si>
  <si>
    <r>
      <rPr>
        <u/>
        <sz val="11"/>
        <color theme="1"/>
        <rFont val="Calibri"/>
        <family val="2"/>
        <scheme val="minor"/>
      </rPr>
      <t>Function 4</t>
    </r>
    <r>
      <rPr>
        <sz val="11"/>
        <color theme="1"/>
        <rFont val="Calibri"/>
        <family val="2"/>
        <scheme val="minor"/>
      </rPr>
      <t>: The processes that assists healthcare organizations with the return of resources that are no longer required to support the incident. This includes the return of shared resources through incident management processes or directly to the providing healthcare organization. Following the return of assets, incorporate best practices and lessons learned into the continuous improvement process (after action reports/improvement plans/corrective actions).</t>
    </r>
  </si>
  <si>
    <r>
      <rPr>
        <u/>
        <sz val="11"/>
        <color theme="1"/>
        <rFont val="Calibri"/>
        <family val="2"/>
        <scheme val="minor"/>
      </rPr>
      <t>Function 1</t>
    </r>
    <r>
      <rPr>
        <sz val="11"/>
        <color theme="1"/>
        <rFont val="Calibri"/>
        <family val="2"/>
        <scheme val="minor"/>
      </rPr>
      <t>: Coordinate with agencies responsible for fatality management (e.g., medical examiner, coroner’s office, emergency management) to assist with the temporary storage of human remains during periods of death surges at healthcare organizations when morgue space is exceeded or unavailable.</t>
    </r>
  </si>
  <si>
    <r>
      <rPr>
        <u/>
        <sz val="11"/>
        <color theme="1"/>
        <rFont val="Calibri"/>
        <family val="2"/>
        <scheme val="minor"/>
      </rPr>
      <t>Function 2</t>
    </r>
    <r>
      <rPr>
        <sz val="11"/>
        <color theme="1"/>
        <rFont val="Calibri"/>
        <family val="2"/>
        <scheme val="minor"/>
      </rPr>
      <t>: Coordination with the agency responsible to provide assistance to the community regarding ante-mortem data to provide assistance to healthcare organizations for the processes to direct family and community members seeking information about missing family members to the right locations that are available in the community.</t>
    </r>
  </si>
  <si>
    <r>
      <rPr>
        <u/>
        <sz val="11"/>
        <color theme="1"/>
        <rFont val="Calibri"/>
        <family val="2"/>
        <scheme val="minor"/>
      </rPr>
      <t>Function 3</t>
    </r>
    <r>
      <rPr>
        <sz val="11"/>
        <color theme="1"/>
        <rFont val="Calibri"/>
        <family val="2"/>
        <scheme val="minor"/>
      </rPr>
      <t>: Coordinate with the lead jurisdictional authority and jurisdictional and regional mental/behavioral health partners to assist healthcare organizations with the processes to solicit support for the provision of non-intrusive, culturally sensitive mental/behavioral health support services to family members of the deceased, incident survivors, and responders, if requested.</t>
    </r>
  </si>
  <si>
    <r>
      <rPr>
        <u/>
        <sz val="11"/>
        <color theme="1"/>
        <rFont val="Calibri"/>
        <family val="2"/>
        <scheme val="minor"/>
      </rPr>
      <t>Function 1</t>
    </r>
    <r>
      <rPr>
        <sz val="11"/>
        <color theme="1"/>
        <rFont val="Calibri"/>
        <family val="2"/>
        <scheme val="minor"/>
      </rPr>
      <t>: Provide situational awareness regarding the status of healthcare delivery into the ongoing flow of information to assist with the creation of an incident common operating picture. This includes providing information to the full spectrum of healthcare partners. This encompasses the real time sharing of actionable information between healthcare organizations and incident management to assist decision makers with resource allocation and provide healthcare organizations with incident specific information.</t>
    </r>
  </si>
  <si>
    <r>
      <rPr>
        <u/>
        <sz val="11"/>
        <color theme="1"/>
        <rFont val="Calibri"/>
        <family val="2"/>
        <scheme val="minor"/>
      </rPr>
      <t>Function 2</t>
    </r>
    <r>
      <rPr>
        <sz val="11"/>
        <color theme="1"/>
        <rFont val="Calibri"/>
        <family val="2"/>
        <scheme val="minor"/>
      </rPr>
      <t>: Communications interoperability enables healthcare organization emergency communication systems to communicate with existing incident management emergency communications systems. With these systems in place, healthcare organizations can communicate with multiple agencies, relevant response partners, stakeholders, and other healthcare systems through radio and/or associated communications systems permitting an exchange of information in real time, when needed, and when authorized.</t>
    </r>
  </si>
  <si>
    <r>
      <rPr>
        <u/>
        <sz val="11"/>
        <color theme="1"/>
        <rFont val="Calibri"/>
        <family val="2"/>
        <scheme val="minor"/>
      </rPr>
      <t>Function 1</t>
    </r>
    <r>
      <rPr>
        <sz val="11"/>
        <color theme="1"/>
        <rFont val="Calibri"/>
        <family val="2"/>
        <scheme val="minor"/>
      </rPr>
      <t>: Develop, refine, and sustain processes to ensure incident management decisions during medical surge incidents are coordinated through multi-agency collaboration representative of the community healthcare organizations’ priorities and needs. Coordination is achieved by ensuring that there are plans and protocols in place to guide the decisions made by incident management. It may also be achieved through real time multi-agency coordination by healthcare organizations during a response.</t>
    </r>
  </si>
  <si>
    <r>
      <rPr>
        <u/>
        <sz val="11"/>
        <color theme="1"/>
        <rFont val="Calibri"/>
        <family val="2"/>
        <scheme val="minor"/>
      </rPr>
      <t>Function 2</t>
    </r>
    <r>
      <rPr>
        <sz val="11"/>
        <color theme="1"/>
        <rFont val="Calibri"/>
        <family val="2"/>
        <scheme val="minor"/>
      </rPr>
      <t>: Coordination between the State, healthcare organizations, and Healthcare Coalitions with EMS operations and medical oversight to develop, refine, and sustain protocols for information sharing and communications. These protocols should assist with the coordination of transport decisions and options during a medical surge incident. These protocols also assist healthcare organizations understand the EMS disaster triage, transport, documentation, and CBRNE treatment methodologies during mass casualty incidents resulting in medical surge.</t>
    </r>
  </si>
  <si>
    <r>
      <rPr>
        <u/>
        <sz val="11"/>
        <color theme="1"/>
        <rFont val="Calibri"/>
        <family val="2"/>
        <scheme val="minor"/>
      </rPr>
      <t>Function 3</t>
    </r>
    <r>
      <rPr>
        <sz val="11"/>
        <color theme="1"/>
        <rFont val="Calibri"/>
        <family val="2"/>
        <scheme val="minor"/>
      </rPr>
      <t>: The rapid expansion of the capacity and capability of the healthcare system to provide the appropriate and timely clinical level of care in response to an incident that causes increased numbers (capacity) or special types of patients (capability) that overwhelm the day-to-day acute-care medical resources. This encompasses the appropriate decisions regarding patient care that require multi-agency coordination between healthcare organizations and incident management during medical surge operations.</t>
    </r>
  </si>
  <si>
    <r>
      <rPr>
        <u/>
        <sz val="11"/>
        <color theme="1"/>
        <rFont val="Calibri"/>
        <family val="2"/>
        <scheme val="minor"/>
      </rPr>
      <t>Function 4</t>
    </r>
    <r>
      <rPr>
        <sz val="11"/>
        <color theme="1"/>
        <rFont val="Calibri"/>
        <family val="2"/>
        <scheme val="minor"/>
      </rPr>
      <t>: Provide State guidance and protocols on crisis standards of care in order to enable a substantial change in routine healthcare operations including delivery of the optimal level of patient care for a pervasive (e.g., pandemic influenza) or catastrophic (e.g., earthquake, hurricane) disaster. The need for crisis standards is justified by specific circumstances and may or may not be triggered by the formal declaration of emergency, disaster, or public health emergency (with input from local, Healthcare Coalition, and regional authorities), in recognition that crisis operations will be in effect for a sustained period. If an emergency declaration is made, it changes the legal environment and enables specific legal and regulatory powers and protections for public health and healthcare providers concerning their actions and omissions associated with allocating and utilizing scarce medical resources and implementing crisis standards of care. This guidance provides a delineated continuum of care from normal operations to eventual crisis standards of care. The continuum involves the scarcity of all other resource options until it is no longer feasible to provide normal care, including strategies to reduce demand, optimize
existing resources, and augment existing resources.</t>
    </r>
  </si>
  <si>
    <r>
      <rPr>
        <u/>
        <sz val="11"/>
        <color theme="1"/>
        <rFont val="Calibri"/>
        <family val="2"/>
        <scheme val="minor"/>
      </rPr>
      <t>Function 5</t>
    </r>
    <r>
      <rPr>
        <sz val="11"/>
        <color theme="1"/>
        <rFont val="Calibri"/>
        <family val="2"/>
        <scheme val="minor"/>
      </rPr>
      <t>: Support healthcare organizations during evacuation and shelter in place operations in which no warning or ample warning is received prior to the occurrence. This assists healthcare organizations with the safe and effective care of patients, use of equipment, and utilization of staff during relocation to another facility within a region or outside of the region in response to an incident. This includes the provision of assistance to healthcare organizations that have decided to shelter-in-place during the incident.</t>
    </r>
  </si>
  <si>
    <r>
      <rPr>
        <u/>
        <sz val="11"/>
        <color theme="1"/>
        <rFont val="Calibri"/>
        <family val="2"/>
        <scheme val="minor"/>
      </rPr>
      <t>Function 1</t>
    </r>
    <r>
      <rPr>
        <sz val="11"/>
        <color theme="1"/>
        <rFont val="Calibri"/>
        <family val="2"/>
        <scheme val="minor"/>
      </rPr>
      <t>: Develop, refine, and sustain processes to assist healthcare organizations to provide the timely distribution of critical medication such as prophylaxis or immediate treatment for healthcare workers and their families during an exposure incident (e.g., CBRNE).</t>
    </r>
  </si>
  <si>
    <r>
      <rPr>
        <u/>
        <sz val="11"/>
        <color theme="1"/>
        <rFont val="Calibri"/>
        <family val="2"/>
        <scheme val="minor"/>
      </rPr>
      <t>Function 2</t>
    </r>
    <r>
      <rPr>
        <sz val="11"/>
        <color theme="1"/>
        <rFont val="Calibri"/>
        <family val="2"/>
        <scheme val="minor"/>
      </rPr>
      <t>: Assist healthcare organizations with the ability to access the appropriate types of caches of Personal Protective Equipment (PPE) needed for the safety of healthcare responders based on incident/event-specific conditions.</t>
    </r>
  </si>
  <si>
    <r>
      <rPr>
        <u/>
        <sz val="11"/>
        <color theme="1"/>
        <rFont val="Calibri"/>
        <family val="2"/>
        <scheme val="minor"/>
      </rPr>
      <t>Function 1</t>
    </r>
    <r>
      <rPr>
        <sz val="11"/>
        <color theme="1"/>
        <rFont val="Calibri"/>
        <family val="2"/>
        <scheme val="minor"/>
      </rPr>
      <t>: Participate with volunteer planning to assess the situations in which volunteers may be needed by healthcare organizations to determine the type and quantity of volunteers that may be used by healthcare organizations during a response. The coordinated planning involves medical considerations for the recruitment, identification, and training of volunteers that can support a healthcare organization response.</t>
    </r>
  </si>
  <si>
    <r>
      <rPr>
        <u/>
        <sz val="11"/>
        <color theme="1"/>
        <rFont val="Calibri"/>
        <family val="2"/>
        <scheme val="minor"/>
      </rPr>
      <t>Function 2</t>
    </r>
    <r>
      <rPr>
        <sz val="11"/>
        <color theme="1"/>
        <rFont val="Calibri"/>
        <family val="2"/>
        <scheme val="minor"/>
      </rPr>
      <t>: Initiate the volunteer request process so that prospective volunteers are mobilized in the appropriate health professional role for the healthcare organization’s response.</t>
    </r>
  </si>
  <si>
    <r>
      <rPr>
        <u/>
        <sz val="11"/>
        <color theme="1"/>
        <rFont val="Calibri"/>
        <family val="2"/>
        <scheme val="minor"/>
      </rPr>
      <t>Function 3</t>
    </r>
    <r>
      <rPr>
        <sz val="11"/>
        <color theme="1"/>
        <rFont val="Calibri"/>
        <family val="2"/>
        <scheme val="minor"/>
      </rPr>
      <t>: Identify the process for allocating volunteers that are needed simultaneously across several healthcare organizations. This process should include the placement of volunteers through the appropriate deployment channels and match the assignment of volunteers to the needs of the requesting healthcare organizations (i.e., based on volunteer availability).</t>
    </r>
  </si>
  <si>
    <r>
      <rPr>
        <u/>
        <sz val="11"/>
        <color theme="1"/>
        <rFont val="Calibri"/>
        <family val="2"/>
        <scheme val="minor"/>
      </rPr>
      <t>Function 4</t>
    </r>
    <r>
      <rPr>
        <sz val="11"/>
        <color theme="1"/>
        <rFont val="Calibri"/>
        <family val="2"/>
        <scheme val="minor"/>
      </rPr>
      <t>: Coordinate the release of volunteers based on evolving incident requirements or incident status. This includes coordination with the appropriate partner agencies to ensure provision of medical and mental/behavioral health support needed for the volunteers’ physical and mental well-being.</t>
    </r>
  </si>
  <si>
    <t>Public Health Preparedness</t>
  </si>
  <si>
    <t>Healthcare Preparedness</t>
  </si>
  <si>
    <t>Rate the relevance of each of the following Public Health Preparedness capabilities to the public health response to this hazard.</t>
  </si>
  <si>
    <t>Rate the relevance of each of the following Healthcare Preparedness capabilities to the healthcare response to this hazard.</t>
  </si>
  <si>
    <t>HC System Prep</t>
  </si>
  <si>
    <t>HC System Recov</t>
  </si>
  <si>
    <t>Healthcare Preparedness Score:</t>
  </si>
  <si>
    <t>Public Health Preparedness Score:</t>
  </si>
  <si>
    <t>Overall Preparedness = (Public Health Preparedness + Healthcare Preparedness) / 2</t>
  </si>
  <si>
    <t>Overall Preparedness</t>
  </si>
  <si>
    <t>Overall Planning Priority = Overall Adjusted Risk / Overall Preparedness</t>
  </si>
  <si>
    <t>PH Planning Priority = Public Health Adjusted Risk / Public Health Preparedness</t>
  </si>
  <si>
    <t>Healthcare Planning Priority = Healthcare Adjusted Risk / Healthcare Preparedness</t>
  </si>
  <si>
    <t>Inpatient Facility Infrastructure</t>
  </si>
  <si>
    <t>Public Health Service Imact</t>
  </si>
  <si>
    <t>MCEER. (2012). Post-Tropical Cyclone Sandy 2012: Statistics &amp; News  Retrieved November 12, 2012, from http://mceer.buffalo.edu/infoservice/disasters/Post-Tropical-Cyclone-Sandy-2012.asp</t>
  </si>
  <si>
    <t>Adkins, L. (2012). Hospital Emergency Rooms Seeing Higher Traffic Related To Hurricane Sandy, CBS Philly. Retrieved from http://philadelphia.cbslocal.com/2012/11/02/hospital-emergency-rooms-seeing-higher-traffic-related-to-hurricane-sandy/</t>
  </si>
  <si>
    <t>During Hurricane Sandy, most outpatient offices and amubulatory centers in the Philadelphia region were closed Monday and Tuesday ("Hurricane Sandy closings mount," 2012).</t>
  </si>
  <si>
    <t>Hurricane Sandy closings mount. (2012). Philadelphia Business Journal. Retrieved from http://www.bizjournals.com/philadelphia/morning_roundup/2012/10/whats-closed-nearly-everything.html</t>
  </si>
  <si>
    <t>Newman, A. (2012). Storm’s Death Toll Climbs in New Jersey, The New York Times. Retrieved from http://cityroom.blogs.nytimes.com/2012/11/12/storms-death-toll-climbs-in-new-jersey/</t>
  </si>
  <si>
    <t>Gammage, J. (2012). Philadelphia area edging back to normal after Sandy, The Philadelphia Inquirer. Retrieved from http://articles.philly.com/2012-11-01/news/34838473_1_power-outages-sandy-hurricane-irene</t>
  </si>
  <si>
    <t xml:space="preserve">Action News. (2012). 3 dead in wake of Sandy's violent tear through Pa. 6abc.com. </t>
  </si>
  <si>
    <t>Scavuzzo, S. F. (2012, October 28). Update: Who's Open Tuesday After Hurricane Sandy? Roxborough-Manayunk Patch  Retrieved November 12, 2012, from http://roxborough.patch.com/articles/businesses-closingsmanayunk-open-before-hurricane-sandy</t>
  </si>
  <si>
    <t>Hurricane Sandy Mandatory Evacuations. (2012). CBS Philly. Retrieved from http://philadelphia.cbslocal.com/2012/10/28/hurricane-sandy-mandatory-evacuations/</t>
  </si>
  <si>
    <t>Reed, B. (2012). 500-1,000 evacuated in Bensalem, The Philadelphia Inquirer. Retrieved from http://www.philly.com/philly/blogs/bucksinq/176281985.html</t>
  </si>
  <si>
    <t>Sullivan, V. (2012). Darby, Chester enact mandatory evacuations, Delaware County News Network. Retrieved from http://www.delconewsnetwork.com/articles/2012/10/29/news_of_delaware_county/news/doc508e6a4cad7fb950867209.txt</t>
  </si>
  <si>
    <t>Preston, J. (2012). State-by-State Guide to Hurricane Sandy, The New York Times. Retrieved from http://thelede.blogs.nytimes.com/2012/10/29/state-by-state-guide-to-hurricane-sandy/#Pennsylvania</t>
  </si>
  <si>
    <t>Hours of Fuel Required:</t>
  </si>
  <si>
    <t>Hours Required = Hours of Electricity Loss - Hours of Back-Up Generator Fuel On Hand in Facility</t>
  </si>
  <si>
    <t>Fox, S., &amp; Schick, V. (2012, October 31). EHR access lost during Hurricane Sandy. Health IR Law Blog  Retrieved November 12, 2012, from http://www.healthitlawblog.com/tags/emergency-preparedness/</t>
  </si>
  <si>
    <t>Crawford, J. M., Stallone, R., Zhang, F., Gerolimatos, M., Korologos, D. D., Sweetapple, C., . . . Ginocchio, C. C. (2010). Laboratory Surge Response to Pandemic (H1N1) 2009 Outbreak, New York City Metropolitan Area, USA. Emerging Infectious Diseases, 16(1), 8-13. doi: DOI 10.3201/eid1601.091167</t>
  </si>
  <si>
    <t>Hours of Fuel Required</t>
  </si>
  <si>
    <t>During the Northeast Blackout of 2003, four hospitals in NYC experienced back-up generator failure for approximately 2 hours (Beatty et al., 2006).  It is assumed that backup generator failures occur at 2 region hospitals, including the county's largest hospital.  During the Northeast Blackout of 2003, New York Presbyterian in NYC did not experience an increase in volume (Eachempati, Mick, &amp; Barie, 2004).</t>
  </si>
  <si>
    <t>Most data/communication networks are supplied with back-up generator power.  During the Northeast Blackout of 2003, four hospitals in NYC experienced back-up generator failure for approximately 2 hours (Beatty et al., 2006).  It is assumed that backup generator failures occur at 2 region hospitals, including the region's largest hospital.</t>
  </si>
  <si>
    <t>Total Nursing Home Beds:</t>
  </si>
  <si>
    <t>Total Inpatient Beds:</t>
  </si>
  <si>
    <t>Percent of Regional Inpatient Beds Impacted:</t>
  </si>
  <si>
    <t>Number of Regional Inpatient Beds (Hospital and Nursing Home) Impacted by Electricity Loss:</t>
  </si>
  <si>
    <t>Number of Regional Inpatient Beds (Hospital and Nursing Home) Requiring Additional Fuel Delivery for Back-Up Generators:</t>
  </si>
  <si>
    <t>Percent of Regional Inpatient Beds Requiring Fuel:</t>
  </si>
  <si>
    <t>Number of Regional Hospital Beds Impacted by Data/Comm Loss:</t>
  </si>
  <si>
    <t>Percent of Regional Hospital Beds Impacted:</t>
  </si>
  <si>
    <t>Number of Regional Inpatient Beds (Hospital and Nursing Home) Impacted by Interruption of Linen Services:</t>
  </si>
  <si>
    <t>Number of Regional Inpatient Beds (Hospital and Nursing Home) Requiring Evacuation:</t>
  </si>
  <si>
    <t>Percent of Regional Inpatient Beds Requiring Evacuation:</t>
  </si>
  <si>
    <t>Total Beds at Nursing Home(s) Within 10 Miles of a Nuclear Reactor:</t>
  </si>
  <si>
    <t>Nursing Home(s) Within 10 Miles of a Nuclear Reactor:</t>
  </si>
  <si>
    <t>Total Regional Inpatient Beds:</t>
  </si>
  <si>
    <t>Total Regional Hospital Beds:</t>
  </si>
  <si>
    <t>Number of Regional Inpatient Beds (Hospital and Nursing Home) Impacted by Water Loss:</t>
  </si>
  <si>
    <t>Facility Water Supply</t>
  </si>
  <si>
    <t>Facility Electricity</t>
  </si>
  <si>
    <t>Facility Generator Fuel Supply</t>
  </si>
  <si>
    <t>Hospital IT/Communication Systems</t>
  </si>
  <si>
    <t>Facility Evacuation</t>
  </si>
  <si>
    <t>Hospital Patient Decontamination</t>
  </si>
  <si>
    <t>Regional Inpatient Facility Beds</t>
  </si>
  <si>
    <t>Facility Critical Supplies</t>
  </si>
  <si>
    <t>Inpatient Healthcare Facility Infrastructure Impact</t>
  </si>
  <si>
    <t>Overall Health Severity Score:</t>
  </si>
  <si>
    <t>Overall Health Risk Score:</t>
  </si>
  <si>
    <t>Overall Health Adjsuted Risk Score:</t>
  </si>
  <si>
    <t>Overall Health Preparedness Score:</t>
  </si>
  <si>
    <t>Overall Health Planning Priority Indicator</t>
  </si>
  <si>
    <t>No impact (Score = 0)</t>
  </si>
  <si>
    <r>
      <rPr>
        <sz val="11"/>
        <color theme="1"/>
        <rFont val="Calibri"/>
        <family val="2"/>
      </rPr>
      <t>≤</t>
    </r>
    <r>
      <rPr>
        <sz val="11"/>
        <color theme="1"/>
        <rFont val="Calibri"/>
        <family val="2"/>
        <scheme val="minor"/>
      </rPr>
      <t xml:space="preserve"> 1 day (Score  = 1)</t>
    </r>
  </si>
  <si>
    <t>≤ 1 week (Score = 2)</t>
  </si>
  <si>
    <t>≤ 2 weeks (Score = 3)</t>
  </si>
  <si>
    <t>&gt; 2 weeks (Score = 4)</t>
  </si>
  <si>
    <r>
      <rPr>
        <sz val="11"/>
        <color theme="1"/>
        <rFont val="Calibri"/>
        <family val="2"/>
      </rPr>
      <t>≤</t>
    </r>
    <r>
      <rPr>
        <sz val="11"/>
        <color theme="1"/>
        <rFont val="Calibri"/>
        <family val="2"/>
        <scheme val="minor"/>
      </rPr>
      <t xml:space="preserve"> 2 hours (Score = 1)</t>
    </r>
  </si>
  <si>
    <t>≤ 6 hours (Score = 2)</t>
  </si>
  <si>
    <t>≤ 12 hours (Score = 3)</t>
  </si>
  <si>
    <t>&gt; 12 hours (Score = 4)</t>
  </si>
  <si>
    <t>≤ 1 day (Score  = 1)</t>
  </si>
  <si>
    <r>
      <rPr>
        <sz val="11"/>
        <color theme="1"/>
        <rFont val="Calibri"/>
        <family val="2"/>
      </rPr>
      <t>≤</t>
    </r>
    <r>
      <rPr>
        <sz val="11"/>
        <color theme="1"/>
        <rFont val="Calibri"/>
        <family val="2"/>
        <scheme val="minor"/>
      </rPr>
      <t xml:space="preserve"> 1 day (Score = 1)</t>
    </r>
  </si>
  <si>
    <t>Inpatient Healthcare Facility Infrastructure Impact Score:</t>
  </si>
  <si>
    <t>≤ 1 day (Score = 1)</t>
  </si>
  <si>
    <t>≤ 2 hours (Score = 1)</t>
  </si>
  <si>
    <t>Hospital IT/Communication Systmes</t>
  </si>
  <si>
    <t>Facility Water Supply Score:</t>
  </si>
  <si>
    <t>Facility Electricity Score:</t>
  </si>
  <si>
    <t>Facility Generator Fuel Supply Score:</t>
  </si>
  <si>
    <t>Hospital IT/Communication Systems Score:</t>
  </si>
  <si>
    <t>Facility Critical Supplies Score:</t>
  </si>
  <si>
    <t>Facility Evacuation Score:</t>
  </si>
  <si>
    <t>Hospital Patient Decontamination Score:</t>
  </si>
  <si>
    <t>Optional: You may enter a data source or explanation in the below space.</t>
  </si>
  <si>
    <t>Data Source / Explanation (Optional):</t>
  </si>
  <si>
    <t>No change from baseline (Score = 0)</t>
  </si>
  <si>
    <t>≤ 5% increase (Score = 1)</t>
  </si>
  <si>
    <t>≤ 50% increase (Score = 2)</t>
  </si>
  <si>
    <t>≤ 100% increase (Score = 3)</t>
  </si>
  <si>
    <t>&gt;100% increase (Score = 4)</t>
  </si>
  <si>
    <r>
      <t xml:space="preserve">≤ 5% </t>
    </r>
    <r>
      <rPr>
        <sz val="11"/>
        <color theme="1"/>
        <rFont val="Calibri"/>
        <family val="2"/>
      </rPr>
      <t>↑</t>
    </r>
    <r>
      <rPr>
        <sz val="11"/>
        <color theme="1"/>
        <rFont val="Calibri"/>
        <family val="2"/>
        <scheme val="minor"/>
      </rPr>
      <t xml:space="preserve"> demand or ↓ supply (Score = 1)</t>
    </r>
  </si>
  <si>
    <t>≤ 50% ↑ demand or ↓ supply (Score = 2)</t>
  </si>
  <si>
    <t>≤ 100% ↑ demand or ↓ supply (Score = 3)</t>
  </si>
  <si>
    <t>&gt;100% ↑ demand or ↓ supply (Score  = 4)</t>
  </si>
  <si>
    <t>Ratio = Baseline (Score = 0)</t>
  </si>
  <si>
    <r>
      <t xml:space="preserve">Ratio </t>
    </r>
    <r>
      <rPr>
        <sz val="11"/>
        <color theme="1"/>
        <rFont val="Calibri"/>
        <family val="2"/>
      </rPr>
      <t>↑</t>
    </r>
    <r>
      <rPr>
        <sz val="11"/>
        <color theme="1"/>
        <rFont val="Calibri"/>
        <family val="2"/>
        <scheme val="minor"/>
      </rPr>
      <t xml:space="preserve"> ≤ 10% (Score = 1)</t>
    </r>
  </si>
  <si>
    <r>
      <t xml:space="preserve">Ratio </t>
    </r>
    <r>
      <rPr>
        <sz val="11"/>
        <color theme="1"/>
        <rFont val="Calibri"/>
        <family val="2"/>
      </rPr>
      <t>↑</t>
    </r>
    <r>
      <rPr>
        <sz val="11"/>
        <color theme="1"/>
        <rFont val="Calibri"/>
        <family val="2"/>
        <scheme val="minor"/>
      </rPr>
      <t xml:space="preserve"> ≤ 25% (Score = 2)</t>
    </r>
  </si>
  <si>
    <r>
      <t xml:space="preserve">Ratio </t>
    </r>
    <r>
      <rPr>
        <sz val="11"/>
        <color theme="1"/>
        <rFont val="Calibri"/>
        <family val="2"/>
      </rPr>
      <t>↑</t>
    </r>
    <r>
      <rPr>
        <sz val="11"/>
        <color theme="1"/>
        <rFont val="Calibri"/>
        <family val="2"/>
        <scheme val="minor"/>
      </rPr>
      <t xml:space="preserve"> ≤ 50% (Score = 3)</t>
    </r>
  </si>
  <si>
    <r>
      <t xml:space="preserve">Ratio </t>
    </r>
    <r>
      <rPr>
        <sz val="11"/>
        <color theme="1"/>
        <rFont val="Calibri"/>
        <family val="2"/>
      </rPr>
      <t>↑</t>
    </r>
    <r>
      <rPr>
        <sz val="11"/>
        <color theme="1"/>
        <rFont val="Calibri"/>
        <family val="2"/>
        <scheme val="minor"/>
      </rPr>
      <t xml:space="preserve"> &gt; 50% (Score = 4)</t>
    </r>
  </si>
  <si>
    <r>
      <t xml:space="preserve">≤ 10% </t>
    </r>
    <r>
      <rPr>
        <sz val="11"/>
        <color theme="1"/>
        <rFont val="Calibri"/>
        <family val="2"/>
      </rPr>
      <t>↑</t>
    </r>
    <r>
      <rPr>
        <sz val="11"/>
        <color theme="1"/>
        <rFont val="Calibri"/>
        <family val="2"/>
        <scheme val="minor"/>
      </rPr>
      <t xml:space="preserve"> demand or ↓ supply (Score = 1)</t>
    </r>
  </si>
  <si>
    <t>&gt;100% ↑ demand or ↓ supply (Score = 4)</t>
  </si>
  <si>
    <t xml:space="preserve">Facility Electricity </t>
  </si>
  <si>
    <t>Public Health Preparedness Capabilities</t>
  </si>
  <si>
    <t>Healthcare Preparedness Capabilities</t>
  </si>
  <si>
    <t>Health Communications and Public Information (Additional number of personnel hours per week needed to generate health communications to external partners or general public)</t>
  </si>
  <si>
    <t>Surveillance (Additional number of case reports per day to health department in jurisdiction; requiring investigation, monitoring, tracking or other public health action)</t>
  </si>
  <si>
    <t>Laboratory Services (Additional number of specimens processed per day)</t>
  </si>
  <si>
    <t>Public Health System Risk Assessment</t>
  </si>
  <si>
    <t>Healthcare System Risk Assessment</t>
  </si>
  <si>
    <t>No change from baseline</t>
  </si>
  <si>
    <t>≤ 5% increase</t>
  </si>
  <si>
    <t>≤ 50% increase</t>
  </si>
  <si>
    <t>≤ 100% increase</t>
  </si>
  <si>
    <t>&gt;100% increase</t>
  </si>
  <si>
    <t>(Baseline + ↑ demand) / (Baseline - ↓ supply) ≤ 1.05</t>
  </si>
  <si>
    <t>(Baseline + ↑ demand) / (Baseline - ↓ supply) ≤ 1.5</t>
  </si>
  <si>
    <t>(Baseline + ↑ demand) / (Baseline - ↓ supply) ≤ 2</t>
  </si>
  <si>
    <t>(Baseline + ↑ demand) / (Baseline - ↓ supply) &gt; 2</t>
  </si>
  <si>
    <t>Patient-to-Nurse Ratio = Baseline</t>
  </si>
  <si>
    <t>Patient-to-Nurse Ratio ↑ ≤ 10%</t>
  </si>
  <si>
    <t>Patient-to-Nurse Ratio ↑ ≤ 25%</t>
  </si>
  <si>
    <t>Patient-to-Nurse Ratio ↑ ≤ 50%</t>
  </si>
  <si>
    <t>Patient-to-Nurse Ratio ↑ &gt; 50%</t>
  </si>
  <si>
    <t>0% of Regional Beds</t>
  </si>
  <si>
    <t>≤ 5% of Regional Beds</t>
  </si>
  <si>
    <t>≤ 1% of Regional Beds</t>
  </si>
  <si>
    <t>≤ 10% of Regional Beds</t>
  </si>
  <si>
    <t>&gt; 10% of Regional Beds</t>
  </si>
  <si>
    <t>≤ 25% of Regional Beds</t>
  </si>
  <si>
    <t>&gt; 25% of Regional Beds</t>
  </si>
  <si>
    <t>Number of patients = 0% of Regional ED Beds</t>
  </si>
  <si>
    <t>Number of patients ≤ 1% of Regional ED Beds</t>
  </si>
  <si>
    <t>Number of patients ≤ 5% of Regional ED Beds</t>
  </si>
  <si>
    <t>Number of patients ≤ 10% of Regional ED Beds</t>
  </si>
  <si>
    <t>Number of patients &gt; 10% of Regional ED Beds</t>
  </si>
  <si>
    <t>0% of Population</t>
  </si>
  <si>
    <t>≤ 1% of Population</t>
  </si>
  <si>
    <t>≤ 5% of Population</t>
  </si>
  <si>
    <t>≤ 10% of Population</t>
  </si>
  <si>
    <t>&gt; 10% of Population</t>
  </si>
  <si>
    <t>Percent of Population with Electricity Outage:</t>
  </si>
  <si>
    <t>No interruption</t>
  </si>
  <si>
    <t>≤ 1 day</t>
  </si>
  <si>
    <t>≤ 7 days</t>
  </si>
  <si>
    <t>≤ 14 days</t>
  </si>
  <si>
    <t>&gt; 14 days</t>
  </si>
  <si>
    <t>0% of Businesses</t>
  </si>
  <si>
    <t>≤ 1% of Businesses</t>
  </si>
  <si>
    <t>≤ 5% of Businesses</t>
  </si>
  <si>
    <t>≤ 10% of Businesses</t>
  </si>
  <si>
    <t>&gt; 10% of Businesses</t>
  </si>
  <si>
    <t>No displacement</t>
  </si>
  <si>
    <t>≤ 1,000 people</t>
  </si>
  <si>
    <t>≤ 10,000 people</t>
  </si>
  <si>
    <t>≤ 25,000 people</t>
  </si>
  <si>
    <t>&gt; 25,000 people</t>
  </si>
  <si>
    <t>No contamination</t>
  </si>
  <si>
    <t>≤ 1 mile radius</t>
  </si>
  <si>
    <t>≤ 5 mile radius</t>
  </si>
  <si>
    <t>≤ 10 mile radius</t>
  </si>
  <si>
    <t>&gt; 10 mile radius</t>
  </si>
  <si>
    <t>No mass care</t>
  </si>
  <si>
    <t>≤ 5,000 people</t>
  </si>
  <si>
    <t>≤ 25% of Population</t>
  </si>
  <si>
    <t>≤ 50% of Population</t>
  </si>
  <si>
    <t>&gt; 50% of Population</t>
  </si>
  <si>
    <t>PH System</t>
  </si>
  <si>
    <t>HC System</t>
  </si>
  <si>
    <t>Public Health System Planning Priority Scores</t>
  </si>
  <si>
    <t>Healthcare System Planning Priority Scores</t>
  </si>
  <si>
    <t>Number of Regional Beds Impacted by Water Pressure Loss</t>
  </si>
  <si>
    <t>Number of Regional Beds Impacted by Electricity Loss</t>
  </si>
  <si>
    <t>Number of Regional Beds Requiring Fuel</t>
  </si>
  <si>
    <t>Number of Regional Hospital Beds Impacted by Data/Comm Loss</t>
  </si>
  <si>
    <t>Number of Regional Beds Impacted by Interruption of Linen Services</t>
  </si>
  <si>
    <t>Facility Evacuation (Number of Region's Inpatient Beds Requiring Evacuation)</t>
  </si>
  <si>
    <t>Hospital Patient Decontamination (Number of patients who require decontamination at hospitals)</t>
  </si>
  <si>
    <t>Severity Score:</t>
  </si>
  <si>
    <t>Public Health System Severity Score:</t>
  </si>
  <si>
    <t>Healthcare System Severity Score:</t>
  </si>
  <si>
    <t>Risk Score:</t>
  </si>
  <si>
    <t>Public Health System Risk Score:</t>
  </si>
  <si>
    <t>Healthcare System Risk Score:</t>
  </si>
  <si>
    <t>Adjusted Risk Score:</t>
  </si>
  <si>
    <t>Public Health System Adjusted Risk Score:</t>
  </si>
  <si>
    <t>Healthcare System Adjusted Risk Score:</t>
  </si>
  <si>
    <t>Preparedness Score:</t>
  </si>
  <si>
    <t>Public Health System Planning Priority Indicator</t>
  </si>
  <si>
    <t>Healthcare System Planning Priority Indicator</t>
  </si>
  <si>
    <t>General Acute Care Hospital Beds:</t>
  </si>
  <si>
    <t>Specialty Hospital Beds:</t>
  </si>
  <si>
    <t>What is a large public building or space that could be the target for a terrorist attack?</t>
  </si>
  <si>
    <t>How many people occupy this building/space at its busiest time?</t>
  </si>
  <si>
    <t>Residental Population density of surrounding area (per square mile):</t>
  </si>
  <si>
    <t>Daytime Population density of surrounding area (per square mile):</t>
  </si>
  <si>
    <t>The proxy scenario used to predict the impacts of a chemical terrorism incident is based on the National Planning Scenario: "Chemical Attack - Nerve Agent."  In the scenario, a terrorist builds six spray dissemination devices and releases Sarin vapor into the ventilation systems of three large commercial office buildings in a metropolitan area. The agent kills 95% of the people in the buildings, and kills or sickens many of the first responders.  In addition, some of the agent exits through rooftop ventilation stacks, creating a downwind hazard (Department of Homeland Security, 2006).   In the altered scenario, spray dissemination devices are released in the ventilation of a large local building - the building with the largest daytime population in the region.  The morbidity and mortality rates of the NPS are applied to the occupancy of this building.</t>
  </si>
  <si>
    <t xml:space="preserve">In the Sarin National Planning Scenario, mortality is expected in 95% of the building's occupants (Department of Homeland Security, 2006). </t>
  </si>
  <si>
    <t>In the National Planning Scenario, 5% of the building's occupants will be found unconscious, suffering from seizures.  They will be decontaminated and transported to medical facilities (Department of Homeland Security, 2006).</t>
  </si>
  <si>
    <t xml:space="preserve">In the National Planning Scenario, injuries are predicted due to panic on the street, including falling and crushing injuries, as well as motor vehicle accidents on the surrounding roadways (Department of Homeland Security, 2006).  Most of these injuries will be minor; it is assumed that 2 will require trauma centers. </t>
  </si>
  <si>
    <t>In the National Planning Scenario, 5% of the building's occupants are predicted to be hospitalized with prolonged seizures for 4-6 weeks (Department of Homeland Security, 2006).</t>
  </si>
  <si>
    <t>Downwind populations (approximately one fourth of the population density of the surrounding area) will be evacuated (Department of Homeland Security, 2006).</t>
  </si>
  <si>
    <t>The attacked building must be decontaminated.</t>
  </si>
  <si>
    <t>All survivors with symptoms will be assessed via interview and monitored for long-term complications.  The National Planning Scenario predicts 5% of the building's occupants to be survivors (Department of Homeland Security, 2006).</t>
  </si>
  <si>
    <t>According to the National Planning Scenario, approximately 1/4 of the population density of the surrounding outdoor area will require decontamination and temporary shelter (Department of Homeland Security, 2006).</t>
  </si>
  <si>
    <t>According to the National Planning Scenario, chemical antidotes for nerve agent toxicity should be administered to the survivors (5% of the building's occupants) (Department of Homeland Security, 2006).</t>
  </si>
  <si>
    <t>The fatality rate inside the Murrah Building was 46% (North et al., 1999).</t>
  </si>
  <si>
    <t>Within the first hour of the explosion, 139 patients (38% of the building's occupancy) were transported to area hospitals (Maningas, Robison, &amp; Mallonee, 1997).  Most victims arrived at local emergency departments by private vehicle; only the most severely injured were transported by ambulance (Teague, 2004).</t>
  </si>
  <si>
    <t>After the Oklahoma City bombing, 18 hospitals in the metropoitan area treated 511 adults and 38 children (151% of the building's occupancy) (McLain, 2001).</t>
  </si>
  <si>
    <t>After the Oklahoma City bombing, 233 persons were treated in physicians’ offices or clinics (64% of the building's occupancy) (McLain, 2001).</t>
  </si>
  <si>
    <t xml:space="preserve">After the Oklahoma City bombing, 83 people (23% of the building's occupants) had serious injuries requiring operative care (Rivara, Nathens, Jurkovich, &amp; Maier, 2006). </t>
  </si>
  <si>
    <t>34% of survivors had PTSD within 4-8months after Oklahoma City Bombing (North et al., 1999).  A total of 9,106 individuals receieved one-on-one counseling or group therapy, and 190,000 individuals received some kind of mental health services (McLain, 2001).</t>
  </si>
  <si>
    <t>After the Oklahoma City bombing, 90 patients (25% of the building's occupants) were admitted to hospitals (Maningas, Robison, &amp; Mallonee, 1997).  The last patient was discharged from the hospital five months after the bombing (McLain, 2001).</t>
  </si>
  <si>
    <t>In general, 40 providers are needed per 250 disaster victims (Landesman, 2005).  34% of survivors had PTSD within 4-8months after Oklahoma City Bombing (North et al., 1999).  A total of 9,106 individuals receieved one-on-one counseling or group therapy, and 190,000 individuals (about 500x the occupancy of the building) received some kind of mental health services (McLain, 2001).</t>
  </si>
  <si>
    <t>Roads surrounding the blast site will likely be closed for approximately one week while the region/crime scene is assessed.</t>
  </si>
  <si>
    <t>In the Oklahoma City bombings, over 300 buildings in a 6-block radius were damaged, and 25 were destroyed (McLain, 2001).  For the first week following the blast, an entire eight-block radius was closed to the general public (Arnold, 2001).</t>
  </si>
  <si>
    <t>Environmental sampling and analysis would be undertaken to assess occupational and public health risk of bomb sites.</t>
  </si>
  <si>
    <t>Arnold, R. L. (2001). Special Report OKLAHOMA CITY. Disaster Recovery Journal  Retrieved December 12, 2012, from http://www.drj.com/special/ok.html</t>
  </si>
  <si>
    <t xml:space="preserve">Maningas, P. A., Robison, M., &amp; Mallonee, S. (1997). The EMS response to the Oklahoma City bombing. [Review]. Prehosp Disaster Med, 12(2), 80-85. </t>
  </si>
  <si>
    <t>McLain, S. L. (2001). The Oklahoma City Bombing: Lessons Learned by Hospitals. Available on the American Hospital Association Web site (www. aha. org) under “Disaster Readiness.</t>
  </si>
  <si>
    <t>North, C. S., Nixon, S. J., Shariat, S., Mallonee, S., McMillen, J. C., Spitznagel, E. L., &amp; Smith, E. M. (1999). Psychiatric disorders among survivors of the Oklahoma City bombing. Jama-Journal of the American Medical Association, 282(8), 755-762. doi: DOI 10.1001/jama.282.8.755</t>
  </si>
  <si>
    <t xml:space="preserve">Rivara, F. P., Nathens, A. B., Jurkovich, G. J., &amp; Maier, R. V. (2006). Do Trauma Centers Have the Capacity to Respond to Disasters? The Journal of Trauma Injury, Infection, and Critical Care, 61(4). </t>
  </si>
  <si>
    <t xml:space="preserve">Teague, D. C. (2004). Mass casualties in the Oklahoma City bombing. [Review]. Clin Orthop Relat Res(422), 77-81. </t>
  </si>
  <si>
    <t>The fatalities would result from the initial blast.  After the Oklahoma City bombing, the fatality rate inside the Murrah Building was 46% (North et al., 1999).</t>
  </si>
  <si>
    <t>After the Oklahoma City bombing, within the first hour of the explosion, 139 patients (38% of the building's occupancy) were transported to area hospitals (Maningas, Robison, &amp; Mallonee, 1997).  Most victims arrived at local emergency departments by private vehicle; only the most severely injured were transported by ambulance (Teague, 2004).</t>
  </si>
  <si>
    <t xml:space="preserve">After the Oklahoma City bombing, 233 persons were treated in physicians’ offices or clinics (64% of the building's occupancy) (McLain, 2001).  After an RDD detonation, many additional PCP visits are expected due to radiation exposure or pschosomatic symptoms.  After the radiation exposure in Goiânia, 8% of the population presented to PCPs with psychosomatic symptoms (Hall, Hall, &amp; Chapman, 2006). </t>
  </si>
  <si>
    <t>34% of survivors had PTSD within 4-8 months after Oklahoma City Bombing (North et al., 1999), but additional symptoms are expected due to the radiologic nature of an RDD.  After the Goiânia accident, 35.8% of the population experienced psychopathology (Hall et al., 2006).  Because the radiation exposure from a Radiation Dispersal Device would occur in the context of a terrorist attack, it is expected that the rate of psychopathology would be even higher.</t>
  </si>
  <si>
    <t>In Liberty Rad Ex, the declared relocation area for downwind/potentially contaminated regions is 10.29 sq miles (EPA, 2010).  The population of this region is calculated based on the residential population density of the surrounding area.</t>
  </si>
  <si>
    <t>People in a region 0.5-mile wide and 1-mile long potentially have detectable surface contamination (Department of Homeland Security, 2006) and must be followed and monitored.  The population of this region is calculated for Pike County based on the daytime population density of the surrounding region.</t>
  </si>
  <si>
    <t>Neighboring jurisdictions will likely not permit evacuees to enter due to fear of contamination, so all evacuees will have to be sheltered initially (Department of Homeland Security, 2006).</t>
  </si>
  <si>
    <t>Public Health Risk Assessment Tool</t>
  </si>
  <si>
    <t>Wildfire</t>
  </si>
  <si>
    <t>Wildfire: Analysis</t>
  </si>
  <si>
    <t>Public Health vs. Healthcare</t>
  </si>
  <si>
    <t>Hazard Name:</t>
  </si>
  <si>
    <t>Hazard Description:</t>
  </si>
  <si>
    <t>Hazard1</t>
  </si>
  <si>
    <t>Hazard2</t>
  </si>
  <si>
    <t>Hazard3</t>
  </si>
  <si>
    <t>Hazard4</t>
  </si>
  <si>
    <t>Hazard5</t>
  </si>
  <si>
    <t>Hazard6</t>
  </si>
  <si>
    <t>Hazard7</t>
  </si>
  <si>
    <t>Hazard8</t>
  </si>
  <si>
    <t>Hazard9</t>
  </si>
  <si>
    <t>Hazard10</t>
  </si>
  <si>
    <t>Analysis:</t>
  </si>
  <si>
    <t>A wildfire is a raging, uncontrolled fire that spreads rapidly through vegetative fuels, exposing and possibly consuming structures. Wildfires often begin unnoticed and can spread quickly, creating dense smoke that can be seen for miles. Wildfires can occur at any time of the year, but mostly occur during long, dry hot spells. Any small fire in a wooded area, if not quickly detected and suppressed, can get out of control. Most wildfires are caused by human carelessness, negligence, and ignorance. However, some are precipitated by lightning strikes and in rare instances, spontaneous combustion (Baker, 2010).</t>
  </si>
  <si>
    <t>Human Impact Score</t>
  </si>
  <si>
    <t>Healthcare Service Impact Score</t>
  </si>
  <si>
    <t>Inpatient Healthcare Facility Infrastructure Impact Score</t>
  </si>
  <si>
    <t>Community Impact 
Score</t>
  </si>
  <si>
    <t>Public Health Service Impact Score</t>
  </si>
  <si>
    <t>Public Health Preparedness  Score</t>
  </si>
  <si>
    <t>Healthcare Preparedness Score</t>
  </si>
  <si>
    <t>Preparedness  Score</t>
  </si>
  <si>
    <t>Public Health System Severity Score</t>
  </si>
  <si>
    <t>Public Health System Risk Score</t>
  </si>
  <si>
    <t>Public Health System Adjusted Risk Score</t>
  </si>
  <si>
    <t>Public Health System Planning Priority Score</t>
  </si>
  <si>
    <t>Healthcare System Severity Score</t>
  </si>
  <si>
    <t>Healthcare System Risk Score</t>
  </si>
  <si>
    <t>Healthcare System Adjusted Risk Score</t>
  </si>
  <si>
    <t>Healthcare System Planning Priority Score</t>
  </si>
  <si>
    <t>Overall Assessment</t>
  </si>
  <si>
    <t>The proxy scenario used to predict the impacts of a coastal storm is Hurricane Sandy, which made landfall close to Atlantic City in New Jersey on October 29, 2012, at about 8:00 pm local time.  The storm had winds of more than 80mph (129km/h) (MCEER, 2012).</t>
  </si>
  <si>
    <t>The proxy scenario used to predict the impacts of a nuclear facility accident is the Fukushima Daiichi nuclear disaster of 2011.</t>
  </si>
  <si>
    <t>The proxy scenario used to predict the impacts of a pandemic is the National Planning Scenario: "Biological Disease Outbreak - Pandemic Influenza."  The scenario entails a 1918-like Category 5 influenza pandemic.  Additional predictions for a similar scenario from the department of Health and Human Services and other government agencies are used where necessary.</t>
  </si>
  <si>
    <t>The proxy scenario used to predict the impacts of extreme temperatures is the 1995 Chicago Heat Wave.  During this 5-day heat wave, the heat index reached a high of 119 °F  at O'Hare airport, and 125 °F at Midway Airport (NOAA, 2010).</t>
  </si>
  <si>
    <t xml:space="preserve">The proxy scenario used to predict the impacts of a widespread utility interruption is the The Northeast Blackout of 2003, which began on Thursday, August 14, 2003, at 4:15 p.m.   A cascading electrical power failure occured throughout parts of the Northeastern and Midwestern United States and Ontario, Canada, resulting in the second most widespread power failure in history (Beatty 2006).  
</t>
  </si>
  <si>
    <t>The proxy scenario used to predict the impacts of wildfire is the April 2012 French Creek State Park fire, in which 741 acres were burned (Devlin, 2012).</t>
  </si>
  <si>
    <r>
      <rPr>
        <u/>
        <sz val="11"/>
        <color theme="1"/>
        <rFont val="Calibri"/>
        <family val="2"/>
        <scheme val="minor"/>
      </rPr>
      <t>Function 1</t>
    </r>
    <r>
      <rPr>
        <sz val="11"/>
        <color theme="1"/>
        <rFont val="Calibri"/>
        <family val="2"/>
        <scheme val="minor"/>
      </rPr>
      <t>: Determine risks to the health of the jurisdiction. Identify the potential hazards, vulnerabilities, and risks in the community that relate to the jurisdiction’s public health, medical, and mental/behavioral health systems, the relationship of those risks to human impact, interruption of public health, medical, and mental/behavioral health services, and the impact of those risks on the jurisdiction’s public health, medical, and mental/behavioral health infrastructure.</t>
    </r>
  </si>
  <si>
    <r>
      <rPr>
        <u/>
        <sz val="11"/>
        <color theme="1"/>
        <rFont val="Calibri"/>
        <family val="2"/>
        <scheme val="minor"/>
      </rPr>
      <t>Function 3</t>
    </r>
    <r>
      <rPr>
        <sz val="11"/>
        <color theme="1"/>
        <rFont val="Calibri"/>
        <family val="2"/>
        <scheme val="minor"/>
      </rPr>
      <t>: Engage with community organizations to foster public health, medical, and mental/behavioral health social networks. Engage with community organizations to foster social connections that assure public health, medical and mental/behavioral health services in a community before, during, and after an incident.</t>
    </r>
  </si>
  <si>
    <r>
      <rPr>
        <u/>
        <sz val="11"/>
        <color theme="1"/>
        <rFont val="Calibri"/>
        <family val="2"/>
        <scheme val="minor"/>
      </rPr>
      <t>Function 4</t>
    </r>
    <r>
      <rPr>
        <sz val="11"/>
        <color theme="1"/>
        <rFont val="Calibri"/>
        <family val="2"/>
        <scheme val="minor"/>
      </rPr>
      <t>: Coordinate training or guidance to ensure community engagement in preparedness efforts. Coordinate with emergency management, community organizations, businesses, and other partners to provide public health preparedness and response training or guidance to community partners for the specific risks identified in the jurisdictional risk assessment.</t>
    </r>
  </si>
  <si>
    <r>
      <rPr>
        <u/>
        <sz val="11"/>
        <color theme="1"/>
        <rFont val="Calibri"/>
        <family val="2"/>
        <scheme val="minor"/>
      </rPr>
      <t>Function 1</t>
    </r>
    <r>
      <rPr>
        <sz val="11"/>
        <color theme="1"/>
        <rFont val="Calibri"/>
        <family val="2"/>
        <scheme val="minor"/>
      </rPr>
      <t xml:space="preserve">: Identify and monitor public health, medical, and mental/behavioral health system recovery needs.  Assess the impact of an incident on the public health system in collaboration with the jurisdictional government and community and faith-based partners, in order to determine and prioritize the public health, medical, or mental/behavioral health system recovery needs. This function addresses the intent of National Health Security Strategy Outcome 8 that there should be a collaborative effort within a jurisdiction that results in the identification of public health, medical, and mental/behavioral assets, facilities, and other resources which either need to be rebuilt after an incident or which can be used to guide post-incident reconstitution activities. </t>
    </r>
  </si>
  <si>
    <r>
      <rPr>
        <u/>
        <sz val="11"/>
        <color theme="1"/>
        <rFont val="Calibri"/>
        <family val="2"/>
        <scheme val="minor"/>
      </rPr>
      <t>Function 5</t>
    </r>
    <r>
      <rPr>
        <sz val="11"/>
        <color theme="1"/>
        <rFont val="Calibri"/>
        <family val="2"/>
        <scheme val="minor"/>
      </rPr>
      <t>: Demobilize and evaluate public health emergency operations. Release and return resources that are no longer required by the event or incident to their pre-ready state and conduct an assessment of the efforts, resources, actions, leadership, coordination, and communication utilized during the incident for the purpose of identifying and implementing continuous improvement activities.</t>
    </r>
  </si>
  <si>
    <r>
      <rPr>
        <u/>
        <sz val="11"/>
        <color theme="1"/>
        <rFont val="Calibri"/>
        <family val="2"/>
        <scheme val="minor"/>
      </rPr>
      <t>Function 3</t>
    </r>
    <r>
      <rPr>
        <sz val="11"/>
        <color theme="1"/>
        <rFont val="Calibri"/>
        <family val="2"/>
        <scheme val="minor"/>
      </rPr>
      <t>: Exchange information to determine a common operating picture. Share information (both send and receive) within the public health agency, with other identified intra-jurisdictional stakeholders, and with identified inter-jurisdictional stakeholders, following available national standards for data vocabulary, storage, transport, security, and accessibility.</t>
    </r>
  </si>
  <si>
    <t>Medical Countermeasure Dispensing</t>
  </si>
  <si>
    <t>Medical Materiel Management and Distribution</t>
  </si>
  <si>
    <r>
      <rPr>
        <u/>
        <sz val="11"/>
        <color theme="1"/>
        <rFont val="Calibri"/>
        <family val="2"/>
        <scheme val="minor"/>
      </rPr>
      <t>Function 3</t>
    </r>
    <r>
      <rPr>
        <sz val="11"/>
        <color theme="1"/>
        <rFont val="Calibri"/>
        <family val="2"/>
        <scheme val="minor"/>
      </rPr>
      <t>: Support jurisdictional medical surge operations.  In conjunction with healthcare coalitions and response partners, coordinate healthcare resources in conjunction with response partners, including access to care and medical service, and the tracking of patients, medical staff, equipment and supplies (from intra or interstate and federal partners, if necessary) in quantities necessary to support medical response operations.</t>
    </r>
  </si>
  <si>
    <r>
      <rPr>
        <u/>
        <sz val="11"/>
        <color theme="1"/>
        <rFont val="Calibri"/>
        <family val="2"/>
        <scheme val="minor"/>
      </rPr>
      <t>Function 1</t>
    </r>
    <r>
      <rPr>
        <sz val="11"/>
        <color theme="1"/>
        <rFont val="Calibri"/>
        <family val="2"/>
        <scheme val="minor"/>
      </rPr>
      <t>: Engage partners and identify factors that impact non-pharmaceutical interventions.  Identify and engage with health partners, government agencies, and community sectors (e.g., education, social services, faith-based, and business/industry) to identify the community factors that affect the ability to recommend and implement non-pharmaceutical interventions.</t>
    </r>
  </si>
  <si>
    <r>
      <rPr>
        <u/>
        <sz val="11"/>
        <color theme="1"/>
        <rFont val="Calibri"/>
        <family val="2"/>
        <scheme val="minor"/>
      </rPr>
      <t>Function 3</t>
    </r>
    <r>
      <rPr>
        <sz val="11"/>
        <color theme="1"/>
        <rFont val="Calibri"/>
        <family val="2"/>
        <scheme val="minor"/>
      </rPr>
      <t>: Implement non-pharmaceutical interventions.  Coordinate with health partners, government agencies, community sectors (e.g., education, social services, faith-based, and business), and jurisdictional authorities (e.g., law enforcement, jurisdictional officials, and transportation) to make operational, and if necessary, enforce, the recommended non-pharmaceutical intervention(s).</t>
    </r>
  </si>
  <si>
    <r>
      <rPr>
        <u/>
        <sz val="11"/>
        <color theme="1"/>
        <rFont val="Calibri"/>
        <family val="2"/>
        <scheme val="minor"/>
      </rPr>
      <t>Function 5</t>
    </r>
    <r>
      <rPr>
        <sz val="11"/>
        <color theme="1"/>
        <rFont val="Calibri"/>
        <family val="2"/>
        <scheme val="minor"/>
      </rPr>
      <t>: Report results.  Provide notification of laboratory results and send laboratory data to public health officials, healthcare providers, and other institutions, agencies, or persons as permitted by all applicable laws, rules, and regulations.</t>
    </r>
  </si>
  <si>
    <t>Public Health Surveillance and Epidemiologic Investigation</t>
  </si>
  <si>
    <t>Public Health Surveillance and Epidemiologic Investigation Score</t>
  </si>
  <si>
    <r>
      <rPr>
        <u/>
        <sz val="11"/>
        <color theme="1"/>
        <rFont val="Calibri"/>
        <family val="2"/>
        <scheme val="minor"/>
      </rPr>
      <t>Function 1</t>
    </r>
    <r>
      <rPr>
        <sz val="11"/>
        <color theme="1"/>
        <rFont val="Calibri"/>
        <family val="2"/>
        <scheme val="minor"/>
      </rPr>
      <t>: Identify responder safety and health risks.  Assist in the identification of the medical and mental/behavioral health risks (routine and incident-specific) to responders and communicate this information prior to, during, and after an incident.</t>
    </r>
  </si>
  <si>
    <r>
      <rPr>
        <u/>
        <sz val="11"/>
        <color theme="1"/>
        <rFont val="Calibri"/>
        <family val="2"/>
        <scheme val="minor"/>
      </rPr>
      <t>Function 3</t>
    </r>
    <r>
      <rPr>
        <sz val="11"/>
        <color theme="1"/>
        <rFont val="Calibri"/>
        <family val="2"/>
        <scheme val="minor"/>
      </rPr>
      <t>: Organize, assemble, and dispatch volunteers.  Coordinate the assignment of public health agency volunteers to public health, medical, mental/behavioral health, and non-specialized tasks as directed by the incident, including the integration of inter-jurisdictional (e.g., cross-border or federal) volunteer response teams into the jurisdictional public health agency’s response efforts.</t>
    </r>
  </si>
  <si>
    <t>Percent of Population with an Ambulatory Disability:</t>
  </si>
  <si>
    <t>US Census ACS: Total civilian noninstitutionalized population 5 years and over with an ambulatory difficulty</t>
  </si>
  <si>
    <t>Percent of Population Below Poverty Level:</t>
  </si>
  <si>
    <t>LPHA</t>
  </si>
  <si>
    <t>US Census ACS: Total civilian noninstitutionalized population with a hearing difficulty  (Might not have single county, but will have a group of counties.)</t>
  </si>
  <si>
    <t xml:space="preserve"> </t>
  </si>
  <si>
    <t>Population of Largest City or Population Center (census, american factfinder) :</t>
  </si>
  <si>
    <t>Population Density of Largest City (per sq mile), (usa.com) :</t>
  </si>
  <si>
    <t>Percent of region's businesses located within 10 miles of a nuclear reactor (mapping tools) ?</t>
  </si>
  <si>
    <t>Population within 10 Miles of a Nuclear Reactor (mapping tools) :</t>
  </si>
  <si>
    <t>Pharmacists Within 10 Miles of a Nuclear Reactor (Prof. Registration) :</t>
  </si>
  <si>
    <t>PCPs Within 10 Miles of a Nuclear Reactor (Prof. Registration) :</t>
  </si>
  <si>
    <t>Morgue Units located Within 10 Miles of a Nuclear Reactor (Coroner/ME) :</t>
  </si>
  <si>
    <t>Percent Under Age 40 :</t>
  </si>
  <si>
    <t>Total Housing Units :</t>
  </si>
  <si>
    <t>Percent Using Well Water :</t>
  </si>
  <si>
    <t xml:space="preserve">
</t>
  </si>
  <si>
    <t>MHA Capacity Survey (Hospital Morgue Capacity) and MO Funeral Directors and Embalmers Association (2020 survey).</t>
  </si>
  <si>
    <t>Bureau of Health Care Analysis and Data Dissemination (BHCADD)</t>
  </si>
  <si>
    <t>WebSurv/EpiTrax  (LPHA or DHSS can calculate) https://health.mo.gov/living/healthcondiseases/communicable/communicabledisease/pdf/BCDCP_district_map.pdf</t>
  </si>
  <si>
    <t>www.city-data.com</t>
  </si>
  <si>
    <t>www.worldpopulationreview.com</t>
  </si>
  <si>
    <t xml:space="preserve">Office of Primary Care and Rural Health, DHSS, Primary Care Association, CMS medicare enrollment (office visits per day) </t>
  </si>
  <si>
    <t>DHSS, Bureau of Hospital Standards, Time Critical Diagnosis (TCD) Program</t>
  </si>
  <si>
    <r>
      <t>Overall Adjusted Risk = Overall Risk × ((At-Risk Populations Score / 4) + 1</t>
    </r>
    <r>
      <rPr>
        <sz val="9.35"/>
        <color theme="1"/>
        <rFont val="Calibri"/>
        <family val="2"/>
      </rPr>
      <t>)</t>
    </r>
  </si>
  <si>
    <r>
      <t>Public Health Adjusted Risk = Public Health Risk × ((At-Risk Populations Score / 4) + 1</t>
    </r>
    <r>
      <rPr>
        <sz val="9.35"/>
        <color theme="1"/>
        <rFont val="Calibri"/>
        <family val="2"/>
      </rPr>
      <t>)</t>
    </r>
  </si>
  <si>
    <r>
      <t>Healthcare Adjusted Risk = Healthcare Risk × ((At-Risk Populations Score / 4) + 1</t>
    </r>
    <r>
      <rPr>
        <sz val="9.35"/>
        <color theme="1"/>
        <rFont val="Calibri"/>
        <family val="2"/>
      </rPr>
      <t>)</t>
    </r>
  </si>
  <si>
    <t>graph with 1 to 4 severity level, all 5 impact areas (human, healthcare services, inpatient healthcare facility infrastructure, community, public health service)</t>
  </si>
  <si>
    <t>all data summary compiled</t>
  </si>
  <si>
    <t>Summary of all scores by event, 1 - 4 scoring</t>
  </si>
  <si>
    <t>Generates score to allow planners to identify hazards that may require additional preparedness efforts, especially for degree of risk, ranking order highest to lowest</t>
  </si>
  <si>
    <t>Both domains: includes severity, risk, adjusted risk, preparedness, planning priority</t>
  </si>
  <si>
    <t xml:space="preserve">Adjusted risk score reflects contribution of additional planning requirements for at-risk or vulnerable populations.  </t>
  </si>
  <si>
    <t xml:space="preserve">5 Domains </t>
  </si>
  <si>
    <t xml:space="preserve">4 Impact Areas:  Human Impact, Healthcare Service Impact, Inpatient Healthcare Facility Infrastructure Impact, Public Health Service Impact </t>
  </si>
  <si>
    <t xml:space="preserve">Unique Characteristics:  Housing Units, Well Water, Largest Population Centers, Largest Hospitals, Proximity to Nuclear Plant, College Campuses, Terrorism Targets    </t>
  </si>
  <si>
    <t>Assessment of PHEP Capabilities</t>
  </si>
  <si>
    <t>Assessment of HPP Capabilities</t>
  </si>
  <si>
    <t>A 1991 Missouri State Emergency Management Agency (SEMA) and FEMA report estimates damages from a 7.6 magnitude NMSZ earthquake to the Bootheel counties of Mississippi, New Madrid and Pemiscot would be 0.2-2% of their population killed, 1-10% of their population seriously injured, 10% of their buildings collapsed and 30% of their buildings receiving severe structural damage. For Scott, Stoddard and Dunklin counties the percentage estimates are 0.1-1% killed, 0.5-5% seriously injured, 5% of structures collapsed and 20% with severe structural damage. For Butler, Bollinger, Cape Girardeau, Perry, St. Louis (including the city), Lincoln, Pike, Marion and Lewis Counties the estimates are 0.02- 0.2% killed, 0.1-1% seriously injured, 1% building collapses and 10% with severe structural damage.                                      https://dnr.mo.gov/land-geology/hazards/earthquakes/science/facts-new-madrid-seismic-zone</t>
  </si>
  <si>
    <t>https://www.fema.gov/emergency-managers/practitioners/resilience-analysis-and-planning-tool</t>
  </si>
  <si>
    <t>FEMA Resilience Analysis and Planning Tool (RAPT)</t>
  </si>
  <si>
    <t>DHSS</t>
  </si>
  <si>
    <t>RAPT</t>
  </si>
  <si>
    <t>It is assumed that the number of staffed beds is reduced because 2% of providers are unable to report to work due to illness, based upon the attack rate in Sverdlovsk after the 1979 accidental weaponized anthrax release (Meselson et al., 1994).   Pharmacies may be required to dispense countermeasures directly.  It is assumed that 1 pharmacist can fill 480 drug orders per day (3 minutes each), and that 25,727 drug orders will be required, based on the number exposed (Department of Homeland Security, 2006).  The incubation period has a range of about 30 days (Meselson et al., 1994)</t>
  </si>
  <si>
    <t xml:space="preserve">No trauma cases. </t>
  </si>
  <si>
    <t>25,727 x 0.01 = 257, 257 x 0.7 = 180</t>
  </si>
  <si>
    <t xml:space="preserve">In the National Planning Scenario, 1,000 will seek shelter and require decontamination (Department of Homeland Security, 2006). </t>
  </si>
  <si>
    <t>1029 untreated fatalities/30 days</t>
  </si>
  <si>
    <t>257 x 0.3 / 30 days</t>
  </si>
  <si>
    <t>257/30 days</t>
  </si>
  <si>
    <t>25,727 x 2 / 30 days</t>
  </si>
  <si>
    <t>In the SCC Planning Scenario, it is predicted that 25,727 people will be exposed. It is assumed that about 1% of those exposed will seek care (257). It is assumed that about double that number – including many worried well – will want to meet with a PCP for prophylactic antibiotics or follow-up care over 1 month.</t>
  </si>
  <si>
    <t>In the SCC Planning Scenario, 1,029 untreated fatalities are predicted.  The incubation period has a range of about 30 days.</t>
  </si>
  <si>
    <t>11,511 FA population at busiest time + (2,841 x 5) = 11,511 + 14,205 = 25,727 people exposed</t>
  </si>
  <si>
    <t>150 PCPs x 0.02 = 3</t>
  </si>
  <si>
    <t>89 ED Beds x 0.02 = 1.78, rounded to 2</t>
  </si>
  <si>
    <t>920 Hospital Beds x 0.02 = 18</t>
  </si>
  <si>
    <t xml:space="preserve">The proxy scenario used to predict the impacts of a bioterrorism incident is the St. Charles County (SCC) Planning Scenario: "Family Arena Biological Attack - Aerosol Anthrax." In the scenario, a single aerosol anthrax attack is delivered by a truck using a concealed improvised spraying device to the Family Arena on the day of a sold-out concert. Expected attendance is 11,522, including staff working at the Family Arena. The surrounding residential population density per square mile is 2,841. It is assumed this incident will spread over a five-mile radius, resulting in a residential population density of 14,205. Anthrax spored delivered by aerosol delivery result in inhalation anthrax, which develops when the bacterial organism, Bacillus anthracis, is inhaled into the lungs. A progressive infection follows. </t>
  </si>
  <si>
    <t xml:space="preserve">In the SCC Planning Scenario, it is predicted that 25,727 people will be exposed, based on the population of the Family Arena at its busiest time (11,511) and a surrounding residential population density of 2,841 per square mile (5 square miles = 14,205). It is assumed that about 1% of those exposed will seek care (257), and that 30% of those will be transported by EMS. The incubation period has a range of about 30 days (Meselson et al., 1994). </t>
  </si>
  <si>
    <t xml:space="preserve">In the SCC Planning Scenario, it is predicted that 25,727 people will be exposed, based on the population of the Family Arena at its busiest time (11,511) and a surrounding residential population density of 2,841 per square mile (5 square miles = 14,205). It is assumed that about 1% of those exposed will seek care (257). The incubation period has a range of about 30 days (Meselson et al., 1994). </t>
  </si>
  <si>
    <t xml:space="preserve"> It is assumed that the number of staffed beds is reduced because 2% of providers are unable to report to work due to illness, based upon the attack rate in Sverdlovsk after the 1979 accidental weaponized anthrax release (Meselson et al., 1994).  In the SCC Planning Scenario, “many” are predicted to require advanced critical care due to inhalational anthrax.  In Sverldlovsk, 66 patients who died and eleven survivors were hospitalized, for an average of two days and three weeks, respectively (Meselson et al., 1994).  It is assumed that the same ratio of fatalities to survivors is expected, so 13,208 fatalities are expected to require hospitalization for 2 days (Department of Homeland Security, 2006), and 2,201 survivors are expected to require  hospitalization for 3 weeks.  The incubation period has a range of about 30 days (Meselson et al., 1994)</t>
  </si>
  <si>
    <t>686 x 0.02 = 13.72 = 14</t>
  </si>
  <si>
    <t>25727/480/30 = 1.78 = 2</t>
  </si>
  <si>
    <t>670 x 0.02 = 13</t>
  </si>
  <si>
    <t>25727 x 40 / 250 = 4,116</t>
  </si>
  <si>
    <t>It is assumed that the number of  providers is reduced  by 2% due to illness, based upon the attack rate in Sverdlovsk after the 1979 accidental weaponized anthrax release (Meselson et al., 1994).   In general, 40 providers are needed per 250 disaster victims (Landesman, 2005).   There are predicted to be 25,727 disaster victims / people exposed (SCC Planning Scenario).</t>
  </si>
  <si>
    <t>217.17 x 0.02 = 4</t>
  </si>
  <si>
    <t>It is assumed that 2% of providers are unable to report to work due to illness, based upon the attack rate in Sverdlovsk after an accidental weaponized anthrax release (Meselson et al., 1994).   In the SCC Planning Scenario, “many” are predicted to require advanced critical care due to inhalational anthrax (Department of Homeland Security, 2006).  In Sverldlovsk, 66 patients who died and eleven survivors were hospitalized, for an average of two days and three weeks, respectively (Meselson et al., 1994).  It is assumed that the same ratio of fatalities to survivors is expected, so 13,208 fatalities are expected to require hospitalization for 2 days (Department of Homeland Security, 2006), and 2,201 survivors are expected to require  hospitalization for 3 weeks.  The incubation period has a range of about 30 days (Meselson et al., 1994)</t>
  </si>
  <si>
    <t xml:space="preserve">In the SCC Planning Scenario, it is predicted that 25,727 people will be exposed (Department of Homeland Security, 2006).  "Thousands" will seek care at hospitals.  It is assumed that about 1% of those exposed will seek care (257).  It is assumed that 70% will self-transport the the hospital and possibly require decontamination. </t>
  </si>
  <si>
    <t>25727 x 0.30 = 7,718</t>
  </si>
  <si>
    <t>In the National Planning Scenario, over 100,000 people are expected to self-evacuate (Department of Homeland Security, 2006).</t>
  </si>
  <si>
    <t>In the SCC Planning Scenario, a specially fitted flat-bed truck on a busy street in late rush hour traffic turns on a concealed improvised spraying device with a conventional nozzle that rapidly aerosolizes approximately 100 liters of wet-fill Bacillus anthracis (anthrax) slurry (Department of Homeland Security, 2006).   The line source is 1000 meters (1.64 miles).  In Sverdlovsk, people were affected as far as 4.2 km downwind of the release (2.61 miles).  This 1.64 x 2.61 mile area is equivalent to a circle with a radius of about 1.17 miles.</t>
  </si>
  <si>
    <t>In the SCC Planning Scenario, clinicians will report cases to health departments of severe respiratory symptoms associated with blood cultures positive for gram positive rods.   15,409 patients are expected to develop severe respiratory symptoms (Department of Homeland Security, 2006), over 34 days.  The incubation period will range from 9 to 43 days (Meselson et al., 1994).</t>
  </si>
  <si>
    <t>25,727 x 34 days = 757</t>
  </si>
  <si>
    <t>25,727 x 0.003 = 77.18</t>
  </si>
  <si>
    <t>The response plan for an anthrax release is to provide prophylaxis tor the entire population.</t>
  </si>
  <si>
    <t xml:space="preserve">According to the SCC Planning Scenario, public health laboratory analyses will be required in order to determine the implicated anthrax strain (Department of Homeland Security, 2006).  </t>
  </si>
  <si>
    <t>The National Planning Scenario predicts 121 deaths per 100,000 during the peak week, or about .017% of the population per day (Department of Homeland Security, 2006). 0.017% of SCC population = 69.05</t>
  </si>
  <si>
    <t>406,204 x 0.00017 = 69.05</t>
  </si>
  <si>
    <t>150 x 0.4 = 60</t>
  </si>
  <si>
    <t>89 x 0.4 = 36</t>
  </si>
  <si>
    <t xml:space="preserve">A total of 15 fatalities resulted from drowning swept away in cars and electrocution; 7 of the 15 deaths occurred in Pulaski County.  </t>
  </si>
  <si>
    <t>How is 250 determined?</t>
  </si>
  <si>
    <t>% of population using well water</t>
  </si>
  <si>
    <t>methodology for calculation?</t>
  </si>
  <si>
    <t>Demand is expected to increase 50% due to the need for environmental assessment, public information, and surveillance.</t>
  </si>
  <si>
    <t>2007 Virginia Tech Shooting</t>
  </si>
  <si>
    <t>Sarin attack in ventilation system (NPS)</t>
  </si>
  <si>
    <t>1995 Oklahoma City Bombing</t>
  </si>
  <si>
    <t>1963 PA drought</t>
  </si>
  <si>
    <t>New Madrid Seismic Zone Earthquake in SE MO</t>
  </si>
  <si>
    <t>Dec. 2015 flooding in South Central MO (Pulaski Co.)</t>
  </si>
  <si>
    <t>2005 Chlorine spill (train incident) in Graniteville, SC</t>
  </si>
  <si>
    <t>2011 Fukushima Daiichi Nuclear Disaster</t>
  </si>
  <si>
    <t>"Dirty Bomb" NPS, truck bomb in moderate to large city</t>
  </si>
  <si>
    <t>1995 Chicago Heat Wave</t>
  </si>
  <si>
    <t>2003 Northeast Blackout (Northeast and Midwestern US and Ontario, Canada)</t>
  </si>
  <si>
    <t>2010 North American Blizzards</t>
  </si>
  <si>
    <t>Hazard-Related Increase in Mortality (At Peak):</t>
  </si>
  <si>
    <t>narrative does not match 1 bldg with population</t>
  </si>
  <si>
    <t xml:space="preserve">Some interruption is predicted because transportation route closures will prevent personnel from getting to work.  A 10% increased demand for personnel is expected due to the need to conduct environmental assessment and surveillance. </t>
  </si>
  <si>
    <t xml:space="preserve">During the Ferguson unrest, 14 people were injured on Aug. 12, 2014.  7 people were transported to hospitals (2 admitted, 5 releasted.  61 arrests were made in Ferguson that night; 21 arrested in nearby St. Louis.  </t>
  </si>
  <si>
    <t xml:space="preserve">During one day following the incident, 7 people were transported to area hospitals (2 admitted, 5 released).  </t>
  </si>
  <si>
    <t xml:space="preserve">Unaware of any loss of pharmacies during the Civil Unrest. </t>
  </si>
  <si>
    <t xml:space="preserve">There is an estimate 10% increase in providers needed for mental health services.  </t>
  </si>
  <si>
    <t>Hospitals remained open during the Ferguson Unrest.</t>
  </si>
  <si>
    <t xml:space="preserve">Short term power outages were an issue, but no long term impacts.  If impacts expected, increase % of population with outages. </t>
  </si>
  <si>
    <t>Ferguson Unrest/Protests August 2014</t>
  </si>
  <si>
    <t>During one day following the incident, 7 people were transported to area hospitals (2 admitted, 5 released).  7/county population = multiplier for hazard related increase in trauma injuries.</t>
  </si>
  <si>
    <t>Hospitals remained open during the Civil Unrest.  No decrease in bed availability.</t>
  </si>
  <si>
    <t xml:space="preserve">During the Ferguson Unrest, hospitals remained open. </t>
  </si>
  <si>
    <t xml:space="preserve">                </t>
  </si>
  <si>
    <t>2005 Botnet attack at Seattle Northwest Hospital (Researching MO Incident, St. Francis Hospital)</t>
  </si>
  <si>
    <t>https://doh.sd.gov/documents/Providers/Prepare/Joplin.pdf</t>
  </si>
  <si>
    <t xml:space="preserve">Freeman Health and the Alternate Care Site (ACS) reported 1000 patients the day of the tornado (500 patients within a 6 hour period), performing 22 surgeries.  </t>
  </si>
  <si>
    <t>25% increase in primary care office visits.</t>
  </si>
  <si>
    <t>150 (baseline x 25% increase)</t>
  </si>
  <si>
    <t xml:space="preserve">22 trauma surgeries were performed in the first 24 hours.  </t>
  </si>
  <si>
    <t>It was estimated that 90% of businesses sustained damage or lost power, so it is estimated that 90% of doctor’s offices were closed.</t>
  </si>
  <si>
    <t>https://www.mercy.net/about/history/joplin/joplin-tornado/</t>
  </si>
  <si>
    <t>https://pubmed.ncbi.nlm.nih.gov/23264280/</t>
  </si>
  <si>
    <t>90% of businesses sustained damage or lost power, so it is estimated that 90% of pharmacies were closed.  Excess demand for pharmaceuticals is estimated due to prescribed antibiotics and pain killers.  People are expected to lose medications during the tornado, and will need to have prescriptions refilled.</t>
  </si>
  <si>
    <t>Loss of 1 Medical Center OR</t>
  </si>
  <si>
    <t>160 fatalities resulted from the tornado.</t>
  </si>
  <si>
    <t xml:space="preserve">Approx 250 of 1000 were admitted.  </t>
  </si>
  <si>
    <t xml:space="preserve">Some loss of staff (10) per shift due to the impacts at the hospital. </t>
  </si>
  <si>
    <t xml:space="preserve">183 patients in the building at that time in this 367-bed Medical Center. </t>
  </si>
  <si>
    <t>183 patients in the building at that time in this 367-bed Medical Center.  Does not include nursing home beds.</t>
  </si>
  <si>
    <t>Facility was destroyed.  Generator/Fuel to support ACS (60 bed)</t>
  </si>
  <si>
    <t>Some sewage treatment centers use electricity to move sewage through system; will become backed up after extended power outage.  Power outage had impact on 90% of the population.</t>
  </si>
  <si>
    <t>enter whole number</t>
  </si>
  <si>
    <t xml:space="preserve">One substation was demolished and other distribution infrastructure damaged. Ten transmission lines, 135 transmission poles, 3,850 distribution poles, 100 miles of line, thousands of transformers and even underground equipment were destroyed.  Approximately 20,000 people (7500 residences) were left without power; taking 10-12 days to get it restored.  </t>
  </si>
  <si>
    <t>https://www.ecmag.com/magazine/articles/article-detail/miscellaneous-restoring-power-wake-joplin-disaster</t>
  </si>
  <si>
    <t xml:space="preserve">Transportation routes were closed for weeks.  </t>
  </si>
  <si>
    <t xml:space="preserve">After the tornado, 90% of businesses were affected. </t>
  </si>
  <si>
    <t xml:space="preserve">7,500 dwellings were affected; 4,000 destroyed.  After the tornado, approximately 9200 people were displaced. 1308 pets were left homeless; 529 later reunited with owners  (Joplin Globe, May 2021). </t>
  </si>
  <si>
    <t>https://www.joplinglobe.com/news/local_news/joplin-tornado-by-the-numbers/article_5bd98ce2-ba68-11eb-bfe1-9fb2325fe9a0.html</t>
  </si>
  <si>
    <t>https://www.nist.gov/system/files/documents/2017/05/09/NCSTACJoplin110411.pdf</t>
  </si>
  <si>
    <t>Debris and damaged homes/buildings had to be assessed for asbestos and other contaminants.  22 miles long (6 miles in Joplin) x 1 mile wide; 25 mile radius.</t>
  </si>
  <si>
    <t>Additional personnel are expected (50%) to be required to conduct environmental health assessment and surveillance, provide public information, provide immunizations, staff shelters with medical needs, etc.</t>
  </si>
  <si>
    <t>Surveillance will be required (increase of 50%) to monitor casualty counts, hospitalizations, mental health sequelae, skin and soft tissue infections, fractures, etc.</t>
  </si>
  <si>
    <t xml:space="preserve">After the tornado, approximately 9200 people were displaced. 1308 pets were left homeless; 529 later reunited with owners  (Joplin Globe, May 2021). </t>
  </si>
  <si>
    <t>Include tetanus.</t>
  </si>
  <si>
    <t xml:space="preserve">The demand for laboratory services is expected (50%) to increase due to testing of clinical specimens and environmental specimens. </t>
  </si>
  <si>
    <t>Pandemic Influenza (NPS, 121 deaths per 100,000)</t>
  </si>
  <si>
    <t>141 (Hazard-Related Increase in Mortality per Day) x 0.5 = 71</t>
  </si>
  <si>
    <t xml:space="preserve">50% increase in EMS transports expected.  </t>
  </si>
  <si>
    <t>Aerosolized Anthrax release (largest public building/space in county based on 2006 National Planning Scenario *NPS*)</t>
  </si>
  <si>
    <t>May 22, 2011 EF5 tornado Joplin, MO</t>
  </si>
  <si>
    <t>J202 x .50; use 50% increase in demand for pharmacists</t>
  </si>
  <si>
    <t xml:space="preserve">Public information would be distributed regarding mental health services, signs and symptoms of radiation exposure, food and water contamination, appropriate use of KI, evacuation, shelters, etc.  It is predicted that four full-time employees would be necessary for communication. Use 150 hours.  </t>
  </si>
  <si>
    <t>Use this formula when radiation is a threat</t>
  </si>
  <si>
    <t>Employees of the facility who are injured may require decontamination, though they are likely to receive decontamination on site.  5 persons requiring decon.  Use 5.</t>
  </si>
  <si>
    <t xml:space="preserve">Other power plants on the same grid may not be able to compensate for the loss of the nuclear reactor's generating capacity.  The area will most likely experience rolling brown-outs. Use 3 hours for loss of electricity.  </t>
  </si>
  <si>
    <t>Use 3</t>
  </si>
  <si>
    <t>During the outbreak in central Ohio no deaths were reported.  Approximately one to three out of every 1,000 children with measles will die from respiratory and neurologic complications.</t>
  </si>
  <si>
    <t xml:space="preserve">Hospitalized patients with measles require airborne precautions.  An increase in the use of personal protective equipment (PPE) can be expected.  </t>
  </si>
  <si>
    <t xml:space="preserve">Health communication during measles cases/outbreak investigation is critically important.  Health communications are typically a joint effort of the LPHA and DHSS.  Health communication during measles cases/outbreak investigation is critically important.  Health communications are typically a joint effort of the LPHA and DHSS.  The outbreak in central Ohio made national news throughout the course of the outbreak.  The local health department developed and maintained a dashboard specific to the outbreak.        </t>
  </si>
  <si>
    <t xml:space="preserve">During the outbreak in central Ohio, 36 children were hopsitalized.  Patients hospitalized with measles require implementation of airborne and standard precautions.  Airborne precautions include isolation in a negative air pressure isolation room, also known as airborne infection isolation (AII) or airborne infection isolation room (AIIR). In clinic settings where a negative air pressure isolation room may not be available, a single room with the door closed and away from susceptible contacts may be used when evaluating persons in whom measles is suspected.  </t>
  </si>
  <si>
    <t>Healthcare workers without presumptive evidence of immunity should be offered the first dose of MMR vaccine and excluded from work from day 5 after the first exposure to day 21 following after their last exposure.  Therefore, exposed workers without evidence of immunity to measles would be excluded from work for up to 16 days.  Healthcare workers with active measles will be excluded for 4 days after the rash appears.  Therefore, could be excluded for over 10 days depending on illness.  For purpose of determine hazard related loss: 3% of vaccinated population does not have immunity.  Assuming most all health care workers are vaccinated (3% x Baseline PCP).</t>
  </si>
  <si>
    <t xml:space="preserve">During the outbreak in central Ohio, 36 children were hopitalized.  Patients hospitalized with measles require implementation of airborne and standard precautions.  Airborne precautions include isolation in a negative air pressure isolation room, also known as airborne infection isolation (AII) or airborne infection isolation room (AIIR). In clinic settings where a negative air pressure isolation room may not be available, a single room with the door closed and away from susceptible contacts may be used when evaluating persons in whom measles is suspected.  </t>
  </si>
  <si>
    <t>For purpose of determine hazard related loss: 3% of vaccinated population does not have immunity.  Assuming most all health care workers are vaccinated (3% x Baseline PCP).</t>
  </si>
  <si>
    <t>Healthcare workers without presumptive evidence of immunity should be offered the first dose of MMR vaccine and excluded from work from day 5 after the first exposure to day 21 following after their last exposure.  Therefore, exposed workers without evidence of immunity to measles would be excluded from work for up to 16 days.  Healthcare workers with active measles will be excluded for 4 days after the rash appears.  Therefore, could be excluded for over 10 days dependin on illness.  For purpose of determine hazard related loss: 3% of vaccinated population does not have immunity.  Assuming most all health care workers are vaccinated (3% x Baseline PCP).</t>
  </si>
  <si>
    <t>Measles case investigations are very time consuming, resource intensive, and costly.  A measles outbreak will require response from most available staff at a local public health agency, and support from DHSS staff.  In additional to local and state public health resources, the CDC sent a team of six staff to central Ohio to assist in the outbreak response.  Measles outbreak investigations are estimated to cost approximately $4,000 per day.     For purpose of determine hazard related loss: 3% of vaccinated population does not have immunity.  Assuming most all health care workers are vaccinated (3% x Baseline PCP).</t>
  </si>
  <si>
    <t xml:space="preserve"> During a case investigation/outbreak of measles, each case required a thorough public health investigation.  Enhanced surveillance and public awareness increases the number of “possible” measles cases reported by healthcare providers, schools, daycares, and the public also must be promptly and thoroughly investigated by public health.  The number of possible case investigations can exceed the number of confirmed cases.   For measles, every 1 case has the potential to infect 12 -18 persons  (total cases x 12 potential persons infected).</t>
  </si>
  <si>
    <t>2022 measles outbreak in central Ohio</t>
  </si>
  <si>
    <t>150 baseline PCP's x .03 unvaccinated = 5</t>
  </si>
  <si>
    <t xml:space="preserve">divided by 20 (approx. number of working days in 1 month) </t>
  </si>
  <si>
    <t>Based on population (incident .00003971% of population affected / 30 day = 1.2 per day increase)</t>
  </si>
  <si>
    <t xml:space="preserve">During the central Ohio outbreak, 42% of cases were hospitalized.   The approximate population was 906,528 persons (.00003971% affected).  In total, 3.97 per 100,000 residents were hospitalized.  It shold be noted, that all cases and subsequent hospitalizations were among children; the majority likely &lt; 2 years of age.  
</t>
  </si>
  <si>
    <t xml:space="preserve"> For purpose of determine hazard related loss: 3% of vaccinated population does not have immunity.  Assuming most all health care workers are vaccinated (3% x Baseline PCP).</t>
  </si>
  <si>
    <t>686 x .03% = 20.58</t>
  </si>
  <si>
    <t>670 x .03 = 20.1</t>
  </si>
  <si>
    <t xml:space="preserve">217 x .03 = 6.51 </t>
  </si>
  <si>
    <t>72 x .03 = 2</t>
  </si>
  <si>
    <t># based on scenario; CDC sent a team of 6</t>
  </si>
  <si>
    <t xml:space="preserve">15 x 12 = 180 </t>
  </si>
  <si>
    <t xml:space="preserve">The MMR vaccine, if administered within 72 hours of initial measles exposure, and immunoglobulin (IG), if administered within six days of exposure, may provide some protection or modify the clinical course of disease among susceptible persons.  The prompt identification, evaluation of exposures, evaluation of evidence of immunity, and subsequent post exposure with MMR and IG persons without evidence of immunity is warranted.   (Based on 85 of cases, all will receive treatment) 85 / 906,528 = .00009376% of population treated.  </t>
  </si>
  <si>
    <t>Laboratory confirmation is essential for all sporadic measles cases and all outbreaks. Detection of measles-specific IgM antibody in serum and measles RNA by real-time polymerase chain reaction (RT-PCR) in a throat swab (or nasopharyngeal swab) are the most common methods for confirming measles infection.  Testing for measles is available through public health at the Missouri State Public Health Laboratory (SPHL).   The IgM test is done at the SPHL the swab is sent to a Laboratory Response Network laboratory.  Coordinating the specimen kits, specimen collection, shipping through SPHL courier are often tasks completed by the LPHAs.  Additional specimens are expected/collected.  85 cases x 12 additional potentially infected / 30 = 34 / 906,528 = .00003751% of population.</t>
  </si>
  <si>
    <t xml:space="preserve">LPHA, DHSS </t>
  </si>
  <si>
    <t xml:space="preserve">determine locally for arena, convention center, largest building </t>
  </si>
  <si>
    <t>Determined Locally.  If unknown, use 40.</t>
  </si>
  <si>
    <t>Determined Locally.  If unknown, use 7.</t>
  </si>
  <si>
    <t>https://storymaps.arcgis.com/stories/4a71c2f84c3349fcb7e4a528ac261b35</t>
  </si>
  <si>
    <t>For many of the metrics, the tool provides an option for you to enter a data range instead of an actual estimate.  This option works better if you use are using a qualitative method to estimate the impacts of the hazard.  If there is a qualitative option selected from the drop-down menu, the tool will automatically use it (instead of whatever may be entered in the space for entering quantitative data) to calculate the score for that metric.  To use the quantitative value instead, either select "Use Qualitative Value" or simply delete the entry in the qualitative cell.</t>
  </si>
  <si>
    <t xml:space="preserve">The original Public Health Risk Assessment Tool (PHRAT) was developed by the Center for Public Health Readiness and Communication (CPHRC) at the Drexel University School of Public Health.  The project was funded by the Pennsylvania Department of Health. This publication was supported by Cooperative Agreement Number 2U90TP316967–11 from the Centers for Disease Control and Prevention (CDC).  Its contents are solely the responsibility of the authors and do not represent the official views of CDC.
Authors:
Rachel Peters, MPH
Hilary Kricun, MPH
Tom Hipper, MSPH, MA
Esther Chernak, MD, MPH
The CPHRC worked with preparedness planners, public health agency representatives, and other stakeholders to complete a comprehensive public health risk assessment of the Philadelphia Metropolitan Statistical Area (MSA).  CPHRC staff built upon existing approaches to this task, using the UCLA Hazard Risk Assessment Instrument and the Kaiser Permanente Hazard and Vulnerability Analysis to develop a tool to analyze hazards with respect to their public health impact.  
</t>
  </si>
  <si>
    <t xml:space="preserve">The Missouri Department of Health and Senior Services (DHSS) and the Missouri State Emergency Management Agency (SEMA) have collaborated with Dr. Chernak and her team at Drexel University School of Public Health to update and modify this tool for use in the state of Missouri.  The Missouri Team includes:
Kay Beesley, Preparedness Planner, SEMA
Mark Pethan, Public Health Emergency Preparedness (PHEP) and Hospital Preparedness Program (HPP) Grant Coordinator, SEMA
Jessica Sexton, Planning Program Manager, SEMA
Jody Starr, Public Health Emergency Preparedness (PHEP) Grant Coordinator, DHSS
Holly Withrow, GIS Specialist, DHSS
</t>
  </si>
  <si>
    <t>Add your own hazards</t>
  </si>
  <si>
    <t>Insert LPHA Logo</t>
  </si>
  <si>
    <r>
      <rPr>
        <b/>
        <u/>
        <sz val="14"/>
        <color theme="1"/>
        <rFont val="Calibri"/>
        <family val="2"/>
        <scheme val="minor"/>
      </rPr>
      <t>How do we get started?</t>
    </r>
    <r>
      <rPr>
        <sz val="11"/>
        <color theme="1"/>
        <rFont val="Calibri"/>
        <family val="2"/>
        <scheme val="minor"/>
      </rPr>
      <t xml:space="preserve">
This workbook guides users through the MOPHRAT and produces a customized assessment of the biggest threats to public health in your jurisdiction.  The following instructions will allow users to navigate through the workbook.</t>
    </r>
    <r>
      <rPr>
        <b/>
        <i/>
        <sz val="11"/>
        <color rgb="FFFF0000"/>
        <rFont val="Calibri"/>
        <family val="2"/>
        <scheme val="minor"/>
      </rPr>
      <t xml:space="preserve">  In order for this workbook to operate correctly, macros must be enabled.  Please enable content and macros when prompted at the top of your Excel screen, and save edits as an Excel macro-enabled workbook.</t>
    </r>
    <r>
      <rPr>
        <sz val="11"/>
        <color theme="1"/>
        <rFont val="Calibri"/>
        <family val="2"/>
        <scheme val="minor"/>
      </rPr>
      <t xml:space="preserve">
</t>
    </r>
  </si>
  <si>
    <t>In the VA Tech Massacre of 2007, 17 were transported by EMS (Armstrong &amp; Frykberg, 2007).</t>
  </si>
  <si>
    <t>If you cannot find any data for a specific hazard, then you can rely on expert opinions and experience to estimate the impacts of disasters.  It is recommended that you record that the number is an estimation and the agencies involved in arriving at that estimate in the "Data Source / Explanation" space provided, for your own future reference.</t>
  </si>
  <si>
    <r>
      <t xml:space="preserve">To access these blank hazard worksheets, select any of the </t>
    </r>
    <r>
      <rPr>
        <b/>
        <sz val="11"/>
        <color rgb="FFDCCD72"/>
        <rFont val="Calibri"/>
        <family val="2"/>
        <scheme val="minor"/>
      </rPr>
      <t>yellow</t>
    </r>
    <r>
      <rPr>
        <sz val="11"/>
        <color theme="1"/>
        <rFont val="Calibri"/>
        <family val="2"/>
        <scheme val="minor"/>
      </rPr>
      <t xml:space="preserve"> buttons labeled "Additional Hazard 1" through "Additional Hazard 10" in the "Step 2. Hazard Data" box in the Main Menu.</t>
    </r>
  </si>
  <si>
    <t xml:space="preserve">Enter the name of the hazard to be analyzed in the cell labeled "Hazard Name" (cell G3).  The additional hazard will be included in all analysis graphs, charts, and summaries ONLY if something is entered into this cell.  If the cell is left blank, the hazard will not appear in the final analysis. </t>
  </si>
  <si>
    <r>
      <t>The “</t>
    </r>
    <r>
      <rPr>
        <b/>
        <sz val="11"/>
        <color theme="1"/>
        <rFont val="Calibri"/>
        <family val="2"/>
        <scheme val="minor"/>
      </rPr>
      <t>Summary of Impacts</t>
    </r>
    <r>
      <rPr>
        <sz val="11"/>
        <color theme="1"/>
        <rFont val="Calibri"/>
        <family val="2"/>
        <scheme val="minor"/>
      </rPr>
      <t xml:space="preserve">” is designed to be printed on legal-sized paper.  This sheet summarizes all of the data that has been entered for all of the hazards.  The demands and critical service interruptions summarized in this sheet can be used to develop benchmarks and directly guide preparedness planning. </t>
    </r>
  </si>
  <si>
    <r>
      <t>The "</t>
    </r>
    <r>
      <rPr>
        <b/>
        <sz val="11"/>
        <color theme="1"/>
        <rFont val="Calibri"/>
        <family val="2"/>
        <scheme val="minor"/>
      </rPr>
      <t>Severity</t>
    </r>
    <r>
      <rPr>
        <sz val="11"/>
        <color theme="1"/>
        <rFont val="Calibri"/>
        <family val="2"/>
        <scheme val="minor"/>
      </rPr>
      <t xml:space="preserve">" worksheet compares the severity of all hazards in each domain.  By examining these graphs, you can determine which hazards have the greatest impact on each of the five domains.        </t>
    </r>
  </si>
  <si>
    <r>
      <t>The “</t>
    </r>
    <r>
      <rPr>
        <b/>
        <sz val="11"/>
        <color theme="1"/>
        <rFont val="Calibri"/>
        <family val="2"/>
        <scheme val="minor"/>
      </rPr>
      <t>Public Health vs. Healthcare</t>
    </r>
    <r>
      <rPr>
        <sz val="11"/>
        <color theme="1"/>
        <rFont val="Calibri"/>
        <family val="2"/>
        <scheme val="minor"/>
      </rPr>
      <t xml:space="preserve">” worksheet compares the two sub-analyses: Public Health System and Healthcare System.  In this worksheet, graphs compare the three analyses for each different score, allowing you to identify hazards that have a greater effect of the healthcare system than the public health system and vice versa.        </t>
    </r>
  </si>
  <si>
    <r>
      <t xml:space="preserve">Adding Your Own Hazards
</t>
    </r>
    <r>
      <rPr>
        <sz val="11"/>
        <color theme="1"/>
        <rFont val="Calibri"/>
        <family val="2"/>
        <scheme val="minor"/>
      </rPr>
      <t>Some jurisdictions may be affected by additional hazards that were not considered as part of the Missouri-specific hazards and/or National Planning Scenarios analysis in the provided data.  The MOPHRAT includes 10 blank hazard worksheets which can be used to add additional hazards to your analysis if you choose.</t>
    </r>
  </si>
  <si>
    <r>
      <t xml:space="preserve">It is possible to use the tool without entering baseline data, if you choose to use a </t>
    </r>
    <r>
      <rPr>
        <b/>
        <sz val="11"/>
        <color theme="1"/>
        <rFont val="Calibri"/>
        <family val="2"/>
        <scheme val="minor"/>
      </rPr>
      <t>qualitative</t>
    </r>
    <r>
      <rPr>
        <sz val="11"/>
        <color theme="1"/>
        <rFont val="Calibri"/>
        <family val="2"/>
        <scheme val="minor"/>
      </rPr>
      <t xml:space="preserve"> method to estimate the impacts of various hazards.  More information about this option can be found in the "Step 2: Hazard Data" section below.  However, where data is available, it is recommended that you enter baseline data anyway, as the information will help you estimate impacts qualitatively.</t>
    </r>
  </si>
  <si>
    <r>
      <t xml:space="preserve">The tool assesses the need for plans addressing at-risk populations by examining both the special needs of at-risk populations (addressed later), and the size of these populations in your jurisdiction.  Enter this population size data in the “Baseline At-Risk Populations” worksheet.  Navigate to this sheet using the </t>
    </r>
    <r>
      <rPr>
        <b/>
        <sz val="11"/>
        <color theme="3"/>
        <rFont val="Calibri"/>
        <family val="2"/>
        <scheme val="minor"/>
      </rPr>
      <t>blue</t>
    </r>
    <r>
      <rPr>
        <sz val="11"/>
        <color theme="1"/>
        <rFont val="Calibri"/>
        <family val="2"/>
        <scheme val="minor"/>
      </rPr>
      <t xml:space="preserve"> button in the “Step 1. Baseline Data” box in the Main Menu.</t>
    </r>
  </si>
  <si>
    <r>
      <t xml:space="preserve">In order to assess the level of preparedness in the jurisdiction, the current status of the 15 Public Health Preparedness capabilities and the four Healthcare System Preparedness capabilities must be entered.  The Capabilities Planning Guide (CPG) released by the U.S. Department of Health and Human Services will help you determine the current status.  Select the appropriate status from the drop-down menu next to each function in the “Baseline Public Health Preparedness Capability Status” and "Baseline Healthcare System Preparedness Capability Status" worksheets.  Navigate to these sheets using the </t>
    </r>
    <r>
      <rPr>
        <b/>
        <sz val="11"/>
        <color theme="9" tint="-0.249977111117893"/>
        <rFont val="Calibri"/>
        <family val="2"/>
        <scheme val="minor"/>
      </rPr>
      <t>orange</t>
    </r>
    <r>
      <rPr>
        <sz val="11"/>
        <color theme="1"/>
        <rFont val="Calibri"/>
        <family val="2"/>
        <scheme val="minor"/>
      </rPr>
      <t xml:space="preserve"> buttons in the “Step 1. Baseline Data” box in the Main Menu.</t>
    </r>
  </si>
  <si>
    <r>
      <t xml:space="preserve">The MOPHRAT uses certain community characteristics to estimate the impact of specific hazard scenarios.  If you would like to change the hazard-specific estimates pre-entered into the hazard worksheets in the MOPHRAT, this worksheet does NOT need to be completed.  You may leave it blank.  However, if you would like to accept the impact estimates developed by DHSS/SEMA in the many individual hazard worksheets, data must be entered into the “Community Characteristics” worksheet.  Navigate to this sheet using the </t>
    </r>
    <r>
      <rPr>
        <b/>
        <sz val="11"/>
        <color rgb="FFFF66FF"/>
        <rFont val="Calibri"/>
        <family val="2"/>
        <scheme val="minor"/>
      </rPr>
      <t>pink</t>
    </r>
    <r>
      <rPr>
        <sz val="11"/>
        <color theme="1"/>
        <rFont val="Calibri"/>
        <family val="2"/>
        <scheme val="minor"/>
      </rPr>
      <t xml:space="preserve"> button in the “Step 1. Baseline Data” box in the Main Menu.</t>
    </r>
  </si>
  <si>
    <r>
      <rPr>
        <b/>
        <u/>
        <sz val="14"/>
        <color theme="1"/>
        <rFont val="Calibri"/>
        <family val="2"/>
        <scheme val="minor"/>
      </rPr>
      <t>Step 2: Entering Hazard Data</t>
    </r>
    <r>
      <rPr>
        <b/>
        <sz val="11"/>
        <color theme="1"/>
        <rFont val="Calibri"/>
        <family val="2"/>
        <scheme val="minor"/>
      </rPr>
      <t xml:space="preserve">
</t>
    </r>
    <r>
      <rPr>
        <sz val="11"/>
        <color theme="1"/>
        <rFont val="Calibri"/>
        <family val="2"/>
        <scheme val="minor"/>
      </rPr>
      <t xml:space="preserve">Individual worksheets for entering the specific impacts of each hazard are located in the "Step 2. Hazard Data" box in the Main Menu.  These sheets are pre-filled with data provided by DHSS/SEMA.  The MOPRHAT team made a number of assumptions about the likely impacts of hazards, based on local data from historic incidents, published literature from similar incidents in other regions, and information about local infrastructure and vulnerabilities.  These assumptions apply to jurisdictions within the state of Missouri, and should not be applied to other geographically distinct regions.  For example, the impact of a coastal storm would likely be much more severe along the Gulf Coast. </t>
    </r>
  </si>
  <si>
    <t xml:space="preserve">If you would like to reject the data and assumptions made by DHSS/SEMA and enter hazard-specific data you believe is more relevant to your unique jurisdiction, you can enter data directly into the hazard worksheets.  If you would like, space is provided to enter an explanation/justification for your estimate, or the source of your data. Entering the data's citation is important for additional iterations of your hazard analysis, so that the data can be reproduced by staff into the future.  </t>
  </si>
  <si>
    <r>
      <t>The “</t>
    </r>
    <r>
      <rPr>
        <b/>
        <sz val="11"/>
        <color theme="1"/>
        <rFont val="Calibri"/>
        <family val="2"/>
        <scheme val="minor"/>
      </rPr>
      <t>Individual Hazard Analyses</t>
    </r>
    <r>
      <rPr>
        <sz val="11"/>
        <color theme="1"/>
        <rFont val="Calibri"/>
        <family val="2"/>
        <scheme val="minor"/>
      </rPr>
      <t xml:space="preserve">” sheet is a menu that links to an in-depth analysis of each hazard, based on the information provided in the Hazard worksheets.  These analyses include a graph of the five severity domains, an assessment of the needs and the sizes of at-risk populations, and a graph of the status of each the Public Health Preparedness capabilities and Healthcare System Preparedness capabilities and its relevance to the specific hazard.  The graphs on these sheets are automatically generated, and label positions may have to be changed in order for the figures to be easily readable.  To do this, right-click on the label and select “Format Data Labels.”  These worksheets can also be accessed by clicking on the button at the bottom of each hazard worksheet.                  </t>
    </r>
  </si>
  <si>
    <r>
      <t>The “</t>
    </r>
    <r>
      <rPr>
        <b/>
        <sz val="11"/>
        <color theme="1"/>
        <rFont val="Calibri"/>
        <family val="2"/>
        <scheme val="minor"/>
      </rPr>
      <t>Adjusted Risk vs. Preparedness</t>
    </r>
    <r>
      <rPr>
        <sz val="11"/>
        <color theme="1"/>
        <rFont val="Calibri"/>
        <family val="2"/>
        <scheme val="minor"/>
      </rPr>
      <t xml:space="preserve">” sheet displays graphs of the adjusted risk and preparedness for all hazards.  All of the individual hazard worksheets must have been completed for this sheet to display correctly.  The graphs are automatically generated, and label positions may have to be changed in order for the figures to be easily readable.  To do this, right-click on the label and select “Format Data Labels.”  You may have to adjust the range of the y-axis to properly display the results.  To do this, right-click on the 
y-axis and select "Format axis." Set the Axis Options to reflect a narrow range that includes all values.        </t>
    </r>
  </si>
  <si>
    <r>
      <t>The “</t>
    </r>
    <r>
      <rPr>
        <b/>
        <sz val="11"/>
        <color theme="1"/>
        <rFont val="Calibri"/>
        <family val="2"/>
        <scheme val="minor"/>
      </rPr>
      <t>At-Risk Populations</t>
    </r>
    <r>
      <rPr>
        <sz val="11"/>
        <color theme="1"/>
        <rFont val="Calibri"/>
        <family val="2"/>
        <scheme val="minor"/>
      </rPr>
      <t xml:space="preserve">” sheet displays a graph of the At-Risk Populations Scores of all hazards.  All of the individual hazard worksheets must have been completed for this sheet to display correctly.        </t>
    </r>
  </si>
  <si>
    <r>
      <t>The “</t>
    </r>
    <r>
      <rPr>
        <b/>
        <sz val="11"/>
        <color theme="1"/>
        <rFont val="Calibri"/>
        <family val="2"/>
        <scheme val="minor"/>
      </rPr>
      <t>Probability vs. Severity</t>
    </r>
    <r>
      <rPr>
        <sz val="11"/>
        <color theme="1"/>
        <rFont val="Calibri"/>
        <family val="2"/>
        <scheme val="minor"/>
      </rPr>
      <t xml:space="preserve">” sheet displays graphs of the probability and severity for all hazards.  All of the individual hazard worksheets must have been completed for this sheet to display correctly.  The graphs are automatically generated, and label positions may have to be changed in order for the figures to be easily readable.  To do this, right-click on the label and select “Format Data Labels.”        </t>
    </r>
  </si>
  <si>
    <r>
      <t>The “</t>
    </r>
    <r>
      <rPr>
        <b/>
        <sz val="11"/>
        <color theme="1"/>
        <rFont val="Calibri"/>
        <family val="2"/>
        <scheme val="minor"/>
      </rPr>
      <t>Planning Priority Scores</t>
    </r>
    <r>
      <rPr>
        <sz val="11"/>
        <color theme="1"/>
        <rFont val="Calibri"/>
        <family val="2"/>
        <scheme val="minor"/>
      </rPr>
      <t xml:space="preserve">” sheet is a simple rank-order list of the hazards in order from highest to lowest Planning Priority.  All of the individual hazard worksheets must have been completed for this sheet to display correctly, and macros MUST be enabled.        </t>
    </r>
  </si>
  <si>
    <t xml:space="preserve">Complete the rest of the data input as you would any of the other hazard worksheets.  There is no data 
pre-filled into these worksheets, so you must utilize historical data, predictive models, or educated guesses to complete the assessment.  </t>
  </si>
  <si>
    <r>
      <t xml:space="preserve">Complete the </t>
    </r>
    <r>
      <rPr>
        <b/>
        <sz val="11"/>
        <color theme="1"/>
        <rFont val="Calibri"/>
        <family val="2"/>
        <scheme val="minor"/>
      </rPr>
      <t>Preparedness Section</t>
    </r>
    <r>
      <rPr>
        <sz val="11"/>
        <color theme="1"/>
        <rFont val="Calibri"/>
        <family val="2"/>
        <scheme val="minor"/>
      </rPr>
      <t xml:space="preserve"> of each worksheet by selecting how relevant each of the PHEP capabilities is to the public health response to the given hazard.  For reference, all of the functions that make up each capability is elaborated in the “Baseline Public Health Preparedness Capability Status” and "Baseline Healthcare System Preparedness Capability Status" worksheets.  You can navigate to these sheets by returning to the Main Menu and selecting the </t>
    </r>
    <r>
      <rPr>
        <b/>
        <sz val="11"/>
        <color theme="9" tint="-0.249977111117893"/>
        <rFont val="Calibri"/>
        <family val="2"/>
        <scheme val="minor"/>
      </rPr>
      <t>orange</t>
    </r>
    <r>
      <rPr>
        <sz val="11"/>
        <color theme="1"/>
        <rFont val="Calibri"/>
        <family val="2"/>
        <scheme val="minor"/>
      </rPr>
      <t xml:space="preserve"> buttons in the "Step 1. Baseline Data" box in the Main Menu.</t>
    </r>
  </si>
  <si>
    <r>
      <t xml:space="preserve">Complete the </t>
    </r>
    <r>
      <rPr>
        <b/>
        <sz val="11"/>
        <color theme="1"/>
        <rFont val="Calibri"/>
        <family val="2"/>
        <scheme val="minor"/>
      </rPr>
      <t>At-Risk Populations</t>
    </r>
    <r>
      <rPr>
        <sz val="11"/>
        <color theme="1"/>
        <rFont val="Calibri"/>
        <family val="2"/>
        <scheme val="minor"/>
      </rPr>
      <t xml:space="preserve"> section of each worksheet by selecting whether or not special plans and procedures must be in place for each of the listed at-risk populations as part of a complete public health response to the given hazard.</t>
    </r>
  </si>
  <si>
    <r>
      <t xml:space="preserve">Individual healthcare coalitions or LPHAs may find a specialized assessment more helpful.  For this reason, the MOPHRAT conducts the following two sub-analyses in addition to the overall public health risk assessment. 
</t>
    </r>
    <r>
      <rPr>
        <b/>
        <sz val="11"/>
        <color theme="1"/>
        <rFont val="Calibri"/>
        <family val="2"/>
        <scheme val="minor"/>
      </rPr>
      <t>1.  Public Health System Risk Assessment</t>
    </r>
    <r>
      <rPr>
        <sz val="11"/>
        <color theme="1"/>
        <rFont val="Calibri"/>
        <family val="2"/>
        <scheme val="minor"/>
      </rPr>
      <t xml:space="preserve">:  This sub-analysis examines severity in four domains: human impact, healthcare service impact, community impact, and public health service impact.  Preparedness is assessed using only the 15 Public Health Preparedness capabilities.
</t>
    </r>
    <r>
      <rPr>
        <b/>
        <sz val="11"/>
        <color theme="1"/>
        <rFont val="Calibri"/>
        <family val="2"/>
        <scheme val="minor"/>
      </rPr>
      <t xml:space="preserve">2.  Healthcare System Risk Assessment:  </t>
    </r>
    <r>
      <rPr>
        <sz val="11"/>
        <color theme="1"/>
        <rFont val="Calibri"/>
        <family val="2"/>
        <scheme val="minor"/>
      </rPr>
      <t xml:space="preserve">This sub-analysis examines severity in three domains: human impact, healthcare service impact, and inpatient healthcare facility infrastructure impact.  Preparedness is assessed using only the four Healthcare System Preparedness capabilities.
The differences between the two sub-analyses is visualized in the worksheet "Overview of the Tool."  To navigate to this sheet, return to the Main Menu and click the </t>
    </r>
    <r>
      <rPr>
        <b/>
        <sz val="11"/>
        <color rgb="FFDCCD72"/>
        <rFont val="Calibri"/>
        <family val="2"/>
        <scheme val="minor"/>
      </rPr>
      <t>yellow</t>
    </r>
    <r>
      <rPr>
        <sz val="11"/>
        <color theme="1"/>
        <rFont val="Calibri"/>
        <family val="2"/>
        <scheme val="minor"/>
      </rPr>
      <t xml:space="preserve"> "Overview of the Tool" button in the "Overview" box.
</t>
    </r>
  </si>
  <si>
    <r>
      <rPr>
        <b/>
        <u/>
        <sz val="14"/>
        <color theme="1"/>
        <rFont val="Calibri"/>
        <family val="2"/>
        <scheme val="minor"/>
      </rPr>
      <t>Overview: Why Conduct a Hazard Assessment</t>
    </r>
    <r>
      <rPr>
        <b/>
        <sz val="14"/>
        <color theme="1"/>
        <rFont val="Calibri"/>
        <family val="2"/>
        <scheme val="minor"/>
      </rPr>
      <t>?</t>
    </r>
    <r>
      <rPr>
        <sz val="11"/>
        <color theme="1"/>
        <rFont val="Calibri"/>
        <family val="2"/>
        <scheme val="minor"/>
      </rPr>
      <t xml:space="preserve">
A first step in effective emergency preparedness and management is defining and analyzing jurisdictional hazards.  The Missouri Public Health Risk Assessment Tool (MOPHRAT) aids Local Public Health Departments (LPHAs) in completing PHEP Grant required hazard assessments of public health impacts affecting their jurisdictions.  Hazard assessments can be used to establish planning priorities, so that hazards with the highest potential consequences are addressed first.  Assessment outcomes can be used to target mitigation resources and efforts, as well as serves as a basis for broader community engagement.  PHEP Grant recipients are required to complete a hazard assessment once every five years.
</t>
    </r>
    <r>
      <rPr>
        <sz val="14"/>
        <color theme="1"/>
        <rFont val="Calibri"/>
        <family val="2"/>
        <scheme val="minor"/>
      </rPr>
      <t xml:space="preserve">
</t>
    </r>
    <r>
      <rPr>
        <b/>
        <u/>
        <sz val="14"/>
        <color theme="1"/>
        <rFont val="Calibri"/>
        <family val="2"/>
        <scheme val="minor"/>
      </rPr>
      <t>What does the MOPHRAT do/provide</t>
    </r>
    <r>
      <rPr>
        <b/>
        <sz val="14"/>
        <color theme="1"/>
        <rFont val="Calibri"/>
        <family val="2"/>
        <scheme val="minor"/>
      </rPr>
      <t>?</t>
    </r>
    <r>
      <rPr>
        <sz val="11"/>
        <color theme="1"/>
        <rFont val="Calibri"/>
        <family val="2"/>
        <scheme val="minor"/>
      </rPr>
      <t xml:space="preserve">
The MOPHRAT generates an overall estimate of hazard-specific risks, based on the probability and impact severity identified for each hazard.  Additionally, the MOPHRAT generates an</t>
    </r>
    <r>
      <rPr>
        <b/>
        <sz val="11"/>
        <color theme="1"/>
        <rFont val="Calibri"/>
        <family val="2"/>
        <scheme val="minor"/>
      </rPr>
      <t xml:space="preserve"> Adjusted Risk</t>
    </r>
    <r>
      <rPr>
        <sz val="11"/>
        <color theme="1"/>
        <rFont val="Calibri"/>
        <family val="2"/>
        <scheme val="minor"/>
      </rPr>
      <t>, which incorporates an assessment of the additional planning required to reduce a hazard’s impact on at-risk populations.  The adjusted risk is calculated by assessing the size of at-risk populations in a jurisdiction and the special planning required to address the needs of these populations in specific disasters. 
A</t>
    </r>
    <r>
      <rPr>
        <b/>
        <sz val="11"/>
        <color theme="1"/>
        <rFont val="Calibri"/>
        <family val="2"/>
        <scheme val="minor"/>
      </rPr>
      <t xml:space="preserve"> Preparedness Score</t>
    </r>
    <r>
      <rPr>
        <sz val="11"/>
        <color theme="1"/>
        <rFont val="Calibri"/>
        <family val="2"/>
        <scheme val="minor"/>
      </rPr>
      <t xml:space="preserve"> is generated using the jurisdiction’s current capacity in each of the 15 Public Health Preparedness capabilities and the four Healthcare System Preparedness capabilities, as well as the relevance of each capability to specific hazards.  
The MOPHRAT's final output is a</t>
    </r>
    <r>
      <rPr>
        <b/>
        <sz val="11"/>
        <color theme="1"/>
        <rFont val="Calibri"/>
        <family val="2"/>
        <scheme val="minor"/>
      </rPr>
      <t xml:space="preserve"> Planning Priority Score</t>
    </r>
    <r>
      <rPr>
        <sz val="11"/>
        <color theme="1"/>
        <rFont val="Calibri"/>
        <family val="2"/>
        <scheme val="minor"/>
      </rPr>
      <t xml:space="preserve">, reflecting both adjusted risk and preparedness.  The derivation of the various scores is illustrated in the worksheet, "Overview of the Tool."  To navigate to this sheet, return to the Main Menu and click the </t>
    </r>
    <r>
      <rPr>
        <b/>
        <sz val="11"/>
        <color rgb="FFDCCD72"/>
        <rFont val="Calibri"/>
        <family val="2"/>
        <scheme val="minor"/>
      </rPr>
      <t>yellow</t>
    </r>
    <r>
      <rPr>
        <sz val="11"/>
        <color theme="1"/>
        <rFont val="Calibri"/>
        <family val="2"/>
        <scheme val="minor"/>
      </rPr>
      <t xml:space="preserve"> "Overview of the Tool" button in the "Overview" box.
</t>
    </r>
  </si>
  <si>
    <r>
      <rPr>
        <b/>
        <u/>
        <sz val="14"/>
        <color theme="1"/>
        <rFont val="Calibri"/>
        <family val="2"/>
        <scheme val="minor"/>
      </rPr>
      <t>Step 3: Analysis of the Results</t>
    </r>
    <r>
      <rPr>
        <b/>
        <sz val="11"/>
        <color theme="1"/>
        <rFont val="Calibri"/>
        <family val="2"/>
        <scheme val="minor"/>
      </rPr>
      <t xml:space="preserve">
</t>
    </r>
    <r>
      <rPr>
        <sz val="11"/>
        <color theme="1"/>
        <rFont val="Calibri"/>
        <family val="2"/>
        <scheme val="minor"/>
      </rPr>
      <t xml:space="preserve">The analysis section of the MOPHRAT generates a number of charts and graphs.  These sections can be viewed by navigating to the “Step 3. Analysis” box in the Main Menu and selecting the various buttons.  The charts and graphs provide a clearer picture of strategic gaps and operational needs for an LPHA.  Mitigation strategies can then be developed to achieve short and long term outcomes related to assessed risks.        </t>
    </r>
  </si>
  <si>
    <r>
      <rPr>
        <b/>
        <u/>
        <sz val="14"/>
        <color theme="1"/>
        <rFont val="Calibri"/>
        <family val="2"/>
        <scheme val="minor"/>
      </rPr>
      <t>Step 1: Entering Baseline Data</t>
    </r>
    <r>
      <rPr>
        <sz val="11"/>
        <color theme="1"/>
        <rFont val="Calibri"/>
        <family val="2"/>
        <scheme val="minor"/>
      </rPr>
      <t xml:space="preserve">
The tool calculates severity by comparing hazard-specific values to baseline values in a number of metrics.  In order to do this, baseline information must be entered in the “Baseline Health, Services, and Infrastructure” worksheet.  Navigate to this sheet using the </t>
    </r>
    <r>
      <rPr>
        <b/>
        <sz val="11"/>
        <color rgb="FF7030A0"/>
        <rFont val="Calibri"/>
        <family val="2"/>
        <scheme val="minor"/>
      </rPr>
      <t>purple</t>
    </r>
    <r>
      <rPr>
        <sz val="11"/>
        <color theme="1"/>
        <rFont val="Calibri"/>
        <family val="2"/>
        <scheme val="minor"/>
      </rPr>
      <t xml:space="preserve"> button in the “Step 1. Baseline Data” box in the Main Menu.
County-level baseline data for many of the hazards have been provided for you on a separate spreadsheet as a part of the MOPHRAT information from SEMA/DHSS.  If you have questions or concerns, please contact the MOPHRAT team for assistance. 
</t>
    </r>
  </si>
  <si>
    <r>
      <t xml:space="preserve">If you would like to accept the data and assumptions made by DHSS/SEMA, the "Community Characteristics" worksheet must be completed.  Navigate to this sheet using the </t>
    </r>
    <r>
      <rPr>
        <b/>
        <sz val="11"/>
        <color rgb="FFCC3399"/>
        <rFont val="Calibri"/>
        <family val="2"/>
        <scheme val="minor"/>
      </rPr>
      <t>pink</t>
    </r>
    <r>
      <rPr>
        <sz val="11"/>
        <color theme="1"/>
        <rFont val="Calibri"/>
        <family val="2"/>
        <scheme val="minor"/>
      </rPr>
      <t xml:space="preserve"> button in the 
“Step 1. Baseline Data” box in the Main Menu.</t>
    </r>
  </si>
  <si>
    <r>
      <t>The “</t>
    </r>
    <r>
      <rPr>
        <b/>
        <sz val="11"/>
        <color theme="1"/>
        <rFont val="Calibri"/>
        <family val="2"/>
        <scheme val="minor"/>
      </rPr>
      <t>Summary of Scores</t>
    </r>
    <r>
      <rPr>
        <sz val="11"/>
        <color theme="1"/>
        <rFont val="Calibri"/>
        <family val="2"/>
        <scheme val="minor"/>
      </rPr>
      <t>” worksheet displays the “</t>
    </r>
    <r>
      <rPr>
        <b/>
        <sz val="11"/>
        <color theme="1"/>
        <rFont val="Calibri"/>
        <family val="2"/>
        <scheme val="minor"/>
      </rPr>
      <t>Probability Score</t>
    </r>
    <r>
      <rPr>
        <sz val="11"/>
        <color theme="1"/>
        <rFont val="Calibri"/>
        <family val="2"/>
        <scheme val="minor"/>
      </rPr>
      <t>,” “</t>
    </r>
    <r>
      <rPr>
        <b/>
        <sz val="11"/>
        <color theme="1"/>
        <rFont val="Calibri"/>
        <family val="2"/>
        <scheme val="minor"/>
      </rPr>
      <t>Severity Score</t>
    </r>
    <r>
      <rPr>
        <sz val="11"/>
        <color theme="1"/>
        <rFont val="Calibri"/>
        <family val="2"/>
        <scheme val="minor"/>
      </rPr>
      <t>,” “</t>
    </r>
    <r>
      <rPr>
        <b/>
        <sz val="11"/>
        <color theme="1"/>
        <rFont val="Calibri"/>
        <family val="2"/>
        <scheme val="minor"/>
      </rPr>
      <t>Risk Score</t>
    </r>
    <r>
      <rPr>
        <sz val="11"/>
        <color theme="1"/>
        <rFont val="Calibri"/>
        <family val="2"/>
        <scheme val="minor"/>
      </rPr>
      <t>,” “</t>
    </r>
    <r>
      <rPr>
        <b/>
        <sz val="11"/>
        <color theme="1"/>
        <rFont val="Calibri"/>
        <family val="2"/>
        <scheme val="minor"/>
      </rPr>
      <t>At-Risk Populations Score</t>
    </r>
    <r>
      <rPr>
        <sz val="11"/>
        <color theme="1"/>
        <rFont val="Calibri"/>
        <family val="2"/>
        <scheme val="minor"/>
      </rPr>
      <t>,” ”</t>
    </r>
    <r>
      <rPr>
        <b/>
        <sz val="11"/>
        <color theme="1"/>
        <rFont val="Calibri"/>
        <family val="2"/>
        <scheme val="minor"/>
      </rPr>
      <t>Adjusted Risk Score</t>
    </r>
    <r>
      <rPr>
        <sz val="11"/>
        <color theme="1"/>
        <rFont val="Calibri"/>
        <family val="2"/>
        <scheme val="minor"/>
      </rPr>
      <t>,” “</t>
    </r>
    <r>
      <rPr>
        <b/>
        <sz val="11"/>
        <color theme="1"/>
        <rFont val="Calibri"/>
        <family val="2"/>
        <scheme val="minor"/>
      </rPr>
      <t>Preparedness Score</t>
    </r>
    <r>
      <rPr>
        <sz val="11"/>
        <color theme="1"/>
        <rFont val="Calibri"/>
        <family val="2"/>
        <scheme val="minor"/>
      </rPr>
      <t>,” and “</t>
    </r>
    <r>
      <rPr>
        <b/>
        <sz val="11"/>
        <color theme="1"/>
        <rFont val="Calibri"/>
        <family val="2"/>
        <scheme val="minor"/>
      </rPr>
      <t>Planning Priority Score</t>
    </r>
    <r>
      <rPr>
        <sz val="11"/>
        <color theme="1"/>
        <rFont val="Calibri"/>
        <family val="2"/>
        <scheme val="minor"/>
      </rPr>
      <t xml:space="preserve">” for each of the hazards analyzed.  The cells in this worksheet are color-coded, so the most severe values are shown in </t>
    </r>
    <r>
      <rPr>
        <b/>
        <sz val="11"/>
        <color rgb="FFFF0000"/>
        <rFont val="Calibri"/>
        <family val="2"/>
        <scheme val="minor"/>
      </rPr>
      <t>red</t>
    </r>
    <r>
      <rPr>
        <sz val="11"/>
        <color theme="1"/>
        <rFont val="Calibri"/>
        <family val="2"/>
        <scheme val="minor"/>
      </rPr>
      <t xml:space="preserve"> and the least severe are displayed in </t>
    </r>
    <r>
      <rPr>
        <b/>
        <sz val="11"/>
        <color rgb="FF00B050"/>
        <rFont val="Calibri"/>
        <family val="2"/>
        <scheme val="minor"/>
      </rPr>
      <t>green</t>
    </r>
    <r>
      <rPr>
        <sz val="11"/>
        <rFont val="Calibri"/>
        <family val="2"/>
        <scheme val="minor"/>
      </rPr>
      <t>.</t>
    </r>
    <r>
      <rPr>
        <sz val="11"/>
        <color theme="1"/>
        <rFont val="Calibri"/>
        <family val="2"/>
        <scheme val="minor"/>
      </rPr>
      <t xml:space="preserve">  All of the individual hazard worksheets must have been completed for this sheet to display correctly.        </t>
    </r>
  </si>
  <si>
    <r>
      <rPr>
        <b/>
        <sz val="11"/>
        <color theme="1"/>
        <rFont val="Calibri"/>
        <family val="2"/>
        <scheme val="minor"/>
      </rPr>
      <t>To see how each Score is calculated, hover your mouse over that Score</t>
    </r>
    <r>
      <rPr>
        <sz val="11"/>
        <color theme="1"/>
        <rFont val="Calibri"/>
        <family val="2"/>
        <scheme val="minor"/>
      </rPr>
      <t>.  A more detailed explanation of each calculation is found in the seperate, detailed How-To Guide document that accompanies this workbook.  The MOPHRAT includes an overall analysis that captures the impact of disasters on both healthcare and public health systems, as well as two more specialized 
sub-analyses that capture the specific impacts of disasters on the public health system and/or the healthcare system.  Scroll down to see these sub-analyses, or click here:</t>
    </r>
  </si>
  <si>
    <t>DHSS, Bureau of Emergency Medical Services, https://health.mo.gov/safety/ems/committees.php</t>
  </si>
  <si>
    <t xml:space="preserve">The scenario used to predict the impacts of a civil disturbance is the Ferguson Unrest/Protests that occurred on August 10, 2014.  Thousands of people rioted for many days and months after the shooting death of Michael Brown. 25 structures and 27 business were damaged in the days following; 18 buildings were eventually demolished.  </t>
  </si>
  <si>
    <t>N/A in Missouri</t>
  </si>
  <si>
    <t>The scenario used to predict the impacts of a conventional explosive incident is the Oklahoma City bombing.  On April 19, 1995, a Ryder truck containing more than 4,800 pounds of ammonium nitrate fertilizer, nitromethane, and diesel fuel mixture detonated in front of the north side of the nine-story Alfred P. Murrah Federal Building in Oklahoma City.  The blast destroyed or damaged 324 buildings within a sixteen-block radius, destroyed or burned 86 cars, and shattered glass in 258 nearby buildings.  To estimate the impacts of a worst-case reasonable scenario in this region, the truck bomb is assumed to be detonated outside of the building with the largest daytime population in the region.  The morbidity and mortality rates from the Alfred P. Murrah Federal Building are applied to the occupancy of that building.</t>
  </si>
  <si>
    <t>The scenario used to predict the impacts of an active shooter incident is the Virginia Tech Massacre of 2007.  On April 16, 2007, student Seung Hui Cho murdered 32 and injured 17 students and faculty in two related incidents on the campus of Virginia Polytechnic Institute.</t>
  </si>
  <si>
    <t xml:space="preserve">The  scenario used to predict the impacts of a cyber terrorism incident is the January 2005 botnet attack at Seattle's Northwest Hospital.  Christopher Maxwell created a botnet that increased computer traffic as it scanned the system and interrupted normal hospital computer communications. Among other things, doors to the operating rooms did not open, pagers did not work, and computers in the intensive care unit shut down (Gage, 2007). </t>
  </si>
  <si>
    <t>The scenario used to predict the impacts of drought ocurred in 1963 and was the wost drought event on record in Pennsylvania.  Precipitation statewide averaged below normal for 10 of 12 months. Drought emergency status led to widespread water use restrictions, and reservoirs dipped to record low levels. Corn, hay, and other agricultural products shriveled in parched field, causing economic losses. Governor William Scranton sought drought aid for Pennsylvania in the face of mounting agricultural losses, and the event became a presidentially declared disaster in September 1963 (Baker, 2010).</t>
  </si>
  <si>
    <t xml:space="preserve">The scenario used to predict the impacts of an earthquate is a 7.6 magnitude earthquake in the New Madrid Seismic Zone (NMSZ) which is comprised of eight states: Alabama, Arkansas, Illinois, Indiana, Kentucky, Mississippi, Missouri and Tennessee.  The State of Missouri will incur substantial damage and loss.  Well over 80,000 buildings are damaged leaving more than 120,000 people displaced and causing over 15,000 casualties. Total direct economic losses in Missouri reach nearly $40 billion.  </t>
  </si>
  <si>
    <t xml:space="preserve">Per county decision made (hazard epicenter maps); Reference for decision making (CUSEC)  </t>
  </si>
  <si>
    <t>Background info:  After the Pymatuning Earthquake of 1998, nearby residents found that water levels declined, water color changed to brown or black, and water smelled like sulfur. Water level declines were documented in 121 wells, and at least 90 wells dried up and had not returned to previous levels as of 2006.  These wells had to be re-drilled at the owner’s expense (Gorokhvovich &amp; Fleeger, 2007).</t>
  </si>
  <si>
    <t>After the Ferguson Unrest, high levels of psychological stress were reported.</t>
  </si>
  <si>
    <t>During the LA Riots, about 4.4% closed.  Use an appropriate % if any is available.</t>
  </si>
  <si>
    <t xml:space="preserve">After the L.A. Riots, environmental health inspection was required for 2,827 burned and damaged sites for hazardous waste and asbestos.  At 9% of inspected sites, waste required special disposal.  More than 1,000 food facilities suffered damage and required inspection before reopening.  More than 50 million gallons of water used by firefighters surged through storm drain system and emptied into Santa Monica Bay, causing beaches to be closed due to polluted discharge (Evans, 1993).  The MOPHRAT is researching applicable Missouri data for teh Ferguson event.  </t>
  </si>
  <si>
    <t xml:space="preserve">During the Civil Unrest, 27 businesses were damaged.  12 businesses were looted or vandalized. </t>
  </si>
  <si>
    <t xml:space="preserve">During the Ferguson Civil Unrest, bus service and metro rail service was deemed unreliable. </t>
  </si>
  <si>
    <t>For several days after the L.A. Riots, transportation routes were disrupted and certain areas were subjected to sporadic gunfire.  After three weeks, some public health staff members had yet to return to their workplace as a result of psychological trauma (Evans, 1993).  Demand for personnel is expected to increase (10%) due the excess demand for environmental assessment.</t>
  </si>
  <si>
    <t xml:space="preserve">After the L.A. Riots, the CDC sent team to assess violence from epidemiologic perspective.  Additionally, the threat of mosquito-borne encephalitis was assessed due to stagnant pools of water used by firefighters (Evans, 1993).  Includes a 5% increase.  </t>
  </si>
  <si>
    <t xml:space="preserve">The scenario used to predict the impacts of flooding is the Dec. 26-29, 2015 flooding incident.  A total of 15 fatalities resulted from drowning swept away in cars and electrocution; 7 of the 15 deaths occurred in Pulaski County, Missouri.  </t>
  </si>
  <si>
    <t xml:space="preserve">The scenario used to predict the impacts of a hazardous materials release is the train derailment and subsequent chlorine spill in Graniteville, SC, on January 6, 2005.  After a worker forgot to toggle the switch that disconnects the spur from the main line, Freight Train 192 was mistakenly diverted from the main line onto the spur at 47 mph and collided with a parked train at 2:39 a.m.  Three engines and 18 cars were derailed.  Roughly 60 tons of liquefied chlorine gas spilled out of the ninth freight car. The liquefied gas rapidly vaporized, with volumetric expansion of 450:1 (Dunning &amp; Oswalt, 2007).  The leaking tank car was patched with a temporary repair four days later (CDC, 2005).  The economic impact for the small community of Granitevill was over $1 billion, and according to Detter-Hoskin: "Had this occurred in Atlanta or another large city, you will have had hundreds of thousands of people hurt and killed within a 10-minute period. The financial impact will be immense, as well. Metal equipment and electrical wiring will be destroyed, and computer data will be lost" (GRTI, 2007).  </t>
  </si>
  <si>
    <t xml:space="preserve">The scenario used to predict the impact of a localized infectious disease outbreak is the 2022 measles outbreak in central Ohio.  The outbreak included a total of 85 cases resulting in 36 hospitalizations, and no deaths.  Ninety-four percent of cases were five years of age or younger.  The vaccination status for cases was 94% unvaccinated, 4.7% partially vaccinated; 1 unknown vaccination status.  The outbreak included one or more childcare facilities.  The investigation into the outbreak likely resulted in the evaluation of hundreds of contacts; suspected cases; tests, doses of vaccine and immunoglobulin administered to resolve.    </t>
  </si>
  <si>
    <t>Of the 36 cases that were hospitalized, 1/2 were transported to the hospital by ambulance.  The highest number transported per day at the peak was 12 (this is estimated, not actual).</t>
  </si>
  <si>
    <t>During the central Ohio outbreak, all 85 cases plus many additional patients suspected of having measles presented to primary care office for evaluation.  The exact number is not known.  The burden can be expected greatest in the pediatric offices.  For measles, every 1 case has the potential to infect 12 -18 persons (85 total cases x 12 potential persons infected).  Using a 30-day interval to estimate cases by day.  85 cases x 12 additional potentially infected / 30 = 34 / 906,528 = .00003751% of population.</t>
  </si>
  <si>
    <t>Calculation based on population</t>
  </si>
  <si>
    <t>HHS estimates that 15% of the population will seek outpatient care over 8 weeks, or 0.268% per day (Department of Homeland Security, 2006). Example: 406,204 (St. Charles County Pop.) x 0.00268 = 1,089</t>
  </si>
  <si>
    <t>The proxy scenario used to predict the impacts of a radiation dispersal device detonation is based on the National Planning Scenario: "Radiological Attack - Radiological Disersal Device".  In the scenario, a 3,000-lb truck bomb containing 2,300 curies of cesium-137 is detonated in a moderate-to-large sized city.  The contaminated region covers approximately 36 blocks and includes the business district, residential row houses, crowded shopping areas, and a high school (Department of Homeland Security, 2006). Where possible, additional predictions are drawn from the EPA exercise, "Liberty RadEx" (EPA, 2010).  In order to modify the scenario to be appropriate for this region, certain blast casualty estimates are extrapolated from the 4,800-pound truck bomb detonated in Oklahoma City, using the population density and community characteristics of the region.</t>
  </si>
  <si>
    <t xml:space="preserve">The scenario used to predict the impacts of a tornado is the May 22, 2011 EF5 tornado that struck Joplin, MO. The tornado left a track of destruction that was 22 miles long and one mile wide, tracking eastword throug Joplin continuing across Interstate 44 into rural portions of Jasper and Newton counties.  The tornado damaged nearly 8,000 buildings, destroying nearly 4,000.  More than 160 lives were lost and injuries resulted in 1,150.  It was the seventh deadliest tornado in the history of the United States.  </t>
  </si>
  <si>
    <t>183 patients in the building at that time in this 367-bed Medical Center.  Add bed loss #; will not change magnitude score.</t>
  </si>
  <si>
    <t>Amtrak and regional rail lines will be closed.</t>
  </si>
  <si>
    <t>May be of minimal impact depending on the jurisdiction in Missouri</t>
  </si>
  <si>
    <t>The proxy scenarios used to predict the impacts of a winter storm are the the North American Blizzards of February 2010.  Between February 4-6, 2010, the storm dubbed “Snowmageddon” caused government offices, schools, and airports to close. Some locations in Maryland, Pennsylvania, Virginia, and West Virginia recorded more than 30 inches of snow.  Washington, D.C., received 17.8 inches in two days.  Philadelphia received 28.5 inches (NOAA, 2010).  Another blizzard followed closely behind the first, between February 9th and 11th.  The second storm produced 14 inches in 
Washington D.C., 24 inches in northern Maryland, 17 inches in New Jersey, more than 27 inches in Pennsylvania.  
Several locations broke century-old seasonal snowfall records (NOAA, 2010).</t>
  </si>
  <si>
    <t>BHCADD.  Note: must be greater than 0.  0 will break the formula.</t>
  </si>
  <si>
    <t>DHSS, Bureau of Hospital Standards, Time Critical Diagnosis Program.  Note: must be greater than 0.  0 will break the formula.</t>
  </si>
  <si>
    <t>WebSurve, EPiTrax or LPHA level Note: must be greater than 0.  0 will break the formula.</t>
  </si>
  <si>
    <t>9 At-Risk Populations:  Hearing, Vision, Ambulatory, Cognitive, Limited English Proficiency (LEP), Poverty, Chronic Disease (Diabetes), Children Under 18, 65 &amp; Older</t>
  </si>
  <si>
    <t>4% of impacted population/30 days</t>
  </si>
  <si>
    <t>257 (1%) will seek ER care/30 days</t>
  </si>
  <si>
    <t>affected population in zone x 2 (doubled) / 30 days (over 1 month)</t>
  </si>
  <si>
    <t xml:space="preserve">Health officials will likely release bulletins regarding smoke inhalation, heat, water quality, food spoilage  secondary to power outages, shelter for evacuees, and safety in shelters.   It is predicted that two full-time employees would be necessary for communication.  Approx. 75 hours of communication needed for this incident. </t>
  </si>
  <si>
    <t>U.S. Census Bureau QuickFacts: United States</t>
  </si>
  <si>
    <t>Last Census 2020, estimates for 2022</t>
  </si>
  <si>
    <t>https://www.fema.gov/about/reports-and-data/resilience-analysis-planning-tool</t>
  </si>
  <si>
    <t xml:space="preserve">Contact Local Hospital or Health Care Coalition </t>
  </si>
  <si>
    <t>FEMA RAPT</t>
  </si>
  <si>
    <t>Contact Local Hospital or Health Care Coalition</t>
  </si>
  <si>
    <t xml:space="preserve">FEMA RAPT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</si>
</sst>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42" x14ac:knownFonts="1">
    <font>
      <sz val="11"/>
      <color theme="1"/>
      <name val="Calibri"/>
      <family val="2"/>
      <scheme val="minor"/>
    </font>
    <font>
      <b/>
      <sz val="11"/>
      <color theme="1"/>
      <name val="Calibri"/>
      <family val="2"/>
      <scheme val="minor"/>
    </font>
    <font>
      <sz val="26"/>
      <color theme="1"/>
      <name val="Cambria"/>
      <family val="1"/>
    </font>
    <font>
      <sz val="16"/>
      <color theme="1"/>
      <name val="Cambria"/>
      <family val="1"/>
      <scheme val="major"/>
    </font>
    <font>
      <u/>
      <sz val="16"/>
      <color theme="1"/>
      <name val="Cambria"/>
      <family val="1"/>
      <scheme val="major"/>
    </font>
    <font>
      <u/>
      <sz val="11"/>
      <color theme="10"/>
      <name val="Calibri"/>
      <family val="2"/>
      <scheme val="minor"/>
    </font>
    <font>
      <sz val="11"/>
      <name val="Calibri"/>
      <family val="2"/>
      <scheme val="minor"/>
    </font>
    <font>
      <sz val="10"/>
      <color theme="1"/>
      <name val="Calibri"/>
      <family val="2"/>
      <scheme val="minor"/>
    </font>
    <font>
      <u/>
      <sz val="12"/>
      <color theme="1"/>
      <name val="Cambria"/>
      <family val="1"/>
      <scheme val="major"/>
    </font>
    <font>
      <u/>
      <sz val="18"/>
      <color theme="1"/>
      <name val="Cambria"/>
      <family val="1"/>
      <scheme val="major"/>
    </font>
    <font>
      <u/>
      <sz val="11"/>
      <color theme="1"/>
      <name val="Calibri"/>
      <family val="2"/>
      <scheme val="minor"/>
    </font>
    <font>
      <sz val="11"/>
      <color theme="10"/>
      <name val="Calibri"/>
      <family val="2"/>
      <scheme val="minor"/>
    </font>
    <font>
      <sz val="11"/>
      <color theme="1"/>
      <name val="Calibri"/>
      <family val="2"/>
    </font>
    <font>
      <b/>
      <sz val="14"/>
      <color theme="1"/>
      <name val="Cambria"/>
      <family val="1"/>
      <scheme val="major"/>
    </font>
    <font>
      <b/>
      <sz val="12"/>
      <color theme="1"/>
      <name val="Cambria"/>
      <family val="1"/>
      <scheme val="major"/>
    </font>
    <font>
      <sz val="9.35"/>
      <color theme="1"/>
      <name val="Calibri"/>
      <family val="2"/>
    </font>
    <font>
      <sz val="12"/>
      <color theme="1"/>
      <name val="Cambria"/>
      <family val="1"/>
      <scheme val="major"/>
    </font>
    <font>
      <sz val="11"/>
      <color rgb="FFFF0000"/>
      <name val="Calibri"/>
      <family val="2"/>
      <scheme val="minor"/>
    </font>
    <font>
      <b/>
      <sz val="12"/>
      <color theme="1"/>
      <name val="Calibri"/>
      <family val="2"/>
      <scheme val="minor"/>
    </font>
    <font>
      <sz val="11"/>
      <color theme="1"/>
      <name val="Webdings"/>
      <family val="1"/>
      <charset val="2"/>
    </font>
    <font>
      <sz val="11"/>
      <color theme="1"/>
      <name val="Wingdings"/>
      <charset val="2"/>
    </font>
    <font>
      <b/>
      <i/>
      <sz val="11"/>
      <color theme="1"/>
      <name val="Calibri"/>
      <family val="2"/>
      <scheme val="minor"/>
    </font>
    <font>
      <sz val="8"/>
      <color theme="1"/>
      <name val="Calibri"/>
      <family val="2"/>
      <scheme val="minor"/>
    </font>
    <font>
      <u/>
      <sz val="14"/>
      <color theme="1"/>
      <name val="Cambria"/>
      <family val="1"/>
      <scheme val="major"/>
    </font>
    <font>
      <b/>
      <u/>
      <sz val="18"/>
      <color theme="1"/>
      <name val="Cambria"/>
      <family val="1"/>
      <scheme val="major"/>
    </font>
    <font>
      <sz val="11"/>
      <color theme="0" tint="-4.9989318521683403E-2"/>
      <name val="Calibri"/>
      <family val="2"/>
      <scheme val="minor"/>
    </font>
    <font>
      <u/>
      <sz val="11"/>
      <color theme="0" tint="-4.9989318521683403E-2"/>
      <name val="Calibri"/>
      <family val="2"/>
      <scheme val="minor"/>
    </font>
    <font>
      <sz val="10"/>
      <color indexed="81"/>
      <name val="Calibri"/>
      <family val="2"/>
      <scheme val="minor"/>
    </font>
    <font>
      <sz val="11"/>
      <color theme="0" tint="-0.249977111117893"/>
      <name val="Calibri"/>
      <family val="2"/>
      <scheme val="minor"/>
    </font>
    <font>
      <sz val="9"/>
      <color theme="1"/>
      <name val="Calibri"/>
      <family val="2"/>
      <scheme val="minor"/>
    </font>
    <font>
      <b/>
      <sz val="11"/>
      <color rgb="FFFF0000"/>
      <name val="Calibri"/>
      <family val="2"/>
      <scheme val="minor"/>
    </font>
    <font>
      <b/>
      <i/>
      <sz val="11"/>
      <color rgb="FFFF0000"/>
      <name val="Calibri"/>
      <family val="2"/>
      <scheme val="minor"/>
    </font>
    <font>
      <b/>
      <sz val="11"/>
      <color theme="3"/>
      <name val="Calibri"/>
      <family val="2"/>
      <scheme val="minor"/>
    </font>
    <font>
      <b/>
      <sz val="11"/>
      <color rgb="FFDCCD72"/>
      <name val="Calibri"/>
      <family val="2"/>
      <scheme val="minor"/>
    </font>
    <font>
      <b/>
      <u/>
      <sz val="14"/>
      <color theme="1"/>
      <name val="Calibri"/>
      <family val="2"/>
      <scheme val="minor"/>
    </font>
    <font>
      <b/>
      <sz val="14"/>
      <color theme="1"/>
      <name val="Calibri"/>
      <family val="2"/>
      <scheme val="minor"/>
    </font>
    <font>
      <sz val="14"/>
      <color theme="1"/>
      <name val="Calibri"/>
      <family val="2"/>
      <scheme val="minor"/>
    </font>
    <font>
      <b/>
      <sz val="11"/>
      <color rgb="FF7030A0"/>
      <name val="Calibri"/>
      <family val="2"/>
      <scheme val="minor"/>
    </font>
    <font>
      <b/>
      <sz val="11"/>
      <color rgb="FF00B050"/>
      <name val="Calibri"/>
      <family val="2"/>
      <scheme val="minor"/>
    </font>
    <font>
      <b/>
      <sz val="11"/>
      <color rgb="FFFF66FF"/>
      <name val="Calibri"/>
      <family val="2"/>
      <scheme val="minor"/>
    </font>
    <font>
      <b/>
      <sz val="11"/>
      <color rgb="FFCC3399"/>
      <name val="Calibri"/>
      <family val="2"/>
      <scheme val="minor"/>
    </font>
    <font>
      <b/>
      <sz val="11"/>
      <color theme="9" tint="-0.249977111117893"/>
      <name val="Calibri"/>
      <family val="2"/>
      <scheme val="minor"/>
    </font>
  </fonts>
  <fills count="16">
    <fill>
      <patternFill patternType="none"/>
    </fill>
    <fill>
      <patternFill patternType="gray125"/>
    </fill>
    <fill>
      <patternFill patternType="solid">
        <fgColor theme="7" tint="0.59999389629810485"/>
        <bgColor indexed="64"/>
      </patternFill>
    </fill>
    <fill>
      <patternFill patternType="solid">
        <fgColor theme="9" tint="0.59999389629810485"/>
        <bgColor indexed="64"/>
      </patternFill>
    </fill>
    <fill>
      <patternFill patternType="solid">
        <fgColor rgb="FFFFFFCC"/>
        <bgColor indexed="64"/>
      </patternFill>
    </fill>
    <fill>
      <patternFill patternType="solid">
        <fgColor rgb="FFFFCCFF"/>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0" tint="-4.9989318521683403E-2"/>
        <bgColor indexed="64"/>
      </patternFill>
    </fill>
    <fill>
      <patternFill patternType="solid">
        <fgColor theme="8" tint="0.59999389629810485"/>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rgb="FFFCD5B4"/>
        <bgColor indexed="64"/>
      </patternFill>
    </fill>
  </fills>
  <borders count="113">
    <border>
      <left/>
      <right/>
      <top/>
      <bottom/>
      <diagonal/>
    </border>
    <border>
      <left style="thin">
        <color auto="1"/>
      </left>
      <right style="thin">
        <color auto="1"/>
      </right>
      <top style="thin">
        <color auto="1"/>
      </top>
      <bottom style="thin">
        <color auto="1"/>
      </bottom>
      <diagonal/>
    </border>
    <border>
      <left/>
      <right/>
      <top style="thin">
        <color indexed="64"/>
      </top>
      <bottom/>
      <diagonal/>
    </border>
    <border>
      <left style="medium">
        <color theme="3"/>
      </left>
      <right/>
      <top style="medium">
        <color theme="3"/>
      </top>
      <bottom/>
      <diagonal/>
    </border>
    <border>
      <left/>
      <right/>
      <top style="medium">
        <color theme="3"/>
      </top>
      <bottom/>
      <diagonal/>
    </border>
    <border>
      <left/>
      <right style="medium">
        <color theme="3"/>
      </right>
      <top style="medium">
        <color theme="3"/>
      </top>
      <bottom/>
      <diagonal/>
    </border>
    <border>
      <left style="medium">
        <color theme="3"/>
      </left>
      <right/>
      <top/>
      <bottom/>
      <diagonal/>
    </border>
    <border>
      <left/>
      <right style="medium">
        <color theme="3"/>
      </right>
      <top/>
      <bottom/>
      <diagonal/>
    </border>
    <border>
      <left style="medium">
        <color theme="3"/>
      </left>
      <right/>
      <top/>
      <bottom style="medium">
        <color theme="3"/>
      </bottom>
      <diagonal/>
    </border>
    <border>
      <left/>
      <right/>
      <top/>
      <bottom style="medium">
        <color theme="3"/>
      </bottom>
      <diagonal/>
    </border>
    <border>
      <left/>
      <right style="medium">
        <color theme="3"/>
      </right>
      <top/>
      <bottom style="medium">
        <color theme="3"/>
      </bottom>
      <diagonal/>
    </border>
    <border>
      <left/>
      <right/>
      <top style="medium">
        <color theme="7"/>
      </top>
      <bottom/>
      <diagonal/>
    </border>
    <border>
      <left style="medium">
        <color theme="7"/>
      </left>
      <right/>
      <top style="medium">
        <color theme="7"/>
      </top>
      <bottom/>
      <diagonal/>
    </border>
    <border>
      <left/>
      <right style="medium">
        <color theme="7"/>
      </right>
      <top style="medium">
        <color theme="7"/>
      </top>
      <bottom/>
      <diagonal/>
    </border>
    <border>
      <left style="medium">
        <color theme="7"/>
      </left>
      <right/>
      <top/>
      <bottom/>
      <diagonal/>
    </border>
    <border>
      <left/>
      <right style="medium">
        <color theme="7"/>
      </right>
      <top/>
      <bottom/>
      <diagonal/>
    </border>
    <border>
      <left style="medium">
        <color theme="7"/>
      </left>
      <right/>
      <top/>
      <bottom style="medium">
        <color theme="7"/>
      </bottom>
      <diagonal/>
    </border>
    <border>
      <left/>
      <right/>
      <top/>
      <bottom style="medium">
        <color theme="7"/>
      </bottom>
      <diagonal/>
    </border>
    <border>
      <left/>
      <right style="medium">
        <color theme="7"/>
      </right>
      <top/>
      <bottom style="medium">
        <color theme="7"/>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theme="9"/>
      </top>
      <bottom style="medium">
        <color theme="9"/>
      </bottom>
      <diagonal/>
    </border>
    <border>
      <left/>
      <right/>
      <top style="medium">
        <color theme="9"/>
      </top>
      <bottom/>
      <diagonal/>
    </border>
    <border>
      <left style="thin">
        <color indexed="64"/>
      </left>
      <right style="thin">
        <color indexed="64"/>
      </right>
      <top style="thin">
        <color indexed="64"/>
      </top>
      <bottom style="thin">
        <color indexed="64"/>
      </bottom>
      <diagonal/>
    </border>
    <border>
      <left style="medium">
        <color theme="9"/>
      </left>
      <right/>
      <top style="medium">
        <color theme="9"/>
      </top>
      <bottom/>
      <diagonal/>
    </border>
    <border>
      <left/>
      <right style="medium">
        <color theme="9"/>
      </right>
      <top style="medium">
        <color theme="9"/>
      </top>
      <bottom/>
      <diagonal/>
    </border>
    <border>
      <left style="medium">
        <color theme="9"/>
      </left>
      <right/>
      <top/>
      <bottom/>
      <diagonal/>
    </border>
    <border>
      <left/>
      <right style="medium">
        <color theme="9"/>
      </right>
      <top/>
      <bottom/>
      <diagonal/>
    </border>
    <border>
      <left style="medium">
        <color theme="9"/>
      </left>
      <right/>
      <top/>
      <bottom style="medium">
        <color theme="9"/>
      </bottom>
      <diagonal/>
    </border>
    <border>
      <left/>
      <right/>
      <top/>
      <bottom style="medium">
        <color theme="9"/>
      </bottom>
      <diagonal/>
    </border>
    <border>
      <left/>
      <right style="medium">
        <color theme="9"/>
      </right>
      <top/>
      <bottom style="medium">
        <color theme="9"/>
      </bottom>
      <diagonal/>
    </border>
    <border>
      <left style="medium">
        <color rgb="FFEA168F"/>
      </left>
      <right/>
      <top style="medium">
        <color rgb="FFEA168F"/>
      </top>
      <bottom/>
      <diagonal/>
    </border>
    <border>
      <left/>
      <right/>
      <top style="medium">
        <color rgb="FFEA168F"/>
      </top>
      <bottom/>
      <diagonal/>
    </border>
    <border>
      <left/>
      <right style="medium">
        <color rgb="FFEA168F"/>
      </right>
      <top style="medium">
        <color rgb="FFEA168F"/>
      </top>
      <bottom/>
      <diagonal/>
    </border>
    <border>
      <left style="medium">
        <color rgb="FFEA168F"/>
      </left>
      <right/>
      <top/>
      <bottom/>
      <diagonal/>
    </border>
    <border>
      <left/>
      <right style="medium">
        <color rgb="FFEA168F"/>
      </right>
      <top/>
      <bottom/>
      <diagonal/>
    </border>
    <border>
      <left style="medium">
        <color rgb="FFEA168F"/>
      </left>
      <right/>
      <top/>
      <bottom style="medium">
        <color rgb="FFEA168F"/>
      </bottom>
      <diagonal/>
    </border>
    <border>
      <left/>
      <right/>
      <top/>
      <bottom style="medium">
        <color rgb="FFEA168F"/>
      </bottom>
      <diagonal/>
    </border>
    <border>
      <left/>
      <right style="medium">
        <color rgb="FFEA168F"/>
      </right>
      <top/>
      <bottom style="medium">
        <color rgb="FFEA168F"/>
      </bottom>
      <diagonal/>
    </border>
    <border>
      <left style="thin">
        <color indexed="64"/>
      </left>
      <right/>
      <top style="thin">
        <color indexed="64"/>
      </top>
      <bottom/>
      <diagonal/>
    </border>
    <border>
      <left/>
      <right style="thin">
        <color indexed="64"/>
      </right>
      <top style="thin">
        <color indexed="64"/>
      </top>
      <bottom/>
      <diagonal/>
    </border>
    <border>
      <left style="medium">
        <color theme="6"/>
      </left>
      <right/>
      <top style="medium">
        <color theme="6"/>
      </top>
      <bottom/>
      <diagonal/>
    </border>
    <border>
      <left/>
      <right/>
      <top style="medium">
        <color theme="6"/>
      </top>
      <bottom/>
      <diagonal/>
    </border>
    <border>
      <left/>
      <right style="medium">
        <color theme="6"/>
      </right>
      <top style="medium">
        <color theme="6"/>
      </top>
      <bottom/>
      <diagonal/>
    </border>
    <border>
      <left style="medium">
        <color theme="6"/>
      </left>
      <right/>
      <top/>
      <bottom/>
      <diagonal/>
    </border>
    <border>
      <left/>
      <right style="medium">
        <color theme="6"/>
      </right>
      <top/>
      <bottom/>
      <diagonal/>
    </border>
    <border>
      <left style="medium">
        <color theme="6"/>
      </left>
      <right/>
      <top/>
      <bottom style="medium">
        <color theme="6"/>
      </bottom>
      <diagonal/>
    </border>
    <border>
      <left/>
      <right/>
      <top/>
      <bottom style="medium">
        <color theme="6"/>
      </bottom>
      <diagonal/>
    </border>
    <border>
      <left/>
      <right style="medium">
        <color theme="6"/>
      </right>
      <top/>
      <bottom style="medium">
        <color theme="6"/>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style="medium">
        <color theme="8"/>
      </left>
      <right/>
      <top style="medium">
        <color theme="8"/>
      </top>
      <bottom/>
      <diagonal/>
    </border>
    <border>
      <left/>
      <right/>
      <top style="medium">
        <color theme="8"/>
      </top>
      <bottom/>
      <diagonal/>
    </border>
    <border>
      <left/>
      <right style="medium">
        <color theme="8"/>
      </right>
      <top style="medium">
        <color theme="8"/>
      </top>
      <bottom/>
      <diagonal/>
    </border>
    <border>
      <left style="medium">
        <color theme="8"/>
      </left>
      <right/>
      <top/>
      <bottom/>
      <diagonal/>
    </border>
    <border>
      <left/>
      <right style="medium">
        <color theme="8"/>
      </right>
      <top/>
      <bottom/>
      <diagonal/>
    </border>
    <border>
      <left style="medium">
        <color theme="8"/>
      </left>
      <right/>
      <top/>
      <bottom style="medium">
        <color theme="8"/>
      </bottom>
      <diagonal/>
    </border>
    <border>
      <left/>
      <right/>
      <top/>
      <bottom style="medium">
        <color theme="8"/>
      </bottom>
      <diagonal/>
    </border>
    <border>
      <left/>
      <right style="medium">
        <color theme="8"/>
      </right>
      <top/>
      <bottom style="medium">
        <color theme="8"/>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thin">
        <color indexed="64"/>
      </left>
      <right/>
      <top/>
      <bottom/>
      <diagonal/>
    </border>
    <border>
      <left/>
      <right style="thin">
        <color indexed="64"/>
      </right>
      <top/>
      <bottom/>
      <diagonal/>
    </border>
    <border>
      <left style="thin">
        <color auto="1"/>
      </left>
      <right style="thin">
        <color auto="1"/>
      </right>
      <top/>
      <bottom/>
      <diagonal/>
    </border>
    <border>
      <left style="thin">
        <color auto="1"/>
      </left>
      <right style="thin">
        <color auto="1"/>
      </right>
      <top style="thin">
        <color indexed="64"/>
      </top>
      <bottom/>
      <diagonal/>
    </border>
    <border>
      <left style="thin">
        <color auto="1"/>
      </left>
      <right style="thin">
        <color auto="1"/>
      </right>
      <top/>
      <bottom style="thin">
        <color indexed="64"/>
      </bottom>
      <diagonal/>
    </border>
    <border>
      <left style="medium">
        <color theme="9"/>
      </left>
      <right style="medium">
        <color theme="9"/>
      </right>
      <top style="medium">
        <color theme="9"/>
      </top>
      <bottom/>
      <diagonal/>
    </border>
    <border>
      <left style="medium">
        <color theme="9"/>
      </left>
      <right style="medium">
        <color theme="9"/>
      </right>
      <top/>
      <bottom style="medium">
        <color theme="9"/>
      </bottom>
      <diagonal/>
    </border>
    <border>
      <left style="medium">
        <color theme="3"/>
      </left>
      <right style="medium">
        <color theme="3"/>
      </right>
      <top style="medium">
        <color theme="3"/>
      </top>
      <bottom/>
      <diagonal/>
    </border>
    <border>
      <left style="medium">
        <color theme="3"/>
      </left>
      <right style="medium">
        <color theme="3"/>
      </right>
      <top/>
      <bottom style="medium">
        <color theme="3"/>
      </bottom>
      <diagonal/>
    </border>
    <border>
      <left style="medium">
        <color theme="7"/>
      </left>
      <right style="medium">
        <color theme="7"/>
      </right>
      <top style="medium">
        <color theme="7"/>
      </top>
      <bottom/>
      <diagonal/>
    </border>
    <border>
      <left style="medium">
        <color theme="7"/>
      </left>
      <right style="medium">
        <color theme="7"/>
      </right>
      <top/>
      <bottom style="medium">
        <color theme="7"/>
      </bottom>
      <diagonal/>
    </border>
    <border>
      <left style="medium">
        <color theme="6"/>
      </left>
      <right style="medium">
        <color theme="6"/>
      </right>
      <top style="medium">
        <color theme="6"/>
      </top>
      <bottom/>
      <diagonal/>
    </border>
    <border>
      <left style="medium">
        <color theme="6"/>
      </left>
      <right style="medium">
        <color theme="6"/>
      </right>
      <top/>
      <bottom style="medium">
        <color theme="6"/>
      </bottom>
      <diagonal/>
    </border>
    <border>
      <left style="medium">
        <color theme="5"/>
      </left>
      <right style="medium">
        <color theme="5"/>
      </right>
      <top style="medium">
        <color theme="5"/>
      </top>
      <bottom/>
      <diagonal/>
    </border>
    <border>
      <left style="medium">
        <color theme="5"/>
      </left>
      <right style="medium">
        <color theme="5"/>
      </right>
      <top/>
      <bottom style="medium">
        <color theme="5"/>
      </bottom>
      <diagonal/>
    </border>
    <border>
      <left style="medium">
        <color theme="8"/>
      </left>
      <right style="medium">
        <color theme="8"/>
      </right>
      <top style="medium">
        <color theme="8"/>
      </top>
      <bottom/>
      <diagonal/>
    </border>
    <border>
      <left style="medium">
        <color theme="8"/>
      </left>
      <right style="medium">
        <color theme="8"/>
      </right>
      <top/>
      <bottom style="medium">
        <color theme="8"/>
      </bottom>
      <diagonal/>
    </border>
    <border>
      <left style="medium">
        <color theme="9"/>
      </left>
      <right style="medium">
        <color theme="9"/>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theme="7" tint="0.59996337778862885"/>
      </left>
      <right style="medium">
        <color theme="7" tint="0.59996337778862885"/>
      </right>
      <top style="medium">
        <color theme="7" tint="0.59996337778862885"/>
      </top>
      <bottom/>
      <diagonal/>
    </border>
    <border>
      <left style="medium">
        <color theme="7" tint="0.59996337778862885"/>
      </left>
      <right style="medium">
        <color theme="7" tint="0.59996337778862885"/>
      </right>
      <top/>
      <bottom style="medium">
        <color theme="7" tint="0.59996337778862885"/>
      </bottom>
      <diagonal/>
    </border>
    <border>
      <left style="medium">
        <color theme="5"/>
      </left>
      <right style="medium">
        <color theme="5"/>
      </right>
      <top/>
      <bottom/>
      <diagonal/>
    </border>
    <border>
      <left style="medium">
        <color theme="8"/>
      </left>
      <right style="medium">
        <color theme="8"/>
      </right>
      <top/>
      <bottom/>
      <diagonal/>
    </border>
    <border>
      <left style="medium">
        <color indexed="64"/>
      </left>
      <right style="medium">
        <color indexed="64"/>
      </right>
      <top/>
      <bottom/>
      <diagonal/>
    </border>
    <border>
      <left style="medium">
        <color theme="9" tint="0.59996337778862885"/>
      </left>
      <right style="medium">
        <color theme="9" tint="0.59996337778862885"/>
      </right>
      <top style="medium">
        <color theme="9" tint="0.59996337778862885"/>
      </top>
      <bottom/>
      <diagonal/>
    </border>
    <border>
      <left style="medium">
        <color theme="9" tint="0.59996337778862885"/>
      </left>
      <right style="medium">
        <color theme="9" tint="0.59996337778862885"/>
      </right>
      <top/>
      <bottom style="medium">
        <color theme="9" tint="0.59996337778862885"/>
      </bottom>
      <diagonal/>
    </border>
    <border>
      <left style="medium">
        <color indexed="64"/>
      </left>
      <right style="medium">
        <color indexed="64"/>
      </right>
      <top style="thin">
        <color indexed="64"/>
      </top>
      <bottom style="thin">
        <color indexed="64"/>
      </bottom>
      <diagonal/>
    </border>
  </borders>
  <cellStyleXfs count="2">
    <xf numFmtId="0" fontId="0" fillId="0" borderId="0"/>
    <xf numFmtId="0" fontId="5" fillId="0" borderId="0" applyNumberFormat="0" applyFill="0" applyBorder="0" applyAlignment="0" applyProtection="0"/>
  </cellStyleXfs>
  <cellXfs count="518">
    <xf numFmtId="0" fontId="0" fillId="0" borderId="0" xfId="0"/>
    <xf numFmtId="0" fontId="0" fillId="4" borderId="0" xfId="0" applyFill="1"/>
    <xf numFmtId="0" fontId="0" fillId="5" borderId="32" xfId="0" applyFill="1" applyBorder="1"/>
    <xf numFmtId="0" fontId="0" fillId="5" borderId="33" xfId="0" applyFill="1" applyBorder="1"/>
    <xf numFmtId="0" fontId="0" fillId="5" borderId="33" xfId="0" applyFill="1" applyBorder="1" applyAlignment="1">
      <alignment horizontal="center" vertical="center"/>
    </xf>
    <xf numFmtId="0" fontId="0" fillId="5" borderId="34" xfId="0" applyFill="1" applyBorder="1"/>
    <xf numFmtId="0" fontId="0" fillId="5" borderId="35" xfId="0" applyFill="1" applyBorder="1"/>
    <xf numFmtId="0" fontId="0" fillId="5" borderId="0" xfId="0" applyFill="1"/>
    <xf numFmtId="0" fontId="0" fillId="5" borderId="36" xfId="0" applyFill="1" applyBorder="1"/>
    <xf numFmtId="0" fontId="0" fillId="5" borderId="37" xfId="0" applyFill="1" applyBorder="1"/>
    <xf numFmtId="0" fontId="0" fillId="5" borderId="38" xfId="0" applyFill="1" applyBorder="1"/>
    <xf numFmtId="0" fontId="0" fillId="5" borderId="39" xfId="0" applyFill="1" applyBorder="1"/>
    <xf numFmtId="0" fontId="0" fillId="8" borderId="0" xfId="0" applyFill="1"/>
    <xf numFmtId="0" fontId="8" fillId="4" borderId="0" xfId="0" applyFont="1" applyFill="1"/>
    <xf numFmtId="0" fontId="0" fillId="5" borderId="0" xfId="0" applyFill="1" applyAlignment="1">
      <alignment wrapText="1"/>
    </xf>
    <xf numFmtId="0" fontId="0" fillId="8" borderId="0" xfId="0" applyFill="1" applyAlignment="1">
      <alignment horizontal="center" vertical="center" wrapText="1"/>
    </xf>
    <xf numFmtId="0" fontId="2" fillId="8" borderId="0" xfId="0" applyFont="1" applyFill="1" applyAlignment="1">
      <alignment horizontal="center" vertical="center"/>
    </xf>
    <xf numFmtId="0" fontId="0" fillId="0" borderId="3" xfId="0" applyBorder="1"/>
    <xf numFmtId="0" fontId="0" fillId="0" borderId="4" xfId="0" applyBorder="1"/>
    <xf numFmtId="0" fontId="0" fillId="0" borderId="4" xfId="0" applyBorder="1" applyAlignment="1">
      <alignment horizontal="center" vertical="center" wrapText="1"/>
    </xf>
    <xf numFmtId="0" fontId="0" fillId="0" borderId="5" xfId="0" applyBorder="1"/>
    <xf numFmtId="0" fontId="0" fillId="0" borderId="6" xfId="0" applyBorder="1"/>
    <xf numFmtId="0" fontId="4" fillId="0" borderId="0" xfId="0" applyFont="1" applyAlignment="1">
      <alignment vertical="top"/>
    </xf>
    <xf numFmtId="0" fontId="0" fillId="0" borderId="0" xfId="0" applyAlignment="1">
      <alignment horizontal="center" vertical="center" wrapText="1"/>
    </xf>
    <xf numFmtId="0" fontId="0" fillId="0" borderId="7" xfId="0" applyBorder="1"/>
    <xf numFmtId="0" fontId="0" fillId="0" borderId="8" xfId="0" applyBorder="1"/>
    <xf numFmtId="0" fontId="0" fillId="0" borderId="9" xfId="0" applyBorder="1"/>
    <xf numFmtId="0" fontId="0" fillId="0" borderId="9" xfId="0" applyBorder="1" applyAlignment="1">
      <alignment horizontal="center" vertical="center" wrapText="1"/>
    </xf>
    <xf numFmtId="0" fontId="0" fillId="0" borderId="10" xfId="0" applyBorder="1"/>
    <xf numFmtId="0" fontId="0" fillId="8" borderId="0" xfId="0" applyFill="1" applyAlignment="1">
      <alignment horizontal="center" vertical="center"/>
    </xf>
    <xf numFmtId="0" fontId="9" fillId="8" borderId="0" xfId="0" applyFont="1" applyFill="1" applyAlignment="1">
      <alignment horizontal="center"/>
    </xf>
    <xf numFmtId="0" fontId="5" fillId="8" borderId="0" xfId="1" applyFill="1" applyBorder="1" applyAlignment="1">
      <alignment horizontal="center" vertical="center"/>
    </xf>
    <xf numFmtId="0" fontId="8" fillId="8" borderId="0" xfId="0" applyFont="1" applyFill="1" applyAlignment="1">
      <alignment horizontal="center"/>
    </xf>
    <xf numFmtId="0" fontId="0" fillId="2" borderId="12" xfId="0" applyFill="1" applyBorder="1"/>
    <xf numFmtId="0" fontId="0" fillId="2" borderId="11" xfId="0" applyFill="1" applyBorder="1"/>
    <xf numFmtId="0" fontId="8" fillId="2" borderId="11" xfId="0" applyFont="1" applyFill="1" applyBorder="1" applyAlignment="1">
      <alignment horizontal="center"/>
    </xf>
    <xf numFmtId="0" fontId="0" fillId="2" borderId="11" xfId="0" applyFill="1" applyBorder="1" applyAlignment="1">
      <alignment horizontal="center" vertical="center"/>
    </xf>
    <xf numFmtId="0" fontId="0" fillId="2" borderId="13" xfId="0" applyFill="1" applyBorder="1"/>
    <xf numFmtId="0" fontId="0" fillId="2" borderId="14" xfId="0" applyFill="1" applyBorder="1"/>
    <xf numFmtId="0" fontId="8" fillId="2" borderId="0" xfId="0" applyFont="1" applyFill="1" applyAlignment="1">
      <alignment horizontal="left" vertical="center"/>
    </xf>
    <xf numFmtId="0" fontId="0" fillId="2" borderId="0" xfId="0" applyFill="1"/>
    <xf numFmtId="0" fontId="0" fillId="2" borderId="15" xfId="0" applyFill="1" applyBorder="1"/>
    <xf numFmtId="0" fontId="8" fillId="2" borderId="0" xfId="0" applyFont="1" applyFill="1" applyAlignment="1">
      <alignment horizontal="center"/>
    </xf>
    <xf numFmtId="0" fontId="0" fillId="2" borderId="0" xfId="0" applyFill="1" applyAlignment="1">
      <alignment horizontal="center" vertical="center"/>
    </xf>
    <xf numFmtId="0" fontId="4" fillId="2" borderId="0" xfId="0" applyFont="1" applyFill="1" applyAlignment="1">
      <alignment horizontal="center" vertical="center"/>
    </xf>
    <xf numFmtId="0" fontId="8" fillId="2" borderId="0" xfId="0" applyFont="1" applyFill="1"/>
    <xf numFmtId="0" fontId="0" fillId="2" borderId="16" xfId="0" applyFill="1" applyBorder="1"/>
    <xf numFmtId="0" fontId="0" fillId="2" borderId="17" xfId="0" applyFill="1" applyBorder="1"/>
    <xf numFmtId="0" fontId="0" fillId="2" borderId="17" xfId="0" applyFill="1" applyBorder="1" applyAlignment="1">
      <alignment horizontal="center" vertical="center"/>
    </xf>
    <xf numFmtId="0" fontId="0" fillId="2" borderId="18" xfId="0" applyFill="1" applyBorder="1"/>
    <xf numFmtId="0" fontId="3" fillId="2" borderId="0" xfId="0" applyFont="1" applyFill="1" applyAlignment="1">
      <alignment horizontal="center" vertical="center"/>
    </xf>
    <xf numFmtId="0" fontId="0" fillId="8" borderId="0" xfId="0" applyFill="1" applyAlignment="1">
      <alignment vertical="center"/>
    </xf>
    <xf numFmtId="0" fontId="0" fillId="8" borderId="0" xfId="0" applyFill="1" applyAlignment="1">
      <alignment horizontal="left" vertical="center"/>
    </xf>
    <xf numFmtId="0" fontId="0" fillId="10" borderId="3" xfId="0" applyFill="1" applyBorder="1"/>
    <xf numFmtId="0" fontId="0" fillId="10" borderId="4" xfId="0" applyFill="1" applyBorder="1"/>
    <xf numFmtId="0" fontId="0" fillId="10" borderId="4" xfId="0" applyFill="1" applyBorder="1" applyAlignment="1">
      <alignment horizontal="center" vertical="center"/>
    </xf>
    <xf numFmtId="0" fontId="0" fillId="10" borderId="5" xfId="0" applyFill="1" applyBorder="1"/>
    <xf numFmtId="0" fontId="0" fillId="10" borderId="6" xfId="0" applyFill="1" applyBorder="1"/>
    <xf numFmtId="0" fontId="8" fillId="10" borderId="0" xfId="0" applyFont="1" applyFill="1" applyAlignment="1">
      <alignment horizontal="left" vertical="center"/>
    </xf>
    <xf numFmtId="0" fontId="0" fillId="10" borderId="0" xfId="0" applyFill="1"/>
    <xf numFmtId="0" fontId="0" fillId="10" borderId="0" xfId="0" applyFill="1" applyAlignment="1">
      <alignment horizontal="center" vertical="center"/>
    </xf>
    <xf numFmtId="0" fontId="0" fillId="10" borderId="7" xfId="0" applyFill="1" applyBorder="1"/>
    <xf numFmtId="0" fontId="0" fillId="10" borderId="0" xfId="0" applyFill="1" applyAlignment="1">
      <alignment horizontal="left"/>
    </xf>
    <xf numFmtId="0" fontId="0" fillId="10" borderId="0" xfId="0" applyFill="1" applyAlignment="1">
      <alignment horizontal="left" vertical="center"/>
    </xf>
    <xf numFmtId="0" fontId="0" fillId="10" borderId="0" xfId="0" applyFill="1" applyAlignment="1">
      <alignment vertical="center"/>
    </xf>
    <xf numFmtId="0" fontId="7" fillId="10" borderId="0" xfId="0" applyFont="1" applyFill="1" applyAlignment="1">
      <alignment horizontal="right" vertical="center"/>
    </xf>
    <xf numFmtId="0" fontId="7" fillId="10" borderId="0" xfId="0" applyFont="1" applyFill="1" applyAlignment="1">
      <alignment vertical="center"/>
    </xf>
    <xf numFmtId="2" fontId="7" fillId="10" borderId="0" xfId="0" applyNumberFormat="1" applyFont="1" applyFill="1" applyAlignment="1">
      <alignment horizontal="center" vertical="center"/>
    </xf>
    <xf numFmtId="0" fontId="7" fillId="10" borderId="6" xfId="0" applyFont="1" applyFill="1" applyBorder="1" applyAlignment="1">
      <alignment horizontal="right" vertical="center"/>
    </xf>
    <xf numFmtId="0" fontId="8" fillId="10" borderId="0" xfId="0" applyFont="1" applyFill="1" applyAlignment="1">
      <alignment vertical="center"/>
    </xf>
    <xf numFmtId="0" fontId="0" fillId="10" borderId="6" xfId="0" applyFill="1" applyBorder="1" applyAlignment="1">
      <alignment horizontal="left" vertical="center"/>
    </xf>
    <xf numFmtId="0" fontId="0" fillId="10" borderId="6" xfId="0" applyFill="1" applyBorder="1" applyAlignment="1">
      <alignment horizontal="center" vertical="center"/>
    </xf>
    <xf numFmtId="0" fontId="0" fillId="10" borderId="6" xfId="0" applyFill="1" applyBorder="1" applyAlignment="1">
      <alignment vertical="center"/>
    </xf>
    <xf numFmtId="0" fontId="0" fillId="10" borderId="8" xfId="0" applyFill="1" applyBorder="1"/>
    <xf numFmtId="0" fontId="0" fillId="10" borderId="9" xfId="0" applyFill="1" applyBorder="1"/>
    <xf numFmtId="0" fontId="0" fillId="10" borderId="9" xfId="0" applyFill="1" applyBorder="1" applyAlignment="1">
      <alignment horizontal="center" vertical="center"/>
    </xf>
    <xf numFmtId="0" fontId="0" fillId="10" borderId="10" xfId="0" applyFill="1" applyBorder="1"/>
    <xf numFmtId="0" fontId="0" fillId="3" borderId="25" xfId="0" applyFill="1" applyBorder="1"/>
    <xf numFmtId="0" fontId="0" fillId="3" borderId="23" xfId="0" applyFill="1" applyBorder="1"/>
    <xf numFmtId="0" fontId="0" fillId="3" borderId="23" xfId="0" applyFill="1" applyBorder="1" applyAlignment="1">
      <alignment horizontal="center"/>
    </xf>
    <xf numFmtId="0" fontId="0" fillId="3" borderId="26" xfId="0" applyFill="1" applyBorder="1"/>
    <xf numFmtId="0" fontId="0" fillId="3" borderId="27" xfId="0" applyFill="1" applyBorder="1"/>
    <xf numFmtId="0" fontId="8" fillId="3" borderId="0" xfId="0" applyFont="1" applyFill="1" applyAlignment="1">
      <alignment vertical="center"/>
    </xf>
    <xf numFmtId="0" fontId="0" fillId="3" borderId="0" xfId="0" applyFill="1" applyAlignment="1">
      <alignment horizontal="center" vertical="center"/>
    </xf>
    <xf numFmtId="0" fontId="0" fillId="3" borderId="0" xfId="0" applyFill="1" applyAlignment="1">
      <alignment vertical="center"/>
    </xf>
    <xf numFmtId="0" fontId="0" fillId="3" borderId="0" xfId="0" applyFill="1"/>
    <xf numFmtId="0" fontId="8" fillId="3" borderId="0" xfId="0" applyFont="1" applyFill="1" applyAlignment="1">
      <alignment horizontal="center" vertical="center"/>
    </xf>
    <xf numFmtId="0" fontId="0" fillId="3" borderId="28" xfId="0" applyFill="1" applyBorder="1"/>
    <xf numFmtId="0" fontId="0" fillId="3" borderId="0" xfId="0" applyFill="1" applyAlignment="1">
      <alignment vertical="center" wrapText="1"/>
    </xf>
    <xf numFmtId="0" fontId="1" fillId="3" borderId="0" xfId="0" applyFont="1" applyFill="1" applyAlignment="1">
      <alignment vertical="center"/>
    </xf>
    <xf numFmtId="0" fontId="1" fillId="3" borderId="0" xfId="0" applyFont="1" applyFill="1" applyAlignment="1">
      <alignment horizontal="center" vertical="center"/>
    </xf>
    <xf numFmtId="0" fontId="0" fillId="3" borderId="29" xfId="0" applyFill="1" applyBorder="1" applyAlignment="1">
      <alignment vertical="center" wrapText="1"/>
    </xf>
    <xf numFmtId="0" fontId="0" fillId="3" borderId="30" xfId="0" applyFill="1" applyBorder="1" applyAlignment="1">
      <alignment vertical="center"/>
    </xf>
    <xf numFmtId="0" fontId="0" fillId="3" borderId="30" xfId="0" applyFill="1" applyBorder="1" applyAlignment="1">
      <alignment vertical="center" wrapText="1"/>
    </xf>
    <xf numFmtId="0" fontId="0" fillId="3" borderId="30" xfId="0" applyFill="1" applyBorder="1"/>
    <xf numFmtId="0" fontId="0" fillId="3" borderId="30" xfId="0" applyFill="1" applyBorder="1" applyAlignment="1">
      <alignment horizontal="center"/>
    </xf>
    <xf numFmtId="0" fontId="0" fillId="3" borderId="31" xfId="0" applyFill="1" applyBorder="1"/>
    <xf numFmtId="0" fontId="0" fillId="3" borderId="27" xfId="0" applyFill="1" applyBorder="1" applyAlignment="1">
      <alignment vertical="center"/>
    </xf>
    <xf numFmtId="0" fontId="0" fillId="8" borderId="0" xfId="0" applyFill="1" applyAlignment="1">
      <alignment horizontal="center"/>
    </xf>
    <xf numFmtId="0" fontId="0" fillId="8" borderId="0" xfId="0" applyFill="1" applyAlignment="1">
      <alignment vertical="center" wrapText="1"/>
    </xf>
    <xf numFmtId="0" fontId="0" fillId="8" borderId="22" xfId="0" applyFill="1" applyBorder="1" applyAlignment="1">
      <alignment vertical="center" wrapText="1"/>
    </xf>
    <xf numFmtId="0" fontId="0" fillId="8" borderId="22" xfId="0" applyFill="1" applyBorder="1" applyAlignment="1">
      <alignment vertical="center"/>
    </xf>
    <xf numFmtId="0" fontId="0" fillId="8" borderId="22" xfId="0" applyFill="1" applyBorder="1"/>
    <xf numFmtId="0" fontId="0" fillId="8" borderId="22" xfId="0" applyFill="1" applyBorder="1" applyAlignment="1">
      <alignment horizontal="center"/>
    </xf>
    <xf numFmtId="0" fontId="11" fillId="8" borderId="0" xfId="1" applyFont="1" applyFill="1" applyBorder="1" applyAlignment="1">
      <alignment horizontal="center" vertical="center"/>
    </xf>
    <xf numFmtId="0" fontId="6" fillId="8" borderId="0" xfId="1" applyFont="1" applyFill="1" applyBorder="1" applyAlignment="1">
      <alignment horizontal="center" vertical="center"/>
    </xf>
    <xf numFmtId="0" fontId="17" fillId="8" borderId="0" xfId="0" applyFont="1" applyFill="1"/>
    <xf numFmtId="0" fontId="0" fillId="4" borderId="77" xfId="0" applyFill="1" applyBorder="1"/>
    <xf numFmtId="0" fontId="0" fillId="4" borderId="78" xfId="0" applyFill="1" applyBorder="1"/>
    <xf numFmtId="0" fontId="0" fillId="4" borderId="78" xfId="0" applyFill="1" applyBorder="1" applyAlignment="1">
      <alignment horizontal="center" vertical="center" wrapText="1"/>
    </xf>
    <xf numFmtId="0" fontId="0" fillId="4" borderId="79" xfId="0" applyFill="1" applyBorder="1"/>
    <xf numFmtId="0" fontId="0" fillId="4" borderId="83" xfId="0" applyFill="1" applyBorder="1"/>
    <xf numFmtId="0" fontId="0" fillId="4" borderId="84" xfId="0" applyFill="1" applyBorder="1"/>
    <xf numFmtId="0" fontId="0" fillId="4" borderId="80" xfId="0" applyFill="1" applyBorder="1"/>
    <xf numFmtId="0" fontId="0" fillId="4" borderId="81" xfId="0" applyFill="1" applyBorder="1"/>
    <xf numFmtId="0" fontId="0" fillId="4" borderId="82" xfId="0" applyFill="1" applyBorder="1"/>
    <xf numFmtId="0" fontId="0" fillId="3" borderId="24" xfId="0" applyFill="1" applyBorder="1" applyAlignment="1">
      <alignment horizontal="center" vertical="center" wrapText="1"/>
    </xf>
    <xf numFmtId="0" fontId="0" fillId="6" borderId="24" xfId="0" applyFill="1" applyBorder="1" applyAlignment="1">
      <alignment horizontal="center" vertical="center" wrapText="1"/>
    </xf>
    <xf numFmtId="0" fontId="0" fillId="0" borderId="0" xfId="0" applyAlignment="1">
      <alignment horizontal="center" vertical="center"/>
    </xf>
    <xf numFmtId="0" fontId="2" fillId="0" borderId="4" xfId="0" applyFont="1" applyBorder="1" applyAlignment="1">
      <alignment horizontal="center" vertical="center"/>
    </xf>
    <xf numFmtId="0" fontId="2" fillId="0" borderId="0" xfId="0" applyFont="1" applyAlignment="1">
      <alignment horizontal="center" vertical="center"/>
    </xf>
    <xf numFmtId="0" fontId="2" fillId="0" borderId="9" xfId="0" applyFont="1" applyBorder="1" applyAlignment="1">
      <alignment horizontal="center" vertical="center"/>
    </xf>
    <xf numFmtId="0" fontId="4" fillId="0" borderId="0" xfId="0" applyFont="1"/>
    <xf numFmtId="0" fontId="18" fillId="0" borderId="24" xfId="0" applyFont="1" applyBorder="1" applyAlignment="1">
      <alignment horizontal="center" vertical="center" wrapText="1"/>
    </xf>
    <xf numFmtId="0" fontId="0" fillId="0" borderId="86" xfId="0" applyBorder="1"/>
    <xf numFmtId="0" fontId="0" fillId="0" borderId="51" xfId="0" applyBorder="1"/>
    <xf numFmtId="0" fontId="0" fillId="0" borderId="86" xfId="0" applyBorder="1" applyAlignment="1">
      <alignment horizontal="left" vertical="top" wrapText="1"/>
    </xf>
    <xf numFmtId="0" fontId="0" fillId="0" borderId="51" xfId="0" applyBorder="1" applyAlignment="1">
      <alignment horizontal="left" vertical="top" wrapText="1"/>
    </xf>
    <xf numFmtId="0" fontId="0" fillId="0" borderId="24" xfId="0" applyBorder="1" applyAlignment="1">
      <alignment horizontal="center" vertical="center" wrapText="1"/>
    </xf>
    <xf numFmtId="0" fontId="6" fillId="0" borderId="0" xfId="1" applyFont="1" applyFill="1" applyBorder="1" applyAlignment="1">
      <alignment horizontal="center" vertical="center" wrapText="1"/>
    </xf>
    <xf numFmtId="2" fontId="0" fillId="0" borderId="1" xfId="0" applyNumberFormat="1" applyBorder="1" applyAlignment="1" applyProtection="1">
      <alignment horizontal="center" vertical="center"/>
      <protection locked="0"/>
    </xf>
    <xf numFmtId="0" fontId="0" fillId="0" borderId="24" xfId="0" applyBorder="1" applyAlignment="1" applyProtection="1">
      <alignment horizontal="center" vertical="center"/>
      <protection locked="0"/>
    </xf>
    <xf numFmtId="0" fontId="19" fillId="0" borderId="0" xfId="0" applyFont="1" applyAlignment="1">
      <alignment horizontal="right" vertical="top" wrapText="1"/>
    </xf>
    <xf numFmtId="0" fontId="20" fillId="0" borderId="0" xfId="0" applyFont="1" applyAlignment="1">
      <alignment horizontal="right" vertical="top" wrapText="1"/>
    </xf>
    <xf numFmtId="0" fontId="0" fillId="4" borderId="0" xfId="0" applyFill="1" applyProtection="1">
      <protection locked="0"/>
    </xf>
    <xf numFmtId="0" fontId="0" fillId="4" borderId="0" xfId="0" applyFill="1" applyAlignment="1" applyProtection="1">
      <alignment horizontal="center" vertical="center"/>
      <protection locked="0"/>
    </xf>
    <xf numFmtId="0" fontId="0" fillId="0" borderId="51" xfId="0" applyBorder="1" applyAlignment="1">
      <alignment wrapText="1"/>
    </xf>
    <xf numFmtId="0" fontId="0" fillId="0" borderId="86" xfId="0" applyBorder="1" applyAlignment="1">
      <alignment wrapText="1"/>
    </xf>
    <xf numFmtId="0" fontId="0" fillId="0" borderId="41" xfId="0" applyBorder="1" applyAlignment="1">
      <alignment wrapText="1"/>
    </xf>
    <xf numFmtId="0" fontId="0" fillId="0" borderId="41" xfId="0" applyBorder="1" applyAlignment="1">
      <alignment horizontal="left" vertical="center" wrapText="1"/>
    </xf>
    <xf numFmtId="0" fontId="0" fillId="0" borderId="51" xfId="0" applyBorder="1" applyAlignment="1">
      <alignment horizontal="left" wrapText="1"/>
    </xf>
    <xf numFmtId="0" fontId="0" fillId="6" borderId="87" xfId="0" applyFill="1" applyBorder="1" applyAlignment="1">
      <alignment horizontal="center" vertical="center" wrapText="1"/>
    </xf>
    <xf numFmtId="0" fontId="0" fillId="0" borderId="88" xfId="0" applyBorder="1" applyAlignment="1">
      <alignment horizontal="center" vertical="center" wrapText="1"/>
    </xf>
    <xf numFmtId="0" fontId="0" fillId="0" borderId="87" xfId="0" applyBorder="1" applyAlignment="1">
      <alignment horizontal="center" vertical="center" wrapText="1"/>
    </xf>
    <xf numFmtId="0" fontId="0" fillId="0" borderId="89" xfId="0" applyBorder="1" applyAlignment="1">
      <alignment horizontal="center" vertical="center" wrapText="1"/>
    </xf>
    <xf numFmtId="0" fontId="0" fillId="6" borderId="88" xfId="0" applyFill="1" applyBorder="1" applyAlignment="1">
      <alignment horizontal="center" vertical="center" wrapText="1"/>
    </xf>
    <xf numFmtId="0" fontId="0" fillId="6" borderId="89" xfId="0" applyFill="1" applyBorder="1" applyAlignment="1">
      <alignment horizontal="center" vertical="center" wrapText="1"/>
    </xf>
    <xf numFmtId="3" fontId="0" fillId="0" borderId="24" xfId="0" applyNumberFormat="1" applyBorder="1" applyAlignment="1">
      <alignment horizontal="center" vertical="center" wrapText="1"/>
    </xf>
    <xf numFmtId="3" fontId="0" fillId="0" borderId="88" xfId="0" applyNumberFormat="1" applyBorder="1" applyAlignment="1">
      <alignment horizontal="center" vertical="center" wrapText="1"/>
    </xf>
    <xf numFmtId="3" fontId="0" fillId="0" borderId="87" xfId="0" applyNumberFormat="1" applyBorder="1" applyAlignment="1">
      <alignment horizontal="center" vertical="center" wrapText="1"/>
    </xf>
    <xf numFmtId="3" fontId="0" fillId="0" borderId="89" xfId="0" applyNumberFormat="1" applyBorder="1" applyAlignment="1">
      <alignment horizontal="center" vertical="center" wrapText="1"/>
    </xf>
    <xf numFmtId="4" fontId="0" fillId="0" borderId="87" xfId="0" applyNumberFormat="1" applyBorder="1" applyAlignment="1">
      <alignment horizontal="center" vertical="center" wrapText="1"/>
    </xf>
    <xf numFmtId="4" fontId="0" fillId="0" borderId="88" xfId="0" applyNumberFormat="1" applyBorder="1" applyAlignment="1">
      <alignment horizontal="center" vertical="center" wrapText="1"/>
    </xf>
    <xf numFmtId="4" fontId="0" fillId="0" borderId="89" xfId="0" applyNumberFormat="1" applyBorder="1" applyAlignment="1">
      <alignment horizontal="center" vertical="center" wrapText="1"/>
    </xf>
    <xf numFmtId="4" fontId="0" fillId="0" borderId="24" xfId="0" applyNumberFormat="1" applyBorder="1" applyAlignment="1">
      <alignment horizontal="center" vertical="center" wrapText="1"/>
    </xf>
    <xf numFmtId="2" fontId="0" fillId="0" borderId="87" xfId="0" applyNumberFormat="1" applyBorder="1" applyAlignment="1">
      <alignment horizontal="center" vertical="center" wrapText="1"/>
    </xf>
    <xf numFmtId="2" fontId="0" fillId="0" borderId="89" xfId="0" applyNumberFormat="1" applyBorder="1" applyAlignment="1">
      <alignment horizontal="center" vertical="center" wrapText="1"/>
    </xf>
    <xf numFmtId="0" fontId="5" fillId="8" borderId="0" xfId="1" applyFill="1" applyBorder="1" applyAlignment="1" applyProtection="1">
      <alignment horizontal="center" vertical="center"/>
    </xf>
    <xf numFmtId="0" fontId="11" fillId="8" borderId="0" xfId="1" applyFont="1" applyFill="1" applyBorder="1" applyAlignment="1" applyProtection="1">
      <alignment horizontal="center" vertical="center"/>
    </xf>
    <xf numFmtId="0" fontId="0" fillId="11" borderId="42" xfId="0" applyFill="1" applyBorder="1"/>
    <xf numFmtId="0" fontId="0" fillId="11" borderId="43" xfId="0" applyFill="1" applyBorder="1"/>
    <xf numFmtId="0" fontId="0" fillId="11" borderId="44" xfId="0" applyFill="1" applyBorder="1"/>
    <xf numFmtId="0" fontId="0" fillId="11" borderId="45" xfId="0" applyFill="1" applyBorder="1"/>
    <xf numFmtId="0" fontId="0" fillId="11" borderId="0" xfId="0" applyFill="1"/>
    <xf numFmtId="0" fontId="4" fillId="11" borderId="0" xfId="0" applyFont="1" applyFill="1" applyAlignment="1">
      <alignment horizontal="center"/>
    </xf>
    <xf numFmtId="0" fontId="0" fillId="11" borderId="46" xfId="0" applyFill="1" applyBorder="1"/>
    <xf numFmtId="0" fontId="1" fillId="11" borderId="0" xfId="0" applyFont="1" applyFill="1"/>
    <xf numFmtId="0" fontId="0" fillId="11" borderId="0" xfId="0" applyFill="1" applyAlignment="1">
      <alignment horizontal="left" vertical="center"/>
    </xf>
    <xf numFmtId="0" fontId="0" fillId="11" borderId="47" xfId="0" applyFill="1" applyBorder="1"/>
    <xf numFmtId="0" fontId="0" fillId="11" borderId="48" xfId="0" applyFill="1" applyBorder="1"/>
    <xf numFmtId="0" fontId="0" fillId="11" borderId="49" xfId="0" applyFill="1" applyBorder="1"/>
    <xf numFmtId="0" fontId="4" fillId="2" borderId="0" xfId="0" applyFont="1" applyFill="1"/>
    <xf numFmtId="0" fontId="4" fillId="2" borderId="0" xfId="0" applyFont="1" applyFill="1" applyAlignment="1">
      <alignment horizontal="center"/>
    </xf>
    <xf numFmtId="0" fontId="0" fillId="8" borderId="0" xfId="0" applyFill="1" applyAlignment="1">
      <alignment horizontal="right"/>
    </xf>
    <xf numFmtId="0" fontId="21" fillId="2" borderId="0" xfId="0" applyFont="1" applyFill="1"/>
    <xf numFmtId="0" fontId="0" fillId="2" borderId="52" xfId="0" applyFill="1" applyBorder="1"/>
    <xf numFmtId="0" fontId="0" fillId="2" borderId="14" xfId="0" applyFill="1" applyBorder="1" applyAlignment="1">
      <alignment horizontal="left" vertical="top"/>
    </xf>
    <xf numFmtId="0" fontId="0" fillId="2" borderId="15" xfId="0" applyFill="1" applyBorder="1" applyAlignment="1">
      <alignment horizontal="left" vertical="top"/>
    </xf>
    <xf numFmtId="0" fontId="0" fillId="8" borderId="0" xfId="0" applyFill="1" applyAlignment="1">
      <alignment horizontal="left" vertical="top"/>
    </xf>
    <xf numFmtId="0" fontId="1" fillId="2" borderId="0" xfId="0" applyFont="1" applyFill="1"/>
    <xf numFmtId="0" fontId="13" fillId="2" borderId="0" xfId="0" applyFont="1" applyFill="1"/>
    <xf numFmtId="4" fontId="0" fillId="2" borderId="0" xfId="0" applyNumberFormat="1" applyFill="1"/>
    <xf numFmtId="0" fontId="14" fillId="2" borderId="0" xfId="0" applyFont="1" applyFill="1"/>
    <xf numFmtId="0" fontId="0" fillId="7" borderId="53" xfId="0" applyFill="1" applyBorder="1"/>
    <xf numFmtId="0" fontId="0" fillId="7" borderId="54" xfId="0" applyFill="1" applyBorder="1"/>
    <xf numFmtId="0" fontId="0" fillId="7" borderId="55" xfId="0" applyFill="1" applyBorder="1"/>
    <xf numFmtId="0" fontId="0" fillId="7" borderId="56" xfId="0" applyFill="1" applyBorder="1"/>
    <xf numFmtId="0" fontId="0" fillId="7" borderId="0" xfId="0" applyFill="1"/>
    <xf numFmtId="0" fontId="4" fillId="7" borderId="0" xfId="0" applyFont="1" applyFill="1" applyAlignment="1">
      <alignment horizontal="center"/>
    </xf>
    <xf numFmtId="0" fontId="0" fillId="7" borderId="57" xfId="0" applyFill="1" applyBorder="1"/>
    <xf numFmtId="0" fontId="14" fillId="7" borderId="0" xfId="0" applyFont="1" applyFill="1"/>
    <xf numFmtId="0" fontId="0" fillId="7" borderId="58" xfId="0" applyFill="1" applyBorder="1"/>
    <xf numFmtId="0" fontId="0" fillId="7" borderId="59" xfId="0" applyFill="1" applyBorder="1"/>
    <xf numFmtId="0" fontId="0" fillId="7" borderId="60" xfId="0" applyFill="1" applyBorder="1"/>
    <xf numFmtId="0" fontId="4" fillId="10" borderId="0" xfId="0" applyFont="1" applyFill="1" applyAlignment="1">
      <alignment horizontal="center"/>
    </xf>
    <xf numFmtId="0" fontId="8" fillId="10" borderId="0" xfId="0" applyFont="1" applyFill="1"/>
    <xf numFmtId="0" fontId="1" fillId="10" borderId="0" xfId="0" applyFont="1" applyFill="1"/>
    <xf numFmtId="0" fontId="16" fillId="10" borderId="0" xfId="0" applyFont="1" applyFill="1"/>
    <xf numFmtId="0" fontId="14" fillId="10" borderId="0" xfId="0" applyFont="1" applyFill="1"/>
    <xf numFmtId="0" fontId="0" fillId="9" borderId="61" xfId="0" applyFill="1" applyBorder="1"/>
    <xf numFmtId="0" fontId="0" fillId="9" borderId="62" xfId="0" applyFill="1" applyBorder="1"/>
    <xf numFmtId="0" fontId="0" fillId="9" borderId="63" xfId="0" applyFill="1" applyBorder="1"/>
    <xf numFmtId="0" fontId="0" fillId="9" borderId="64" xfId="0" applyFill="1" applyBorder="1"/>
    <xf numFmtId="0" fontId="0" fillId="9" borderId="0" xfId="0" applyFill="1"/>
    <xf numFmtId="0" fontId="4" fillId="9" borderId="0" xfId="0" applyFont="1" applyFill="1" applyAlignment="1">
      <alignment horizontal="center"/>
    </xf>
    <xf numFmtId="0" fontId="0" fillId="9" borderId="65" xfId="0" applyFill="1" applyBorder="1"/>
    <xf numFmtId="0" fontId="14" fillId="9" borderId="0" xfId="0" applyFont="1" applyFill="1"/>
    <xf numFmtId="0" fontId="0" fillId="9" borderId="66" xfId="0" applyFill="1" applyBorder="1"/>
    <xf numFmtId="0" fontId="0" fillId="9" borderId="67" xfId="0" applyFill="1" applyBorder="1"/>
    <xf numFmtId="0" fontId="0" fillId="9" borderId="68" xfId="0" applyFill="1" applyBorder="1"/>
    <xf numFmtId="0" fontId="4" fillId="3" borderId="0" xfId="0" applyFont="1" applyFill="1" applyAlignment="1">
      <alignment horizontal="center"/>
    </xf>
    <xf numFmtId="0" fontId="8" fillId="3" borderId="0" xfId="0" applyFont="1" applyFill="1"/>
    <xf numFmtId="0" fontId="14" fillId="3" borderId="0" xfId="0" applyFont="1" applyFill="1"/>
    <xf numFmtId="0" fontId="0" fillId="3" borderId="29" xfId="0" applyFill="1" applyBorder="1"/>
    <xf numFmtId="0" fontId="0" fillId="6" borderId="69" xfId="0" applyFill="1" applyBorder="1"/>
    <xf numFmtId="0" fontId="0" fillId="6" borderId="70" xfId="0" applyFill="1" applyBorder="1"/>
    <xf numFmtId="0" fontId="0" fillId="6" borderId="71" xfId="0" applyFill="1" applyBorder="1"/>
    <xf numFmtId="0" fontId="0" fillId="6" borderId="72" xfId="0" applyFill="1" applyBorder="1"/>
    <xf numFmtId="0" fontId="0" fillId="6" borderId="0" xfId="0" applyFill="1"/>
    <xf numFmtId="0" fontId="4" fillId="6" borderId="0" xfId="0" applyFont="1" applyFill="1" applyAlignment="1">
      <alignment horizontal="center"/>
    </xf>
    <xf numFmtId="0" fontId="0" fillId="6" borderId="73" xfId="0" applyFill="1" applyBorder="1"/>
    <xf numFmtId="0" fontId="14" fillId="6" borderId="0" xfId="0" applyFont="1" applyFill="1"/>
    <xf numFmtId="0" fontId="0" fillId="6" borderId="74" xfId="0" applyFill="1" applyBorder="1"/>
    <xf numFmtId="0" fontId="0" fillId="6" borderId="75" xfId="0" applyFill="1" applyBorder="1"/>
    <xf numFmtId="0" fontId="0" fillId="6" borderId="76" xfId="0" applyFill="1" applyBorder="1"/>
    <xf numFmtId="0" fontId="12" fillId="8" borderId="0" xfId="0" applyFont="1" applyFill="1"/>
    <xf numFmtId="0" fontId="6" fillId="4" borderId="24" xfId="1" applyFont="1" applyFill="1" applyBorder="1" applyProtection="1">
      <protection locked="0"/>
    </xf>
    <xf numFmtId="0" fontId="14" fillId="3" borderId="30" xfId="0" applyFont="1" applyFill="1" applyBorder="1"/>
    <xf numFmtId="4" fontId="1" fillId="3" borderId="30" xfId="0" applyNumberFormat="1" applyFont="1" applyFill="1" applyBorder="1" applyAlignment="1">
      <alignment horizontal="center"/>
    </xf>
    <xf numFmtId="0" fontId="0" fillId="4" borderId="0" xfId="0" applyFill="1" applyAlignment="1">
      <alignment horizontal="center" vertical="center" wrapText="1"/>
    </xf>
    <xf numFmtId="0" fontId="23" fillId="4" borderId="0" xfId="0" applyFont="1" applyFill="1" applyAlignment="1">
      <alignment horizontal="center" vertical="center"/>
    </xf>
    <xf numFmtId="0" fontId="22" fillId="8" borderId="0" xfId="0" applyFont="1" applyFill="1"/>
    <xf numFmtId="0" fontId="22" fillId="8" borderId="0" xfId="0" applyFont="1" applyFill="1" applyAlignment="1">
      <alignment wrapText="1"/>
    </xf>
    <xf numFmtId="0" fontId="24" fillId="8" borderId="0" xfId="0" applyFont="1" applyFill="1" applyAlignment="1">
      <alignment horizontal="center" vertical="center"/>
    </xf>
    <xf numFmtId="0" fontId="9" fillId="8" borderId="0" xfId="0" applyFont="1" applyFill="1" applyAlignment="1">
      <alignment horizontal="center" vertical="center"/>
    </xf>
    <xf numFmtId="0" fontId="25" fillId="8" borderId="0" xfId="0" applyFont="1" applyFill="1"/>
    <xf numFmtId="0" fontId="0" fillId="2" borderId="24" xfId="0" applyFill="1" applyBorder="1" applyAlignment="1">
      <alignment horizontal="center" vertical="center" wrapText="1"/>
    </xf>
    <xf numFmtId="0" fontId="0" fillId="7" borderId="24" xfId="0" applyFill="1" applyBorder="1" applyAlignment="1">
      <alignment horizontal="center" vertical="center" wrapText="1"/>
    </xf>
    <xf numFmtId="0" fontId="0" fillId="9" borderId="24" xfId="0" applyFill="1" applyBorder="1" applyAlignment="1">
      <alignment horizontal="center" vertical="center" wrapText="1"/>
    </xf>
    <xf numFmtId="3" fontId="0" fillId="8" borderId="0" xfId="0" applyNumberFormat="1" applyFill="1"/>
    <xf numFmtId="0" fontId="0" fillId="3" borderId="0" xfId="0" applyFill="1" applyAlignment="1">
      <alignment horizontal="center"/>
    </xf>
    <xf numFmtId="4" fontId="1" fillId="3" borderId="0" xfId="0" applyNumberFormat="1" applyFont="1" applyFill="1" applyAlignment="1">
      <alignment horizontal="center"/>
    </xf>
    <xf numFmtId="4" fontId="1" fillId="6" borderId="0" xfId="0" applyNumberFormat="1" applyFont="1" applyFill="1" applyAlignment="1">
      <alignment horizontal="center"/>
    </xf>
    <xf numFmtId="1" fontId="0" fillId="2" borderId="2" xfId="0" applyNumberFormat="1" applyFill="1" applyBorder="1" applyAlignment="1">
      <alignment horizontal="center"/>
    </xf>
    <xf numFmtId="2" fontId="0" fillId="2" borderId="0" xfId="0" applyNumberFormat="1" applyFill="1" applyAlignment="1">
      <alignment horizontal="center"/>
    </xf>
    <xf numFmtId="0" fontId="0" fillId="2" borderId="0" xfId="0" applyFill="1" applyAlignment="1">
      <alignment horizontal="center"/>
    </xf>
    <xf numFmtId="0" fontId="0" fillId="2" borderId="20" xfId="0" applyFill="1" applyBorder="1" applyAlignment="1">
      <alignment horizontal="center"/>
    </xf>
    <xf numFmtId="0" fontId="0" fillId="2" borderId="52" xfId="0" applyFill="1" applyBorder="1" applyAlignment="1">
      <alignment horizontal="center"/>
    </xf>
    <xf numFmtId="0" fontId="0" fillId="2" borderId="2" xfId="0" applyFill="1" applyBorder="1" applyAlignment="1">
      <alignment horizontal="center"/>
    </xf>
    <xf numFmtId="1" fontId="0" fillId="2" borderId="52" xfId="0" applyNumberFormat="1" applyFill="1" applyBorder="1" applyAlignment="1">
      <alignment horizontal="center"/>
    </xf>
    <xf numFmtId="4" fontId="0" fillId="2" borderId="0" xfId="0" applyNumberFormat="1" applyFill="1" applyAlignment="1">
      <alignment horizontal="center"/>
    </xf>
    <xf numFmtId="3" fontId="0" fillId="2" borderId="0" xfId="0" applyNumberFormat="1" applyFill="1" applyAlignment="1">
      <alignment horizontal="center"/>
    </xf>
    <xf numFmtId="3" fontId="0" fillId="2" borderId="52" xfId="0" applyNumberFormat="1" applyFill="1" applyBorder="1" applyAlignment="1">
      <alignment horizontal="center"/>
    </xf>
    <xf numFmtId="0" fontId="0" fillId="2" borderId="2" xfId="0" applyFill="1" applyBorder="1" applyAlignment="1">
      <alignment horizontal="center" vertical="center"/>
    </xf>
    <xf numFmtId="4" fontId="0" fillId="2" borderId="52" xfId="0" applyNumberFormat="1" applyFill="1" applyBorder="1" applyAlignment="1">
      <alignment horizontal="center"/>
    </xf>
    <xf numFmtId="3" fontId="0" fillId="2" borderId="2" xfId="0" applyNumberFormat="1" applyFill="1" applyBorder="1" applyAlignment="1">
      <alignment horizontal="center"/>
    </xf>
    <xf numFmtId="4" fontId="1" fillId="7" borderId="0" xfId="0" applyNumberFormat="1" applyFont="1" applyFill="1" applyAlignment="1">
      <alignment horizontal="center"/>
    </xf>
    <xf numFmtId="4" fontId="1" fillId="2" borderId="0" xfId="0" applyNumberFormat="1" applyFont="1" applyFill="1" applyAlignment="1">
      <alignment horizontal="center"/>
    </xf>
    <xf numFmtId="4" fontId="0" fillId="2" borderId="0" xfId="0" applyNumberFormat="1" applyFill="1" applyAlignment="1">
      <alignment horizontal="center" vertical="center"/>
    </xf>
    <xf numFmtId="4" fontId="0" fillId="2" borderId="2" xfId="0" applyNumberFormat="1" applyFill="1" applyBorder="1" applyAlignment="1">
      <alignment horizontal="center"/>
    </xf>
    <xf numFmtId="0" fontId="0" fillId="10" borderId="0" xfId="0" applyFill="1" applyAlignment="1">
      <alignment horizontal="center"/>
    </xf>
    <xf numFmtId="0" fontId="1" fillId="10" borderId="0" xfId="0" applyFont="1" applyFill="1" applyAlignment="1">
      <alignment horizontal="center"/>
    </xf>
    <xf numFmtId="4" fontId="1" fillId="9" borderId="0" xfId="0" applyNumberFormat="1" applyFont="1" applyFill="1" applyAlignment="1">
      <alignment horizontal="center"/>
    </xf>
    <xf numFmtId="1" fontId="0" fillId="2" borderId="0" xfId="0" applyNumberFormat="1" applyFill="1" applyAlignment="1">
      <alignment horizontal="center"/>
    </xf>
    <xf numFmtId="3" fontId="0" fillId="0" borderId="24" xfId="0" applyNumberFormat="1" applyBorder="1" applyAlignment="1" applyProtection="1">
      <alignment horizontal="center"/>
      <protection locked="0"/>
    </xf>
    <xf numFmtId="0" fontId="22" fillId="12" borderId="24" xfId="0" applyFont="1" applyFill="1" applyBorder="1" applyAlignment="1" applyProtection="1">
      <alignment horizontal="left" vertical="center"/>
      <protection locked="0"/>
    </xf>
    <xf numFmtId="0" fontId="0" fillId="0" borderId="24" xfId="0" applyBorder="1" applyAlignment="1" applyProtection="1">
      <alignment horizontal="center"/>
      <protection locked="0"/>
    </xf>
    <xf numFmtId="0" fontId="0" fillId="0" borderId="24" xfId="0" applyBorder="1" applyAlignment="1">
      <alignment horizontal="center"/>
    </xf>
    <xf numFmtId="3" fontId="0" fillId="0" borderId="24" xfId="0" applyNumberFormat="1" applyBorder="1" applyAlignment="1">
      <alignment horizontal="center"/>
    </xf>
    <xf numFmtId="1" fontId="0" fillId="0" borderId="24" xfId="0" applyNumberFormat="1" applyBorder="1" applyAlignment="1" applyProtection="1">
      <alignment horizontal="center" vertical="center"/>
      <protection locked="0"/>
    </xf>
    <xf numFmtId="2" fontId="0" fillId="0" borderId="24" xfId="0" applyNumberFormat="1" applyBorder="1" applyAlignment="1" applyProtection="1">
      <alignment horizontal="center" vertical="center"/>
      <protection locked="0"/>
    </xf>
    <xf numFmtId="2" fontId="0" fillId="0" borderId="24" xfId="0" applyNumberFormat="1" applyBorder="1" applyAlignment="1" applyProtection="1">
      <alignment horizontal="center"/>
      <protection locked="0"/>
    </xf>
    <xf numFmtId="4" fontId="0" fillId="0" borderId="24" xfId="0" applyNumberFormat="1" applyBorder="1" applyAlignment="1" applyProtection="1">
      <alignment horizontal="center"/>
      <protection locked="0"/>
    </xf>
    <xf numFmtId="1" fontId="0" fillId="0" borderId="24" xfId="0" applyNumberFormat="1" applyBorder="1" applyAlignment="1" applyProtection="1">
      <alignment horizontal="center"/>
      <protection locked="0"/>
    </xf>
    <xf numFmtId="4" fontId="0" fillId="0" borderId="24" xfId="0" applyNumberFormat="1" applyBorder="1" applyAlignment="1" applyProtection="1">
      <alignment horizontal="center" vertical="center"/>
      <protection locked="0"/>
    </xf>
    <xf numFmtId="2" fontId="0" fillId="0" borderId="24" xfId="0" applyNumberFormat="1" applyBorder="1" applyAlignment="1">
      <alignment horizontal="center"/>
    </xf>
    <xf numFmtId="0" fontId="0" fillId="8" borderId="24" xfId="0" applyFill="1" applyBorder="1" applyAlignment="1">
      <alignment horizontal="center" vertical="center"/>
    </xf>
    <xf numFmtId="4" fontId="0" fillId="8" borderId="24" xfId="0" applyNumberFormat="1" applyFill="1" applyBorder="1" applyAlignment="1">
      <alignment horizontal="center" vertical="center"/>
    </xf>
    <xf numFmtId="0" fontId="22" fillId="2" borderId="0" xfId="0" applyFont="1" applyFill="1"/>
    <xf numFmtId="20" fontId="22" fillId="2" borderId="0" xfId="0" applyNumberFormat="1" applyFont="1" applyFill="1" applyAlignment="1">
      <alignment horizontal="right" vertical="center"/>
    </xf>
    <xf numFmtId="0" fontId="22" fillId="2" borderId="0" xfId="0" applyFont="1" applyFill="1" applyAlignment="1">
      <alignment horizontal="right" vertical="center"/>
    </xf>
    <xf numFmtId="0" fontId="22" fillId="2" borderId="0" xfId="0" applyFont="1" applyFill="1" applyAlignment="1">
      <alignment horizontal="left" vertical="center"/>
    </xf>
    <xf numFmtId="1" fontId="0" fillId="2" borderId="0" xfId="0" applyNumberFormat="1" applyFill="1" applyAlignment="1">
      <alignment horizontal="center" vertical="center"/>
    </xf>
    <xf numFmtId="0" fontId="0" fillId="2" borderId="14" xfId="0" applyFill="1" applyBorder="1" applyAlignment="1">
      <alignment vertical="center"/>
    </xf>
    <xf numFmtId="0" fontId="22" fillId="2" borderId="0" xfId="0" applyFont="1" applyFill="1" applyAlignment="1">
      <alignment vertical="center"/>
    </xf>
    <xf numFmtId="0" fontId="0" fillId="2" borderId="0" xfId="0" applyFill="1" applyAlignment="1">
      <alignment vertical="center"/>
    </xf>
    <xf numFmtId="0" fontId="0" fillId="2" borderId="15" xfId="0" applyFill="1" applyBorder="1" applyAlignment="1">
      <alignment vertical="center"/>
    </xf>
    <xf numFmtId="0" fontId="0" fillId="2" borderId="52" xfId="0" applyFill="1" applyBorder="1" applyAlignment="1">
      <alignment horizontal="center" vertical="center"/>
    </xf>
    <xf numFmtId="0" fontId="0" fillId="2" borderId="14" xfId="0" applyFill="1" applyBorder="1" applyAlignment="1">
      <alignment horizontal="center"/>
    </xf>
    <xf numFmtId="0" fontId="0" fillId="2" borderId="15" xfId="0" applyFill="1" applyBorder="1" applyAlignment="1">
      <alignment horizontal="center"/>
    </xf>
    <xf numFmtId="0" fontId="22" fillId="2" borderId="0" xfId="0" applyFont="1" applyFill="1" applyAlignment="1">
      <alignment horizontal="left"/>
    </xf>
    <xf numFmtId="0" fontId="0" fillId="2" borderId="0" xfId="0" applyFill="1" applyAlignment="1">
      <alignment wrapText="1"/>
    </xf>
    <xf numFmtId="4" fontId="0" fillId="2" borderId="2" xfId="0" applyNumberFormat="1" applyFill="1" applyBorder="1" applyAlignment="1">
      <alignment horizontal="center" vertical="center"/>
    </xf>
    <xf numFmtId="3" fontId="0" fillId="2" borderId="0" xfId="0" applyNumberFormat="1" applyFill="1" applyAlignment="1">
      <alignment horizontal="center" vertical="center"/>
    </xf>
    <xf numFmtId="3" fontId="0" fillId="2" borderId="2" xfId="0" applyNumberFormat="1" applyFill="1" applyBorder="1" applyAlignment="1">
      <alignment horizontal="center" vertical="center"/>
    </xf>
    <xf numFmtId="4" fontId="0" fillId="5" borderId="0" xfId="0" applyNumberFormat="1" applyFill="1" applyAlignment="1">
      <alignment horizontal="center" vertical="center"/>
    </xf>
    <xf numFmtId="3" fontId="0" fillId="5" borderId="0" xfId="0" applyNumberFormat="1" applyFill="1" applyAlignment="1">
      <alignment horizontal="center"/>
    </xf>
    <xf numFmtId="3" fontId="0" fillId="0" borderId="24" xfId="0" applyNumberFormat="1" applyBorder="1" applyAlignment="1" applyProtection="1">
      <alignment horizontal="center" vertical="center" wrapText="1"/>
      <protection locked="0"/>
    </xf>
    <xf numFmtId="0" fontId="0" fillId="5" borderId="0" xfId="0" applyFill="1" applyAlignment="1">
      <alignment vertical="top" wrapText="1"/>
    </xf>
    <xf numFmtId="3" fontId="0" fillId="0" borderId="24" xfId="0" applyNumberFormat="1" applyBorder="1" applyAlignment="1" applyProtection="1">
      <alignment horizontal="center" vertical="center"/>
      <protection locked="0"/>
    </xf>
    <xf numFmtId="0" fontId="0" fillId="5" borderId="0" xfId="0" applyFill="1" applyAlignment="1">
      <alignment horizontal="left" vertical="top" wrapText="1"/>
    </xf>
    <xf numFmtId="0" fontId="0" fillId="0" borderId="24" xfId="0" applyBorder="1" applyAlignment="1" applyProtection="1">
      <alignment horizontal="center" vertical="center" wrapText="1"/>
      <protection locked="0"/>
    </xf>
    <xf numFmtId="2" fontId="0" fillId="0" borderId="24" xfId="0" applyNumberFormat="1" applyBorder="1" applyAlignment="1" applyProtection="1">
      <alignment horizontal="center" vertical="center" wrapText="1"/>
      <protection locked="0"/>
    </xf>
    <xf numFmtId="0" fontId="0" fillId="8" borderId="0" xfId="0" applyFill="1" applyProtection="1">
      <protection locked="0"/>
    </xf>
    <xf numFmtId="0" fontId="0" fillId="8" borderId="0" xfId="0" applyFill="1" applyAlignment="1" applyProtection="1">
      <alignment horizontal="center" vertical="center" wrapText="1"/>
      <protection locked="0"/>
    </xf>
    <xf numFmtId="0" fontId="0" fillId="8" borderId="0" xfId="0" applyFill="1" applyAlignment="1" applyProtection="1">
      <alignment horizontal="right"/>
      <protection locked="0"/>
    </xf>
    <xf numFmtId="0" fontId="9" fillId="8" borderId="0" xfId="0" applyFont="1" applyFill="1" applyAlignment="1">
      <alignment horizontal="right"/>
    </xf>
    <xf numFmtId="0" fontId="0" fillId="8" borderId="0" xfId="0" applyFill="1" applyAlignment="1">
      <alignment vertical="top"/>
    </xf>
    <xf numFmtId="0" fontId="26" fillId="8" borderId="0" xfId="1" applyFont="1" applyFill="1" applyBorder="1" applyAlignment="1">
      <alignment horizontal="center" vertical="center"/>
    </xf>
    <xf numFmtId="0" fontId="0" fillId="4" borderId="78" xfId="0" applyFill="1" applyBorder="1" applyProtection="1">
      <protection locked="0"/>
    </xf>
    <xf numFmtId="0" fontId="0" fillId="4" borderId="81" xfId="0" applyFill="1" applyBorder="1" applyProtection="1">
      <protection locked="0"/>
    </xf>
    <xf numFmtId="0" fontId="0" fillId="4" borderId="78" xfId="0" applyFill="1" applyBorder="1" applyAlignment="1" applyProtection="1">
      <alignment horizontal="center" vertical="center"/>
      <protection locked="0"/>
    </xf>
    <xf numFmtId="0" fontId="0" fillId="4" borderId="81" xfId="0" applyFill="1" applyBorder="1" applyAlignment="1" applyProtection="1">
      <alignment horizontal="center" vertical="center"/>
      <protection locked="0"/>
    </xf>
    <xf numFmtId="0" fontId="9" fillId="8" borderId="0" xfId="0" applyFont="1" applyFill="1" applyAlignment="1">
      <alignment horizontal="left" vertical="center"/>
    </xf>
    <xf numFmtId="0" fontId="9" fillId="8" borderId="0" xfId="0" applyFont="1" applyFill="1" applyAlignment="1">
      <alignment horizontal="right" vertical="center"/>
    </xf>
    <xf numFmtId="0" fontId="0" fillId="4" borderId="0" xfId="0" applyFill="1" applyAlignment="1">
      <alignment horizontal="center" vertical="center"/>
    </xf>
    <xf numFmtId="0" fontId="0" fillId="4" borderId="24" xfId="0" applyFill="1" applyBorder="1"/>
    <xf numFmtId="0" fontId="0" fillId="8" borderId="0" xfId="0" applyFill="1" applyAlignment="1">
      <alignment horizontal="center" wrapText="1"/>
    </xf>
    <xf numFmtId="0" fontId="19" fillId="8" borderId="0" xfId="0" applyFont="1" applyFill="1" applyAlignment="1">
      <alignment horizontal="right" vertical="center"/>
    </xf>
    <xf numFmtId="0" fontId="0" fillId="8" borderId="0" xfId="0" applyFill="1" applyAlignment="1">
      <alignment wrapText="1"/>
    </xf>
    <xf numFmtId="0" fontId="22" fillId="8" borderId="0" xfId="0" applyFont="1" applyFill="1" applyAlignment="1">
      <alignment vertical="top" wrapText="1"/>
    </xf>
    <xf numFmtId="0" fontId="25" fillId="8" borderId="0" xfId="0" applyFont="1" applyFill="1" applyProtection="1">
      <protection locked="0"/>
    </xf>
    <xf numFmtId="2" fontId="25" fillId="8" borderId="0" xfId="0" applyNumberFormat="1" applyFont="1" applyFill="1" applyProtection="1">
      <protection locked="0"/>
    </xf>
    <xf numFmtId="0" fontId="17" fillId="8" borderId="0" xfId="0" applyFont="1" applyFill="1" applyProtection="1">
      <protection locked="0"/>
    </xf>
    <xf numFmtId="0" fontId="0" fillId="0" borderId="112" xfId="0" applyBorder="1" applyProtection="1">
      <protection locked="0"/>
    </xf>
    <xf numFmtId="0" fontId="0" fillId="0" borderId="109" xfId="0" applyBorder="1" applyProtection="1">
      <protection locked="0"/>
    </xf>
    <xf numFmtId="164" fontId="0" fillId="0" borderId="24" xfId="0" applyNumberFormat="1" applyBorder="1" applyProtection="1">
      <protection locked="0"/>
    </xf>
    <xf numFmtId="0" fontId="5" fillId="8" borderId="0" xfId="1" applyFill="1"/>
    <xf numFmtId="0" fontId="5" fillId="8" borderId="0" xfId="1" applyFill="1" applyProtection="1"/>
    <xf numFmtId="0" fontId="5" fillId="8" borderId="0" xfId="1" applyFill="1" applyAlignment="1" applyProtection="1">
      <alignment horizontal="left" vertical="top"/>
    </xf>
    <xf numFmtId="2" fontId="0" fillId="8" borderId="0" xfId="0" applyNumberFormat="1" applyFill="1"/>
    <xf numFmtId="0" fontId="30" fillId="8" borderId="0" xfId="0" applyFont="1" applyFill="1" applyAlignment="1" applyProtection="1">
      <alignment horizontal="center" vertical="center" wrapText="1"/>
      <protection locked="0"/>
    </xf>
    <xf numFmtId="0" fontId="19" fillId="0" borderId="0" xfId="0" applyFont="1" applyAlignment="1">
      <alignment horizontal="center" vertical="top" wrapText="1"/>
    </xf>
    <xf numFmtId="0" fontId="19" fillId="0" borderId="9" xfId="0" applyFont="1" applyBorder="1" applyAlignment="1">
      <alignment horizontal="right" vertical="top" wrapText="1"/>
    </xf>
    <xf numFmtId="0" fontId="0" fillId="0" borderId="112" xfId="0" applyBorder="1" applyAlignment="1">
      <alignment horizontal="center"/>
    </xf>
    <xf numFmtId="0" fontId="0" fillId="5" borderId="0" xfId="0" applyFill="1" applyAlignment="1">
      <alignment horizontal="center"/>
    </xf>
    <xf numFmtId="2" fontId="0" fillId="0" borderId="112" xfId="0" applyNumberFormat="1" applyBorder="1" applyAlignment="1">
      <alignment horizontal="center"/>
    </xf>
    <xf numFmtId="0" fontId="7" fillId="0" borderId="0" xfId="0" applyFont="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5" fillId="0" borderId="0" xfId="1"/>
    <xf numFmtId="0" fontId="29" fillId="8" borderId="0" xfId="0" applyFont="1" applyFill="1" applyAlignment="1">
      <alignment horizontal="center" vertical="top" wrapText="1"/>
    </xf>
    <xf numFmtId="0" fontId="0" fillId="0" borderId="0" xfId="0" applyAlignment="1">
      <alignment horizontal="left" vertical="top" wrapText="1"/>
    </xf>
    <xf numFmtId="0" fontId="20" fillId="0" borderId="0" xfId="0" applyFont="1" applyAlignment="1">
      <alignment horizontal="left" vertical="top" wrapText="1"/>
    </xf>
    <xf numFmtId="0" fontId="1" fillId="0" borderId="0" xfId="0" applyFont="1" applyAlignment="1">
      <alignment horizontal="left" vertical="top"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0" fillId="0" borderId="0" xfId="0" applyAlignment="1">
      <alignment horizontal="center" vertical="top" wrapText="1"/>
    </xf>
    <xf numFmtId="0" fontId="21" fillId="0" borderId="0" xfId="0" applyFont="1" applyAlignment="1">
      <alignment horizontal="left" vertical="top" wrapText="1"/>
    </xf>
    <xf numFmtId="0" fontId="19" fillId="0" borderId="0" xfId="0" applyFont="1" applyAlignment="1">
      <alignment horizontal="left" vertical="top" wrapText="1"/>
    </xf>
    <xf numFmtId="0" fontId="0" fillId="6" borderId="103" xfId="0" applyFill="1" applyBorder="1" applyAlignment="1">
      <alignment horizontal="center" wrapText="1"/>
    </xf>
    <xf numFmtId="0" fontId="0" fillId="6" borderId="109" xfId="0" applyFill="1" applyBorder="1" applyAlignment="1">
      <alignment horizontal="center" wrapText="1"/>
    </xf>
    <xf numFmtId="0" fontId="0" fillId="6" borderId="104" xfId="0" applyFill="1" applyBorder="1" applyAlignment="1">
      <alignment horizontal="center" wrapText="1"/>
    </xf>
    <xf numFmtId="0" fontId="0" fillId="7" borderId="98" xfId="0" applyFill="1" applyBorder="1" applyAlignment="1">
      <alignment horizontal="center" vertical="center" wrapText="1"/>
    </xf>
    <xf numFmtId="0" fontId="0" fillId="7" borderId="107" xfId="0" applyFill="1" applyBorder="1" applyAlignment="1">
      <alignment horizontal="center" vertical="center" wrapText="1"/>
    </xf>
    <xf numFmtId="0" fontId="0" fillId="7" borderId="99" xfId="0" applyFill="1" applyBorder="1" applyAlignment="1">
      <alignment horizontal="center" vertical="center" wrapText="1"/>
    </xf>
    <xf numFmtId="0" fontId="0" fillId="9" borderId="100" xfId="0" applyFill="1" applyBorder="1" applyAlignment="1">
      <alignment horizontal="center" vertical="center" wrapText="1"/>
    </xf>
    <xf numFmtId="0" fontId="0" fillId="9" borderId="108" xfId="0" applyFill="1" applyBorder="1" applyAlignment="1">
      <alignment horizontal="center" vertical="center" wrapText="1"/>
    </xf>
    <xf numFmtId="0" fontId="0" fillId="9" borderId="101" xfId="0" applyFill="1" applyBorder="1" applyAlignment="1">
      <alignment horizontal="center" vertical="center" wrapText="1"/>
    </xf>
    <xf numFmtId="0" fontId="28" fillId="12" borderId="105" xfId="0" applyFont="1" applyFill="1" applyBorder="1" applyAlignment="1">
      <alignment horizontal="center" vertical="center" wrapText="1"/>
    </xf>
    <xf numFmtId="0" fontId="28" fillId="12" borderId="106" xfId="0" applyFont="1" applyFill="1" applyBorder="1" applyAlignment="1">
      <alignment horizontal="center" vertical="center" wrapText="1"/>
    </xf>
    <xf numFmtId="0" fontId="0" fillId="10" borderId="92" xfId="0" applyFill="1" applyBorder="1" applyAlignment="1">
      <alignment horizontal="center" vertical="center" wrapText="1"/>
    </xf>
    <xf numFmtId="0" fontId="0" fillId="10" borderId="93" xfId="0" applyFill="1" applyBorder="1" applyAlignment="1">
      <alignment horizontal="center" vertical="center" wrapText="1"/>
    </xf>
    <xf numFmtId="0" fontId="28" fillId="13" borderId="110" xfId="0" applyFont="1" applyFill="1" applyBorder="1" applyAlignment="1">
      <alignment horizontal="center" vertical="center" wrapText="1"/>
    </xf>
    <xf numFmtId="0" fontId="28" fillId="13" borderId="111" xfId="0" applyFont="1" applyFill="1" applyBorder="1" applyAlignment="1">
      <alignment horizontal="center" vertical="center" wrapText="1"/>
    </xf>
    <xf numFmtId="0" fontId="0" fillId="3" borderId="90" xfId="0" applyFill="1" applyBorder="1" applyAlignment="1">
      <alignment horizontal="center" vertical="center" wrapText="1"/>
    </xf>
    <xf numFmtId="0" fontId="0" fillId="3" borderId="91" xfId="0" applyFill="1" applyBorder="1" applyAlignment="1">
      <alignment horizontal="center" vertical="center" wrapText="1"/>
    </xf>
    <xf numFmtId="0" fontId="0" fillId="11" borderId="96" xfId="0" applyFill="1" applyBorder="1" applyAlignment="1">
      <alignment horizontal="center" vertical="center" wrapText="1"/>
    </xf>
    <xf numFmtId="0" fontId="0" fillId="11" borderId="97" xfId="0" applyFill="1" applyBorder="1" applyAlignment="1">
      <alignment horizontal="center" vertical="center" wrapText="1"/>
    </xf>
    <xf numFmtId="0" fontId="0" fillId="2" borderId="94" xfId="0" applyFill="1" applyBorder="1" applyAlignment="1">
      <alignment horizontal="center" vertical="center" wrapText="1"/>
    </xf>
    <xf numFmtId="0" fontId="0" fillId="2" borderId="95" xfId="0" applyFill="1" applyBorder="1" applyAlignment="1">
      <alignment horizontal="center" vertical="center" wrapText="1"/>
    </xf>
    <xf numFmtId="0" fontId="0" fillId="15" borderId="90" xfId="0" applyFill="1" applyBorder="1" applyAlignment="1">
      <alignment horizontal="center" vertical="center" wrapText="1"/>
    </xf>
    <xf numFmtId="0" fontId="0" fillId="15" borderId="91" xfId="0" applyFill="1" applyBorder="1" applyAlignment="1">
      <alignment horizontal="center" vertical="center" wrapText="1"/>
    </xf>
    <xf numFmtId="0" fontId="0" fillId="15" borderId="102" xfId="0" applyFill="1" applyBorder="1" applyAlignment="1">
      <alignment horizontal="center" vertical="center" wrapText="1"/>
    </xf>
    <xf numFmtId="0" fontId="0" fillId="8" borderId="0" xfId="0" applyFill="1" applyAlignment="1">
      <alignment horizontal="left" vertical="center" wrapText="1"/>
    </xf>
    <xf numFmtId="0" fontId="0" fillId="0" borderId="0" xfId="0" applyAlignment="1">
      <alignment horizontal="left" vertical="center" wrapText="1"/>
    </xf>
    <xf numFmtId="0" fontId="5" fillId="8" borderId="0" xfId="1" applyFill="1" applyAlignment="1" applyProtection="1">
      <alignment vertical="center"/>
    </xf>
    <xf numFmtId="0" fontId="0" fillId="0" borderId="19" xfId="0" applyBorder="1" applyAlignment="1" applyProtection="1">
      <alignment vertical="center" wrapText="1"/>
      <protection locked="0"/>
    </xf>
    <xf numFmtId="0" fontId="0" fillId="0" borderId="20" xfId="0" applyBorder="1" applyAlignment="1" applyProtection="1">
      <alignment vertical="center" wrapText="1"/>
      <protection locked="0"/>
    </xf>
    <xf numFmtId="0" fontId="0" fillId="0" borderId="21" xfId="0" applyBorder="1" applyAlignment="1" applyProtection="1">
      <alignment vertical="center" wrapText="1"/>
      <protection locked="0"/>
    </xf>
    <xf numFmtId="0" fontId="0" fillId="2" borderId="0" xfId="0" applyFill="1" applyAlignment="1">
      <alignment wrapText="1"/>
    </xf>
    <xf numFmtId="2" fontId="0" fillId="0" borderId="19" xfId="0" applyNumberFormat="1" applyBorder="1" applyAlignment="1" applyProtection="1">
      <alignment horizontal="left" vertical="center" wrapText="1"/>
      <protection locked="0"/>
    </xf>
    <xf numFmtId="0" fontId="0" fillId="0" borderId="20" xfId="0" applyBorder="1" applyAlignment="1" applyProtection="1">
      <alignment horizontal="left" vertical="center" wrapText="1"/>
      <protection locked="0"/>
    </xf>
    <xf numFmtId="0" fontId="0" fillId="0" borderId="21" xfId="0"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2" fontId="0" fillId="0" borderId="20" xfId="0" applyNumberFormat="1" applyBorder="1" applyAlignment="1" applyProtection="1">
      <alignment horizontal="left" vertical="center" wrapText="1"/>
      <protection locked="0"/>
    </xf>
    <xf numFmtId="2" fontId="0" fillId="0" borderId="21" xfId="0" applyNumberFormat="1" applyBorder="1" applyAlignment="1" applyProtection="1">
      <alignment horizontal="left" vertical="center" wrapText="1"/>
      <protection locked="0"/>
    </xf>
    <xf numFmtId="0" fontId="0" fillId="10" borderId="0" xfId="0" applyFill="1" applyAlignment="1">
      <alignment horizontal="left" wrapText="1"/>
    </xf>
    <xf numFmtId="0" fontId="0" fillId="3" borderId="0" xfId="0" applyFill="1" applyAlignment="1">
      <alignment vertical="center" wrapText="1"/>
    </xf>
    <xf numFmtId="0" fontId="0" fillId="0" borderId="0" xfId="0" applyAlignment="1">
      <alignment vertical="center" wrapText="1"/>
    </xf>
    <xf numFmtId="0" fontId="0" fillId="5" borderId="0" xfId="0" applyFill="1" applyAlignment="1">
      <alignment vertical="top" wrapText="1"/>
    </xf>
    <xf numFmtId="0" fontId="0" fillId="5" borderId="0" xfId="0" applyFill="1" applyAlignment="1">
      <alignment horizontal="left" vertical="top" wrapText="1"/>
    </xf>
    <xf numFmtId="0" fontId="0" fillId="5" borderId="0" xfId="0" applyFill="1" applyAlignment="1">
      <alignment wrapText="1"/>
    </xf>
    <xf numFmtId="0" fontId="0" fillId="0" borderId="50" xfId="0" applyBorder="1" applyAlignment="1" applyProtection="1">
      <alignment wrapText="1"/>
      <protection locked="0"/>
    </xf>
    <xf numFmtId="0" fontId="0" fillId="0" borderId="52" xfId="0" applyBorder="1" applyAlignment="1" applyProtection="1">
      <alignment wrapText="1"/>
      <protection locked="0"/>
    </xf>
    <xf numFmtId="0" fontId="0" fillId="0" borderId="51" xfId="0" applyBorder="1" applyAlignment="1" applyProtection="1">
      <alignment wrapText="1"/>
      <protection locked="0"/>
    </xf>
    <xf numFmtId="0" fontId="0" fillId="0" borderId="85" xfId="0" applyBorder="1" applyAlignment="1" applyProtection="1">
      <alignment wrapText="1"/>
      <protection locked="0"/>
    </xf>
    <xf numFmtId="0" fontId="0" fillId="0" borderId="0" xfId="0" applyAlignment="1" applyProtection="1">
      <alignment wrapText="1"/>
      <protection locked="0"/>
    </xf>
    <xf numFmtId="0" fontId="0" fillId="0" borderId="86" xfId="0" applyBorder="1" applyAlignment="1" applyProtection="1">
      <alignment wrapText="1"/>
      <protection locked="0"/>
    </xf>
    <xf numFmtId="0" fontId="0" fillId="0" borderId="19" xfId="0" applyBorder="1" applyAlignment="1" applyProtection="1">
      <alignment horizontal="left" vertical="top" wrapText="1"/>
      <protection locked="0"/>
    </xf>
    <xf numFmtId="0" fontId="0" fillId="0" borderId="20" xfId="0" applyBorder="1" applyAlignment="1" applyProtection="1">
      <alignment horizontal="left" vertical="top" wrapText="1"/>
      <protection locked="0"/>
    </xf>
    <xf numFmtId="0" fontId="0" fillId="0" borderId="21" xfId="0" applyBorder="1" applyAlignment="1" applyProtection="1">
      <alignment horizontal="left" vertical="top" wrapText="1"/>
      <protection locked="0"/>
    </xf>
    <xf numFmtId="0" fontId="0" fillId="0" borderId="40" xfId="0" applyBorder="1" applyAlignment="1" applyProtection="1">
      <alignment wrapText="1"/>
      <protection locked="0"/>
    </xf>
    <xf numFmtId="0" fontId="0" fillId="0" borderId="2" xfId="0" applyBorder="1" applyAlignment="1" applyProtection="1">
      <alignment wrapText="1"/>
      <protection locked="0"/>
    </xf>
    <xf numFmtId="0" fontId="0" fillId="0" borderId="41" xfId="0" applyBorder="1" applyAlignment="1" applyProtection="1">
      <alignment wrapText="1"/>
      <protection locked="0"/>
    </xf>
    <xf numFmtId="0" fontId="0" fillId="8" borderId="0" xfId="0" applyFill="1"/>
    <xf numFmtId="0" fontId="0" fillId="0" borderId="19" xfId="0" applyBorder="1" applyAlignment="1" applyProtection="1">
      <alignment horizontal="center"/>
      <protection locked="0"/>
    </xf>
    <xf numFmtId="0" fontId="0" fillId="0" borderId="21" xfId="0" applyBorder="1" applyAlignment="1" applyProtection="1">
      <alignment horizontal="center"/>
      <protection locked="0"/>
    </xf>
    <xf numFmtId="0" fontId="0" fillId="0" borderId="19" xfId="0" applyBorder="1" applyAlignment="1" applyProtection="1">
      <alignment horizontal="center" vertical="center"/>
      <protection locked="0"/>
    </xf>
    <xf numFmtId="0" fontId="0" fillId="0" borderId="21" xfId="0" applyBorder="1" applyAlignment="1" applyProtection="1">
      <alignment horizontal="center" vertical="center"/>
      <protection locked="0"/>
    </xf>
    <xf numFmtId="0" fontId="13" fillId="2" borderId="0" xfId="0" applyFont="1" applyFill="1" applyAlignment="1">
      <alignment wrapText="1"/>
    </xf>
    <xf numFmtId="0" fontId="0" fillId="10" borderId="0" xfId="0" applyFill="1" applyAlignment="1">
      <alignment wrapText="1"/>
    </xf>
    <xf numFmtId="0" fontId="7" fillId="0" borderId="19" xfId="0" applyFont="1" applyBorder="1" applyAlignment="1" applyProtection="1">
      <alignment horizontal="center" vertical="center" wrapText="1"/>
      <protection locked="0"/>
    </xf>
    <xf numFmtId="0" fontId="7" fillId="0" borderId="20" xfId="0" applyFont="1" applyBorder="1" applyAlignment="1" applyProtection="1">
      <alignment horizontal="center" vertical="center" wrapText="1"/>
      <protection locked="0"/>
    </xf>
    <xf numFmtId="0" fontId="7" fillId="0" borderId="21" xfId="0" applyFont="1" applyBorder="1" applyAlignment="1" applyProtection="1">
      <alignment horizontal="center" vertical="center" wrapText="1"/>
      <protection locked="0"/>
    </xf>
    <xf numFmtId="49" fontId="0" fillId="0" borderId="19" xfId="0" applyNumberFormat="1" applyBorder="1" applyAlignment="1" applyProtection="1">
      <alignment horizontal="left" vertical="top" wrapText="1"/>
      <protection locked="0"/>
    </xf>
    <xf numFmtId="0" fontId="0" fillId="0" borderId="40" xfId="0" applyBorder="1" applyAlignment="1" applyProtection="1">
      <alignment horizontal="center" vertical="center" wrapText="1"/>
      <protection locked="0"/>
    </xf>
    <xf numFmtId="0" fontId="0" fillId="0" borderId="2" xfId="0" applyBorder="1" applyAlignment="1" applyProtection="1">
      <alignment horizontal="center" vertical="center" wrapText="1"/>
      <protection locked="0"/>
    </xf>
    <xf numFmtId="0" fontId="0" fillId="0" borderId="41" xfId="0" applyBorder="1" applyAlignment="1" applyProtection="1">
      <alignment horizontal="center" vertical="center" wrapText="1"/>
      <protection locked="0"/>
    </xf>
    <xf numFmtId="0" fontId="0" fillId="0" borderId="50" xfId="0" applyBorder="1" applyAlignment="1" applyProtection="1">
      <alignment horizontal="center" vertical="center" wrapText="1"/>
      <protection locked="0"/>
    </xf>
    <xf numFmtId="0" fontId="0" fillId="0" borderId="52" xfId="0" applyBorder="1" applyAlignment="1" applyProtection="1">
      <alignment horizontal="center" vertical="center" wrapText="1"/>
      <protection locked="0"/>
    </xf>
    <xf numFmtId="0" fontId="0" fillId="0" borderId="51" xfId="0" applyBorder="1" applyAlignment="1" applyProtection="1">
      <alignment horizontal="center" vertical="center" wrapText="1"/>
      <protection locked="0"/>
    </xf>
    <xf numFmtId="49" fontId="0" fillId="2" borderId="0" xfId="0" applyNumberFormat="1" applyFill="1" applyAlignment="1">
      <alignment wrapText="1"/>
    </xf>
    <xf numFmtId="49" fontId="0" fillId="2" borderId="52" xfId="0" applyNumberFormat="1" applyFill="1" applyBorder="1" applyAlignment="1">
      <alignment wrapText="1"/>
    </xf>
    <xf numFmtId="0" fontId="0" fillId="3" borderId="0" xfId="0" applyFill="1" applyAlignment="1">
      <alignment horizontal="left" wrapText="1"/>
    </xf>
    <xf numFmtId="0" fontId="0" fillId="8" borderId="0" xfId="0" applyFill="1" applyAlignment="1">
      <alignment horizontal="left" vertical="top" wrapText="1"/>
    </xf>
    <xf numFmtId="0" fontId="0" fillId="8" borderId="0" xfId="0" applyFill="1" applyAlignment="1">
      <alignment wrapText="1"/>
    </xf>
    <xf numFmtId="0" fontId="0" fillId="0" borderId="0" xfId="0" applyAlignment="1">
      <alignment wrapText="1"/>
    </xf>
    <xf numFmtId="0" fontId="0" fillId="0" borderId="19" xfId="0" applyBorder="1" applyAlignment="1" applyProtection="1">
      <alignment horizontal="left" wrapText="1"/>
      <protection locked="0"/>
    </xf>
    <xf numFmtId="0" fontId="0" fillId="0" borderId="20" xfId="0" applyBorder="1" applyAlignment="1" applyProtection="1">
      <alignment horizontal="left" wrapText="1"/>
      <protection locked="0"/>
    </xf>
    <xf numFmtId="0" fontId="0" fillId="0" borderId="21" xfId="0" applyBorder="1" applyAlignment="1" applyProtection="1">
      <alignment horizontal="left" wrapText="1"/>
      <protection locked="0"/>
    </xf>
    <xf numFmtId="0" fontId="0" fillId="0" borderId="24" xfId="0" applyBorder="1" applyAlignment="1" applyProtection="1">
      <alignment horizontal="center" vertical="center"/>
      <protection locked="0"/>
    </xf>
    <xf numFmtId="0" fontId="0" fillId="8" borderId="52" xfId="0" applyFill="1" applyBorder="1" applyAlignment="1">
      <alignment horizontal="left" vertical="center" wrapText="1"/>
    </xf>
    <xf numFmtId="0" fontId="0" fillId="0" borderId="52" xfId="0" applyBorder="1" applyAlignment="1">
      <alignment horizontal="left" vertical="center" wrapText="1"/>
    </xf>
    <xf numFmtId="0" fontId="0" fillId="0" borderId="19" xfId="0" applyBorder="1" applyAlignment="1" applyProtection="1">
      <alignment wrapText="1"/>
      <protection locked="0"/>
    </xf>
    <xf numFmtId="0" fontId="0" fillId="0" borderId="20" xfId="0" applyBorder="1" applyAlignment="1" applyProtection="1">
      <alignment wrapText="1"/>
      <protection locked="0"/>
    </xf>
    <xf numFmtId="0" fontId="0" fillId="0" borderId="21" xfId="0" applyBorder="1" applyAlignment="1" applyProtection="1">
      <alignment wrapText="1"/>
      <protection locked="0"/>
    </xf>
    <xf numFmtId="0" fontId="0" fillId="0" borderId="20" xfId="0" applyBorder="1" applyAlignment="1" applyProtection="1">
      <alignment horizontal="center" vertical="center" wrapText="1"/>
      <protection locked="0"/>
    </xf>
    <xf numFmtId="0" fontId="0" fillId="0" borderId="21" xfId="0" applyBorder="1" applyAlignment="1" applyProtection="1">
      <alignment horizontal="center" vertical="center" wrapText="1"/>
      <protection locked="0"/>
    </xf>
    <xf numFmtId="0" fontId="0" fillId="0" borderId="40" xfId="0" applyBorder="1" applyAlignment="1" applyProtection="1">
      <alignment horizontal="left" vertical="center" wrapText="1"/>
      <protection locked="0"/>
    </xf>
    <xf numFmtId="0" fontId="0" fillId="0" borderId="2" xfId="0" applyBorder="1" applyAlignment="1" applyProtection="1">
      <alignment horizontal="left" vertical="center" wrapText="1"/>
      <protection locked="0"/>
    </xf>
    <xf numFmtId="0" fontId="0" fillId="0" borderId="41" xfId="0" applyBorder="1" applyAlignment="1" applyProtection="1">
      <alignment horizontal="left" vertical="center" wrapText="1"/>
      <protection locked="0"/>
    </xf>
    <xf numFmtId="0" fontId="0" fillId="0" borderId="50" xfId="0" applyBorder="1" applyAlignment="1" applyProtection="1">
      <alignment horizontal="left" vertical="center" wrapText="1"/>
      <protection locked="0"/>
    </xf>
    <xf numFmtId="0" fontId="0" fillId="0" borderId="52" xfId="0" applyBorder="1" applyAlignment="1" applyProtection="1">
      <alignment horizontal="left" vertical="center" wrapText="1"/>
      <protection locked="0"/>
    </xf>
    <xf numFmtId="0" fontId="0" fillId="0" borderId="51" xfId="0" applyBorder="1" applyAlignment="1" applyProtection="1">
      <alignment horizontal="left" vertical="center" wrapText="1"/>
      <protection locked="0"/>
    </xf>
    <xf numFmtId="0" fontId="0" fillId="8" borderId="52" xfId="0" applyFill="1" applyBorder="1" applyAlignment="1">
      <alignment wrapText="1"/>
    </xf>
    <xf numFmtId="0" fontId="0" fillId="0" borderId="52" xfId="0" applyBorder="1" applyAlignment="1">
      <alignment wrapText="1"/>
    </xf>
    <xf numFmtId="0" fontId="0" fillId="0" borderId="19" xfId="0" applyBorder="1" applyAlignment="1" applyProtection="1">
      <alignment vertical="top" wrapText="1"/>
      <protection locked="0"/>
    </xf>
    <xf numFmtId="0" fontId="0" fillId="0" borderId="20" xfId="0" applyBorder="1" applyAlignment="1" applyProtection="1">
      <alignment vertical="top" wrapText="1"/>
      <protection locked="0"/>
    </xf>
    <xf numFmtId="0" fontId="0" fillId="0" borderId="21" xfId="0" applyBorder="1" applyAlignment="1" applyProtection="1">
      <alignment vertical="top" wrapText="1"/>
      <protection locked="0"/>
    </xf>
    <xf numFmtId="0" fontId="6" fillId="0" borderId="19" xfId="0" applyFont="1" applyBorder="1" applyAlignment="1" applyProtection="1">
      <alignment horizontal="left" vertical="top" wrapText="1"/>
      <protection locked="0"/>
    </xf>
    <xf numFmtId="0" fontId="6" fillId="0" borderId="20" xfId="0" applyFont="1" applyBorder="1" applyAlignment="1" applyProtection="1">
      <alignment horizontal="left" vertical="top" wrapText="1"/>
      <protection locked="0"/>
    </xf>
    <xf numFmtId="0" fontId="6" fillId="0" borderId="21" xfId="0" applyFont="1" applyBorder="1" applyAlignment="1" applyProtection="1">
      <alignment horizontal="left" vertical="top" wrapText="1"/>
      <protection locked="0"/>
    </xf>
    <xf numFmtId="0" fontId="0" fillId="0" borderId="19" xfId="0"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0" fillId="0" borderId="85"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86" xfId="0" applyBorder="1" applyAlignment="1" applyProtection="1">
      <alignment horizontal="left" vertical="top" wrapText="1"/>
      <protection locked="0"/>
    </xf>
    <xf numFmtId="0" fontId="0" fillId="0" borderId="40"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41" xfId="0" applyBorder="1" applyAlignment="1" applyProtection="1">
      <alignment horizontal="left" vertical="top" wrapText="1"/>
      <protection locked="0"/>
    </xf>
    <xf numFmtId="0" fontId="0" fillId="0" borderId="50" xfId="0" applyBorder="1" applyAlignment="1" applyProtection="1">
      <alignment horizontal="left" vertical="top" wrapText="1"/>
      <protection locked="0"/>
    </xf>
    <xf numFmtId="0" fontId="0" fillId="0" borderId="52" xfId="0" applyBorder="1" applyAlignment="1" applyProtection="1">
      <alignment horizontal="left" vertical="top" wrapText="1"/>
      <protection locked="0"/>
    </xf>
    <xf numFmtId="0" fontId="0" fillId="0" borderId="51" xfId="0" applyBorder="1" applyAlignment="1" applyProtection="1">
      <alignment horizontal="left" vertical="top" wrapText="1"/>
      <protection locked="0"/>
    </xf>
    <xf numFmtId="0" fontId="0" fillId="0" borderId="40" xfId="0" applyBorder="1" applyAlignment="1" applyProtection="1">
      <alignment vertical="top" wrapText="1"/>
      <protection locked="0"/>
    </xf>
    <xf numFmtId="0" fontId="0" fillId="0" borderId="2" xfId="0" applyBorder="1" applyAlignment="1" applyProtection="1">
      <alignment vertical="top" wrapText="1"/>
      <protection locked="0"/>
    </xf>
    <xf numFmtId="0" fontId="0" fillId="0" borderId="41" xfId="0" applyBorder="1" applyAlignment="1" applyProtection="1">
      <alignment vertical="top" wrapText="1"/>
      <protection locked="0"/>
    </xf>
    <xf numFmtId="0" fontId="0" fillId="0" borderId="85" xfId="0" applyBorder="1" applyAlignment="1" applyProtection="1">
      <alignment vertical="top" wrapText="1"/>
      <protection locked="0"/>
    </xf>
    <xf numFmtId="0" fontId="0" fillId="0" borderId="0" xfId="0" applyAlignment="1" applyProtection="1">
      <alignment vertical="top" wrapText="1"/>
      <protection locked="0"/>
    </xf>
    <xf numFmtId="0" fontId="0" fillId="0" borderId="86" xfId="0" applyBorder="1" applyAlignment="1" applyProtection="1">
      <alignment vertical="top" wrapText="1"/>
      <protection locked="0"/>
    </xf>
    <xf numFmtId="0" fontId="0" fillId="0" borderId="50" xfId="0" applyBorder="1" applyAlignment="1" applyProtection="1">
      <alignment vertical="top" wrapText="1"/>
      <protection locked="0"/>
    </xf>
    <xf numFmtId="0" fontId="0" fillId="0" borderId="52" xfId="0" applyBorder="1" applyAlignment="1" applyProtection="1">
      <alignment vertical="top" wrapText="1"/>
      <protection locked="0"/>
    </xf>
    <xf numFmtId="0" fontId="0" fillId="0" borderId="51" xfId="0" applyBorder="1" applyAlignment="1" applyProtection="1">
      <alignment vertical="top" wrapText="1"/>
      <protection locked="0"/>
    </xf>
    <xf numFmtId="0" fontId="0" fillId="8" borderId="0" xfId="0" applyFill="1" applyAlignment="1">
      <alignment vertical="top" wrapText="1"/>
    </xf>
    <xf numFmtId="0" fontId="0" fillId="0" borderId="0" xfId="0" applyAlignment="1">
      <alignment vertical="top" wrapText="1"/>
    </xf>
    <xf numFmtId="0" fontId="0" fillId="14" borderId="19" xfId="0" applyFill="1" applyBorder="1" applyAlignment="1" applyProtection="1">
      <alignment wrapText="1"/>
      <protection locked="0"/>
    </xf>
    <xf numFmtId="0" fontId="0" fillId="14" borderId="20" xfId="0" applyFill="1" applyBorder="1" applyAlignment="1" applyProtection="1">
      <alignment wrapText="1"/>
      <protection locked="0"/>
    </xf>
    <xf numFmtId="0" fontId="0" fillId="14" borderId="21" xfId="0" applyFill="1" applyBorder="1" applyAlignment="1" applyProtection="1">
      <alignment wrapText="1"/>
      <protection locked="0"/>
    </xf>
    <xf numFmtId="0" fontId="0" fillId="14" borderId="19" xfId="0" applyFill="1" applyBorder="1" applyAlignment="1" applyProtection="1">
      <alignment horizontal="center" vertical="center"/>
      <protection locked="0"/>
    </xf>
    <xf numFmtId="0" fontId="0" fillId="14" borderId="20" xfId="0" applyFill="1" applyBorder="1" applyAlignment="1" applyProtection="1">
      <alignment horizontal="center" vertical="center"/>
      <protection locked="0"/>
    </xf>
    <xf numFmtId="0" fontId="0" fillId="14" borderId="21" xfId="0" applyFill="1" applyBorder="1" applyAlignment="1" applyProtection="1">
      <alignment horizontal="center" vertical="center"/>
      <protection locked="0"/>
    </xf>
    <xf numFmtId="0" fontId="0" fillId="0" borderId="19" xfId="0" applyBorder="1" applyAlignment="1">
      <alignment wrapText="1"/>
    </xf>
    <xf numFmtId="0" fontId="0" fillId="0" borderId="21" xfId="0" applyBorder="1" applyAlignment="1">
      <alignment wrapText="1"/>
    </xf>
    <xf numFmtId="0" fontId="18" fillId="6" borderId="85" xfId="0" applyFont="1" applyFill="1" applyBorder="1" applyAlignment="1">
      <alignment wrapText="1"/>
    </xf>
    <xf numFmtId="0" fontId="18" fillId="6" borderId="86" xfId="0" applyFont="1" applyFill="1" applyBorder="1" applyAlignment="1">
      <alignment wrapText="1"/>
    </xf>
    <xf numFmtId="0" fontId="0" fillId="6" borderId="85" xfId="0" applyFill="1" applyBorder="1" applyAlignment="1">
      <alignment wrapText="1"/>
    </xf>
    <xf numFmtId="0" fontId="0" fillId="6" borderId="86" xfId="0" applyFill="1" applyBorder="1" applyAlignment="1">
      <alignment wrapText="1"/>
    </xf>
    <xf numFmtId="0" fontId="0" fillId="0" borderId="40" xfId="0" applyBorder="1" applyAlignment="1">
      <alignment vertical="top" wrapText="1"/>
    </xf>
    <xf numFmtId="0" fontId="0" fillId="0" borderId="50" xfId="0" applyBorder="1" applyAlignment="1">
      <alignment vertical="top" wrapText="1"/>
    </xf>
    <xf numFmtId="0" fontId="0" fillId="0" borderId="19" xfId="0" applyBorder="1" applyAlignment="1">
      <alignment horizontal="left" vertical="center" wrapText="1"/>
    </xf>
    <xf numFmtId="0" fontId="0" fillId="0" borderId="21" xfId="0" applyBorder="1" applyAlignment="1">
      <alignment horizontal="left" vertical="center" wrapText="1"/>
    </xf>
    <xf numFmtId="0" fontId="0" fillId="6" borderId="40" xfId="0" applyFill="1" applyBorder="1" applyAlignment="1">
      <alignment wrapText="1"/>
    </xf>
    <xf numFmtId="0" fontId="0" fillId="6" borderId="41" xfId="0" applyFill="1" applyBorder="1" applyAlignment="1">
      <alignment wrapText="1"/>
    </xf>
    <xf numFmtId="0" fontId="18" fillId="6" borderId="50" xfId="0" applyFont="1" applyFill="1" applyBorder="1" applyAlignment="1">
      <alignment wrapText="1"/>
    </xf>
    <xf numFmtId="0" fontId="18" fillId="6" borderId="51" xfId="0" applyFont="1" applyFill="1" applyBorder="1" applyAlignment="1">
      <alignment wrapText="1"/>
    </xf>
    <xf numFmtId="0" fontId="0" fillId="0" borderId="40" xfId="0" applyBorder="1" applyAlignment="1">
      <alignment horizontal="left" vertical="center" wrapText="1"/>
    </xf>
    <xf numFmtId="0" fontId="0" fillId="0" borderId="50" xfId="0" applyBorder="1" applyAlignment="1">
      <alignment horizontal="left" vertical="center" wrapText="1"/>
    </xf>
    <xf numFmtId="0" fontId="0" fillId="0" borderId="85" xfId="0" applyBorder="1" applyAlignment="1">
      <alignment wrapText="1"/>
    </xf>
    <xf numFmtId="0" fontId="0" fillId="0" borderId="86" xfId="0" applyBorder="1" applyAlignment="1">
      <alignment wrapText="1"/>
    </xf>
    <xf numFmtId="0" fontId="0" fillId="0" borderId="50" xfId="0" applyBorder="1" applyAlignment="1">
      <alignment wrapText="1"/>
    </xf>
    <xf numFmtId="0" fontId="0" fillId="0" borderId="51" xfId="0" applyBorder="1" applyAlignment="1">
      <alignment wrapText="1"/>
    </xf>
    <xf numFmtId="0" fontId="0" fillId="0" borderId="85" xfId="0" applyBorder="1" applyAlignment="1">
      <alignment horizontal="left" vertical="center" wrapText="1"/>
    </xf>
    <xf numFmtId="0" fontId="0" fillId="0" borderId="19" xfId="0" applyBorder="1" applyAlignment="1">
      <alignment vertical="center" wrapText="1"/>
    </xf>
    <xf numFmtId="0" fontId="0" fillId="0" borderId="21" xfId="0" applyBorder="1" applyAlignment="1">
      <alignment vertical="center" wrapText="1"/>
    </xf>
    <xf numFmtId="0" fontId="0" fillId="3" borderId="19" xfId="0" applyFill="1" applyBorder="1" applyAlignment="1">
      <alignment horizontal="center" vertical="center" wrapText="1"/>
    </xf>
    <xf numFmtId="0" fontId="0" fillId="3" borderId="20" xfId="0" applyFill="1" applyBorder="1" applyAlignment="1">
      <alignment horizontal="center" vertical="center" wrapText="1"/>
    </xf>
    <xf numFmtId="0" fontId="0" fillId="3" borderId="21" xfId="0" applyFill="1" applyBorder="1" applyAlignment="1">
      <alignment horizontal="center" vertical="center" wrapText="1"/>
    </xf>
    <xf numFmtId="0" fontId="0" fillId="6" borderId="19" xfId="0" applyFill="1" applyBorder="1" applyAlignment="1">
      <alignment horizontal="center" vertical="center" wrapText="1"/>
    </xf>
    <xf numFmtId="0" fontId="0" fillId="6" borderId="20" xfId="0" applyFill="1" applyBorder="1" applyAlignment="1">
      <alignment horizontal="center" vertical="center" wrapText="1"/>
    </xf>
    <xf numFmtId="0" fontId="0" fillId="6" borderId="21" xfId="0" applyFill="1" applyBorder="1" applyAlignment="1">
      <alignment horizontal="center" vertical="center" wrapText="1"/>
    </xf>
    <xf numFmtId="0" fontId="0" fillId="4" borderId="24" xfId="0" applyFill="1" applyBorder="1" applyAlignment="1">
      <alignment horizontal="center" vertical="center" wrapText="1"/>
    </xf>
    <xf numFmtId="0" fontId="0" fillId="4" borderId="88" xfId="0" applyFill="1" applyBorder="1" applyAlignment="1">
      <alignment horizontal="center" vertical="center" wrapText="1"/>
    </xf>
    <xf numFmtId="0" fontId="0" fillId="2" borderId="24" xfId="0" applyFill="1" applyBorder="1" applyAlignment="1">
      <alignment horizontal="center" vertical="center" wrapText="1"/>
    </xf>
    <xf numFmtId="0" fontId="0" fillId="7" borderId="24" xfId="0" applyFill="1" applyBorder="1" applyAlignment="1">
      <alignment horizontal="center" vertical="center" wrapText="1"/>
    </xf>
    <xf numFmtId="0" fontId="0" fillId="9" borderId="24" xfId="0" applyFill="1" applyBorder="1" applyAlignment="1">
      <alignment horizontal="center" vertical="center" wrapText="1"/>
    </xf>
    <xf numFmtId="0" fontId="0" fillId="11" borderId="24" xfId="0" applyFill="1" applyBorder="1" applyAlignment="1">
      <alignment horizontal="center" vertical="center" wrapText="1"/>
    </xf>
    <xf numFmtId="0" fontId="0" fillId="10" borderId="24" xfId="0" applyFill="1" applyBorder="1" applyAlignment="1">
      <alignment horizontal="center" vertical="center" wrapText="1"/>
    </xf>
  </cellXfs>
  <cellStyles count="2">
    <cellStyle name="Hyperlink" xfId="1" builtinId="8"/>
    <cellStyle name="Normal" xfId="0" builtinId="0"/>
  </cellStyles>
  <dxfs count="94">
    <dxf>
      <font>
        <strike val="0"/>
        <color auto="1"/>
      </font>
      <fill>
        <patternFill patternType="none">
          <bgColor auto="1"/>
        </patternFill>
      </fill>
    </dxf>
    <dxf>
      <font>
        <color theme="1"/>
      </font>
      <fill>
        <patternFill patternType="none">
          <bgColor auto="1"/>
        </patternFill>
      </fill>
    </dxf>
    <dxf>
      <font>
        <color auto="1"/>
      </font>
      <fill>
        <patternFill patternType="none">
          <bgColor auto="1"/>
        </patternFill>
      </fill>
    </dxf>
    <dxf>
      <font>
        <color theme="0"/>
      </font>
      <fill>
        <patternFill>
          <bgColor rgb="FFFF0000"/>
        </patternFill>
      </fill>
    </dxf>
    <dxf>
      <fill>
        <patternFill>
          <bgColor rgb="FFF8696B"/>
        </patternFill>
      </fill>
    </dxf>
    <dxf>
      <fill>
        <patternFill>
          <bgColor rgb="FFFFEB84"/>
        </patternFill>
      </fill>
    </dxf>
    <dxf>
      <fill>
        <patternFill>
          <bgColor rgb="FF63BE7B"/>
        </patternFill>
      </fill>
    </dxf>
    <dxf>
      <font>
        <color auto="1"/>
      </font>
      <fill>
        <patternFill patternType="none">
          <bgColor auto="1"/>
        </patternFill>
      </fill>
    </dxf>
    <dxf>
      <font>
        <color theme="0"/>
      </font>
      <fill>
        <patternFill>
          <bgColor rgb="FFFF0000"/>
        </patternFill>
      </fill>
    </dxf>
    <dxf>
      <fill>
        <patternFill>
          <bgColor rgb="FFF8696B"/>
        </patternFill>
      </fill>
    </dxf>
    <dxf>
      <fill>
        <patternFill>
          <bgColor rgb="FFFFEB84"/>
        </patternFill>
      </fill>
    </dxf>
    <dxf>
      <fill>
        <patternFill>
          <bgColor rgb="FF63BE7B"/>
        </patternFill>
      </fill>
    </dxf>
    <dxf>
      <font>
        <color theme="0"/>
      </font>
      <fill>
        <patternFill>
          <bgColor rgb="FFFF0000"/>
        </patternFill>
      </fill>
    </dxf>
    <dxf>
      <fill>
        <patternFill>
          <bgColor rgb="FFF8696B"/>
        </patternFill>
      </fill>
    </dxf>
    <dxf>
      <fill>
        <patternFill>
          <bgColor rgb="FFFFEB84"/>
        </patternFill>
      </fill>
    </dxf>
    <dxf>
      <fill>
        <patternFill>
          <bgColor rgb="FF63BE7B"/>
        </patternFill>
      </fill>
    </dxf>
    <dxf>
      <fill>
        <patternFill>
          <bgColor rgb="FFF8696B"/>
        </patternFill>
      </fill>
    </dxf>
    <dxf>
      <fill>
        <patternFill>
          <bgColor rgb="FFFFEB84"/>
        </patternFill>
      </fill>
    </dxf>
    <dxf>
      <fill>
        <patternFill>
          <bgColor rgb="FF63BE7B"/>
        </patternFill>
      </fill>
    </dxf>
    <dxf>
      <font>
        <color theme="0"/>
      </font>
      <fill>
        <patternFill>
          <bgColor rgb="FFFF0000"/>
        </patternFill>
      </fill>
    </dxf>
    <dxf>
      <font>
        <strike val="0"/>
        <color auto="1"/>
      </font>
      <fill>
        <patternFill patternType="none">
          <bgColor auto="1"/>
        </patternFill>
      </fill>
    </dxf>
    <dxf>
      <fill>
        <patternFill>
          <bgColor rgb="FFF8696B"/>
        </patternFill>
      </fill>
    </dxf>
    <dxf>
      <fill>
        <patternFill>
          <bgColor rgb="FFFFEB84"/>
        </patternFill>
      </fill>
    </dxf>
    <dxf>
      <fill>
        <patternFill>
          <bgColor rgb="FF63BE7B"/>
        </patternFill>
      </fill>
    </dxf>
    <dxf>
      <font>
        <color theme="1"/>
      </font>
      <fill>
        <patternFill patternType="none">
          <bgColor auto="1"/>
        </patternFill>
      </fill>
    </dxf>
    <dxf>
      <font>
        <strike val="0"/>
        <color auto="1"/>
      </font>
      <fill>
        <patternFill patternType="none">
          <bgColor auto="1"/>
        </patternFill>
      </fill>
    </dxf>
    <dxf>
      <font>
        <color theme="1"/>
      </font>
      <fill>
        <patternFill patternType="none">
          <bgColor auto="1"/>
        </patternFill>
      </fill>
    </dxf>
    <dxf>
      <font>
        <color auto="1"/>
      </font>
      <fill>
        <patternFill patternType="none">
          <bgColor auto="1"/>
        </patternFill>
      </fill>
    </dxf>
    <dxf>
      <font>
        <color theme="0"/>
      </font>
      <fill>
        <patternFill>
          <bgColor rgb="FFFF0000"/>
        </patternFill>
      </fill>
    </dxf>
    <dxf>
      <fill>
        <patternFill>
          <bgColor rgb="FFF8696B"/>
        </patternFill>
      </fill>
    </dxf>
    <dxf>
      <fill>
        <patternFill>
          <bgColor rgb="FFFFEB84"/>
        </patternFill>
      </fill>
    </dxf>
    <dxf>
      <fill>
        <patternFill>
          <bgColor rgb="FF63BE7B"/>
        </patternFill>
      </fill>
    </dxf>
    <dxf>
      <font>
        <color auto="1"/>
      </font>
      <fill>
        <patternFill patternType="none">
          <bgColor auto="1"/>
        </patternFill>
      </fill>
    </dxf>
    <dxf>
      <font>
        <color theme="0"/>
      </font>
      <fill>
        <patternFill>
          <bgColor rgb="FFFF0000"/>
        </patternFill>
      </fill>
    </dxf>
    <dxf>
      <fill>
        <patternFill>
          <bgColor rgb="FFF8696B"/>
        </patternFill>
      </fill>
    </dxf>
    <dxf>
      <fill>
        <patternFill>
          <bgColor rgb="FFFFEB84"/>
        </patternFill>
      </fill>
    </dxf>
    <dxf>
      <fill>
        <patternFill>
          <bgColor rgb="FF63BE7B"/>
        </patternFill>
      </fill>
    </dxf>
    <dxf>
      <font>
        <color theme="0"/>
      </font>
      <fill>
        <patternFill>
          <bgColor rgb="FFFF0000"/>
        </patternFill>
      </fill>
    </dxf>
    <dxf>
      <fill>
        <patternFill>
          <bgColor rgb="FFF8696B"/>
        </patternFill>
      </fill>
    </dxf>
    <dxf>
      <fill>
        <patternFill>
          <bgColor rgb="FFFFEB84"/>
        </patternFill>
      </fill>
    </dxf>
    <dxf>
      <fill>
        <patternFill>
          <bgColor rgb="FF63BE7B"/>
        </patternFill>
      </fill>
    </dxf>
    <dxf>
      <fill>
        <patternFill>
          <bgColor rgb="FFF8696B"/>
        </patternFill>
      </fill>
    </dxf>
    <dxf>
      <fill>
        <patternFill>
          <bgColor rgb="FFFFEB84"/>
        </patternFill>
      </fill>
    </dxf>
    <dxf>
      <fill>
        <patternFill>
          <bgColor rgb="FF63BE7B"/>
        </patternFill>
      </fill>
    </dxf>
    <dxf>
      <font>
        <color theme="0"/>
      </font>
      <fill>
        <patternFill>
          <bgColor rgb="FFFF0000"/>
        </patternFill>
      </fill>
    </dxf>
    <dxf>
      <fill>
        <patternFill>
          <bgColor rgb="FFF8696B"/>
        </patternFill>
      </fill>
    </dxf>
    <dxf>
      <fill>
        <patternFill>
          <bgColor rgb="FFFFEB84"/>
        </patternFill>
      </fill>
    </dxf>
    <dxf>
      <fill>
        <patternFill>
          <bgColor rgb="FF63BE7B"/>
        </patternFill>
      </fill>
    </dxf>
    <dxf>
      <font>
        <color theme="1"/>
      </font>
      <fill>
        <patternFill patternType="none">
          <bgColor auto="1"/>
        </patternFill>
      </fill>
    </dxf>
    <dxf>
      <fill>
        <patternFill>
          <bgColor rgb="FFF8696B"/>
        </patternFill>
      </fill>
    </dxf>
    <dxf>
      <fill>
        <patternFill>
          <bgColor rgb="FFFFEB84"/>
        </patternFill>
      </fill>
    </dxf>
    <dxf>
      <fill>
        <patternFill>
          <bgColor rgb="FF63BE7B"/>
        </patternFill>
      </fill>
    </dxf>
    <dxf>
      <font>
        <color theme="1"/>
      </font>
      <fill>
        <patternFill patternType="none">
          <bgColor auto="1"/>
        </patternFill>
      </fill>
    </dxf>
    <dxf>
      <font>
        <strike val="0"/>
        <color auto="1"/>
      </font>
      <fill>
        <patternFill patternType="none">
          <bgColor auto="1"/>
        </patternFill>
      </fill>
    </dxf>
    <dxf>
      <fill>
        <patternFill>
          <bgColor rgb="FFF8696B"/>
        </patternFill>
      </fill>
    </dxf>
    <dxf>
      <fill>
        <patternFill>
          <bgColor rgb="FFFFEB84"/>
        </patternFill>
      </fill>
    </dxf>
    <dxf>
      <fill>
        <patternFill>
          <bgColor rgb="FF63BE7B"/>
        </patternFill>
      </fill>
    </dxf>
    <dxf>
      <font>
        <color theme="1"/>
      </font>
      <fill>
        <patternFill patternType="none">
          <bgColor auto="1"/>
        </patternFill>
      </fill>
    </dxf>
    <dxf>
      <font>
        <strike val="0"/>
      </font>
      <fill>
        <patternFill patternType="none">
          <bgColor auto="1"/>
        </patternFill>
      </fill>
    </dxf>
    <dxf>
      <fill>
        <patternFill>
          <bgColor rgb="FFF8696B"/>
        </patternFill>
      </fill>
    </dxf>
    <dxf>
      <fill>
        <patternFill>
          <bgColor rgb="FFFFEB84"/>
        </patternFill>
      </fill>
    </dxf>
    <dxf>
      <fill>
        <patternFill>
          <bgColor rgb="FF63BE7B"/>
        </patternFill>
      </fill>
    </dxf>
    <dxf>
      <font>
        <color theme="1"/>
      </font>
      <fill>
        <patternFill>
          <bgColor theme="0"/>
        </patternFill>
      </fill>
    </dxf>
    <dxf>
      <font>
        <color auto="1"/>
      </font>
      <fill>
        <patternFill patternType="none">
          <bgColor auto="1"/>
        </patternFill>
      </fill>
    </dxf>
    <dxf>
      <fill>
        <patternFill>
          <bgColor rgb="FF63BE7B"/>
        </patternFill>
      </fill>
    </dxf>
    <dxf>
      <fill>
        <patternFill>
          <bgColor rgb="FFF8696B"/>
        </patternFill>
      </fill>
    </dxf>
    <dxf>
      <fill>
        <patternFill>
          <bgColor rgb="FFFFEB84"/>
        </patternFill>
      </fill>
    </dxf>
    <dxf>
      <font>
        <color theme="1"/>
      </font>
      <fill>
        <patternFill patternType="none">
          <bgColor auto="1"/>
        </patternFill>
      </fill>
    </dxf>
    <dxf>
      <font>
        <strike val="0"/>
        <color auto="1"/>
      </font>
      <fill>
        <patternFill patternType="none">
          <bgColor auto="1"/>
        </patternFill>
      </fill>
    </dxf>
    <dxf>
      <fill>
        <patternFill>
          <bgColor rgb="FFF8696B"/>
        </patternFill>
      </fill>
    </dxf>
    <dxf>
      <fill>
        <patternFill>
          <bgColor rgb="FFFFEB84"/>
        </patternFill>
      </fill>
    </dxf>
    <dxf>
      <fill>
        <patternFill>
          <bgColor rgb="FF63BE7B"/>
        </patternFill>
      </fill>
    </dxf>
    <dxf>
      <font>
        <color theme="1"/>
      </font>
      <fill>
        <patternFill patternType="none">
          <bgColor auto="1"/>
        </patternFill>
      </fill>
    </dxf>
    <dxf>
      <font>
        <strike val="0"/>
      </font>
      <fill>
        <patternFill patternType="none">
          <bgColor auto="1"/>
        </patternFill>
      </fill>
    </dxf>
    <dxf>
      <fill>
        <patternFill>
          <bgColor rgb="FFF8696B"/>
        </patternFill>
      </fill>
    </dxf>
    <dxf>
      <fill>
        <patternFill>
          <bgColor rgb="FFFFEB84"/>
        </patternFill>
      </fill>
    </dxf>
    <dxf>
      <fill>
        <patternFill>
          <bgColor rgb="FF63BE7B"/>
        </patternFill>
      </fill>
    </dxf>
    <dxf>
      <font>
        <color theme="1"/>
      </font>
      <fill>
        <patternFill patternType="none">
          <bgColor auto="1"/>
        </patternFill>
      </fill>
    </dxf>
    <dxf>
      <fill>
        <patternFill>
          <bgColor rgb="FFF8696B"/>
        </patternFill>
      </fill>
    </dxf>
    <dxf>
      <fill>
        <patternFill>
          <bgColor rgb="FFFFEB84"/>
        </patternFill>
      </fill>
    </dxf>
    <dxf>
      <fill>
        <patternFill>
          <bgColor rgb="FF63BE7B"/>
        </patternFill>
      </fill>
    </dxf>
    <dxf>
      <font>
        <color theme="1"/>
      </font>
      <fill>
        <patternFill patternType="none">
          <bgColor auto="1"/>
        </patternFill>
      </fill>
    </dxf>
    <dxf>
      <fill>
        <patternFill>
          <bgColor rgb="FFF8696B"/>
        </patternFill>
      </fill>
    </dxf>
    <dxf>
      <fill>
        <patternFill>
          <bgColor rgb="FFFFEB84"/>
        </patternFill>
      </fill>
    </dxf>
    <dxf>
      <fill>
        <patternFill>
          <bgColor rgb="FF63BE7B"/>
        </patternFill>
      </fill>
    </dxf>
    <dxf>
      <font>
        <color theme="1"/>
      </font>
      <fill>
        <patternFill patternType="none">
          <bgColor auto="1"/>
        </patternFill>
      </fill>
    </dxf>
    <dxf>
      <fill>
        <patternFill>
          <bgColor rgb="FFF8696B"/>
        </patternFill>
      </fill>
    </dxf>
    <dxf>
      <fill>
        <patternFill>
          <bgColor rgb="FFFFEB84"/>
        </patternFill>
      </fill>
    </dxf>
    <dxf>
      <fill>
        <patternFill>
          <bgColor rgb="FF63BE7B"/>
        </patternFill>
      </fill>
    </dxf>
    <dxf>
      <font>
        <color theme="1"/>
      </font>
      <fill>
        <patternFill>
          <bgColor theme="0"/>
        </patternFill>
      </fill>
    </dxf>
    <dxf>
      <fill>
        <patternFill>
          <bgColor rgb="FF63BE7B"/>
        </patternFill>
      </fill>
    </dxf>
    <dxf>
      <fill>
        <patternFill>
          <bgColor rgb="FFF8696B"/>
        </patternFill>
      </fill>
    </dxf>
    <dxf>
      <fill>
        <patternFill>
          <bgColor rgb="FFFFEB84"/>
        </patternFill>
      </fill>
    </dxf>
    <dxf>
      <font>
        <color theme="1"/>
      </font>
      <fill>
        <patternFill patternType="none">
          <bgColor auto="1"/>
        </patternFill>
      </fill>
    </dxf>
  </dxfs>
  <tableStyles count="0" defaultTableStyle="TableStyleMedium2" defaultPivotStyle="PivotStyleLight16"/>
  <colors>
    <mruColors>
      <color rgb="FFDCCD72"/>
      <color rgb="FFFF66FF"/>
      <color rgb="FFCC3399"/>
      <color rgb="FFFFAD09"/>
      <color rgb="FFFCD5B4"/>
      <color rgb="FFFFFFCC"/>
      <color rgb="FFA92969"/>
      <color rgb="FFD66C94"/>
      <color rgb="FFFFFF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overlay val="0"/>
      <c:txPr>
        <a:bodyPr/>
        <a:lstStyle/>
        <a:p>
          <a:pPr>
            <a:defRPr b="0" u="sng">
              <a:latin typeface="+mj-lt"/>
            </a:defRPr>
          </a:pPr>
          <a:endParaRPr lang="en-US"/>
        </a:p>
      </c:txPr>
    </c:title>
    <c:autoTitleDeleted val="0"/>
    <c:plotArea>
      <c:layout/>
      <c:barChart>
        <c:barDir val="col"/>
        <c:grouping val="clustered"/>
        <c:varyColors val="0"/>
        <c:ser>
          <c:idx val="3"/>
          <c:order val="0"/>
          <c:tx>
            <c:strRef>
              <c:f>Severity!$S$151</c:f>
              <c:strCache>
                <c:ptCount val="1"/>
                <c:pt idx="0">
                  <c:v>Human Impact</c:v>
                </c:pt>
              </c:strCache>
            </c:strRef>
          </c:tx>
          <c:spPr>
            <a:scene3d>
              <a:camera prst="orthographicFront"/>
              <a:lightRig rig="threePt" dir="t"/>
            </a:scene3d>
            <a:sp3d prstMaterial="dkEdge">
              <a:bevelT w="63500" h="50800"/>
            </a:sp3d>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Severity!$R$152:$R$181</c:f>
              <c:strCache>
                <c:ptCount val="20"/>
                <c:pt idx="0">
                  <c:v>Active Shooter</c:v>
                </c:pt>
                <c:pt idx="1">
                  <c:v>Biological Terrorism</c:v>
                </c:pt>
                <c:pt idx="2">
                  <c:v>Chemical Terrorism</c:v>
                </c:pt>
                <c:pt idx="3">
                  <c:v>Civil Disturbance</c:v>
                </c:pt>
                <c:pt idx="4">
                  <c:v>Coastal Storm</c:v>
                </c:pt>
                <c:pt idx="5">
                  <c:v>Conventional Explosive</c:v>
                </c:pt>
                <c:pt idx="6">
                  <c:v>Cyber Terrorism</c:v>
                </c:pt>
                <c:pt idx="7">
                  <c:v>Drought</c:v>
                </c:pt>
                <c:pt idx="8">
                  <c:v>Earthquake</c:v>
                </c:pt>
                <c:pt idx="9">
                  <c:v>Flood</c:v>
                </c:pt>
                <c:pt idx="10">
                  <c:v>Hazardous Materials Release</c:v>
                </c:pt>
                <c:pt idx="11">
                  <c:v>Localized Infectious Disease</c:v>
                </c:pt>
                <c:pt idx="12">
                  <c:v>Nuclear Facility Accident</c:v>
                </c:pt>
                <c:pt idx="13">
                  <c:v>Pandemic</c:v>
                </c:pt>
                <c:pt idx="14">
                  <c:v>Radiation Dispersal Device</c:v>
                </c:pt>
                <c:pt idx="15">
                  <c:v>Temperature Extremes</c:v>
                </c:pt>
                <c:pt idx="16">
                  <c:v>Tornado</c:v>
                </c:pt>
                <c:pt idx="17">
                  <c:v>Utility Interruption</c:v>
                </c:pt>
                <c:pt idx="18">
                  <c:v>Wildfire</c:v>
                </c:pt>
                <c:pt idx="19">
                  <c:v>Winter Storm</c:v>
                </c:pt>
              </c:strCache>
            </c:strRef>
          </c:cat>
          <c:val>
            <c:numRef>
              <c:f>Severity!$S$152:$S$181</c:f>
              <c:numCache>
                <c:formatCode>0.00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0-47E5-4A6F-AFAD-34659D2A203A}"/>
            </c:ext>
          </c:extLst>
        </c:ser>
        <c:dLbls>
          <c:showLegendKey val="0"/>
          <c:showVal val="1"/>
          <c:showCatName val="0"/>
          <c:showSerName val="0"/>
          <c:showPercent val="0"/>
          <c:showBubbleSize val="0"/>
        </c:dLbls>
        <c:gapWidth val="150"/>
        <c:axId val="149120128"/>
        <c:axId val="149122048"/>
      </c:barChart>
      <c:catAx>
        <c:axId val="149120128"/>
        <c:scaling>
          <c:orientation val="minMax"/>
        </c:scaling>
        <c:delete val="0"/>
        <c:axPos val="b"/>
        <c:numFmt formatCode="General" sourceLinked="1"/>
        <c:majorTickMark val="out"/>
        <c:minorTickMark val="none"/>
        <c:tickLblPos val="nextTo"/>
        <c:spPr>
          <a:ln>
            <a:solidFill>
              <a:schemeClr val="tx1"/>
            </a:solidFill>
          </a:ln>
        </c:spPr>
        <c:crossAx val="149122048"/>
        <c:crosses val="autoZero"/>
        <c:auto val="1"/>
        <c:lblAlgn val="ctr"/>
        <c:lblOffset val="100"/>
        <c:noMultiLvlLbl val="0"/>
      </c:catAx>
      <c:valAx>
        <c:axId val="149122048"/>
        <c:scaling>
          <c:orientation val="minMax"/>
        </c:scaling>
        <c:delete val="0"/>
        <c:axPos val="l"/>
        <c:majorGridlines/>
        <c:numFmt formatCode="#,##0.00" sourceLinked="0"/>
        <c:majorTickMark val="out"/>
        <c:minorTickMark val="none"/>
        <c:tickLblPos val="nextTo"/>
        <c:spPr>
          <a:ln>
            <a:solidFill>
              <a:schemeClr val="tx1"/>
            </a:solidFill>
          </a:ln>
        </c:spPr>
        <c:crossAx val="149120128"/>
        <c:crosses val="autoZero"/>
        <c:crossBetween val="between"/>
      </c:valAx>
      <c:spPr>
        <a:gradFill flip="none" rotWithShape="1">
          <a:gsLst>
            <a:gs pos="0">
              <a:srgbClr val="63BE7B"/>
            </a:gs>
            <a:gs pos="50000">
              <a:srgbClr val="FFEB84"/>
            </a:gs>
            <a:gs pos="100000">
              <a:srgbClr val="F8696B"/>
            </a:gs>
          </a:gsLst>
          <a:lin ang="162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b="0" u="sng">
                <a:latin typeface="+mj-lt"/>
              </a:defRPr>
            </a:pPr>
            <a:r>
              <a:rPr lang="en-US" b="0" u="sng">
                <a:latin typeface="+mj-lt"/>
              </a:rPr>
              <a:t>Planning Priority Indicator</a:t>
            </a:r>
          </a:p>
        </c:rich>
      </c:tx>
      <c:layout>
        <c:manualLayout>
          <c:xMode val="edge"/>
          <c:yMode val="edge"/>
          <c:x val="0.34382499620720236"/>
          <c:y val="1.5673641887660222E-2"/>
        </c:manualLayout>
      </c:layout>
      <c:overlay val="0"/>
    </c:title>
    <c:autoTitleDeleted val="0"/>
    <c:plotArea>
      <c:layout/>
      <c:barChart>
        <c:barDir val="col"/>
        <c:grouping val="clustered"/>
        <c:varyColors val="0"/>
        <c:ser>
          <c:idx val="0"/>
          <c:order val="0"/>
          <c:tx>
            <c:v>Public Health System Planning Priority</c:v>
          </c:tx>
          <c:invertIfNegative val="0"/>
          <c:dLbls>
            <c:delete val="1"/>
          </c:dLbls>
          <c:cat>
            <c:strRef>
              <c:f>'Summary of Scores'!$B$8:$B$37</c:f>
              <c:strCache>
                <c:ptCount val="20"/>
                <c:pt idx="0">
                  <c:v>Active Shooter</c:v>
                </c:pt>
                <c:pt idx="1">
                  <c:v>Bio Terrorism</c:v>
                </c:pt>
                <c:pt idx="2">
                  <c:v>Chem Terrorism</c:v>
                </c:pt>
                <c:pt idx="3">
                  <c:v>Civil Disturbance</c:v>
                </c:pt>
                <c:pt idx="4">
                  <c:v>Coastal Storm</c:v>
                </c:pt>
                <c:pt idx="5">
                  <c:v>Conv Explosive</c:v>
                </c:pt>
                <c:pt idx="6">
                  <c:v>Cyber Terrorism</c:v>
                </c:pt>
                <c:pt idx="7">
                  <c:v>Drought</c:v>
                </c:pt>
                <c:pt idx="8">
                  <c:v>Earthquake</c:v>
                </c:pt>
                <c:pt idx="9">
                  <c:v>Flood</c:v>
                </c:pt>
                <c:pt idx="10">
                  <c:v>HazMat Release</c:v>
                </c:pt>
                <c:pt idx="11">
                  <c:v>Localized ID</c:v>
                </c:pt>
                <c:pt idx="12">
                  <c:v>Nuclear Facility</c:v>
                </c:pt>
                <c:pt idx="13">
                  <c:v>Pandemic</c:v>
                </c:pt>
                <c:pt idx="14">
                  <c:v>RDD</c:v>
                </c:pt>
                <c:pt idx="15">
                  <c:v>Temp Extremes</c:v>
                </c:pt>
                <c:pt idx="16">
                  <c:v>Tornado</c:v>
                </c:pt>
                <c:pt idx="17">
                  <c:v>Utility Interr</c:v>
                </c:pt>
                <c:pt idx="18">
                  <c:v>Wildfire</c:v>
                </c:pt>
                <c:pt idx="19">
                  <c:v>Winter Storm</c:v>
                </c:pt>
              </c:strCache>
            </c:strRef>
          </c:cat>
          <c:val>
            <c:numRef>
              <c:f>'Summary of Scores'!$Q$8:$Q$37</c:f>
              <c:numCache>
                <c:formatCode>#,##0.00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0-3960-428E-A795-481B16338A34}"/>
            </c:ext>
          </c:extLst>
        </c:ser>
        <c:ser>
          <c:idx val="1"/>
          <c:order val="1"/>
          <c:tx>
            <c:v>Healthcare System Planning Priority</c:v>
          </c:tx>
          <c:invertIfNegative val="0"/>
          <c:dLbls>
            <c:delete val="1"/>
          </c:dLbls>
          <c:cat>
            <c:strRef>
              <c:f>'Summary of Scores'!$B$8:$B$37</c:f>
              <c:strCache>
                <c:ptCount val="20"/>
                <c:pt idx="0">
                  <c:v>Active Shooter</c:v>
                </c:pt>
                <c:pt idx="1">
                  <c:v>Bio Terrorism</c:v>
                </c:pt>
                <c:pt idx="2">
                  <c:v>Chem Terrorism</c:v>
                </c:pt>
                <c:pt idx="3">
                  <c:v>Civil Disturbance</c:v>
                </c:pt>
                <c:pt idx="4">
                  <c:v>Coastal Storm</c:v>
                </c:pt>
                <c:pt idx="5">
                  <c:v>Conv Explosive</c:v>
                </c:pt>
                <c:pt idx="6">
                  <c:v>Cyber Terrorism</c:v>
                </c:pt>
                <c:pt idx="7">
                  <c:v>Drought</c:v>
                </c:pt>
                <c:pt idx="8">
                  <c:v>Earthquake</c:v>
                </c:pt>
                <c:pt idx="9">
                  <c:v>Flood</c:v>
                </c:pt>
                <c:pt idx="10">
                  <c:v>HazMat Release</c:v>
                </c:pt>
                <c:pt idx="11">
                  <c:v>Localized ID</c:v>
                </c:pt>
                <c:pt idx="12">
                  <c:v>Nuclear Facility</c:v>
                </c:pt>
                <c:pt idx="13">
                  <c:v>Pandemic</c:v>
                </c:pt>
                <c:pt idx="14">
                  <c:v>RDD</c:v>
                </c:pt>
                <c:pt idx="15">
                  <c:v>Temp Extremes</c:v>
                </c:pt>
                <c:pt idx="16">
                  <c:v>Tornado</c:v>
                </c:pt>
                <c:pt idx="17">
                  <c:v>Utility Interr</c:v>
                </c:pt>
                <c:pt idx="18">
                  <c:v>Wildfire</c:v>
                </c:pt>
                <c:pt idx="19">
                  <c:v>Winter Storm</c:v>
                </c:pt>
              </c:strCache>
            </c:strRef>
          </c:cat>
          <c:val>
            <c:numRef>
              <c:f>'Summary of Scores'!$R$8:$R$37</c:f>
              <c:numCache>
                <c:formatCode>#,##0.00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1-3960-428E-A795-481B16338A34}"/>
            </c:ext>
          </c:extLst>
        </c:ser>
        <c:dLbls>
          <c:showLegendKey val="0"/>
          <c:showVal val="1"/>
          <c:showCatName val="0"/>
          <c:showSerName val="0"/>
          <c:showPercent val="0"/>
          <c:showBubbleSize val="0"/>
        </c:dLbls>
        <c:gapWidth val="150"/>
        <c:axId val="149664512"/>
        <c:axId val="149666432"/>
      </c:barChart>
      <c:catAx>
        <c:axId val="149664512"/>
        <c:scaling>
          <c:orientation val="minMax"/>
        </c:scaling>
        <c:delete val="0"/>
        <c:axPos val="b"/>
        <c:title>
          <c:tx>
            <c:rich>
              <a:bodyPr/>
              <a:lstStyle/>
              <a:p>
                <a:pPr>
                  <a:defRPr b="0">
                    <a:latin typeface="+mj-lt"/>
                  </a:defRPr>
                </a:pPr>
                <a:r>
                  <a:rPr lang="en-US" sz="1600" b="0">
                    <a:latin typeface="+mj-lt"/>
                  </a:rPr>
                  <a:t>Hazard</a:t>
                </a:r>
              </a:p>
            </c:rich>
          </c:tx>
          <c:overlay val="0"/>
        </c:title>
        <c:numFmt formatCode="General" sourceLinked="1"/>
        <c:majorTickMark val="out"/>
        <c:minorTickMark val="none"/>
        <c:tickLblPos val="nextTo"/>
        <c:spPr>
          <a:ln>
            <a:solidFill>
              <a:schemeClr val="tx1"/>
            </a:solidFill>
          </a:ln>
        </c:spPr>
        <c:crossAx val="149666432"/>
        <c:crosses val="autoZero"/>
        <c:auto val="1"/>
        <c:lblAlgn val="ctr"/>
        <c:lblOffset val="100"/>
        <c:noMultiLvlLbl val="0"/>
      </c:catAx>
      <c:valAx>
        <c:axId val="149666432"/>
        <c:scaling>
          <c:orientation val="minMax"/>
        </c:scaling>
        <c:delete val="0"/>
        <c:axPos val="l"/>
        <c:majorGridlines/>
        <c:title>
          <c:tx>
            <c:rich>
              <a:bodyPr rot="-5400000" vert="horz"/>
              <a:lstStyle/>
              <a:p>
                <a:pPr>
                  <a:defRPr sz="1600" b="0">
                    <a:latin typeface="+mj-lt"/>
                  </a:defRPr>
                </a:pPr>
                <a:r>
                  <a:rPr lang="en-US" sz="1600" b="0">
                    <a:latin typeface="+mj-lt"/>
                  </a:rPr>
                  <a:t>Planning Priority</a:t>
                </a:r>
              </a:p>
            </c:rich>
          </c:tx>
          <c:layout>
            <c:manualLayout>
              <c:xMode val="edge"/>
              <c:yMode val="edge"/>
              <c:x val="2.329394150521838E-2"/>
              <c:y val="0.3934785747409999"/>
            </c:manualLayout>
          </c:layout>
          <c:overlay val="0"/>
        </c:title>
        <c:numFmt formatCode="#,##0" sourceLinked="0"/>
        <c:majorTickMark val="out"/>
        <c:minorTickMark val="none"/>
        <c:tickLblPos val="nextTo"/>
        <c:spPr>
          <a:ln>
            <a:solidFill>
              <a:schemeClr val="tx1"/>
            </a:solidFill>
          </a:ln>
        </c:spPr>
        <c:crossAx val="149664512"/>
        <c:crosses val="autoZero"/>
        <c:crossBetween val="between"/>
      </c:valAx>
      <c:spPr>
        <a:gradFill flip="none" rotWithShape="1">
          <a:gsLst>
            <a:gs pos="0">
              <a:srgbClr val="63BE7B"/>
            </a:gs>
            <a:gs pos="50000">
              <a:srgbClr val="FFEB84"/>
            </a:gs>
            <a:gs pos="100000">
              <a:srgbClr val="F8696B"/>
            </a:gs>
          </a:gsLst>
          <a:lin ang="16200000" scaled="1"/>
          <a:tileRect/>
        </a:gradFill>
        <a:ln>
          <a:solidFill>
            <a:schemeClr val="tx1"/>
          </a:solidFill>
        </a:ln>
      </c:spPr>
    </c:plotArea>
    <c:legend>
      <c:legendPos val="r"/>
      <c:layout>
        <c:manualLayout>
          <c:xMode val="edge"/>
          <c:yMode val="edge"/>
          <c:x val="0.10715972962258313"/>
          <c:y val="0.12338348416830409"/>
          <c:w val="0.28719779124174044"/>
          <c:h val="0.10017908963565347"/>
        </c:manualLayout>
      </c:layout>
      <c:overlay val="1"/>
      <c:spPr>
        <a:solidFill>
          <a:schemeClr val="bg1"/>
        </a:solidFill>
        <a:ln>
          <a:solidFill>
            <a:schemeClr val="tx1"/>
          </a:solidFill>
        </a:ln>
      </c:spPr>
    </c:legend>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defRPr b="0" u="sng">
                <a:latin typeface="+mj-lt"/>
              </a:defRPr>
            </a:pPr>
            <a:r>
              <a:rPr lang="en-US" b="0" u="sng">
                <a:latin typeface="+mj-lt"/>
              </a:rPr>
              <a:t>Public Health Preparedness</a:t>
            </a:r>
          </a:p>
        </c:rich>
      </c:tx>
      <c:layout>
        <c:manualLayout>
          <c:xMode val="edge"/>
          <c:yMode val="edge"/>
          <c:x val="0.30532356317913883"/>
          <c:y val="1.3244983721297133E-2"/>
        </c:manualLayout>
      </c:layout>
      <c:overlay val="0"/>
    </c:title>
    <c:autoTitleDeleted val="0"/>
    <c:plotArea>
      <c:layout/>
      <c:scatterChart>
        <c:scatterStyle val="lineMarker"/>
        <c:varyColors val="0"/>
        <c:ser>
          <c:idx val="0"/>
          <c:order val="0"/>
          <c:tx>
            <c:strRef>
              <c:f>Hazard1!$C$853</c:f>
              <c:strCache>
                <c:ptCount val="1"/>
                <c:pt idx="0">
                  <c:v>Info Sharing</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Hazard1!$J$854</c:f>
              <c:strCache>
                <c:ptCount val="1"/>
                <c:pt idx="0">
                  <c:v>Not Calculated</c:v>
                </c:pt>
              </c:strCache>
            </c:strRef>
          </c:xVal>
          <c:yVal>
            <c:numRef>
              <c:f>Hazard1!$J$855</c:f>
              <c:numCache>
                <c:formatCode>General</c:formatCode>
                <c:ptCount val="1"/>
                <c:pt idx="0">
                  <c:v>0</c:v>
                </c:pt>
              </c:numCache>
            </c:numRef>
          </c:yVal>
          <c:smooth val="0"/>
          <c:extLst>
            <c:ext xmlns:c16="http://schemas.microsoft.com/office/drawing/2014/chart" uri="{C3380CC4-5D6E-409C-BE32-E72D297353CC}">
              <c16:uniqueId val="{00000000-3081-448A-A790-F00C48704764}"/>
            </c:ext>
          </c:extLst>
        </c:ser>
        <c:ser>
          <c:idx val="1"/>
          <c:order val="1"/>
          <c:tx>
            <c:strRef>
              <c:f>Hazard1!$C$857</c:f>
              <c:strCache>
                <c:ptCount val="1"/>
                <c:pt idx="0">
                  <c:v>Mass Care</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Hazard1!$J$858</c:f>
              <c:strCache>
                <c:ptCount val="1"/>
                <c:pt idx="0">
                  <c:v>Not Calculated</c:v>
                </c:pt>
              </c:strCache>
            </c:strRef>
          </c:xVal>
          <c:yVal>
            <c:numRef>
              <c:f>Hazard1!$J$859</c:f>
              <c:numCache>
                <c:formatCode>General</c:formatCode>
                <c:ptCount val="1"/>
                <c:pt idx="0">
                  <c:v>0</c:v>
                </c:pt>
              </c:numCache>
            </c:numRef>
          </c:yVal>
          <c:smooth val="0"/>
          <c:extLst>
            <c:ext xmlns:c16="http://schemas.microsoft.com/office/drawing/2014/chart" uri="{C3380CC4-5D6E-409C-BE32-E72D297353CC}">
              <c16:uniqueId val="{00000001-3081-448A-A790-F00C48704764}"/>
            </c:ext>
          </c:extLst>
        </c:ser>
        <c:ser>
          <c:idx val="2"/>
          <c:order val="2"/>
          <c:tx>
            <c:strRef>
              <c:f>Hazard1!$C$861</c:f>
              <c:strCache>
                <c:ptCount val="1"/>
                <c:pt idx="0">
                  <c:v>MCM Dispens</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Hazard1!$J$862</c:f>
              <c:strCache>
                <c:ptCount val="1"/>
                <c:pt idx="0">
                  <c:v>Not Calculated</c:v>
                </c:pt>
              </c:strCache>
            </c:strRef>
          </c:xVal>
          <c:yVal>
            <c:numRef>
              <c:f>Hazard1!$J$863</c:f>
              <c:numCache>
                <c:formatCode>General</c:formatCode>
                <c:ptCount val="1"/>
                <c:pt idx="0">
                  <c:v>0</c:v>
                </c:pt>
              </c:numCache>
            </c:numRef>
          </c:yVal>
          <c:smooth val="0"/>
          <c:extLst>
            <c:ext xmlns:c16="http://schemas.microsoft.com/office/drawing/2014/chart" uri="{C3380CC4-5D6E-409C-BE32-E72D297353CC}">
              <c16:uniqueId val="{00000002-3081-448A-A790-F00C48704764}"/>
            </c:ext>
          </c:extLst>
        </c:ser>
        <c:ser>
          <c:idx val="3"/>
          <c:order val="3"/>
          <c:tx>
            <c:strRef>
              <c:f>Hazard1!$C$865</c:f>
              <c:strCache>
                <c:ptCount val="1"/>
                <c:pt idx="0">
                  <c:v>Med Materiel Mgmt</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Hazard1!$J$866</c:f>
              <c:strCache>
                <c:ptCount val="1"/>
                <c:pt idx="0">
                  <c:v>Not Calculated</c:v>
                </c:pt>
              </c:strCache>
            </c:strRef>
          </c:xVal>
          <c:yVal>
            <c:numRef>
              <c:f>Hazard1!$J$867</c:f>
              <c:numCache>
                <c:formatCode>General</c:formatCode>
                <c:ptCount val="1"/>
                <c:pt idx="0">
                  <c:v>0</c:v>
                </c:pt>
              </c:numCache>
            </c:numRef>
          </c:yVal>
          <c:smooth val="0"/>
          <c:extLst>
            <c:ext xmlns:c16="http://schemas.microsoft.com/office/drawing/2014/chart" uri="{C3380CC4-5D6E-409C-BE32-E72D297353CC}">
              <c16:uniqueId val="{00000003-3081-448A-A790-F00C48704764}"/>
            </c:ext>
          </c:extLst>
        </c:ser>
        <c:ser>
          <c:idx val="4"/>
          <c:order val="4"/>
          <c:tx>
            <c:strRef>
              <c:f>Hazard1!$C$869</c:f>
              <c:strCache>
                <c:ptCount val="1"/>
                <c:pt idx="0">
                  <c:v>Medical Surge</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Hazard1!$J$870</c:f>
              <c:strCache>
                <c:ptCount val="1"/>
                <c:pt idx="0">
                  <c:v>Not Calculated</c:v>
                </c:pt>
              </c:strCache>
            </c:strRef>
          </c:xVal>
          <c:yVal>
            <c:numRef>
              <c:f>Hazard1!$J$871</c:f>
              <c:numCache>
                <c:formatCode>General</c:formatCode>
                <c:ptCount val="1"/>
                <c:pt idx="0">
                  <c:v>0</c:v>
                </c:pt>
              </c:numCache>
            </c:numRef>
          </c:yVal>
          <c:smooth val="0"/>
          <c:extLst>
            <c:ext xmlns:c16="http://schemas.microsoft.com/office/drawing/2014/chart" uri="{C3380CC4-5D6E-409C-BE32-E72D297353CC}">
              <c16:uniqueId val="{00000004-3081-448A-A790-F00C48704764}"/>
            </c:ext>
          </c:extLst>
        </c:ser>
        <c:ser>
          <c:idx val="5"/>
          <c:order val="5"/>
          <c:tx>
            <c:strRef>
              <c:f>Hazard1!$C$873</c:f>
              <c:strCache>
                <c:ptCount val="1"/>
                <c:pt idx="0">
                  <c:v>Non-Pharm Interv</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Hazard1!$J$874</c:f>
              <c:strCache>
                <c:ptCount val="1"/>
                <c:pt idx="0">
                  <c:v>Not Calculated</c:v>
                </c:pt>
              </c:strCache>
            </c:strRef>
          </c:xVal>
          <c:yVal>
            <c:numRef>
              <c:f>Hazard1!$J$875</c:f>
              <c:numCache>
                <c:formatCode>General</c:formatCode>
                <c:ptCount val="1"/>
                <c:pt idx="0">
                  <c:v>0</c:v>
                </c:pt>
              </c:numCache>
            </c:numRef>
          </c:yVal>
          <c:smooth val="0"/>
          <c:extLst>
            <c:ext xmlns:c16="http://schemas.microsoft.com/office/drawing/2014/chart" uri="{C3380CC4-5D6E-409C-BE32-E72D297353CC}">
              <c16:uniqueId val="{00000005-3081-448A-A790-F00C48704764}"/>
            </c:ext>
          </c:extLst>
        </c:ser>
        <c:ser>
          <c:idx val="6"/>
          <c:order val="6"/>
          <c:tx>
            <c:strRef>
              <c:f>Hazard1!$C$877</c:f>
              <c:strCache>
                <c:ptCount val="1"/>
                <c:pt idx="0">
                  <c:v>PH Lab Testing</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Hazard1!$J$878</c:f>
              <c:strCache>
                <c:ptCount val="1"/>
                <c:pt idx="0">
                  <c:v>Not Calculated</c:v>
                </c:pt>
              </c:strCache>
            </c:strRef>
          </c:xVal>
          <c:yVal>
            <c:numRef>
              <c:f>Hazard1!$J$879</c:f>
              <c:numCache>
                <c:formatCode>General</c:formatCode>
                <c:ptCount val="1"/>
                <c:pt idx="0">
                  <c:v>0</c:v>
                </c:pt>
              </c:numCache>
            </c:numRef>
          </c:yVal>
          <c:smooth val="0"/>
          <c:extLst>
            <c:ext xmlns:c16="http://schemas.microsoft.com/office/drawing/2014/chart" uri="{C3380CC4-5D6E-409C-BE32-E72D297353CC}">
              <c16:uniqueId val="{00000006-3081-448A-A790-F00C48704764}"/>
            </c:ext>
          </c:extLst>
        </c:ser>
        <c:ser>
          <c:idx val="7"/>
          <c:order val="7"/>
          <c:tx>
            <c:strRef>
              <c:f>Hazard1!$C$881</c:f>
              <c:strCache>
                <c:ptCount val="1"/>
                <c:pt idx="0">
                  <c:v>PH Surv &amp; Epi</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Hazard1!$J$882</c:f>
              <c:strCache>
                <c:ptCount val="1"/>
                <c:pt idx="0">
                  <c:v>Not Calculated</c:v>
                </c:pt>
              </c:strCache>
            </c:strRef>
          </c:xVal>
          <c:yVal>
            <c:numRef>
              <c:f>Hazard1!$J$883</c:f>
              <c:numCache>
                <c:formatCode>General</c:formatCode>
                <c:ptCount val="1"/>
                <c:pt idx="0">
                  <c:v>0</c:v>
                </c:pt>
              </c:numCache>
            </c:numRef>
          </c:yVal>
          <c:smooth val="0"/>
          <c:extLst>
            <c:ext xmlns:c16="http://schemas.microsoft.com/office/drawing/2014/chart" uri="{C3380CC4-5D6E-409C-BE32-E72D297353CC}">
              <c16:uniqueId val="{00000007-3081-448A-A790-F00C48704764}"/>
            </c:ext>
          </c:extLst>
        </c:ser>
        <c:ser>
          <c:idx val="8"/>
          <c:order val="8"/>
          <c:tx>
            <c:strRef>
              <c:f>Hazard1!$C$885</c:f>
              <c:strCache>
                <c:ptCount val="1"/>
                <c:pt idx="0">
                  <c:v>Responder Safety</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Hazard1!$J$886</c:f>
              <c:strCache>
                <c:ptCount val="1"/>
                <c:pt idx="0">
                  <c:v>Not Calculated</c:v>
                </c:pt>
              </c:strCache>
            </c:strRef>
          </c:xVal>
          <c:yVal>
            <c:numRef>
              <c:f>Hazard1!$J$887</c:f>
              <c:numCache>
                <c:formatCode>General</c:formatCode>
                <c:ptCount val="1"/>
                <c:pt idx="0">
                  <c:v>0</c:v>
                </c:pt>
              </c:numCache>
            </c:numRef>
          </c:yVal>
          <c:smooth val="0"/>
          <c:extLst>
            <c:ext xmlns:c16="http://schemas.microsoft.com/office/drawing/2014/chart" uri="{C3380CC4-5D6E-409C-BE32-E72D297353CC}">
              <c16:uniqueId val="{00000008-3081-448A-A790-F00C48704764}"/>
            </c:ext>
          </c:extLst>
        </c:ser>
        <c:ser>
          <c:idx val="9"/>
          <c:order val="9"/>
          <c:tx>
            <c:strRef>
              <c:f>Hazard1!$C$889</c:f>
              <c:strCache>
                <c:ptCount val="1"/>
                <c:pt idx="0">
                  <c:v>Volunteer Mgmt</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Hazard1!$J$890</c:f>
              <c:strCache>
                <c:ptCount val="1"/>
                <c:pt idx="0">
                  <c:v>Not Calculated</c:v>
                </c:pt>
              </c:strCache>
            </c:strRef>
          </c:xVal>
          <c:yVal>
            <c:numRef>
              <c:f>Hazard1!$J$891</c:f>
              <c:numCache>
                <c:formatCode>General</c:formatCode>
                <c:ptCount val="1"/>
                <c:pt idx="0">
                  <c:v>0</c:v>
                </c:pt>
              </c:numCache>
            </c:numRef>
          </c:yVal>
          <c:smooth val="0"/>
          <c:extLst>
            <c:ext xmlns:c16="http://schemas.microsoft.com/office/drawing/2014/chart" uri="{C3380CC4-5D6E-409C-BE32-E72D297353CC}">
              <c16:uniqueId val="{00000009-3081-448A-A790-F00C48704764}"/>
            </c:ext>
          </c:extLst>
        </c:ser>
        <c:ser>
          <c:idx val="10"/>
          <c:order val="10"/>
          <c:tx>
            <c:strRef>
              <c:f>Hazard1!$C$833</c:f>
              <c:strCache>
                <c:ptCount val="1"/>
                <c:pt idx="0">
                  <c:v>Community Prep</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Hazard1!$J$834</c:f>
              <c:strCache>
                <c:ptCount val="1"/>
                <c:pt idx="0">
                  <c:v>Not Calculated</c:v>
                </c:pt>
              </c:strCache>
            </c:strRef>
          </c:xVal>
          <c:yVal>
            <c:numRef>
              <c:f>Hazard1!$J$835</c:f>
              <c:numCache>
                <c:formatCode>General</c:formatCode>
                <c:ptCount val="1"/>
                <c:pt idx="0">
                  <c:v>0</c:v>
                </c:pt>
              </c:numCache>
            </c:numRef>
          </c:yVal>
          <c:smooth val="0"/>
          <c:extLst>
            <c:ext xmlns:c16="http://schemas.microsoft.com/office/drawing/2014/chart" uri="{C3380CC4-5D6E-409C-BE32-E72D297353CC}">
              <c16:uniqueId val="{0000000A-3081-448A-A790-F00C48704764}"/>
            </c:ext>
          </c:extLst>
        </c:ser>
        <c:ser>
          <c:idx val="11"/>
          <c:order val="11"/>
          <c:tx>
            <c:strRef>
              <c:f>Hazard1!$C$837</c:f>
              <c:strCache>
                <c:ptCount val="1"/>
                <c:pt idx="0">
                  <c:v>Community Recov</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Hazard1!$J$838</c:f>
              <c:strCache>
                <c:ptCount val="1"/>
                <c:pt idx="0">
                  <c:v>Not Calculated</c:v>
                </c:pt>
              </c:strCache>
            </c:strRef>
          </c:xVal>
          <c:yVal>
            <c:numRef>
              <c:f>Hazard1!$J$839</c:f>
              <c:numCache>
                <c:formatCode>General</c:formatCode>
                <c:ptCount val="1"/>
                <c:pt idx="0">
                  <c:v>0</c:v>
                </c:pt>
              </c:numCache>
            </c:numRef>
          </c:yVal>
          <c:smooth val="0"/>
          <c:extLst>
            <c:ext xmlns:c16="http://schemas.microsoft.com/office/drawing/2014/chart" uri="{C3380CC4-5D6E-409C-BE32-E72D297353CC}">
              <c16:uniqueId val="{0000000B-3081-448A-A790-F00C48704764}"/>
            </c:ext>
          </c:extLst>
        </c:ser>
        <c:ser>
          <c:idx val="12"/>
          <c:order val="12"/>
          <c:tx>
            <c:strRef>
              <c:f>Hazard1!$C$841</c:f>
              <c:strCache>
                <c:ptCount val="1"/>
                <c:pt idx="0">
                  <c:v>Emerg Ops Coord</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Hazard1!$J$842</c:f>
              <c:strCache>
                <c:ptCount val="1"/>
                <c:pt idx="0">
                  <c:v>Not Calculated</c:v>
                </c:pt>
              </c:strCache>
            </c:strRef>
          </c:xVal>
          <c:yVal>
            <c:numRef>
              <c:f>Hazard1!$J$843</c:f>
              <c:numCache>
                <c:formatCode>General</c:formatCode>
                <c:ptCount val="1"/>
                <c:pt idx="0">
                  <c:v>0</c:v>
                </c:pt>
              </c:numCache>
            </c:numRef>
          </c:yVal>
          <c:smooth val="0"/>
          <c:extLst>
            <c:ext xmlns:c16="http://schemas.microsoft.com/office/drawing/2014/chart" uri="{C3380CC4-5D6E-409C-BE32-E72D297353CC}">
              <c16:uniqueId val="{0000000C-3081-448A-A790-F00C48704764}"/>
            </c:ext>
          </c:extLst>
        </c:ser>
        <c:ser>
          <c:idx val="13"/>
          <c:order val="13"/>
          <c:tx>
            <c:strRef>
              <c:f>Hazard1!$C$845</c:f>
              <c:strCache>
                <c:ptCount val="1"/>
                <c:pt idx="0">
                  <c:v>Emerg Public Info</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Hazard1!$J$846</c:f>
              <c:strCache>
                <c:ptCount val="1"/>
                <c:pt idx="0">
                  <c:v>Not Calculated</c:v>
                </c:pt>
              </c:strCache>
            </c:strRef>
          </c:xVal>
          <c:yVal>
            <c:numRef>
              <c:f>Hazard1!$J$847</c:f>
              <c:numCache>
                <c:formatCode>General</c:formatCode>
                <c:ptCount val="1"/>
                <c:pt idx="0">
                  <c:v>0</c:v>
                </c:pt>
              </c:numCache>
            </c:numRef>
          </c:yVal>
          <c:smooth val="0"/>
          <c:extLst>
            <c:ext xmlns:c16="http://schemas.microsoft.com/office/drawing/2014/chart" uri="{C3380CC4-5D6E-409C-BE32-E72D297353CC}">
              <c16:uniqueId val="{0000000D-3081-448A-A790-F00C48704764}"/>
            </c:ext>
          </c:extLst>
        </c:ser>
        <c:ser>
          <c:idx val="14"/>
          <c:order val="14"/>
          <c:tx>
            <c:strRef>
              <c:f>Drought!$C$964</c:f>
              <c:strCache>
                <c:ptCount val="1"/>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Drought!$J$965</c:f>
            </c:numRef>
          </c:xVal>
          <c:yVal>
            <c:numRef>
              <c:f>Drought!$J$966</c:f>
            </c:numRef>
          </c:yVal>
          <c:smooth val="0"/>
          <c:extLst>
            <c:ext xmlns:c16="http://schemas.microsoft.com/office/drawing/2014/chart" uri="{C3380CC4-5D6E-409C-BE32-E72D297353CC}">
              <c16:uniqueId val="{0000000E-3081-448A-A790-F00C48704764}"/>
            </c:ext>
          </c:extLst>
        </c:ser>
        <c:ser>
          <c:idx val="15"/>
          <c:order val="15"/>
          <c:tx>
            <c:strRef>
              <c:f>Hazard1!$C$849</c:f>
              <c:strCache>
                <c:ptCount val="1"/>
                <c:pt idx="0">
                  <c:v>Fatality Mgmt</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Hazard1!$J$850</c:f>
              <c:strCache>
                <c:ptCount val="1"/>
                <c:pt idx="0">
                  <c:v>Not Calculated</c:v>
                </c:pt>
              </c:strCache>
            </c:strRef>
          </c:xVal>
          <c:yVal>
            <c:numRef>
              <c:f>Hazard1!$J$851</c:f>
              <c:numCache>
                <c:formatCode>General</c:formatCode>
                <c:ptCount val="1"/>
                <c:pt idx="0">
                  <c:v>0</c:v>
                </c:pt>
              </c:numCache>
            </c:numRef>
          </c:yVal>
          <c:smooth val="0"/>
          <c:extLst>
            <c:ext xmlns:c16="http://schemas.microsoft.com/office/drawing/2014/chart" uri="{C3380CC4-5D6E-409C-BE32-E72D297353CC}">
              <c16:uniqueId val="{0000000F-3081-448A-A790-F00C48704764}"/>
            </c:ext>
          </c:extLst>
        </c:ser>
        <c:dLbls>
          <c:showLegendKey val="0"/>
          <c:showVal val="1"/>
          <c:showCatName val="0"/>
          <c:showSerName val="0"/>
          <c:showPercent val="0"/>
          <c:showBubbleSize val="0"/>
        </c:dLbls>
        <c:axId val="202940416"/>
        <c:axId val="202942336"/>
      </c:scatterChart>
      <c:valAx>
        <c:axId val="202940416"/>
        <c:scaling>
          <c:orientation val="minMax"/>
          <c:max val="4.5"/>
          <c:min val="0"/>
        </c:scaling>
        <c:delete val="0"/>
        <c:axPos val="b"/>
        <c:majorGridlines/>
        <c:title>
          <c:tx>
            <c:rich>
              <a:bodyPr/>
              <a:lstStyle/>
              <a:p>
                <a:pPr>
                  <a:defRPr b="0">
                    <a:latin typeface="+mj-lt"/>
                  </a:defRPr>
                </a:pPr>
                <a:r>
                  <a:rPr lang="en-US" sz="1600" b="0">
                    <a:latin typeface="+mj-lt"/>
                  </a:rPr>
                  <a:t>Capability Relevance to Hazard</a:t>
                </a:r>
              </a:p>
            </c:rich>
          </c:tx>
          <c:overlay val="0"/>
        </c:title>
        <c:numFmt formatCode="General" sourceLinked="1"/>
        <c:majorTickMark val="out"/>
        <c:minorTickMark val="none"/>
        <c:tickLblPos val="nextTo"/>
        <c:spPr>
          <a:ln>
            <a:solidFill>
              <a:schemeClr val="tx1"/>
            </a:solidFill>
          </a:ln>
        </c:spPr>
        <c:crossAx val="202942336"/>
        <c:crosses val="autoZero"/>
        <c:crossBetween val="midCat"/>
        <c:majorUnit val="1"/>
        <c:minorUnit val="0.1"/>
      </c:valAx>
      <c:valAx>
        <c:axId val="202942336"/>
        <c:scaling>
          <c:orientation val="minMax"/>
          <c:max val="4.5"/>
          <c:min val="0"/>
        </c:scaling>
        <c:delete val="0"/>
        <c:axPos val="l"/>
        <c:majorGridlines/>
        <c:title>
          <c:tx>
            <c:rich>
              <a:bodyPr rot="-5400000" vert="horz"/>
              <a:lstStyle/>
              <a:p>
                <a:pPr>
                  <a:defRPr sz="1600" b="0">
                    <a:latin typeface="+mj-lt"/>
                  </a:defRPr>
                </a:pPr>
                <a:r>
                  <a:rPr lang="en-US" sz="1600" b="0">
                    <a:latin typeface="+mj-lt"/>
                  </a:rPr>
                  <a:t>Capability Status</a:t>
                </a:r>
              </a:p>
            </c:rich>
          </c:tx>
          <c:overlay val="0"/>
        </c:title>
        <c:numFmt formatCode="General" sourceLinked="1"/>
        <c:majorTickMark val="out"/>
        <c:minorTickMark val="none"/>
        <c:tickLblPos val="nextTo"/>
        <c:spPr>
          <a:ln>
            <a:solidFill>
              <a:schemeClr val="tx1"/>
            </a:solidFill>
          </a:ln>
        </c:spPr>
        <c:crossAx val="202940416"/>
        <c:crosses val="autoZero"/>
        <c:crossBetween val="midCat"/>
        <c:majorUnit val="1"/>
        <c:minorUnit val="0.1"/>
      </c:valAx>
      <c:spPr>
        <a:gradFill flip="none" rotWithShape="1">
          <a:gsLst>
            <a:gs pos="0">
              <a:srgbClr val="63BE7B"/>
            </a:gs>
            <a:gs pos="50000">
              <a:srgbClr val="FFEB84"/>
            </a:gs>
            <a:gs pos="100000">
              <a:srgbClr val="F8696B"/>
            </a:gs>
          </a:gsLst>
          <a:lin ang="27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defRPr b="0" u="sng">
                <a:latin typeface="+mj-lt"/>
              </a:defRPr>
            </a:pPr>
            <a:r>
              <a:rPr lang="en-US" b="0" u="sng">
                <a:latin typeface="+mj-lt"/>
              </a:rPr>
              <a:t>Healthcare Preparedness</a:t>
            </a:r>
          </a:p>
        </c:rich>
      </c:tx>
      <c:layout>
        <c:manualLayout>
          <c:xMode val="edge"/>
          <c:yMode val="edge"/>
          <c:x val="0.38019690321630645"/>
          <c:y val="1.3244983721297133E-2"/>
        </c:manualLayout>
      </c:layout>
      <c:overlay val="0"/>
    </c:title>
    <c:autoTitleDeleted val="0"/>
    <c:plotArea>
      <c:layout/>
      <c:scatterChart>
        <c:scatterStyle val="lineMarker"/>
        <c:varyColors val="0"/>
        <c:ser>
          <c:idx val="0"/>
          <c:order val="0"/>
          <c:tx>
            <c:strRef>
              <c:f>Hazard1!$C$903</c:f>
              <c:strCache>
                <c:ptCount val="1"/>
                <c:pt idx="0">
                  <c:v>HC System Prep</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Hazard1!$J$904</c:f>
              <c:strCache>
                <c:ptCount val="1"/>
                <c:pt idx="0">
                  <c:v>Not Calculated</c:v>
                </c:pt>
              </c:strCache>
            </c:strRef>
          </c:xVal>
          <c:yVal>
            <c:numRef>
              <c:f>Hazard1!$J$905</c:f>
              <c:numCache>
                <c:formatCode>General</c:formatCode>
                <c:ptCount val="1"/>
                <c:pt idx="0">
                  <c:v>0</c:v>
                </c:pt>
              </c:numCache>
            </c:numRef>
          </c:yVal>
          <c:smooth val="0"/>
          <c:extLst>
            <c:ext xmlns:c16="http://schemas.microsoft.com/office/drawing/2014/chart" uri="{C3380CC4-5D6E-409C-BE32-E72D297353CC}">
              <c16:uniqueId val="{00000000-7939-48BB-9552-32B1C1D0E2DD}"/>
            </c:ext>
          </c:extLst>
        </c:ser>
        <c:ser>
          <c:idx val="1"/>
          <c:order val="1"/>
          <c:tx>
            <c:strRef>
              <c:f>Hazard1!$C$907</c:f>
              <c:strCache>
                <c:ptCount val="1"/>
                <c:pt idx="0">
                  <c:v>HC System Recov</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Hazard1!$J$908</c:f>
              <c:strCache>
                <c:ptCount val="1"/>
                <c:pt idx="0">
                  <c:v>Not Calculated</c:v>
                </c:pt>
              </c:strCache>
            </c:strRef>
          </c:xVal>
          <c:yVal>
            <c:numRef>
              <c:f>Hazard1!$J$909</c:f>
              <c:numCache>
                <c:formatCode>General</c:formatCode>
                <c:ptCount val="1"/>
                <c:pt idx="0">
                  <c:v>0</c:v>
                </c:pt>
              </c:numCache>
            </c:numRef>
          </c:yVal>
          <c:smooth val="0"/>
          <c:extLst>
            <c:ext xmlns:c16="http://schemas.microsoft.com/office/drawing/2014/chart" uri="{C3380CC4-5D6E-409C-BE32-E72D297353CC}">
              <c16:uniqueId val="{00000001-7939-48BB-9552-32B1C1D0E2DD}"/>
            </c:ext>
          </c:extLst>
        </c:ser>
        <c:ser>
          <c:idx val="2"/>
          <c:order val="2"/>
          <c:tx>
            <c:strRef>
              <c:f>Hazard1!$C$911</c:f>
              <c:strCache>
                <c:ptCount val="1"/>
                <c:pt idx="0">
                  <c:v>Emerg Ops Coord</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Hazard1!$J$912</c:f>
              <c:strCache>
                <c:ptCount val="1"/>
                <c:pt idx="0">
                  <c:v>Not Calculated</c:v>
                </c:pt>
              </c:strCache>
            </c:strRef>
          </c:xVal>
          <c:yVal>
            <c:numRef>
              <c:f>Hazard1!$J$913</c:f>
              <c:numCache>
                <c:formatCode>General</c:formatCode>
                <c:ptCount val="1"/>
                <c:pt idx="0">
                  <c:v>0</c:v>
                </c:pt>
              </c:numCache>
            </c:numRef>
          </c:yVal>
          <c:smooth val="0"/>
          <c:extLst>
            <c:ext xmlns:c16="http://schemas.microsoft.com/office/drawing/2014/chart" uri="{C3380CC4-5D6E-409C-BE32-E72D297353CC}">
              <c16:uniqueId val="{00000002-7939-48BB-9552-32B1C1D0E2DD}"/>
            </c:ext>
          </c:extLst>
        </c:ser>
        <c:ser>
          <c:idx val="3"/>
          <c:order val="3"/>
          <c:tx>
            <c:strRef>
              <c:f>Hazard1!$C$915</c:f>
              <c:strCache>
                <c:ptCount val="1"/>
                <c:pt idx="0">
                  <c:v>Fatality Mgmt</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Hazard1!$J$916</c:f>
              <c:strCache>
                <c:ptCount val="1"/>
                <c:pt idx="0">
                  <c:v>Not Calculated</c:v>
                </c:pt>
              </c:strCache>
            </c:strRef>
          </c:xVal>
          <c:yVal>
            <c:numRef>
              <c:f>Hazard1!$J$917</c:f>
              <c:numCache>
                <c:formatCode>General</c:formatCode>
                <c:ptCount val="1"/>
                <c:pt idx="0">
                  <c:v>0</c:v>
                </c:pt>
              </c:numCache>
            </c:numRef>
          </c:yVal>
          <c:smooth val="0"/>
          <c:extLst>
            <c:ext xmlns:c16="http://schemas.microsoft.com/office/drawing/2014/chart" uri="{C3380CC4-5D6E-409C-BE32-E72D297353CC}">
              <c16:uniqueId val="{00000003-7939-48BB-9552-32B1C1D0E2DD}"/>
            </c:ext>
          </c:extLst>
        </c:ser>
        <c:ser>
          <c:idx val="4"/>
          <c:order val="4"/>
          <c:tx>
            <c:strRef>
              <c:f>Hazard1!$C$919</c:f>
              <c:strCache>
                <c:ptCount val="1"/>
                <c:pt idx="0">
                  <c:v>Info Sharing</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Hazard1!$J$920</c:f>
              <c:strCache>
                <c:ptCount val="1"/>
                <c:pt idx="0">
                  <c:v>Not Calculated</c:v>
                </c:pt>
              </c:strCache>
            </c:strRef>
          </c:xVal>
          <c:yVal>
            <c:numRef>
              <c:f>Hazard1!$J$921</c:f>
              <c:numCache>
                <c:formatCode>General</c:formatCode>
                <c:ptCount val="1"/>
                <c:pt idx="0">
                  <c:v>0</c:v>
                </c:pt>
              </c:numCache>
            </c:numRef>
          </c:yVal>
          <c:smooth val="0"/>
          <c:extLst>
            <c:ext xmlns:c16="http://schemas.microsoft.com/office/drawing/2014/chart" uri="{C3380CC4-5D6E-409C-BE32-E72D297353CC}">
              <c16:uniqueId val="{00000004-7939-48BB-9552-32B1C1D0E2DD}"/>
            </c:ext>
          </c:extLst>
        </c:ser>
        <c:ser>
          <c:idx val="5"/>
          <c:order val="5"/>
          <c:tx>
            <c:strRef>
              <c:f>Hazard1!$C$923</c:f>
              <c:strCache>
                <c:ptCount val="1"/>
                <c:pt idx="0">
                  <c:v>Medical Surge</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Hazard1!$J$924</c:f>
              <c:strCache>
                <c:ptCount val="1"/>
                <c:pt idx="0">
                  <c:v>Not Calculated</c:v>
                </c:pt>
              </c:strCache>
            </c:strRef>
          </c:xVal>
          <c:yVal>
            <c:numRef>
              <c:f>Hazard1!$J$925</c:f>
              <c:numCache>
                <c:formatCode>General</c:formatCode>
                <c:ptCount val="1"/>
                <c:pt idx="0">
                  <c:v>0</c:v>
                </c:pt>
              </c:numCache>
            </c:numRef>
          </c:yVal>
          <c:smooth val="0"/>
          <c:extLst>
            <c:ext xmlns:c16="http://schemas.microsoft.com/office/drawing/2014/chart" uri="{C3380CC4-5D6E-409C-BE32-E72D297353CC}">
              <c16:uniqueId val="{00000005-7939-48BB-9552-32B1C1D0E2DD}"/>
            </c:ext>
          </c:extLst>
        </c:ser>
        <c:ser>
          <c:idx val="6"/>
          <c:order val="6"/>
          <c:tx>
            <c:strRef>
              <c:f>Hazard1!$C$927</c:f>
              <c:strCache>
                <c:ptCount val="1"/>
                <c:pt idx="0">
                  <c:v>Responder Safety</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Hazard1!$J$928</c:f>
              <c:strCache>
                <c:ptCount val="1"/>
                <c:pt idx="0">
                  <c:v>Not Calculated</c:v>
                </c:pt>
              </c:strCache>
            </c:strRef>
          </c:xVal>
          <c:yVal>
            <c:numRef>
              <c:f>Hazard1!$J$929</c:f>
              <c:numCache>
                <c:formatCode>General</c:formatCode>
                <c:ptCount val="1"/>
                <c:pt idx="0">
                  <c:v>0</c:v>
                </c:pt>
              </c:numCache>
            </c:numRef>
          </c:yVal>
          <c:smooth val="0"/>
          <c:extLst>
            <c:ext xmlns:c16="http://schemas.microsoft.com/office/drawing/2014/chart" uri="{C3380CC4-5D6E-409C-BE32-E72D297353CC}">
              <c16:uniqueId val="{00000006-7939-48BB-9552-32B1C1D0E2DD}"/>
            </c:ext>
          </c:extLst>
        </c:ser>
        <c:ser>
          <c:idx val="7"/>
          <c:order val="7"/>
          <c:tx>
            <c:strRef>
              <c:f>Hazard1!$C$931</c:f>
              <c:strCache>
                <c:ptCount val="1"/>
                <c:pt idx="0">
                  <c:v>Volunteer Mgmt</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Hazard1!$J$932</c:f>
              <c:strCache>
                <c:ptCount val="1"/>
                <c:pt idx="0">
                  <c:v>Not Calculated</c:v>
                </c:pt>
              </c:strCache>
            </c:strRef>
          </c:xVal>
          <c:yVal>
            <c:numRef>
              <c:f>Hazard1!$J$933</c:f>
              <c:numCache>
                <c:formatCode>General</c:formatCode>
                <c:ptCount val="1"/>
                <c:pt idx="0">
                  <c:v>0</c:v>
                </c:pt>
              </c:numCache>
            </c:numRef>
          </c:yVal>
          <c:smooth val="0"/>
          <c:extLst>
            <c:ext xmlns:c16="http://schemas.microsoft.com/office/drawing/2014/chart" uri="{C3380CC4-5D6E-409C-BE32-E72D297353CC}">
              <c16:uniqueId val="{00000007-7939-48BB-9552-32B1C1D0E2DD}"/>
            </c:ext>
          </c:extLst>
        </c:ser>
        <c:ser>
          <c:idx val="14"/>
          <c:order val="8"/>
          <c:tx>
            <c:strRef>
              <c:f>Drought!$C$964</c:f>
              <c:strCache>
                <c:ptCount val="1"/>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Drought!$J$965</c:f>
            </c:numRef>
          </c:xVal>
          <c:yVal>
            <c:numRef>
              <c:f>Drought!$J$966</c:f>
            </c:numRef>
          </c:yVal>
          <c:smooth val="0"/>
          <c:extLst>
            <c:ext xmlns:c16="http://schemas.microsoft.com/office/drawing/2014/chart" uri="{C3380CC4-5D6E-409C-BE32-E72D297353CC}">
              <c16:uniqueId val="{00000008-7939-48BB-9552-32B1C1D0E2DD}"/>
            </c:ext>
          </c:extLst>
        </c:ser>
        <c:dLbls>
          <c:showLegendKey val="0"/>
          <c:showVal val="1"/>
          <c:showCatName val="0"/>
          <c:showSerName val="0"/>
          <c:showPercent val="0"/>
          <c:showBubbleSize val="0"/>
        </c:dLbls>
        <c:axId val="203133696"/>
        <c:axId val="203135616"/>
      </c:scatterChart>
      <c:valAx>
        <c:axId val="203133696"/>
        <c:scaling>
          <c:orientation val="minMax"/>
          <c:max val="4.5"/>
          <c:min val="0"/>
        </c:scaling>
        <c:delete val="0"/>
        <c:axPos val="b"/>
        <c:majorGridlines/>
        <c:title>
          <c:tx>
            <c:rich>
              <a:bodyPr/>
              <a:lstStyle/>
              <a:p>
                <a:pPr>
                  <a:defRPr b="0">
                    <a:latin typeface="+mj-lt"/>
                  </a:defRPr>
                </a:pPr>
                <a:r>
                  <a:rPr lang="en-US" sz="1600" b="0">
                    <a:latin typeface="+mj-lt"/>
                  </a:rPr>
                  <a:t>Capability Relevance to Hazard</a:t>
                </a:r>
              </a:p>
            </c:rich>
          </c:tx>
          <c:overlay val="0"/>
        </c:title>
        <c:numFmt formatCode="General" sourceLinked="1"/>
        <c:majorTickMark val="out"/>
        <c:minorTickMark val="none"/>
        <c:tickLblPos val="nextTo"/>
        <c:spPr>
          <a:ln>
            <a:solidFill>
              <a:schemeClr val="tx1"/>
            </a:solidFill>
          </a:ln>
        </c:spPr>
        <c:crossAx val="203135616"/>
        <c:crosses val="autoZero"/>
        <c:crossBetween val="midCat"/>
        <c:majorUnit val="1"/>
        <c:minorUnit val="0.1"/>
      </c:valAx>
      <c:valAx>
        <c:axId val="203135616"/>
        <c:scaling>
          <c:orientation val="minMax"/>
          <c:max val="4.5"/>
          <c:min val="0"/>
        </c:scaling>
        <c:delete val="0"/>
        <c:axPos val="l"/>
        <c:majorGridlines/>
        <c:title>
          <c:tx>
            <c:rich>
              <a:bodyPr rot="-5400000" vert="horz"/>
              <a:lstStyle/>
              <a:p>
                <a:pPr>
                  <a:defRPr sz="1600" b="0">
                    <a:latin typeface="+mj-lt"/>
                  </a:defRPr>
                </a:pPr>
                <a:r>
                  <a:rPr lang="en-US" sz="1600" b="0">
                    <a:latin typeface="+mj-lt"/>
                  </a:rPr>
                  <a:t>Capability Status</a:t>
                </a:r>
              </a:p>
            </c:rich>
          </c:tx>
          <c:overlay val="0"/>
        </c:title>
        <c:numFmt formatCode="General" sourceLinked="1"/>
        <c:majorTickMark val="out"/>
        <c:minorTickMark val="none"/>
        <c:tickLblPos val="nextTo"/>
        <c:spPr>
          <a:ln>
            <a:solidFill>
              <a:schemeClr val="tx1"/>
            </a:solidFill>
          </a:ln>
        </c:spPr>
        <c:crossAx val="203133696"/>
        <c:crosses val="autoZero"/>
        <c:crossBetween val="midCat"/>
        <c:majorUnit val="1"/>
        <c:minorUnit val="0.1"/>
      </c:valAx>
      <c:spPr>
        <a:gradFill flip="none" rotWithShape="1">
          <a:gsLst>
            <a:gs pos="0">
              <a:srgbClr val="63BE7B"/>
            </a:gs>
            <a:gs pos="50000">
              <a:srgbClr val="FFEB84"/>
            </a:gs>
            <a:gs pos="100000">
              <a:srgbClr val="F8696B"/>
            </a:gs>
          </a:gsLst>
          <a:lin ang="27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b="0" u="sng">
                <a:latin typeface="+mj-lt"/>
              </a:defRPr>
            </a:pPr>
            <a:r>
              <a:rPr lang="en-US" b="0" u="sng">
                <a:latin typeface="+mj-lt"/>
              </a:rPr>
              <a:t>Severity</a:t>
            </a:r>
          </a:p>
        </c:rich>
      </c:tx>
      <c:layout>
        <c:manualLayout>
          <c:xMode val="edge"/>
          <c:yMode val="edge"/>
          <c:x val="0.46889233641333816"/>
          <c:y val="1.3244983721297133E-2"/>
        </c:manualLayout>
      </c:layout>
      <c:overlay val="0"/>
    </c:title>
    <c:autoTitleDeleted val="0"/>
    <c:plotArea>
      <c:layout/>
      <c:barChart>
        <c:barDir val="col"/>
        <c:grouping val="clustered"/>
        <c:varyColors val="0"/>
        <c:ser>
          <c:idx val="0"/>
          <c:order val="0"/>
          <c:tx>
            <c:v>Severity</c:v>
          </c:tx>
          <c:spPr>
            <a:solidFill>
              <a:schemeClr val="accent4">
                <a:lumMod val="60000"/>
                <a:lumOff val="40000"/>
              </a:schemeClr>
            </a:solidFill>
            <a:ln>
              <a:solidFill>
                <a:schemeClr val="accent4"/>
              </a:solidFill>
            </a:ln>
            <a:scene3d>
              <a:camera prst="orthographicFront"/>
              <a:lightRig rig="threePt" dir="t"/>
            </a:scene3d>
            <a:sp3d prstMaterial="matte">
              <a:bevelT w="63500" h="50800"/>
            </a:sp3d>
          </c:spPr>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('Active Shooter'!$G$22,'Active Shooter'!$G$137,'Active Shooter'!$G$265,'Active Shooter'!$G$425,'Active Shooter'!$G$543)</c:f>
              <c:strCache>
                <c:ptCount val="5"/>
                <c:pt idx="0">
                  <c:v>Human Impact</c:v>
                </c:pt>
                <c:pt idx="1">
                  <c:v>Healthcare Service Impact</c:v>
                </c:pt>
                <c:pt idx="2">
                  <c:v>Inpatient Healthcare Facility Infrastructure Impact</c:v>
                </c:pt>
                <c:pt idx="3">
                  <c:v>Community Impact</c:v>
                </c:pt>
                <c:pt idx="4">
                  <c:v>Public Health Service Impact</c:v>
                </c:pt>
              </c:strCache>
            </c:strRef>
          </c:cat>
          <c:val>
            <c:numRef>
              <c:f>(Hazard2!$J$133,Hazard2!$J$261,Hazard2!$J$421,Hazard2!$J$539,Hazard2!$J$681)</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0-CFE9-4678-9F8A-1C39F3FD3575}"/>
            </c:ext>
          </c:extLst>
        </c:ser>
        <c:dLbls>
          <c:showLegendKey val="0"/>
          <c:showVal val="1"/>
          <c:showCatName val="0"/>
          <c:showSerName val="0"/>
          <c:showPercent val="0"/>
          <c:showBubbleSize val="0"/>
        </c:dLbls>
        <c:gapWidth val="150"/>
        <c:axId val="203208576"/>
        <c:axId val="203218944"/>
      </c:barChart>
      <c:catAx>
        <c:axId val="203208576"/>
        <c:scaling>
          <c:orientation val="minMax"/>
        </c:scaling>
        <c:delete val="0"/>
        <c:axPos val="b"/>
        <c:title>
          <c:tx>
            <c:rich>
              <a:bodyPr/>
              <a:lstStyle/>
              <a:p>
                <a:pPr>
                  <a:defRPr sz="1600" b="0">
                    <a:latin typeface="+mj-lt"/>
                  </a:defRPr>
                </a:pPr>
                <a:r>
                  <a:rPr lang="en-US" sz="1600" b="0">
                    <a:latin typeface="+mj-lt"/>
                  </a:rPr>
                  <a:t>Domain</a:t>
                </a:r>
              </a:p>
            </c:rich>
          </c:tx>
          <c:overlay val="0"/>
        </c:title>
        <c:numFmt formatCode="General" sourceLinked="1"/>
        <c:majorTickMark val="out"/>
        <c:minorTickMark val="none"/>
        <c:tickLblPos val="nextTo"/>
        <c:crossAx val="203218944"/>
        <c:crosses val="autoZero"/>
        <c:auto val="1"/>
        <c:lblAlgn val="ctr"/>
        <c:lblOffset val="100"/>
        <c:noMultiLvlLbl val="0"/>
      </c:catAx>
      <c:valAx>
        <c:axId val="203218944"/>
        <c:scaling>
          <c:orientation val="minMax"/>
          <c:max val="4"/>
        </c:scaling>
        <c:delete val="0"/>
        <c:axPos val="l"/>
        <c:majorGridlines/>
        <c:title>
          <c:tx>
            <c:rich>
              <a:bodyPr rot="-5400000" vert="horz"/>
              <a:lstStyle/>
              <a:p>
                <a:pPr>
                  <a:defRPr sz="1600" b="0">
                    <a:latin typeface="+mj-lt"/>
                  </a:defRPr>
                </a:pPr>
                <a:r>
                  <a:rPr lang="en-US" sz="1600" b="0">
                    <a:latin typeface="+mj-lt"/>
                  </a:rPr>
                  <a:t>Severity</a:t>
                </a:r>
                <a:r>
                  <a:rPr lang="en-US" sz="1600" b="0" baseline="0">
                    <a:latin typeface="+mj-lt"/>
                  </a:rPr>
                  <a:t> Score</a:t>
                </a:r>
                <a:endParaRPr lang="en-US" sz="1600" b="0">
                  <a:latin typeface="+mj-lt"/>
                </a:endParaRPr>
              </a:p>
            </c:rich>
          </c:tx>
          <c:overlay val="0"/>
        </c:title>
        <c:numFmt formatCode="0.00" sourceLinked="1"/>
        <c:majorTickMark val="out"/>
        <c:minorTickMark val="none"/>
        <c:tickLblPos val="nextTo"/>
        <c:crossAx val="203208576"/>
        <c:crosses val="autoZero"/>
        <c:crossBetween val="between"/>
      </c:valAx>
      <c:spPr>
        <a:gradFill flip="none" rotWithShape="1">
          <a:gsLst>
            <a:gs pos="0">
              <a:srgbClr val="63BE7B"/>
            </a:gs>
            <a:gs pos="50000">
              <a:srgbClr val="FFEB84"/>
            </a:gs>
            <a:gs pos="100000">
              <a:srgbClr val="F8696B"/>
            </a:gs>
          </a:gsLst>
          <a:lin ang="162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b="0" u="sng">
                <a:latin typeface="+mj-lt"/>
              </a:defRPr>
            </a:pPr>
            <a:r>
              <a:rPr lang="en-US" b="0" u="sng">
                <a:latin typeface="+mj-lt"/>
              </a:rPr>
              <a:t>At-Risk Populations</a:t>
            </a:r>
          </a:p>
        </c:rich>
      </c:tx>
      <c:layout>
        <c:manualLayout>
          <c:xMode val="edge"/>
          <c:yMode val="edge"/>
          <c:x val="0.37636858589702443"/>
          <c:y val="1.3244983721297133E-2"/>
        </c:manualLayout>
      </c:layout>
      <c:overlay val="0"/>
    </c:title>
    <c:autoTitleDeleted val="0"/>
    <c:plotArea>
      <c:layout>
        <c:manualLayout>
          <c:layoutTarget val="inner"/>
          <c:xMode val="edge"/>
          <c:yMode val="edge"/>
          <c:x val="9.2855623530330264E-2"/>
          <c:y val="0.10007907481510167"/>
          <c:w val="0.87850741705614022"/>
          <c:h val="0.77165947152780956"/>
        </c:manualLayout>
      </c:layout>
      <c:scatterChart>
        <c:scatterStyle val="lineMarker"/>
        <c:varyColors val="0"/>
        <c:ser>
          <c:idx val="0"/>
          <c:order val="0"/>
          <c:tx>
            <c:strRef>
              <c:f>Hazard2!$C$793</c:f>
              <c:strCache>
                <c:ptCount val="1"/>
                <c:pt idx="0">
                  <c:v>Poverty</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Hazard2!$J$795</c:f>
              <c:numCache>
                <c:formatCode>General</c:formatCode>
                <c:ptCount val="1"/>
                <c:pt idx="0">
                  <c:v>0</c:v>
                </c:pt>
              </c:numCache>
            </c:numRef>
          </c:xVal>
          <c:yVal>
            <c:numRef>
              <c:f>Hazard2!$J$794</c:f>
              <c:numCache>
                <c:formatCode>General</c:formatCode>
                <c:ptCount val="1"/>
                <c:pt idx="0">
                  <c:v>0</c:v>
                </c:pt>
              </c:numCache>
            </c:numRef>
          </c:yVal>
          <c:smooth val="0"/>
          <c:extLst>
            <c:ext xmlns:c16="http://schemas.microsoft.com/office/drawing/2014/chart" uri="{C3380CC4-5D6E-409C-BE32-E72D297353CC}">
              <c16:uniqueId val="{00000000-58A0-419D-AD10-027A4B368F16}"/>
            </c:ext>
          </c:extLst>
        </c:ser>
        <c:ser>
          <c:idx val="1"/>
          <c:order val="1"/>
          <c:tx>
            <c:strRef>
              <c:f>Hazard2!$C$797</c:f>
              <c:strCache>
                <c:ptCount val="1"/>
                <c:pt idx="0">
                  <c:v>Chronic Diseases (Diabetes)</c:v>
                </c:pt>
              </c:strCache>
            </c:strRef>
          </c:tx>
          <c:spPr>
            <a:ln w="66675">
              <a:noFill/>
            </a:ln>
          </c:spPr>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58A0-419D-AD10-027A4B368F16}"/>
                </c:ext>
              </c:extLst>
            </c:dLbl>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Hazard2!$J$799</c:f>
              <c:numCache>
                <c:formatCode>General</c:formatCode>
                <c:ptCount val="1"/>
                <c:pt idx="0">
                  <c:v>0</c:v>
                </c:pt>
              </c:numCache>
            </c:numRef>
          </c:xVal>
          <c:yVal>
            <c:numRef>
              <c:f>Hazard2!$J$798</c:f>
              <c:numCache>
                <c:formatCode>General</c:formatCode>
                <c:ptCount val="1"/>
                <c:pt idx="0">
                  <c:v>0</c:v>
                </c:pt>
              </c:numCache>
            </c:numRef>
          </c:yVal>
          <c:smooth val="0"/>
          <c:extLst>
            <c:ext xmlns:c16="http://schemas.microsoft.com/office/drawing/2014/chart" uri="{C3380CC4-5D6E-409C-BE32-E72D297353CC}">
              <c16:uniqueId val="{00000002-58A0-419D-AD10-027A4B368F16}"/>
            </c:ext>
          </c:extLst>
        </c:ser>
        <c:ser>
          <c:idx val="2"/>
          <c:order val="2"/>
          <c:tx>
            <c:strRef>
              <c:f>Hazard2!$C$801</c:f>
              <c:strCache>
                <c:ptCount val="1"/>
                <c:pt idx="0">
                  <c:v>Children 18 and under</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Hazard2!$J$803</c:f>
              <c:numCache>
                <c:formatCode>General</c:formatCode>
                <c:ptCount val="1"/>
                <c:pt idx="0">
                  <c:v>0</c:v>
                </c:pt>
              </c:numCache>
            </c:numRef>
          </c:xVal>
          <c:yVal>
            <c:numRef>
              <c:f>Hazard2!$J$802</c:f>
              <c:numCache>
                <c:formatCode>General</c:formatCode>
                <c:ptCount val="1"/>
                <c:pt idx="0">
                  <c:v>0</c:v>
                </c:pt>
              </c:numCache>
            </c:numRef>
          </c:yVal>
          <c:smooth val="0"/>
          <c:extLst>
            <c:ext xmlns:c16="http://schemas.microsoft.com/office/drawing/2014/chart" uri="{C3380CC4-5D6E-409C-BE32-E72D297353CC}">
              <c16:uniqueId val="{00000003-58A0-419D-AD10-027A4B368F16}"/>
            </c:ext>
          </c:extLst>
        </c:ser>
        <c:ser>
          <c:idx val="3"/>
          <c:order val="3"/>
          <c:tx>
            <c:strRef>
              <c:f>Hazard2!$C$805</c:f>
              <c:strCache>
                <c:ptCount val="1"/>
                <c:pt idx="0">
                  <c:v>Elderly 65 and older</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Hazard2!$J$807</c:f>
              <c:numCache>
                <c:formatCode>General</c:formatCode>
                <c:ptCount val="1"/>
                <c:pt idx="0">
                  <c:v>0</c:v>
                </c:pt>
              </c:numCache>
            </c:numRef>
          </c:xVal>
          <c:yVal>
            <c:numRef>
              <c:f>Hazard2!$J$806</c:f>
              <c:numCache>
                <c:formatCode>General</c:formatCode>
                <c:ptCount val="1"/>
                <c:pt idx="0">
                  <c:v>0</c:v>
                </c:pt>
              </c:numCache>
            </c:numRef>
          </c:yVal>
          <c:smooth val="0"/>
          <c:extLst>
            <c:ext xmlns:c16="http://schemas.microsoft.com/office/drawing/2014/chart" uri="{C3380CC4-5D6E-409C-BE32-E72D297353CC}">
              <c16:uniqueId val="{00000004-58A0-419D-AD10-027A4B368F16}"/>
            </c:ext>
          </c:extLst>
        </c:ser>
        <c:ser>
          <c:idx val="4"/>
          <c:order val="4"/>
          <c:tx>
            <c:strRef>
              <c:f>Hazard2!$C$773</c:f>
              <c:strCache>
                <c:ptCount val="1"/>
                <c:pt idx="0">
                  <c:v>Hearing Disability</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Hazard2!$J$775</c:f>
              <c:numCache>
                <c:formatCode>General</c:formatCode>
                <c:ptCount val="1"/>
                <c:pt idx="0">
                  <c:v>0</c:v>
                </c:pt>
              </c:numCache>
            </c:numRef>
          </c:xVal>
          <c:yVal>
            <c:numRef>
              <c:f>Hazard2!$J$774</c:f>
              <c:numCache>
                <c:formatCode>General</c:formatCode>
                <c:ptCount val="1"/>
                <c:pt idx="0">
                  <c:v>0</c:v>
                </c:pt>
              </c:numCache>
            </c:numRef>
          </c:yVal>
          <c:smooth val="0"/>
          <c:extLst>
            <c:ext xmlns:c16="http://schemas.microsoft.com/office/drawing/2014/chart" uri="{C3380CC4-5D6E-409C-BE32-E72D297353CC}">
              <c16:uniqueId val="{00000005-58A0-419D-AD10-027A4B368F16}"/>
            </c:ext>
          </c:extLst>
        </c:ser>
        <c:ser>
          <c:idx val="5"/>
          <c:order val="5"/>
          <c:tx>
            <c:strRef>
              <c:f>Hazard2!$C$777</c:f>
              <c:strCache>
                <c:ptCount val="1"/>
                <c:pt idx="0">
                  <c:v>Vision Disability</c:v>
                </c:pt>
              </c:strCache>
            </c:strRef>
          </c:tx>
          <c:spPr>
            <a:ln w="66675">
              <a:noFill/>
            </a:ln>
          </c:spPr>
          <c:dLbls>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Hazard2!$J$779</c:f>
              <c:numCache>
                <c:formatCode>General</c:formatCode>
                <c:ptCount val="1"/>
                <c:pt idx="0">
                  <c:v>0</c:v>
                </c:pt>
              </c:numCache>
            </c:numRef>
          </c:xVal>
          <c:yVal>
            <c:numRef>
              <c:f>Hazard2!$J$778</c:f>
              <c:numCache>
                <c:formatCode>General</c:formatCode>
                <c:ptCount val="1"/>
                <c:pt idx="0">
                  <c:v>0</c:v>
                </c:pt>
              </c:numCache>
            </c:numRef>
          </c:yVal>
          <c:smooth val="0"/>
          <c:extLst>
            <c:ext xmlns:c16="http://schemas.microsoft.com/office/drawing/2014/chart" uri="{C3380CC4-5D6E-409C-BE32-E72D297353CC}">
              <c16:uniqueId val="{00000006-58A0-419D-AD10-027A4B368F16}"/>
            </c:ext>
          </c:extLst>
        </c:ser>
        <c:ser>
          <c:idx val="6"/>
          <c:order val="6"/>
          <c:tx>
            <c:strRef>
              <c:f>Hazard2!$C$781</c:f>
              <c:strCache>
                <c:ptCount val="1"/>
                <c:pt idx="0">
                  <c:v>Ambulatory Disability</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Hazard2!$J$783</c:f>
              <c:numCache>
                <c:formatCode>General</c:formatCode>
                <c:ptCount val="1"/>
                <c:pt idx="0">
                  <c:v>0</c:v>
                </c:pt>
              </c:numCache>
            </c:numRef>
          </c:xVal>
          <c:yVal>
            <c:numRef>
              <c:f>Hazard2!$J$782</c:f>
              <c:numCache>
                <c:formatCode>General</c:formatCode>
                <c:ptCount val="1"/>
                <c:pt idx="0">
                  <c:v>0</c:v>
                </c:pt>
              </c:numCache>
            </c:numRef>
          </c:yVal>
          <c:smooth val="0"/>
          <c:extLst>
            <c:ext xmlns:c16="http://schemas.microsoft.com/office/drawing/2014/chart" uri="{C3380CC4-5D6E-409C-BE32-E72D297353CC}">
              <c16:uniqueId val="{00000007-58A0-419D-AD10-027A4B368F16}"/>
            </c:ext>
          </c:extLst>
        </c:ser>
        <c:ser>
          <c:idx val="7"/>
          <c:order val="7"/>
          <c:tx>
            <c:strRef>
              <c:f>Hazard2!$C$785</c:f>
              <c:strCache>
                <c:ptCount val="1"/>
                <c:pt idx="0">
                  <c:v>Cognitive Disability</c:v>
                </c:pt>
              </c:strCache>
            </c:strRef>
          </c:tx>
          <c:spPr>
            <a:ln w="66675">
              <a:noFill/>
            </a:ln>
          </c:spPr>
          <c:dLbls>
            <c:dLbl>
              <c:idx val="0"/>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58A0-419D-AD10-027A4B368F16}"/>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Hazard2!$J$787</c:f>
              <c:numCache>
                <c:formatCode>General</c:formatCode>
                <c:ptCount val="1"/>
                <c:pt idx="0">
                  <c:v>0</c:v>
                </c:pt>
              </c:numCache>
            </c:numRef>
          </c:xVal>
          <c:yVal>
            <c:numRef>
              <c:f>Hazard2!$J$786</c:f>
              <c:numCache>
                <c:formatCode>General</c:formatCode>
                <c:ptCount val="1"/>
                <c:pt idx="0">
                  <c:v>0</c:v>
                </c:pt>
              </c:numCache>
            </c:numRef>
          </c:yVal>
          <c:smooth val="0"/>
          <c:extLst>
            <c:ext xmlns:c16="http://schemas.microsoft.com/office/drawing/2014/chart" uri="{C3380CC4-5D6E-409C-BE32-E72D297353CC}">
              <c16:uniqueId val="{00000009-58A0-419D-AD10-027A4B368F16}"/>
            </c:ext>
          </c:extLst>
        </c:ser>
        <c:ser>
          <c:idx val="8"/>
          <c:order val="8"/>
          <c:tx>
            <c:strRef>
              <c:f>Hazard2!$C$789</c:f>
              <c:strCache>
                <c:ptCount val="1"/>
                <c:pt idx="0">
                  <c:v>Limited English Proficiency</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Hazard2!$J$791</c:f>
              <c:numCache>
                <c:formatCode>General</c:formatCode>
                <c:ptCount val="1"/>
                <c:pt idx="0">
                  <c:v>0</c:v>
                </c:pt>
              </c:numCache>
            </c:numRef>
          </c:xVal>
          <c:yVal>
            <c:numRef>
              <c:f>Hazard2!$J$790</c:f>
              <c:numCache>
                <c:formatCode>General</c:formatCode>
                <c:ptCount val="1"/>
                <c:pt idx="0">
                  <c:v>0</c:v>
                </c:pt>
              </c:numCache>
            </c:numRef>
          </c:yVal>
          <c:smooth val="0"/>
          <c:extLst>
            <c:ext xmlns:c16="http://schemas.microsoft.com/office/drawing/2014/chart" uri="{C3380CC4-5D6E-409C-BE32-E72D297353CC}">
              <c16:uniqueId val="{0000000A-58A0-419D-AD10-027A4B368F16}"/>
            </c:ext>
          </c:extLst>
        </c:ser>
        <c:dLbls>
          <c:showLegendKey val="0"/>
          <c:showVal val="1"/>
          <c:showCatName val="0"/>
          <c:showSerName val="0"/>
          <c:showPercent val="0"/>
          <c:showBubbleSize val="0"/>
        </c:dLbls>
        <c:axId val="203306496"/>
        <c:axId val="203308416"/>
      </c:scatterChart>
      <c:valAx>
        <c:axId val="203306496"/>
        <c:scaling>
          <c:orientation val="minMax"/>
          <c:max val="4.5"/>
          <c:min val="0"/>
        </c:scaling>
        <c:delete val="0"/>
        <c:axPos val="b"/>
        <c:majorGridlines/>
        <c:title>
          <c:tx>
            <c:rich>
              <a:bodyPr/>
              <a:lstStyle/>
              <a:p>
                <a:pPr>
                  <a:defRPr b="0">
                    <a:latin typeface="+mj-lt"/>
                  </a:defRPr>
                </a:pPr>
                <a:r>
                  <a:rPr lang="en-US" sz="1600" b="0">
                    <a:latin typeface="+mj-lt"/>
                  </a:rPr>
                  <a:t>Access Planning Score</a:t>
                </a:r>
              </a:p>
            </c:rich>
          </c:tx>
          <c:overlay val="0"/>
        </c:title>
        <c:numFmt formatCode="General" sourceLinked="1"/>
        <c:majorTickMark val="out"/>
        <c:minorTickMark val="none"/>
        <c:tickLblPos val="nextTo"/>
        <c:spPr>
          <a:ln>
            <a:solidFill>
              <a:schemeClr val="tx1"/>
            </a:solidFill>
          </a:ln>
        </c:spPr>
        <c:crossAx val="203308416"/>
        <c:crosses val="autoZero"/>
        <c:crossBetween val="midCat"/>
        <c:majorUnit val="1"/>
        <c:minorUnit val="0.1"/>
      </c:valAx>
      <c:valAx>
        <c:axId val="203308416"/>
        <c:scaling>
          <c:orientation val="minMax"/>
          <c:max val="4.5"/>
          <c:min val="0"/>
        </c:scaling>
        <c:delete val="0"/>
        <c:axPos val="l"/>
        <c:majorGridlines/>
        <c:title>
          <c:tx>
            <c:rich>
              <a:bodyPr rot="-5400000" vert="horz"/>
              <a:lstStyle/>
              <a:p>
                <a:pPr>
                  <a:defRPr sz="1600" b="0">
                    <a:latin typeface="+mj-lt"/>
                  </a:defRPr>
                </a:pPr>
                <a:r>
                  <a:rPr lang="en-US" sz="1600" b="0">
                    <a:latin typeface="+mj-lt"/>
                  </a:rPr>
                  <a:t>Population Size Score</a:t>
                </a:r>
              </a:p>
            </c:rich>
          </c:tx>
          <c:overlay val="0"/>
        </c:title>
        <c:numFmt formatCode="General" sourceLinked="1"/>
        <c:majorTickMark val="out"/>
        <c:minorTickMark val="none"/>
        <c:tickLblPos val="nextTo"/>
        <c:spPr>
          <a:ln>
            <a:solidFill>
              <a:schemeClr val="tx1"/>
            </a:solidFill>
          </a:ln>
        </c:spPr>
        <c:crossAx val="203306496"/>
        <c:crosses val="autoZero"/>
        <c:crossBetween val="midCat"/>
        <c:majorUnit val="1"/>
        <c:minorUnit val="0.1"/>
      </c:valAx>
      <c:spPr>
        <a:gradFill flip="none" rotWithShape="1">
          <a:gsLst>
            <a:gs pos="0">
              <a:srgbClr val="63BE7B"/>
            </a:gs>
            <a:gs pos="50000">
              <a:srgbClr val="FFEB84"/>
            </a:gs>
            <a:gs pos="100000">
              <a:srgbClr val="F8696B"/>
            </a:gs>
          </a:gsLst>
          <a:lin ang="189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defRPr b="0" u="sng">
                <a:latin typeface="+mj-lt"/>
              </a:defRPr>
            </a:pPr>
            <a:r>
              <a:rPr lang="en-US" b="0" u="sng">
                <a:latin typeface="+mj-lt"/>
              </a:rPr>
              <a:t>Public Health Preparedness</a:t>
            </a:r>
          </a:p>
        </c:rich>
      </c:tx>
      <c:layout>
        <c:manualLayout>
          <c:xMode val="edge"/>
          <c:yMode val="edge"/>
          <c:x val="0.30532356317913883"/>
          <c:y val="1.3244983721297133E-2"/>
        </c:manualLayout>
      </c:layout>
      <c:overlay val="0"/>
    </c:title>
    <c:autoTitleDeleted val="0"/>
    <c:plotArea>
      <c:layout/>
      <c:scatterChart>
        <c:scatterStyle val="lineMarker"/>
        <c:varyColors val="0"/>
        <c:ser>
          <c:idx val="0"/>
          <c:order val="0"/>
          <c:tx>
            <c:strRef>
              <c:f>Hazard2!$C$853</c:f>
              <c:strCache>
                <c:ptCount val="1"/>
                <c:pt idx="0">
                  <c:v>Info Sharing</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Hazard2!$J$854</c:f>
              <c:strCache>
                <c:ptCount val="1"/>
                <c:pt idx="0">
                  <c:v>Not Calculated</c:v>
                </c:pt>
              </c:strCache>
            </c:strRef>
          </c:xVal>
          <c:yVal>
            <c:numRef>
              <c:f>Hazard2!$J$855</c:f>
              <c:numCache>
                <c:formatCode>General</c:formatCode>
                <c:ptCount val="1"/>
                <c:pt idx="0">
                  <c:v>0</c:v>
                </c:pt>
              </c:numCache>
            </c:numRef>
          </c:yVal>
          <c:smooth val="0"/>
          <c:extLst>
            <c:ext xmlns:c16="http://schemas.microsoft.com/office/drawing/2014/chart" uri="{C3380CC4-5D6E-409C-BE32-E72D297353CC}">
              <c16:uniqueId val="{00000000-F493-4579-B9F5-D7E4EF507F47}"/>
            </c:ext>
          </c:extLst>
        </c:ser>
        <c:ser>
          <c:idx val="1"/>
          <c:order val="1"/>
          <c:tx>
            <c:strRef>
              <c:f>Hazard2!$C$857</c:f>
              <c:strCache>
                <c:ptCount val="1"/>
                <c:pt idx="0">
                  <c:v>Mass Care</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Hazard2!$J$858</c:f>
              <c:strCache>
                <c:ptCount val="1"/>
                <c:pt idx="0">
                  <c:v>Not Calculated</c:v>
                </c:pt>
              </c:strCache>
            </c:strRef>
          </c:xVal>
          <c:yVal>
            <c:numRef>
              <c:f>Hazard2!$J$859</c:f>
              <c:numCache>
                <c:formatCode>General</c:formatCode>
                <c:ptCount val="1"/>
                <c:pt idx="0">
                  <c:v>0</c:v>
                </c:pt>
              </c:numCache>
            </c:numRef>
          </c:yVal>
          <c:smooth val="0"/>
          <c:extLst>
            <c:ext xmlns:c16="http://schemas.microsoft.com/office/drawing/2014/chart" uri="{C3380CC4-5D6E-409C-BE32-E72D297353CC}">
              <c16:uniqueId val="{00000001-F493-4579-B9F5-D7E4EF507F47}"/>
            </c:ext>
          </c:extLst>
        </c:ser>
        <c:ser>
          <c:idx val="2"/>
          <c:order val="2"/>
          <c:tx>
            <c:strRef>
              <c:f>Hazard2!$C$861</c:f>
              <c:strCache>
                <c:ptCount val="1"/>
                <c:pt idx="0">
                  <c:v>MCM Dispens</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Hazard2!$J$862</c:f>
              <c:strCache>
                <c:ptCount val="1"/>
                <c:pt idx="0">
                  <c:v>Not Calculated</c:v>
                </c:pt>
              </c:strCache>
            </c:strRef>
          </c:xVal>
          <c:yVal>
            <c:numRef>
              <c:f>Hazard2!$J$863</c:f>
              <c:numCache>
                <c:formatCode>General</c:formatCode>
                <c:ptCount val="1"/>
                <c:pt idx="0">
                  <c:v>0</c:v>
                </c:pt>
              </c:numCache>
            </c:numRef>
          </c:yVal>
          <c:smooth val="0"/>
          <c:extLst>
            <c:ext xmlns:c16="http://schemas.microsoft.com/office/drawing/2014/chart" uri="{C3380CC4-5D6E-409C-BE32-E72D297353CC}">
              <c16:uniqueId val="{00000002-F493-4579-B9F5-D7E4EF507F47}"/>
            </c:ext>
          </c:extLst>
        </c:ser>
        <c:ser>
          <c:idx val="3"/>
          <c:order val="3"/>
          <c:tx>
            <c:strRef>
              <c:f>Hazard2!$C$865</c:f>
              <c:strCache>
                <c:ptCount val="1"/>
                <c:pt idx="0">
                  <c:v>Med Materiel Mgmt</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Hazard2!$J$866</c:f>
              <c:strCache>
                <c:ptCount val="1"/>
                <c:pt idx="0">
                  <c:v>Not Calculated</c:v>
                </c:pt>
              </c:strCache>
            </c:strRef>
          </c:xVal>
          <c:yVal>
            <c:numRef>
              <c:f>Hazard2!$J$867</c:f>
              <c:numCache>
                <c:formatCode>General</c:formatCode>
                <c:ptCount val="1"/>
                <c:pt idx="0">
                  <c:v>0</c:v>
                </c:pt>
              </c:numCache>
            </c:numRef>
          </c:yVal>
          <c:smooth val="0"/>
          <c:extLst>
            <c:ext xmlns:c16="http://schemas.microsoft.com/office/drawing/2014/chart" uri="{C3380CC4-5D6E-409C-BE32-E72D297353CC}">
              <c16:uniqueId val="{00000003-F493-4579-B9F5-D7E4EF507F47}"/>
            </c:ext>
          </c:extLst>
        </c:ser>
        <c:ser>
          <c:idx val="4"/>
          <c:order val="4"/>
          <c:tx>
            <c:strRef>
              <c:f>Hazard2!$C$869</c:f>
              <c:strCache>
                <c:ptCount val="1"/>
                <c:pt idx="0">
                  <c:v>Medical Surge</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Hazard2!$J$870</c:f>
              <c:strCache>
                <c:ptCount val="1"/>
                <c:pt idx="0">
                  <c:v>Not Calculated</c:v>
                </c:pt>
              </c:strCache>
            </c:strRef>
          </c:xVal>
          <c:yVal>
            <c:numRef>
              <c:f>Hazard2!$J$871</c:f>
              <c:numCache>
                <c:formatCode>General</c:formatCode>
                <c:ptCount val="1"/>
                <c:pt idx="0">
                  <c:v>0</c:v>
                </c:pt>
              </c:numCache>
            </c:numRef>
          </c:yVal>
          <c:smooth val="0"/>
          <c:extLst>
            <c:ext xmlns:c16="http://schemas.microsoft.com/office/drawing/2014/chart" uri="{C3380CC4-5D6E-409C-BE32-E72D297353CC}">
              <c16:uniqueId val="{00000004-F493-4579-B9F5-D7E4EF507F47}"/>
            </c:ext>
          </c:extLst>
        </c:ser>
        <c:ser>
          <c:idx val="5"/>
          <c:order val="5"/>
          <c:tx>
            <c:strRef>
              <c:f>Hazard2!$C$873</c:f>
              <c:strCache>
                <c:ptCount val="1"/>
                <c:pt idx="0">
                  <c:v>Non-Pharm Interv</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Hazard2!$J$874</c:f>
              <c:strCache>
                <c:ptCount val="1"/>
                <c:pt idx="0">
                  <c:v>Not Calculated</c:v>
                </c:pt>
              </c:strCache>
            </c:strRef>
          </c:xVal>
          <c:yVal>
            <c:numRef>
              <c:f>Hazard2!$J$875</c:f>
              <c:numCache>
                <c:formatCode>General</c:formatCode>
                <c:ptCount val="1"/>
                <c:pt idx="0">
                  <c:v>0</c:v>
                </c:pt>
              </c:numCache>
            </c:numRef>
          </c:yVal>
          <c:smooth val="0"/>
          <c:extLst>
            <c:ext xmlns:c16="http://schemas.microsoft.com/office/drawing/2014/chart" uri="{C3380CC4-5D6E-409C-BE32-E72D297353CC}">
              <c16:uniqueId val="{00000005-F493-4579-B9F5-D7E4EF507F47}"/>
            </c:ext>
          </c:extLst>
        </c:ser>
        <c:ser>
          <c:idx val="6"/>
          <c:order val="6"/>
          <c:tx>
            <c:strRef>
              <c:f>Hazard2!$C$877</c:f>
              <c:strCache>
                <c:ptCount val="1"/>
                <c:pt idx="0">
                  <c:v>PH Lab Testing</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Hazard2!$J$878</c:f>
              <c:strCache>
                <c:ptCount val="1"/>
                <c:pt idx="0">
                  <c:v>Not Calculated</c:v>
                </c:pt>
              </c:strCache>
            </c:strRef>
          </c:xVal>
          <c:yVal>
            <c:numRef>
              <c:f>Hazard2!$J$879</c:f>
              <c:numCache>
                <c:formatCode>General</c:formatCode>
                <c:ptCount val="1"/>
                <c:pt idx="0">
                  <c:v>0</c:v>
                </c:pt>
              </c:numCache>
            </c:numRef>
          </c:yVal>
          <c:smooth val="0"/>
          <c:extLst>
            <c:ext xmlns:c16="http://schemas.microsoft.com/office/drawing/2014/chart" uri="{C3380CC4-5D6E-409C-BE32-E72D297353CC}">
              <c16:uniqueId val="{00000006-F493-4579-B9F5-D7E4EF507F47}"/>
            </c:ext>
          </c:extLst>
        </c:ser>
        <c:ser>
          <c:idx val="7"/>
          <c:order val="7"/>
          <c:tx>
            <c:strRef>
              <c:f>Hazard2!$C$881</c:f>
              <c:strCache>
                <c:ptCount val="1"/>
                <c:pt idx="0">
                  <c:v>PH Surv &amp; Epi</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Hazard2!$J$882</c:f>
              <c:strCache>
                <c:ptCount val="1"/>
                <c:pt idx="0">
                  <c:v>Not Calculated</c:v>
                </c:pt>
              </c:strCache>
            </c:strRef>
          </c:xVal>
          <c:yVal>
            <c:numRef>
              <c:f>Hazard2!$J$883</c:f>
              <c:numCache>
                <c:formatCode>General</c:formatCode>
                <c:ptCount val="1"/>
                <c:pt idx="0">
                  <c:v>0</c:v>
                </c:pt>
              </c:numCache>
            </c:numRef>
          </c:yVal>
          <c:smooth val="0"/>
          <c:extLst>
            <c:ext xmlns:c16="http://schemas.microsoft.com/office/drawing/2014/chart" uri="{C3380CC4-5D6E-409C-BE32-E72D297353CC}">
              <c16:uniqueId val="{00000007-F493-4579-B9F5-D7E4EF507F47}"/>
            </c:ext>
          </c:extLst>
        </c:ser>
        <c:ser>
          <c:idx val="8"/>
          <c:order val="8"/>
          <c:tx>
            <c:strRef>
              <c:f>Hazard2!$C$885</c:f>
              <c:strCache>
                <c:ptCount val="1"/>
                <c:pt idx="0">
                  <c:v>Responder Safety</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Hazard2!$J$886</c:f>
              <c:strCache>
                <c:ptCount val="1"/>
                <c:pt idx="0">
                  <c:v>Not Calculated</c:v>
                </c:pt>
              </c:strCache>
            </c:strRef>
          </c:xVal>
          <c:yVal>
            <c:numRef>
              <c:f>Hazard2!$J$887</c:f>
              <c:numCache>
                <c:formatCode>General</c:formatCode>
                <c:ptCount val="1"/>
                <c:pt idx="0">
                  <c:v>0</c:v>
                </c:pt>
              </c:numCache>
            </c:numRef>
          </c:yVal>
          <c:smooth val="0"/>
          <c:extLst>
            <c:ext xmlns:c16="http://schemas.microsoft.com/office/drawing/2014/chart" uri="{C3380CC4-5D6E-409C-BE32-E72D297353CC}">
              <c16:uniqueId val="{00000008-F493-4579-B9F5-D7E4EF507F47}"/>
            </c:ext>
          </c:extLst>
        </c:ser>
        <c:ser>
          <c:idx val="9"/>
          <c:order val="9"/>
          <c:tx>
            <c:strRef>
              <c:f>Hazard2!$C$889</c:f>
              <c:strCache>
                <c:ptCount val="1"/>
                <c:pt idx="0">
                  <c:v>Volunteer Mgmt</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Hazard2!$J$890</c:f>
              <c:strCache>
                <c:ptCount val="1"/>
                <c:pt idx="0">
                  <c:v>Not Calculated</c:v>
                </c:pt>
              </c:strCache>
            </c:strRef>
          </c:xVal>
          <c:yVal>
            <c:numRef>
              <c:f>Hazard2!$J$891</c:f>
              <c:numCache>
                <c:formatCode>General</c:formatCode>
                <c:ptCount val="1"/>
                <c:pt idx="0">
                  <c:v>0</c:v>
                </c:pt>
              </c:numCache>
            </c:numRef>
          </c:yVal>
          <c:smooth val="0"/>
          <c:extLst>
            <c:ext xmlns:c16="http://schemas.microsoft.com/office/drawing/2014/chart" uri="{C3380CC4-5D6E-409C-BE32-E72D297353CC}">
              <c16:uniqueId val="{00000009-F493-4579-B9F5-D7E4EF507F47}"/>
            </c:ext>
          </c:extLst>
        </c:ser>
        <c:ser>
          <c:idx val="10"/>
          <c:order val="10"/>
          <c:tx>
            <c:strRef>
              <c:f>Hazard2!$C$833</c:f>
              <c:strCache>
                <c:ptCount val="1"/>
                <c:pt idx="0">
                  <c:v>Community Prep</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Hazard2!$J$834</c:f>
              <c:strCache>
                <c:ptCount val="1"/>
                <c:pt idx="0">
                  <c:v>Not Calculated</c:v>
                </c:pt>
              </c:strCache>
            </c:strRef>
          </c:xVal>
          <c:yVal>
            <c:numRef>
              <c:f>Hazard2!$J$835</c:f>
              <c:numCache>
                <c:formatCode>General</c:formatCode>
                <c:ptCount val="1"/>
                <c:pt idx="0">
                  <c:v>0</c:v>
                </c:pt>
              </c:numCache>
            </c:numRef>
          </c:yVal>
          <c:smooth val="0"/>
          <c:extLst>
            <c:ext xmlns:c16="http://schemas.microsoft.com/office/drawing/2014/chart" uri="{C3380CC4-5D6E-409C-BE32-E72D297353CC}">
              <c16:uniqueId val="{0000000A-F493-4579-B9F5-D7E4EF507F47}"/>
            </c:ext>
          </c:extLst>
        </c:ser>
        <c:ser>
          <c:idx val="11"/>
          <c:order val="11"/>
          <c:tx>
            <c:strRef>
              <c:f>Hazard2!$C$837</c:f>
              <c:strCache>
                <c:ptCount val="1"/>
                <c:pt idx="0">
                  <c:v>Community Recov</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Hazard2!$J$838</c:f>
              <c:strCache>
                <c:ptCount val="1"/>
                <c:pt idx="0">
                  <c:v>Not Calculated</c:v>
                </c:pt>
              </c:strCache>
            </c:strRef>
          </c:xVal>
          <c:yVal>
            <c:numRef>
              <c:f>Hazard2!$J$839</c:f>
              <c:numCache>
                <c:formatCode>General</c:formatCode>
                <c:ptCount val="1"/>
                <c:pt idx="0">
                  <c:v>0</c:v>
                </c:pt>
              </c:numCache>
            </c:numRef>
          </c:yVal>
          <c:smooth val="0"/>
          <c:extLst>
            <c:ext xmlns:c16="http://schemas.microsoft.com/office/drawing/2014/chart" uri="{C3380CC4-5D6E-409C-BE32-E72D297353CC}">
              <c16:uniqueId val="{0000000B-F493-4579-B9F5-D7E4EF507F47}"/>
            </c:ext>
          </c:extLst>
        </c:ser>
        <c:ser>
          <c:idx val="12"/>
          <c:order val="12"/>
          <c:tx>
            <c:strRef>
              <c:f>Hazard2!$C$841</c:f>
              <c:strCache>
                <c:ptCount val="1"/>
                <c:pt idx="0">
                  <c:v>Emerg Ops Coord</c:v>
                </c:pt>
              </c:strCache>
            </c:strRef>
          </c:tx>
          <c:spPr>
            <a:ln w="66675">
              <a:noFill/>
            </a:ln>
          </c:spPr>
          <c:dLbls>
            <c:spPr>
              <a:noFill/>
              <a:ln>
                <a:noFill/>
              </a:ln>
              <a:effectLst/>
            </c:sp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Hazard2!$J$842</c:f>
              <c:strCache>
                <c:ptCount val="1"/>
                <c:pt idx="0">
                  <c:v>Not Calculated</c:v>
                </c:pt>
              </c:strCache>
            </c:strRef>
          </c:xVal>
          <c:yVal>
            <c:numRef>
              <c:f>Hazard2!$J$843</c:f>
              <c:numCache>
                <c:formatCode>General</c:formatCode>
                <c:ptCount val="1"/>
                <c:pt idx="0">
                  <c:v>0</c:v>
                </c:pt>
              </c:numCache>
            </c:numRef>
          </c:yVal>
          <c:smooth val="0"/>
          <c:extLst>
            <c:ext xmlns:c16="http://schemas.microsoft.com/office/drawing/2014/chart" uri="{C3380CC4-5D6E-409C-BE32-E72D297353CC}">
              <c16:uniqueId val="{0000000C-F493-4579-B9F5-D7E4EF507F47}"/>
            </c:ext>
          </c:extLst>
        </c:ser>
        <c:ser>
          <c:idx val="13"/>
          <c:order val="13"/>
          <c:tx>
            <c:strRef>
              <c:f>Hazard2!$C$845</c:f>
              <c:strCache>
                <c:ptCount val="1"/>
                <c:pt idx="0">
                  <c:v>Emerg Public Info</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Hazard2!$J$846</c:f>
              <c:strCache>
                <c:ptCount val="1"/>
                <c:pt idx="0">
                  <c:v>Not Calculated</c:v>
                </c:pt>
              </c:strCache>
            </c:strRef>
          </c:xVal>
          <c:yVal>
            <c:numRef>
              <c:f>Hazard2!$J$847</c:f>
              <c:numCache>
                <c:formatCode>General</c:formatCode>
                <c:ptCount val="1"/>
                <c:pt idx="0">
                  <c:v>0</c:v>
                </c:pt>
              </c:numCache>
            </c:numRef>
          </c:yVal>
          <c:smooth val="0"/>
          <c:extLst>
            <c:ext xmlns:c16="http://schemas.microsoft.com/office/drawing/2014/chart" uri="{C3380CC4-5D6E-409C-BE32-E72D297353CC}">
              <c16:uniqueId val="{0000000D-F493-4579-B9F5-D7E4EF507F47}"/>
            </c:ext>
          </c:extLst>
        </c:ser>
        <c:ser>
          <c:idx val="14"/>
          <c:order val="14"/>
          <c:tx>
            <c:strRef>
              <c:f>Drought!$C$964</c:f>
              <c:strCache>
                <c:ptCount val="1"/>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Drought!$J$965</c:f>
            </c:numRef>
          </c:xVal>
          <c:yVal>
            <c:numRef>
              <c:f>Drought!$J$966</c:f>
            </c:numRef>
          </c:yVal>
          <c:smooth val="0"/>
          <c:extLst>
            <c:ext xmlns:c16="http://schemas.microsoft.com/office/drawing/2014/chart" uri="{C3380CC4-5D6E-409C-BE32-E72D297353CC}">
              <c16:uniqueId val="{0000000E-F493-4579-B9F5-D7E4EF507F47}"/>
            </c:ext>
          </c:extLst>
        </c:ser>
        <c:ser>
          <c:idx val="15"/>
          <c:order val="15"/>
          <c:tx>
            <c:strRef>
              <c:f>Hazard2!$C$849</c:f>
              <c:strCache>
                <c:ptCount val="1"/>
                <c:pt idx="0">
                  <c:v>Fatality Mgmt</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Hazard2!$J$850</c:f>
              <c:strCache>
                <c:ptCount val="1"/>
                <c:pt idx="0">
                  <c:v>Not Calculated</c:v>
                </c:pt>
              </c:strCache>
            </c:strRef>
          </c:xVal>
          <c:yVal>
            <c:numRef>
              <c:f>Hazard2!$J$851</c:f>
              <c:numCache>
                <c:formatCode>General</c:formatCode>
                <c:ptCount val="1"/>
                <c:pt idx="0">
                  <c:v>0</c:v>
                </c:pt>
              </c:numCache>
            </c:numRef>
          </c:yVal>
          <c:smooth val="0"/>
          <c:extLst>
            <c:ext xmlns:c16="http://schemas.microsoft.com/office/drawing/2014/chart" uri="{C3380CC4-5D6E-409C-BE32-E72D297353CC}">
              <c16:uniqueId val="{0000000F-F493-4579-B9F5-D7E4EF507F47}"/>
            </c:ext>
          </c:extLst>
        </c:ser>
        <c:dLbls>
          <c:showLegendKey val="0"/>
          <c:showVal val="1"/>
          <c:showCatName val="0"/>
          <c:showSerName val="0"/>
          <c:showPercent val="0"/>
          <c:showBubbleSize val="0"/>
        </c:dLbls>
        <c:axId val="203392512"/>
        <c:axId val="203394432"/>
      </c:scatterChart>
      <c:valAx>
        <c:axId val="203392512"/>
        <c:scaling>
          <c:orientation val="minMax"/>
          <c:max val="4.5"/>
          <c:min val="0"/>
        </c:scaling>
        <c:delete val="0"/>
        <c:axPos val="b"/>
        <c:majorGridlines/>
        <c:title>
          <c:tx>
            <c:rich>
              <a:bodyPr/>
              <a:lstStyle/>
              <a:p>
                <a:pPr>
                  <a:defRPr b="0">
                    <a:latin typeface="+mj-lt"/>
                  </a:defRPr>
                </a:pPr>
                <a:r>
                  <a:rPr lang="en-US" sz="1600" b="0">
                    <a:latin typeface="+mj-lt"/>
                  </a:rPr>
                  <a:t>Capability Relevance to Hazard</a:t>
                </a:r>
              </a:p>
            </c:rich>
          </c:tx>
          <c:overlay val="0"/>
        </c:title>
        <c:numFmt formatCode="General" sourceLinked="1"/>
        <c:majorTickMark val="out"/>
        <c:minorTickMark val="none"/>
        <c:tickLblPos val="nextTo"/>
        <c:spPr>
          <a:ln>
            <a:solidFill>
              <a:schemeClr val="tx1"/>
            </a:solidFill>
          </a:ln>
        </c:spPr>
        <c:crossAx val="203394432"/>
        <c:crosses val="autoZero"/>
        <c:crossBetween val="midCat"/>
        <c:majorUnit val="1"/>
        <c:minorUnit val="0.1"/>
      </c:valAx>
      <c:valAx>
        <c:axId val="203394432"/>
        <c:scaling>
          <c:orientation val="minMax"/>
          <c:max val="4.5"/>
          <c:min val="0"/>
        </c:scaling>
        <c:delete val="0"/>
        <c:axPos val="l"/>
        <c:majorGridlines/>
        <c:title>
          <c:tx>
            <c:rich>
              <a:bodyPr rot="-5400000" vert="horz"/>
              <a:lstStyle/>
              <a:p>
                <a:pPr>
                  <a:defRPr sz="1600" b="0">
                    <a:latin typeface="+mj-lt"/>
                  </a:defRPr>
                </a:pPr>
                <a:r>
                  <a:rPr lang="en-US" sz="1600" b="0">
                    <a:latin typeface="+mj-lt"/>
                  </a:rPr>
                  <a:t>Capability Status</a:t>
                </a:r>
              </a:p>
            </c:rich>
          </c:tx>
          <c:overlay val="0"/>
        </c:title>
        <c:numFmt formatCode="General" sourceLinked="1"/>
        <c:majorTickMark val="out"/>
        <c:minorTickMark val="none"/>
        <c:tickLblPos val="nextTo"/>
        <c:spPr>
          <a:ln>
            <a:solidFill>
              <a:schemeClr val="tx1"/>
            </a:solidFill>
          </a:ln>
        </c:spPr>
        <c:crossAx val="203392512"/>
        <c:crosses val="autoZero"/>
        <c:crossBetween val="midCat"/>
        <c:majorUnit val="1"/>
        <c:minorUnit val="0.1"/>
      </c:valAx>
      <c:spPr>
        <a:gradFill flip="none" rotWithShape="1">
          <a:gsLst>
            <a:gs pos="0">
              <a:srgbClr val="63BE7B"/>
            </a:gs>
            <a:gs pos="50000">
              <a:srgbClr val="FFEB84"/>
            </a:gs>
            <a:gs pos="100000">
              <a:srgbClr val="F8696B"/>
            </a:gs>
          </a:gsLst>
          <a:lin ang="27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defRPr b="0" u="sng">
                <a:latin typeface="+mj-lt"/>
              </a:defRPr>
            </a:pPr>
            <a:r>
              <a:rPr lang="en-US" b="0" u="sng">
                <a:latin typeface="+mj-lt"/>
              </a:rPr>
              <a:t>Healthcare Preparedness</a:t>
            </a:r>
          </a:p>
        </c:rich>
      </c:tx>
      <c:layout>
        <c:manualLayout>
          <c:xMode val="edge"/>
          <c:yMode val="edge"/>
          <c:x val="0.38019690321630645"/>
          <c:y val="1.3244983721297133E-2"/>
        </c:manualLayout>
      </c:layout>
      <c:overlay val="0"/>
    </c:title>
    <c:autoTitleDeleted val="0"/>
    <c:plotArea>
      <c:layout/>
      <c:scatterChart>
        <c:scatterStyle val="lineMarker"/>
        <c:varyColors val="0"/>
        <c:ser>
          <c:idx val="0"/>
          <c:order val="0"/>
          <c:tx>
            <c:strRef>
              <c:f>Hazard2!$C$903</c:f>
              <c:strCache>
                <c:ptCount val="1"/>
                <c:pt idx="0">
                  <c:v>HC System Prep</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Hazard2!$J$904</c:f>
              <c:strCache>
                <c:ptCount val="1"/>
                <c:pt idx="0">
                  <c:v>Not Calculated</c:v>
                </c:pt>
              </c:strCache>
            </c:strRef>
          </c:xVal>
          <c:yVal>
            <c:numRef>
              <c:f>Hazard2!$J$905</c:f>
              <c:numCache>
                <c:formatCode>General</c:formatCode>
                <c:ptCount val="1"/>
                <c:pt idx="0">
                  <c:v>0</c:v>
                </c:pt>
              </c:numCache>
            </c:numRef>
          </c:yVal>
          <c:smooth val="0"/>
          <c:extLst>
            <c:ext xmlns:c16="http://schemas.microsoft.com/office/drawing/2014/chart" uri="{C3380CC4-5D6E-409C-BE32-E72D297353CC}">
              <c16:uniqueId val="{00000000-8EF0-430A-A4B9-75A15825F841}"/>
            </c:ext>
          </c:extLst>
        </c:ser>
        <c:ser>
          <c:idx val="1"/>
          <c:order val="1"/>
          <c:tx>
            <c:strRef>
              <c:f>Hazard2!$C$907</c:f>
              <c:strCache>
                <c:ptCount val="1"/>
                <c:pt idx="0">
                  <c:v>HC System Recov</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Hazard2!$J$908</c:f>
              <c:strCache>
                <c:ptCount val="1"/>
                <c:pt idx="0">
                  <c:v>Not Calculated</c:v>
                </c:pt>
              </c:strCache>
            </c:strRef>
          </c:xVal>
          <c:yVal>
            <c:numRef>
              <c:f>Hazard2!$J$909</c:f>
              <c:numCache>
                <c:formatCode>General</c:formatCode>
                <c:ptCount val="1"/>
                <c:pt idx="0">
                  <c:v>0</c:v>
                </c:pt>
              </c:numCache>
            </c:numRef>
          </c:yVal>
          <c:smooth val="0"/>
          <c:extLst>
            <c:ext xmlns:c16="http://schemas.microsoft.com/office/drawing/2014/chart" uri="{C3380CC4-5D6E-409C-BE32-E72D297353CC}">
              <c16:uniqueId val="{00000001-8EF0-430A-A4B9-75A15825F841}"/>
            </c:ext>
          </c:extLst>
        </c:ser>
        <c:ser>
          <c:idx val="2"/>
          <c:order val="2"/>
          <c:tx>
            <c:strRef>
              <c:f>Hazard2!$C$911</c:f>
              <c:strCache>
                <c:ptCount val="1"/>
                <c:pt idx="0">
                  <c:v>Emerg Ops Coord</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Hazard2!$J$912</c:f>
              <c:strCache>
                <c:ptCount val="1"/>
                <c:pt idx="0">
                  <c:v>Not Calculated</c:v>
                </c:pt>
              </c:strCache>
            </c:strRef>
          </c:xVal>
          <c:yVal>
            <c:numRef>
              <c:f>Hazard2!$J$913</c:f>
              <c:numCache>
                <c:formatCode>General</c:formatCode>
                <c:ptCount val="1"/>
                <c:pt idx="0">
                  <c:v>0</c:v>
                </c:pt>
              </c:numCache>
            </c:numRef>
          </c:yVal>
          <c:smooth val="0"/>
          <c:extLst>
            <c:ext xmlns:c16="http://schemas.microsoft.com/office/drawing/2014/chart" uri="{C3380CC4-5D6E-409C-BE32-E72D297353CC}">
              <c16:uniqueId val="{00000002-8EF0-430A-A4B9-75A15825F841}"/>
            </c:ext>
          </c:extLst>
        </c:ser>
        <c:ser>
          <c:idx val="3"/>
          <c:order val="3"/>
          <c:tx>
            <c:strRef>
              <c:f>Hazard2!$C$915</c:f>
              <c:strCache>
                <c:ptCount val="1"/>
                <c:pt idx="0">
                  <c:v>Fatality Mgmt</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Hazard2!$J$916</c:f>
              <c:strCache>
                <c:ptCount val="1"/>
                <c:pt idx="0">
                  <c:v>Not Calculated</c:v>
                </c:pt>
              </c:strCache>
            </c:strRef>
          </c:xVal>
          <c:yVal>
            <c:numRef>
              <c:f>Hazard2!$J$917</c:f>
              <c:numCache>
                <c:formatCode>General</c:formatCode>
                <c:ptCount val="1"/>
                <c:pt idx="0">
                  <c:v>0</c:v>
                </c:pt>
              </c:numCache>
            </c:numRef>
          </c:yVal>
          <c:smooth val="0"/>
          <c:extLst>
            <c:ext xmlns:c16="http://schemas.microsoft.com/office/drawing/2014/chart" uri="{C3380CC4-5D6E-409C-BE32-E72D297353CC}">
              <c16:uniqueId val="{00000003-8EF0-430A-A4B9-75A15825F841}"/>
            </c:ext>
          </c:extLst>
        </c:ser>
        <c:ser>
          <c:idx val="4"/>
          <c:order val="4"/>
          <c:tx>
            <c:strRef>
              <c:f>Hazard2!$C$919</c:f>
              <c:strCache>
                <c:ptCount val="1"/>
                <c:pt idx="0">
                  <c:v>Info Sharing</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Hazard2!$J$920</c:f>
              <c:strCache>
                <c:ptCount val="1"/>
                <c:pt idx="0">
                  <c:v>Not Calculated</c:v>
                </c:pt>
              </c:strCache>
            </c:strRef>
          </c:xVal>
          <c:yVal>
            <c:numRef>
              <c:f>Hazard2!$J$921</c:f>
              <c:numCache>
                <c:formatCode>General</c:formatCode>
                <c:ptCount val="1"/>
                <c:pt idx="0">
                  <c:v>0</c:v>
                </c:pt>
              </c:numCache>
            </c:numRef>
          </c:yVal>
          <c:smooth val="0"/>
          <c:extLst>
            <c:ext xmlns:c16="http://schemas.microsoft.com/office/drawing/2014/chart" uri="{C3380CC4-5D6E-409C-BE32-E72D297353CC}">
              <c16:uniqueId val="{00000004-8EF0-430A-A4B9-75A15825F841}"/>
            </c:ext>
          </c:extLst>
        </c:ser>
        <c:ser>
          <c:idx val="5"/>
          <c:order val="5"/>
          <c:tx>
            <c:strRef>
              <c:f>Hazard2!$C$923</c:f>
              <c:strCache>
                <c:ptCount val="1"/>
                <c:pt idx="0">
                  <c:v>Medical Surge</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Hazard2!$J$924</c:f>
              <c:strCache>
                <c:ptCount val="1"/>
                <c:pt idx="0">
                  <c:v>Not Calculated</c:v>
                </c:pt>
              </c:strCache>
            </c:strRef>
          </c:xVal>
          <c:yVal>
            <c:numRef>
              <c:f>Hazard2!$J$925</c:f>
              <c:numCache>
                <c:formatCode>General</c:formatCode>
                <c:ptCount val="1"/>
                <c:pt idx="0">
                  <c:v>0</c:v>
                </c:pt>
              </c:numCache>
            </c:numRef>
          </c:yVal>
          <c:smooth val="0"/>
          <c:extLst>
            <c:ext xmlns:c16="http://schemas.microsoft.com/office/drawing/2014/chart" uri="{C3380CC4-5D6E-409C-BE32-E72D297353CC}">
              <c16:uniqueId val="{00000005-8EF0-430A-A4B9-75A15825F841}"/>
            </c:ext>
          </c:extLst>
        </c:ser>
        <c:ser>
          <c:idx val="6"/>
          <c:order val="6"/>
          <c:tx>
            <c:strRef>
              <c:f>Hazard2!$C$927</c:f>
              <c:strCache>
                <c:ptCount val="1"/>
                <c:pt idx="0">
                  <c:v>Responder Safety</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Hazard2!$J$928</c:f>
              <c:strCache>
                <c:ptCount val="1"/>
                <c:pt idx="0">
                  <c:v>Not Calculated</c:v>
                </c:pt>
              </c:strCache>
            </c:strRef>
          </c:xVal>
          <c:yVal>
            <c:numRef>
              <c:f>Hazard2!$J$929</c:f>
              <c:numCache>
                <c:formatCode>General</c:formatCode>
                <c:ptCount val="1"/>
                <c:pt idx="0">
                  <c:v>0</c:v>
                </c:pt>
              </c:numCache>
            </c:numRef>
          </c:yVal>
          <c:smooth val="0"/>
          <c:extLst>
            <c:ext xmlns:c16="http://schemas.microsoft.com/office/drawing/2014/chart" uri="{C3380CC4-5D6E-409C-BE32-E72D297353CC}">
              <c16:uniqueId val="{00000006-8EF0-430A-A4B9-75A15825F841}"/>
            </c:ext>
          </c:extLst>
        </c:ser>
        <c:ser>
          <c:idx val="7"/>
          <c:order val="7"/>
          <c:tx>
            <c:strRef>
              <c:f>Hazard2!$C$931</c:f>
              <c:strCache>
                <c:ptCount val="1"/>
                <c:pt idx="0">
                  <c:v>Volunteer Mgmt</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Hazard2!$J$932</c:f>
              <c:strCache>
                <c:ptCount val="1"/>
                <c:pt idx="0">
                  <c:v>Not Calculated</c:v>
                </c:pt>
              </c:strCache>
            </c:strRef>
          </c:xVal>
          <c:yVal>
            <c:numRef>
              <c:f>Hazard2!$J$933</c:f>
              <c:numCache>
                <c:formatCode>General</c:formatCode>
                <c:ptCount val="1"/>
                <c:pt idx="0">
                  <c:v>0</c:v>
                </c:pt>
              </c:numCache>
            </c:numRef>
          </c:yVal>
          <c:smooth val="0"/>
          <c:extLst>
            <c:ext xmlns:c16="http://schemas.microsoft.com/office/drawing/2014/chart" uri="{C3380CC4-5D6E-409C-BE32-E72D297353CC}">
              <c16:uniqueId val="{00000007-8EF0-430A-A4B9-75A15825F841}"/>
            </c:ext>
          </c:extLst>
        </c:ser>
        <c:ser>
          <c:idx val="14"/>
          <c:order val="8"/>
          <c:tx>
            <c:strRef>
              <c:f>Drought!$C$964</c:f>
              <c:strCache>
                <c:ptCount val="1"/>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Drought!$J$965</c:f>
            </c:numRef>
          </c:xVal>
          <c:yVal>
            <c:numRef>
              <c:f>Drought!$J$966</c:f>
            </c:numRef>
          </c:yVal>
          <c:smooth val="0"/>
          <c:extLst>
            <c:ext xmlns:c16="http://schemas.microsoft.com/office/drawing/2014/chart" uri="{C3380CC4-5D6E-409C-BE32-E72D297353CC}">
              <c16:uniqueId val="{00000008-8EF0-430A-A4B9-75A15825F841}"/>
            </c:ext>
          </c:extLst>
        </c:ser>
        <c:dLbls>
          <c:showLegendKey val="0"/>
          <c:showVal val="1"/>
          <c:showCatName val="0"/>
          <c:showSerName val="0"/>
          <c:showPercent val="0"/>
          <c:showBubbleSize val="0"/>
        </c:dLbls>
        <c:axId val="203589888"/>
        <c:axId val="203612544"/>
      </c:scatterChart>
      <c:valAx>
        <c:axId val="203589888"/>
        <c:scaling>
          <c:orientation val="minMax"/>
          <c:max val="4.5"/>
          <c:min val="0"/>
        </c:scaling>
        <c:delete val="0"/>
        <c:axPos val="b"/>
        <c:majorGridlines/>
        <c:title>
          <c:tx>
            <c:rich>
              <a:bodyPr/>
              <a:lstStyle/>
              <a:p>
                <a:pPr>
                  <a:defRPr b="0">
                    <a:latin typeface="+mj-lt"/>
                  </a:defRPr>
                </a:pPr>
                <a:r>
                  <a:rPr lang="en-US" sz="1600" b="0">
                    <a:latin typeface="+mj-lt"/>
                  </a:rPr>
                  <a:t>Capability Relevance to Hazard</a:t>
                </a:r>
              </a:p>
            </c:rich>
          </c:tx>
          <c:overlay val="0"/>
        </c:title>
        <c:numFmt formatCode="General" sourceLinked="1"/>
        <c:majorTickMark val="out"/>
        <c:minorTickMark val="none"/>
        <c:tickLblPos val="nextTo"/>
        <c:spPr>
          <a:ln>
            <a:solidFill>
              <a:schemeClr val="tx1"/>
            </a:solidFill>
          </a:ln>
        </c:spPr>
        <c:crossAx val="203612544"/>
        <c:crosses val="autoZero"/>
        <c:crossBetween val="midCat"/>
        <c:majorUnit val="1"/>
        <c:minorUnit val="0.1"/>
      </c:valAx>
      <c:valAx>
        <c:axId val="203612544"/>
        <c:scaling>
          <c:orientation val="minMax"/>
          <c:max val="4.5"/>
          <c:min val="0"/>
        </c:scaling>
        <c:delete val="0"/>
        <c:axPos val="l"/>
        <c:majorGridlines/>
        <c:title>
          <c:tx>
            <c:rich>
              <a:bodyPr rot="-5400000" vert="horz"/>
              <a:lstStyle/>
              <a:p>
                <a:pPr>
                  <a:defRPr sz="1600" b="0">
                    <a:latin typeface="+mj-lt"/>
                  </a:defRPr>
                </a:pPr>
                <a:r>
                  <a:rPr lang="en-US" sz="1600" b="0">
                    <a:latin typeface="+mj-lt"/>
                  </a:rPr>
                  <a:t>Capability Status</a:t>
                </a:r>
              </a:p>
            </c:rich>
          </c:tx>
          <c:overlay val="0"/>
        </c:title>
        <c:numFmt formatCode="General" sourceLinked="1"/>
        <c:majorTickMark val="out"/>
        <c:minorTickMark val="none"/>
        <c:tickLblPos val="nextTo"/>
        <c:spPr>
          <a:ln>
            <a:solidFill>
              <a:schemeClr val="tx1"/>
            </a:solidFill>
          </a:ln>
        </c:spPr>
        <c:crossAx val="203589888"/>
        <c:crosses val="autoZero"/>
        <c:crossBetween val="midCat"/>
        <c:majorUnit val="1"/>
        <c:minorUnit val="0.1"/>
      </c:valAx>
      <c:spPr>
        <a:gradFill flip="none" rotWithShape="1">
          <a:gsLst>
            <a:gs pos="0">
              <a:srgbClr val="63BE7B"/>
            </a:gs>
            <a:gs pos="50000">
              <a:srgbClr val="FFEB84"/>
            </a:gs>
            <a:gs pos="100000">
              <a:srgbClr val="F8696B"/>
            </a:gs>
          </a:gsLst>
          <a:lin ang="27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b="0" u="sng">
                <a:latin typeface="+mj-lt"/>
              </a:defRPr>
            </a:pPr>
            <a:r>
              <a:rPr lang="en-US" b="0" u="sng">
                <a:latin typeface="+mj-lt"/>
              </a:rPr>
              <a:t>Severity</a:t>
            </a:r>
          </a:p>
        </c:rich>
      </c:tx>
      <c:layout>
        <c:manualLayout>
          <c:xMode val="edge"/>
          <c:yMode val="edge"/>
          <c:x val="0.46889233641333816"/>
          <c:y val="1.3244983721297133E-2"/>
        </c:manualLayout>
      </c:layout>
      <c:overlay val="0"/>
    </c:title>
    <c:autoTitleDeleted val="0"/>
    <c:plotArea>
      <c:layout/>
      <c:barChart>
        <c:barDir val="col"/>
        <c:grouping val="clustered"/>
        <c:varyColors val="0"/>
        <c:ser>
          <c:idx val="0"/>
          <c:order val="0"/>
          <c:tx>
            <c:v>Severity</c:v>
          </c:tx>
          <c:spPr>
            <a:solidFill>
              <a:schemeClr val="accent4">
                <a:lumMod val="60000"/>
                <a:lumOff val="40000"/>
              </a:schemeClr>
            </a:solidFill>
            <a:ln>
              <a:solidFill>
                <a:schemeClr val="accent4"/>
              </a:solidFill>
            </a:ln>
            <a:scene3d>
              <a:camera prst="orthographicFront"/>
              <a:lightRig rig="threePt" dir="t"/>
            </a:scene3d>
            <a:sp3d prstMaterial="matte">
              <a:bevelT w="63500" h="50800"/>
            </a:sp3d>
          </c:spPr>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('Active Shooter'!$G$22,'Active Shooter'!$G$137,'Active Shooter'!$G$265,'Active Shooter'!$G$425,'Active Shooter'!$G$543)</c:f>
              <c:strCache>
                <c:ptCount val="5"/>
                <c:pt idx="0">
                  <c:v>Human Impact</c:v>
                </c:pt>
                <c:pt idx="1">
                  <c:v>Healthcare Service Impact</c:v>
                </c:pt>
                <c:pt idx="2">
                  <c:v>Inpatient Healthcare Facility Infrastructure Impact</c:v>
                </c:pt>
                <c:pt idx="3">
                  <c:v>Community Impact</c:v>
                </c:pt>
                <c:pt idx="4">
                  <c:v>Public Health Service Impact</c:v>
                </c:pt>
              </c:strCache>
            </c:strRef>
          </c:cat>
          <c:val>
            <c:numRef>
              <c:f>(Hazard3!$J$133,Hazard3!$J$261,Hazard3!$J$421,Hazard3!$J$539,Hazard3!$J$681)</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0-BE29-42B2-BEC1-C4A20AFF19F7}"/>
            </c:ext>
          </c:extLst>
        </c:ser>
        <c:dLbls>
          <c:showLegendKey val="0"/>
          <c:showVal val="1"/>
          <c:showCatName val="0"/>
          <c:showSerName val="0"/>
          <c:showPercent val="0"/>
          <c:showBubbleSize val="0"/>
        </c:dLbls>
        <c:gapWidth val="150"/>
        <c:axId val="203632000"/>
        <c:axId val="203654656"/>
      </c:barChart>
      <c:catAx>
        <c:axId val="203632000"/>
        <c:scaling>
          <c:orientation val="minMax"/>
        </c:scaling>
        <c:delete val="0"/>
        <c:axPos val="b"/>
        <c:title>
          <c:tx>
            <c:rich>
              <a:bodyPr/>
              <a:lstStyle/>
              <a:p>
                <a:pPr>
                  <a:defRPr sz="1600" b="0">
                    <a:latin typeface="+mj-lt"/>
                  </a:defRPr>
                </a:pPr>
                <a:r>
                  <a:rPr lang="en-US" sz="1600" b="0">
                    <a:latin typeface="+mj-lt"/>
                  </a:rPr>
                  <a:t>Domain</a:t>
                </a:r>
              </a:p>
            </c:rich>
          </c:tx>
          <c:overlay val="0"/>
        </c:title>
        <c:numFmt formatCode="General" sourceLinked="1"/>
        <c:majorTickMark val="out"/>
        <c:minorTickMark val="none"/>
        <c:tickLblPos val="nextTo"/>
        <c:crossAx val="203654656"/>
        <c:crosses val="autoZero"/>
        <c:auto val="1"/>
        <c:lblAlgn val="ctr"/>
        <c:lblOffset val="100"/>
        <c:noMultiLvlLbl val="0"/>
      </c:catAx>
      <c:valAx>
        <c:axId val="203654656"/>
        <c:scaling>
          <c:orientation val="minMax"/>
          <c:max val="4"/>
        </c:scaling>
        <c:delete val="0"/>
        <c:axPos val="l"/>
        <c:majorGridlines/>
        <c:title>
          <c:tx>
            <c:rich>
              <a:bodyPr rot="-5400000" vert="horz"/>
              <a:lstStyle/>
              <a:p>
                <a:pPr>
                  <a:defRPr sz="1600" b="0">
                    <a:latin typeface="+mj-lt"/>
                  </a:defRPr>
                </a:pPr>
                <a:r>
                  <a:rPr lang="en-US" sz="1600" b="0">
                    <a:latin typeface="+mj-lt"/>
                  </a:rPr>
                  <a:t>Severity</a:t>
                </a:r>
                <a:r>
                  <a:rPr lang="en-US" sz="1600" b="0" baseline="0">
                    <a:latin typeface="+mj-lt"/>
                  </a:rPr>
                  <a:t> Score</a:t>
                </a:r>
                <a:endParaRPr lang="en-US" sz="1600" b="0">
                  <a:latin typeface="+mj-lt"/>
                </a:endParaRPr>
              </a:p>
            </c:rich>
          </c:tx>
          <c:overlay val="0"/>
        </c:title>
        <c:numFmt formatCode="0.00" sourceLinked="1"/>
        <c:majorTickMark val="out"/>
        <c:minorTickMark val="none"/>
        <c:tickLblPos val="nextTo"/>
        <c:crossAx val="203632000"/>
        <c:crosses val="autoZero"/>
        <c:crossBetween val="between"/>
      </c:valAx>
      <c:spPr>
        <a:gradFill flip="none" rotWithShape="1">
          <a:gsLst>
            <a:gs pos="0">
              <a:srgbClr val="63BE7B"/>
            </a:gs>
            <a:gs pos="50000">
              <a:srgbClr val="FFEB84"/>
            </a:gs>
            <a:gs pos="100000">
              <a:srgbClr val="F8696B"/>
            </a:gs>
          </a:gsLst>
          <a:lin ang="162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b="0" u="sng">
                <a:latin typeface="+mj-lt"/>
              </a:defRPr>
            </a:pPr>
            <a:r>
              <a:rPr lang="en-US" b="0" u="sng">
                <a:latin typeface="+mj-lt"/>
              </a:rPr>
              <a:t>At-Risk Populations</a:t>
            </a:r>
          </a:p>
        </c:rich>
      </c:tx>
      <c:layout>
        <c:manualLayout>
          <c:xMode val="edge"/>
          <c:yMode val="edge"/>
          <c:x val="0.37636858589702443"/>
          <c:y val="1.3244983721297133E-2"/>
        </c:manualLayout>
      </c:layout>
      <c:overlay val="0"/>
    </c:title>
    <c:autoTitleDeleted val="0"/>
    <c:plotArea>
      <c:layout>
        <c:manualLayout>
          <c:layoutTarget val="inner"/>
          <c:xMode val="edge"/>
          <c:yMode val="edge"/>
          <c:x val="9.2855623530330264E-2"/>
          <c:y val="0.10007907481510167"/>
          <c:w val="0.87850741705614022"/>
          <c:h val="0.77165947152780956"/>
        </c:manualLayout>
      </c:layout>
      <c:scatterChart>
        <c:scatterStyle val="lineMarker"/>
        <c:varyColors val="0"/>
        <c:ser>
          <c:idx val="0"/>
          <c:order val="0"/>
          <c:tx>
            <c:strRef>
              <c:f>Hazard3!$C$793</c:f>
              <c:strCache>
                <c:ptCount val="1"/>
                <c:pt idx="0">
                  <c:v>Poverty</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Hazard3!$J$795</c:f>
              <c:numCache>
                <c:formatCode>General</c:formatCode>
                <c:ptCount val="1"/>
                <c:pt idx="0">
                  <c:v>0</c:v>
                </c:pt>
              </c:numCache>
            </c:numRef>
          </c:xVal>
          <c:yVal>
            <c:numRef>
              <c:f>Hazard3!$J$794</c:f>
              <c:numCache>
                <c:formatCode>General</c:formatCode>
                <c:ptCount val="1"/>
                <c:pt idx="0">
                  <c:v>0</c:v>
                </c:pt>
              </c:numCache>
            </c:numRef>
          </c:yVal>
          <c:smooth val="0"/>
          <c:extLst>
            <c:ext xmlns:c16="http://schemas.microsoft.com/office/drawing/2014/chart" uri="{C3380CC4-5D6E-409C-BE32-E72D297353CC}">
              <c16:uniqueId val="{00000000-CF47-42B8-B5C7-F49472FD4737}"/>
            </c:ext>
          </c:extLst>
        </c:ser>
        <c:ser>
          <c:idx val="1"/>
          <c:order val="1"/>
          <c:tx>
            <c:strRef>
              <c:f>Hazard3!$C$797</c:f>
              <c:strCache>
                <c:ptCount val="1"/>
                <c:pt idx="0">
                  <c:v>Chronic Diseases (Diabetes)</c:v>
                </c:pt>
              </c:strCache>
            </c:strRef>
          </c:tx>
          <c:spPr>
            <a:ln w="66675">
              <a:noFill/>
            </a:ln>
          </c:spPr>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CF47-42B8-B5C7-F49472FD4737}"/>
                </c:ext>
              </c:extLst>
            </c:dLbl>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Hazard3!$J$799</c:f>
              <c:numCache>
                <c:formatCode>General</c:formatCode>
                <c:ptCount val="1"/>
                <c:pt idx="0">
                  <c:v>0</c:v>
                </c:pt>
              </c:numCache>
            </c:numRef>
          </c:xVal>
          <c:yVal>
            <c:numRef>
              <c:f>Hazard3!$J$798</c:f>
              <c:numCache>
                <c:formatCode>General</c:formatCode>
                <c:ptCount val="1"/>
                <c:pt idx="0">
                  <c:v>0</c:v>
                </c:pt>
              </c:numCache>
            </c:numRef>
          </c:yVal>
          <c:smooth val="0"/>
          <c:extLst>
            <c:ext xmlns:c16="http://schemas.microsoft.com/office/drawing/2014/chart" uri="{C3380CC4-5D6E-409C-BE32-E72D297353CC}">
              <c16:uniqueId val="{00000002-CF47-42B8-B5C7-F49472FD4737}"/>
            </c:ext>
          </c:extLst>
        </c:ser>
        <c:ser>
          <c:idx val="2"/>
          <c:order val="2"/>
          <c:tx>
            <c:strRef>
              <c:f>Hazard3!$C$801</c:f>
              <c:strCache>
                <c:ptCount val="1"/>
                <c:pt idx="0">
                  <c:v>Children 18 and under</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Hazard3!$J$803</c:f>
              <c:numCache>
                <c:formatCode>General</c:formatCode>
                <c:ptCount val="1"/>
                <c:pt idx="0">
                  <c:v>0</c:v>
                </c:pt>
              </c:numCache>
            </c:numRef>
          </c:xVal>
          <c:yVal>
            <c:numRef>
              <c:f>Hazard3!$J$802</c:f>
              <c:numCache>
                <c:formatCode>General</c:formatCode>
                <c:ptCount val="1"/>
                <c:pt idx="0">
                  <c:v>0</c:v>
                </c:pt>
              </c:numCache>
            </c:numRef>
          </c:yVal>
          <c:smooth val="0"/>
          <c:extLst>
            <c:ext xmlns:c16="http://schemas.microsoft.com/office/drawing/2014/chart" uri="{C3380CC4-5D6E-409C-BE32-E72D297353CC}">
              <c16:uniqueId val="{00000003-CF47-42B8-B5C7-F49472FD4737}"/>
            </c:ext>
          </c:extLst>
        </c:ser>
        <c:ser>
          <c:idx val="3"/>
          <c:order val="3"/>
          <c:tx>
            <c:strRef>
              <c:f>Hazard3!$C$805</c:f>
              <c:strCache>
                <c:ptCount val="1"/>
                <c:pt idx="0">
                  <c:v>Elderly 65 and older</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Hazard3!$J$807</c:f>
              <c:numCache>
                <c:formatCode>General</c:formatCode>
                <c:ptCount val="1"/>
                <c:pt idx="0">
                  <c:v>0</c:v>
                </c:pt>
              </c:numCache>
            </c:numRef>
          </c:xVal>
          <c:yVal>
            <c:numRef>
              <c:f>Hazard3!$J$806</c:f>
              <c:numCache>
                <c:formatCode>General</c:formatCode>
                <c:ptCount val="1"/>
                <c:pt idx="0">
                  <c:v>0</c:v>
                </c:pt>
              </c:numCache>
            </c:numRef>
          </c:yVal>
          <c:smooth val="0"/>
          <c:extLst>
            <c:ext xmlns:c16="http://schemas.microsoft.com/office/drawing/2014/chart" uri="{C3380CC4-5D6E-409C-BE32-E72D297353CC}">
              <c16:uniqueId val="{00000004-CF47-42B8-B5C7-F49472FD4737}"/>
            </c:ext>
          </c:extLst>
        </c:ser>
        <c:ser>
          <c:idx val="4"/>
          <c:order val="4"/>
          <c:tx>
            <c:strRef>
              <c:f>Hazard3!$C$773</c:f>
              <c:strCache>
                <c:ptCount val="1"/>
                <c:pt idx="0">
                  <c:v>Hearing Disability</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Hazard3!$J$775</c:f>
              <c:numCache>
                <c:formatCode>General</c:formatCode>
                <c:ptCount val="1"/>
                <c:pt idx="0">
                  <c:v>0</c:v>
                </c:pt>
              </c:numCache>
            </c:numRef>
          </c:xVal>
          <c:yVal>
            <c:numRef>
              <c:f>Hazard3!$J$774</c:f>
              <c:numCache>
                <c:formatCode>General</c:formatCode>
                <c:ptCount val="1"/>
                <c:pt idx="0">
                  <c:v>0</c:v>
                </c:pt>
              </c:numCache>
            </c:numRef>
          </c:yVal>
          <c:smooth val="0"/>
          <c:extLst>
            <c:ext xmlns:c16="http://schemas.microsoft.com/office/drawing/2014/chart" uri="{C3380CC4-5D6E-409C-BE32-E72D297353CC}">
              <c16:uniqueId val="{00000005-CF47-42B8-B5C7-F49472FD4737}"/>
            </c:ext>
          </c:extLst>
        </c:ser>
        <c:ser>
          <c:idx val="5"/>
          <c:order val="5"/>
          <c:tx>
            <c:strRef>
              <c:f>Hazard3!$C$777</c:f>
              <c:strCache>
                <c:ptCount val="1"/>
                <c:pt idx="0">
                  <c:v>Vision Disability</c:v>
                </c:pt>
              </c:strCache>
            </c:strRef>
          </c:tx>
          <c:spPr>
            <a:ln w="66675">
              <a:noFill/>
            </a:ln>
          </c:spPr>
          <c:dLbls>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Hazard3!$J$779</c:f>
              <c:numCache>
                <c:formatCode>General</c:formatCode>
                <c:ptCount val="1"/>
                <c:pt idx="0">
                  <c:v>0</c:v>
                </c:pt>
              </c:numCache>
            </c:numRef>
          </c:xVal>
          <c:yVal>
            <c:numRef>
              <c:f>Hazard3!$J$778</c:f>
              <c:numCache>
                <c:formatCode>General</c:formatCode>
                <c:ptCount val="1"/>
                <c:pt idx="0">
                  <c:v>0</c:v>
                </c:pt>
              </c:numCache>
            </c:numRef>
          </c:yVal>
          <c:smooth val="0"/>
          <c:extLst>
            <c:ext xmlns:c16="http://schemas.microsoft.com/office/drawing/2014/chart" uri="{C3380CC4-5D6E-409C-BE32-E72D297353CC}">
              <c16:uniqueId val="{00000006-CF47-42B8-B5C7-F49472FD4737}"/>
            </c:ext>
          </c:extLst>
        </c:ser>
        <c:ser>
          <c:idx val="6"/>
          <c:order val="6"/>
          <c:tx>
            <c:strRef>
              <c:f>Hazard3!$C$781</c:f>
              <c:strCache>
                <c:ptCount val="1"/>
                <c:pt idx="0">
                  <c:v>Ambulatory Disability</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Hazard3!$J$783</c:f>
              <c:numCache>
                <c:formatCode>General</c:formatCode>
                <c:ptCount val="1"/>
                <c:pt idx="0">
                  <c:v>0</c:v>
                </c:pt>
              </c:numCache>
            </c:numRef>
          </c:xVal>
          <c:yVal>
            <c:numRef>
              <c:f>Hazard3!$J$782</c:f>
              <c:numCache>
                <c:formatCode>General</c:formatCode>
                <c:ptCount val="1"/>
                <c:pt idx="0">
                  <c:v>0</c:v>
                </c:pt>
              </c:numCache>
            </c:numRef>
          </c:yVal>
          <c:smooth val="0"/>
          <c:extLst>
            <c:ext xmlns:c16="http://schemas.microsoft.com/office/drawing/2014/chart" uri="{C3380CC4-5D6E-409C-BE32-E72D297353CC}">
              <c16:uniqueId val="{00000007-CF47-42B8-B5C7-F49472FD4737}"/>
            </c:ext>
          </c:extLst>
        </c:ser>
        <c:ser>
          <c:idx val="7"/>
          <c:order val="7"/>
          <c:tx>
            <c:strRef>
              <c:f>Hazard3!$C$785</c:f>
              <c:strCache>
                <c:ptCount val="1"/>
                <c:pt idx="0">
                  <c:v>Cognitive Disability</c:v>
                </c:pt>
              </c:strCache>
            </c:strRef>
          </c:tx>
          <c:spPr>
            <a:ln w="66675">
              <a:noFill/>
            </a:ln>
          </c:spPr>
          <c:dLbls>
            <c:dLbl>
              <c:idx val="0"/>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CF47-42B8-B5C7-F49472FD4737}"/>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Hazard3!$J$787</c:f>
              <c:numCache>
                <c:formatCode>General</c:formatCode>
                <c:ptCount val="1"/>
                <c:pt idx="0">
                  <c:v>0</c:v>
                </c:pt>
              </c:numCache>
            </c:numRef>
          </c:xVal>
          <c:yVal>
            <c:numRef>
              <c:f>Hazard3!$J$786</c:f>
              <c:numCache>
                <c:formatCode>General</c:formatCode>
                <c:ptCount val="1"/>
                <c:pt idx="0">
                  <c:v>0</c:v>
                </c:pt>
              </c:numCache>
            </c:numRef>
          </c:yVal>
          <c:smooth val="0"/>
          <c:extLst>
            <c:ext xmlns:c16="http://schemas.microsoft.com/office/drawing/2014/chart" uri="{C3380CC4-5D6E-409C-BE32-E72D297353CC}">
              <c16:uniqueId val="{00000009-CF47-42B8-B5C7-F49472FD4737}"/>
            </c:ext>
          </c:extLst>
        </c:ser>
        <c:ser>
          <c:idx val="8"/>
          <c:order val="8"/>
          <c:tx>
            <c:strRef>
              <c:f>Hazard3!$C$789</c:f>
              <c:strCache>
                <c:ptCount val="1"/>
                <c:pt idx="0">
                  <c:v>Limited English Proficiency</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Hazard3!$J$791</c:f>
              <c:numCache>
                <c:formatCode>General</c:formatCode>
                <c:ptCount val="1"/>
                <c:pt idx="0">
                  <c:v>0</c:v>
                </c:pt>
              </c:numCache>
            </c:numRef>
          </c:xVal>
          <c:yVal>
            <c:numRef>
              <c:f>Hazard3!$J$790</c:f>
              <c:numCache>
                <c:formatCode>General</c:formatCode>
                <c:ptCount val="1"/>
                <c:pt idx="0">
                  <c:v>0</c:v>
                </c:pt>
              </c:numCache>
            </c:numRef>
          </c:yVal>
          <c:smooth val="0"/>
          <c:extLst>
            <c:ext xmlns:c16="http://schemas.microsoft.com/office/drawing/2014/chart" uri="{C3380CC4-5D6E-409C-BE32-E72D297353CC}">
              <c16:uniqueId val="{0000000A-CF47-42B8-B5C7-F49472FD4737}"/>
            </c:ext>
          </c:extLst>
        </c:ser>
        <c:dLbls>
          <c:showLegendKey val="0"/>
          <c:showVal val="1"/>
          <c:showCatName val="0"/>
          <c:showSerName val="0"/>
          <c:showPercent val="0"/>
          <c:showBubbleSize val="0"/>
        </c:dLbls>
        <c:axId val="203869184"/>
        <c:axId val="203752576"/>
      </c:scatterChart>
      <c:valAx>
        <c:axId val="203869184"/>
        <c:scaling>
          <c:orientation val="minMax"/>
          <c:max val="4.5"/>
          <c:min val="0"/>
        </c:scaling>
        <c:delete val="0"/>
        <c:axPos val="b"/>
        <c:majorGridlines/>
        <c:title>
          <c:tx>
            <c:rich>
              <a:bodyPr/>
              <a:lstStyle/>
              <a:p>
                <a:pPr>
                  <a:defRPr b="0">
                    <a:latin typeface="+mj-lt"/>
                  </a:defRPr>
                </a:pPr>
                <a:r>
                  <a:rPr lang="en-US" sz="1600" b="0">
                    <a:latin typeface="+mj-lt"/>
                  </a:rPr>
                  <a:t>Access Planning Score</a:t>
                </a:r>
              </a:p>
            </c:rich>
          </c:tx>
          <c:overlay val="0"/>
        </c:title>
        <c:numFmt formatCode="General" sourceLinked="1"/>
        <c:majorTickMark val="out"/>
        <c:minorTickMark val="none"/>
        <c:tickLblPos val="nextTo"/>
        <c:spPr>
          <a:ln>
            <a:solidFill>
              <a:schemeClr val="tx1"/>
            </a:solidFill>
          </a:ln>
        </c:spPr>
        <c:crossAx val="203752576"/>
        <c:crosses val="autoZero"/>
        <c:crossBetween val="midCat"/>
        <c:majorUnit val="1"/>
        <c:minorUnit val="0.1"/>
      </c:valAx>
      <c:valAx>
        <c:axId val="203752576"/>
        <c:scaling>
          <c:orientation val="minMax"/>
          <c:max val="4.5"/>
          <c:min val="0"/>
        </c:scaling>
        <c:delete val="0"/>
        <c:axPos val="l"/>
        <c:majorGridlines/>
        <c:title>
          <c:tx>
            <c:rich>
              <a:bodyPr rot="-5400000" vert="horz"/>
              <a:lstStyle/>
              <a:p>
                <a:pPr>
                  <a:defRPr sz="1600" b="0">
                    <a:latin typeface="+mj-lt"/>
                  </a:defRPr>
                </a:pPr>
                <a:r>
                  <a:rPr lang="en-US" sz="1600" b="0">
                    <a:latin typeface="+mj-lt"/>
                  </a:rPr>
                  <a:t>Population Size Score</a:t>
                </a:r>
              </a:p>
            </c:rich>
          </c:tx>
          <c:overlay val="0"/>
        </c:title>
        <c:numFmt formatCode="General" sourceLinked="1"/>
        <c:majorTickMark val="out"/>
        <c:minorTickMark val="none"/>
        <c:tickLblPos val="nextTo"/>
        <c:spPr>
          <a:ln>
            <a:solidFill>
              <a:schemeClr val="tx1"/>
            </a:solidFill>
          </a:ln>
        </c:spPr>
        <c:crossAx val="203869184"/>
        <c:crosses val="autoZero"/>
        <c:crossBetween val="midCat"/>
        <c:majorUnit val="1"/>
        <c:minorUnit val="0.1"/>
      </c:valAx>
      <c:spPr>
        <a:gradFill flip="none" rotWithShape="1">
          <a:gsLst>
            <a:gs pos="0">
              <a:srgbClr val="63BE7B"/>
            </a:gs>
            <a:gs pos="50000">
              <a:srgbClr val="FFEB84"/>
            </a:gs>
            <a:gs pos="100000">
              <a:srgbClr val="F8696B"/>
            </a:gs>
          </a:gsLst>
          <a:lin ang="189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defRPr b="0" u="sng">
                <a:latin typeface="+mj-lt"/>
              </a:defRPr>
            </a:pPr>
            <a:r>
              <a:rPr lang="en-US" b="0" u="sng">
                <a:latin typeface="+mj-lt"/>
              </a:rPr>
              <a:t>Public Health Preparedness</a:t>
            </a:r>
          </a:p>
        </c:rich>
      </c:tx>
      <c:layout>
        <c:manualLayout>
          <c:xMode val="edge"/>
          <c:yMode val="edge"/>
          <c:x val="0.30532356317913883"/>
          <c:y val="1.3244983721297133E-2"/>
        </c:manualLayout>
      </c:layout>
      <c:overlay val="0"/>
    </c:title>
    <c:autoTitleDeleted val="0"/>
    <c:plotArea>
      <c:layout/>
      <c:scatterChart>
        <c:scatterStyle val="lineMarker"/>
        <c:varyColors val="0"/>
        <c:ser>
          <c:idx val="0"/>
          <c:order val="0"/>
          <c:tx>
            <c:strRef>
              <c:f>Hazard3!$C$853</c:f>
              <c:strCache>
                <c:ptCount val="1"/>
                <c:pt idx="0">
                  <c:v>Info Sharing</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Hazard3!$J$854</c:f>
              <c:strCache>
                <c:ptCount val="1"/>
                <c:pt idx="0">
                  <c:v>Not Calculated</c:v>
                </c:pt>
              </c:strCache>
            </c:strRef>
          </c:xVal>
          <c:yVal>
            <c:numRef>
              <c:f>Hazard3!$J$855</c:f>
              <c:numCache>
                <c:formatCode>General</c:formatCode>
                <c:ptCount val="1"/>
                <c:pt idx="0">
                  <c:v>0</c:v>
                </c:pt>
              </c:numCache>
            </c:numRef>
          </c:yVal>
          <c:smooth val="0"/>
          <c:extLst>
            <c:ext xmlns:c16="http://schemas.microsoft.com/office/drawing/2014/chart" uri="{C3380CC4-5D6E-409C-BE32-E72D297353CC}">
              <c16:uniqueId val="{00000000-EBA4-4DB1-84DE-47D9DEF30F90}"/>
            </c:ext>
          </c:extLst>
        </c:ser>
        <c:ser>
          <c:idx val="1"/>
          <c:order val="1"/>
          <c:tx>
            <c:strRef>
              <c:f>Hazard3!$C$857</c:f>
              <c:strCache>
                <c:ptCount val="1"/>
                <c:pt idx="0">
                  <c:v>Mass Care</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Hazard3!$J$858</c:f>
              <c:strCache>
                <c:ptCount val="1"/>
                <c:pt idx="0">
                  <c:v>Not Calculated</c:v>
                </c:pt>
              </c:strCache>
            </c:strRef>
          </c:xVal>
          <c:yVal>
            <c:numRef>
              <c:f>Hazard3!$J$859</c:f>
              <c:numCache>
                <c:formatCode>General</c:formatCode>
                <c:ptCount val="1"/>
                <c:pt idx="0">
                  <c:v>0</c:v>
                </c:pt>
              </c:numCache>
            </c:numRef>
          </c:yVal>
          <c:smooth val="0"/>
          <c:extLst>
            <c:ext xmlns:c16="http://schemas.microsoft.com/office/drawing/2014/chart" uri="{C3380CC4-5D6E-409C-BE32-E72D297353CC}">
              <c16:uniqueId val="{00000001-EBA4-4DB1-84DE-47D9DEF30F90}"/>
            </c:ext>
          </c:extLst>
        </c:ser>
        <c:ser>
          <c:idx val="2"/>
          <c:order val="2"/>
          <c:tx>
            <c:strRef>
              <c:f>Hazard3!$C$861</c:f>
              <c:strCache>
                <c:ptCount val="1"/>
                <c:pt idx="0">
                  <c:v>MCM Dispens</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Hazard3!$J$862</c:f>
              <c:strCache>
                <c:ptCount val="1"/>
                <c:pt idx="0">
                  <c:v>Not Calculated</c:v>
                </c:pt>
              </c:strCache>
            </c:strRef>
          </c:xVal>
          <c:yVal>
            <c:numRef>
              <c:f>Hazard3!$J$863</c:f>
              <c:numCache>
                <c:formatCode>General</c:formatCode>
                <c:ptCount val="1"/>
                <c:pt idx="0">
                  <c:v>0</c:v>
                </c:pt>
              </c:numCache>
            </c:numRef>
          </c:yVal>
          <c:smooth val="0"/>
          <c:extLst>
            <c:ext xmlns:c16="http://schemas.microsoft.com/office/drawing/2014/chart" uri="{C3380CC4-5D6E-409C-BE32-E72D297353CC}">
              <c16:uniqueId val="{00000002-EBA4-4DB1-84DE-47D9DEF30F90}"/>
            </c:ext>
          </c:extLst>
        </c:ser>
        <c:ser>
          <c:idx val="3"/>
          <c:order val="3"/>
          <c:tx>
            <c:strRef>
              <c:f>Hazard3!$C$865</c:f>
              <c:strCache>
                <c:ptCount val="1"/>
                <c:pt idx="0">
                  <c:v>Med Materiel Mgmt</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Hazard3!$J$866</c:f>
              <c:strCache>
                <c:ptCount val="1"/>
                <c:pt idx="0">
                  <c:v>Not Calculated</c:v>
                </c:pt>
              </c:strCache>
            </c:strRef>
          </c:xVal>
          <c:yVal>
            <c:numRef>
              <c:f>Hazard3!$J$867</c:f>
              <c:numCache>
                <c:formatCode>General</c:formatCode>
                <c:ptCount val="1"/>
                <c:pt idx="0">
                  <c:v>0</c:v>
                </c:pt>
              </c:numCache>
            </c:numRef>
          </c:yVal>
          <c:smooth val="0"/>
          <c:extLst>
            <c:ext xmlns:c16="http://schemas.microsoft.com/office/drawing/2014/chart" uri="{C3380CC4-5D6E-409C-BE32-E72D297353CC}">
              <c16:uniqueId val="{00000003-EBA4-4DB1-84DE-47D9DEF30F90}"/>
            </c:ext>
          </c:extLst>
        </c:ser>
        <c:ser>
          <c:idx val="4"/>
          <c:order val="4"/>
          <c:tx>
            <c:strRef>
              <c:f>Hazard3!$C$869</c:f>
              <c:strCache>
                <c:ptCount val="1"/>
                <c:pt idx="0">
                  <c:v>Medical Surge</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Hazard3!$J$870</c:f>
              <c:strCache>
                <c:ptCount val="1"/>
                <c:pt idx="0">
                  <c:v>Not Calculated</c:v>
                </c:pt>
              </c:strCache>
            </c:strRef>
          </c:xVal>
          <c:yVal>
            <c:numRef>
              <c:f>Hazard3!$J$871</c:f>
              <c:numCache>
                <c:formatCode>General</c:formatCode>
                <c:ptCount val="1"/>
                <c:pt idx="0">
                  <c:v>0</c:v>
                </c:pt>
              </c:numCache>
            </c:numRef>
          </c:yVal>
          <c:smooth val="0"/>
          <c:extLst>
            <c:ext xmlns:c16="http://schemas.microsoft.com/office/drawing/2014/chart" uri="{C3380CC4-5D6E-409C-BE32-E72D297353CC}">
              <c16:uniqueId val="{00000004-EBA4-4DB1-84DE-47D9DEF30F90}"/>
            </c:ext>
          </c:extLst>
        </c:ser>
        <c:ser>
          <c:idx val="5"/>
          <c:order val="5"/>
          <c:tx>
            <c:strRef>
              <c:f>Hazard3!$C$873</c:f>
              <c:strCache>
                <c:ptCount val="1"/>
                <c:pt idx="0">
                  <c:v>Non-Pharm Interv</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Hazard3!$J$874</c:f>
              <c:strCache>
                <c:ptCount val="1"/>
                <c:pt idx="0">
                  <c:v>Not Calculated</c:v>
                </c:pt>
              </c:strCache>
            </c:strRef>
          </c:xVal>
          <c:yVal>
            <c:numRef>
              <c:f>Hazard3!$J$875</c:f>
              <c:numCache>
                <c:formatCode>General</c:formatCode>
                <c:ptCount val="1"/>
                <c:pt idx="0">
                  <c:v>0</c:v>
                </c:pt>
              </c:numCache>
            </c:numRef>
          </c:yVal>
          <c:smooth val="0"/>
          <c:extLst>
            <c:ext xmlns:c16="http://schemas.microsoft.com/office/drawing/2014/chart" uri="{C3380CC4-5D6E-409C-BE32-E72D297353CC}">
              <c16:uniqueId val="{00000005-EBA4-4DB1-84DE-47D9DEF30F90}"/>
            </c:ext>
          </c:extLst>
        </c:ser>
        <c:ser>
          <c:idx val="6"/>
          <c:order val="6"/>
          <c:tx>
            <c:strRef>
              <c:f>Hazard3!$C$877</c:f>
              <c:strCache>
                <c:ptCount val="1"/>
                <c:pt idx="0">
                  <c:v>PH Lab Testing</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Hazard3!$J$878</c:f>
              <c:strCache>
                <c:ptCount val="1"/>
                <c:pt idx="0">
                  <c:v>Not Calculated</c:v>
                </c:pt>
              </c:strCache>
            </c:strRef>
          </c:xVal>
          <c:yVal>
            <c:numRef>
              <c:f>Hazard3!$J$879</c:f>
              <c:numCache>
                <c:formatCode>General</c:formatCode>
                <c:ptCount val="1"/>
                <c:pt idx="0">
                  <c:v>0</c:v>
                </c:pt>
              </c:numCache>
            </c:numRef>
          </c:yVal>
          <c:smooth val="0"/>
          <c:extLst>
            <c:ext xmlns:c16="http://schemas.microsoft.com/office/drawing/2014/chart" uri="{C3380CC4-5D6E-409C-BE32-E72D297353CC}">
              <c16:uniqueId val="{00000006-EBA4-4DB1-84DE-47D9DEF30F90}"/>
            </c:ext>
          </c:extLst>
        </c:ser>
        <c:ser>
          <c:idx val="7"/>
          <c:order val="7"/>
          <c:tx>
            <c:strRef>
              <c:f>Hazard3!$C$881</c:f>
              <c:strCache>
                <c:ptCount val="1"/>
                <c:pt idx="0">
                  <c:v>PH Surv &amp; Epi</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Hazard3!$J$882</c:f>
              <c:strCache>
                <c:ptCount val="1"/>
                <c:pt idx="0">
                  <c:v>Not Calculated</c:v>
                </c:pt>
              </c:strCache>
            </c:strRef>
          </c:xVal>
          <c:yVal>
            <c:numRef>
              <c:f>Hazard3!$J$883</c:f>
              <c:numCache>
                <c:formatCode>General</c:formatCode>
                <c:ptCount val="1"/>
                <c:pt idx="0">
                  <c:v>0</c:v>
                </c:pt>
              </c:numCache>
            </c:numRef>
          </c:yVal>
          <c:smooth val="0"/>
          <c:extLst>
            <c:ext xmlns:c16="http://schemas.microsoft.com/office/drawing/2014/chart" uri="{C3380CC4-5D6E-409C-BE32-E72D297353CC}">
              <c16:uniqueId val="{00000007-EBA4-4DB1-84DE-47D9DEF30F90}"/>
            </c:ext>
          </c:extLst>
        </c:ser>
        <c:ser>
          <c:idx val="8"/>
          <c:order val="8"/>
          <c:tx>
            <c:strRef>
              <c:f>Hazard3!$C$885</c:f>
              <c:strCache>
                <c:ptCount val="1"/>
                <c:pt idx="0">
                  <c:v>Responder Safety</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Hazard3!$J$886</c:f>
              <c:strCache>
                <c:ptCount val="1"/>
                <c:pt idx="0">
                  <c:v>Not Calculated</c:v>
                </c:pt>
              </c:strCache>
            </c:strRef>
          </c:xVal>
          <c:yVal>
            <c:numRef>
              <c:f>Hazard3!$J$887</c:f>
              <c:numCache>
                <c:formatCode>General</c:formatCode>
                <c:ptCount val="1"/>
                <c:pt idx="0">
                  <c:v>0</c:v>
                </c:pt>
              </c:numCache>
            </c:numRef>
          </c:yVal>
          <c:smooth val="0"/>
          <c:extLst>
            <c:ext xmlns:c16="http://schemas.microsoft.com/office/drawing/2014/chart" uri="{C3380CC4-5D6E-409C-BE32-E72D297353CC}">
              <c16:uniqueId val="{00000008-EBA4-4DB1-84DE-47D9DEF30F90}"/>
            </c:ext>
          </c:extLst>
        </c:ser>
        <c:ser>
          <c:idx val="9"/>
          <c:order val="9"/>
          <c:tx>
            <c:strRef>
              <c:f>Hazard3!$C$889</c:f>
              <c:strCache>
                <c:ptCount val="1"/>
                <c:pt idx="0">
                  <c:v>Volunteer Mgmt</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Hazard3!$J$890</c:f>
              <c:strCache>
                <c:ptCount val="1"/>
                <c:pt idx="0">
                  <c:v>Not Calculated</c:v>
                </c:pt>
              </c:strCache>
            </c:strRef>
          </c:xVal>
          <c:yVal>
            <c:numRef>
              <c:f>Hazard3!$J$891</c:f>
              <c:numCache>
                <c:formatCode>General</c:formatCode>
                <c:ptCount val="1"/>
                <c:pt idx="0">
                  <c:v>0</c:v>
                </c:pt>
              </c:numCache>
            </c:numRef>
          </c:yVal>
          <c:smooth val="0"/>
          <c:extLst>
            <c:ext xmlns:c16="http://schemas.microsoft.com/office/drawing/2014/chart" uri="{C3380CC4-5D6E-409C-BE32-E72D297353CC}">
              <c16:uniqueId val="{00000009-EBA4-4DB1-84DE-47D9DEF30F90}"/>
            </c:ext>
          </c:extLst>
        </c:ser>
        <c:ser>
          <c:idx val="10"/>
          <c:order val="10"/>
          <c:tx>
            <c:strRef>
              <c:f>Hazard3!$C$833</c:f>
              <c:strCache>
                <c:ptCount val="1"/>
                <c:pt idx="0">
                  <c:v>Community Prep</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Hazard3!$J$834</c:f>
              <c:strCache>
                <c:ptCount val="1"/>
                <c:pt idx="0">
                  <c:v>Not Calculated</c:v>
                </c:pt>
              </c:strCache>
            </c:strRef>
          </c:xVal>
          <c:yVal>
            <c:numRef>
              <c:f>Hazard3!$J$835</c:f>
              <c:numCache>
                <c:formatCode>General</c:formatCode>
                <c:ptCount val="1"/>
                <c:pt idx="0">
                  <c:v>0</c:v>
                </c:pt>
              </c:numCache>
            </c:numRef>
          </c:yVal>
          <c:smooth val="0"/>
          <c:extLst>
            <c:ext xmlns:c16="http://schemas.microsoft.com/office/drawing/2014/chart" uri="{C3380CC4-5D6E-409C-BE32-E72D297353CC}">
              <c16:uniqueId val="{0000000A-EBA4-4DB1-84DE-47D9DEF30F90}"/>
            </c:ext>
          </c:extLst>
        </c:ser>
        <c:ser>
          <c:idx val="11"/>
          <c:order val="11"/>
          <c:tx>
            <c:strRef>
              <c:f>Hazard3!$C$837</c:f>
              <c:strCache>
                <c:ptCount val="1"/>
                <c:pt idx="0">
                  <c:v>Community Recov</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Hazard3!$J$838</c:f>
              <c:strCache>
                <c:ptCount val="1"/>
                <c:pt idx="0">
                  <c:v>Not Calculated</c:v>
                </c:pt>
              </c:strCache>
            </c:strRef>
          </c:xVal>
          <c:yVal>
            <c:numRef>
              <c:f>Hazard3!$J$839</c:f>
              <c:numCache>
                <c:formatCode>General</c:formatCode>
                <c:ptCount val="1"/>
                <c:pt idx="0">
                  <c:v>0</c:v>
                </c:pt>
              </c:numCache>
            </c:numRef>
          </c:yVal>
          <c:smooth val="0"/>
          <c:extLst>
            <c:ext xmlns:c16="http://schemas.microsoft.com/office/drawing/2014/chart" uri="{C3380CC4-5D6E-409C-BE32-E72D297353CC}">
              <c16:uniqueId val="{0000000B-EBA4-4DB1-84DE-47D9DEF30F90}"/>
            </c:ext>
          </c:extLst>
        </c:ser>
        <c:ser>
          <c:idx val="12"/>
          <c:order val="12"/>
          <c:tx>
            <c:strRef>
              <c:f>Hazard3!$C$841</c:f>
              <c:strCache>
                <c:ptCount val="1"/>
                <c:pt idx="0">
                  <c:v>Emerg Ops Coord</c:v>
                </c:pt>
              </c:strCache>
            </c:strRef>
          </c:tx>
          <c:spPr>
            <a:ln w="66675">
              <a:noFill/>
            </a:ln>
          </c:spPr>
          <c:dLbls>
            <c:spPr>
              <a:noFill/>
              <a:ln>
                <a:noFill/>
              </a:ln>
              <a:effectLst/>
            </c:sp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Hazard3!$J$842</c:f>
              <c:strCache>
                <c:ptCount val="1"/>
                <c:pt idx="0">
                  <c:v>Not Calculated</c:v>
                </c:pt>
              </c:strCache>
            </c:strRef>
          </c:xVal>
          <c:yVal>
            <c:numRef>
              <c:f>Hazard3!$J$843</c:f>
              <c:numCache>
                <c:formatCode>General</c:formatCode>
                <c:ptCount val="1"/>
                <c:pt idx="0">
                  <c:v>0</c:v>
                </c:pt>
              </c:numCache>
            </c:numRef>
          </c:yVal>
          <c:smooth val="0"/>
          <c:extLst>
            <c:ext xmlns:c16="http://schemas.microsoft.com/office/drawing/2014/chart" uri="{C3380CC4-5D6E-409C-BE32-E72D297353CC}">
              <c16:uniqueId val="{0000000C-EBA4-4DB1-84DE-47D9DEF30F90}"/>
            </c:ext>
          </c:extLst>
        </c:ser>
        <c:ser>
          <c:idx val="13"/>
          <c:order val="13"/>
          <c:tx>
            <c:strRef>
              <c:f>Hazard3!$C$845</c:f>
              <c:strCache>
                <c:ptCount val="1"/>
                <c:pt idx="0">
                  <c:v>Emerg Public Info</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Hazard3!$J$846</c:f>
              <c:strCache>
                <c:ptCount val="1"/>
                <c:pt idx="0">
                  <c:v>Not Calculated</c:v>
                </c:pt>
              </c:strCache>
            </c:strRef>
          </c:xVal>
          <c:yVal>
            <c:numRef>
              <c:f>Hazard3!$J$847</c:f>
              <c:numCache>
                <c:formatCode>General</c:formatCode>
                <c:ptCount val="1"/>
                <c:pt idx="0">
                  <c:v>0</c:v>
                </c:pt>
              </c:numCache>
            </c:numRef>
          </c:yVal>
          <c:smooth val="0"/>
          <c:extLst>
            <c:ext xmlns:c16="http://schemas.microsoft.com/office/drawing/2014/chart" uri="{C3380CC4-5D6E-409C-BE32-E72D297353CC}">
              <c16:uniqueId val="{0000000D-EBA4-4DB1-84DE-47D9DEF30F90}"/>
            </c:ext>
          </c:extLst>
        </c:ser>
        <c:ser>
          <c:idx val="14"/>
          <c:order val="14"/>
          <c:tx>
            <c:strRef>
              <c:f>Drought!$C$964</c:f>
              <c:strCache>
                <c:ptCount val="1"/>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Drought!$J$965</c:f>
            </c:numRef>
          </c:xVal>
          <c:yVal>
            <c:numRef>
              <c:f>Drought!$J$966</c:f>
            </c:numRef>
          </c:yVal>
          <c:smooth val="0"/>
          <c:extLst>
            <c:ext xmlns:c16="http://schemas.microsoft.com/office/drawing/2014/chart" uri="{C3380CC4-5D6E-409C-BE32-E72D297353CC}">
              <c16:uniqueId val="{0000000E-EBA4-4DB1-84DE-47D9DEF30F90}"/>
            </c:ext>
          </c:extLst>
        </c:ser>
        <c:ser>
          <c:idx val="15"/>
          <c:order val="15"/>
          <c:tx>
            <c:strRef>
              <c:f>Hazard3!$C$849</c:f>
              <c:strCache>
                <c:ptCount val="1"/>
                <c:pt idx="0">
                  <c:v>Fatality Mgmt</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Hazard3!$J$850</c:f>
              <c:strCache>
                <c:ptCount val="1"/>
                <c:pt idx="0">
                  <c:v>Not Calculated</c:v>
                </c:pt>
              </c:strCache>
            </c:strRef>
          </c:xVal>
          <c:yVal>
            <c:numRef>
              <c:f>Hazard3!$J$851</c:f>
              <c:numCache>
                <c:formatCode>General</c:formatCode>
                <c:ptCount val="1"/>
                <c:pt idx="0">
                  <c:v>0</c:v>
                </c:pt>
              </c:numCache>
            </c:numRef>
          </c:yVal>
          <c:smooth val="0"/>
          <c:extLst>
            <c:ext xmlns:c16="http://schemas.microsoft.com/office/drawing/2014/chart" uri="{C3380CC4-5D6E-409C-BE32-E72D297353CC}">
              <c16:uniqueId val="{0000000F-EBA4-4DB1-84DE-47D9DEF30F90}"/>
            </c:ext>
          </c:extLst>
        </c:ser>
        <c:dLbls>
          <c:showLegendKey val="0"/>
          <c:showVal val="1"/>
          <c:showCatName val="0"/>
          <c:showSerName val="0"/>
          <c:showPercent val="0"/>
          <c:showBubbleSize val="0"/>
        </c:dLbls>
        <c:axId val="203955200"/>
        <c:axId val="203977856"/>
      </c:scatterChart>
      <c:valAx>
        <c:axId val="203955200"/>
        <c:scaling>
          <c:orientation val="minMax"/>
          <c:max val="4.5"/>
          <c:min val="0"/>
        </c:scaling>
        <c:delete val="0"/>
        <c:axPos val="b"/>
        <c:majorGridlines/>
        <c:title>
          <c:tx>
            <c:rich>
              <a:bodyPr/>
              <a:lstStyle/>
              <a:p>
                <a:pPr>
                  <a:defRPr b="0">
                    <a:latin typeface="+mj-lt"/>
                  </a:defRPr>
                </a:pPr>
                <a:r>
                  <a:rPr lang="en-US" sz="1600" b="0">
                    <a:latin typeface="+mj-lt"/>
                  </a:rPr>
                  <a:t>Capability Relevance to Hazard</a:t>
                </a:r>
              </a:p>
            </c:rich>
          </c:tx>
          <c:overlay val="0"/>
        </c:title>
        <c:numFmt formatCode="General" sourceLinked="1"/>
        <c:majorTickMark val="out"/>
        <c:minorTickMark val="none"/>
        <c:tickLblPos val="nextTo"/>
        <c:spPr>
          <a:ln>
            <a:solidFill>
              <a:schemeClr val="tx1"/>
            </a:solidFill>
          </a:ln>
        </c:spPr>
        <c:crossAx val="203977856"/>
        <c:crosses val="autoZero"/>
        <c:crossBetween val="midCat"/>
        <c:majorUnit val="1"/>
        <c:minorUnit val="0.1"/>
      </c:valAx>
      <c:valAx>
        <c:axId val="203977856"/>
        <c:scaling>
          <c:orientation val="minMax"/>
          <c:max val="4.5"/>
          <c:min val="0"/>
        </c:scaling>
        <c:delete val="0"/>
        <c:axPos val="l"/>
        <c:majorGridlines/>
        <c:title>
          <c:tx>
            <c:rich>
              <a:bodyPr rot="-5400000" vert="horz"/>
              <a:lstStyle/>
              <a:p>
                <a:pPr>
                  <a:defRPr sz="1600" b="0">
                    <a:latin typeface="+mj-lt"/>
                  </a:defRPr>
                </a:pPr>
                <a:r>
                  <a:rPr lang="en-US" sz="1600" b="0">
                    <a:latin typeface="+mj-lt"/>
                  </a:rPr>
                  <a:t>Capability Status</a:t>
                </a:r>
              </a:p>
            </c:rich>
          </c:tx>
          <c:overlay val="0"/>
        </c:title>
        <c:numFmt formatCode="General" sourceLinked="1"/>
        <c:majorTickMark val="out"/>
        <c:minorTickMark val="none"/>
        <c:tickLblPos val="nextTo"/>
        <c:spPr>
          <a:ln>
            <a:solidFill>
              <a:schemeClr val="tx1"/>
            </a:solidFill>
          </a:ln>
        </c:spPr>
        <c:crossAx val="203955200"/>
        <c:crosses val="autoZero"/>
        <c:crossBetween val="midCat"/>
        <c:majorUnit val="1"/>
        <c:minorUnit val="0.1"/>
      </c:valAx>
      <c:spPr>
        <a:gradFill flip="none" rotWithShape="1">
          <a:gsLst>
            <a:gs pos="0">
              <a:srgbClr val="63BE7B"/>
            </a:gs>
            <a:gs pos="50000">
              <a:srgbClr val="FFEB84"/>
            </a:gs>
            <a:gs pos="100000">
              <a:srgbClr val="F8696B"/>
            </a:gs>
          </a:gsLst>
          <a:lin ang="27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defRPr b="0" u="sng">
                <a:latin typeface="+mj-lt"/>
              </a:defRPr>
            </a:pPr>
            <a:r>
              <a:rPr lang="en-US" b="0" u="sng">
                <a:latin typeface="+mj-lt"/>
              </a:rPr>
              <a:t>Healthcare Preparedness</a:t>
            </a:r>
          </a:p>
        </c:rich>
      </c:tx>
      <c:layout>
        <c:manualLayout>
          <c:xMode val="edge"/>
          <c:yMode val="edge"/>
          <c:x val="0.38019690321630645"/>
          <c:y val="1.3244983721297133E-2"/>
        </c:manualLayout>
      </c:layout>
      <c:overlay val="0"/>
    </c:title>
    <c:autoTitleDeleted val="0"/>
    <c:plotArea>
      <c:layout/>
      <c:scatterChart>
        <c:scatterStyle val="lineMarker"/>
        <c:varyColors val="0"/>
        <c:ser>
          <c:idx val="0"/>
          <c:order val="0"/>
          <c:tx>
            <c:strRef>
              <c:f>Hazard3!$C$903</c:f>
              <c:strCache>
                <c:ptCount val="1"/>
                <c:pt idx="0">
                  <c:v>HC System Prep</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Hazard3!$J$904</c:f>
              <c:strCache>
                <c:ptCount val="1"/>
                <c:pt idx="0">
                  <c:v>Not Calculated</c:v>
                </c:pt>
              </c:strCache>
            </c:strRef>
          </c:xVal>
          <c:yVal>
            <c:numRef>
              <c:f>Hazard3!$J$905</c:f>
              <c:numCache>
                <c:formatCode>General</c:formatCode>
                <c:ptCount val="1"/>
                <c:pt idx="0">
                  <c:v>0</c:v>
                </c:pt>
              </c:numCache>
            </c:numRef>
          </c:yVal>
          <c:smooth val="0"/>
          <c:extLst>
            <c:ext xmlns:c16="http://schemas.microsoft.com/office/drawing/2014/chart" uri="{C3380CC4-5D6E-409C-BE32-E72D297353CC}">
              <c16:uniqueId val="{00000000-32B4-433D-AC28-0F38BFCD8DB1}"/>
            </c:ext>
          </c:extLst>
        </c:ser>
        <c:ser>
          <c:idx val="1"/>
          <c:order val="1"/>
          <c:tx>
            <c:strRef>
              <c:f>Hazard3!$C$907</c:f>
              <c:strCache>
                <c:ptCount val="1"/>
                <c:pt idx="0">
                  <c:v>HC System Recov</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Hazard3!$J$908</c:f>
              <c:strCache>
                <c:ptCount val="1"/>
                <c:pt idx="0">
                  <c:v>Not Calculated</c:v>
                </c:pt>
              </c:strCache>
            </c:strRef>
          </c:xVal>
          <c:yVal>
            <c:numRef>
              <c:f>Hazard3!$J$909</c:f>
              <c:numCache>
                <c:formatCode>General</c:formatCode>
                <c:ptCount val="1"/>
                <c:pt idx="0">
                  <c:v>0</c:v>
                </c:pt>
              </c:numCache>
            </c:numRef>
          </c:yVal>
          <c:smooth val="0"/>
          <c:extLst>
            <c:ext xmlns:c16="http://schemas.microsoft.com/office/drawing/2014/chart" uri="{C3380CC4-5D6E-409C-BE32-E72D297353CC}">
              <c16:uniqueId val="{00000001-32B4-433D-AC28-0F38BFCD8DB1}"/>
            </c:ext>
          </c:extLst>
        </c:ser>
        <c:ser>
          <c:idx val="2"/>
          <c:order val="2"/>
          <c:tx>
            <c:strRef>
              <c:f>Hazard3!$C$911</c:f>
              <c:strCache>
                <c:ptCount val="1"/>
                <c:pt idx="0">
                  <c:v>Emerg Ops Coord</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Hazard3!$J$912</c:f>
              <c:strCache>
                <c:ptCount val="1"/>
                <c:pt idx="0">
                  <c:v>Not Calculated</c:v>
                </c:pt>
              </c:strCache>
            </c:strRef>
          </c:xVal>
          <c:yVal>
            <c:numRef>
              <c:f>Hazard3!$J$913</c:f>
              <c:numCache>
                <c:formatCode>General</c:formatCode>
                <c:ptCount val="1"/>
                <c:pt idx="0">
                  <c:v>0</c:v>
                </c:pt>
              </c:numCache>
            </c:numRef>
          </c:yVal>
          <c:smooth val="0"/>
          <c:extLst>
            <c:ext xmlns:c16="http://schemas.microsoft.com/office/drawing/2014/chart" uri="{C3380CC4-5D6E-409C-BE32-E72D297353CC}">
              <c16:uniqueId val="{00000002-32B4-433D-AC28-0F38BFCD8DB1}"/>
            </c:ext>
          </c:extLst>
        </c:ser>
        <c:ser>
          <c:idx val="3"/>
          <c:order val="3"/>
          <c:tx>
            <c:strRef>
              <c:f>Hazard3!$C$915</c:f>
              <c:strCache>
                <c:ptCount val="1"/>
                <c:pt idx="0">
                  <c:v>Fatality Mgmt</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Hazard3!$J$916</c:f>
              <c:strCache>
                <c:ptCount val="1"/>
                <c:pt idx="0">
                  <c:v>Not Calculated</c:v>
                </c:pt>
              </c:strCache>
            </c:strRef>
          </c:xVal>
          <c:yVal>
            <c:numRef>
              <c:f>Hazard3!$J$917</c:f>
              <c:numCache>
                <c:formatCode>General</c:formatCode>
                <c:ptCount val="1"/>
                <c:pt idx="0">
                  <c:v>0</c:v>
                </c:pt>
              </c:numCache>
            </c:numRef>
          </c:yVal>
          <c:smooth val="0"/>
          <c:extLst>
            <c:ext xmlns:c16="http://schemas.microsoft.com/office/drawing/2014/chart" uri="{C3380CC4-5D6E-409C-BE32-E72D297353CC}">
              <c16:uniqueId val="{00000003-32B4-433D-AC28-0F38BFCD8DB1}"/>
            </c:ext>
          </c:extLst>
        </c:ser>
        <c:ser>
          <c:idx val="4"/>
          <c:order val="4"/>
          <c:tx>
            <c:strRef>
              <c:f>Hazard3!$C$919</c:f>
              <c:strCache>
                <c:ptCount val="1"/>
                <c:pt idx="0">
                  <c:v>Info Sharing</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Hazard3!$J$920</c:f>
              <c:strCache>
                <c:ptCount val="1"/>
                <c:pt idx="0">
                  <c:v>Not Calculated</c:v>
                </c:pt>
              </c:strCache>
            </c:strRef>
          </c:xVal>
          <c:yVal>
            <c:numRef>
              <c:f>Hazard3!$J$921</c:f>
              <c:numCache>
                <c:formatCode>General</c:formatCode>
                <c:ptCount val="1"/>
                <c:pt idx="0">
                  <c:v>0</c:v>
                </c:pt>
              </c:numCache>
            </c:numRef>
          </c:yVal>
          <c:smooth val="0"/>
          <c:extLst>
            <c:ext xmlns:c16="http://schemas.microsoft.com/office/drawing/2014/chart" uri="{C3380CC4-5D6E-409C-BE32-E72D297353CC}">
              <c16:uniqueId val="{00000004-32B4-433D-AC28-0F38BFCD8DB1}"/>
            </c:ext>
          </c:extLst>
        </c:ser>
        <c:ser>
          <c:idx val="5"/>
          <c:order val="5"/>
          <c:tx>
            <c:strRef>
              <c:f>Hazard3!$C$923</c:f>
              <c:strCache>
                <c:ptCount val="1"/>
                <c:pt idx="0">
                  <c:v>Medical Surge</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Hazard3!$J$924</c:f>
              <c:strCache>
                <c:ptCount val="1"/>
                <c:pt idx="0">
                  <c:v>Not Calculated</c:v>
                </c:pt>
              </c:strCache>
            </c:strRef>
          </c:xVal>
          <c:yVal>
            <c:numRef>
              <c:f>Hazard3!$J$925</c:f>
              <c:numCache>
                <c:formatCode>General</c:formatCode>
                <c:ptCount val="1"/>
                <c:pt idx="0">
                  <c:v>0</c:v>
                </c:pt>
              </c:numCache>
            </c:numRef>
          </c:yVal>
          <c:smooth val="0"/>
          <c:extLst>
            <c:ext xmlns:c16="http://schemas.microsoft.com/office/drawing/2014/chart" uri="{C3380CC4-5D6E-409C-BE32-E72D297353CC}">
              <c16:uniqueId val="{00000005-32B4-433D-AC28-0F38BFCD8DB1}"/>
            </c:ext>
          </c:extLst>
        </c:ser>
        <c:ser>
          <c:idx val="6"/>
          <c:order val="6"/>
          <c:tx>
            <c:strRef>
              <c:f>Hazard3!$C$927</c:f>
              <c:strCache>
                <c:ptCount val="1"/>
                <c:pt idx="0">
                  <c:v>Responder Safety</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Hazard3!$J$928</c:f>
              <c:strCache>
                <c:ptCount val="1"/>
                <c:pt idx="0">
                  <c:v>Not Calculated</c:v>
                </c:pt>
              </c:strCache>
            </c:strRef>
          </c:xVal>
          <c:yVal>
            <c:numRef>
              <c:f>Hazard3!$J$929</c:f>
              <c:numCache>
                <c:formatCode>General</c:formatCode>
                <c:ptCount val="1"/>
                <c:pt idx="0">
                  <c:v>0</c:v>
                </c:pt>
              </c:numCache>
            </c:numRef>
          </c:yVal>
          <c:smooth val="0"/>
          <c:extLst>
            <c:ext xmlns:c16="http://schemas.microsoft.com/office/drawing/2014/chart" uri="{C3380CC4-5D6E-409C-BE32-E72D297353CC}">
              <c16:uniqueId val="{00000006-32B4-433D-AC28-0F38BFCD8DB1}"/>
            </c:ext>
          </c:extLst>
        </c:ser>
        <c:ser>
          <c:idx val="7"/>
          <c:order val="7"/>
          <c:tx>
            <c:strRef>
              <c:f>Hazard3!$C$931</c:f>
              <c:strCache>
                <c:ptCount val="1"/>
                <c:pt idx="0">
                  <c:v>Volunteer Mgmt</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Hazard3!$J$932</c:f>
              <c:strCache>
                <c:ptCount val="1"/>
                <c:pt idx="0">
                  <c:v>Not Calculated</c:v>
                </c:pt>
              </c:strCache>
            </c:strRef>
          </c:xVal>
          <c:yVal>
            <c:numRef>
              <c:f>Hazard3!$J$933</c:f>
              <c:numCache>
                <c:formatCode>General</c:formatCode>
                <c:ptCount val="1"/>
                <c:pt idx="0">
                  <c:v>0</c:v>
                </c:pt>
              </c:numCache>
            </c:numRef>
          </c:yVal>
          <c:smooth val="0"/>
          <c:extLst>
            <c:ext xmlns:c16="http://schemas.microsoft.com/office/drawing/2014/chart" uri="{C3380CC4-5D6E-409C-BE32-E72D297353CC}">
              <c16:uniqueId val="{00000007-32B4-433D-AC28-0F38BFCD8DB1}"/>
            </c:ext>
          </c:extLst>
        </c:ser>
        <c:ser>
          <c:idx val="14"/>
          <c:order val="8"/>
          <c:tx>
            <c:strRef>
              <c:f>Drought!$C$964</c:f>
              <c:strCache>
                <c:ptCount val="1"/>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Drought!$J$965</c:f>
            </c:numRef>
          </c:xVal>
          <c:yVal>
            <c:numRef>
              <c:f>Drought!$J$966</c:f>
            </c:numRef>
          </c:yVal>
          <c:smooth val="0"/>
          <c:extLst>
            <c:ext xmlns:c16="http://schemas.microsoft.com/office/drawing/2014/chart" uri="{C3380CC4-5D6E-409C-BE32-E72D297353CC}">
              <c16:uniqueId val="{00000008-32B4-433D-AC28-0F38BFCD8DB1}"/>
            </c:ext>
          </c:extLst>
        </c:ser>
        <c:dLbls>
          <c:showLegendKey val="0"/>
          <c:showVal val="1"/>
          <c:showCatName val="0"/>
          <c:showSerName val="0"/>
          <c:showPercent val="0"/>
          <c:showBubbleSize val="0"/>
        </c:dLbls>
        <c:axId val="204103680"/>
        <c:axId val="204105600"/>
      </c:scatterChart>
      <c:valAx>
        <c:axId val="204103680"/>
        <c:scaling>
          <c:orientation val="minMax"/>
          <c:max val="4.5"/>
          <c:min val="0"/>
        </c:scaling>
        <c:delete val="0"/>
        <c:axPos val="b"/>
        <c:majorGridlines/>
        <c:title>
          <c:tx>
            <c:rich>
              <a:bodyPr/>
              <a:lstStyle/>
              <a:p>
                <a:pPr>
                  <a:defRPr b="0">
                    <a:latin typeface="+mj-lt"/>
                  </a:defRPr>
                </a:pPr>
                <a:r>
                  <a:rPr lang="en-US" sz="1600" b="0">
                    <a:latin typeface="+mj-lt"/>
                  </a:rPr>
                  <a:t>Capability Relevance to Hazard</a:t>
                </a:r>
              </a:p>
            </c:rich>
          </c:tx>
          <c:overlay val="0"/>
        </c:title>
        <c:numFmt formatCode="General" sourceLinked="1"/>
        <c:majorTickMark val="out"/>
        <c:minorTickMark val="none"/>
        <c:tickLblPos val="nextTo"/>
        <c:spPr>
          <a:ln>
            <a:solidFill>
              <a:schemeClr val="tx1"/>
            </a:solidFill>
          </a:ln>
        </c:spPr>
        <c:crossAx val="204105600"/>
        <c:crosses val="autoZero"/>
        <c:crossBetween val="midCat"/>
        <c:majorUnit val="1"/>
        <c:minorUnit val="0.1"/>
      </c:valAx>
      <c:valAx>
        <c:axId val="204105600"/>
        <c:scaling>
          <c:orientation val="minMax"/>
          <c:max val="4.5"/>
          <c:min val="0"/>
        </c:scaling>
        <c:delete val="0"/>
        <c:axPos val="l"/>
        <c:majorGridlines/>
        <c:title>
          <c:tx>
            <c:rich>
              <a:bodyPr rot="-5400000" vert="horz"/>
              <a:lstStyle/>
              <a:p>
                <a:pPr>
                  <a:defRPr sz="1600" b="0">
                    <a:latin typeface="+mj-lt"/>
                  </a:defRPr>
                </a:pPr>
                <a:r>
                  <a:rPr lang="en-US" sz="1600" b="0">
                    <a:latin typeface="+mj-lt"/>
                  </a:rPr>
                  <a:t>Capability Status</a:t>
                </a:r>
              </a:p>
            </c:rich>
          </c:tx>
          <c:overlay val="0"/>
        </c:title>
        <c:numFmt formatCode="General" sourceLinked="1"/>
        <c:majorTickMark val="out"/>
        <c:minorTickMark val="none"/>
        <c:tickLblPos val="nextTo"/>
        <c:spPr>
          <a:ln>
            <a:solidFill>
              <a:schemeClr val="tx1"/>
            </a:solidFill>
          </a:ln>
        </c:spPr>
        <c:crossAx val="204103680"/>
        <c:crosses val="autoZero"/>
        <c:crossBetween val="midCat"/>
        <c:majorUnit val="1"/>
        <c:minorUnit val="0.1"/>
      </c:valAx>
      <c:spPr>
        <a:gradFill flip="none" rotWithShape="1">
          <a:gsLst>
            <a:gs pos="0">
              <a:srgbClr val="63BE7B"/>
            </a:gs>
            <a:gs pos="50000">
              <a:srgbClr val="FFEB84"/>
            </a:gs>
            <a:gs pos="100000">
              <a:srgbClr val="F8696B"/>
            </a:gs>
          </a:gsLst>
          <a:lin ang="27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b="0" u="sng">
                <a:latin typeface="+mj-lt"/>
              </a:defRPr>
            </a:pPr>
            <a:r>
              <a:rPr lang="en-US" b="0" u="sng">
                <a:latin typeface="+mj-lt"/>
              </a:rPr>
              <a:t>Probability vs. Severity</a:t>
            </a:r>
          </a:p>
        </c:rich>
      </c:tx>
      <c:layout>
        <c:manualLayout>
          <c:xMode val="edge"/>
          <c:yMode val="edge"/>
          <c:x val="0.41680166364312748"/>
          <c:y val="1.3244983721297133E-2"/>
        </c:manualLayout>
      </c:layout>
      <c:overlay val="0"/>
    </c:title>
    <c:autoTitleDeleted val="0"/>
    <c:plotArea>
      <c:layout/>
      <c:scatterChart>
        <c:scatterStyle val="lineMarker"/>
        <c:varyColors val="0"/>
        <c:ser>
          <c:idx val="0"/>
          <c:order val="0"/>
          <c:tx>
            <c:strRef>
              <c:f>'Summary of Scores'!$B$8</c:f>
              <c:strCache>
                <c:ptCount val="1"/>
                <c:pt idx="0">
                  <c:v>Active Shooter</c:v>
                </c:pt>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Scores'!$F$8</c:f>
              <c:strCache>
                <c:ptCount val="1"/>
                <c:pt idx="0">
                  <c:v>Not Calculated</c:v>
                </c:pt>
              </c:strCache>
            </c:strRef>
          </c:xVal>
          <c:yVal>
            <c:numRef>
              <c:f>'Summary of Scores'!$C$8</c:f>
              <c:numCache>
                <c:formatCode>General</c:formatCode>
                <c:ptCount val="1"/>
                <c:pt idx="0">
                  <c:v>2</c:v>
                </c:pt>
              </c:numCache>
            </c:numRef>
          </c:yVal>
          <c:smooth val="0"/>
          <c:extLst>
            <c:ext xmlns:c16="http://schemas.microsoft.com/office/drawing/2014/chart" uri="{C3380CC4-5D6E-409C-BE32-E72D297353CC}">
              <c16:uniqueId val="{00000000-3B06-4179-AC37-66F76E23323D}"/>
            </c:ext>
          </c:extLst>
        </c:ser>
        <c:ser>
          <c:idx val="1"/>
          <c:order val="1"/>
          <c:tx>
            <c:strRef>
              <c:f>'Summary of Scores'!$B$9</c:f>
              <c:strCache>
                <c:ptCount val="1"/>
                <c:pt idx="0">
                  <c:v>Bio Terrorism</c:v>
                </c:pt>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Scores'!$F$9</c:f>
              <c:strCache>
                <c:ptCount val="1"/>
                <c:pt idx="0">
                  <c:v>Not Calculated</c:v>
                </c:pt>
              </c:strCache>
            </c:strRef>
          </c:xVal>
          <c:yVal>
            <c:numRef>
              <c:f>'Summary of Scores'!$C$9</c:f>
              <c:numCache>
                <c:formatCode>General</c:formatCode>
                <c:ptCount val="1"/>
                <c:pt idx="0">
                  <c:v>1</c:v>
                </c:pt>
              </c:numCache>
            </c:numRef>
          </c:yVal>
          <c:smooth val="0"/>
          <c:extLst>
            <c:ext xmlns:c16="http://schemas.microsoft.com/office/drawing/2014/chart" uri="{C3380CC4-5D6E-409C-BE32-E72D297353CC}">
              <c16:uniqueId val="{00000001-3B06-4179-AC37-66F76E23323D}"/>
            </c:ext>
          </c:extLst>
        </c:ser>
        <c:ser>
          <c:idx val="2"/>
          <c:order val="2"/>
          <c:tx>
            <c:strRef>
              <c:f>'Summary of Scores'!$B$10</c:f>
              <c:strCache>
                <c:ptCount val="1"/>
                <c:pt idx="0">
                  <c:v>Chem Terrorism</c:v>
                </c:pt>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Scores'!$F$10</c:f>
              <c:strCache>
                <c:ptCount val="1"/>
                <c:pt idx="0">
                  <c:v>Not Calculated</c:v>
                </c:pt>
              </c:strCache>
            </c:strRef>
          </c:xVal>
          <c:yVal>
            <c:numRef>
              <c:f>'Summary of Scores'!$C$10</c:f>
              <c:numCache>
                <c:formatCode>General</c:formatCode>
                <c:ptCount val="1"/>
                <c:pt idx="0">
                  <c:v>1</c:v>
                </c:pt>
              </c:numCache>
            </c:numRef>
          </c:yVal>
          <c:smooth val="0"/>
          <c:extLst>
            <c:ext xmlns:c16="http://schemas.microsoft.com/office/drawing/2014/chart" uri="{C3380CC4-5D6E-409C-BE32-E72D297353CC}">
              <c16:uniqueId val="{00000002-3B06-4179-AC37-66F76E23323D}"/>
            </c:ext>
          </c:extLst>
        </c:ser>
        <c:ser>
          <c:idx val="3"/>
          <c:order val="3"/>
          <c:tx>
            <c:strRef>
              <c:f>'Summary of Scores'!$B$11</c:f>
              <c:strCache>
                <c:ptCount val="1"/>
                <c:pt idx="0">
                  <c:v>Civil Disturbance</c:v>
                </c:pt>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Scores'!$F$11</c:f>
              <c:strCache>
                <c:ptCount val="1"/>
                <c:pt idx="0">
                  <c:v>Not Calculated</c:v>
                </c:pt>
              </c:strCache>
            </c:strRef>
          </c:xVal>
          <c:yVal>
            <c:numRef>
              <c:f>'Summary of Scores'!$C$11</c:f>
              <c:numCache>
                <c:formatCode>General</c:formatCode>
                <c:ptCount val="1"/>
                <c:pt idx="0">
                  <c:v>2</c:v>
                </c:pt>
              </c:numCache>
            </c:numRef>
          </c:yVal>
          <c:smooth val="0"/>
          <c:extLst>
            <c:ext xmlns:c16="http://schemas.microsoft.com/office/drawing/2014/chart" uri="{C3380CC4-5D6E-409C-BE32-E72D297353CC}">
              <c16:uniqueId val="{00000003-3B06-4179-AC37-66F76E23323D}"/>
            </c:ext>
          </c:extLst>
        </c:ser>
        <c:ser>
          <c:idx val="4"/>
          <c:order val="4"/>
          <c:tx>
            <c:strRef>
              <c:f>'Summary of Scores'!$B$12</c:f>
              <c:strCache>
                <c:ptCount val="1"/>
                <c:pt idx="0">
                  <c:v>Coastal Storm</c:v>
                </c:pt>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Scores'!$F$12</c:f>
              <c:strCache>
                <c:ptCount val="1"/>
                <c:pt idx="0">
                  <c:v>Not Calculated</c:v>
                </c:pt>
              </c:strCache>
            </c:strRef>
          </c:xVal>
          <c:yVal>
            <c:numRef>
              <c:f>'Summary of Scores'!$C$12</c:f>
              <c:numCache>
                <c:formatCode>General</c:formatCode>
                <c:ptCount val="1"/>
                <c:pt idx="0">
                  <c:v>0</c:v>
                </c:pt>
              </c:numCache>
            </c:numRef>
          </c:yVal>
          <c:smooth val="0"/>
          <c:extLst>
            <c:ext xmlns:c16="http://schemas.microsoft.com/office/drawing/2014/chart" uri="{C3380CC4-5D6E-409C-BE32-E72D297353CC}">
              <c16:uniqueId val="{00000004-3B06-4179-AC37-66F76E23323D}"/>
            </c:ext>
          </c:extLst>
        </c:ser>
        <c:ser>
          <c:idx val="5"/>
          <c:order val="5"/>
          <c:tx>
            <c:strRef>
              <c:f>'Summary of Scores'!$B$13</c:f>
              <c:strCache>
                <c:ptCount val="1"/>
                <c:pt idx="0">
                  <c:v>Conv Explosive</c:v>
                </c:pt>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Scores'!$F$13</c:f>
              <c:strCache>
                <c:ptCount val="1"/>
                <c:pt idx="0">
                  <c:v>Not Calculated</c:v>
                </c:pt>
              </c:strCache>
            </c:strRef>
          </c:xVal>
          <c:yVal>
            <c:numRef>
              <c:f>'Summary of Scores'!$C$13</c:f>
              <c:numCache>
                <c:formatCode>General</c:formatCode>
                <c:ptCount val="1"/>
                <c:pt idx="0">
                  <c:v>2</c:v>
                </c:pt>
              </c:numCache>
            </c:numRef>
          </c:yVal>
          <c:smooth val="0"/>
          <c:extLst>
            <c:ext xmlns:c16="http://schemas.microsoft.com/office/drawing/2014/chart" uri="{C3380CC4-5D6E-409C-BE32-E72D297353CC}">
              <c16:uniqueId val="{00000005-3B06-4179-AC37-66F76E23323D}"/>
            </c:ext>
          </c:extLst>
        </c:ser>
        <c:ser>
          <c:idx val="6"/>
          <c:order val="6"/>
          <c:tx>
            <c:strRef>
              <c:f>'Summary of Scores'!$B$14</c:f>
              <c:strCache>
                <c:ptCount val="1"/>
                <c:pt idx="0">
                  <c:v>Cyber Terrorism</c:v>
                </c:pt>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Scores'!$F$14</c:f>
              <c:strCache>
                <c:ptCount val="1"/>
                <c:pt idx="0">
                  <c:v>Not Calculated</c:v>
                </c:pt>
              </c:strCache>
            </c:strRef>
          </c:xVal>
          <c:yVal>
            <c:numRef>
              <c:f>'Summary of Scores'!$C$14</c:f>
              <c:numCache>
                <c:formatCode>General</c:formatCode>
                <c:ptCount val="1"/>
                <c:pt idx="0">
                  <c:v>1</c:v>
                </c:pt>
              </c:numCache>
            </c:numRef>
          </c:yVal>
          <c:smooth val="0"/>
          <c:extLst>
            <c:ext xmlns:c16="http://schemas.microsoft.com/office/drawing/2014/chart" uri="{C3380CC4-5D6E-409C-BE32-E72D297353CC}">
              <c16:uniqueId val="{00000006-3B06-4179-AC37-66F76E23323D}"/>
            </c:ext>
          </c:extLst>
        </c:ser>
        <c:ser>
          <c:idx val="7"/>
          <c:order val="7"/>
          <c:tx>
            <c:strRef>
              <c:f>'Summary of Scores'!$B$15</c:f>
              <c:strCache>
                <c:ptCount val="1"/>
                <c:pt idx="0">
                  <c:v>Drought</c:v>
                </c:pt>
              </c:strCache>
            </c:strRef>
          </c:tx>
          <c:spPr>
            <a:ln w="66675">
              <a:noFill/>
            </a:ln>
          </c:spPr>
          <c:dLbls>
            <c:dLbl>
              <c:idx val="0"/>
              <c:layout>
                <c:manualLayout>
                  <c:x val="-6.2506870656037883E-2"/>
                  <c:y val="0"/>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3B06-4179-AC37-66F76E23323D}"/>
                </c:ext>
              </c:extLst>
            </c:dLbl>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Scores'!$F$15</c:f>
              <c:strCache>
                <c:ptCount val="1"/>
                <c:pt idx="0">
                  <c:v>Not Calculated</c:v>
                </c:pt>
              </c:strCache>
            </c:strRef>
          </c:xVal>
          <c:yVal>
            <c:numRef>
              <c:f>'Summary of Scores'!$C$15</c:f>
              <c:numCache>
                <c:formatCode>General</c:formatCode>
                <c:ptCount val="1"/>
                <c:pt idx="0">
                  <c:v>3</c:v>
                </c:pt>
              </c:numCache>
            </c:numRef>
          </c:yVal>
          <c:smooth val="0"/>
          <c:extLst>
            <c:ext xmlns:c16="http://schemas.microsoft.com/office/drawing/2014/chart" uri="{C3380CC4-5D6E-409C-BE32-E72D297353CC}">
              <c16:uniqueId val="{00000008-3B06-4179-AC37-66F76E23323D}"/>
            </c:ext>
          </c:extLst>
        </c:ser>
        <c:ser>
          <c:idx val="8"/>
          <c:order val="8"/>
          <c:tx>
            <c:strRef>
              <c:f>'Summary of Scores'!$B$16</c:f>
              <c:strCache>
                <c:ptCount val="1"/>
                <c:pt idx="0">
                  <c:v>Earthquake</c:v>
                </c:pt>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Scores'!$F$16</c:f>
              <c:strCache>
                <c:ptCount val="1"/>
                <c:pt idx="0">
                  <c:v>Not Calculated</c:v>
                </c:pt>
              </c:strCache>
            </c:strRef>
          </c:xVal>
          <c:yVal>
            <c:numRef>
              <c:f>'Summary of Scores'!$C$16</c:f>
              <c:numCache>
                <c:formatCode>General</c:formatCode>
                <c:ptCount val="1"/>
                <c:pt idx="0">
                  <c:v>2</c:v>
                </c:pt>
              </c:numCache>
            </c:numRef>
          </c:yVal>
          <c:smooth val="0"/>
          <c:extLst>
            <c:ext xmlns:c16="http://schemas.microsoft.com/office/drawing/2014/chart" uri="{C3380CC4-5D6E-409C-BE32-E72D297353CC}">
              <c16:uniqueId val="{00000009-3B06-4179-AC37-66F76E23323D}"/>
            </c:ext>
          </c:extLst>
        </c:ser>
        <c:ser>
          <c:idx val="10"/>
          <c:order val="9"/>
          <c:tx>
            <c:strRef>
              <c:f>'Summary of Scores'!$B$17</c:f>
              <c:strCache>
                <c:ptCount val="1"/>
                <c:pt idx="0">
                  <c:v>Flood</c:v>
                </c:pt>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Scores'!$F$17</c:f>
              <c:strCache>
                <c:ptCount val="1"/>
                <c:pt idx="0">
                  <c:v>Not Calculated</c:v>
                </c:pt>
              </c:strCache>
            </c:strRef>
          </c:xVal>
          <c:yVal>
            <c:numRef>
              <c:f>'Summary of Scores'!$C$17</c:f>
              <c:numCache>
                <c:formatCode>General</c:formatCode>
                <c:ptCount val="1"/>
                <c:pt idx="0">
                  <c:v>3</c:v>
                </c:pt>
              </c:numCache>
            </c:numRef>
          </c:yVal>
          <c:smooth val="0"/>
          <c:extLst>
            <c:ext xmlns:c16="http://schemas.microsoft.com/office/drawing/2014/chart" uri="{C3380CC4-5D6E-409C-BE32-E72D297353CC}">
              <c16:uniqueId val="{0000000A-3B06-4179-AC37-66F76E23323D}"/>
            </c:ext>
          </c:extLst>
        </c:ser>
        <c:ser>
          <c:idx val="11"/>
          <c:order val="10"/>
          <c:tx>
            <c:strRef>
              <c:f>'Summary of Scores'!$B$18</c:f>
              <c:strCache>
                <c:ptCount val="1"/>
                <c:pt idx="0">
                  <c:v>HazMat Release</c:v>
                </c:pt>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Scores'!$F$18</c:f>
              <c:strCache>
                <c:ptCount val="1"/>
                <c:pt idx="0">
                  <c:v>Not Calculated</c:v>
                </c:pt>
              </c:strCache>
            </c:strRef>
          </c:xVal>
          <c:yVal>
            <c:numRef>
              <c:f>'Summary of Scores'!$C$18</c:f>
              <c:numCache>
                <c:formatCode>General</c:formatCode>
                <c:ptCount val="1"/>
                <c:pt idx="0">
                  <c:v>2</c:v>
                </c:pt>
              </c:numCache>
            </c:numRef>
          </c:yVal>
          <c:smooth val="0"/>
          <c:extLst>
            <c:ext xmlns:c16="http://schemas.microsoft.com/office/drawing/2014/chart" uri="{C3380CC4-5D6E-409C-BE32-E72D297353CC}">
              <c16:uniqueId val="{0000000B-3B06-4179-AC37-66F76E23323D}"/>
            </c:ext>
          </c:extLst>
        </c:ser>
        <c:ser>
          <c:idx val="12"/>
          <c:order val="11"/>
          <c:tx>
            <c:strRef>
              <c:f>'Summary of Scores'!$B$19</c:f>
              <c:strCache>
                <c:ptCount val="1"/>
                <c:pt idx="0">
                  <c:v>Localized ID</c:v>
                </c:pt>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Scores'!$F$19</c:f>
              <c:strCache>
                <c:ptCount val="1"/>
                <c:pt idx="0">
                  <c:v>Not Calculated</c:v>
                </c:pt>
              </c:strCache>
            </c:strRef>
          </c:xVal>
          <c:yVal>
            <c:numRef>
              <c:f>'Summary of Scores'!$C$19</c:f>
              <c:numCache>
                <c:formatCode>General</c:formatCode>
                <c:ptCount val="1"/>
                <c:pt idx="0">
                  <c:v>3</c:v>
                </c:pt>
              </c:numCache>
            </c:numRef>
          </c:yVal>
          <c:smooth val="0"/>
          <c:extLst>
            <c:ext xmlns:c16="http://schemas.microsoft.com/office/drawing/2014/chart" uri="{C3380CC4-5D6E-409C-BE32-E72D297353CC}">
              <c16:uniqueId val="{0000000C-3B06-4179-AC37-66F76E23323D}"/>
            </c:ext>
          </c:extLst>
        </c:ser>
        <c:ser>
          <c:idx val="13"/>
          <c:order val="12"/>
          <c:tx>
            <c:strRef>
              <c:f>'Summary of Scores'!$B$20</c:f>
              <c:strCache>
                <c:ptCount val="1"/>
                <c:pt idx="0">
                  <c:v>Nuclear Facility</c:v>
                </c:pt>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Scores'!$F$20</c:f>
              <c:strCache>
                <c:ptCount val="1"/>
                <c:pt idx="0">
                  <c:v>Not Calculated</c:v>
                </c:pt>
              </c:strCache>
            </c:strRef>
          </c:xVal>
          <c:yVal>
            <c:numRef>
              <c:f>'Summary of Scores'!$C$20</c:f>
              <c:numCache>
                <c:formatCode>General</c:formatCode>
                <c:ptCount val="1"/>
                <c:pt idx="0">
                  <c:v>0</c:v>
                </c:pt>
              </c:numCache>
            </c:numRef>
          </c:yVal>
          <c:smooth val="0"/>
          <c:extLst>
            <c:ext xmlns:c16="http://schemas.microsoft.com/office/drawing/2014/chart" uri="{C3380CC4-5D6E-409C-BE32-E72D297353CC}">
              <c16:uniqueId val="{0000000D-3B06-4179-AC37-66F76E23323D}"/>
            </c:ext>
          </c:extLst>
        </c:ser>
        <c:ser>
          <c:idx val="14"/>
          <c:order val="13"/>
          <c:tx>
            <c:strRef>
              <c:f>'Summary of Scores'!$B$21</c:f>
              <c:strCache>
                <c:ptCount val="1"/>
                <c:pt idx="0">
                  <c:v>Pandemic</c:v>
                </c:pt>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Scores'!$F$21</c:f>
              <c:strCache>
                <c:ptCount val="1"/>
                <c:pt idx="0">
                  <c:v>Not Calculated</c:v>
                </c:pt>
              </c:strCache>
            </c:strRef>
          </c:xVal>
          <c:yVal>
            <c:numRef>
              <c:f>'Summary of Scores'!$C$21</c:f>
              <c:numCache>
                <c:formatCode>General</c:formatCode>
                <c:ptCount val="1"/>
                <c:pt idx="0">
                  <c:v>2</c:v>
                </c:pt>
              </c:numCache>
            </c:numRef>
          </c:yVal>
          <c:smooth val="0"/>
          <c:extLst>
            <c:ext xmlns:c16="http://schemas.microsoft.com/office/drawing/2014/chart" uri="{C3380CC4-5D6E-409C-BE32-E72D297353CC}">
              <c16:uniqueId val="{0000000E-3B06-4179-AC37-66F76E23323D}"/>
            </c:ext>
          </c:extLst>
        </c:ser>
        <c:ser>
          <c:idx val="15"/>
          <c:order val="14"/>
          <c:tx>
            <c:strRef>
              <c:f>'Summary of Scores'!$B$22</c:f>
              <c:strCache>
                <c:ptCount val="1"/>
                <c:pt idx="0">
                  <c:v>RDD</c:v>
                </c:pt>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Scores'!$F$22</c:f>
              <c:strCache>
                <c:ptCount val="1"/>
                <c:pt idx="0">
                  <c:v>Not Calculated</c:v>
                </c:pt>
              </c:strCache>
            </c:strRef>
          </c:xVal>
          <c:yVal>
            <c:numRef>
              <c:f>'Summary of Scores'!$C$22</c:f>
              <c:numCache>
                <c:formatCode>General</c:formatCode>
                <c:ptCount val="1"/>
                <c:pt idx="0">
                  <c:v>1</c:v>
                </c:pt>
              </c:numCache>
            </c:numRef>
          </c:yVal>
          <c:smooth val="0"/>
          <c:extLst>
            <c:ext xmlns:c16="http://schemas.microsoft.com/office/drawing/2014/chart" uri="{C3380CC4-5D6E-409C-BE32-E72D297353CC}">
              <c16:uniqueId val="{0000000F-3B06-4179-AC37-66F76E23323D}"/>
            </c:ext>
          </c:extLst>
        </c:ser>
        <c:ser>
          <c:idx val="16"/>
          <c:order val="15"/>
          <c:tx>
            <c:strRef>
              <c:f>'Summary of Scores'!$B$23</c:f>
              <c:strCache>
                <c:ptCount val="1"/>
                <c:pt idx="0">
                  <c:v>Temp Extremes</c:v>
                </c:pt>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Scores'!$F$23</c:f>
              <c:strCache>
                <c:ptCount val="1"/>
                <c:pt idx="0">
                  <c:v>Not Calculated</c:v>
                </c:pt>
              </c:strCache>
            </c:strRef>
          </c:xVal>
          <c:yVal>
            <c:numRef>
              <c:f>'Summary of Scores'!$C$23</c:f>
              <c:numCache>
                <c:formatCode>General</c:formatCode>
                <c:ptCount val="1"/>
                <c:pt idx="0">
                  <c:v>3</c:v>
                </c:pt>
              </c:numCache>
            </c:numRef>
          </c:yVal>
          <c:smooth val="0"/>
          <c:extLst>
            <c:ext xmlns:c16="http://schemas.microsoft.com/office/drawing/2014/chart" uri="{C3380CC4-5D6E-409C-BE32-E72D297353CC}">
              <c16:uniqueId val="{00000010-3B06-4179-AC37-66F76E23323D}"/>
            </c:ext>
          </c:extLst>
        </c:ser>
        <c:ser>
          <c:idx val="17"/>
          <c:order val="16"/>
          <c:tx>
            <c:strRef>
              <c:f>'Summary of Scores'!$B$24</c:f>
              <c:strCache>
                <c:ptCount val="1"/>
                <c:pt idx="0">
                  <c:v>Tornado</c:v>
                </c:pt>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Scores'!$F$24</c:f>
              <c:strCache>
                <c:ptCount val="1"/>
                <c:pt idx="0">
                  <c:v>Not Calculated</c:v>
                </c:pt>
              </c:strCache>
            </c:strRef>
          </c:xVal>
          <c:yVal>
            <c:numRef>
              <c:f>'Summary of Scores'!$C$24</c:f>
              <c:numCache>
                <c:formatCode>General</c:formatCode>
                <c:ptCount val="1"/>
                <c:pt idx="0">
                  <c:v>2</c:v>
                </c:pt>
              </c:numCache>
            </c:numRef>
          </c:yVal>
          <c:smooth val="0"/>
          <c:extLst>
            <c:ext xmlns:c16="http://schemas.microsoft.com/office/drawing/2014/chart" uri="{C3380CC4-5D6E-409C-BE32-E72D297353CC}">
              <c16:uniqueId val="{00000011-3B06-4179-AC37-66F76E23323D}"/>
            </c:ext>
          </c:extLst>
        </c:ser>
        <c:ser>
          <c:idx val="18"/>
          <c:order val="17"/>
          <c:tx>
            <c:strRef>
              <c:f>'Summary of Scores'!$B$25</c:f>
              <c:strCache>
                <c:ptCount val="1"/>
                <c:pt idx="0">
                  <c:v>Utility Interr</c:v>
                </c:pt>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Scores'!$F$25</c:f>
              <c:strCache>
                <c:ptCount val="1"/>
                <c:pt idx="0">
                  <c:v>Not Calculated</c:v>
                </c:pt>
              </c:strCache>
            </c:strRef>
          </c:xVal>
          <c:yVal>
            <c:numRef>
              <c:f>'Summary of Scores'!$C$25</c:f>
              <c:numCache>
                <c:formatCode>General</c:formatCode>
                <c:ptCount val="1"/>
                <c:pt idx="0">
                  <c:v>3</c:v>
                </c:pt>
              </c:numCache>
            </c:numRef>
          </c:yVal>
          <c:smooth val="0"/>
          <c:extLst>
            <c:ext xmlns:c16="http://schemas.microsoft.com/office/drawing/2014/chart" uri="{C3380CC4-5D6E-409C-BE32-E72D297353CC}">
              <c16:uniqueId val="{00000012-3B06-4179-AC37-66F76E23323D}"/>
            </c:ext>
          </c:extLst>
        </c:ser>
        <c:ser>
          <c:idx val="19"/>
          <c:order val="18"/>
          <c:tx>
            <c:strRef>
              <c:f>'Summary of Scores'!$B$27</c:f>
              <c:strCache>
                <c:ptCount val="1"/>
                <c:pt idx="0">
                  <c:v>Winter Storm</c:v>
                </c:pt>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Scores'!$F$27</c:f>
              <c:strCache>
                <c:ptCount val="1"/>
                <c:pt idx="0">
                  <c:v>Not Calculated</c:v>
                </c:pt>
              </c:strCache>
            </c:strRef>
          </c:xVal>
          <c:yVal>
            <c:numRef>
              <c:f>'Summary of Scores'!$C$27</c:f>
              <c:numCache>
                <c:formatCode>General</c:formatCode>
                <c:ptCount val="1"/>
                <c:pt idx="0">
                  <c:v>4</c:v>
                </c:pt>
              </c:numCache>
            </c:numRef>
          </c:yVal>
          <c:smooth val="0"/>
          <c:extLst>
            <c:ext xmlns:c16="http://schemas.microsoft.com/office/drawing/2014/chart" uri="{C3380CC4-5D6E-409C-BE32-E72D297353CC}">
              <c16:uniqueId val="{00000013-3B06-4179-AC37-66F76E23323D}"/>
            </c:ext>
          </c:extLst>
        </c:ser>
        <c:ser>
          <c:idx val="9"/>
          <c:order val="19"/>
          <c:tx>
            <c:strRef>
              <c:f>'Summary of Scores'!$B$26</c:f>
              <c:strCache>
                <c:ptCount val="1"/>
                <c:pt idx="0">
                  <c:v>Wildfire</c:v>
                </c:pt>
              </c:strCache>
            </c:strRef>
          </c:tx>
          <c:spPr>
            <a:ln w="66675">
              <a:noFill/>
            </a:ln>
          </c:spPr>
          <c:dLbls>
            <c:dLbl>
              <c:idx val="0"/>
              <c:spPr/>
              <c:txPr>
                <a:bodyPr rot="-2700000"/>
                <a:lstStyle/>
                <a:p>
                  <a:pPr>
                    <a:defRPr/>
                  </a:pPr>
                  <a:endParaRPr lang="en-US"/>
                </a:p>
              </c:txPr>
              <c:dLblPos val="ct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4-3B06-4179-AC37-66F76E23323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strRef>
              <c:f>'Summary of Scores'!$F$26</c:f>
              <c:strCache>
                <c:ptCount val="1"/>
                <c:pt idx="0">
                  <c:v>Not Calculated</c:v>
                </c:pt>
              </c:strCache>
            </c:strRef>
          </c:xVal>
          <c:yVal>
            <c:numRef>
              <c:f>'Summary of Scores'!$C$26</c:f>
              <c:numCache>
                <c:formatCode>General</c:formatCode>
                <c:ptCount val="1"/>
                <c:pt idx="0">
                  <c:v>0</c:v>
                </c:pt>
              </c:numCache>
            </c:numRef>
          </c:yVal>
          <c:smooth val="0"/>
          <c:extLst>
            <c:ext xmlns:c16="http://schemas.microsoft.com/office/drawing/2014/chart" uri="{C3380CC4-5D6E-409C-BE32-E72D297353CC}">
              <c16:uniqueId val="{00000015-3B06-4179-AC37-66F76E23323D}"/>
            </c:ext>
          </c:extLst>
        </c:ser>
        <c:ser>
          <c:idx val="20"/>
          <c:order val="20"/>
          <c:tx>
            <c:strRef>
              <c:f>'Summary of Scores'!$B$28</c:f>
              <c:strCache>
                <c:ptCount val="1"/>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'Summary of Scores'!$F$28</c:f>
            </c:numRef>
          </c:xVal>
          <c:yVal>
            <c:numRef>
              <c:f>'Summary of Scores'!$C$28</c:f>
            </c:numRef>
          </c:yVal>
          <c:smooth val="0"/>
          <c:extLst>
            <c:ext xmlns:c16="http://schemas.microsoft.com/office/drawing/2014/chart" uri="{C3380CC4-5D6E-409C-BE32-E72D297353CC}">
              <c16:uniqueId val="{00000016-3B06-4179-AC37-66F76E23323D}"/>
            </c:ext>
          </c:extLst>
        </c:ser>
        <c:ser>
          <c:idx val="21"/>
          <c:order val="21"/>
          <c:tx>
            <c:strRef>
              <c:f>'Summary of Scores'!$B$29</c:f>
              <c:strCache>
                <c:ptCount val="1"/>
              </c:strCache>
            </c:strRef>
          </c:tx>
          <c:spPr>
            <a:ln w="66675">
              <a:noFill/>
            </a:ln>
          </c:spPr>
          <c:dLbls>
            <c:dLbl>
              <c:idx val="0"/>
              <c:dLblPos val="ct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7-3B06-4179-AC37-66F76E23323D}"/>
                </c:ext>
              </c:extLst>
            </c:dLbl>
            <c:spPr>
              <a:noFill/>
              <a:ln>
                <a:noFill/>
              </a:ln>
              <a:effectLst/>
            </c:spPr>
            <c:txPr>
              <a:bodyPr rot="-2700000"/>
              <a:lstStyle/>
              <a:p>
                <a:pPr>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'Summary of Scores'!$F$29</c:f>
            </c:numRef>
          </c:xVal>
          <c:yVal>
            <c:numRef>
              <c:f>'Summary of Scores'!$C$29</c:f>
            </c:numRef>
          </c:yVal>
          <c:smooth val="0"/>
          <c:extLst>
            <c:ext xmlns:c16="http://schemas.microsoft.com/office/drawing/2014/chart" uri="{C3380CC4-5D6E-409C-BE32-E72D297353CC}">
              <c16:uniqueId val="{00000018-3B06-4179-AC37-66F76E23323D}"/>
            </c:ext>
          </c:extLst>
        </c:ser>
        <c:ser>
          <c:idx val="22"/>
          <c:order val="22"/>
          <c:tx>
            <c:strRef>
              <c:f>'Summary of Scores'!$B$30</c:f>
              <c:strCache>
                <c:ptCount val="1"/>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'Summary of Scores'!$F$30</c:f>
            </c:numRef>
          </c:xVal>
          <c:yVal>
            <c:numRef>
              <c:f>'Summary of Scores'!$C$30</c:f>
            </c:numRef>
          </c:yVal>
          <c:smooth val="0"/>
          <c:extLst>
            <c:ext xmlns:c16="http://schemas.microsoft.com/office/drawing/2014/chart" uri="{C3380CC4-5D6E-409C-BE32-E72D297353CC}">
              <c16:uniqueId val="{00000019-3B06-4179-AC37-66F76E23323D}"/>
            </c:ext>
          </c:extLst>
        </c:ser>
        <c:ser>
          <c:idx val="23"/>
          <c:order val="23"/>
          <c:tx>
            <c:strRef>
              <c:f>'Summary of Scores'!$B$31</c:f>
              <c:strCache>
                <c:ptCount val="1"/>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'Summary of Scores'!$F$31</c:f>
            </c:numRef>
          </c:xVal>
          <c:yVal>
            <c:numRef>
              <c:f>'Summary of Scores'!$C$31</c:f>
            </c:numRef>
          </c:yVal>
          <c:smooth val="0"/>
          <c:extLst>
            <c:ext xmlns:c16="http://schemas.microsoft.com/office/drawing/2014/chart" uri="{C3380CC4-5D6E-409C-BE32-E72D297353CC}">
              <c16:uniqueId val="{0000001A-3B06-4179-AC37-66F76E23323D}"/>
            </c:ext>
          </c:extLst>
        </c:ser>
        <c:ser>
          <c:idx val="24"/>
          <c:order val="24"/>
          <c:tx>
            <c:strRef>
              <c:f>'Summary of Scores'!$B$32</c:f>
              <c:strCache>
                <c:ptCount val="1"/>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'Summary of Scores'!$F$32</c:f>
            </c:numRef>
          </c:xVal>
          <c:yVal>
            <c:numRef>
              <c:f>'Summary of Scores'!$C$32</c:f>
            </c:numRef>
          </c:yVal>
          <c:smooth val="0"/>
          <c:extLst>
            <c:ext xmlns:c16="http://schemas.microsoft.com/office/drawing/2014/chart" uri="{C3380CC4-5D6E-409C-BE32-E72D297353CC}">
              <c16:uniqueId val="{0000001B-3B06-4179-AC37-66F76E23323D}"/>
            </c:ext>
          </c:extLst>
        </c:ser>
        <c:ser>
          <c:idx val="25"/>
          <c:order val="25"/>
          <c:tx>
            <c:strRef>
              <c:f>'Summary of Scores'!$B$33</c:f>
              <c:strCache>
                <c:ptCount val="1"/>
              </c:strCache>
            </c:strRef>
          </c:tx>
          <c:spPr>
            <a:ln w="66675">
              <a:noFill/>
            </a:ln>
          </c:spPr>
          <c:dLbls>
            <c:dLbl>
              <c:idx val="0"/>
              <c:spPr/>
              <c:txPr>
                <a:bodyPr rot="-2700000"/>
                <a:lstStyle/>
                <a:p>
                  <a:pPr>
                    <a:defRPr/>
                  </a:pPr>
                  <a:endParaRPr lang="en-US"/>
                </a:p>
              </c:txPr>
              <c:dLblPos val="ct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C-3B06-4179-AC37-66F76E23323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'Summary of Scores'!$F$33</c:f>
            </c:numRef>
          </c:xVal>
          <c:yVal>
            <c:numRef>
              <c:f>'Summary of Scores'!$C$33</c:f>
            </c:numRef>
          </c:yVal>
          <c:smooth val="0"/>
          <c:extLst>
            <c:ext xmlns:c16="http://schemas.microsoft.com/office/drawing/2014/chart" uri="{C3380CC4-5D6E-409C-BE32-E72D297353CC}">
              <c16:uniqueId val="{0000001D-3B06-4179-AC37-66F76E23323D}"/>
            </c:ext>
          </c:extLst>
        </c:ser>
        <c:ser>
          <c:idx val="26"/>
          <c:order val="26"/>
          <c:tx>
            <c:strRef>
              <c:f>'Summary of Scores'!$B$34</c:f>
              <c:strCache>
                <c:ptCount val="1"/>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'Summary of Scores'!$F$34</c:f>
            </c:numRef>
          </c:xVal>
          <c:yVal>
            <c:numRef>
              <c:f>'Summary of Scores'!$C$34</c:f>
            </c:numRef>
          </c:yVal>
          <c:smooth val="0"/>
          <c:extLst>
            <c:ext xmlns:c16="http://schemas.microsoft.com/office/drawing/2014/chart" uri="{C3380CC4-5D6E-409C-BE32-E72D297353CC}">
              <c16:uniqueId val="{0000001E-3B06-4179-AC37-66F76E23323D}"/>
            </c:ext>
          </c:extLst>
        </c:ser>
        <c:ser>
          <c:idx val="27"/>
          <c:order val="27"/>
          <c:tx>
            <c:strRef>
              <c:f>'Summary of Scores'!$B$35</c:f>
              <c:strCache>
                <c:ptCount val="1"/>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'Summary of Scores'!$F$35</c:f>
            </c:numRef>
          </c:xVal>
          <c:yVal>
            <c:numRef>
              <c:f>'Summary of Scores'!$C$35</c:f>
            </c:numRef>
          </c:yVal>
          <c:smooth val="0"/>
          <c:extLst>
            <c:ext xmlns:c16="http://schemas.microsoft.com/office/drawing/2014/chart" uri="{C3380CC4-5D6E-409C-BE32-E72D297353CC}">
              <c16:uniqueId val="{0000001F-3B06-4179-AC37-66F76E23323D}"/>
            </c:ext>
          </c:extLst>
        </c:ser>
        <c:ser>
          <c:idx val="28"/>
          <c:order val="28"/>
          <c:tx>
            <c:strRef>
              <c:f>'Summary of Scores'!$B$36</c:f>
              <c:strCache>
                <c:ptCount val="1"/>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'Summary of Scores'!$F$36</c:f>
            </c:numRef>
          </c:xVal>
          <c:yVal>
            <c:numRef>
              <c:f>'Summary of Scores'!$C$36</c:f>
            </c:numRef>
          </c:yVal>
          <c:smooth val="0"/>
          <c:extLst>
            <c:ext xmlns:c16="http://schemas.microsoft.com/office/drawing/2014/chart" uri="{C3380CC4-5D6E-409C-BE32-E72D297353CC}">
              <c16:uniqueId val="{00000020-3B06-4179-AC37-66F76E23323D}"/>
            </c:ext>
          </c:extLst>
        </c:ser>
        <c:ser>
          <c:idx val="29"/>
          <c:order val="29"/>
          <c:tx>
            <c:strRef>
              <c:f>'Summary of Scores'!$B$37</c:f>
              <c:strCache>
                <c:ptCount val="1"/>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'Summary of Scores'!$F$37</c:f>
            </c:numRef>
          </c:xVal>
          <c:yVal>
            <c:numRef>
              <c:f>'Summary of Scores'!$C$37</c:f>
            </c:numRef>
          </c:yVal>
          <c:smooth val="0"/>
          <c:extLst>
            <c:ext xmlns:c16="http://schemas.microsoft.com/office/drawing/2014/chart" uri="{C3380CC4-5D6E-409C-BE32-E72D297353CC}">
              <c16:uniqueId val="{00000021-3B06-4179-AC37-66F76E23323D}"/>
            </c:ext>
          </c:extLst>
        </c:ser>
        <c:dLbls>
          <c:showLegendKey val="0"/>
          <c:showVal val="1"/>
          <c:showCatName val="0"/>
          <c:showSerName val="0"/>
          <c:showPercent val="0"/>
          <c:showBubbleSize val="0"/>
        </c:dLbls>
        <c:axId val="150237952"/>
        <c:axId val="150239872"/>
      </c:scatterChart>
      <c:valAx>
        <c:axId val="150237952"/>
        <c:scaling>
          <c:orientation val="minMax"/>
          <c:max val="4.5"/>
          <c:min val="0"/>
        </c:scaling>
        <c:delete val="0"/>
        <c:axPos val="b"/>
        <c:majorGridlines/>
        <c:title>
          <c:tx>
            <c:rich>
              <a:bodyPr/>
              <a:lstStyle/>
              <a:p>
                <a:pPr>
                  <a:defRPr b="0">
                    <a:latin typeface="+mj-lt"/>
                  </a:defRPr>
                </a:pPr>
                <a:r>
                  <a:rPr lang="en-US" sz="1600" b="0">
                    <a:latin typeface="+mj-lt"/>
                  </a:rPr>
                  <a:t>Severity</a:t>
                </a:r>
              </a:p>
            </c:rich>
          </c:tx>
          <c:overlay val="0"/>
        </c:title>
        <c:numFmt formatCode="#,##0" sourceLinked="0"/>
        <c:majorTickMark val="out"/>
        <c:minorTickMark val="none"/>
        <c:tickLblPos val="nextTo"/>
        <c:spPr>
          <a:ln>
            <a:solidFill>
              <a:schemeClr val="tx1"/>
            </a:solidFill>
          </a:ln>
        </c:spPr>
        <c:crossAx val="150239872"/>
        <c:crosses val="autoZero"/>
        <c:crossBetween val="midCat"/>
        <c:majorUnit val="1"/>
        <c:minorUnit val="0.1"/>
      </c:valAx>
      <c:valAx>
        <c:axId val="150239872"/>
        <c:scaling>
          <c:orientation val="minMax"/>
          <c:max val="4.5"/>
          <c:min val="0"/>
        </c:scaling>
        <c:delete val="0"/>
        <c:axPos val="l"/>
        <c:majorGridlines/>
        <c:title>
          <c:tx>
            <c:rich>
              <a:bodyPr rot="-5400000" vert="horz"/>
              <a:lstStyle/>
              <a:p>
                <a:pPr>
                  <a:defRPr sz="1600" b="0">
                    <a:latin typeface="+mj-lt"/>
                  </a:defRPr>
                </a:pPr>
                <a:r>
                  <a:rPr lang="en-US" sz="1600" b="0">
                    <a:latin typeface="+mj-lt"/>
                  </a:rPr>
                  <a:t>Probability</a:t>
                </a:r>
              </a:p>
            </c:rich>
          </c:tx>
          <c:overlay val="0"/>
        </c:title>
        <c:numFmt formatCode="General" sourceLinked="1"/>
        <c:majorTickMark val="out"/>
        <c:minorTickMark val="none"/>
        <c:tickLblPos val="nextTo"/>
        <c:spPr>
          <a:ln>
            <a:solidFill>
              <a:schemeClr val="tx1"/>
            </a:solidFill>
          </a:ln>
        </c:spPr>
        <c:crossAx val="150237952"/>
        <c:crosses val="autoZero"/>
        <c:crossBetween val="midCat"/>
        <c:majorUnit val="1"/>
        <c:minorUnit val="0.1"/>
      </c:valAx>
      <c:spPr>
        <a:gradFill flip="none" rotWithShape="1">
          <a:gsLst>
            <a:gs pos="0">
              <a:srgbClr val="63BE7B"/>
            </a:gs>
            <a:gs pos="50000">
              <a:srgbClr val="FFEB84"/>
            </a:gs>
            <a:gs pos="100000">
              <a:srgbClr val="F8696B"/>
            </a:gs>
          </a:gsLst>
          <a:lin ang="189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b="0" u="sng">
                <a:latin typeface="+mj-lt"/>
              </a:defRPr>
            </a:pPr>
            <a:r>
              <a:rPr lang="en-US" b="0" u="sng">
                <a:latin typeface="+mj-lt"/>
              </a:rPr>
              <a:t>Severity</a:t>
            </a:r>
          </a:p>
        </c:rich>
      </c:tx>
      <c:layout>
        <c:manualLayout>
          <c:xMode val="edge"/>
          <c:yMode val="edge"/>
          <c:x val="0.46889233641333816"/>
          <c:y val="1.3244983721297133E-2"/>
        </c:manualLayout>
      </c:layout>
      <c:overlay val="0"/>
    </c:title>
    <c:autoTitleDeleted val="0"/>
    <c:plotArea>
      <c:layout/>
      <c:barChart>
        <c:barDir val="col"/>
        <c:grouping val="clustered"/>
        <c:varyColors val="0"/>
        <c:ser>
          <c:idx val="0"/>
          <c:order val="0"/>
          <c:tx>
            <c:v>Severity</c:v>
          </c:tx>
          <c:spPr>
            <a:solidFill>
              <a:schemeClr val="accent4">
                <a:lumMod val="60000"/>
                <a:lumOff val="40000"/>
              </a:schemeClr>
            </a:solidFill>
            <a:ln>
              <a:solidFill>
                <a:schemeClr val="accent4"/>
              </a:solidFill>
            </a:ln>
            <a:scene3d>
              <a:camera prst="orthographicFront"/>
              <a:lightRig rig="threePt" dir="t"/>
            </a:scene3d>
            <a:sp3d prstMaterial="matte">
              <a:bevelT w="63500" h="50800"/>
            </a:sp3d>
          </c:spPr>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('Active Shooter'!$G$22,'Active Shooter'!$G$137,'Active Shooter'!$G$265,'Active Shooter'!$G$425,'Active Shooter'!$G$543)</c:f>
              <c:strCache>
                <c:ptCount val="5"/>
                <c:pt idx="0">
                  <c:v>Human Impact</c:v>
                </c:pt>
                <c:pt idx="1">
                  <c:v>Healthcare Service Impact</c:v>
                </c:pt>
                <c:pt idx="2">
                  <c:v>Inpatient Healthcare Facility Infrastructure Impact</c:v>
                </c:pt>
                <c:pt idx="3">
                  <c:v>Community Impact</c:v>
                </c:pt>
                <c:pt idx="4">
                  <c:v>Public Health Service Impact</c:v>
                </c:pt>
              </c:strCache>
            </c:strRef>
          </c:cat>
          <c:val>
            <c:numRef>
              <c:f>(Hazard4!$J$133,Hazard4!$J$261,Hazard4!$J$421,Hazard4!$J$539,Hazard4!$J$681)</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0-FBE7-419C-80EE-1358759E1BE4}"/>
            </c:ext>
          </c:extLst>
        </c:ser>
        <c:dLbls>
          <c:showLegendKey val="0"/>
          <c:showVal val="1"/>
          <c:showCatName val="0"/>
          <c:showSerName val="0"/>
          <c:showPercent val="0"/>
          <c:showBubbleSize val="0"/>
        </c:dLbls>
        <c:gapWidth val="150"/>
        <c:axId val="204285056"/>
        <c:axId val="204286976"/>
      </c:barChart>
      <c:catAx>
        <c:axId val="204285056"/>
        <c:scaling>
          <c:orientation val="minMax"/>
        </c:scaling>
        <c:delete val="0"/>
        <c:axPos val="b"/>
        <c:title>
          <c:tx>
            <c:rich>
              <a:bodyPr/>
              <a:lstStyle/>
              <a:p>
                <a:pPr>
                  <a:defRPr sz="1600" b="0">
                    <a:latin typeface="+mj-lt"/>
                  </a:defRPr>
                </a:pPr>
                <a:r>
                  <a:rPr lang="en-US" sz="1600" b="0">
                    <a:latin typeface="+mj-lt"/>
                  </a:rPr>
                  <a:t>Domain</a:t>
                </a:r>
              </a:p>
            </c:rich>
          </c:tx>
          <c:overlay val="0"/>
        </c:title>
        <c:numFmt formatCode="General" sourceLinked="1"/>
        <c:majorTickMark val="out"/>
        <c:minorTickMark val="none"/>
        <c:tickLblPos val="nextTo"/>
        <c:crossAx val="204286976"/>
        <c:crosses val="autoZero"/>
        <c:auto val="1"/>
        <c:lblAlgn val="ctr"/>
        <c:lblOffset val="100"/>
        <c:noMultiLvlLbl val="0"/>
      </c:catAx>
      <c:valAx>
        <c:axId val="204286976"/>
        <c:scaling>
          <c:orientation val="minMax"/>
          <c:max val="4"/>
        </c:scaling>
        <c:delete val="0"/>
        <c:axPos val="l"/>
        <c:majorGridlines/>
        <c:title>
          <c:tx>
            <c:rich>
              <a:bodyPr rot="-5400000" vert="horz"/>
              <a:lstStyle/>
              <a:p>
                <a:pPr>
                  <a:defRPr sz="1600" b="0">
                    <a:latin typeface="+mj-lt"/>
                  </a:defRPr>
                </a:pPr>
                <a:r>
                  <a:rPr lang="en-US" sz="1600" b="0">
                    <a:latin typeface="+mj-lt"/>
                  </a:rPr>
                  <a:t>Severity</a:t>
                </a:r>
                <a:r>
                  <a:rPr lang="en-US" sz="1600" b="0" baseline="0">
                    <a:latin typeface="+mj-lt"/>
                  </a:rPr>
                  <a:t> Score</a:t>
                </a:r>
                <a:endParaRPr lang="en-US" sz="1600" b="0">
                  <a:latin typeface="+mj-lt"/>
                </a:endParaRPr>
              </a:p>
            </c:rich>
          </c:tx>
          <c:overlay val="0"/>
        </c:title>
        <c:numFmt formatCode="0.00" sourceLinked="1"/>
        <c:majorTickMark val="out"/>
        <c:minorTickMark val="none"/>
        <c:tickLblPos val="nextTo"/>
        <c:crossAx val="204285056"/>
        <c:crosses val="autoZero"/>
        <c:crossBetween val="between"/>
      </c:valAx>
      <c:spPr>
        <a:gradFill flip="none" rotWithShape="1">
          <a:gsLst>
            <a:gs pos="0">
              <a:srgbClr val="63BE7B"/>
            </a:gs>
            <a:gs pos="50000">
              <a:srgbClr val="FFEB84"/>
            </a:gs>
            <a:gs pos="100000">
              <a:srgbClr val="F8696B"/>
            </a:gs>
          </a:gsLst>
          <a:lin ang="162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b="0" u="sng">
                <a:latin typeface="+mj-lt"/>
              </a:defRPr>
            </a:pPr>
            <a:r>
              <a:rPr lang="en-US" b="0" u="sng">
                <a:latin typeface="+mj-lt"/>
              </a:rPr>
              <a:t>At-Risk Populations</a:t>
            </a:r>
          </a:p>
        </c:rich>
      </c:tx>
      <c:layout>
        <c:manualLayout>
          <c:xMode val="edge"/>
          <c:yMode val="edge"/>
          <c:x val="0.37636858589702443"/>
          <c:y val="1.3244983721297133E-2"/>
        </c:manualLayout>
      </c:layout>
      <c:overlay val="0"/>
    </c:title>
    <c:autoTitleDeleted val="0"/>
    <c:plotArea>
      <c:layout>
        <c:manualLayout>
          <c:layoutTarget val="inner"/>
          <c:xMode val="edge"/>
          <c:yMode val="edge"/>
          <c:x val="9.2855623530330264E-2"/>
          <c:y val="0.10007907481510167"/>
          <c:w val="0.87850741705614022"/>
          <c:h val="0.77165947152780956"/>
        </c:manualLayout>
      </c:layout>
      <c:scatterChart>
        <c:scatterStyle val="lineMarker"/>
        <c:varyColors val="0"/>
        <c:ser>
          <c:idx val="0"/>
          <c:order val="0"/>
          <c:tx>
            <c:strRef>
              <c:f>Hazard4!$C$793</c:f>
              <c:strCache>
                <c:ptCount val="1"/>
                <c:pt idx="0">
                  <c:v>Poverty</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Hazard4!$J$795</c:f>
              <c:numCache>
                <c:formatCode>General</c:formatCode>
                <c:ptCount val="1"/>
                <c:pt idx="0">
                  <c:v>0</c:v>
                </c:pt>
              </c:numCache>
            </c:numRef>
          </c:xVal>
          <c:yVal>
            <c:numRef>
              <c:f>Hazard4!$J$794</c:f>
              <c:numCache>
                <c:formatCode>General</c:formatCode>
                <c:ptCount val="1"/>
                <c:pt idx="0">
                  <c:v>0</c:v>
                </c:pt>
              </c:numCache>
            </c:numRef>
          </c:yVal>
          <c:smooth val="0"/>
          <c:extLst>
            <c:ext xmlns:c16="http://schemas.microsoft.com/office/drawing/2014/chart" uri="{C3380CC4-5D6E-409C-BE32-E72D297353CC}">
              <c16:uniqueId val="{00000000-3738-4F8C-904A-B4F027EA7666}"/>
            </c:ext>
          </c:extLst>
        </c:ser>
        <c:ser>
          <c:idx val="1"/>
          <c:order val="1"/>
          <c:tx>
            <c:strRef>
              <c:f>Hazard4!$C$797</c:f>
              <c:strCache>
                <c:ptCount val="1"/>
                <c:pt idx="0">
                  <c:v>Chronic Diseases (Diabetes)</c:v>
                </c:pt>
              </c:strCache>
            </c:strRef>
          </c:tx>
          <c:spPr>
            <a:ln w="66675">
              <a:noFill/>
            </a:ln>
          </c:spPr>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3738-4F8C-904A-B4F027EA7666}"/>
                </c:ext>
              </c:extLst>
            </c:dLbl>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Hazard4!$J$799</c:f>
              <c:numCache>
                <c:formatCode>General</c:formatCode>
                <c:ptCount val="1"/>
                <c:pt idx="0">
                  <c:v>0</c:v>
                </c:pt>
              </c:numCache>
            </c:numRef>
          </c:xVal>
          <c:yVal>
            <c:numRef>
              <c:f>Hazard4!$J$798</c:f>
              <c:numCache>
                <c:formatCode>General</c:formatCode>
                <c:ptCount val="1"/>
                <c:pt idx="0">
                  <c:v>0</c:v>
                </c:pt>
              </c:numCache>
            </c:numRef>
          </c:yVal>
          <c:smooth val="0"/>
          <c:extLst>
            <c:ext xmlns:c16="http://schemas.microsoft.com/office/drawing/2014/chart" uri="{C3380CC4-5D6E-409C-BE32-E72D297353CC}">
              <c16:uniqueId val="{00000002-3738-4F8C-904A-B4F027EA7666}"/>
            </c:ext>
          </c:extLst>
        </c:ser>
        <c:ser>
          <c:idx val="2"/>
          <c:order val="2"/>
          <c:tx>
            <c:strRef>
              <c:f>Hazard4!$C$801</c:f>
              <c:strCache>
                <c:ptCount val="1"/>
                <c:pt idx="0">
                  <c:v>Children 18 and under</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Hazard4!$J$803</c:f>
              <c:numCache>
                <c:formatCode>General</c:formatCode>
                <c:ptCount val="1"/>
                <c:pt idx="0">
                  <c:v>0</c:v>
                </c:pt>
              </c:numCache>
            </c:numRef>
          </c:xVal>
          <c:yVal>
            <c:numRef>
              <c:f>Hazard4!$J$802</c:f>
              <c:numCache>
                <c:formatCode>General</c:formatCode>
                <c:ptCount val="1"/>
                <c:pt idx="0">
                  <c:v>0</c:v>
                </c:pt>
              </c:numCache>
            </c:numRef>
          </c:yVal>
          <c:smooth val="0"/>
          <c:extLst>
            <c:ext xmlns:c16="http://schemas.microsoft.com/office/drawing/2014/chart" uri="{C3380CC4-5D6E-409C-BE32-E72D297353CC}">
              <c16:uniqueId val="{00000003-3738-4F8C-904A-B4F027EA7666}"/>
            </c:ext>
          </c:extLst>
        </c:ser>
        <c:ser>
          <c:idx val="3"/>
          <c:order val="3"/>
          <c:tx>
            <c:strRef>
              <c:f>Hazard4!$C$805</c:f>
              <c:strCache>
                <c:ptCount val="1"/>
                <c:pt idx="0">
                  <c:v>Elderly 65 and older</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Hazard4!$J$807</c:f>
              <c:numCache>
                <c:formatCode>General</c:formatCode>
                <c:ptCount val="1"/>
                <c:pt idx="0">
                  <c:v>0</c:v>
                </c:pt>
              </c:numCache>
            </c:numRef>
          </c:xVal>
          <c:yVal>
            <c:numRef>
              <c:f>Hazard4!$J$806</c:f>
              <c:numCache>
                <c:formatCode>General</c:formatCode>
                <c:ptCount val="1"/>
                <c:pt idx="0">
                  <c:v>0</c:v>
                </c:pt>
              </c:numCache>
            </c:numRef>
          </c:yVal>
          <c:smooth val="0"/>
          <c:extLst>
            <c:ext xmlns:c16="http://schemas.microsoft.com/office/drawing/2014/chart" uri="{C3380CC4-5D6E-409C-BE32-E72D297353CC}">
              <c16:uniqueId val="{00000004-3738-4F8C-904A-B4F027EA7666}"/>
            </c:ext>
          </c:extLst>
        </c:ser>
        <c:ser>
          <c:idx val="4"/>
          <c:order val="4"/>
          <c:tx>
            <c:strRef>
              <c:f>Hazard4!$C$773</c:f>
              <c:strCache>
                <c:ptCount val="1"/>
                <c:pt idx="0">
                  <c:v>Hearing Disability</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Hazard4!$J$775</c:f>
              <c:numCache>
                <c:formatCode>General</c:formatCode>
                <c:ptCount val="1"/>
                <c:pt idx="0">
                  <c:v>0</c:v>
                </c:pt>
              </c:numCache>
            </c:numRef>
          </c:xVal>
          <c:yVal>
            <c:numRef>
              <c:f>Hazard4!$J$774</c:f>
              <c:numCache>
                <c:formatCode>General</c:formatCode>
                <c:ptCount val="1"/>
                <c:pt idx="0">
                  <c:v>0</c:v>
                </c:pt>
              </c:numCache>
            </c:numRef>
          </c:yVal>
          <c:smooth val="0"/>
          <c:extLst>
            <c:ext xmlns:c16="http://schemas.microsoft.com/office/drawing/2014/chart" uri="{C3380CC4-5D6E-409C-BE32-E72D297353CC}">
              <c16:uniqueId val="{00000005-3738-4F8C-904A-B4F027EA7666}"/>
            </c:ext>
          </c:extLst>
        </c:ser>
        <c:ser>
          <c:idx val="5"/>
          <c:order val="5"/>
          <c:tx>
            <c:strRef>
              <c:f>Hazard4!$C$777</c:f>
              <c:strCache>
                <c:ptCount val="1"/>
                <c:pt idx="0">
                  <c:v>Vision Disability</c:v>
                </c:pt>
              </c:strCache>
            </c:strRef>
          </c:tx>
          <c:spPr>
            <a:ln w="66675">
              <a:noFill/>
            </a:ln>
          </c:spPr>
          <c:dLbls>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Hazard4!$J$779</c:f>
              <c:numCache>
                <c:formatCode>General</c:formatCode>
                <c:ptCount val="1"/>
                <c:pt idx="0">
                  <c:v>0</c:v>
                </c:pt>
              </c:numCache>
            </c:numRef>
          </c:xVal>
          <c:yVal>
            <c:numRef>
              <c:f>Hazard4!$J$778</c:f>
              <c:numCache>
                <c:formatCode>General</c:formatCode>
                <c:ptCount val="1"/>
                <c:pt idx="0">
                  <c:v>0</c:v>
                </c:pt>
              </c:numCache>
            </c:numRef>
          </c:yVal>
          <c:smooth val="0"/>
          <c:extLst>
            <c:ext xmlns:c16="http://schemas.microsoft.com/office/drawing/2014/chart" uri="{C3380CC4-5D6E-409C-BE32-E72D297353CC}">
              <c16:uniqueId val="{00000006-3738-4F8C-904A-B4F027EA7666}"/>
            </c:ext>
          </c:extLst>
        </c:ser>
        <c:ser>
          <c:idx val="6"/>
          <c:order val="6"/>
          <c:tx>
            <c:strRef>
              <c:f>Hazard4!$C$781</c:f>
              <c:strCache>
                <c:ptCount val="1"/>
                <c:pt idx="0">
                  <c:v>Ambulatory Disability</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Hazard4!$J$783</c:f>
              <c:numCache>
                <c:formatCode>General</c:formatCode>
                <c:ptCount val="1"/>
                <c:pt idx="0">
                  <c:v>0</c:v>
                </c:pt>
              </c:numCache>
            </c:numRef>
          </c:xVal>
          <c:yVal>
            <c:numRef>
              <c:f>Hazard4!$J$782</c:f>
              <c:numCache>
                <c:formatCode>General</c:formatCode>
                <c:ptCount val="1"/>
                <c:pt idx="0">
                  <c:v>0</c:v>
                </c:pt>
              </c:numCache>
            </c:numRef>
          </c:yVal>
          <c:smooth val="0"/>
          <c:extLst>
            <c:ext xmlns:c16="http://schemas.microsoft.com/office/drawing/2014/chart" uri="{C3380CC4-5D6E-409C-BE32-E72D297353CC}">
              <c16:uniqueId val="{00000007-3738-4F8C-904A-B4F027EA7666}"/>
            </c:ext>
          </c:extLst>
        </c:ser>
        <c:ser>
          <c:idx val="7"/>
          <c:order val="7"/>
          <c:tx>
            <c:strRef>
              <c:f>Hazard4!$C$785</c:f>
              <c:strCache>
                <c:ptCount val="1"/>
                <c:pt idx="0">
                  <c:v>Cognitive Disability</c:v>
                </c:pt>
              </c:strCache>
            </c:strRef>
          </c:tx>
          <c:spPr>
            <a:ln w="66675">
              <a:noFill/>
            </a:ln>
          </c:spPr>
          <c:dLbls>
            <c:dLbl>
              <c:idx val="0"/>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3738-4F8C-904A-B4F027EA7666}"/>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Hazard4!$J$787</c:f>
              <c:numCache>
                <c:formatCode>General</c:formatCode>
                <c:ptCount val="1"/>
                <c:pt idx="0">
                  <c:v>0</c:v>
                </c:pt>
              </c:numCache>
            </c:numRef>
          </c:xVal>
          <c:yVal>
            <c:numRef>
              <c:f>Hazard4!$J$786</c:f>
              <c:numCache>
                <c:formatCode>General</c:formatCode>
                <c:ptCount val="1"/>
                <c:pt idx="0">
                  <c:v>0</c:v>
                </c:pt>
              </c:numCache>
            </c:numRef>
          </c:yVal>
          <c:smooth val="0"/>
          <c:extLst>
            <c:ext xmlns:c16="http://schemas.microsoft.com/office/drawing/2014/chart" uri="{C3380CC4-5D6E-409C-BE32-E72D297353CC}">
              <c16:uniqueId val="{00000009-3738-4F8C-904A-B4F027EA7666}"/>
            </c:ext>
          </c:extLst>
        </c:ser>
        <c:ser>
          <c:idx val="8"/>
          <c:order val="8"/>
          <c:tx>
            <c:strRef>
              <c:f>Hazard4!$C$789</c:f>
              <c:strCache>
                <c:ptCount val="1"/>
                <c:pt idx="0">
                  <c:v>Limited English Proficiency</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Hazard4!$J$791</c:f>
              <c:numCache>
                <c:formatCode>General</c:formatCode>
                <c:ptCount val="1"/>
                <c:pt idx="0">
                  <c:v>0</c:v>
                </c:pt>
              </c:numCache>
            </c:numRef>
          </c:xVal>
          <c:yVal>
            <c:numRef>
              <c:f>Hazard4!$J$790</c:f>
              <c:numCache>
                <c:formatCode>General</c:formatCode>
                <c:ptCount val="1"/>
                <c:pt idx="0">
                  <c:v>0</c:v>
                </c:pt>
              </c:numCache>
            </c:numRef>
          </c:yVal>
          <c:smooth val="0"/>
          <c:extLst>
            <c:ext xmlns:c16="http://schemas.microsoft.com/office/drawing/2014/chart" uri="{C3380CC4-5D6E-409C-BE32-E72D297353CC}">
              <c16:uniqueId val="{0000000A-3738-4F8C-904A-B4F027EA7666}"/>
            </c:ext>
          </c:extLst>
        </c:ser>
        <c:dLbls>
          <c:showLegendKey val="0"/>
          <c:showVal val="1"/>
          <c:showCatName val="0"/>
          <c:showSerName val="0"/>
          <c:showPercent val="0"/>
          <c:showBubbleSize val="0"/>
        </c:dLbls>
        <c:axId val="204268288"/>
        <c:axId val="204270208"/>
      </c:scatterChart>
      <c:valAx>
        <c:axId val="204268288"/>
        <c:scaling>
          <c:orientation val="minMax"/>
          <c:max val="4.5"/>
          <c:min val="0"/>
        </c:scaling>
        <c:delete val="0"/>
        <c:axPos val="b"/>
        <c:majorGridlines/>
        <c:title>
          <c:tx>
            <c:rich>
              <a:bodyPr/>
              <a:lstStyle/>
              <a:p>
                <a:pPr>
                  <a:defRPr b="0">
                    <a:latin typeface="+mj-lt"/>
                  </a:defRPr>
                </a:pPr>
                <a:r>
                  <a:rPr lang="en-US" sz="1600" b="0">
                    <a:latin typeface="+mj-lt"/>
                  </a:rPr>
                  <a:t>Access Planning Score</a:t>
                </a:r>
              </a:p>
            </c:rich>
          </c:tx>
          <c:overlay val="0"/>
        </c:title>
        <c:numFmt formatCode="General" sourceLinked="1"/>
        <c:majorTickMark val="out"/>
        <c:minorTickMark val="none"/>
        <c:tickLblPos val="nextTo"/>
        <c:spPr>
          <a:ln>
            <a:solidFill>
              <a:schemeClr val="tx1"/>
            </a:solidFill>
          </a:ln>
        </c:spPr>
        <c:crossAx val="204270208"/>
        <c:crosses val="autoZero"/>
        <c:crossBetween val="midCat"/>
        <c:majorUnit val="1"/>
        <c:minorUnit val="0.1"/>
      </c:valAx>
      <c:valAx>
        <c:axId val="204270208"/>
        <c:scaling>
          <c:orientation val="minMax"/>
          <c:max val="4.5"/>
          <c:min val="0"/>
        </c:scaling>
        <c:delete val="0"/>
        <c:axPos val="l"/>
        <c:majorGridlines/>
        <c:title>
          <c:tx>
            <c:rich>
              <a:bodyPr rot="-5400000" vert="horz"/>
              <a:lstStyle/>
              <a:p>
                <a:pPr>
                  <a:defRPr sz="1600" b="0">
                    <a:latin typeface="+mj-lt"/>
                  </a:defRPr>
                </a:pPr>
                <a:r>
                  <a:rPr lang="en-US" sz="1600" b="0">
                    <a:latin typeface="+mj-lt"/>
                  </a:rPr>
                  <a:t>Population Size Score</a:t>
                </a:r>
              </a:p>
            </c:rich>
          </c:tx>
          <c:overlay val="0"/>
        </c:title>
        <c:numFmt formatCode="General" sourceLinked="1"/>
        <c:majorTickMark val="out"/>
        <c:minorTickMark val="none"/>
        <c:tickLblPos val="nextTo"/>
        <c:spPr>
          <a:ln>
            <a:solidFill>
              <a:schemeClr val="tx1"/>
            </a:solidFill>
          </a:ln>
        </c:spPr>
        <c:crossAx val="204268288"/>
        <c:crosses val="autoZero"/>
        <c:crossBetween val="midCat"/>
        <c:majorUnit val="1"/>
        <c:minorUnit val="0.1"/>
      </c:valAx>
      <c:spPr>
        <a:gradFill flip="none" rotWithShape="1">
          <a:gsLst>
            <a:gs pos="0">
              <a:srgbClr val="63BE7B"/>
            </a:gs>
            <a:gs pos="50000">
              <a:srgbClr val="FFEB84"/>
            </a:gs>
            <a:gs pos="100000">
              <a:srgbClr val="F8696B"/>
            </a:gs>
          </a:gsLst>
          <a:lin ang="189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defRPr b="0" u="sng">
                <a:latin typeface="+mj-lt"/>
              </a:defRPr>
            </a:pPr>
            <a:r>
              <a:rPr lang="en-US" b="0" u="sng">
                <a:latin typeface="+mj-lt"/>
              </a:rPr>
              <a:t>Public Health Preparedness</a:t>
            </a:r>
          </a:p>
        </c:rich>
      </c:tx>
      <c:layout>
        <c:manualLayout>
          <c:xMode val="edge"/>
          <c:yMode val="edge"/>
          <c:x val="0.30532356317913883"/>
          <c:y val="1.3244983721297133E-2"/>
        </c:manualLayout>
      </c:layout>
      <c:overlay val="0"/>
    </c:title>
    <c:autoTitleDeleted val="0"/>
    <c:plotArea>
      <c:layout/>
      <c:scatterChart>
        <c:scatterStyle val="lineMarker"/>
        <c:varyColors val="0"/>
        <c:ser>
          <c:idx val="0"/>
          <c:order val="0"/>
          <c:tx>
            <c:strRef>
              <c:f>Hazard4!$C$853</c:f>
              <c:strCache>
                <c:ptCount val="1"/>
                <c:pt idx="0">
                  <c:v>Info Sharing</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Hazard4!$J$854</c:f>
              <c:strCache>
                <c:ptCount val="1"/>
                <c:pt idx="0">
                  <c:v>Not Calculated</c:v>
                </c:pt>
              </c:strCache>
            </c:strRef>
          </c:xVal>
          <c:yVal>
            <c:numRef>
              <c:f>Hazard4!$J$855</c:f>
              <c:numCache>
                <c:formatCode>General</c:formatCode>
                <c:ptCount val="1"/>
                <c:pt idx="0">
                  <c:v>0</c:v>
                </c:pt>
              </c:numCache>
            </c:numRef>
          </c:yVal>
          <c:smooth val="0"/>
          <c:extLst>
            <c:ext xmlns:c16="http://schemas.microsoft.com/office/drawing/2014/chart" uri="{C3380CC4-5D6E-409C-BE32-E72D297353CC}">
              <c16:uniqueId val="{00000000-81C1-474B-BDEB-4360EE38E044}"/>
            </c:ext>
          </c:extLst>
        </c:ser>
        <c:ser>
          <c:idx val="1"/>
          <c:order val="1"/>
          <c:tx>
            <c:strRef>
              <c:f>Hazard4!$C$857</c:f>
              <c:strCache>
                <c:ptCount val="1"/>
                <c:pt idx="0">
                  <c:v>Mass Care</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Hazard4!$J$858</c:f>
              <c:strCache>
                <c:ptCount val="1"/>
                <c:pt idx="0">
                  <c:v>Not Calculated</c:v>
                </c:pt>
              </c:strCache>
            </c:strRef>
          </c:xVal>
          <c:yVal>
            <c:numRef>
              <c:f>Hazard4!$J$859</c:f>
              <c:numCache>
                <c:formatCode>General</c:formatCode>
                <c:ptCount val="1"/>
                <c:pt idx="0">
                  <c:v>0</c:v>
                </c:pt>
              </c:numCache>
            </c:numRef>
          </c:yVal>
          <c:smooth val="0"/>
          <c:extLst>
            <c:ext xmlns:c16="http://schemas.microsoft.com/office/drawing/2014/chart" uri="{C3380CC4-5D6E-409C-BE32-E72D297353CC}">
              <c16:uniqueId val="{00000001-81C1-474B-BDEB-4360EE38E044}"/>
            </c:ext>
          </c:extLst>
        </c:ser>
        <c:ser>
          <c:idx val="2"/>
          <c:order val="2"/>
          <c:tx>
            <c:strRef>
              <c:f>Hazard4!$C$861</c:f>
              <c:strCache>
                <c:ptCount val="1"/>
                <c:pt idx="0">
                  <c:v>MCM Dispens</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Hazard4!$J$862</c:f>
              <c:strCache>
                <c:ptCount val="1"/>
                <c:pt idx="0">
                  <c:v>Not Calculated</c:v>
                </c:pt>
              </c:strCache>
            </c:strRef>
          </c:xVal>
          <c:yVal>
            <c:numRef>
              <c:f>Hazard4!$J$863</c:f>
              <c:numCache>
                <c:formatCode>General</c:formatCode>
                <c:ptCount val="1"/>
                <c:pt idx="0">
                  <c:v>0</c:v>
                </c:pt>
              </c:numCache>
            </c:numRef>
          </c:yVal>
          <c:smooth val="0"/>
          <c:extLst>
            <c:ext xmlns:c16="http://schemas.microsoft.com/office/drawing/2014/chart" uri="{C3380CC4-5D6E-409C-BE32-E72D297353CC}">
              <c16:uniqueId val="{00000002-81C1-474B-BDEB-4360EE38E044}"/>
            </c:ext>
          </c:extLst>
        </c:ser>
        <c:ser>
          <c:idx val="3"/>
          <c:order val="3"/>
          <c:tx>
            <c:strRef>
              <c:f>Hazard4!$C$865</c:f>
              <c:strCache>
                <c:ptCount val="1"/>
                <c:pt idx="0">
                  <c:v>Med Materiel Mgmt</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Hazard4!$J$866</c:f>
              <c:strCache>
                <c:ptCount val="1"/>
                <c:pt idx="0">
                  <c:v>Not Calculated</c:v>
                </c:pt>
              </c:strCache>
            </c:strRef>
          </c:xVal>
          <c:yVal>
            <c:numRef>
              <c:f>Hazard4!$J$867</c:f>
              <c:numCache>
                <c:formatCode>General</c:formatCode>
                <c:ptCount val="1"/>
                <c:pt idx="0">
                  <c:v>0</c:v>
                </c:pt>
              </c:numCache>
            </c:numRef>
          </c:yVal>
          <c:smooth val="0"/>
          <c:extLst>
            <c:ext xmlns:c16="http://schemas.microsoft.com/office/drawing/2014/chart" uri="{C3380CC4-5D6E-409C-BE32-E72D297353CC}">
              <c16:uniqueId val="{00000003-81C1-474B-BDEB-4360EE38E044}"/>
            </c:ext>
          </c:extLst>
        </c:ser>
        <c:ser>
          <c:idx val="4"/>
          <c:order val="4"/>
          <c:tx>
            <c:strRef>
              <c:f>Hazard4!$C$869</c:f>
              <c:strCache>
                <c:ptCount val="1"/>
                <c:pt idx="0">
                  <c:v>Medical Surge</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Hazard4!$J$870</c:f>
              <c:strCache>
                <c:ptCount val="1"/>
                <c:pt idx="0">
                  <c:v>Not Calculated</c:v>
                </c:pt>
              </c:strCache>
            </c:strRef>
          </c:xVal>
          <c:yVal>
            <c:numRef>
              <c:f>Hazard4!$J$871</c:f>
              <c:numCache>
                <c:formatCode>General</c:formatCode>
                <c:ptCount val="1"/>
                <c:pt idx="0">
                  <c:v>0</c:v>
                </c:pt>
              </c:numCache>
            </c:numRef>
          </c:yVal>
          <c:smooth val="0"/>
          <c:extLst>
            <c:ext xmlns:c16="http://schemas.microsoft.com/office/drawing/2014/chart" uri="{C3380CC4-5D6E-409C-BE32-E72D297353CC}">
              <c16:uniqueId val="{00000004-81C1-474B-BDEB-4360EE38E044}"/>
            </c:ext>
          </c:extLst>
        </c:ser>
        <c:ser>
          <c:idx val="5"/>
          <c:order val="5"/>
          <c:tx>
            <c:strRef>
              <c:f>Hazard4!$C$873</c:f>
              <c:strCache>
                <c:ptCount val="1"/>
                <c:pt idx="0">
                  <c:v>Non-Pharm Interv</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Hazard4!$J$874</c:f>
              <c:strCache>
                <c:ptCount val="1"/>
                <c:pt idx="0">
                  <c:v>Not Calculated</c:v>
                </c:pt>
              </c:strCache>
            </c:strRef>
          </c:xVal>
          <c:yVal>
            <c:numRef>
              <c:f>Hazard4!$J$875</c:f>
              <c:numCache>
                <c:formatCode>General</c:formatCode>
                <c:ptCount val="1"/>
                <c:pt idx="0">
                  <c:v>0</c:v>
                </c:pt>
              </c:numCache>
            </c:numRef>
          </c:yVal>
          <c:smooth val="0"/>
          <c:extLst>
            <c:ext xmlns:c16="http://schemas.microsoft.com/office/drawing/2014/chart" uri="{C3380CC4-5D6E-409C-BE32-E72D297353CC}">
              <c16:uniqueId val="{00000005-81C1-474B-BDEB-4360EE38E044}"/>
            </c:ext>
          </c:extLst>
        </c:ser>
        <c:ser>
          <c:idx val="6"/>
          <c:order val="6"/>
          <c:tx>
            <c:strRef>
              <c:f>Hazard4!$C$877</c:f>
              <c:strCache>
                <c:ptCount val="1"/>
                <c:pt idx="0">
                  <c:v>PH Lab Testing</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Hazard4!$J$878</c:f>
              <c:strCache>
                <c:ptCount val="1"/>
                <c:pt idx="0">
                  <c:v>Not Calculated</c:v>
                </c:pt>
              </c:strCache>
            </c:strRef>
          </c:xVal>
          <c:yVal>
            <c:numRef>
              <c:f>Hazard4!$J$879</c:f>
              <c:numCache>
                <c:formatCode>General</c:formatCode>
                <c:ptCount val="1"/>
                <c:pt idx="0">
                  <c:v>0</c:v>
                </c:pt>
              </c:numCache>
            </c:numRef>
          </c:yVal>
          <c:smooth val="0"/>
          <c:extLst>
            <c:ext xmlns:c16="http://schemas.microsoft.com/office/drawing/2014/chart" uri="{C3380CC4-5D6E-409C-BE32-E72D297353CC}">
              <c16:uniqueId val="{00000006-81C1-474B-BDEB-4360EE38E044}"/>
            </c:ext>
          </c:extLst>
        </c:ser>
        <c:ser>
          <c:idx val="7"/>
          <c:order val="7"/>
          <c:tx>
            <c:strRef>
              <c:f>Hazard4!$C$881</c:f>
              <c:strCache>
                <c:ptCount val="1"/>
                <c:pt idx="0">
                  <c:v>PH Surv &amp; Epi</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Hazard4!$J$882</c:f>
              <c:strCache>
                <c:ptCount val="1"/>
                <c:pt idx="0">
                  <c:v>Not Calculated</c:v>
                </c:pt>
              </c:strCache>
            </c:strRef>
          </c:xVal>
          <c:yVal>
            <c:numRef>
              <c:f>Hazard4!$J$883</c:f>
              <c:numCache>
                <c:formatCode>General</c:formatCode>
                <c:ptCount val="1"/>
                <c:pt idx="0">
                  <c:v>0</c:v>
                </c:pt>
              </c:numCache>
            </c:numRef>
          </c:yVal>
          <c:smooth val="0"/>
          <c:extLst>
            <c:ext xmlns:c16="http://schemas.microsoft.com/office/drawing/2014/chart" uri="{C3380CC4-5D6E-409C-BE32-E72D297353CC}">
              <c16:uniqueId val="{00000007-81C1-474B-BDEB-4360EE38E044}"/>
            </c:ext>
          </c:extLst>
        </c:ser>
        <c:ser>
          <c:idx val="8"/>
          <c:order val="8"/>
          <c:tx>
            <c:strRef>
              <c:f>Hazard4!$C$885</c:f>
              <c:strCache>
                <c:ptCount val="1"/>
                <c:pt idx="0">
                  <c:v>Responder Safety</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Hazard4!$J$886</c:f>
              <c:strCache>
                <c:ptCount val="1"/>
                <c:pt idx="0">
                  <c:v>Not Calculated</c:v>
                </c:pt>
              </c:strCache>
            </c:strRef>
          </c:xVal>
          <c:yVal>
            <c:numRef>
              <c:f>Hazard4!$J$887</c:f>
              <c:numCache>
                <c:formatCode>General</c:formatCode>
                <c:ptCount val="1"/>
                <c:pt idx="0">
                  <c:v>0</c:v>
                </c:pt>
              </c:numCache>
            </c:numRef>
          </c:yVal>
          <c:smooth val="0"/>
          <c:extLst>
            <c:ext xmlns:c16="http://schemas.microsoft.com/office/drawing/2014/chart" uri="{C3380CC4-5D6E-409C-BE32-E72D297353CC}">
              <c16:uniqueId val="{00000008-81C1-474B-BDEB-4360EE38E044}"/>
            </c:ext>
          </c:extLst>
        </c:ser>
        <c:ser>
          <c:idx val="9"/>
          <c:order val="9"/>
          <c:tx>
            <c:strRef>
              <c:f>Hazard4!$C$889</c:f>
              <c:strCache>
                <c:ptCount val="1"/>
                <c:pt idx="0">
                  <c:v>Volunteer Mgmt</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Hazard4!$J$890</c:f>
              <c:strCache>
                <c:ptCount val="1"/>
                <c:pt idx="0">
                  <c:v>Not Calculated</c:v>
                </c:pt>
              </c:strCache>
            </c:strRef>
          </c:xVal>
          <c:yVal>
            <c:numRef>
              <c:f>Hazard4!$J$891</c:f>
              <c:numCache>
                <c:formatCode>General</c:formatCode>
                <c:ptCount val="1"/>
                <c:pt idx="0">
                  <c:v>0</c:v>
                </c:pt>
              </c:numCache>
            </c:numRef>
          </c:yVal>
          <c:smooth val="0"/>
          <c:extLst>
            <c:ext xmlns:c16="http://schemas.microsoft.com/office/drawing/2014/chart" uri="{C3380CC4-5D6E-409C-BE32-E72D297353CC}">
              <c16:uniqueId val="{00000009-81C1-474B-BDEB-4360EE38E044}"/>
            </c:ext>
          </c:extLst>
        </c:ser>
        <c:ser>
          <c:idx val="10"/>
          <c:order val="10"/>
          <c:tx>
            <c:strRef>
              <c:f>Hazard4!$C$833</c:f>
              <c:strCache>
                <c:ptCount val="1"/>
                <c:pt idx="0">
                  <c:v>Community Prep</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Hazard4!$J$834</c:f>
              <c:strCache>
                <c:ptCount val="1"/>
                <c:pt idx="0">
                  <c:v>Not Calculated</c:v>
                </c:pt>
              </c:strCache>
            </c:strRef>
          </c:xVal>
          <c:yVal>
            <c:numRef>
              <c:f>Hazard4!$J$835</c:f>
              <c:numCache>
                <c:formatCode>General</c:formatCode>
                <c:ptCount val="1"/>
                <c:pt idx="0">
                  <c:v>0</c:v>
                </c:pt>
              </c:numCache>
            </c:numRef>
          </c:yVal>
          <c:smooth val="0"/>
          <c:extLst>
            <c:ext xmlns:c16="http://schemas.microsoft.com/office/drawing/2014/chart" uri="{C3380CC4-5D6E-409C-BE32-E72D297353CC}">
              <c16:uniqueId val="{0000000A-81C1-474B-BDEB-4360EE38E044}"/>
            </c:ext>
          </c:extLst>
        </c:ser>
        <c:ser>
          <c:idx val="11"/>
          <c:order val="11"/>
          <c:tx>
            <c:strRef>
              <c:f>Hazard4!$C$837</c:f>
              <c:strCache>
                <c:ptCount val="1"/>
                <c:pt idx="0">
                  <c:v>Community Recov</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Hazard4!$J$838</c:f>
              <c:strCache>
                <c:ptCount val="1"/>
                <c:pt idx="0">
                  <c:v>Not Calculated</c:v>
                </c:pt>
              </c:strCache>
            </c:strRef>
          </c:xVal>
          <c:yVal>
            <c:numRef>
              <c:f>Hazard4!$J$839</c:f>
              <c:numCache>
                <c:formatCode>General</c:formatCode>
                <c:ptCount val="1"/>
                <c:pt idx="0">
                  <c:v>0</c:v>
                </c:pt>
              </c:numCache>
            </c:numRef>
          </c:yVal>
          <c:smooth val="0"/>
          <c:extLst>
            <c:ext xmlns:c16="http://schemas.microsoft.com/office/drawing/2014/chart" uri="{C3380CC4-5D6E-409C-BE32-E72D297353CC}">
              <c16:uniqueId val="{0000000B-81C1-474B-BDEB-4360EE38E044}"/>
            </c:ext>
          </c:extLst>
        </c:ser>
        <c:ser>
          <c:idx val="12"/>
          <c:order val="12"/>
          <c:tx>
            <c:strRef>
              <c:f>Hazard4!$C$841</c:f>
              <c:strCache>
                <c:ptCount val="1"/>
                <c:pt idx="0">
                  <c:v>Emerg Ops Coord</c:v>
                </c:pt>
              </c:strCache>
            </c:strRef>
          </c:tx>
          <c:spPr>
            <a:ln w="66675">
              <a:noFill/>
            </a:ln>
          </c:spPr>
          <c:dLbls>
            <c:spPr>
              <a:noFill/>
              <a:ln>
                <a:noFill/>
              </a:ln>
              <a:effectLst/>
            </c:sp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Hazard4!$J$842</c:f>
              <c:strCache>
                <c:ptCount val="1"/>
                <c:pt idx="0">
                  <c:v>Not Calculated</c:v>
                </c:pt>
              </c:strCache>
            </c:strRef>
          </c:xVal>
          <c:yVal>
            <c:numRef>
              <c:f>Hazard4!$J$843</c:f>
              <c:numCache>
                <c:formatCode>General</c:formatCode>
                <c:ptCount val="1"/>
                <c:pt idx="0">
                  <c:v>0</c:v>
                </c:pt>
              </c:numCache>
            </c:numRef>
          </c:yVal>
          <c:smooth val="0"/>
          <c:extLst>
            <c:ext xmlns:c16="http://schemas.microsoft.com/office/drawing/2014/chart" uri="{C3380CC4-5D6E-409C-BE32-E72D297353CC}">
              <c16:uniqueId val="{0000000C-81C1-474B-BDEB-4360EE38E044}"/>
            </c:ext>
          </c:extLst>
        </c:ser>
        <c:ser>
          <c:idx val="13"/>
          <c:order val="13"/>
          <c:tx>
            <c:strRef>
              <c:f>Hazard4!$C$845</c:f>
              <c:strCache>
                <c:ptCount val="1"/>
                <c:pt idx="0">
                  <c:v>Emerg Public Info</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Hazard4!$J$846</c:f>
              <c:strCache>
                <c:ptCount val="1"/>
                <c:pt idx="0">
                  <c:v>Not Calculated</c:v>
                </c:pt>
              </c:strCache>
            </c:strRef>
          </c:xVal>
          <c:yVal>
            <c:numRef>
              <c:f>Hazard4!$J$847</c:f>
              <c:numCache>
                <c:formatCode>General</c:formatCode>
                <c:ptCount val="1"/>
                <c:pt idx="0">
                  <c:v>0</c:v>
                </c:pt>
              </c:numCache>
            </c:numRef>
          </c:yVal>
          <c:smooth val="0"/>
          <c:extLst>
            <c:ext xmlns:c16="http://schemas.microsoft.com/office/drawing/2014/chart" uri="{C3380CC4-5D6E-409C-BE32-E72D297353CC}">
              <c16:uniqueId val="{0000000D-81C1-474B-BDEB-4360EE38E044}"/>
            </c:ext>
          </c:extLst>
        </c:ser>
        <c:ser>
          <c:idx val="14"/>
          <c:order val="14"/>
          <c:tx>
            <c:strRef>
              <c:f>Drought!$C$964</c:f>
              <c:strCache>
                <c:ptCount val="1"/>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Drought!$J$965</c:f>
            </c:numRef>
          </c:xVal>
          <c:yVal>
            <c:numRef>
              <c:f>Drought!$J$966</c:f>
            </c:numRef>
          </c:yVal>
          <c:smooth val="0"/>
          <c:extLst>
            <c:ext xmlns:c16="http://schemas.microsoft.com/office/drawing/2014/chart" uri="{C3380CC4-5D6E-409C-BE32-E72D297353CC}">
              <c16:uniqueId val="{0000000E-81C1-474B-BDEB-4360EE38E044}"/>
            </c:ext>
          </c:extLst>
        </c:ser>
        <c:ser>
          <c:idx val="15"/>
          <c:order val="15"/>
          <c:tx>
            <c:strRef>
              <c:f>Hazard4!$C$849</c:f>
              <c:strCache>
                <c:ptCount val="1"/>
                <c:pt idx="0">
                  <c:v>Fatality Mgmt</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Hazard4!$J$850</c:f>
              <c:strCache>
                <c:ptCount val="1"/>
                <c:pt idx="0">
                  <c:v>Not Calculated</c:v>
                </c:pt>
              </c:strCache>
            </c:strRef>
          </c:xVal>
          <c:yVal>
            <c:numRef>
              <c:f>Hazard4!$J$851</c:f>
              <c:numCache>
                <c:formatCode>General</c:formatCode>
                <c:ptCount val="1"/>
                <c:pt idx="0">
                  <c:v>0</c:v>
                </c:pt>
              </c:numCache>
            </c:numRef>
          </c:yVal>
          <c:smooth val="0"/>
          <c:extLst>
            <c:ext xmlns:c16="http://schemas.microsoft.com/office/drawing/2014/chart" uri="{C3380CC4-5D6E-409C-BE32-E72D297353CC}">
              <c16:uniqueId val="{0000000F-81C1-474B-BDEB-4360EE38E044}"/>
            </c:ext>
          </c:extLst>
        </c:ser>
        <c:dLbls>
          <c:showLegendKey val="0"/>
          <c:showVal val="1"/>
          <c:showCatName val="0"/>
          <c:showSerName val="0"/>
          <c:showPercent val="0"/>
          <c:showBubbleSize val="0"/>
        </c:dLbls>
        <c:axId val="204473088"/>
        <c:axId val="204475008"/>
      </c:scatterChart>
      <c:valAx>
        <c:axId val="204473088"/>
        <c:scaling>
          <c:orientation val="minMax"/>
          <c:max val="4.5"/>
          <c:min val="0"/>
        </c:scaling>
        <c:delete val="0"/>
        <c:axPos val="b"/>
        <c:majorGridlines/>
        <c:title>
          <c:tx>
            <c:rich>
              <a:bodyPr/>
              <a:lstStyle/>
              <a:p>
                <a:pPr>
                  <a:defRPr b="0">
                    <a:latin typeface="+mj-lt"/>
                  </a:defRPr>
                </a:pPr>
                <a:r>
                  <a:rPr lang="en-US" sz="1600" b="0">
                    <a:latin typeface="+mj-lt"/>
                  </a:rPr>
                  <a:t>Capability Relevance to Hazard</a:t>
                </a:r>
              </a:p>
            </c:rich>
          </c:tx>
          <c:overlay val="0"/>
        </c:title>
        <c:numFmt formatCode="General" sourceLinked="1"/>
        <c:majorTickMark val="out"/>
        <c:minorTickMark val="none"/>
        <c:tickLblPos val="nextTo"/>
        <c:spPr>
          <a:ln>
            <a:solidFill>
              <a:schemeClr val="tx1"/>
            </a:solidFill>
          </a:ln>
        </c:spPr>
        <c:crossAx val="204475008"/>
        <c:crosses val="autoZero"/>
        <c:crossBetween val="midCat"/>
        <c:majorUnit val="1"/>
        <c:minorUnit val="0.1"/>
      </c:valAx>
      <c:valAx>
        <c:axId val="204475008"/>
        <c:scaling>
          <c:orientation val="minMax"/>
          <c:max val="4.5"/>
          <c:min val="0"/>
        </c:scaling>
        <c:delete val="0"/>
        <c:axPos val="l"/>
        <c:majorGridlines/>
        <c:title>
          <c:tx>
            <c:rich>
              <a:bodyPr rot="-5400000" vert="horz"/>
              <a:lstStyle/>
              <a:p>
                <a:pPr>
                  <a:defRPr sz="1600" b="0">
                    <a:latin typeface="+mj-lt"/>
                  </a:defRPr>
                </a:pPr>
                <a:r>
                  <a:rPr lang="en-US" sz="1600" b="0">
                    <a:latin typeface="+mj-lt"/>
                  </a:rPr>
                  <a:t>Capability Status</a:t>
                </a:r>
              </a:p>
            </c:rich>
          </c:tx>
          <c:overlay val="0"/>
        </c:title>
        <c:numFmt formatCode="General" sourceLinked="1"/>
        <c:majorTickMark val="out"/>
        <c:minorTickMark val="none"/>
        <c:tickLblPos val="nextTo"/>
        <c:spPr>
          <a:ln>
            <a:solidFill>
              <a:schemeClr val="tx1"/>
            </a:solidFill>
          </a:ln>
        </c:spPr>
        <c:crossAx val="204473088"/>
        <c:crosses val="autoZero"/>
        <c:crossBetween val="midCat"/>
        <c:majorUnit val="1"/>
        <c:minorUnit val="0.1"/>
      </c:valAx>
      <c:spPr>
        <a:gradFill flip="none" rotWithShape="1">
          <a:gsLst>
            <a:gs pos="0">
              <a:srgbClr val="63BE7B"/>
            </a:gs>
            <a:gs pos="50000">
              <a:srgbClr val="FFEB84"/>
            </a:gs>
            <a:gs pos="100000">
              <a:srgbClr val="F8696B"/>
            </a:gs>
          </a:gsLst>
          <a:lin ang="27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defRPr b="0" u="sng">
                <a:latin typeface="+mj-lt"/>
              </a:defRPr>
            </a:pPr>
            <a:r>
              <a:rPr lang="en-US" b="0" u="sng">
                <a:latin typeface="+mj-lt"/>
              </a:rPr>
              <a:t>Healthcare Preparedness</a:t>
            </a:r>
          </a:p>
        </c:rich>
      </c:tx>
      <c:layout>
        <c:manualLayout>
          <c:xMode val="edge"/>
          <c:yMode val="edge"/>
          <c:x val="0.38019690321630645"/>
          <c:y val="1.3244983721297133E-2"/>
        </c:manualLayout>
      </c:layout>
      <c:overlay val="0"/>
    </c:title>
    <c:autoTitleDeleted val="0"/>
    <c:plotArea>
      <c:layout/>
      <c:scatterChart>
        <c:scatterStyle val="lineMarker"/>
        <c:varyColors val="0"/>
        <c:ser>
          <c:idx val="0"/>
          <c:order val="0"/>
          <c:tx>
            <c:strRef>
              <c:f>Hazard4!$C$903</c:f>
              <c:strCache>
                <c:ptCount val="1"/>
                <c:pt idx="0">
                  <c:v>HC System Prep</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Hazard4!$J$904</c:f>
              <c:strCache>
                <c:ptCount val="1"/>
                <c:pt idx="0">
                  <c:v>Not Calculated</c:v>
                </c:pt>
              </c:strCache>
            </c:strRef>
          </c:xVal>
          <c:yVal>
            <c:numRef>
              <c:f>Hazard4!$J$905</c:f>
              <c:numCache>
                <c:formatCode>General</c:formatCode>
                <c:ptCount val="1"/>
                <c:pt idx="0">
                  <c:v>0</c:v>
                </c:pt>
              </c:numCache>
            </c:numRef>
          </c:yVal>
          <c:smooth val="0"/>
          <c:extLst>
            <c:ext xmlns:c16="http://schemas.microsoft.com/office/drawing/2014/chart" uri="{C3380CC4-5D6E-409C-BE32-E72D297353CC}">
              <c16:uniqueId val="{00000000-3A05-4DE9-9DB9-BCED7623F459}"/>
            </c:ext>
          </c:extLst>
        </c:ser>
        <c:ser>
          <c:idx val="1"/>
          <c:order val="1"/>
          <c:tx>
            <c:strRef>
              <c:f>Hazard4!$C$907</c:f>
              <c:strCache>
                <c:ptCount val="1"/>
                <c:pt idx="0">
                  <c:v>HC System Recov</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Hazard4!$J$908</c:f>
              <c:strCache>
                <c:ptCount val="1"/>
                <c:pt idx="0">
                  <c:v>Not Calculated</c:v>
                </c:pt>
              </c:strCache>
            </c:strRef>
          </c:xVal>
          <c:yVal>
            <c:numRef>
              <c:f>Hazard4!$J$909</c:f>
              <c:numCache>
                <c:formatCode>General</c:formatCode>
                <c:ptCount val="1"/>
                <c:pt idx="0">
                  <c:v>0</c:v>
                </c:pt>
              </c:numCache>
            </c:numRef>
          </c:yVal>
          <c:smooth val="0"/>
          <c:extLst>
            <c:ext xmlns:c16="http://schemas.microsoft.com/office/drawing/2014/chart" uri="{C3380CC4-5D6E-409C-BE32-E72D297353CC}">
              <c16:uniqueId val="{00000001-3A05-4DE9-9DB9-BCED7623F459}"/>
            </c:ext>
          </c:extLst>
        </c:ser>
        <c:ser>
          <c:idx val="2"/>
          <c:order val="2"/>
          <c:tx>
            <c:strRef>
              <c:f>Hazard4!$C$911</c:f>
              <c:strCache>
                <c:ptCount val="1"/>
                <c:pt idx="0">
                  <c:v>Emerg Ops Coord</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Hazard4!$J$912</c:f>
              <c:strCache>
                <c:ptCount val="1"/>
                <c:pt idx="0">
                  <c:v>Not Calculated</c:v>
                </c:pt>
              </c:strCache>
            </c:strRef>
          </c:xVal>
          <c:yVal>
            <c:numRef>
              <c:f>Hazard4!$J$913</c:f>
              <c:numCache>
                <c:formatCode>General</c:formatCode>
                <c:ptCount val="1"/>
                <c:pt idx="0">
                  <c:v>0</c:v>
                </c:pt>
              </c:numCache>
            </c:numRef>
          </c:yVal>
          <c:smooth val="0"/>
          <c:extLst>
            <c:ext xmlns:c16="http://schemas.microsoft.com/office/drawing/2014/chart" uri="{C3380CC4-5D6E-409C-BE32-E72D297353CC}">
              <c16:uniqueId val="{00000002-3A05-4DE9-9DB9-BCED7623F459}"/>
            </c:ext>
          </c:extLst>
        </c:ser>
        <c:ser>
          <c:idx val="3"/>
          <c:order val="3"/>
          <c:tx>
            <c:strRef>
              <c:f>Hazard4!$C$915</c:f>
              <c:strCache>
                <c:ptCount val="1"/>
                <c:pt idx="0">
                  <c:v>Fatality Mgmt</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Hazard4!$J$916</c:f>
              <c:strCache>
                <c:ptCount val="1"/>
                <c:pt idx="0">
                  <c:v>Not Calculated</c:v>
                </c:pt>
              </c:strCache>
            </c:strRef>
          </c:xVal>
          <c:yVal>
            <c:numRef>
              <c:f>Hazard4!$J$917</c:f>
              <c:numCache>
                <c:formatCode>General</c:formatCode>
                <c:ptCount val="1"/>
                <c:pt idx="0">
                  <c:v>0</c:v>
                </c:pt>
              </c:numCache>
            </c:numRef>
          </c:yVal>
          <c:smooth val="0"/>
          <c:extLst>
            <c:ext xmlns:c16="http://schemas.microsoft.com/office/drawing/2014/chart" uri="{C3380CC4-5D6E-409C-BE32-E72D297353CC}">
              <c16:uniqueId val="{00000003-3A05-4DE9-9DB9-BCED7623F459}"/>
            </c:ext>
          </c:extLst>
        </c:ser>
        <c:ser>
          <c:idx val="4"/>
          <c:order val="4"/>
          <c:tx>
            <c:strRef>
              <c:f>Hazard4!$C$919</c:f>
              <c:strCache>
                <c:ptCount val="1"/>
                <c:pt idx="0">
                  <c:v>Info Sharing</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Hazard4!$J$920</c:f>
              <c:strCache>
                <c:ptCount val="1"/>
                <c:pt idx="0">
                  <c:v>Not Calculated</c:v>
                </c:pt>
              </c:strCache>
            </c:strRef>
          </c:xVal>
          <c:yVal>
            <c:numRef>
              <c:f>Hazard4!$J$921</c:f>
              <c:numCache>
                <c:formatCode>General</c:formatCode>
                <c:ptCount val="1"/>
                <c:pt idx="0">
                  <c:v>0</c:v>
                </c:pt>
              </c:numCache>
            </c:numRef>
          </c:yVal>
          <c:smooth val="0"/>
          <c:extLst>
            <c:ext xmlns:c16="http://schemas.microsoft.com/office/drawing/2014/chart" uri="{C3380CC4-5D6E-409C-BE32-E72D297353CC}">
              <c16:uniqueId val="{00000004-3A05-4DE9-9DB9-BCED7623F459}"/>
            </c:ext>
          </c:extLst>
        </c:ser>
        <c:ser>
          <c:idx val="5"/>
          <c:order val="5"/>
          <c:tx>
            <c:strRef>
              <c:f>Hazard4!$C$923</c:f>
              <c:strCache>
                <c:ptCount val="1"/>
                <c:pt idx="0">
                  <c:v>Medical Surge</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Hazard4!$J$924</c:f>
              <c:strCache>
                <c:ptCount val="1"/>
                <c:pt idx="0">
                  <c:v>Not Calculated</c:v>
                </c:pt>
              </c:strCache>
            </c:strRef>
          </c:xVal>
          <c:yVal>
            <c:numRef>
              <c:f>Hazard4!$J$925</c:f>
              <c:numCache>
                <c:formatCode>General</c:formatCode>
                <c:ptCount val="1"/>
                <c:pt idx="0">
                  <c:v>0</c:v>
                </c:pt>
              </c:numCache>
            </c:numRef>
          </c:yVal>
          <c:smooth val="0"/>
          <c:extLst>
            <c:ext xmlns:c16="http://schemas.microsoft.com/office/drawing/2014/chart" uri="{C3380CC4-5D6E-409C-BE32-E72D297353CC}">
              <c16:uniqueId val="{00000005-3A05-4DE9-9DB9-BCED7623F459}"/>
            </c:ext>
          </c:extLst>
        </c:ser>
        <c:ser>
          <c:idx val="6"/>
          <c:order val="6"/>
          <c:tx>
            <c:strRef>
              <c:f>Hazard4!$C$927</c:f>
              <c:strCache>
                <c:ptCount val="1"/>
                <c:pt idx="0">
                  <c:v>Responder Safety</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Hazard4!$J$928</c:f>
              <c:strCache>
                <c:ptCount val="1"/>
                <c:pt idx="0">
                  <c:v>Not Calculated</c:v>
                </c:pt>
              </c:strCache>
            </c:strRef>
          </c:xVal>
          <c:yVal>
            <c:numRef>
              <c:f>Hazard4!$J$929</c:f>
              <c:numCache>
                <c:formatCode>General</c:formatCode>
                <c:ptCount val="1"/>
                <c:pt idx="0">
                  <c:v>0</c:v>
                </c:pt>
              </c:numCache>
            </c:numRef>
          </c:yVal>
          <c:smooth val="0"/>
          <c:extLst>
            <c:ext xmlns:c16="http://schemas.microsoft.com/office/drawing/2014/chart" uri="{C3380CC4-5D6E-409C-BE32-E72D297353CC}">
              <c16:uniqueId val="{00000006-3A05-4DE9-9DB9-BCED7623F459}"/>
            </c:ext>
          </c:extLst>
        </c:ser>
        <c:ser>
          <c:idx val="7"/>
          <c:order val="7"/>
          <c:tx>
            <c:strRef>
              <c:f>Hazard4!$C$931</c:f>
              <c:strCache>
                <c:ptCount val="1"/>
                <c:pt idx="0">
                  <c:v>Volunteer Mgmt</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Hazard4!$J$932</c:f>
              <c:strCache>
                <c:ptCount val="1"/>
                <c:pt idx="0">
                  <c:v>Not Calculated</c:v>
                </c:pt>
              </c:strCache>
            </c:strRef>
          </c:xVal>
          <c:yVal>
            <c:numRef>
              <c:f>Hazard4!$J$933</c:f>
              <c:numCache>
                <c:formatCode>General</c:formatCode>
                <c:ptCount val="1"/>
                <c:pt idx="0">
                  <c:v>0</c:v>
                </c:pt>
              </c:numCache>
            </c:numRef>
          </c:yVal>
          <c:smooth val="0"/>
          <c:extLst>
            <c:ext xmlns:c16="http://schemas.microsoft.com/office/drawing/2014/chart" uri="{C3380CC4-5D6E-409C-BE32-E72D297353CC}">
              <c16:uniqueId val="{00000007-3A05-4DE9-9DB9-BCED7623F459}"/>
            </c:ext>
          </c:extLst>
        </c:ser>
        <c:ser>
          <c:idx val="14"/>
          <c:order val="8"/>
          <c:tx>
            <c:strRef>
              <c:f>Drought!$C$964</c:f>
              <c:strCache>
                <c:ptCount val="1"/>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Drought!$J$965</c:f>
            </c:numRef>
          </c:xVal>
          <c:yVal>
            <c:numRef>
              <c:f>Drought!$J$966</c:f>
            </c:numRef>
          </c:yVal>
          <c:smooth val="0"/>
          <c:extLst>
            <c:ext xmlns:c16="http://schemas.microsoft.com/office/drawing/2014/chart" uri="{C3380CC4-5D6E-409C-BE32-E72D297353CC}">
              <c16:uniqueId val="{00000008-3A05-4DE9-9DB9-BCED7623F459}"/>
            </c:ext>
          </c:extLst>
        </c:ser>
        <c:dLbls>
          <c:showLegendKey val="0"/>
          <c:showVal val="1"/>
          <c:showCatName val="0"/>
          <c:showSerName val="0"/>
          <c:showPercent val="0"/>
          <c:showBubbleSize val="0"/>
        </c:dLbls>
        <c:axId val="204585600"/>
        <c:axId val="204612352"/>
      </c:scatterChart>
      <c:valAx>
        <c:axId val="204585600"/>
        <c:scaling>
          <c:orientation val="minMax"/>
          <c:max val="4.5"/>
          <c:min val="0"/>
        </c:scaling>
        <c:delete val="0"/>
        <c:axPos val="b"/>
        <c:majorGridlines/>
        <c:title>
          <c:tx>
            <c:rich>
              <a:bodyPr/>
              <a:lstStyle/>
              <a:p>
                <a:pPr>
                  <a:defRPr b="0">
                    <a:latin typeface="+mj-lt"/>
                  </a:defRPr>
                </a:pPr>
                <a:r>
                  <a:rPr lang="en-US" sz="1600" b="0">
                    <a:latin typeface="+mj-lt"/>
                  </a:rPr>
                  <a:t>Capability Relevance to Hazard</a:t>
                </a:r>
              </a:p>
            </c:rich>
          </c:tx>
          <c:overlay val="0"/>
        </c:title>
        <c:numFmt formatCode="General" sourceLinked="1"/>
        <c:majorTickMark val="out"/>
        <c:minorTickMark val="none"/>
        <c:tickLblPos val="nextTo"/>
        <c:spPr>
          <a:ln>
            <a:solidFill>
              <a:schemeClr val="tx1"/>
            </a:solidFill>
          </a:ln>
        </c:spPr>
        <c:crossAx val="204612352"/>
        <c:crosses val="autoZero"/>
        <c:crossBetween val="midCat"/>
        <c:majorUnit val="1"/>
        <c:minorUnit val="0.1"/>
      </c:valAx>
      <c:valAx>
        <c:axId val="204612352"/>
        <c:scaling>
          <c:orientation val="minMax"/>
          <c:max val="4.5"/>
          <c:min val="0"/>
        </c:scaling>
        <c:delete val="0"/>
        <c:axPos val="l"/>
        <c:majorGridlines/>
        <c:title>
          <c:tx>
            <c:rich>
              <a:bodyPr rot="-5400000" vert="horz"/>
              <a:lstStyle/>
              <a:p>
                <a:pPr>
                  <a:defRPr sz="1600" b="0">
                    <a:latin typeface="+mj-lt"/>
                  </a:defRPr>
                </a:pPr>
                <a:r>
                  <a:rPr lang="en-US" sz="1600" b="0">
                    <a:latin typeface="+mj-lt"/>
                  </a:rPr>
                  <a:t>Capability Status</a:t>
                </a:r>
              </a:p>
            </c:rich>
          </c:tx>
          <c:overlay val="0"/>
        </c:title>
        <c:numFmt formatCode="General" sourceLinked="1"/>
        <c:majorTickMark val="out"/>
        <c:minorTickMark val="none"/>
        <c:tickLblPos val="nextTo"/>
        <c:spPr>
          <a:ln>
            <a:solidFill>
              <a:schemeClr val="tx1"/>
            </a:solidFill>
          </a:ln>
        </c:spPr>
        <c:crossAx val="204585600"/>
        <c:crosses val="autoZero"/>
        <c:crossBetween val="midCat"/>
        <c:majorUnit val="1"/>
        <c:minorUnit val="0.1"/>
      </c:valAx>
      <c:spPr>
        <a:gradFill flip="none" rotWithShape="1">
          <a:gsLst>
            <a:gs pos="0">
              <a:srgbClr val="63BE7B"/>
            </a:gs>
            <a:gs pos="50000">
              <a:srgbClr val="FFEB84"/>
            </a:gs>
            <a:gs pos="100000">
              <a:srgbClr val="F8696B"/>
            </a:gs>
          </a:gsLst>
          <a:lin ang="27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b="0" u="sng">
                <a:latin typeface="+mj-lt"/>
              </a:defRPr>
            </a:pPr>
            <a:r>
              <a:rPr lang="en-US" b="0" u="sng">
                <a:latin typeface="+mj-lt"/>
              </a:rPr>
              <a:t>Severity</a:t>
            </a:r>
          </a:p>
        </c:rich>
      </c:tx>
      <c:layout>
        <c:manualLayout>
          <c:xMode val="edge"/>
          <c:yMode val="edge"/>
          <c:x val="0.46889233641333816"/>
          <c:y val="1.3244983721297133E-2"/>
        </c:manualLayout>
      </c:layout>
      <c:overlay val="0"/>
    </c:title>
    <c:autoTitleDeleted val="0"/>
    <c:plotArea>
      <c:layout/>
      <c:barChart>
        <c:barDir val="col"/>
        <c:grouping val="clustered"/>
        <c:varyColors val="0"/>
        <c:ser>
          <c:idx val="0"/>
          <c:order val="0"/>
          <c:tx>
            <c:v>Severity</c:v>
          </c:tx>
          <c:spPr>
            <a:solidFill>
              <a:schemeClr val="accent4">
                <a:lumMod val="60000"/>
                <a:lumOff val="40000"/>
              </a:schemeClr>
            </a:solidFill>
            <a:ln>
              <a:solidFill>
                <a:schemeClr val="accent4"/>
              </a:solidFill>
            </a:ln>
            <a:scene3d>
              <a:camera prst="orthographicFront"/>
              <a:lightRig rig="threePt" dir="t"/>
            </a:scene3d>
            <a:sp3d prstMaterial="matte">
              <a:bevelT w="63500" h="50800"/>
            </a:sp3d>
          </c:spPr>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('Active Shooter'!$G$22,'Active Shooter'!$G$137,'Active Shooter'!$G$265,'Active Shooter'!$G$425,'Active Shooter'!$G$543)</c:f>
              <c:strCache>
                <c:ptCount val="5"/>
                <c:pt idx="0">
                  <c:v>Human Impact</c:v>
                </c:pt>
                <c:pt idx="1">
                  <c:v>Healthcare Service Impact</c:v>
                </c:pt>
                <c:pt idx="2">
                  <c:v>Inpatient Healthcare Facility Infrastructure Impact</c:v>
                </c:pt>
                <c:pt idx="3">
                  <c:v>Community Impact</c:v>
                </c:pt>
                <c:pt idx="4">
                  <c:v>Public Health Service Impact</c:v>
                </c:pt>
              </c:strCache>
            </c:strRef>
          </c:cat>
          <c:val>
            <c:numRef>
              <c:f>(Hazard5!$J$133,Hazard5!$J$261,Hazard5!$J$421,Hazard5!$J$539,Hazard5!$J$681)</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0-2517-458E-8ED3-47A254EB6312}"/>
            </c:ext>
          </c:extLst>
        </c:ser>
        <c:dLbls>
          <c:showLegendKey val="0"/>
          <c:showVal val="1"/>
          <c:showCatName val="0"/>
          <c:showSerName val="0"/>
          <c:showPercent val="0"/>
          <c:showBubbleSize val="0"/>
        </c:dLbls>
        <c:gapWidth val="150"/>
        <c:axId val="204689408"/>
        <c:axId val="204691328"/>
      </c:barChart>
      <c:catAx>
        <c:axId val="204689408"/>
        <c:scaling>
          <c:orientation val="minMax"/>
        </c:scaling>
        <c:delete val="0"/>
        <c:axPos val="b"/>
        <c:title>
          <c:tx>
            <c:rich>
              <a:bodyPr/>
              <a:lstStyle/>
              <a:p>
                <a:pPr>
                  <a:defRPr sz="1600" b="0">
                    <a:latin typeface="+mj-lt"/>
                  </a:defRPr>
                </a:pPr>
                <a:r>
                  <a:rPr lang="en-US" sz="1600" b="0">
                    <a:latin typeface="+mj-lt"/>
                  </a:rPr>
                  <a:t>Domain</a:t>
                </a:r>
              </a:p>
            </c:rich>
          </c:tx>
          <c:overlay val="0"/>
        </c:title>
        <c:numFmt formatCode="General" sourceLinked="1"/>
        <c:majorTickMark val="out"/>
        <c:minorTickMark val="none"/>
        <c:tickLblPos val="nextTo"/>
        <c:crossAx val="204691328"/>
        <c:crosses val="autoZero"/>
        <c:auto val="1"/>
        <c:lblAlgn val="ctr"/>
        <c:lblOffset val="100"/>
        <c:noMultiLvlLbl val="0"/>
      </c:catAx>
      <c:valAx>
        <c:axId val="204691328"/>
        <c:scaling>
          <c:orientation val="minMax"/>
          <c:max val="4"/>
        </c:scaling>
        <c:delete val="0"/>
        <c:axPos val="l"/>
        <c:majorGridlines/>
        <c:title>
          <c:tx>
            <c:rich>
              <a:bodyPr rot="-5400000" vert="horz"/>
              <a:lstStyle/>
              <a:p>
                <a:pPr>
                  <a:defRPr sz="1600" b="0">
                    <a:latin typeface="+mj-lt"/>
                  </a:defRPr>
                </a:pPr>
                <a:r>
                  <a:rPr lang="en-US" sz="1600" b="0">
                    <a:latin typeface="+mj-lt"/>
                  </a:rPr>
                  <a:t>Severity</a:t>
                </a:r>
                <a:r>
                  <a:rPr lang="en-US" sz="1600" b="0" baseline="0">
                    <a:latin typeface="+mj-lt"/>
                  </a:rPr>
                  <a:t> Score</a:t>
                </a:r>
                <a:endParaRPr lang="en-US" sz="1600" b="0">
                  <a:latin typeface="+mj-lt"/>
                </a:endParaRPr>
              </a:p>
            </c:rich>
          </c:tx>
          <c:overlay val="0"/>
        </c:title>
        <c:numFmt formatCode="0.00" sourceLinked="1"/>
        <c:majorTickMark val="out"/>
        <c:minorTickMark val="none"/>
        <c:tickLblPos val="nextTo"/>
        <c:crossAx val="204689408"/>
        <c:crosses val="autoZero"/>
        <c:crossBetween val="between"/>
      </c:valAx>
      <c:spPr>
        <a:gradFill flip="none" rotWithShape="1">
          <a:gsLst>
            <a:gs pos="0">
              <a:srgbClr val="63BE7B"/>
            </a:gs>
            <a:gs pos="50000">
              <a:srgbClr val="FFEB84"/>
            </a:gs>
            <a:gs pos="100000">
              <a:srgbClr val="F8696B"/>
            </a:gs>
          </a:gsLst>
          <a:lin ang="162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b="0" u="sng">
                <a:latin typeface="+mj-lt"/>
              </a:defRPr>
            </a:pPr>
            <a:r>
              <a:rPr lang="en-US" b="0" u="sng">
                <a:latin typeface="+mj-lt"/>
              </a:rPr>
              <a:t>At-Risk Populations</a:t>
            </a:r>
          </a:p>
        </c:rich>
      </c:tx>
      <c:layout>
        <c:manualLayout>
          <c:xMode val="edge"/>
          <c:yMode val="edge"/>
          <c:x val="0.37636858589702443"/>
          <c:y val="1.3244983721297133E-2"/>
        </c:manualLayout>
      </c:layout>
      <c:overlay val="0"/>
    </c:title>
    <c:autoTitleDeleted val="0"/>
    <c:plotArea>
      <c:layout>
        <c:manualLayout>
          <c:layoutTarget val="inner"/>
          <c:xMode val="edge"/>
          <c:yMode val="edge"/>
          <c:x val="9.2855623530330264E-2"/>
          <c:y val="0.10007907481510167"/>
          <c:w val="0.87850741705614022"/>
          <c:h val="0.77165947152780956"/>
        </c:manualLayout>
      </c:layout>
      <c:scatterChart>
        <c:scatterStyle val="lineMarker"/>
        <c:varyColors val="0"/>
        <c:ser>
          <c:idx val="0"/>
          <c:order val="0"/>
          <c:tx>
            <c:strRef>
              <c:f>Hazard5!$C$793</c:f>
              <c:strCache>
                <c:ptCount val="1"/>
                <c:pt idx="0">
                  <c:v>Poverty</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Hazard5!$J$795</c:f>
              <c:numCache>
                <c:formatCode>General</c:formatCode>
                <c:ptCount val="1"/>
                <c:pt idx="0">
                  <c:v>0</c:v>
                </c:pt>
              </c:numCache>
            </c:numRef>
          </c:xVal>
          <c:yVal>
            <c:numRef>
              <c:f>Hazard5!$J$794</c:f>
              <c:numCache>
                <c:formatCode>General</c:formatCode>
                <c:ptCount val="1"/>
                <c:pt idx="0">
                  <c:v>0</c:v>
                </c:pt>
              </c:numCache>
            </c:numRef>
          </c:yVal>
          <c:smooth val="0"/>
          <c:extLst>
            <c:ext xmlns:c16="http://schemas.microsoft.com/office/drawing/2014/chart" uri="{C3380CC4-5D6E-409C-BE32-E72D297353CC}">
              <c16:uniqueId val="{00000000-911A-43CD-ACF4-76437851BDDD}"/>
            </c:ext>
          </c:extLst>
        </c:ser>
        <c:ser>
          <c:idx val="1"/>
          <c:order val="1"/>
          <c:tx>
            <c:strRef>
              <c:f>Hazard5!$C$797</c:f>
              <c:strCache>
                <c:ptCount val="1"/>
                <c:pt idx="0">
                  <c:v>Chronic Diseases (Diabetes)</c:v>
                </c:pt>
              </c:strCache>
            </c:strRef>
          </c:tx>
          <c:spPr>
            <a:ln w="66675">
              <a:noFill/>
            </a:ln>
          </c:spPr>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911A-43CD-ACF4-76437851BDDD}"/>
                </c:ext>
              </c:extLst>
            </c:dLbl>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Hazard5!$J$799</c:f>
              <c:numCache>
                <c:formatCode>General</c:formatCode>
                <c:ptCount val="1"/>
                <c:pt idx="0">
                  <c:v>0</c:v>
                </c:pt>
              </c:numCache>
            </c:numRef>
          </c:xVal>
          <c:yVal>
            <c:numRef>
              <c:f>Hazard5!$J$798</c:f>
              <c:numCache>
                <c:formatCode>General</c:formatCode>
                <c:ptCount val="1"/>
                <c:pt idx="0">
                  <c:v>0</c:v>
                </c:pt>
              </c:numCache>
            </c:numRef>
          </c:yVal>
          <c:smooth val="0"/>
          <c:extLst>
            <c:ext xmlns:c16="http://schemas.microsoft.com/office/drawing/2014/chart" uri="{C3380CC4-5D6E-409C-BE32-E72D297353CC}">
              <c16:uniqueId val="{00000002-911A-43CD-ACF4-76437851BDDD}"/>
            </c:ext>
          </c:extLst>
        </c:ser>
        <c:ser>
          <c:idx val="2"/>
          <c:order val="2"/>
          <c:tx>
            <c:strRef>
              <c:f>Hazard5!$C$801</c:f>
              <c:strCache>
                <c:ptCount val="1"/>
                <c:pt idx="0">
                  <c:v>Children 18 and under</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Hazard5!$J$803</c:f>
              <c:numCache>
                <c:formatCode>General</c:formatCode>
                <c:ptCount val="1"/>
                <c:pt idx="0">
                  <c:v>0</c:v>
                </c:pt>
              </c:numCache>
            </c:numRef>
          </c:xVal>
          <c:yVal>
            <c:numRef>
              <c:f>Hazard5!$J$802</c:f>
              <c:numCache>
                <c:formatCode>General</c:formatCode>
                <c:ptCount val="1"/>
                <c:pt idx="0">
                  <c:v>0</c:v>
                </c:pt>
              </c:numCache>
            </c:numRef>
          </c:yVal>
          <c:smooth val="0"/>
          <c:extLst>
            <c:ext xmlns:c16="http://schemas.microsoft.com/office/drawing/2014/chart" uri="{C3380CC4-5D6E-409C-BE32-E72D297353CC}">
              <c16:uniqueId val="{00000003-911A-43CD-ACF4-76437851BDDD}"/>
            </c:ext>
          </c:extLst>
        </c:ser>
        <c:ser>
          <c:idx val="3"/>
          <c:order val="3"/>
          <c:tx>
            <c:strRef>
              <c:f>Hazard5!$C$805</c:f>
              <c:strCache>
                <c:ptCount val="1"/>
                <c:pt idx="0">
                  <c:v>Elderly 65 and older</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Hazard5!$J$807</c:f>
              <c:numCache>
                <c:formatCode>General</c:formatCode>
                <c:ptCount val="1"/>
                <c:pt idx="0">
                  <c:v>0</c:v>
                </c:pt>
              </c:numCache>
            </c:numRef>
          </c:xVal>
          <c:yVal>
            <c:numRef>
              <c:f>Hazard5!$J$806</c:f>
              <c:numCache>
                <c:formatCode>General</c:formatCode>
                <c:ptCount val="1"/>
                <c:pt idx="0">
                  <c:v>0</c:v>
                </c:pt>
              </c:numCache>
            </c:numRef>
          </c:yVal>
          <c:smooth val="0"/>
          <c:extLst>
            <c:ext xmlns:c16="http://schemas.microsoft.com/office/drawing/2014/chart" uri="{C3380CC4-5D6E-409C-BE32-E72D297353CC}">
              <c16:uniqueId val="{00000004-911A-43CD-ACF4-76437851BDDD}"/>
            </c:ext>
          </c:extLst>
        </c:ser>
        <c:ser>
          <c:idx val="4"/>
          <c:order val="4"/>
          <c:tx>
            <c:strRef>
              <c:f>Hazard5!$C$773</c:f>
              <c:strCache>
                <c:ptCount val="1"/>
                <c:pt idx="0">
                  <c:v>Hearing Disability</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Hazard5!$J$775</c:f>
              <c:numCache>
                <c:formatCode>General</c:formatCode>
                <c:ptCount val="1"/>
                <c:pt idx="0">
                  <c:v>0</c:v>
                </c:pt>
              </c:numCache>
            </c:numRef>
          </c:xVal>
          <c:yVal>
            <c:numRef>
              <c:f>Hazard5!$J$774</c:f>
              <c:numCache>
                <c:formatCode>General</c:formatCode>
                <c:ptCount val="1"/>
                <c:pt idx="0">
                  <c:v>0</c:v>
                </c:pt>
              </c:numCache>
            </c:numRef>
          </c:yVal>
          <c:smooth val="0"/>
          <c:extLst>
            <c:ext xmlns:c16="http://schemas.microsoft.com/office/drawing/2014/chart" uri="{C3380CC4-5D6E-409C-BE32-E72D297353CC}">
              <c16:uniqueId val="{00000005-911A-43CD-ACF4-76437851BDDD}"/>
            </c:ext>
          </c:extLst>
        </c:ser>
        <c:ser>
          <c:idx val="5"/>
          <c:order val="5"/>
          <c:tx>
            <c:strRef>
              <c:f>Hazard5!$C$777</c:f>
              <c:strCache>
                <c:ptCount val="1"/>
                <c:pt idx="0">
                  <c:v>Vision Disability</c:v>
                </c:pt>
              </c:strCache>
            </c:strRef>
          </c:tx>
          <c:spPr>
            <a:ln w="66675">
              <a:noFill/>
            </a:ln>
          </c:spPr>
          <c:dLbls>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Hazard5!$J$779</c:f>
              <c:numCache>
                <c:formatCode>General</c:formatCode>
                <c:ptCount val="1"/>
                <c:pt idx="0">
                  <c:v>0</c:v>
                </c:pt>
              </c:numCache>
            </c:numRef>
          </c:xVal>
          <c:yVal>
            <c:numRef>
              <c:f>Hazard5!$J$778</c:f>
              <c:numCache>
                <c:formatCode>General</c:formatCode>
                <c:ptCount val="1"/>
                <c:pt idx="0">
                  <c:v>0</c:v>
                </c:pt>
              </c:numCache>
            </c:numRef>
          </c:yVal>
          <c:smooth val="0"/>
          <c:extLst>
            <c:ext xmlns:c16="http://schemas.microsoft.com/office/drawing/2014/chart" uri="{C3380CC4-5D6E-409C-BE32-E72D297353CC}">
              <c16:uniqueId val="{00000006-911A-43CD-ACF4-76437851BDDD}"/>
            </c:ext>
          </c:extLst>
        </c:ser>
        <c:ser>
          <c:idx val="6"/>
          <c:order val="6"/>
          <c:tx>
            <c:strRef>
              <c:f>Hazard5!$C$781</c:f>
              <c:strCache>
                <c:ptCount val="1"/>
                <c:pt idx="0">
                  <c:v>Ambulatory Disability</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Hazard5!$J$783</c:f>
              <c:numCache>
                <c:formatCode>General</c:formatCode>
                <c:ptCount val="1"/>
                <c:pt idx="0">
                  <c:v>0</c:v>
                </c:pt>
              </c:numCache>
            </c:numRef>
          </c:xVal>
          <c:yVal>
            <c:numRef>
              <c:f>Hazard5!$J$782</c:f>
              <c:numCache>
                <c:formatCode>General</c:formatCode>
                <c:ptCount val="1"/>
                <c:pt idx="0">
                  <c:v>0</c:v>
                </c:pt>
              </c:numCache>
            </c:numRef>
          </c:yVal>
          <c:smooth val="0"/>
          <c:extLst>
            <c:ext xmlns:c16="http://schemas.microsoft.com/office/drawing/2014/chart" uri="{C3380CC4-5D6E-409C-BE32-E72D297353CC}">
              <c16:uniqueId val="{00000007-911A-43CD-ACF4-76437851BDDD}"/>
            </c:ext>
          </c:extLst>
        </c:ser>
        <c:ser>
          <c:idx val="7"/>
          <c:order val="7"/>
          <c:tx>
            <c:strRef>
              <c:f>Hazard5!$C$785</c:f>
              <c:strCache>
                <c:ptCount val="1"/>
                <c:pt idx="0">
                  <c:v>Cognitive Disability</c:v>
                </c:pt>
              </c:strCache>
            </c:strRef>
          </c:tx>
          <c:spPr>
            <a:ln w="66675">
              <a:noFill/>
            </a:ln>
          </c:spPr>
          <c:dLbls>
            <c:dLbl>
              <c:idx val="0"/>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911A-43CD-ACF4-76437851BDDD}"/>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Hazard5!$J$787</c:f>
              <c:numCache>
                <c:formatCode>General</c:formatCode>
                <c:ptCount val="1"/>
                <c:pt idx="0">
                  <c:v>0</c:v>
                </c:pt>
              </c:numCache>
            </c:numRef>
          </c:xVal>
          <c:yVal>
            <c:numRef>
              <c:f>Hazard5!$J$786</c:f>
              <c:numCache>
                <c:formatCode>General</c:formatCode>
                <c:ptCount val="1"/>
                <c:pt idx="0">
                  <c:v>0</c:v>
                </c:pt>
              </c:numCache>
            </c:numRef>
          </c:yVal>
          <c:smooth val="0"/>
          <c:extLst>
            <c:ext xmlns:c16="http://schemas.microsoft.com/office/drawing/2014/chart" uri="{C3380CC4-5D6E-409C-BE32-E72D297353CC}">
              <c16:uniqueId val="{00000009-911A-43CD-ACF4-76437851BDDD}"/>
            </c:ext>
          </c:extLst>
        </c:ser>
        <c:ser>
          <c:idx val="8"/>
          <c:order val="8"/>
          <c:tx>
            <c:strRef>
              <c:f>Hazard5!$C$789</c:f>
              <c:strCache>
                <c:ptCount val="1"/>
                <c:pt idx="0">
                  <c:v>Limited English Proficiency</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Hazard5!$J$791</c:f>
              <c:numCache>
                <c:formatCode>General</c:formatCode>
                <c:ptCount val="1"/>
                <c:pt idx="0">
                  <c:v>0</c:v>
                </c:pt>
              </c:numCache>
            </c:numRef>
          </c:xVal>
          <c:yVal>
            <c:numRef>
              <c:f>Hazard5!$J$790</c:f>
              <c:numCache>
                <c:formatCode>General</c:formatCode>
                <c:ptCount val="1"/>
                <c:pt idx="0">
                  <c:v>0</c:v>
                </c:pt>
              </c:numCache>
            </c:numRef>
          </c:yVal>
          <c:smooth val="0"/>
          <c:extLst>
            <c:ext xmlns:c16="http://schemas.microsoft.com/office/drawing/2014/chart" uri="{C3380CC4-5D6E-409C-BE32-E72D297353CC}">
              <c16:uniqueId val="{0000000A-911A-43CD-ACF4-76437851BDDD}"/>
            </c:ext>
          </c:extLst>
        </c:ser>
        <c:dLbls>
          <c:showLegendKey val="0"/>
          <c:showVal val="1"/>
          <c:showCatName val="0"/>
          <c:showSerName val="0"/>
          <c:showPercent val="0"/>
          <c:showBubbleSize val="0"/>
        </c:dLbls>
        <c:axId val="204836224"/>
        <c:axId val="204850688"/>
      </c:scatterChart>
      <c:valAx>
        <c:axId val="204836224"/>
        <c:scaling>
          <c:orientation val="minMax"/>
          <c:max val="4.5"/>
          <c:min val="0"/>
        </c:scaling>
        <c:delete val="0"/>
        <c:axPos val="b"/>
        <c:majorGridlines/>
        <c:title>
          <c:tx>
            <c:rich>
              <a:bodyPr/>
              <a:lstStyle/>
              <a:p>
                <a:pPr>
                  <a:defRPr b="0">
                    <a:latin typeface="+mj-lt"/>
                  </a:defRPr>
                </a:pPr>
                <a:r>
                  <a:rPr lang="en-US" sz="1600" b="0">
                    <a:latin typeface="+mj-lt"/>
                  </a:rPr>
                  <a:t>Access Planning Score</a:t>
                </a:r>
              </a:p>
            </c:rich>
          </c:tx>
          <c:overlay val="0"/>
        </c:title>
        <c:numFmt formatCode="General" sourceLinked="1"/>
        <c:majorTickMark val="out"/>
        <c:minorTickMark val="none"/>
        <c:tickLblPos val="nextTo"/>
        <c:spPr>
          <a:ln>
            <a:solidFill>
              <a:schemeClr val="tx1"/>
            </a:solidFill>
          </a:ln>
        </c:spPr>
        <c:crossAx val="204850688"/>
        <c:crosses val="autoZero"/>
        <c:crossBetween val="midCat"/>
        <c:majorUnit val="1"/>
        <c:minorUnit val="0.1"/>
      </c:valAx>
      <c:valAx>
        <c:axId val="204850688"/>
        <c:scaling>
          <c:orientation val="minMax"/>
          <c:max val="4.5"/>
          <c:min val="0"/>
        </c:scaling>
        <c:delete val="0"/>
        <c:axPos val="l"/>
        <c:majorGridlines/>
        <c:title>
          <c:tx>
            <c:rich>
              <a:bodyPr rot="-5400000" vert="horz"/>
              <a:lstStyle/>
              <a:p>
                <a:pPr>
                  <a:defRPr sz="1600" b="0">
                    <a:latin typeface="+mj-lt"/>
                  </a:defRPr>
                </a:pPr>
                <a:r>
                  <a:rPr lang="en-US" sz="1600" b="0">
                    <a:latin typeface="+mj-lt"/>
                  </a:rPr>
                  <a:t>Population Size Score</a:t>
                </a:r>
              </a:p>
            </c:rich>
          </c:tx>
          <c:overlay val="0"/>
        </c:title>
        <c:numFmt formatCode="General" sourceLinked="1"/>
        <c:majorTickMark val="out"/>
        <c:minorTickMark val="none"/>
        <c:tickLblPos val="nextTo"/>
        <c:spPr>
          <a:ln>
            <a:solidFill>
              <a:schemeClr val="tx1"/>
            </a:solidFill>
          </a:ln>
        </c:spPr>
        <c:crossAx val="204836224"/>
        <c:crosses val="autoZero"/>
        <c:crossBetween val="midCat"/>
        <c:majorUnit val="1"/>
        <c:minorUnit val="0.1"/>
      </c:valAx>
      <c:spPr>
        <a:gradFill flip="none" rotWithShape="1">
          <a:gsLst>
            <a:gs pos="0">
              <a:srgbClr val="63BE7B"/>
            </a:gs>
            <a:gs pos="50000">
              <a:srgbClr val="FFEB84"/>
            </a:gs>
            <a:gs pos="100000">
              <a:srgbClr val="F8696B"/>
            </a:gs>
          </a:gsLst>
          <a:lin ang="189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defRPr b="0" u="sng">
                <a:latin typeface="+mj-lt"/>
              </a:defRPr>
            </a:pPr>
            <a:r>
              <a:rPr lang="en-US" b="0" u="sng">
                <a:latin typeface="+mj-lt"/>
              </a:rPr>
              <a:t>Public Health Preparedness</a:t>
            </a:r>
          </a:p>
        </c:rich>
      </c:tx>
      <c:layout>
        <c:manualLayout>
          <c:xMode val="edge"/>
          <c:yMode val="edge"/>
          <c:x val="0.30532356317913883"/>
          <c:y val="1.3244983721297133E-2"/>
        </c:manualLayout>
      </c:layout>
      <c:overlay val="0"/>
    </c:title>
    <c:autoTitleDeleted val="0"/>
    <c:plotArea>
      <c:layout/>
      <c:scatterChart>
        <c:scatterStyle val="lineMarker"/>
        <c:varyColors val="0"/>
        <c:ser>
          <c:idx val="0"/>
          <c:order val="0"/>
          <c:tx>
            <c:strRef>
              <c:f>Hazard5!$C$853</c:f>
              <c:strCache>
                <c:ptCount val="1"/>
                <c:pt idx="0">
                  <c:v>Info Sharing</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Hazard5!$J$854</c:f>
              <c:strCache>
                <c:ptCount val="1"/>
                <c:pt idx="0">
                  <c:v>Not Calculated</c:v>
                </c:pt>
              </c:strCache>
            </c:strRef>
          </c:xVal>
          <c:yVal>
            <c:numRef>
              <c:f>Hazard5!$J$855</c:f>
              <c:numCache>
                <c:formatCode>General</c:formatCode>
                <c:ptCount val="1"/>
                <c:pt idx="0">
                  <c:v>0</c:v>
                </c:pt>
              </c:numCache>
            </c:numRef>
          </c:yVal>
          <c:smooth val="0"/>
          <c:extLst>
            <c:ext xmlns:c16="http://schemas.microsoft.com/office/drawing/2014/chart" uri="{C3380CC4-5D6E-409C-BE32-E72D297353CC}">
              <c16:uniqueId val="{00000000-38A6-4875-9FD9-02E0EE682F0F}"/>
            </c:ext>
          </c:extLst>
        </c:ser>
        <c:ser>
          <c:idx val="1"/>
          <c:order val="1"/>
          <c:tx>
            <c:strRef>
              <c:f>Hazard5!$C$857</c:f>
              <c:strCache>
                <c:ptCount val="1"/>
                <c:pt idx="0">
                  <c:v>Mass Care</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Hazard5!$J$858</c:f>
              <c:strCache>
                <c:ptCount val="1"/>
                <c:pt idx="0">
                  <c:v>Not Calculated</c:v>
                </c:pt>
              </c:strCache>
            </c:strRef>
          </c:xVal>
          <c:yVal>
            <c:numRef>
              <c:f>Hazard5!$J$859</c:f>
              <c:numCache>
                <c:formatCode>General</c:formatCode>
                <c:ptCount val="1"/>
                <c:pt idx="0">
                  <c:v>0</c:v>
                </c:pt>
              </c:numCache>
            </c:numRef>
          </c:yVal>
          <c:smooth val="0"/>
          <c:extLst>
            <c:ext xmlns:c16="http://schemas.microsoft.com/office/drawing/2014/chart" uri="{C3380CC4-5D6E-409C-BE32-E72D297353CC}">
              <c16:uniqueId val="{00000001-38A6-4875-9FD9-02E0EE682F0F}"/>
            </c:ext>
          </c:extLst>
        </c:ser>
        <c:ser>
          <c:idx val="2"/>
          <c:order val="2"/>
          <c:tx>
            <c:strRef>
              <c:f>Hazard5!$C$861</c:f>
              <c:strCache>
                <c:ptCount val="1"/>
                <c:pt idx="0">
                  <c:v>MCM Dispens</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Hazard5!$J$862</c:f>
              <c:strCache>
                <c:ptCount val="1"/>
                <c:pt idx="0">
                  <c:v>Not Calculated</c:v>
                </c:pt>
              </c:strCache>
            </c:strRef>
          </c:xVal>
          <c:yVal>
            <c:numRef>
              <c:f>Hazard5!$J$863</c:f>
              <c:numCache>
                <c:formatCode>General</c:formatCode>
                <c:ptCount val="1"/>
                <c:pt idx="0">
                  <c:v>0</c:v>
                </c:pt>
              </c:numCache>
            </c:numRef>
          </c:yVal>
          <c:smooth val="0"/>
          <c:extLst>
            <c:ext xmlns:c16="http://schemas.microsoft.com/office/drawing/2014/chart" uri="{C3380CC4-5D6E-409C-BE32-E72D297353CC}">
              <c16:uniqueId val="{00000002-38A6-4875-9FD9-02E0EE682F0F}"/>
            </c:ext>
          </c:extLst>
        </c:ser>
        <c:ser>
          <c:idx val="3"/>
          <c:order val="3"/>
          <c:tx>
            <c:strRef>
              <c:f>Hazard5!$C$865</c:f>
              <c:strCache>
                <c:ptCount val="1"/>
                <c:pt idx="0">
                  <c:v>Med Materiel Mgmt</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Hazard5!$J$866</c:f>
              <c:strCache>
                <c:ptCount val="1"/>
                <c:pt idx="0">
                  <c:v>Not Calculated</c:v>
                </c:pt>
              </c:strCache>
            </c:strRef>
          </c:xVal>
          <c:yVal>
            <c:numRef>
              <c:f>Hazard5!$J$867</c:f>
              <c:numCache>
                <c:formatCode>General</c:formatCode>
                <c:ptCount val="1"/>
                <c:pt idx="0">
                  <c:v>0</c:v>
                </c:pt>
              </c:numCache>
            </c:numRef>
          </c:yVal>
          <c:smooth val="0"/>
          <c:extLst>
            <c:ext xmlns:c16="http://schemas.microsoft.com/office/drawing/2014/chart" uri="{C3380CC4-5D6E-409C-BE32-E72D297353CC}">
              <c16:uniqueId val="{00000003-38A6-4875-9FD9-02E0EE682F0F}"/>
            </c:ext>
          </c:extLst>
        </c:ser>
        <c:ser>
          <c:idx val="4"/>
          <c:order val="4"/>
          <c:tx>
            <c:strRef>
              <c:f>Hazard5!$C$869</c:f>
              <c:strCache>
                <c:ptCount val="1"/>
                <c:pt idx="0">
                  <c:v>Medical Surge</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Hazard5!$J$870</c:f>
              <c:strCache>
                <c:ptCount val="1"/>
                <c:pt idx="0">
                  <c:v>Not Calculated</c:v>
                </c:pt>
              </c:strCache>
            </c:strRef>
          </c:xVal>
          <c:yVal>
            <c:numRef>
              <c:f>Hazard5!$J$871</c:f>
              <c:numCache>
                <c:formatCode>General</c:formatCode>
                <c:ptCount val="1"/>
                <c:pt idx="0">
                  <c:v>0</c:v>
                </c:pt>
              </c:numCache>
            </c:numRef>
          </c:yVal>
          <c:smooth val="0"/>
          <c:extLst>
            <c:ext xmlns:c16="http://schemas.microsoft.com/office/drawing/2014/chart" uri="{C3380CC4-5D6E-409C-BE32-E72D297353CC}">
              <c16:uniqueId val="{00000004-38A6-4875-9FD9-02E0EE682F0F}"/>
            </c:ext>
          </c:extLst>
        </c:ser>
        <c:ser>
          <c:idx val="5"/>
          <c:order val="5"/>
          <c:tx>
            <c:strRef>
              <c:f>Hazard5!$C$873</c:f>
              <c:strCache>
                <c:ptCount val="1"/>
                <c:pt idx="0">
                  <c:v>Non-Pharm Interv</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Hazard5!$J$874</c:f>
              <c:strCache>
                <c:ptCount val="1"/>
                <c:pt idx="0">
                  <c:v>Not Calculated</c:v>
                </c:pt>
              </c:strCache>
            </c:strRef>
          </c:xVal>
          <c:yVal>
            <c:numRef>
              <c:f>Hazard5!$J$875</c:f>
              <c:numCache>
                <c:formatCode>General</c:formatCode>
                <c:ptCount val="1"/>
                <c:pt idx="0">
                  <c:v>0</c:v>
                </c:pt>
              </c:numCache>
            </c:numRef>
          </c:yVal>
          <c:smooth val="0"/>
          <c:extLst>
            <c:ext xmlns:c16="http://schemas.microsoft.com/office/drawing/2014/chart" uri="{C3380CC4-5D6E-409C-BE32-E72D297353CC}">
              <c16:uniqueId val="{00000005-38A6-4875-9FD9-02E0EE682F0F}"/>
            </c:ext>
          </c:extLst>
        </c:ser>
        <c:ser>
          <c:idx val="6"/>
          <c:order val="6"/>
          <c:tx>
            <c:strRef>
              <c:f>Hazard5!$C$877</c:f>
              <c:strCache>
                <c:ptCount val="1"/>
                <c:pt idx="0">
                  <c:v>PH Lab Testing</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Hazard5!$J$878</c:f>
              <c:strCache>
                <c:ptCount val="1"/>
                <c:pt idx="0">
                  <c:v>Not Calculated</c:v>
                </c:pt>
              </c:strCache>
            </c:strRef>
          </c:xVal>
          <c:yVal>
            <c:numRef>
              <c:f>Hazard5!$J$879</c:f>
              <c:numCache>
                <c:formatCode>General</c:formatCode>
                <c:ptCount val="1"/>
                <c:pt idx="0">
                  <c:v>0</c:v>
                </c:pt>
              </c:numCache>
            </c:numRef>
          </c:yVal>
          <c:smooth val="0"/>
          <c:extLst>
            <c:ext xmlns:c16="http://schemas.microsoft.com/office/drawing/2014/chart" uri="{C3380CC4-5D6E-409C-BE32-E72D297353CC}">
              <c16:uniqueId val="{00000006-38A6-4875-9FD9-02E0EE682F0F}"/>
            </c:ext>
          </c:extLst>
        </c:ser>
        <c:ser>
          <c:idx val="7"/>
          <c:order val="7"/>
          <c:tx>
            <c:strRef>
              <c:f>Hazard5!$C$881</c:f>
              <c:strCache>
                <c:ptCount val="1"/>
                <c:pt idx="0">
                  <c:v>PH Surv &amp; Epi</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Hazard5!$J$882</c:f>
              <c:strCache>
                <c:ptCount val="1"/>
                <c:pt idx="0">
                  <c:v>Not Calculated</c:v>
                </c:pt>
              </c:strCache>
            </c:strRef>
          </c:xVal>
          <c:yVal>
            <c:numRef>
              <c:f>Hazard5!$J$883</c:f>
              <c:numCache>
                <c:formatCode>General</c:formatCode>
                <c:ptCount val="1"/>
                <c:pt idx="0">
                  <c:v>0</c:v>
                </c:pt>
              </c:numCache>
            </c:numRef>
          </c:yVal>
          <c:smooth val="0"/>
          <c:extLst>
            <c:ext xmlns:c16="http://schemas.microsoft.com/office/drawing/2014/chart" uri="{C3380CC4-5D6E-409C-BE32-E72D297353CC}">
              <c16:uniqueId val="{00000007-38A6-4875-9FD9-02E0EE682F0F}"/>
            </c:ext>
          </c:extLst>
        </c:ser>
        <c:ser>
          <c:idx val="8"/>
          <c:order val="8"/>
          <c:tx>
            <c:strRef>
              <c:f>Hazard5!$C$885</c:f>
              <c:strCache>
                <c:ptCount val="1"/>
                <c:pt idx="0">
                  <c:v>Responder Safety</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Hazard5!$J$886</c:f>
              <c:strCache>
                <c:ptCount val="1"/>
                <c:pt idx="0">
                  <c:v>Not Calculated</c:v>
                </c:pt>
              </c:strCache>
            </c:strRef>
          </c:xVal>
          <c:yVal>
            <c:numRef>
              <c:f>Hazard5!$J$887</c:f>
              <c:numCache>
                <c:formatCode>General</c:formatCode>
                <c:ptCount val="1"/>
                <c:pt idx="0">
                  <c:v>0</c:v>
                </c:pt>
              </c:numCache>
            </c:numRef>
          </c:yVal>
          <c:smooth val="0"/>
          <c:extLst>
            <c:ext xmlns:c16="http://schemas.microsoft.com/office/drawing/2014/chart" uri="{C3380CC4-5D6E-409C-BE32-E72D297353CC}">
              <c16:uniqueId val="{00000008-38A6-4875-9FD9-02E0EE682F0F}"/>
            </c:ext>
          </c:extLst>
        </c:ser>
        <c:ser>
          <c:idx val="9"/>
          <c:order val="9"/>
          <c:tx>
            <c:strRef>
              <c:f>Hazard5!$C$889</c:f>
              <c:strCache>
                <c:ptCount val="1"/>
                <c:pt idx="0">
                  <c:v>Volunteer Mgmt</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Hazard5!$J$890</c:f>
              <c:strCache>
                <c:ptCount val="1"/>
                <c:pt idx="0">
                  <c:v>Not Calculated</c:v>
                </c:pt>
              </c:strCache>
            </c:strRef>
          </c:xVal>
          <c:yVal>
            <c:numRef>
              <c:f>Hazard5!$J$891</c:f>
              <c:numCache>
                <c:formatCode>General</c:formatCode>
                <c:ptCount val="1"/>
                <c:pt idx="0">
                  <c:v>0</c:v>
                </c:pt>
              </c:numCache>
            </c:numRef>
          </c:yVal>
          <c:smooth val="0"/>
          <c:extLst>
            <c:ext xmlns:c16="http://schemas.microsoft.com/office/drawing/2014/chart" uri="{C3380CC4-5D6E-409C-BE32-E72D297353CC}">
              <c16:uniqueId val="{00000009-38A6-4875-9FD9-02E0EE682F0F}"/>
            </c:ext>
          </c:extLst>
        </c:ser>
        <c:ser>
          <c:idx val="10"/>
          <c:order val="10"/>
          <c:tx>
            <c:strRef>
              <c:f>Hazard5!$C$833</c:f>
              <c:strCache>
                <c:ptCount val="1"/>
                <c:pt idx="0">
                  <c:v>Community Prep</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Hazard5!$J$834</c:f>
              <c:strCache>
                <c:ptCount val="1"/>
                <c:pt idx="0">
                  <c:v>Not Calculated</c:v>
                </c:pt>
              </c:strCache>
            </c:strRef>
          </c:xVal>
          <c:yVal>
            <c:numRef>
              <c:f>Hazard5!$J$835</c:f>
              <c:numCache>
                <c:formatCode>General</c:formatCode>
                <c:ptCount val="1"/>
                <c:pt idx="0">
                  <c:v>0</c:v>
                </c:pt>
              </c:numCache>
            </c:numRef>
          </c:yVal>
          <c:smooth val="0"/>
          <c:extLst>
            <c:ext xmlns:c16="http://schemas.microsoft.com/office/drawing/2014/chart" uri="{C3380CC4-5D6E-409C-BE32-E72D297353CC}">
              <c16:uniqueId val="{0000000A-38A6-4875-9FD9-02E0EE682F0F}"/>
            </c:ext>
          </c:extLst>
        </c:ser>
        <c:ser>
          <c:idx val="11"/>
          <c:order val="11"/>
          <c:tx>
            <c:strRef>
              <c:f>Hazard5!$C$837</c:f>
              <c:strCache>
                <c:ptCount val="1"/>
                <c:pt idx="0">
                  <c:v>Community Recov</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Hazard5!$J$838</c:f>
              <c:strCache>
                <c:ptCount val="1"/>
                <c:pt idx="0">
                  <c:v>Not Calculated</c:v>
                </c:pt>
              </c:strCache>
            </c:strRef>
          </c:xVal>
          <c:yVal>
            <c:numRef>
              <c:f>Hazard5!$J$839</c:f>
              <c:numCache>
                <c:formatCode>General</c:formatCode>
                <c:ptCount val="1"/>
                <c:pt idx="0">
                  <c:v>0</c:v>
                </c:pt>
              </c:numCache>
            </c:numRef>
          </c:yVal>
          <c:smooth val="0"/>
          <c:extLst>
            <c:ext xmlns:c16="http://schemas.microsoft.com/office/drawing/2014/chart" uri="{C3380CC4-5D6E-409C-BE32-E72D297353CC}">
              <c16:uniqueId val="{0000000B-38A6-4875-9FD9-02E0EE682F0F}"/>
            </c:ext>
          </c:extLst>
        </c:ser>
        <c:ser>
          <c:idx val="12"/>
          <c:order val="12"/>
          <c:tx>
            <c:strRef>
              <c:f>Hazard5!$C$841</c:f>
              <c:strCache>
                <c:ptCount val="1"/>
                <c:pt idx="0">
                  <c:v>Emerg Ops Coord</c:v>
                </c:pt>
              </c:strCache>
            </c:strRef>
          </c:tx>
          <c:spPr>
            <a:ln w="66675">
              <a:noFill/>
            </a:ln>
          </c:spPr>
          <c:dLbls>
            <c:spPr>
              <a:noFill/>
              <a:ln>
                <a:noFill/>
              </a:ln>
              <a:effectLst/>
            </c:sp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Hazard5!$J$842</c:f>
              <c:strCache>
                <c:ptCount val="1"/>
                <c:pt idx="0">
                  <c:v>Not Calculated</c:v>
                </c:pt>
              </c:strCache>
            </c:strRef>
          </c:xVal>
          <c:yVal>
            <c:numRef>
              <c:f>Hazard5!$J$843</c:f>
              <c:numCache>
                <c:formatCode>General</c:formatCode>
                <c:ptCount val="1"/>
                <c:pt idx="0">
                  <c:v>0</c:v>
                </c:pt>
              </c:numCache>
            </c:numRef>
          </c:yVal>
          <c:smooth val="0"/>
          <c:extLst>
            <c:ext xmlns:c16="http://schemas.microsoft.com/office/drawing/2014/chart" uri="{C3380CC4-5D6E-409C-BE32-E72D297353CC}">
              <c16:uniqueId val="{0000000C-38A6-4875-9FD9-02E0EE682F0F}"/>
            </c:ext>
          </c:extLst>
        </c:ser>
        <c:ser>
          <c:idx val="13"/>
          <c:order val="13"/>
          <c:tx>
            <c:strRef>
              <c:f>Hazard5!$C$845</c:f>
              <c:strCache>
                <c:ptCount val="1"/>
                <c:pt idx="0">
                  <c:v>Emerg Public Info</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Hazard5!$J$846</c:f>
              <c:strCache>
                <c:ptCount val="1"/>
                <c:pt idx="0">
                  <c:v>Not Calculated</c:v>
                </c:pt>
              </c:strCache>
            </c:strRef>
          </c:xVal>
          <c:yVal>
            <c:numRef>
              <c:f>Hazard5!$J$847</c:f>
              <c:numCache>
                <c:formatCode>General</c:formatCode>
                <c:ptCount val="1"/>
                <c:pt idx="0">
                  <c:v>0</c:v>
                </c:pt>
              </c:numCache>
            </c:numRef>
          </c:yVal>
          <c:smooth val="0"/>
          <c:extLst>
            <c:ext xmlns:c16="http://schemas.microsoft.com/office/drawing/2014/chart" uri="{C3380CC4-5D6E-409C-BE32-E72D297353CC}">
              <c16:uniqueId val="{0000000D-38A6-4875-9FD9-02E0EE682F0F}"/>
            </c:ext>
          </c:extLst>
        </c:ser>
        <c:ser>
          <c:idx val="14"/>
          <c:order val="14"/>
          <c:tx>
            <c:strRef>
              <c:f>Drought!$C$964</c:f>
              <c:strCache>
                <c:ptCount val="1"/>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Drought!$J$965</c:f>
            </c:numRef>
          </c:xVal>
          <c:yVal>
            <c:numRef>
              <c:f>Drought!$J$966</c:f>
            </c:numRef>
          </c:yVal>
          <c:smooth val="0"/>
          <c:extLst>
            <c:ext xmlns:c16="http://schemas.microsoft.com/office/drawing/2014/chart" uri="{C3380CC4-5D6E-409C-BE32-E72D297353CC}">
              <c16:uniqueId val="{0000000E-38A6-4875-9FD9-02E0EE682F0F}"/>
            </c:ext>
          </c:extLst>
        </c:ser>
        <c:ser>
          <c:idx val="15"/>
          <c:order val="15"/>
          <c:tx>
            <c:strRef>
              <c:f>Hazard5!$C$849</c:f>
              <c:strCache>
                <c:ptCount val="1"/>
                <c:pt idx="0">
                  <c:v>Fatality Mgmt</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Hazard5!$J$850</c:f>
              <c:strCache>
                <c:ptCount val="1"/>
                <c:pt idx="0">
                  <c:v>Not Calculated</c:v>
                </c:pt>
              </c:strCache>
            </c:strRef>
          </c:xVal>
          <c:yVal>
            <c:numRef>
              <c:f>Hazard5!$J$851</c:f>
              <c:numCache>
                <c:formatCode>General</c:formatCode>
                <c:ptCount val="1"/>
                <c:pt idx="0">
                  <c:v>0</c:v>
                </c:pt>
              </c:numCache>
            </c:numRef>
          </c:yVal>
          <c:smooth val="0"/>
          <c:extLst>
            <c:ext xmlns:c16="http://schemas.microsoft.com/office/drawing/2014/chart" uri="{C3380CC4-5D6E-409C-BE32-E72D297353CC}">
              <c16:uniqueId val="{0000000F-38A6-4875-9FD9-02E0EE682F0F}"/>
            </c:ext>
          </c:extLst>
        </c:ser>
        <c:dLbls>
          <c:showLegendKey val="0"/>
          <c:showVal val="1"/>
          <c:showCatName val="0"/>
          <c:showSerName val="0"/>
          <c:showPercent val="0"/>
          <c:showBubbleSize val="0"/>
        </c:dLbls>
        <c:axId val="204930432"/>
        <c:axId val="204944896"/>
      </c:scatterChart>
      <c:valAx>
        <c:axId val="204930432"/>
        <c:scaling>
          <c:orientation val="minMax"/>
          <c:max val="4.5"/>
          <c:min val="0"/>
        </c:scaling>
        <c:delete val="0"/>
        <c:axPos val="b"/>
        <c:majorGridlines/>
        <c:title>
          <c:tx>
            <c:rich>
              <a:bodyPr/>
              <a:lstStyle/>
              <a:p>
                <a:pPr>
                  <a:defRPr b="0">
                    <a:latin typeface="+mj-lt"/>
                  </a:defRPr>
                </a:pPr>
                <a:r>
                  <a:rPr lang="en-US" sz="1600" b="0">
                    <a:latin typeface="+mj-lt"/>
                  </a:rPr>
                  <a:t>Capability Relevance to Hazard</a:t>
                </a:r>
              </a:p>
            </c:rich>
          </c:tx>
          <c:overlay val="0"/>
        </c:title>
        <c:numFmt formatCode="General" sourceLinked="1"/>
        <c:majorTickMark val="out"/>
        <c:minorTickMark val="none"/>
        <c:tickLblPos val="nextTo"/>
        <c:spPr>
          <a:ln>
            <a:solidFill>
              <a:schemeClr val="tx1"/>
            </a:solidFill>
          </a:ln>
        </c:spPr>
        <c:crossAx val="204944896"/>
        <c:crosses val="autoZero"/>
        <c:crossBetween val="midCat"/>
        <c:majorUnit val="1"/>
        <c:minorUnit val="0.1"/>
      </c:valAx>
      <c:valAx>
        <c:axId val="204944896"/>
        <c:scaling>
          <c:orientation val="minMax"/>
          <c:max val="4.5"/>
          <c:min val="0"/>
        </c:scaling>
        <c:delete val="0"/>
        <c:axPos val="l"/>
        <c:majorGridlines/>
        <c:title>
          <c:tx>
            <c:rich>
              <a:bodyPr rot="-5400000" vert="horz"/>
              <a:lstStyle/>
              <a:p>
                <a:pPr>
                  <a:defRPr sz="1600" b="0">
                    <a:latin typeface="+mj-lt"/>
                  </a:defRPr>
                </a:pPr>
                <a:r>
                  <a:rPr lang="en-US" sz="1600" b="0">
                    <a:latin typeface="+mj-lt"/>
                  </a:rPr>
                  <a:t>Capability Status</a:t>
                </a:r>
              </a:p>
            </c:rich>
          </c:tx>
          <c:overlay val="0"/>
        </c:title>
        <c:numFmt formatCode="General" sourceLinked="1"/>
        <c:majorTickMark val="out"/>
        <c:minorTickMark val="none"/>
        <c:tickLblPos val="nextTo"/>
        <c:spPr>
          <a:ln>
            <a:solidFill>
              <a:schemeClr val="tx1"/>
            </a:solidFill>
          </a:ln>
        </c:spPr>
        <c:crossAx val="204930432"/>
        <c:crosses val="autoZero"/>
        <c:crossBetween val="midCat"/>
        <c:majorUnit val="1"/>
        <c:minorUnit val="0.1"/>
      </c:valAx>
      <c:spPr>
        <a:gradFill flip="none" rotWithShape="1">
          <a:gsLst>
            <a:gs pos="0">
              <a:srgbClr val="63BE7B"/>
            </a:gs>
            <a:gs pos="50000">
              <a:srgbClr val="FFEB84"/>
            </a:gs>
            <a:gs pos="100000">
              <a:srgbClr val="F8696B"/>
            </a:gs>
          </a:gsLst>
          <a:lin ang="27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defRPr b="0" u="sng">
                <a:latin typeface="+mj-lt"/>
              </a:defRPr>
            </a:pPr>
            <a:r>
              <a:rPr lang="en-US" b="0" u="sng">
                <a:latin typeface="+mj-lt"/>
              </a:rPr>
              <a:t>Healthcare Preparedness</a:t>
            </a:r>
          </a:p>
        </c:rich>
      </c:tx>
      <c:layout>
        <c:manualLayout>
          <c:xMode val="edge"/>
          <c:yMode val="edge"/>
          <c:x val="0.38019690321630645"/>
          <c:y val="1.3244983721297133E-2"/>
        </c:manualLayout>
      </c:layout>
      <c:overlay val="0"/>
    </c:title>
    <c:autoTitleDeleted val="0"/>
    <c:plotArea>
      <c:layout/>
      <c:scatterChart>
        <c:scatterStyle val="lineMarker"/>
        <c:varyColors val="0"/>
        <c:ser>
          <c:idx val="0"/>
          <c:order val="0"/>
          <c:tx>
            <c:strRef>
              <c:f>Hazard5!$C$903</c:f>
              <c:strCache>
                <c:ptCount val="1"/>
                <c:pt idx="0">
                  <c:v>HC System Prep</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Hazard5!$J$904</c:f>
              <c:strCache>
                <c:ptCount val="1"/>
                <c:pt idx="0">
                  <c:v>Not Calculated</c:v>
                </c:pt>
              </c:strCache>
            </c:strRef>
          </c:xVal>
          <c:yVal>
            <c:numRef>
              <c:f>Hazard5!$J$905</c:f>
              <c:numCache>
                <c:formatCode>General</c:formatCode>
                <c:ptCount val="1"/>
                <c:pt idx="0">
                  <c:v>0</c:v>
                </c:pt>
              </c:numCache>
            </c:numRef>
          </c:yVal>
          <c:smooth val="0"/>
          <c:extLst>
            <c:ext xmlns:c16="http://schemas.microsoft.com/office/drawing/2014/chart" uri="{C3380CC4-5D6E-409C-BE32-E72D297353CC}">
              <c16:uniqueId val="{00000000-78CD-4F3B-83BD-7EB6B5D1B8B4}"/>
            </c:ext>
          </c:extLst>
        </c:ser>
        <c:ser>
          <c:idx val="1"/>
          <c:order val="1"/>
          <c:tx>
            <c:strRef>
              <c:f>Hazard5!$C$907</c:f>
              <c:strCache>
                <c:ptCount val="1"/>
                <c:pt idx="0">
                  <c:v>HC System Recov</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Hazard5!$J$908</c:f>
              <c:strCache>
                <c:ptCount val="1"/>
                <c:pt idx="0">
                  <c:v>Not Calculated</c:v>
                </c:pt>
              </c:strCache>
            </c:strRef>
          </c:xVal>
          <c:yVal>
            <c:numRef>
              <c:f>Hazard5!$J$909</c:f>
              <c:numCache>
                <c:formatCode>General</c:formatCode>
                <c:ptCount val="1"/>
                <c:pt idx="0">
                  <c:v>0</c:v>
                </c:pt>
              </c:numCache>
            </c:numRef>
          </c:yVal>
          <c:smooth val="0"/>
          <c:extLst>
            <c:ext xmlns:c16="http://schemas.microsoft.com/office/drawing/2014/chart" uri="{C3380CC4-5D6E-409C-BE32-E72D297353CC}">
              <c16:uniqueId val="{00000001-78CD-4F3B-83BD-7EB6B5D1B8B4}"/>
            </c:ext>
          </c:extLst>
        </c:ser>
        <c:ser>
          <c:idx val="2"/>
          <c:order val="2"/>
          <c:tx>
            <c:strRef>
              <c:f>Hazard5!$C$911</c:f>
              <c:strCache>
                <c:ptCount val="1"/>
                <c:pt idx="0">
                  <c:v>Emerg Ops Coord</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Hazard5!$J$912</c:f>
              <c:strCache>
                <c:ptCount val="1"/>
                <c:pt idx="0">
                  <c:v>Not Calculated</c:v>
                </c:pt>
              </c:strCache>
            </c:strRef>
          </c:xVal>
          <c:yVal>
            <c:numRef>
              <c:f>Hazard5!$J$913</c:f>
              <c:numCache>
                <c:formatCode>General</c:formatCode>
                <c:ptCount val="1"/>
                <c:pt idx="0">
                  <c:v>0</c:v>
                </c:pt>
              </c:numCache>
            </c:numRef>
          </c:yVal>
          <c:smooth val="0"/>
          <c:extLst>
            <c:ext xmlns:c16="http://schemas.microsoft.com/office/drawing/2014/chart" uri="{C3380CC4-5D6E-409C-BE32-E72D297353CC}">
              <c16:uniqueId val="{00000002-78CD-4F3B-83BD-7EB6B5D1B8B4}"/>
            </c:ext>
          </c:extLst>
        </c:ser>
        <c:ser>
          <c:idx val="3"/>
          <c:order val="3"/>
          <c:tx>
            <c:strRef>
              <c:f>Hazard5!$C$915</c:f>
              <c:strCache>
                <c:ptCount val="1"/>
                <c:pt idx="0">
                  <c:v>Fatality Mgmt</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Hazard5!$J$916</c:f>
              <c:strCache>
                <c:ptCount val="1"/>
                <c:pt idx="0">
                  <c:v>Not Calculated</c:v>
                </c:pt>
              </c:strCache>
            </c:strRef>
          </c:xVal>
          <c:yVal>
            <c:numRef>
              <c:f>Hazard5!$J$917</c:f>
              <c:numCache>
                <c:formatCode>General</c:formatCode>
                <c:ptCount val="1"/>
                <c:pt idx="0">
                  <c:v>0</c:v>
                </c:pt>
              </c:numCache>
            </c:numRef>
          </c:yVal>
          <c:smooth val="0"/>
          <c:extLst>
            <c:ext xmlns:c16="http://schemas.microsoft.com/office/drawing/2014/chart" uri="{C3380CC4-5D6E-409C-BE32-E72D297353CC}">
              <c16:uniqueId val="{00000003-78CD-4F3B-83BD-7EB6B5D1B8B4}"/>
            </c:ext>
          </c:extLst>
        </c:ser>
        <c:ser>
          <c:idx val="4"/>
          <c:order val="4"/>
          <c:tx>
            <c:strRef>
              <c:f>Hazard5!$C$919</c:f>
              <c:strCache>
                <c:ptCount val="1"/>
                <c:pt idx="0">
                  <c:v>Info Sharing</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Hazard5!$J$920</c:f>
              <c:strCache>
                <c:ptCount val="1"/>
                <c:pt idx="0">
                  <c:v>Not Calculated</c:v>
                </c:pt>
              </c:strCache>
            </c:strRef>
          </c:xVal>
          <c:yVal>
            <c:numRef>
              <c:f>Hazard5!$J$921</c:f>
              <c:numCache>
                <c:formatCode>General</c:formatCode>
                <c:ptCount val="1"/>
                <c:pt idx="0">
                  <c:v>0</c:v>
                </c:pt>
              </c:numCache>
            </c:numRef>
          </c:yVal>
          <c:smooth val="0"/>
          <c:extLst>
            <c:ext xmlns:c16="http://schemas.microsoft.com/office/drawing/2014/chart" uri="{C3380CC4-5D6E-409C-BE32-E72D297353CC}">
              <c16:uniqueId val="{00000004-78CD-4F3B-83BD-7EB6B5D1B8B4}"/>
            </c:ext>
          </c:extLst>
        </c:ser>
        <c:ser>
          <c:idx val="5"/>
          <c:order val="5"/>
          <c:tx>
            <c:strRef>
              <c:f>Hazard5!$C$923</c:f>
              <c:strCache>
                <c:ptCount val="1"/>
                <c:pt idx="0">
                  <c:v>Medical Surge</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Hazard5!$J$924</c:f>
              <c:strCache>
                <c:ptCount val="1"/>
                <c:pt idx="0">
                  <c:v>Not Calculated</c:v>
                </c:pt>
              </c:strCache>
            </c:strRef>
          </c:xVal>
          <c:yVal>
            <c:numRef>
              <c:f>Hazard5!$J$925</c:f>
              <c:numCache>
                <c:formatCode>General</c:formatCode>
                <c:ptCount val="1"/>
                <c:pt idx="0">
                  <c:v>0</c:v>
                </c:pt>
              </c:numCache>
            </c:numRef>
          </c:yVal>
          <c:smooth val="0"/>
          <c:extLst>
            <c:ext xmlns:c16="http://schemas.microsoft.com/office/drawing/2014/chart" uri="{C3380CC4-5D6E-409C-BE32-E72D297353CC}">
              <c16:uniqueId val="{00000005-78CD-4F3B-83BD-7EB6B5D1B8B4}"/>
            </c:ext>
          </c:extLst>
        </c:ser>
        <c:ser>
          <c:idx val="6"/>
          <c:order val="6"/>
          <c:tx>
            <c:strRef>
              <c:f>Hazard5!$C$927</c:f>
              <c:strCache>
                <c:ptCount val="1"/>
                <c:pt idx="0">
                  <c:v>Responder Safety</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Hazard5!$J$928</c:f>
              <c:strCache>
                <c:ptCount val="1"/>
                <c:pt idx="0">
                  <c:v>Not Calculated</c:v>
                </c:pt>
              </c:strCache>
            </c:strRef>
          </c:xVal>
          <c:yVal>
            <c:numRef>
              <c:f>Hazard5!$J$929</c:f>
              <c:numCache>
                <c:formatCode>General</c:formatCode>
                <c:ptCount val="1"/>
                <c:pt idx="0">
                  <c:v>0</c:v>
                </c:pt>
              </c:numCache>
            </c:numRef>
          </c:yVal>
          <c:smooth val="0"/>
          <c:extLst>
            <c:ext xmlns:c16="http://schemas.microsoft.com/office/drawing/2014/chart" uri="{C3380CC4-5D6E-409C-BE32-E72D297353CC}">
              <c16:uniqueId val="{00000006-78CD-4F3B-83BD-7EB6B5D1B8B4}"/>
            </c:ext>
          </c:extLst>
        </c:ser>
        <c:ser>
          <c:idx val="7"/>
          <c:order val="7"/>
          <c:tx>
            <c:strRef>
              <c:f>Hazard5!$C$931</c:f>
              <c:strCache>
                <c:ptCount val="1"/>
                <c:pt idx="0">
                  <c:v>Volunteer Mgmt</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Hazard5!$J$932</c:f>
              <c:strCache>
                <c:ptCount val="1"/>
                <c:pt idx="0">
                  <c:v>Not Calculated</c:v>
                </c:pt>
              </c:strCache>
            </c:strRef>
          </c:xVal>
          <c:yVal>
            <c:numRef>
              <c:f>Hazard5!$J$933</c:f>
              <c:numCache>
                <c:formatCode>General</c:formatCode>
                <c:ptCount val="1"/>
                <c:pt idx="0">
                  <c:v>0</c:v>
                </c:pt>
              </c:numCache>
            </c:numRef>
          </c:yVal>
          <c:smooth val="0"/>
          <c:extLst>
            <c:ext xmlns:c16="http://schemas.microsoft.com/office/drawing/2014/chart" uri="{C3380CC4-5D6E-409C-BE32-E72D297353CC}">
              <c16:uniqueId val="{00000007-78CD-4F3B-83BD-7EB6B5D1B8B4}"/>
            </c:ext>
          </c:extLst>
        </c:ser>
        <c:ser>
          <c:idx val="14"/>
          <c:order val="8"/>
          <c:tx>
            <c:strRef>
              <c:f>Drought!$C$964</c:f>
              <c:strCache>
                <c:ptCount val="1"/>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Drought!$J$965</c:f>
            </c:numRef>
          </c:xVal>
          <c:yVal>
            <c:numRef>
              <c:f>Drought!$J$966</c:f>
            </c:numRef>
          </c:yVal>
          <c:smooth val="0"/>
          <c:extLst>
            <c:ext xmlns:c16="http://schemas.microsoft.com/office/drawing/2014/chart" uri="{C3380CC4-5D6E-409C-BE32-E72D297353CC}">
              <c16:uniqueId val="{00000008-78CD-4F3B-83BD-7EB6B5D1B8B4}"/>
            </c:ext>
          </c:extLst>
        </c:ser>
        <c:dLbls>
          <c:showLegendKey val="0"/>
          <c:showVal val="1"/>
          <c:showCatName val="0"/>
          <c:showSerName val="0"/>
          <c:showPercent val="0"/>
          <c:showBubbleSize val="0"/>
        </c:dLbls>
        <c:axId val="205005184"/>
        <c:axId val="205007104"/>
      </c:scatterChart>
      <c:valAx>
        <c:axId val="205005184"/>
        <c:scaling>
          <c:orientation val="minMax"/>
          <c:max val="4.5"/>
          <c:min val="0"/>
        </c:scaling>
        <c:delete val="0"/>
        <c:axPos val="b"/>
        <c:majorGridlines/>
        <c:title>
          <c:tx>
            <c:rich>
              <a:bodyPr/>
              <a:lstStyle/>
              <a:p>
                <a:pPr>
                  <a:defRPr b="0">
                    <a:latin typeface="+mj-lt"/>
                  </a:defRPr>
                </a:pPr>
                <a:r>
                  <a:rPr lang="en-US" sz="1600" b="0">
                    <a:latin typeface="+mj-lt"/>
                  </a:rPr>
                  <a:t>Capability Relevance to Hazard</a:t>
                </a:r>
              </a:p>
            </c:rich>
          </c:tx>
          <c:overlay val="0"/>
        </c:title>
        <c:numFmt formatCode="General" sourceLinked="1"/>
        <c:majorTickMark val="out"/>
        <c:minorTickMark val="none"/>
        <c:tickLblPos val="nextTo"/>
        <c:spPr>
          <a:ln>
            <a:solidFill>
              <a:schemeClr val="tx1"/>
            </a:solidFill>
          </a:ln>
        </c:spPr>
        <c:crossAx val="205007104"/>
        <c:crosses val="autoZero"/>
        <c:crossBetween val="midCat"/>
        <c:majorUnit val="1"/>
        <c:minorUnit val="0.1"/>
      </c:valAx>
      <c:valAx>
        <c:axId val="205007104"/>
        <c:scaling>
          <c:orientation val="minMax"/>
          <c:max val="4.5"/>
          <c:min val="0"/>
        </c:scaling>
        <c:delete val="0"/>
        <c:axPos val="l"/>
        <c:majorGridlines/>
        <c:title>
          <c:tx>
            <c:rich>
              <a:bodyPr rot="-5400000" vert="horz"/>
              <a:lstStyle/>
              <a:p>
                <a:pPr>
                  <a:defRPr sz="1600" b="0">
                    <a:latin typeface="+mj-lt"/>
                  </a:defRPr>
                </a:pPr>
                <a:r>
                  <a:rPr lang="en-US" sz="1600" b="0">
                    <a:latin typeface="+mj-lt"/>
                  </a:rPr>
                  <a:t>Capability Status</a:t>
                </a:r>
              </a:p>
            </c:rich>
          </c:tx>
          <c:overlay val="0"/>
        </c:title>
        <c:numFmt formatCode="General" sourceLinked="1"/>
        <c:majorTickMark val="out"/>
        <c:minorTickMark val="none"/>
        <c:tickLblPos val="nextTo"/>
        <c:spPr>
          <a:ln>
            <a:solidFill>
              <a:schemeClr val="tx1"/>
            </a:solidFill>
          </a:ln>
        </c:spPr>
        <c:crossAx val="205005184"/>
        <c:crosses val="autoZero"/>
        <c:crossBetween val="midCat"/>
        <c:majorUnit val="1"/>
        <c:minorUnit val="0.1"/>
      </c:valAx>
      <c:spPr>
        <a:gradFill flip="none" rotWithShape="1">
          <a:gsLst>
            <a:gs pos="0">
              <a:srgbClr val="63BE7B"/>
            </a:gs>
            <a:gs pos="50000">
              <a:srgbClr val="FFEB84"/>
            </a:gs>
            <a:gs pos="100000">
              <a:srgbClr val="F8696B"/>
            </a:gs>
          </a:gsLst>
          <a:lin ang="27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b="0" u="sng">
                <a:latin typeface="+mj-lt"/>
              </a:defRPr>
            </a:pPr>
            <a:r>
              <a:rPr lang="en-US" b="0" u="sng">
                <a:latin typeface="+mj-lt"/>
              </a:rPr>
              <a:t>Severity</a:t>
            </a:r>
          </a:p>
        </c:rich>
      </c:tx>
      <c:layout>
        <c:manualLayout>
          <c:xMode val="edge"/>
          <c:yMode val="edge"/>
          <c:x val="0.46889233641333816"/>
          <c:y val="1.3244983721297133E-2"/>
        </c:manualLayout>
      </c:layout>
      <c:overlay val="0"/>
    </c:title>
    <c:autoTitleDeleted val="0"/>
    <c:plotArea>
      <c:layout/>
      <c:barChart>
        <c:barDir val="col"/>
        <c:grouping val="clustered"/>
        <c:varyColors val="0"/>
        <c:ser>
          <c:idx val="0"/>
          <c:order val="0"/>
          <c:tx>
            <c:v>Severity</c:v>
          </c:tx>
          <c:spPr>
            <a:solidFill>
              <a:schemeClr val="accent4">
                <a:lumMod val="60000"/>
                <a:lumOff val="40000"/>
              </a:schemeClr>
            </a:solidFill>
            <a:ln>
              <a:solidFill>
                <a:schemeClr val="accent4"/>
              </a:solidFill>
            </a:ln>
            <a:scene3d>
              <a:camera prst="orthographicFront"/>
              <a:lightRig rig="threePt" dir="t"/>
            </a:scene3d>
            <a:sp3d prstMaterial="matte">
              <a:bevelT w="63500" h="50800"/>
            </a:sp3d>
          </c:spPr>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('Active Shooter'!$G$22,'Active Shooter'!$G$137,'Active Shooter'!$G$265,'Active Shooter'!$G$425,'Active Shooter'!$G$543)</c:f>
              <c:strCache>
                <c:ptCount val="5"/>
                <c:pt idx="0">
                  <c:v>Human Impact</c:v>
                </c:pt>
                <c:pt idx="1">
                  <c:v>Healthcare Service Impact</c:v>
                </c:pt>
                <c:pt idx="2">
                  <c:v>Inpatient Healthcare Facility Infrastructure Impact</c:v>
                </c:pt>
                <c:pt idx="3">
                  <c:v>Community Impact</c:v>
                </c:pt>
                <c:pt idx="4">
                  <c:v>Public Health Service Impact</c:v>
                </c:pt>
              </c:strCache>
            </c:strRef>
          </c:cat>
          <c:val>
            <c:numRef>
              <c:f>(Hazard6!$J$133,Hazard6!$J$261,Hazard6!$J$421,Hazard6!$J$539,Hazard6!$J$681)</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0-01C4-4996-AA96-40C893F22BE6}"/>
            </c:ext>
          </c:extLst>
        </c:ser>
        <c:dLbls>
          <c:showLegendKey val="0"/>
          <c:showVal val="1"/>
          <c:showCatName val="0"/>
          <c:showSerName val="0"/>
          <c:showPercent val="0"/>
          <c:showBubbleSize val="0"/>
        </c:dLbls>
        <c:gapWidth val="150"/>
        <c:axId val="199759360"/>
        <c:axId val="199761280"/>
      </c:barChart>
      <c:catAx>
        <c:axId val="199759360"/>
        <c:scaling>
          <c:orientation val="minMax"/>
        </c:scaling>
        <c:delete val="0"/>
        <c:axPos val="b"/>
        <c:title>
          <c:tx>
            <c:rich>
              <a:bodyPr/>
              <a:lstStyle/>
              <a:p>
                <a:pPr>
                  <a:defRPr sz="1600" b="0">
                    <a:latin typeface="+mj-lt"/>
                  </a:defRPr>
                </a:pPr>
                <a:r>
                  <a:rPr lang="en-US" sz="1600" b="0">
                    <a:latin typeface="+mj-lt"/>
                  </a:rPr>
                  <a:t>Domain</a:t>
                </a:r>
              </a:p>
            </c:rich>
          </c:tx>
          <c:overlay val="0"/>
        </c:title>
        <c:numFmt formatCode="General" sourceLinked="1"/>
        <c:majorTickMark val="out"/>
        <c:minorTickMark val="none"/>
        <c:tickLblPos val="nextTo"/>
        <c:crossAx val="199761280"/>
        <c:crosses val="autoZero"/>
        <c:auto val="1"/>
        <c:lblAlgn val="ctr"/>
        <c:lblOffset val="100"/>
        <c:noMultiLvlLbl val="0"/>
      </c:catAx>
      <c:valAx>
        <c:axId val="199761280"/>
        <c:scaling>
          <c:orientation val="minMax"/>
          <c:max val="4"/>
        </c:scaling>
        <c:delete val="0"/>
        <c:axPos val="l"/>
        <c:majorGridlines/>
        <c:title>
          <c:tx>
            <c:rich>
              <a:bodyPr rot="-5400000" vert="horz"/>
              <a:lstStyle/>
              <a:p>
                <a:pPr>
                  <a:defRPr sz="1600" b="0">
                    <a:latin typeface="+mj-lt"/>
                  </a:defRPr>
                </a:pPr>
                <a:r>
                  <a:rPr lang="en-US" sz="1600" b="0">
                    <a:latin typeface="+mj-lt"/>
                  </a:rPr>
                  <a:t>Severity</a:t>
                </a:r>
                <a:r>
                  <a:rPr lang="en-US" sz="1600" b="0" baseline="0">
                    <a:latin typeface="+mj-lt"/>
                  </a:rPr>
                  <a:t> Score</a:t>
                </a:r>
                <a:endParaRPr lang="en-US" sz="1600" b="0">
                  <a:latin typeface="+mj-lt"/>
                </a:endParaRPr>
              </a:p>
            </c:rich>
          </c:tx>
          <c:overlay val="0"/>
        </c:title>
        <c:numFmt formatCode="0.00" sourceLinked="1"/>
        <c:majorTickMark val="out"/>
        <c:minorTickMark val="none"/>
        <c:tickLblPos val="nextTo"/>
        <c:crossAx val="199759360"/>
        <c:crosses val="autoZero"/>
        <c:crossBetween val="between"/>
      </c:valAx>
      <c:spPr>
        <a:gradFill flip="none" rotWithShape="1">
          <a:gsLst>
            <a:gs pos="0">
              <a:srgbClr val="63BE7B"/>
            </a:gs>
            <a:gs pos="50000">
              <a:srgbClr val="FFEB84"/>
            </a:gs>
            <a:gs pos="100000">
              <a:srgbClr val="F8696B"/>
            </a:gs>
          </a:gsLst>
          <a:lin ang="162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b="0" u="sng">
                <a:latin typeface="+mj-lt"/>
              </a:defRPr>
            </a:pPr>
            <a:r>
              <a:rPr lang="en-US" b="0" u="sng">
                <a:latin typeface="+mj-lt"/>
              </a:rPr>
              <a:t>At-Risk Populations</a:t>
            </a:r>
          </a:p>
        </c:rich>
      </c:tx>
      <c:layout>
        <c:manualLayout>
          <c:xMode val="edge"/>
          <c:yMode val="edge"/>
          <c:x val="0.37636858589702443"/>
          <c:y val="1.3244983721297133E-2"/>
        </c:manualLayout>
      </c:layout>
      <c:overlay val="0"/>
    </c:title>
    <c:autoTitleDeleted val="0"/>
    <c:plotArea>
      <c:layout>
        <c:manualLayout>
          <c:layoutTarget val="inner"/>
          <c:xMode val="edge"/>
          <c:yMode val="edge"/>
          <c:x val="9.2855623530330264E-2"/>
          <c:y val="0.10007907481510167"/>
          <c:w val="0.87850741705614022"/>
          <c:h val="0.77165947152780956"/>
        </c:manualLayout>
      </c:layout>
      <c:scatterChart>
        <c:scatterStyle val="lineMarker"/>
        <c:varyColors val="0"/>
        <c:ser>
          <c:idx val="0"/>
          <c:order val="0"/>
          <c:tx>
            <c:strRef>
              <c:f>Hazard6!$C$793</c:f>
              <c:strCache>
                <c:ptCount val="1"/>
                <c:pt idx="0">
                  <c:v>Poverty</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Hazard6!$J$795</c:f>
              <c:numCache>
                <c:formatCode>General</c:formatCode>
                <c:ptCount val="1"/>
                <c:pt idx="0">
                  <c:v>0</c:v>
                </c:pt>
              </c:numCache>
            </c:numRef>
          </c:xVal>
          <c:yVal>
            <c:numRef>
              <c:f>Hazard6!$J$794</c:f>
              <c:numCache>
                <c:formatCode>General</c:formatCode>
                <c:ptCount val="1"/>
                <c:pt idx="0">
                  <c:v>0</c:v>
                </c:pt>
              </c:numCache>
            </c:numRef>
          </c:yVal>
          <c:smooth val="0"/>
          <c:extLst>
            <c:ext xmlns:c16="http://schemas.microsoft.com/office/drawing/2014/chart" uri="{C3380CC4-5D6E-409C-BE32-E72D297353CC}">
              <c16:uniqueId val="{00000000-9160-46CE-9319-05772826C65A}"/>
            </c:ext>
          </c:extLst>
        </c:ser>
        <c:ser>
          <c:idx val="1"/>
          <c:order val="1"/>
          <c:tx>
            <c:strRef>
              <c:f>Hazard6!$C$797</c:f>
              <c:strCache>
                <c:ptCount val="1"/>
                <c:pt idx="0">
                  <c:v>Chronic Diseases (Diabetes)</c:v>
                </c:pt>
              </c:strCache>
            </c:strRef>
          </c:tx>
          <c:spPr>
            <a:ln w="66675">
              <a:noFill/>
            </a:ln>
          </c:spPr>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9160-46CE-9319-05772826C65A}"/>
                </c:ext>
              </c:extLst>
            </c:dLbl>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Hazard6!$J$799</c:f>
              <c:numCache>
                <c:formatCode>General</c:formatCode>
                <c:ptCount val="1"/>
                <c:pt idx="0">
                  <c:v>0</c:v>
                </c:pt>
              </c:numCache>
            </c:numRef>
          </c:xVal>
          <c:yVal>
            <c:numRef>
              <c:f>Hazard6!$J$798</c:f>
              <c:numCache>
                <c:formatCode>General</c:formatCode>
                <c:ptCount val="1"/>
                <c:pt idx="0">
                  <c:v>0</c:v>
                </c:pt>
              </c:numCache>
            </c:numRef>
          </c:yVal>
          <c:smooth val="0"/>
          <c:extLst>
            <c:ext xmlns:c16="http://schemas.microsoft.com/office/drawing/2014/chart" uri="{C3380CC4-5D6E-409C-BE32-E72D297353CC}">
              <c16:uniqueId val="{00000002-9160-46CE-9319-05772826C65A}"/>
            </c:ext>
          </c:extLst>
        </c:ser>
        <c:ser>
          <c:idx val="2"/>
          <c:order val="2"/>
          <c:tx>
            <c:strRef>
              <c:f>Hazard6!$C$801</c:f>
              <c:strCache>
                <c:ptCount val="1"/>
                <c:pt idx="0">
                  <c:v>Children 18 and under</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Hazard6!$J$803</c:f>
              <c:numCache>
                <c:formatCode>General</c:formatCode>
                <c:ptCount val="1"/>
                <c:pt idx="0">
                  <c:v>0</c:v>
                </c:pt>
              </c:numCache>
            </c:numRef>
          </c:xVal>
          <c:yVal>
            <c:numRef>
              <c:f>Hazard6!$J$802</c:f>
              <c:numCache>
                <c:formatCode>General</c:formatCode>
                <c:ptCount val="1"/>
                <c:pt idx="0">
                  <c:v>0</c:v>
                </c:pt>
              </c:numCache>
            </c:numRef>
          </c:yVal>
          <c:smooth val="0"/>
          <c:extLst>
            <c:ext xmlns:c16="http://schemas.microsoft.com/office/drawing/2014/chart" uri="{C3380CC4-5D6E-409C-BE32-E72D297353CC}">
              <c16:uniqueId val="{00000003-9160-46CE-9319-05772826C65A}"/>
            </c:ext>
          </c:extLst>
        </c:ser>
        <c:ser>
          <c:idx val="3"/>
          <c:order val="3"/>
          <c:tx>
            <c:strRef>
              <c:f>Hazard6!$C$805</c:f>
              <c:strCache>
                <c:ptCount val="1"/>
                <c:pt idx="0">
                  <c:v>Elderly 65 and older</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Hazard6!$J$807</c:f>
              <c:numCache>
                <c:formatCode>General</c:formatCode>
                <c:ptCount val="1"/>
                <c:pt idx="0">
                  <c:v>0</c:v>
                </c:pt>
              </c:numCache>
            </c:numRef>
          </c:xVal>
          <c:yVal>
            <c:numRef>
              <c:f>Hazard6!$J$806</c:f>
              <c:numCache>
                <c:formatCode>General</c:formatCode>
                <c:ptCount val="1"/>
                <c:pt idx="0">
                  <c:v>0</c:v>
                </c:pt>
              </c:numCache>
            </c:numRef>
          </c:yVal>
          <c:smooth val="0"/>
          <c:extLst>
            <c:ext xmlns:c16="http://schemas.microsoft.com/office/drawing/2014/chart" uri="{C3380CC4-5D6E-409C-BE32-E72D297353CC}">
              <c16:uniqueId val="{00000004-9160-46CE-9319-05772826C65A}"/>
            </c:ext>
          </c:extLst>
        </c:ser>
        <c:ser>
          <c:idx val="4"/>
          <c:order val="4"/>
          <c:tx>
            <c:strRef>
              <c:f>Hazard6!$C$773</c:f>
              <c:strCache>
                <c:ptCount val="1"/>
                <c:pt idx="0">
                  <c:v>Hearing Disability</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Hazard6!$J$775</c:f>
              <c:numCache>
                <c:formatCode>General</c:formatCode>
                <c:ptCount val="1"/>
                <c:pt idx="0">
                  <c:v>0</c:v>
                </c:pt>
              </c:numCache>
            </c:numRef>
          </c:xVal>
          <c:yVal>
            <c:numRef>
              <c:f>Hazard6!$J$774</c:f>
              <c:numCache>
                <c:formatCode>General</c:formatCode>
                <c:ptCount val="1"/>
                <c:pt idx="0">
                  <c:v>0</c:v>
                </c:pt>
              </c:numCache>
            </c:numRef>
          </c:yVal>
          <c:smooth val="0"/>
          <c:extLst>
            <c:ext xmlns:c16="http://schemas.microsoft.com/office/drawing/2014/chart" uri="{C3380CC4-5D6E-409C-BE32-E72D297353CC}">
              <c16:uniqueId val="{00000005-9160-46CE-9319-05772826C65A}"/>
            </c:ext>
          </c:extLst>
        </c:ser>
        <c:ser>
          <c:idx val="5"/>
          <c:order val="5"/>
          <c:tx>
            <c:strRef>
              <c:f>Hazard6!$C$777</c:f>
              <c:strCache>
                <c:ptCount val="1"/>
                <c:pt idx="0">
                  <c:v>Vision Disability</c:v>
                </c:pt>
              </c:strCache>
            </c:strRef>
          </c:tx>
          <c:spPr>
            <a:ln w="66675">
              <a:noFill/>
            </a:ln>
          </c:spPr>
          <c:dLbls>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Hazard6!$J$779</c:f>
              <c:numCache>
                <c:formatCode>General</c:formatCode>
                <c:ptCount val="1"/>
                <c:pt idx="0">
                  <c:v>0</c:v>
                </c:pt>
              </c:numCache>
            </c:numRef>
          </c:xVal>
          <c:yVal>
            <c:numRef>
              <c:f>Hazard6!$J$778</c:f>
              <c:numCache>
                <c:formatCode>General</c:formatCode>
                <c:ptCount val="1"/>
                <c:pt idx="0">
                  <c:v>0</c:v>
                </c:pt>
              </c:numCache>
            </c:numRef>
          </c:yVal>
          <c:smooth val="0"/>
          <c:extLst>
            <c:ext xmlns:c16="http://schemas.microsoft.com/office/drawing/2014/chart" uri="{C3380CC4-5D6E-409C-BE32-E72D297353CC}">
              <c16:uniqueId val="{00000006-9160-46CE-9319-05772826C65A}"/>
            </c:ext>
          </c:extLst>
        </c:ser>
        <c:ser>
          <c:idx val="6"/>
          <c:order val="6"/>
          <c:tx>
            <c:strRef>
              <c:f>Hazard6!$C$781</c:f>
              <c:strCache>
                <c:ptCount val="1"/>
                <c:pt idx="0">
                  <c:v>Ambulatory Disability</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Hazard6!$J$783</c:f>
              <c:numCache>
                <c:formatCode>General</c:formatCode>
                <c:ptCount val="1"/>
                <c:pt idx="0">
                  <c:v>0</c:v>
                </c:pt>
              </c:numCache>
            </c:numRef>
          </c:xVal>
          <c:yVal>
            <c:numRef>
              <c:f>Hazard6!$J$782</c:f>
              <c:numCache>
                <c:formatCode>General</c:formatCode>
                <c:ptCount val="1"/>
                <c:pt idx="0">
                  <c:v>0</c:v>
                </c:pt>
              </c:numCache>
            </c:numRef>
          </c:yVal>
          <c:smooth val="0"/>
          <c:extLst>
            <c:ext xmlns:c16="http://schemas.microsoft.com/office/drawing/2014/chart" uri="{C3380CC4-5D6E-409C-BE32-E72D297353CC}">
              <c16:uniqueId val="{00000007-9160-46CE-9319-05772826C65A}"/>
            </c:ext>
          </c:extLst>
        </c:ser>
        <c:ser>
          <c:idx val="7"/>
          <c:order val="7"/>
          <c:tx>
            <c:strRef>
              <c:f>Hazard6!$C$785</c:f>
              <c:strCache>
                <c:ptCount val="1"/>
                <c:pt idx="0">
                  <c:v>Cognitive Disability</c:v>
                </c:pt>
              </c:strCache>
            </c:strRef>
          </c:tx>
          <c:spPr>
            <a:ln w="66675">
              <a:noFill/>
            </a:ln>
          </c:spPr>
          <c:dLbls>
            <c:dLbl>
              <c:idx val="0"/>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9160-46CE-9319-05772826C65A}"/>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Hazard6!$J$787</c:f>
              <c:numCache>
                <c:formatCode>General</c:formatCode>
                <c:ptCount val="1"/>
                <c:pt idx="0">
                  <c:v>0</c:v>
                </c:pt>
              </c:numCache>
            </c:numRef>
          </c:xVal>
          <c:yVal>
            <c:numRef>
              <c:f>Hazard6!$J$786</c:f>
              <c:numCache>
                <c:formatCode>General</c:formatCode>
                <c:ptCount val="1"/>
                <c:pt idx="0">
                  <c:v>0</c:v>
                </c:pt>
              </c:numCache>
            </c:numRef>
          </c:yVal>
          <c:smooth val="0"/>
          <c:extLst>
            <c:ext xmlns:c16="http://schemas.microsoft.com/office/drawing/2014/chart" uri="{C3380CC4-5D6E-409C-BE32-E72D297353CC}">
              <c16:uniqueId val="{00000009-9160-46CE-9319-05772826C65A}"/>
            </c:ext>
          </c:extLst>
        </c:ser>
        <c:ser>
          <c:idx val="8"/>
          <c:order val="8"/>
          <c:tx>
            <c:strRef>
              <c:f>Hazard6!$C$789</c:f>
              <c:strCache>
                <c:ptCount val="1"/>
                <c:pt idx="0">
                  <c:v>Limited English Proficiency</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Hazard6!$J$791</c:f>
              <c:numCache>
                <c:formatCode>General</c:formatCode>
                <c:ptCount val="1"/>
                <c:pt idx="0">
                  <c:v>0</c:v>
                </c:pt>
              </c:numCache>
            </c:numRef>
          </c:xVal>
          <c:yVal>
            <c:numRef>
              <c:f>Hazard6!$J$790</c:f>
              <c:numCache>
                <c:formatCode>General</c:formatCode>
                <c:ptCount val="1"/>
                <c:pt idx="0">
                  <c:v>0</c:v>
                </c:pt>
              </c:numCache>
            </c:numRef>
          </c:yVal>
          <c:smooth val="0"/>
          <c:extLst>
            <c:ext xmlns:c16="http://schemas.microsoft.com/office/drawing/2014/chart" uri="{C3380CC4-5D6E-409C-BE32-E72D297353CC}">
              <c16:uniqueId val="{0000000A-9160-46CE-9319-05772826C65A}"/>
            </c:ext>
          </c:extLst>
        </c:ser>
        <c:dLbls>
          <c:showLegendKey val="0"/>
          <c:showVal val="1"/>
          <c:showCatName val="0"/>
          <c:showSerName val="0"/>
          <c:showPercent val="0"/>
          <c:showBubbleSize val="0"/>
        </c:dLbls>
        <c:axId val="199853184"/>
        <c:axId val="199855104"/>
      </c:scatterChart>
      <c:valAx>
        <c:axId val="199853184"/>
        <c:scaling>
          <c:orientation val="minMax"/>
          <c:max val="4.5"/>
          <c:min val="0"/>
        </c:scaling>
        <c:delete val="0"/>
        <c:axPos val="b"/>
        <c:majorGridlines/>
        <c:title>
          <c:tx>
            <c:rich>
              <a:bodyPr/>
              <a:lstStyle/>
              <a:p>
                <a:pPr>
                  <a:defRPr b="0">
                    <a:latin typeface="+mj-lt"/>
                  </a:defRPr>
                </a:pPr>
                <a:r>
                  <a:rPr lang="en-US" sz="1600" b="0">
                    <a:latin typeface="+mj-lt"/>
                  </a:rPr>
                  <a:t>Access Planning Score</a:t>
                </a:r>
              </a:p>
            </c:rich>
          </c:tx>
          <c:overlay val="0"/>
        </c:title>
        <c:numFmt formatCode="General" sourceLinked="1"/>
        <c:majorTickMark val="out"/>
        <c:minorTickMark val="none"/>
        <c:tickLblPos val="nextTo"/>
        <c:spPr>
          <a:ln>
            <a:solidFill>
              <a:schemeClr val="tx1"/>
            </a:solidFill>
          </a:ln>
        </c:spPr>
        <c:crossAx val="199855104"/>
        <c:crosses val="autoZero"/>
        <c:crossBetween val="midCat"/>
        <c:majorUnit val="1"/>
        <c:minorUnit val="0.1"/>
      </c:valAx>
      <c:valAx>
        <c:axId val="199855104"/>
        <c:scaling>
          <c:orientation val="minMax"/>
          <c:max val="4.5"/>
          <c:min val="0"/>
        </c:scaling>
        <c:delete val="0"/>
        <c:axPos val="l"/>
        <c:majorGridlines/>
        <c:title>
          <c:tx>
            <c:rich>
              <a:bodyPr rot="-5400000" vert="horz"/>
              <a:lstStyle/>
              <a:p>
                <a:pPr>
                  <a:defRPr sz="1600" b="0">
                    <a:latin typeface="+mj-lt"/>
                  </a:defRPr>
                </a:pPr>
                <a:r>
                  <a:rPr lang="en-US" sz="1600" b="0">
                    <a:latin typeface="+mj-lt"/>
                  </a:rPr>
                  <a:t>Population Size Score</a:t>
                </a:r>
              </a:p>
            </c:rich>
          </c:tx>
          <c:overlay val="0"/>
        </c:title>
        <c:numFmt formatCode="General" sourceLinked="1"/>
        <c:majorTickMark val="out"/>
        <c:minorTickMark val="none"/>
        <c:tickLblPos val="nextTo"/>
        <c:spPr>
          <a:ln>
            <a:solidFill>
              <a:schemeClr val="tx1"/>
            </a:solidFill>
          </a:ln>
        </c:spPr>
        <c:crossAx val="199853184"/>
        <c:crosses val="autoZero"/>
        <c:crossBetween val="midCat"/>
        <c:majorUnit val="1"/>
        <c:minorUnit val="0.1"/>
      </c:valAx>
      <c:spPr>
        <a:gradFill flip="none" rotWithShape="1">
          <a:gsLst>
            <a:gs pos="0">
              <a:srgbClr val="63BE7B"/>
            </a:gs>
            <a:gs pos="50000">
              <a:srgbClr val="FFEB84"/>
            </a:gs>
            <a:gs pos="100000">
              <a:srgbClr val="F8696B"/>
            </a:gs>
          </a:gsLst>
          <a:lin ang="189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b="0" u="sng">
                <a:latin typeface="+mj-lt"/>
              </a:defRPr>
            </a:pPr>
            <a:r>
              <a:rPr lang="en-US" b="0" u="sng">
                <a:latin typeface="+mj-lt"/>
              </a:rPr>
              <a:t>Probability vs. Public Health System Severity</a:t>
            </a:r>
          </a:p>
        </c:rich>
      </c:tx>
      <c:layout>
        <c:manualLayout>
          <c:xMode val="edge"/>
          <c:yMode val="edge"/>
          <c:x val="0.27227936656616775"/>
          <c:y val="1.3244983721297133E-2"/>
        </c:manualLayout>
      </c:layout>
      <c:overlay val="0"/>
    </c:title>
    <c:autoTitleDeleted val="0"/>
    <c:plotArea>
      <c:layout/>
      <c:scatterChart>
        <c:scatterStyle val="lineMarker"/>
        <c:varyColors val="0"/>
        <c:ser>
          <c:idx val="0"/>
          <c:order val="0"/>
          <c:tx>
            <c:strRef>
              <c:f>'Summary of Scores'!$B$8</c:f>
              <c:strCache>
                <c:ptCount val="1"/>
                <c:pt idx="0">
                  <c:v>Active Shooter</c:v>
                </c:pt>
              </c:strCache>
            </c:strRef>
          </c:tx>
          <c:spPr>
            <a:ln w="66675">
              <a:noFill/>
            </a:ln>
          </c:spPr>
          <c:dLbls>
            <c:dLbl>
              <c:idx val="0"/>
              <c:layout>
                <c:manualLayout>
                  <c:x val="-8.4388243291149967E-2"/>
                  <c:y val="0"/>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20FE-41E6-BD8B-BE14767E0219}"/>
                </c:ext>
              </c:extLst>
            </c:dLbl>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Scores'!$D$8</c:f>
              <c:strCache>
                <c:ptCount val="1"/>
                <c:pt idx="0">
                  <c:v>Not Calculated</c:v>
                </c:pt>
              </c:strCache>
            </c:strRef>
          </c:xVal>
          <c:yVal>
            <c:numRef>
              <c:f>'Summary of Scores'!$C$8</c:f>
              <c:numCache>
                <c:formatCode>General</c:formatCode>
                <c:ptCount val="1"/>
                <c:pt idx="0">
                  <c:v>2</c:v>
                </c:pt>
              </c:numCache>
            </c:numRef>
          </c:yVal>
          <c:smooth val="0"/>
          <c:extLst>
            <c:ext xmlns:c16="http://schemas.microsoft.com/office/drawing/2014/chart" uri="{C3380CC4-5D6E-409C-BE32-E72D297353CC}">
              <c16:uniqueId val="{00000001-20FE-41E6-BD8B-BE14767E0219}"/>
            </c:ext>
          </c:extLst>
        </c:ser>
        <c:ser>
          <c:idx val="1"/>
          <c:order val="1"/>
          <c:tx>
            <c:strRef>
              <c:f>'Summary of Scores'!$B$9</c:f>
              <c:strCache>
                <c:ptCount val="1"/>
                <c:pt idx="0">
                  <c:v>Bio Terrorism</c:v>
                </c:pt>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Scores'!$D$9</c:f>
              <c:strCache>
                <c:ptCount val="1"/>
                <c:pt idx="0">
                  <c:v>Not Calculated</c:v>
                </c:pt>
              </c:strCache>
            </c:strRef>
          </c:xVal>
          <c:yVal>
            <c:numRef>
              <c:f>'Summary of Scores'!$C$9</c:f>
              <c:numCache>
                <c:formatCode>General</c:formatCode>
                <c:ptCount val="1"/>
                <c:pt idx="0">
                  <c:v>1</c:v>
                </c:pt>
              </c:numCache>
            </c:numRef>
          </c:yVal>
          <c:smooth val="0"/>
          <c:extLst>
            <c:ext xmlns:c16="http://schemas.microsoft.com/office/drawing/2014/chart" uri="{C3380CC4-5D6E-409C-BE32-E72D297353CC}">
              <c16:uniqueId val="{00000002-20FE-41E6-BD8B-BE14767E0219}"/>
            </c:ext>
          </c:extLst>
        </c:ser>
        <c:ser>
          <c:idx val="2"/>
          <c:order val="2"/>
          <c:tx>
            <c:strRef>
              <c:f>'Summary of Scores'!$B$10</c:f>
              <c:strCache>
                <c:ptCount val="1"/>
                <c:pt idx="0">
                  <c:v>Chem Terrorism</c:v>
                </c:pt>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Scores'!$D$10</c:f>
              <c:strCache>
                <c:ptCount val="1"/>
                <c:pt idx="0">
                  <c:v>Not Calculated</c:v>
                </c:pt>
              </c:strCache>
            </c:strRef>
          </c:xVal>
          <c:yVal>
            <c:numRef>
              <c:f>'Summary of Scores'!$C$10</c:f>
              <c:numCache>
                <c:formatCode>General</c:formatCode>
                <c:ptCount val="1"/>
                <c:pt idx="0">
                  <c:v>1</c:v>
                </c:pt>
              </c:numCache>
            </c:numRef>
          </c:yVal>
          <c:smooth val="0"/>
          <c:extLst>
            <c:ext xmlns:c16="http://schemas.microsoft.com/office/drawing/2014/chart" uri="{C3380CC4-5D6E-409C-BE32-E72D297353CC}">
              <c16:uniqueId val="{00000003-20FE-41E6-BD8B-BE14767E0219}"/>
            </c:ext>
          </c:extLst>
        </c:ser>
        <c:ser>
          <c:idx val="3"/>
          <c:order val="3"/>
          <c:tx>
            <c:strRef>
              <c:f>'Summary of Scores'!$B$11</c:f>
              <c:strCache>
                <c:ptCount val="1"/>
                <c:pt idx="0">
                  <c:v>Civil Disturbance</c:v>
                </c:pt>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Scores'!$D$11</c:f>
              <c:strCache>
                <c:ptCount val="1"/>
                <c:pt idx="0">
                  <c:v>Not Calculated</c:v>
                </c:pt>
              </c:strCache>
            </c:strRef>
          </c:xVal>
          <c:yVal>
            <c:numRef>
              <c:f>'Summary of Scores'!$C$11</c:f>
              <c:numCache>
                <c:formatCode>General</c:formatCode>
                <c:ptCount val="1"/>
                <c:pt idx="0">
                  <c:v>2</c:v>
                </c:pt>
              </c:numCache>
            </c:numRef>
          </c:yVal>
          <c:smooth val="0"/>
          <c:extLst>
            <c:ext xmlns:c16="http://schemas.microsoft.com/office/drawing/2014/chart" uri="{C3380CC4-5D6E-409C-BE32-E72D297353CC}">
              <c16:uniqueId val="{00000004-20FE-41E6-BD8B-BE14767E0219}"/>
            </c:ext>
          </c:extLst>
        </c:ser>
        <c:ser>
          <c:idx val="4"/>
          <c:order val="4"/>
          <c:tx>
            <c:strRef>
              <c:f>'Summary of Scores'!$B$12</c:f>
              <c:strCache>
                <c:ptCount val="1"/>
                <c:pt idx="0">
                  <c:v>Coastal Storm</c:v>
                </c:pt>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Scores'!$D$12</c:f>
              <c:strCache>
                <c:ptCount val="1"/>
                <c:pt idx="0">
                  <c:v>Not Calculated</c:v>
                </c:pt>
              </c:strCache>
            </c:strRef>
          </c:xVal>
          <c:yVal>
            <c:numRef>
              <c:f>'Summary of Scores'!$C$12</c:f>
              <c:numCache>
                <c:formatCode>General</c:formatCode>
                <c:ptCount val="1"/>
                <c:pt idx="0">
                  <c:v>0</c:v>
                </c:pt>
              </c:numCache>
            </c:numRef>
          </c:yVal>
          <c:smooth val="0"/>
          <c:extLst>
            <c:ext xmlns:c16="http://schemas.microsoft.com/office/drawing/2014/chart" uri="{C3380CC4-5D6E-409C-BE32-E72D297353CC}">
              <c16:uniqueId val="{00000005-20FE-41E6-BD8B-BE14767E0219}"/>
            </c:ext>
          </c:extLst>
        </c:ser>
        <c:ser>
          <c:idx val="5"/>
          <c:order val="5"/>
          <c:tx>
            <c:strRef>
              <c:f>'Summary of Scores'!$B$13</c:f>
              <c:strCache>
                <c:ptCount val="1"/>
                <c:pt idx="0">
                  <c:v>Conv Explosive</c:v>
                </c:pt>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Scores'!$D$13</c:f>
              <c:strCache>
                <c:ptCount val="1"/>
                <c:pt idx="0">
                  <c:v>Not Calculated</c:v>
                </c:pt>
              </c:strCache>
            </c:strRef>
          </c:xVal>
          <c:yVal>
            <c:numRef>
              <c:f>'Summary of Scores'!$C$13</c:f>
              <c:numCache>
                <c:formatCode>General</c:formatCode>
                <c:ptCount val="1"/>
                <c:pt idx="0">
                  <c:v>2</c:v>
                </c:pt>
              </c:numCache>
            </c:numRef>
          </c:yVal>
          <c:smooth val="0"/>
          <c:extLst>
            <c:ext xmlns:c16="http://schemas.microsoft.com/office/drawing/2014/chart" uri="{C3380CC4-5D6E-409C-BE32-E72D297353CC}">
              <c16:uniqueId val="{00000006-20FE-41E6-BD8B-BE14767E0219}"/>
            </c:ext>
          </c:extLst>
        </c:ser>
        <c:ser>
          <c:idx val="6"/>
          <c:order val="6"/>
          <c:tx>
            <c:strRef>
              <c:f>'Summary of Scores'!$B$14</c:f>
              <c:strCache>
                <c:ptCount val="1"/>
                <c:pt idx="0">
                  <c:v>Cyber Terrorism</c:v>
                </c:pt>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Scores'!$D$14</c:f>
              <c:strCache>
                <c:ptCount val="1"/>
                <c:pt idx="0">
                  <c:v>Not Calculated</c:v>
                </c:pt>
              </c:strCache>
            </c:strRef>
          </c:xVal>
          <c:yVal>
            <c:numRef>
              <c:f>'Summary of Scores'!$C$14</c:f>
              <c:numCache>
                <c:formatCode>General</c:formatCode>
                <c:ptCount val="1"/>
                <c:pt idx="0">
                  <c:v>1</c:v>
                </c:pt>
              </c:numCache>
            </c:numRef>
          </c:yVal>
          <c:smooth val="0"/>
          <c:extLst>
            <c:ext xmlns:c16="http://schemas.microsoft.com/office/drawing/2014/chart" uri="{C3380CC4-5D6E-409C-BE32-E72D297353CC}">
              <c16:uniqueId val="{00000007-20FE-41E6-BD8B-BE14767E0219}"/>
            </c:ext>
          </c:extLst>
        </c:ser>
        <c:ser>
          <c:idx val="7"/>
          <c:order val="7"/>
          <c:tx>
            <c:strRef>
              <c:f>'Summary of Scores'!$B$15</c:f>
              <c:strCache>
                <c:ptCount val="1"/>
                <c:pt idx="0">
                  <c:v>Drought</c:v>
                </c:pt>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Scores'!$D$15</c:f>
              <c:strCache>
                <c:ptCount val="1"/>
                <c:pt idx="0">
                  <c:v>Not Calculated</c:v>
                </c:pt>
              </c:strCache>
            </c:strRef>
          </c:xVal>
          <c:yVal>
            <c:numRef>
              <c:f>'Summary of Scores'!$C$15</c:f>
              <c:numCache>
                <c:formatCode>General</c:formatCode>
                <c:ptCount val="1"/>
                <c:pt idx="0">
                  <c:v>3</c:v>
                </c:pt>
              </c:numCache>
            </c:numRef>
          </c:yVal>
          <c:smooth val="0"/>
          <c:extLst>
            <c:ext xmlns:c16="http://schemas.microsoft.com/office/drawing/2014/chart" uri="{C3380CC4-5D6E-409C-BE32-E72D297353CC}">
              <c16:uniqueId val="{00000008-20FE-41E6-BD8B-BE14767E0219}"/>
            </c:ext>
          </c:extLst>
        </c:ser>
        <c:ser>
          <c:idx val="8"/>
          <c:order val="8"/>
          <c:tx>
            <c:strRef>
              <c:f>'Summary of Scores'!$B$16</c:f>
              <c:strCache>
                <c:ptCount val="1"/>
                <c:pt idx="0">
                  <c:v>Earthquake</c:v>
                </c:pt>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Scores'!$D$16</c:f>
              <c:strCache>
                <c:ptCount val="1"/>
                <c:pt idx="0">
                  <c:v>Not Calculated</c:v>
                </c:pt>
              </c:strCache>
            </c:strRef>
          </c:xVal>
          <c:yVal>
            <c:numRef>
              <c:f>'Summary of Scores'!$C$16</c:f>
              <c:numCache>
                <c:formatCode>General</c:formatCode>
                <c:ptCount val="1"/>
                <c:pt idx="0">
                  <c:v>2</c:v>
                </c:pt>
              </c:numCache>
            </c:numRef>
          </c:yVal>
          <c:smooth val="0"/>
          <c:extLst>
            <c:ext xmlns:c16="http://schemas.microsoft.com/office/drawing/2014/chart" uri="{C3380CC4-5D6E-409C-BE32-E72D297353CC}">
              <c16:uniqueId val="{00000009-20FE-41E6-BD8B-BE14767E0219}"/>
            </c:ext>
          </c:extLst>
        </c:ser>
        <c:ser>
          <c:idx val="9"/>
          <c:order val="9"/>
          <c:tx>
            <c:strRef>
              <c:f>'Summary of Scores'!$B$26</c:f>
              <c:strCache>
                <c:ptCount val="1"/>
                <c:pt idx="0">
                  <c:v>Wildfire</c:v>
                </c:pt>
              </c:strCache>
            </c:strRef>
          </c:tx>
          <c:spPr>
            <a:ln w="66675">
              <a:noFill/>
            </a:ln>
          </c:spPr>
          <c:dLbls>
            <c:spPr>
              <a:noFill/>
              <a:ln>
                <a:noFill/>
              </a:ln>
              <a:effectLst/>
            </c:spPr>
            <c:txPr>
              <a:bodyPr rot="-2700000" vert="horz"/>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Scores'!$D$26</c:f>
              <c:strCache>
                <c:ptCount val="1"/>
                <c:pt idx="0">
                  <c:v>Not Calculated</c:v>
                </c:pt>
              </c:strCache>
            </c:strRef>
          </c:xVal>
          <c:yVal>
            <c:numRef>
              <c:f>'Summary of Scores'!$C$26</c:f>
              <c:numCache>
                <c:formatCode>General</c:formatCode>
                <c:ptCount val="1"/>
                <c:pt idx="0">
                  <c:v>0</c:v>
                </c:pt>
              </c:numCache>
            </c:numRef>
          </c:yVal>
          <c:smooth val="0"/>
          <c:extLst>
            <c:ext xmlns:c16="http://schemas.microsoft.com/office/drawing/2014/chart" uri="{C3380CC4-5D6E-409C-BE32-E72D297353CC}">
              <c16:uniqueId val="{0000000A-20FE-41E6-BD8B-BE14767E0219}"/>
            </c:ext>
          </c:extLst>
        </c:ser>
        <c:ser>
          <c:idx val="10"/>
          <c:order val="10"/>
          <c:tx>
            <c:strRef>
              <c:f>'Summary of Scores'!$B$17</c:f>
              <c:strCache>
                <c:ptCount val="1"/>
                <c:pt idx="0">
                  <c:v>Flood</c:v>
                </c:pt>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Scores'!$D$17</c:f>
              <c:strCache>
                <c:ptCount val="1"/>
                <c:pt idx="0">
                  <c:v>Not Calculated</c:v>
                </c:pt>
              </c:strCache>
            </c:strRef>
          </c:xVal>
          <c:yVal>
            <c:numRef>
              <c:f>'Summary of Scores'!$C$17</c:f>
              <c:numCache>
                <c:formatCode>General</c:formatCode>
                <c:ptCount val="1"/>
                <c:pt idx="0">
                  <c:v>3</c:v>
                </c:pt>
              </c:numCache>
            </c:numRef>
          </c:yVal>
          <c:smooth val="0"/>
          <c:extLst>
            <c:ext xmlns:c16="http://schemas.microsoft.com/office/drawing/2014/chart" uri="{C3380CC4-5D6E-409C-BE32-E72D297353CC}">
              <c16:uniqueId val="{0000000B-20FE-41E6-BD8B-BE14767E0219}"/>
            </c:ext>
          </c:extLst>
        </c:ser>
        <c:ser>
          <c:idx val="11"/>
          <c:order val="11"/>
          <c:tx>
            <c:strRef>
              <c:f>'Summary of Scores'!$B$18</c:f>
              <c:strCache>
                <c:ptCount val="1"/>
                <c:pt idx="0">
                  <c:v>HazMat Release</c:v>
                </c:pt>
              </c:strCache>
            </c:strRef>
          </c:tx>
          <c:spPr>
            <a:ln w="66675">
              <a:noFill/>
            </a:ln>
          </c:spPr>
          <c:dLbls>
            <c:dLbl>
              <c:idx val="0"/>
              <c:spPr/>
              <c:txPr>
                <a:bodyPr rot="-2700000"/>
                <a:lstStyle/>
                <a:p>
                  <a:pPr>
                    <a:defRPr/>
                  </a:pPr>
                  <a:endParaRPr lang="en-US"/>
                </a:p>
              </c:txPr>
              <c:dLblPos val="ctr"/>
              <c:showLegendKey val="0"/>
              <c:showVal val="0"/>
              <c:showCatName val="0"/>
              <c:showSerName val="1"/>
              <c:showPercent val="0"/>
              <c:showBubbleSize val="0"/>
              <c:extLst>
                <c:ext xmlns:c16="http://schemas.microsoft.com/office/drawing/2014/chart" uri="{C3380CC4-5D6E-409C-BE32-E72D297353CC}">
                  <c16:uniqueId val="{0000000C-20FE-41E6-BD8B-BE14767E0219}"/>
                </c:ext>
              </c:extLst>
            </c:dLbl>
            <c:spPr>
              <a:noFill/>
              <a:ln>
                <a:noFill/>
              </a:ln>
              <a:effectLst/>
            </c:sp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Scores'!$D$18</c:f>
              <c:strCache>
                <c:ptCount val="1"/>
                <c:pt idx="0">
                  <c:v>Not Calculated</c:v>
                </c:pt>
              </c:strCache>
            </c:strRef>
          </c:xVal>
          <c:yVal>
            <c:numRef>
              <c:f>'Summary of Scores'!$C$18</c:f>
              <c:numCache>
                <c:formatCode>General</c:formatCode>
                <c:ptCount val="1"/>
                <c:pt idx="0">
                  <c:v>2</c:v>
                </c:pt>
              </c:numCache>
            </c:numRef>
          </c:yVal>
          <c:smooth val="0"/>
          <c:extLst>
            <c:ext xmlns:c16="http://schemas.microsoft.com/office/drawing/2014/chart" uri="{C3380CC4-5D6E-409C-BE32-E72D297353CC}">
              <c16:uniqueId val="{0000000D-20FE-41E6-BD8B-BE14767E0219}"/>
            </c:ext>
          </c:extLst>
        </c:ser>
        <c:ser>
          <c:idx val="12"/>
          <c:order val="12"/>
          <c:tx>
            <c:strRef>
              <c:f>'Summary of Scores'!$B$19</c:f>
              <c:strCache>
                <c:ptCount val="1"/>
                <c:pt idx="0">
                  <c:v>Localized ID</c:v>
                </c:pt>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Scores'!$D$19</c:f>
              <c:strCache>
                <c:ptCount val="1"/>
                <c:pt idx="0">
                  <c:v>Not Calculated</c:v>
                </c:pt>
              </c:strCache>
            </c:strRef>
          </c:xVal>
          <c:yVal>
            <c:numRef>
              <c:f>'Summary of Scores'!$C$19</c:f>
              <c:numCache>
                <c:formatCode>General</c:formatCode>
                <c:ptCount val="1"/>
                <c:pt idx="0">
                  <c:v>3</c:v>
                </c:pt>
              </c:numCache>
            </c:numRef>
          </c:yVal>
          <c:smooth val="0"/>
          <c:extLst>
            <c:ext xmlns:c16="http://schemas.microsoft.com/office/drawing/2014/chart" uri="{C3380CC4-5D6E-409C-BE32-E72D297353CC}">
              <c16:uniqueId val="{0000000E-20FE-41E6-BD8B-BE14767E0219}"/>
            </c:ext>
          </c:extLst>
        </c:ser>
        <c:ser>
          <c:idx val="13"/>
          <c:order val="13"/>
          <c:tx>
            <c:strRef>
              <c:f>'Summary of Scores'!$B$20</c:f>
              <c:strCache>
                <c:ptCount val="1"/>
                <c:pt idx="0">
                  <c:v>Nuclear Facility</c:v>
                </c:pt>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Scores'!$D$20</c:f>
              <c:strCache>
                <c:ptCount val="1"/>
                <c:pt idx="0">
                  <c:v>Not Calculated</c:v>
                </c:pt>
              </c:strCache>
            </c:strRef>
          </c:xVal>
          <c:yVal>
            <c:numRef>
              <c:f>'Summary of Scores'!$C$20</c:f>
              <c:numCache>
                <c:formatCode>General</c:formatCode>
                <c:ptCount val="1"/>
                <c:pt idx="0">
                  <c:v>0</c:v>
                </c:pt>
              </c:numCache>
            </c:numRef>
          </c:yVal>
          <c:smooth val="0"/>
          <c:extLst>
            <c:ext xmlns:c16="http://schemas.microsoft.com/office/drawing/2014/chart" uri="{C3380CC4-5D6E-409C-BE32-E72D297353CC}">
              <c16:uniqueId val="{0000000F-20FE-41E6-BD8B-BE14767E0219}"/>
            </c:ext>
          </c:extLst>
        </c:ser>
        <c:ser>
          <c:idx val="14"/>
          <c:order val="14"/>
          <c:tx>
            <c:strRef>
              <c:f>'Summary of Scores'!$B$21</c:f>
              <c:strCache>
                <c:ptCount val="1"/>
                <c:pt idx="0">
                  <c:v>Pandemic</c:v>
                </c:pt>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Scores'!$D$21</c:f>
              <c:strCache>
                <c:ptCount val="1"/>
                <c:pt idx="0">
                  <c:v>Not Calculated</c:v>
                </c:pt>
              </c:strCache>
            </c:strRef>
          </c:xVal>
          <c:yVal>
            <c:numRef>
              <c:f>'Summary of Scores'!$C$21</c:f>
              <c:numCache>
                <c:formatCode>General</c:formatCode>
                <c:ptCount val="1"/>
                <c:pt idx="0">
                  <c:v>2</c:v>
                </c:pt>
              </c:numCache>
            </c:numRef>
          </c:yVal>
          <c:smooth val="0"/>
          <c:extLst>
            <c:ext xmlns:c16="http://schemas.microsoft.com/office/drawing/2014/chart" uri="{C3380CC4-5D6E-409C-BE32-E72D297353CC}">
              <c16:uniqueId val="{00000010-20FE-41E6-BD8B-BE14767E0219}"/>
            </c:ext>
          </c:extLst>
        </c:ser>
        <c:ser>
          <c:idx val="15"/>
          <c:order val="15"/>
          <c:tx>
            <c:strRef>
              <c:f>'Summary of Scores'!$B$22</c:f>
              <c:strCache>
                <c:ptCount val="1"/>
                <c:pt idx="0">
                  <c:v>RDD</c:v>
                </c:pt>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Scores'!$D$22</c:f>
              <c:strCache>
                <c:ptCount val="1"/>
                <c:pt idx="0">
                  <c:v>Not Calculated</c:v>
                </c:pt>
              </c:strCache>
            </c:strRef>
          </c:xVal>
          <c:yVal>
            <c:numRef>
              <c:f>'Summary of Scores'!$C$22</c:f>
              <c:numCache>
                <c:formatCode>General</c:formatCode>
                <c:ptCount val="1"/>
                <c:pt idx="0">
                  <c:v>1</c:v>
                </c:pt>
              </c:numCache>
            </c:numRef>
          </c:yVal>
          <c:smooth val="0"/>
          <c:extLst>
            <c:ext xmlns:c16="http://schemas.microsoft.com/office/drawing/2014/chart" uri="{C3380CC4-5D6E-409C-BE32-E72D297353CC}">
              <c16:uniqueId val="{00000011-20FE-41E6-BD8B-BE14767E0219}"/>
            </c:ext>
          </c:extLst>
        </c:ser>
        <c:ser>
          <c:idx val="16"/>
          <c:order val="16"/>
          <c:tx>
            <c:strRef>
              <c:f>'Summary of Scores'!$B$23</c:f>
              <c:strCache>
                <c:ptCount val="1"/>
                <c:pt idx="0">
                  <c:v>Temp Extremes</c:v>
                </c:pt>
              </c:strCache>
            </c:strRef>
          </c:tx>
          <c:spPr>
            <a:ln w="66675">
              <a:noFill/>
            </a:ln>
          </c:spPr>
          <c:dLbls>
            <c:dLbl>
              <c:idx val="0"/>
              <c:layout>
                <c:manualLayout>
                  <c:x val="-5.8423960945402413E-2"/>
                  <c:y val="0"/>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2-20FE-41E6-BD8B-BE14767E0219}"/>
                </c:ext>
              </c:extLst>
            </c:dLbl>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Scores'!$D$23</c:f>
              <c:strCache>
                <c:ptCount val="1"/>
                <c:pt idx="0">
                  <c:v>Not Calculated</c:v>
                </c:pt>
              </c:strCache>
            </c:strRef>
          </c:xVal>
          <c:yVal>
            <c:numRef>
              <c:f>'Summary of Scores'!$C$23</c:f>
              <c:numCache>
                <c:formatCode>General</c:formatCode>
                <c:ptCount val="1"/>
                <c:pt idx="0">
                  <c:v>3</c:v>
                </c:pt>
              </c:numCache>
            </c:numRef>
          </c:yVal>
          <c:smooth val="0"/>
          <c:extLst>
            <c:ext xmlns:c16="http://schemas.microsoft.com/office/drawing/2014/chart" uri="{C3380CC4-5D6E-409C-BE32-E72D297353CC}">
              <c16:uniqueId val="{00000013-20FE-41E6-BD8B-BE14767E0219}"/>
            </c:ext>
          </c:extLst>
        </c:ser>
        <c:ser>
          <c:idx val="17"/>
          <c:order val="17"/>
          <c:tx>
            <c:strRef>
              <c:f>'Summary of Scores'!$B$24</c:f>
              <c:strCache>
                <c:ptCount val="1"/>
                <c:pt idx="0">
                  <c:v>Tornado</c:v>
                </c:pt>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Scores'!$D$24</c:f>
              <c:strCache>
                <c:ptCount val="1"/>
                <c:pt idx="0">
                  <c:v>Not Calculated</c:v>
                </c:pt>
              </c:strCache>
            </c:strRef>
          </c:xVal>
          <c:yVal>
            <c:numRef>
              <c:f>'Summary of Scores'!$C$24</c:f>
              <c:numCache>
                <c:formatCode>General</c:formatCode>
                <c:ptCount val="1"/>
                <c:pt idx="0">
                  <c:v>2</c:v>
                </c:pt>
              </c:numCache>
            </c:numRef>
          </c:yVal>
          <c:smooth val="0"/>
          <c:extLst>
            <c:ext xmlns:c16="http://schemas.microsoft.com/office/drawing/2014/chart" uri="{C3380CC4-5D6E-409C-BE32-E72D297353CC}">
              <c16:uniqueId val="{00000014-20FE-41E6-BD8B-BE14767E0219}"/>
            </c:ext>
          </c:extLst>
        </c:ser>
        <c:ser>
          <c:idx val="18"/>
          <c:order val="18"/>
          <c:tx>
            <c:strRef>
              <c:f>'Summary of Scores'!$B$25</c:f>
              <c:strCache>
                <c:ptCount val="1"/>
                <c:pt idx="0">
                  <c:v>Utility Interr</c:v>
                </c:pt>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Scores'!$D$25</c:f>
              <c:strCache>
                <c:ptCount val="1"/>
                <c:pt idx="0">
                  <c:v>Not Calculated</c:v>
                </c:pt>
              </c:strCache>
            </c:strRef>
          </c:xVal>
          <c:yVal>
            <c:numRef>
              <c:f>'Summary of Scores'!$C$25</c:f>
              <c:numCache>
                <c:formatCode>General</c:formatCode>
                <c:ptCount val="1"/>
                <c:pt idx="0">
                  <c:v>3</c:v>
                </c:pt>
              </c:numCache>
            </c:numRef>
          </c:yVal>
          <c:smooth val="0"/>
          <c:extLst>
            <c:ext xmlns:c16="http://schemas.microsoft.com/office/drawing/2014/chart" uri="{C3380CC4-5D6E-409C-BE32-E72D297353CC}">
              <c16:uniqueId val="{00000015-20FE-41E6-BD8B-BE14767E0219}"/>
            </c:ext>
          </c:extLst>
        </c:ser>
        <c:ser>
          <c:idx val="19"/>
          <c:order val="19"/>
          <c:tx>
            <c:strRef>
              <c:f>'Summary of Scores'!$B$27</c:f>
              <c:strCache>
                <c:ptCount val="1"/>
                <c:pt idx="0">
                  <c:v>Winter Storm</c:v>
                </c:pt>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Scores'!$D$27</c:f>
              <c:strCache>
                <c:ptCount val="1"/>
                <c:pt idx="0">
                  <c:v>Not Calculated</c:v>
                </c:pt>
              </c:strCache>
            </c:strRef>
          </c:xVal>
          <c:yVal>
            <c:numRef>
              <c:f>'Summary of Scores'!$C$27</c:f>
              <c:numCache>
                <c:formatCode>General</c:formatCode>
                <c:ptCount val="1"/>
                <c:pt idx="0">
                  <c:v>4</c:v>
                </c:pt>
              </c:numCache>
            </c:numRef>
          </c:yVal>
          <c:smooth val="0"/>
          <c:extLst>
            <c:ext xmlns:c16="http://schemas.microsoft.com/office/drawing/2014/chart" uri="{C3380CC4-5D6E-409C-BE32-E72D297353CC}">
              <c16:uniqueId val="{00000016-20FE-41E6-BD8B-BE14767E0219}"/>
            </c:ext>
          </c:extLst>
        </c:ser>
        <c:ser>
          <c:idx val="20"/>
          <c:order val="20"/>
          <c:tx>
            <c:strRef>
              <c:f>'Summary of Scores'!$B$28</c:f>
              <c:strCache>
                <c:ptCount val="1"/>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'Summary of Scores'!$D$28</c:f>
            </c:numRef>
          </c:xVal>
          <c:yVal>
            <c:numRef>
              <c:f>'Summary of Scores'!$C$28</c:f>
            </c:numRef>
          </c:yVal>
          <c:smooth val="0"/>
          <c:extLst>
            <c:ext xmlns:c16="http://schemas.microsoft.com/office/drawing/2014/chart" uri="{C3380CC4-5D6E-409C-BE32-E72D297353CC}">
              <c16:uniqueId val="{00000017-20FE-41E6-BD8B-BE14767E0219}"/>
            </c:ext>
          </c:extLst>
        </c:ser>
        <c:ser>
          <c:idx val="21"/>
          <c:order val="21"/>
          <c:tx>
            <c:strRef>
              <c:f>'Summary of Scores'!$B$29</c:f>
              <c:strCache>
                <c:ptCount val="1"/>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'Summary of Scores'!$D$29</c:f>
            </c:numRef>
          </c:xVal>
          <c:yVal>
            <c:numRef>
              <c:f>'Summary of Scores'!$C$29</c:f>
            </c:numRef>
          </c:yVal>
          <c:smooth val="0"/>
          <c:extLst>
            <c:ext xmlns:c16="http://schemas.microsoft.com/office/drawing/2014/chart" uri="{C3380CC4-5D6E-409C-BE32-E72D297353CC}">
              <c16:uniqueId val="{00000018-20FE-41E6-BD8B-BE14767E0219}"/>
            </c:ext>
          </c:extLst>
        </c:ser>
        <c:ser>
          <c:idx val="22"/>
          <c:order val="22"/>
          <c:tx>
            <c:strRef>
              <c:f>'Summary of Scores'!$B$30</c:f>
              <c:strCache>
                <c:ptCount val="1"/>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'Summary of Scores'!$D$30</c:f>
            </c:numRef>
          </c:xVal>
          <c:yVal>
            <c:numRef>
              <c:f>'Summary of Scores'!$C$30</c:f>
            </c:numRef>
          </c:yVal>
          <c:smooth val="0"/>
          <c:extLst>
            <c:ext xmlns:c16="http://schemas.microsoft.com/office/drawing/2014/chart" uri="{C3380CC4-5D6E-409C-BE32-E72D297353CC}">
              <c16:uniqueId val="{00000019-20FE-41E6-BD8B-BE14767E0219}"/>
            </c:ext>
          </c:extLst>
        </c:ser>
        <c:ser>
          <c:idx val="23"/>
          <c:order val="23"/>
          <c:tx>
            <c:strRef>
              <c:f>'Summary of Scores'!$B$31</c:f>
              <c:strCache>
                <c:ptCount val="1"/>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'Summary of Scores'!$D$31</c:f>
            </c:numRef>
          </c:xVal>
          <c:yVal>
            <c:numRef>
              <c:f>'Summary of Scores'!$C$31</c:f>
            </c:numRef>
          </c:yVal>
          <c:smooth val="0"/>
          <c:extLst>
            <c:ext xmlns:c16="http://schemas.microsoft.com/office/drawing/2014/chart" uri="{C3380CC4-5D6E-409C-BE32-E72D297353CC}">
              <c16:uniqueId val="{0000001A-20FE-41E6-BD8B-BE14767E0219}"/>
            </c:ext>
          </c:extLst>
        </c:ser>
        <c:ser>
          <c:idx val="24"/>
          <c:order val="24"/>
          <c:tx>
            <c:strRef>
              <c:f>'Summary of Scores'!$B$32</c:f>
              <c:strCache>
                <c:ptCount val="1"/>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'Summary of Scores'!$D$32</c:f>
            </c:numRef>
          </c:xVal>
          <c:yVal>
            <c:numRef>
              <c:f>'Summary of Scores'!$C$32</c:f>
            </c:numRef>
          </c:yVal>
          <c:smooth val="0"/>
          <c:extLst>
            <c:ext xmlns:c16="http://schemas.microsoft.com/office/drawing/2014/chart" uri="{C3380CC4-5D6E-409C-BE32-E72D297353CC}">
              <c16:uniqueId val="{0000001B-20FE-41E6-BD8B-BE14767E0219}"/>
            </c:ext>
          </c:extLst>
        </c:ser>
        <c:ser>
          <c:idx val="25"/>
          <c:order val="25"/>
          <c:tx>
            <c:strRef>
              <c:f>'Summary of Scores'!$B$33</c:f>
              <c:strCache>
                <c:ptCount val="1"/>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'Summary of Scores'!$D$33</c:f>
            </c:numRef>
          </c:xVal>
          <c:yVal>
            <c:numRef>
              <c:f>'Summary of Scores'!$C$33</c:f>
            </c:numRef>
          </c:yVal>
          <c:smooth val="0"/>
          <c:extLst>
            <c:ext xmlns:c16="http://schemas.microsoft.com/office/drawing/2014/chart" uri="{C3380CC4-5D6E-409C-BE32-E72D297353CC}">
              <c16:uniqueId val="{0000001C-20FE-41E6-BD8B-BE14767E0219}"/>
            </c:ext>
          </c:extLst>
        </c:ser>
        <c:ser>
          <c:idx val="26"/>
          <c:order val="26"/>
          <c:tx>
            <c:strRef>
              <c:f>'Summary of Scores'!$B$34</c:f>
              <c:strCache>
                <c:ptCount val="1"/>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'Summary of Scores'!$D$34</c:f>
            </c:numRef>
          </c:xVal>
          <c:yVal>
            <c:numRef>
              <c:f>'Summary of Scores'!$C$34</c:f>
            </c:numRef>
          </c:yVal>
          <c:smooth val="0"/>
          <c:extLst>
            <c:ext xmlns:c16="http://schemas.microsoft.com/office/drawing/2014/chart" uri="{C3380CC4-5D6E-409C-BE32-E72D297353CC}">
              <c16:uniqueId val="{0000001D-20FE-41E6-BD8B-BE14767E0219}"/>
            </c:ext>
          </c:extLst>
        </c:ser>
        <c:ser>
          <c:idx val="27"/>
          <c:order val="27"/>
          <c:tx>
            <c:strRef>
              <c:f>'Summary of Scores'!$B$35</c:f>
              <c:strCache>
                <c:ptCount val="1"/>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'Summary of Scores'!$D$35</c:f>
            </c:numRef>
          </c:xVal>
          <c:yVal>
            <c:numRef>
              <c:f>'Summary of Scores'!$C$35</c:f>
            </c:numRef>
          </c:yVal>
          <c:smooth val="0"/>
          <c:extLst>
            <c:ext xmlns:c16="http://schemas.microsoft.com/office/drawing/2014/chart" uri="{C3380CC4-5D6E-409C-BE32-E72D297353CC}">
              <c16:uniqueId val="{0000001E-20FE-41E6-BD8B-BE14767E0219}"/>
            </c:ext>
          </c:extLst>
        </c:ser>
        <c:ser>
          <c:idx val="28"/>
          <c:order val="28"/>
          <c:tx>
            <c:strRef>
              <c:f>'Summary of Scores'!$B$36</c:f>
              <c:strCache>
                <c:ptCount val="1"/>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'Summary of Scores'!$D$36</c:f>
            </c:numRef>
          </c:xVal>
          <c:yVal>
            <c:numRef>
              <c:f>'Summary of Scores'!$C$36</c:f>
            </c:numRef>
          </c:yVal>
          <c:smooth val="0"/>
          <c:extLst>
            <c:ext xmlns:c16="http://schemas.microsoft.com/office/drawing/2014/chart" uri="{C3380CC4-5D6E-409C-BE32-E72D297353CC}">
              <c16:uniqueId val="{0000001F-20FE-41E6-BD8B-BE14767E0219}"/>
            </c:ext>
          </c:extLst>
        </c:ser>
        <c:ser>
          <c:idx val="29"/>
          <c:order val="29"/>
          <c:tx>
            <c:strRef>
              <c:f>'Summary of Scores'!$B$37</c:f>
              <c:strCache>
                <c:ptCount val="1"/>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'Summary of Scores'!$D$37</c:f>
            </c:numRef>
          </c:xVal>
          <c:yVal>
            <c:numRef>
              <c:f>'Summary of Scores'!$C$37</c:f>
            </c:numRef>
          </c:yVal>
          <c:smooth val="0"/>
          <c:extLst>
            <c:ext xmlns:c16="http://schemas.microsoft.com/office/drawing/2014/chart" uri="{C3380CC4-5D6E-409C-BE32-E72D297353CC}">
              <c16:uniqueId val="{00000020-20FE-41E6-BD8B-BE14767E0219}"/>
            </c:ext>
          </c:extLst>
        </c:ser>
        <c:dLbls>
          <c:showLegendKey val="0"/>
          <c:showVal val="1"/>
          <c:showCatName val="0"/>
          <c:showSerName val="0"/>
          <c:showPercent val="0"/>
          <c:showBubbleSize val="0"/>
        </c:dLbls>
        <c:axId val="150616320"/>
        <c:axId val="150630784"/>
      </c:scatterChart>
      <c:valAx>
        <c:axId val="150616320"/>
        <c:scaling>
          <c:orientation val="minMax"/>
          <c:max val="4.5"/>
          <c:min val="0"/>
        </c:scaling>
        <c:delete val="0"/>
        <c:axPos val="b"/>
        <c:majorGridlines/>
        <c:title>
          <c:tx>
            <c:rich>
              <a:bodyPr/>
              <a:lstStyle/>
              <a:p>
                <a:pPr>
                  <a:defRPr b="0">
                    <a:latin typeface="+mj-lt"/>
                  </a:defRPr>
                </a:pPr>
                <a:r>
                  <a:rPr lang="en-US" sz="1600" b="0">
                    <a:latin typeface="+mj-lt"/>
                  </a:rPr>
                  <a:t>Public Health System Severity</a:t>
                </a:r>
              </a:p>
            </c:rich>
          </c:tx>
          <c:overlay val="0"/>
        </c:title>
        <c:numFmt formatCode="#,##0" sourceLinked="0"/>
        <c:majorTickMark val="out"/>
        <c:minorTickMark val="none"/>
        <c:tickLblPos val="nextTo"/>
        <c:spPr>
          <a:ln>
            <a:solidFill>
              <a:schemeClr val="tx1"/>
            </a:solidFill>
          </a:ln>
        </c:spPr>
        <c:crossAx val="150630784"/>
        <c:crosses val="autoZero"/>
        <c:crossBetween val="midCat"/>
        <c:majorUnit val="1"/>
        <c:minorUnit val="0.1"/>
      </c:valAx>
      <c:valAx>
        <c:axId val="150630784"/>
        <c:scaling>
          <c:orientation val="minMax"/>
          <c:max val="4.5"/>
          <c:min val="0"/>
        </c:scaling>
        <c:delete val="0"/>
        <c:axPos val="l"/>
        <c:majorGridlines/>
        <c:title>
          <c:tx>
            <c:rich>
              <a:bodyPr rot="-5400000" vert="horz"/>
              <a:lstStyle/>
              <a:p>
                <a:pPr>
                  <a:defRPr sz="1600" b="0">
                    <a:latin typeface="+mj-lt"/>
                  </a:defRPr>
                </a:pPr>
                <a:r>
                  <a:rPr lang="en-US" sz="1600" b="0">
                    <a:latin typeface="+mj-lt"/>
                  </a:rPr>
                  <a:t>Probability</a:t>
                </a:r>
              </a:p>
            </c:rich>
          </c:tx>
          <c:overlay val="0"/>
        </c:title>
        <c:numFmt formatCode="General" sourceLinked="1"/>
        <c:majorTickMark val="out"/>
        <c:minorTickMark val="none"/>
        <c:tickLblPos val="nextTo"/>
        <c:spPr>
          <a:ln>
            <a:solidFill>
              <a:schemeClr val="tx1"/>
            </a:solidFill>
          </a:ln>
        </c:spPr>
        <c:crossAx val="150616320"/>
        <c:crosses val="autoZero"/>
        <c:crossBetween val="midCat"/>
        <c:majorUnit val="1"/>
        <c:minorUnit val="0.1"/>
      </c:valAx>
      <c:spPr>
        <a:gradFill flip="none" rotWithShape="1">
          <a:gsLst>
            <a:gs pos="0">
              <a:srgbClr val="63BE7B"/>
            </a:gs>
            <a:gs pos="50000">
              <a:srgbClr val="FFEB84"/>
            </a:gs>
            <a:gs pos="100000">
              <a:srgbClr val="F8696B"/>
            </a:gs>
          </a:gsLst>
          <a:lin ang="189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defRPr b="0" u="sng">
                <a:latin typeface="+mj-lt"/>
              </a:defRPr>
            </a:pPr>
            <a:r>
              <a:rPr lang="en-US" b="0" u="sng">
                <a:latin typeface="+mj-lt"/>
              </a:rPr>
              <a:t>Public Health Preparedness</a:t>
            </a:r>
          </a:p>
        </c:rich>
      </c:tx>
      <c:layout>
        <c:manualLayout>
          <c:xMode val="edge"/>
          <c:yMode val="edge"/>
          <c:x val="0.30532356317913883"/>
          <c:y val="1.3244983721297133E-2"/>
        </c:manualLayout>
      </c:layout>
      <c:overlay val="0"/>
    </c:title>
    <c:autoTitleDeleted val="0"/>
    <c:plotArea>
      <c:layout/>
      <c:scatterChart>
        <c:scatterStyle val="lineMarker"/>
        <c:varyColors val="0"/>
        <c:ser>
          <c:idx val="0"/>
          <c:order val="0"/>
          <c:tx>
            <c:strRef>
              <c:f>Hazard6!$C$853</c:f>
              <c:strCache>
                <c:ptCount val="1"/>
                <c:pt idx="0">
                  <c:v>Info Sharing</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Hazard6!$J$854</c:f>
              <c:strCache>
                <c:ptCount val="1"/>
                <c:pt idx="0">
                  <c:v>Not Calculated</c:v>
                </c:pt>
              </c:strCache>
            </c:strRef>
          </c:xVal>
          <c:yVal>
            <c:numRef>
              <c:f>Hazard6!$J$855</c:f>
              <c:numCache>
                <c:formatCode>General</c:formatCode>
                <c:ptCount val="1"/>
                <c:pt idx="0">
                  <c:v>0</c:v>
                </c:pt>
              </c:numCache>
            </c:numRef>
          </c:yVal>
          <c:smooth val="0"/>
          <c:extLst>
            <c:ext xmlns:c16="http://schemas.microsoft.com/office/drawing/2014/chart" uri="{C3380CC4-5D6E-409C-BE32-E72D297353CC}">
              <c16:uniqueId val="{00000000-EE40-425C-AA9A-7E17056835D4}"/>
            </c:ext>
          </c:extLst>
        </c:ser>
        <c:ser>
          <c:idx val="1"/>
          <c:order val="1"/>
          <c:tx>
            <c:strRef>
              <c:f>Hazard6!$C$857</c:f>
              <c:strCache>
                <c:ptCount val="1"/>
                <c:pt idx="0">
                  <c:v>Mass Care</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Hazard6!$J$858</c:f>
              <c:strCache>
                <c:ptCount val="1"/>
                <c:pt idx="0">
                  <c:v>Not Calculated</c:v>
                </c:pt>
              </c:strCache>
            </c:strRef>
          </c:xVal>
          <c:yVal>
            <c:numRef>
              <c:f>Hazard6!$J$859</c:f>
              <c:numCache>
                <c:formatCode>General</c:formatCode>
                <c:ptCount val="1"/>
                <c:pt idx="0">
                  <c:v>0</c:v>
                </c:pt>
              </c:numCache>
            </c:numRef>
          </c:yVal>
          <c:smooth val="0"/>
          <c:extLst>
            <c:ext xmlns:c16="http://schemas.microsoft.com/office/drawing/2014/chart" uri="{C3380CC4-5D6E-409C-BE32-E72D297353CC}">
              <c16:uniqueId val="{00000001-EE40-425C-AA9A-7E17056835D4}"/>
            </c:ext>
          </c:extLst>
        </c:ser>
        <c:ser>
          <c:idx val="2"/>
          <c:order val="2"/>
          <c:tx>
            <c:strRef>
              <c:f>Hazard6!$C$861</c:f>
              <c:strCache>
                <c:ptCount val="1"/>
                <c:pt idx="0">
                  <c:v>MCM Dispens</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Hazard6!$J$862</c:f>
              <c:strCache>
                <c:ptCount val="1"/>
                <c:pt idx="0">
                  <c:v>Not Calculated</c:v>
                </c:pt>
              </c:strCache>
            </c:strRef>
          </c:xVal>
          <c:yVal>
            <c:numRef>
              <c:f>Hazard6!$J$863</c:f>
              <c:numCache>
                <c:formatCode>General</c:formatCode>
                <c:ptCount val="1"/>
                <c:pt idx="0">
                  <c:v>0</c:v>
                </c:pt>
              </c:numCache>
            </c:numRef>
          </c:yVal>
          <c:smooth val="0"/>
          <c:extLst>
            <c:ext xmlns:c16="http://schemas.microsoft.com/office/drawing/2014/chart" uri="{C3380CC4-5D6E-409C-BE32-E72D297353CC}">
              <c16:uniqueId val="{00000002-EE40-425C-AA9A-7E17056835D4}"/>
            </c:ext>
          </c:extLst>
        </c:ser>
        <c:ser>
          <c:idx val="3"/>
          <c:order val="3"/>
          <c:tx>
            <c:strRef>
              <c:f>Hazard6!$C$865</c:f>
              <c:strCache>
                <c:ptCount val="1"/>
                <c:pt idx="0">
                  <c:v>Med Materiel Mgmt</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Hazard6!$J$866</c:f>
              <c:strCache>
                <c:ptCount val="1"/>
                <c:pt idx="0">
                  <c:v>Not Calculated</c:v>
                </c:pt>
              </c:strCache>
            </c:strRef>
          </c:xVal>
          <c:yVal>
            <c:numRef>
              <c:f>Hazard6!$J$867</c:f>
              <c:numCache>
                <c:formatCode>General</c:formatCode>
                <c:ptCount val="1"/>
                <c:pt idx="0">
                  <c:v>0</c:v>
                </c:pt>
              </c:numCache>
            </c:numRef>
          </c:yVal>
          <c:smooth val="0"/>
          <c:extLst>
            <c:ext xmlns:c16="http://schemas.microsoft.com/office/drawing/2014/chart" uri="{C3380CC4-5D6E-409C-BE32-E72D297353CC}">
              <c16:uniqueId val="{00000003-EE40-425C-AA9A-7E17056835D4}"/>
            </c:ext>
          </c:extLst>
        </c:ser>
        <c:ser>
          <c:idx val="4"/>
          <c:order val="4"/>
          <c:tx>
            <c:strRef>
              <c:f>Hazard6!$C$869</c:f>
              <c:strCache>
                <c:ptCount val="1"/>
                <c:pt idx="0">
                  <c:v>Medical Surge</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Hazard6!$J$870</c:f>
              <c:strCache>
                <c:ptCount val="1"/>
                <c:pt idx="0">
                  <c:v>Not Calculated</c:v>
                </c:pt>
              </c:strCache>
            </c:strRef>
          </c:xVal>
          <c:yVal>
            <c:numRef>
              <c:f>Hazard6!$J$871</c:f>
              <c:numCache>
                <c:formatCode>General</c:formatCode>
                <c:ptCount val="1"/>
                <c:pt idx="0">
                  <c:v>0</c:v>
                </c:pt>
              </c:numCache>
            </c:numRef>
          </c:yVal>
          <c:smooth val="0"/>
          <c:extLst>
            <c:ext xmlns:c16="http://schemas.microsoft.com/office/drawing/2014/chart" uri="{C3380CC4-5D6E-409C-BE32-E72D297353CC}">
              <c16:uniqueId val="{00000004-EE40-425C-AA9A-7E17056835D4}"/>
            </c:ext>
          </c:extLst>
        </c:ser>
        <c:ser>
          <c:idx val="5"/>
          <c:order val="5"/>
          <c:tx>
            <c:strRef>
              <c:f>Hazard6!$C$873</c:f>
              <c:strCache>
                <c:ptCount val="1"/>
                <c:pt idx="0">
                  <c:v>Non-Pharm Interv</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Hazard6!$J$874</c:f>
              <c:strCache>
                <c:ptCount val="1"/>
                <c:pt idx="0">
                  <c:v>Not Calculated</c:v>
                </c:pt>
              </c:strCache>
            </c:strRef>
          </c:xVal>
          <c:yVal>
            <c:numRef>
              <c:f>Hazard6!$J$875</c:f>
              <c:numCache>
                <c:formatCode>General</c:formatCode>
                <c:ptCount val="1"/>
                <c:pt idx="0">
                  <c:v>0</c:v>
                </c:pt>
              </c:numCache>
            </c:numRef>
          </c:yVal>
          <c:smooth val="0"/>
          <c:extLst>
            <c:ext xmlns:c16="http://schemas.microsoft.com/office/drawing/2014/chart" uri="{C3380CC4-5D6E-409C-BE32-E72D297353CC}">
              <c16:uniqueId val="{00000005-EE40-425C-AA9A-7E17056835D4}"/>
            </c:ext>
          </c:extLst>
        </c:ser>
        <c:ser>
          <c:idx val="6"/>
          <c:order val="6"/>
          <c:tx>
            <c:strRef>
              <c:f>Hazard6!$C$877</c:f>
              <c:strCache>
                <c:ptCount val="1"/>
                <c:pt idx="0">
                  <c:v>PH Lab Testing</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Hazard6!$J$878</c:f>
              <c:strCache>
                <c:ptCount val="1"/>
                <c:pt idx="0">
                  <c:v>Not Calculated</c:v>
                </c:pt>
              </c:strCache>
            </c:strRef>
          </c:xVal>
          <c:yVal>
            <c:numRef>
              <c:f>Hazard6!$J$879</c:f>
              <c:numCache>
                <c:formatCode>General</c:formatCode>
                <c:ptCount val="1"/>
                <c:pt idx="0">
                  <c:v>0</c:v>
                </c:pt>
              </c:numCache>
            </c:numRef>
          </c:yVal>
          <c:smooth val="0"/>
          <c:extLst>
            <c:ext xmlns:c16="http://schemas.microsoft.com/office/drawing/2014/chart" uri="{C3380CC4-5D6E-409C-BE32-E72D297353CC}">
              <c16:uniqueId val="{00000006-EE40-425C-AA9A-7E17056835D4}"/>
            </c:ext>
          </c:extLst>
        </c:ser>
        <c:ser>
          <c:idx val="7"/>
          <c:order val="7"/>
          <c:tx>
            <c:strRef>
              <c:f>Hazard6!$C$881</c:f>
              <c:strCache>
                <c:ptCount val="1"/>
                <c:pt idx="0">
                  <c:v>PH Surv &amp; Epi</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Hazard6!$J$882</c:f>
              <c:strCache>
                <c:ptCount val="1"/>
                <c:pt idx="0">
                  <c:v>Not Calculated</c:v>
                </c:pt>
              </c:strCache>
            </c:strRef>
          </c:xVal>
          <c:yVal>
            <c:numRef>
              <c:f>Hazard6!$J$883</c:f>
              <c:numCache>
                <c:formatCode>General</c:formatCode>
                <c:ptCount val="1"/>
                <c:pt idx="0">
                  <c:v>0</c:v>
                </c:pt>
              </c:numCache>
            </c:numRef>
          </c:yVal>
          <c:smooth val="0"/>
          <c:extLst>
            <c:ext xmlns:c16="http://schemas.microsoft.com/office/drawing/2014/chart" uri="{C3380CC4-5D6E-409C-BE32-E72D297353CC}">
              <c16:uniqueId val="{00000007-EE40-425C-AA9A-7E17056835D4}"/>
            </c:ext>
          </c:extLst>
        </c:ser>
        <c:ser>
          <c:idx val="8"/>
          <c:order val="8"/>
          <c:tx>
            <c:strRef>
              <c:f>Hazard6!$C$885</c:f>
              <c:strCache>
                <c:ptCount val="1"/>
                <c:pt idx="0">
                  <c:v>Responder Safety</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Hazard6!$J$886</c:f>
              <c:strCache>
                <c:ptCount val="1"/>
                <c:pt idx="0">
                  <c:v>Not Calculated</c:v>
                </c:pt>
              </c:strCache>
            </c:strRef>
          </c:xVal>
          <c:yVal>
            <c:numRef>
              <c:f>Hazard6!$J$887</c:f>
              <c:numCache>
                <c:formatCode>General</c:formatCode>
                <c:ptCount val="1"/>
                <c:pt idx="0">
                  <c:v>0</c:v>
                </c:pt>
              </c:numCache>
            </c:numRef>
          </c:yVal>
          <c:smooth val="0"/>
          <c:extLst>
            <c:ext xmlns:c16="http://schemas.microsoft.com/office/drawing/2014/chart" uri="{C3380CC4-5D6E-409C-BE32-E72D297353CC}">
              <c16:uniqueId val="{00000008-EE40-425C-AA9A-7E17056835D4}"/>
            </c:ext>
          </c:extLst>
        </c:ser>
        <c:ser>
          <c:idx val="9"/>
          <c:order val="9"/>
          <c:tx>
            <c:strRef>
              <c:f>Hazard6!$C$889</c:f>
              <c:strCache>
                <c:ptCount val="1"/>
                <c:pt idx="0">
                  <c:v>Volunteer Mgmt</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Hazard6!$J$890</c:f>
              <c:strCache>
                <c:ptCount val="1"/>
                <c:pt idx="0">
                  <c:v>Not Calculated</c:v>
                </c:pt>
              </c:strCache>
            </c:strRef>
          </c:xVal>
          <c:yVal>
            <c:numRef>
              <c:f>Hazard6!$J$891</c:f>
              <c:numCache>
                <c:formatCode>General</c:formatCode>
                <c:ptCount val="1"/>
                <c:pt idx="0">
                  <c:v>0</c:v>
                </c:pt>
              </c:numCache>
            </c:numRef>
          </c:yVal>
          <c:smooth val="0"/>
          <c:extLst>
            <c:ext xmlns:c16="http://schemas.microsoft.com/office/drawing/2014/chart" uri="{C3380CC4-5D6E-409C-BE32-E72D297353CC}">
              <c16:uniqueId val="{00000009-EE40-425C-AA9A-7E17056835D4}"/>
            </c:ext>
          </c:extLst>
        </c:ser>
        <c:ser>
          <c:idx val="10"/>
          <c:order val="10"/>
          <c:tx>
            <c:strRef>
              <c:f>Hazard6!$C$833</c:f>
              <c:strCache>
                <c:ptCount val="1"/>
                <c:pt idx="0">
                  <c:v>Community Prep</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Hazard6!$J$834</c:f>
              <c:strCache>
                <c:ptCount val="1"/>
                <c:pt idx="0">
                  <c:v>Not Calculated</c:v>
                </c:pt>
              </c:strCache>
            </c:strRef>
          </c:xVal>
          <c:yVal>
            <c:numRef>
              <c:f>Hazard6!$J$835</c:f>
              <c:numCache>
                <c:formatCode>General</c:formatCode>
                <c:ptCount val="1"/>
                <c:pt idx="0">
                  <c:v>0</c:v>
                </c:pt>
              </c:numCache>
            </c:numRef>
          </c:yVal>
          <c:smooth val="0"/>
          <c:extLst>
            <c:ext xmlns:c16="http://schemas.microsoft.com/office/drawing/2014/chart" uri="{C3380CC4-5D6E-409C-BE32-E72D297353CC}">
              <c16:uniqueId val="{0000000A-EE40-425C-AA9A-7E17056835D4}"/>
            </c:ext>
          </c:extLst>
        </c:ser>
        <c:ser>
          <c:idx val="11"/>
          <c:order val="11"/>
          <c:tx>
            <c:strRef>
              <c:f>Hazard6!$C$837</c:f>
              <c:strCache>
                <c:ptCount val="1"/>
                <c:pt idx="0">
                  <c:v>Community Recov</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Hazard6!$J$838</c:f>
              <c:strCache>
                <c:ptCount val="1"/>
                <c:pt idx="0">
                  <c:v>Not Calculated</c:v>
                </c:pt>
              </c:strCache>
            </c:strRef>
          </c:xVal>
          <c:yVal>
            <c:numRef>
              <c:f>Hazard6!$J$839</c:f>
              <c:numCache>
                <c:formatCode>General</c:formatCode>
                <c:ptCount val="1"/>
                <c:pt idx="0">
                  <c:v>0</c:v>
                </c:pt>
              </c:numCache>
            </c:numRef>
          </c:yVal>
          <c:smooth val="0"/>
          <c:extLst>
            <c:ext xmlns:c16="http://schemas.microsoft.com/office/drawing/2014/chart" uri="{C3380CC4-5D6E-409C-BE32-E72D297353CC}">
              <c16:uniqueId val="{0000000B-EE40-425C-AA9A-7E17056835D4}"/>
            </c:ext>
          </c:extLst>
        </c:ser>
        <c:ser>
          <c:idx val="12"/>
          <c:order val="12"/>
          <c:tx>
            <c:strRef>
              <c:f>Hazard6!$C$841</c:f>
              <c:strCache>
                <c:ptCount val="1"/>
                <c:pt idx="0">
                  <c:v>Emerg Ops Coord</c:v>
                </c:pt>
              </c:strCache>
            </c:strRef>
          </c:tx>
          <c:spPr>
            <a:ln w="66675">
              <a:noFill/>
            </a:ln>
          </c:spPr>
          <c:dLbls>
            <c:spPr>
              <a:noFill/>
              <a:ln>
                <a:noFill/>
              </a:ln>
              <a:effectLst/>
            </c:sp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Hazard6!$J$842</c:f>
              <c:strCache>
                <c:ptCount val="1"/>
                <c:pt idx="0">
                  <c:v>Not Calculated</c:v>
                </c:pt>
              </c:strCache>
            </c:strRef>
          </c:xVal>
          <c:yVal>
            <c:numRef>
              <c:f>Hazard6!$J$843</c:f>
              <c:numCache>
                <c:formatCode>General</c:formatCode>
                <c:ptCount val="1"/>
                <c:pt idx="0">
                  <c:v>0</c:v>
                </c:pt>
              </c:numCache>
            </c:numRef>
          </c:yVal>
          <c:smooth val="0"/>
          <c:extLst>
            <c:ext xmlns:c16="http://schemas.microsoft.com/office/drawing/2014/chart" uri="{C3380CC4-5D6E-409C-BE32-E72D297353CC}">
              <c16:uniqueId val="{0000000C-EE40-425C-AA9A-7E17056835D4}"/>
            </c:ext>
          </c:extLst>
        </c:ser>
        <c:ser>
          <c:idx val="13"/>
          <c:order val="13"/>
          <c:tx>
            <c:strRef>
              <c:f>Hazard6!$C$845</c:f>
              <c:strCache>
                <c:ptCount val="1"/>
                <c:pt idx="0">
                  <c:v>Emerg Public Info</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Hazard6!$J$846</c:f>
              <c:strCache>
                <c:ptCount val="1"/>
                <c:pt idx="0">
                  <c:v>Not Calculated</c:v>
                </c:pt>
              </c:strCache>
            </c:strRef>
          </c:xVal>
          <c:yVal>
            <c:numRef>
              <c:f>Hazard6!$J$847</c:f>
              <c:numCache>
                <c:formatCode>General</c:formatCode>
                <c:ptCount val="1"/>
                <c:pt idx="0">
                  <c:v>0</c:v>
                </c:pt>
              </c:numCache>
            </c:numRef>
          </c:yVal>
          <c:smooth val="0"/>
          <c:extLst>
            <c:ext xmlns:c16="http://schemas.microsoft.com/office/drawing/2014/chart" uri="{C3380CC4-5D6E-409C-BE32-E72D297353CC}">
              <c16:uniqueId val="{0000000D-EE40-425C-AA9A-7E17056835D4}"/>
            </c:ext>
          </c:extLst>
        </c:ser>
        <c:ser>
          <c:idx val="14"/>
          <c:order val="14"/>
          <c:tx>
            <c:strRef>
              <c:f>Drought!$C$964</c:f>
              <c:strCache>
                <c:ptCount val="1"/>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Drought!$J$965</c:f>
            </c:numRef>
          </c:xVal>
          <c:yVal>
            <c:numRef>
              <c:f>Drought!$J$966</c:f>
            </c:numRef>
          </c:yVal>
          <c:smooth val="0"/>
          <c:extLst>
            <c:ext xmlns:c16="http://schemas.microsoft.com/office/drawing/2014/chart" uri="{C3380CC4-5D6E-409C-BE32-E72D297353CC}">
              <c16:uniqueId val="{0000000E-EE40-425C-AA9A-7E17056835D4}"/>
            </c:ext>
          </c:extLst>
        </c:ser>
        <c:ser>
          <c:idx val="15"/>
          <c:order val="15"/>
          <c:tx>
            <c:strRef>
              <c:f>Hazard6!$C$849</c:f>
              <c:strCache>
                <c:ptCount val="1"/>
                <c:pt idx="0">
                  <c:v>Fatality Mgmt</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Hazard6!$J$850</c:f>
              <c:strCache>
                <c:ptCount val="1"/>
                <c:pt idx="0">
                  <c:v>Not Calculated</c:v>
                </c:pt>
              </c:strCache>
            </c:strRef>
          </c:xVal>
          <c:yVal>
            <c:numRef>
              <c:f>Hazard6!$J$851</c:f>
              <c:numCache>
                <c:formatCode>General</c:formatCode>
                <c:ptCount val="1"/>
                <c:pt idx="0">
                  <c:v>0</c:v>
                </c:pt>
              </c:numCache>
            </c:numRef>
          </c:yVal>
          <c:smooth val="0"/>
          <c:extLst>
            <c:ext xmlns:c16="http://schemas.microsoft.com/office/drawing/2014/chart" uri="{C3380CC4-5D6E-409C-BE32-E72D297353CC}">
              <c16:uniqueId val="{0000000F-EE40-425C-AA9A-7E17056835D4}"/>
            </c:ext>
          </c:extLst>
        </c:ser>
        <c:dLbls>
          <c:showLegendKey val="0"/>
          <c:showVal val="1"/>
          <c:showCatName val="0"/>
          <c:showSerName val="0"/>
          <c:showPercent val="0"/>
          <c:showBubbleSize val="0"/>
        </c:dLbls>
        <c:axId val="202626176"/>
        <c:axId val="202628096"/>
      </c:scatterChart>
      <c:valAx>
        <c:axId val="202626176"/>
        <c:scaling>
          <c:orientation val="minMax"/>
          <c:max val="4.5"/>
          <c:min val="0"/>
        </c:scaling>
        <c:delete val="0"/>
        <c:axPos val="b"/>
        <c:majorGridlines/>
        <c:title>
          <c:tx>
            <c:rich>
              <a:bodyPr/>
              <a:lstStyle/>
              <a:p>
                <a:pPr>
                  <a:defRPr b="0">
                    <a:latin typeface="+mj-lt"/>
                  </a:defRPr>
                </a:pPr>
                <a:r>
                  <a:rPr lang="en-US" sz="1600" b="0">
                    <a:latin typeface="+mj-lt"/>
                  </a:rPr>
                  <a:t>Capability Relevance to Hazard</a:t>
                </a:r>
              </a:p>
            </c:rich>
          </c:tx>
          <c:overlay val="0"/>
        </c:title>
        <c:numFmt formatCode="General" sourceLinked="1"/>
        <c:majorTickMark val="out"/>
        <c:minorTickMark val="none"/>
        <c:tickLblPos val="nextTo"/>
        <c:spPr>
          <a:ln>
            <a:solidFill>
              <a:schemeClr val="tx1"/>
            </a:solidFill>
          </a:ln>
        </c:spPr>
        <c:crossAx val="202628096"/>
        <c:crosses val="autoZero"/>
        <c:crossBetween val="midCat"/>
        <c:majorUnit val="1"/>
        <c:minorUnit val="0.1"/>
      </c:valAx>
      <c:valAx>
        <c:axId val="202628096"/>
        <c:scaling>
          <c:orientation val="minMax"/>
          <c:max val="4.5"/>
          <c:min val="0"/>
        </c:scaling>
        <c:delete val="0"/>
        <c:axPos val="l"/>
        <c:majorGridlines/>
        <c:title>
          <c:tx>
            <c:rich>
              <a:bodyPr rot="-5400000" vert="horz"/>
              <a:lstStyle/>
              <a:p>
                <a:pPr>
                  <a:defRPr sz="1600" b="0">
                    <a:latin typeface="+mj-lt"/>
                  </a:defRPr>
                </a:pPr>
                <a:r>
                  <a:rPr lang="en-US" sz="1600" b="0">
                    <a:latin typeface="+mj-lt"/>
                  </a:rPr>
                  <a:t>Capability Status</a:t>
                </a:r>
              </a:p>
            </c:rich>
          </c:tx>
          <c:overlay val="0"/>
        </c:title>
        <c:numFmt formatCode="General" sourceLinked="1"/>
        <c:majorTickMark val="out"/>
        <c:minorTickMark val="none"/>
        <c:tickLblPos val="nextTo"/>
        <c:spPr>
          <a:ln>
            <a:solidFill>
              <a:schemeClr val="tx1"/>
            </a:solidFill>
          </a:ln>
        </c:spPr>
        <c:crossAx val="202626176"/>
        <c:crosses val="autoZero"/>
        <c:crossBetween val="midCat"/>
        <c:majorUnit val="1"/>
        <c:minorUnit val="0.1"/>
      </c:valAx>
      <c:spPr>
        <a:gradFill flip="none" rotWithShape="1">
          <a:gsLst>
            <a:gs pos="0">
              <a:srgbClr val="63BE7B"/>
            </a:gs>
            <a:gs pos="50000">
              <a:srgbClr val="FFEB84"/>
            </a:gs>
            <a:gs pos="100000">
              <a:srgbClr val="F8696B"/>
            </a:gs>
          </a:gsLst>
          <a:lin ang="27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defRPr b="0" u="sng">
                <a:latin typeface="+mj-lt"/>
              </a:defRPr>
            </a:pPr>
            <a:r>
              <a:rPr lang="en-US" b="0" u="sng">
                <a:latin typeface="+mj-lt"/>
              </a:rPr>
              <a:t>Healthcare Preparedness</a:t>
            </a:r>
          </a:p>
        </c:rich>
      </c:tx>
      <c:layout>
        <c:manualLayout>
          <c:xMode val="edge"/>
          <c:yMode val="edge"/>
          <c:x val="0.38019690321630645"/>
          <c:y val="1.3244983721297133E-2"/>
        </c:manualLayout>
      </c:layout>
      <c:overlay val="0"/>
    </c:title>
    <c:autoTitleDeleted val="0"/>
    <c:plotArea>
      <c:layout/>
      <c:scatterChart>
        <c:scatterStyle val="lineMarker"/>
        <c:varyColors val="0"/>
        <c:ser>
          <c:idx val="0"/>
          <c:order val="0"/>
          <c:tx>
            <c:strRef>
              <c:f>Hazard6!$C$903</c:f>
              <c:strCache>
                <c:ptCount val="1"/>
                <c:pt idx="0">
                  <c:v>HC System Prep</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Hazard6!$J$904</c:f>
              <c:strCache>
                <c:ptCount val="1"/>
                <c:pt idx="0">
                  <c:v>Not Calculated</c:v>
                </c:pt>
              </c:strCache>
            </c:strRef>
          </c:xVal>
          <c:yVal>
            <c:numRef>
              <c:f>Hazard6!$J$905</c:f>
              <c:numCache>
                <c:formatCode>General</c:formatCode>
                <c:ptCount val="1"/>
                <c:pt idx="0">
                  <c:v>0</c:v>
                </c:pt>
              </c:numCache>
            </c:numRef>
          </c:yVal>
          <c:smooth val="0"/>
          <c:extLst>
            <c:ext xmlns:c16="http://schemas.microsoft.com/office/drawing/2014/chart" uri="{C3380CC4-5D6E-409C-BE32-E72D297353CC}">
              <c16:uniqueId val="{00000000-1446-4AC9-8FBB-B1C6EACAF29F}"/>
            </c:ext>
          </c:extLst>
        </c:ser>
        <c:ser>
          <c:idx val="1"/>
          <c:order val="1"/>
          <c:tx>
            <c:strRef>
              <c:f>Hazard6!$C$907</c:f>
              <c:strCache>
                <c:ptCount val="1"/>
                <c:pt idx="0">
                  <c:v>HC System Recov</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Hazard6!$J$908</c:f>
              <c:strCache>
                <c:ptCount val="1"/>
                <c:pt idx="0">
                  <c:v>Not Calculated</c:v>
                </c:pt>
              </c:strCache>
            </c:strRef>
          </c:xVal>
          <c:yVal>
            <c:numRef>
              <c:f>Hazard6!$J$909</c:f>
              <c:numCache>
                <c:formatCode>General</c:formatCode>
                <c:ptCount val="1"/>
                <c:pt idx="0">
                  <c:v>0</c:v>
                </c:pt>
              </c:numCache>
            </c:numRef>
          </c:yVal>
          <c:smooth val="0"/>
          <c:extLst>
            <c:ext xmlns:c16="http://schemas.microsoft.com/office/drawing/2014/chart" uri="{C3380CC4-5D6E-409C-BE32-E72D297353CC}">
              <c16:uniqueId val="{00000001-1446-4AC9-8FBB-B1C6EACAF29F}"/>
            </c:ext>
          </c:extLst>
        </c:ser>
        <c:ser>
          <c:idx val="2"/>
          <c:order val="2"/>
          <c:tx>
            <c:strRef>
              <c:f>Hazard6!$C$911</c:f>
              <c:strCache>
                <c:ptCount val="1"/>
                <c:pt idx="0">
                  <c:v>Emerg Ops Coord</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Hazard6!$J$912</c:f>
              <c:strCache>
                <c:ptCount val="1"/>
                <c:pt idx="0">
                  <c:v>Not Calculated</c:v>
                </c:pt>
              </c:strCache>
            </c:strRef>
          </c:xVal>
          <c:yVal>
            <c:numRef>
              <c:f>Hazard6!$J$913</c:f>
              <c:numCache>
                <c:formatCode>General</c:formatCode>
                <c:ptCount val="1"/>
                <c:pt idx="0">
                  <c:v>0</c:v>
                </c:pt>
              </c:numCache>
            </c:numRef>
          </c:yVal>
          <c:smooth val="0"/>
          <c:extLst>
            <c:ext xmlns:c16="http://schemas.microsoft.com/office/drawing/2014/chart" uri="{C3380CC4-5D6E-409C-BE32-E72D297353CC}">
              <c16:uniqueId val="{00000002-1446-4AC9-8FBB-B1C6EACAF29F}"/>
            </c:ext>
          </c:extLst>
        </c:ser>
        <c:ser>
          <c:idx val="3"/>
          <c:order val="3"/>
          <c:tx>
            <c:strRef>
              <c:f>Hazard6!$C$915</c:f>
              <c:strCache>
                <c:ptCount val="1"/>
                <c:pt idx="0">
                  <c:v>Fatality Mgmt</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Hazard6!$J$916</c:f>
              <c:strCache>
                <c:ptCount val="1"/>
                <c:pt idx="0">
                  <c:v>Not Calculated</c:v>
                </c:pt>
              </c:strCache>
            </c:strRef>
          </c:xVal>
          <c:yVal>
            <c:numRef>
              <c:f>Hazard6!$J$917</c:f>
              <c:numCache>
                <c:formatCode>General</c:formatCode>
                <c:ptCount val="1"/>
                <c:pt idx="0">
                  <c:v>0</c:v>
                </c:pt>
              </c:numCache>
            </c:numRef>
          </c:yVal>
          <c:smooth val="0"/>
          <c:extLst>
            <c:ext xmlns:c16="http://schemas.microsoft.com/office/drawing/2014/chart" uri="{C3380CC4-5D6E-409C-BE32-E72D297353CC}">
              <c16:uniqueId val="{00000003-1446-4AC9-8FBB-B1C6EACAF29F}"/>
            </c:ext>
          </c:extLst>
        </c:ser>
        <c:ser>
          <c:idx val="4"/>
          <c:order val="4"/>
          <c:tx>
            <c:strRef>
              <c:f>Hazard6!$C$919</c:f>
              <c:strCache>
                <c:ptCount val="1"/>
                <c:pt idx="0">
                  <c:v>Info Sharing</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Hazard6!$J$920</c:f>
              <c:strCache>
                <c:ptCount val="1"/>
                <c:pt idx="0">
                  <c:v>Not Calculated</c:v>
                </c:pt>
              </c:strCache>
            </c:strRef>
          </c:xVal>
          <c:yVal>
            <c:numRef>
              <c:f>Hazard6!$J$921</c:f>
              <c:numCache>
                <c:formatCode>General</c:formatCode>
                <c:ptCount val="1"/>
                <c:pt idx="0">
                  <c:v>0</c:v>
                </c:pt>
              </c:numCache>
            </c:numRef>
          </c:yVal>
          <c:smooth val="0"/>
          <c:extLst>
            <c:ext xmlns:c16="http://schemas.microsoft.com/office/drawing/2014/chart" uri="{C3380CC4-5D6E-409C-BE32-E72D297353CC}">
              <c16:uniqueId val="{00000004-1446-4AC9-8FBB-B1C6EACAF29F}"/>
            </c:ext>
          </c:extLst>
        </c:ser>
        <c:ser>
          <c:idx val="5"/>
          <c:order val="5"/>
          <c:tx>
            <c:strRef>
              <c:f>Hazard6!$C$923</c:f>
              <c:strCache>
                <c:ptCount val="1"/>
                <c:pt idx="0">
                  <c:v>Medical Surge</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Hazard6!$J$924</c:f>
              <c:strCache>
                <c:ptCount val="1"/>
                <c:pt idx="0">
                  <c:v>Not Calculated</c:v>
                </c:pt>
              </c:strCache>
            </c:strRef>
          </c:xVal>
          <c:yVal>
            <c:numRef>
              <c:f>Hazard6!$J$925</c:f>
              <c:numCache>
                <c:formatCode>General</c:formatCode>
                <c:ptCount val="1"/>
                <c:pt idx="0">
                  <c:v>0</c:v>
                </c:pt>
              </c:numCache>
            </c:numRef>
          </c:yVal>
          <c:smooth val="0"/>
          <c:extLst>
            <c:ext xmlns:c16="http://schemas.microsoft.com/office/drawing/2014/chart" uri="{C3380CC4-5D6E-409C-BE32-E72D297353CC}">
              <c16:uniqueId val="{00000005-1446-4AC9-8FBB-B1C6EACAF29F}"/>
            </c:ext>
          </c:extLst>
        </c:ser>
        <c:ser>
          <c:idx val="6"/>
          <c:order val="6"/>
          <c:tx>
            <c:strRef>
              <c:f>Hazard6!$C$927</c:f>
              <c:strCache>
                <c:ptCount val="1"/>
                <c:pt idx="0">
                  <c:v>Responder Safety</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Hazard6!$J$928</c:f>
              <c:strCache>
                <c:ptCount val="1"/>
                <c:pt idx="0">
                  <c:v>Not Calculated</c:v>
                </c:pt>
              </c:strCache>
            </c:strRef>
          </c:xVal>
          <c:yVal>
            <c:numRef>
              <c:f>Hazard6!$J$929</c:f>
              <c:numCache>
                <c:formatCode>General</c:formatCode>
                <c:ptCount val="1"/>
                <c:pt idx="0">
                  <c:v>0</c:v>
                </c:pt>
              </c:numCache>
            </c:numRef>
          </c:yVal>
          <c:smooth val="0"/>
          <c:extLst>
            <c:ext xmlns:c16="http://schemas.microsoft.com/office/drawing/2014/chart" uri="{C3380CC4-5D6E-409C-BE32-E72D297353CC}">
              <c16:uniqueId val="{00000006-1446-4AC9-8FBB-B1C6EACAF29F}"/>
            </c:ext>
          </c:extLst>
        </c:ser>
        <c:ser>
          <c:idx val="7"/>
          <c:order val="7"/>
          <c:tx>
            <c:strRef>
              <c:f>Hazard6!$C$931</c:f>
              <c:strCache>
                <c:ptCount val="1"/>
                <c:pt idx="0">
                  <c:v>Volunteer Mgmt</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Hazard6!$J$932</c:f>
              <c:strCache>
                <c:ptCount val="1"/>
                <c:pt idx="0">
                  <c:v>Not Calculated</c:v>
                </c:pt>
              </c:strCache>
            </c:strRef>
          </c:xVal>
          <c:yVal>
            <c:numRef>
              <c:f>Hazard6!$J$933</c:f>
              <c:numCache>
                <c:formatCode>General</c:formatCode>
                <c:ptCount val="1"/>
                <c:pt idx="0">
                  <c:v>0</c:v>
                </c:pt>
              </c:numCache>
            </c:numRef>
          </c:yVal>
          <c:smooth val="0"/>
          <c:extLst>
            <c:ext xmlns:c16="http://schemas.microsoft.com/office/drawing/2014/chart" uri="{C3380CC4-5D6E-409C-BE32-E72D297353CC}">
              <c16:uniqueId val="{00000007-1446-4AC9-8FBB-B1C6EACAF29F}"/>
            </c:ext>
          </c:extLst>
        </c:ser>
        <c:ser>
          <c:idx val="14"/>
          <c:order val="8"/>
          <c:tx>
            <c:strRef>
              <c:f>Drought!$C$964</c:f>
              <c:strCache>
                <c:ptCount val="1"/>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Drought!$J$965</c:f>
            </c:numRef>
          </c:xVal>
          <c:yVal>
            <c:numRef>
              <c:f>Drought!$J$966</c:f>
            </c:numRef>
          </c:yVal>
          <c:smooth val="0"/>
          <c:extLst>
            <c:ext xmlns:c16="http://schemas.microsoft.com/office/drawing/2014/chart" uri="{C3380CC4-5D6E-409C-BE32-E72D297353CC}">
              <c16:uniqueId val="{00000008-1446-4AC9-8FBB-B1C6EACAF29F}"/>
            </c:ext>
          </c:extLst>
        </c:ser>
        <c:dLbls>
          <c:showLegendKey val="0"/>
          <c:showVal val="1"/>
          <c:showCatName val="0"/>
          <c:showSerName val="0"/>
          <c:showPercent val="0"/>
          <c:showBubbleSize val="0"/>
        </c:dLbls>
        <c:axId val="205633792"/>
        <c:axId val="205455744"/>
      </c:scatterChart>
      <c:valAx>
        <c:axId val="205633792"/>
        <c:scaling>
          <c:orientation val="minMax"/>
          <c:max val="4.5"/>
          <c:min val="0"/>
        </c:scaling>
        <c:delete val="0"/>
        <c:axPos val="b"/>
        <c:majorGridlines/>
        <c:title>
          <c:tx>
            <c:rich>
              <a:bodyPr/>
              <a:lstStyle/>
              <a:p>
                <a:pPr>
                  <a:defRPr b="0">
                    <a:latin typeface="+mj-lt"/>
                  </a:defRPr>
                </a:pPr>
                <a:r>
                  <a:rPr lang="en-US" sz="1600" b="0">
                    <a:latin typeface="+mj-lt"/>
                  </a:rPr>
                  <a:t>Capability Relevance to Hazard</a:t>
                </a:r>
              </a:p>
            </c:rich>
          </c:tx>
          <c:overlay val="0"/>
        </c:title>
        <c:numFmt formatCode="General" sourceLinked="1"/>
        <c:majorTickMark val="out"/>
        <c:minorTickMark val="none"/>
        <c:tickLblPos val="nextTo"/>
        <c:spPr>
          <a:ln>
            <a:solidFill>
              <a:schemeClr val="tx1"/>
            </a:solidFill>
          </a:ln>
        </c:spPr>
        <c:crossAx val="205455744"/>
        <c:crosses val="autoZero"/>
        <c:crossBetween val="midCat"/>
        <c:majorUnit val="1"/>
        <c:minorUnit val="0.1"/>
      </c:valAx>
      <c:valAx>
        <c:axId val="205455744"/>
        <c:scaling>
          <c:orientation val="minMax"/>
          <c:max val="4.5"/>
          <c:min val="0"/>
        </c:scaling>
        <c:delete val="0"/>
        <c:axPos val="l"/>
        <c:majorGridlines/>
        <c:title>
          <c:tx>
            <c:rich>
              <a:bodyPr rot="-5400000" vert="horz"/>
              <a:lstStyle/>
              <a:p>
                <a:pPr>
                  <a:defRPr sz="1600" b="0">
                    <a:latin typeface="+mj-lt"/>
                  </a:defRPr>
                </a:pPr>
                <a:r>
                  <a:rPr lang="en-US" sz="1600" b="0">
                    <a:latin typeface="+mj-lt"/>
                  </a:rPr>
                  <a:t>Capability Status</a:t>
                </a:r>
              </a:p>
            </c:rich>
          </c:tx>
          <c:overlay val="0"/>
        </c:title>
        <c:numFmt formatCode="General" sourceLinked="1"/>
        <c:majorTickMark val="out"/>
        <c:minorTickMark val="none"/>
        <c:tickLblPos val="nextTo"/>
        <c:spPr>
          <a:ln>
            <a:solidFill>
              <a:schemeClr val="tx1"/>
            </a:solidFill>
          </a:ln>
        </c:spPr>
        <c:crossAx val="205633792"/>
        <c:crosses val="autoZero"/>
        <c:crossBetween val="midCat"/>
        <c:majorUnit val="1"/>
        <c:minorUnit val="0.1"/>
      </c:valAx>
      <c:spPr>
        <a:gradFill flip="none" rotWithShape="1">
          <a:gsLst>
            <a:gs pos="0">
              <a:srgbClr val="63BE7B"/>
            </a:gs>
            <a:gs pos="50000">
              <a:srgbClr val="FFEB84"/>
            </a:gs>
            <a:gs pos="100000">
              <a:srgbClr val="F8696B"/>
            </a:gs>
          </a:gsLst>
          <a:lin ang="27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b="0" u="sng">
                <a:latin typeface="+mj-lt"/>
              </a:defRPr>
            </a:pPr>
            <a:r>
              <a:rPr lang="en-US" b="0" u="sng">
                <a:latin typeface="+mj-lt"/>
              </a:rPr>
              <a:t>Severity</a:t>
            </a:r>
          </a:p>
        </c:rich>
      </c:tx>
      <c:layout>
        <c:manualLayout>
          <c:xMode val="edge"/>
          <c:yMode val="edge"/>
          <c:x val="0.46889233641333816"/>
          <c:y val="1.3244983721297133E-2"/>
        </c:manualLayout>
      </c:layout>
      <c:overlay val="0"/>
    </c:title>
    <c:autoTitleDeleted val="0"/>
    <c:plotArea>
      <c:layout/>
      <c:barChart>
        <c:barDir val="col"/>
        <c:grouping val="clustered"/>
        <c:varyColors val="0"/>
        <c:ser>
          <c:idx val="0"/>
          <c:order val="0"/>
          <c:tx>
            <c:v>Severity</c:v>
          </c:tx>
          <c:spPr>
            <a:solidFill>
              <a:schemeClr val="accent4">
                <a:lumMod val="60000"/>
                <a:lumOff val="40000"/>
              </a:schemeClr>
            </a:solidFill>
            <a:ln>
              <a:solidFill>
                <a:schemeClr val="accent4"/>
              </a:solidFill>
            </a:ln>
            <a:scene3d>
              <a:camera prst="orthographicFront"/>
              <a:lightRig rig="threePt" dir="t"/>
            </a:scene3d>
            <a:sp3d prstMaterial="matte">
              <a:bevelT w="63500" h="50800"/>
            </a:sp3d>
          </c:spPr>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('Active Shooter'!$G$22,'Active Shooter'!$G$137,'Active Shooter'!$G$265,'Active Shooter'!$G$425,'Active Shooter'!$G$543)</c:f>
              <c:strCache>
                <c:ptCount val="5"/>
                <c:pt idx="0">
                  <c:v>Human Impact</c:v>
                </c:pt>
                <c:pt idx="1">
                  <c:v>Healthcare Service Impact</c:v>
                </c:pt>
                <c:pt idx="2">
                  <c:v>Inpatient Healthcare Facility Infrastructure Impact</c:v>
                </c:pt>
                <c:pt idx="3">
                  <c:v>Community Impact</c:v>
                </c:pt>
                <c:pt idx="4">
                  <c:v>Public Health Service Impact</c:v>
                </c:pt>
              </c:strCache>
            </c:strRef>
          </c:cat>
          <c:val>
            <c:numRef>
              <c:f>(Hazard7!$J$133,Hazard7!$J$261,Hazard7!$J$421,Hazard7!$J$539,Hazard7!$J$681)</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0-EABB-456F-9149-ADCF2C8E29F2}"/>
            </c:ext>
          </c:extLst>
        </c:ser>
        <c:dLbls>
          <c:showLegendKey val="0"/>
          <c:showVal val="1"/>
          <c:showCatName val="0"/>
          <c:showSerName val="0"/>
          <c:showPercent val="0"/>
          <c:showBubbleSize val="0"/>
        </c:dLbls>
        <c:gapWidth val="150"/>
        <c:axId val="205467008"/>
        <c:axId val="205792768"/>
      </c:barChart>
      <c:catAx>
        <c:axId val="205467008"/>
        <c:scaling>
          <c:orientation val="minMax"/>
        </c:scaling>
        <c:delete val="0"/>
        <c:axPos val="b"/>
        <c:title>
          <c:tx>
            <c:rich>
              <a:bodyPr/>
              <a:lstStyle/>
              <a:p>
                <a:pPr>
                  <a:defRPr sz="1600" b="0">
                    <a:latin typeface="+mj-lt"/>
                  </a:defRPr>
                </a:pPr>
                <a:r>
                  <a:rPr lang="en-US" sz="1600" b="0">
                    <a:latin typeface="+mj-lt"/>
                  </a:rPr>
                  <a:t>Domain</a:t>
                </a:r>
              </a:p>
            </c:rich>
          </c:tx>
          <c:overlay val="0"/>
        </c:title>
        <c:numFmt formatCode="General" sourceLinked="1"/>
        <c:majorTickMark val="out"/>
        <c:minorTickMark val="none"/>
        <c:tickLblPos val="nextTo"/>
        <c:crossAx val="205792768"/>
        <c:crosses val="autoZero"/>
        <c:auto val="1"/>
        <c:lblAlgn val="ctr"/>
        <c:lblOffset val="100"/>
        <c:noMultiLvlLbl val="0"/>
      </c:catAx>
      <c:valAx>
        <c:axId val="205792768"/>
        <c:scaling>
          <c:orientation val="minMax"/>
          <c:max val="4"/>
        </c:scaling>
        <c:delete val="0"/>
        <c:axPos val="l"/>
        <c:majorGridlines/>
        <c:title>
          <c:tx>
            <c:rich>
              <a:bodyPr rot="-5400000" vert="horz"/>
              <a:lstStyle/>
              <a:p>
                <a:pPr>
                  <a:defRPr sz="1600" b="0">
                    <a:latin typeface="+mj-lt"/>
                  </a:defRPr>
                </a:pPr>
                <a:r>
                  <a:rPr lang="en-US" sz="1600" b="0">
                    <a:latin typeface="+mj-lt"/>
                  </a:rPr>
                  <a:t>Severity</a:t>
                </a:r>
                <a:r>
                  <a:rPr lang="en-US" sz="1600" b="0" baseline="0">
                    <a:latin typeface="+mj-lt"/>
                  </a:rPr>
                  <a:t> Score</a:t>
                </a:r>
                <a:endParaRPr lang="en-US" sz="1600" b="0">
                  <a:latin typeface="+mj-lt"/>
                </a:endParaRPr>
              </a:p>
            </c:rich>
          </c:tx>
          <c:overlay val="0"/>
        </c:title>
        <c:numFmt formatCode="0.00" sourceLinked="1"/>
        <c:majorTickMark val="out"/>
        <c:minorTickMark val="none"/>
        <c:tickLblPos val="nextTo"/>
        <c:crossAx val="205467008"/>
        <c:crosses val="autoZero"/>
        <c:crossBetween val="between"/>
      </c:valAx>
      <c:spPr>
        <a:gradFill flip="none" rotWithShape="1">
          <a:gsLst>
            <a:gs pos="0">
              <a:srgbClr val="63BE7B"/>
            </a:gs>
            <a:gs pos="50000">
              <a:srgbClr val="FFEB84"/>
            </a:gs>
            <a:gs pos="100000">
              <a:srgbClr val="F8696B"/>
            </a:gs>
          </a:gsLst>
          <a:lin ang="162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b="0" u="sng">
                <a:latin typeface="+mj-lt"/>
              </a:defRPr>
            </a:pPr>
            <a:r>
              <a:rPr lang="en-US" b="0" u="sng">
                <a:latin typeface="+mj-lt"/>
              </a:rPr>
              <a:t>At-Risk Populations</a:t>
            </a:r>
          </a:p>
        </c:rich>
      </c:tx>
      <c:layout>
        <c:manualLayout>
          <c:xMode val="edge"/>
          <c:yMode val="edge"/>
          <c:x val="0.37636858589702443"/>
          <c:y val="1.3244983721297133E-2"/>
        </c:manualLayout>
      </c:layout>
      <c:overlay val="0"/>
    </c:title>
    <c:autoTitleDeleted val="0"/>
    <c:plotArea>
      <c:layout>
        <c:manualLayout>
          <c:layoutTarget val="inner"/>
          <c:xMode val="edge"/>
          <c:yMode val="edge"/>
          <c:x val="9.2855623530330264E-2"/>
          <c:y val="0.10007907481510167"/>
          <c:w val="0.87850741705614022"/>
          <c:h val="0.77165947152780956"/>
        </c:manualLayout>
      </c:layout>
      <c:scatterChart>
        <c:scatterStyle val="lineMarker"/>
        <c:varyColors val="0"/>
        <c:ser>
          <c:idx val="0"/>
          <c:order val="0"/>
          <c:tx>
            <c:strRef>
              <c:f>Hazard7!$C$793</c:f>
              <c:strCache>
                <c:ptCount val="1"/>
                <c:pt idx="0">
                  <c:v>Poverty</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Hazard7!$J$795</c:f>
              <c:numCache>
                <c:formatCode>General</c:formatCode>
                <c:ptCount val="1"/>
                <c:pt idx="0">
                  <c:v>0</c:v>
                </c:pt>
              </c:numCache>
            </c:numRef>
          </c:xVal>
          <c:yVal>
            <c:numRef>
              <c:f>Hazard7!$J$794</c:f>
              <c:numCache>
                <c:formatCode>General</c:formatCode>
                <c:ptCount val="1"/>
                <c:pt idx="0">
                  <c:v>0</c:v>
                </c:pt>
              </c:numCache>
            </c:numRef>
          </c:yVal>
          <c:smooth val="0"/>
          <c:extLst>
            <c:ext xmlns:c16="http://schemas.microsoft.com/office/drawing/2014/chart" uri="{C3380CC4-5D6E-409C-BE32-E72D297353CC}">
              <c16:uniqueId val="{00000000-8BA2-4A4C-AA8F-24EE3AECC537}"/>
            </c:ext>
          </c:extLst>
        </c:ser>
        <c:ser>
          <c:idx val="1"/>
          <c:order val="1"/>
          <c:tx>
            <c:strRef>
              <c:f>Hazard7!$C$797</c:f>
              <c:strCache>
                <c:ptCount val="1"/>
                <c:pt idx="0">
                  <c:v>Chronic Diseases (Diabetes)</c:v>
                </c:pt>
              </c:strCache>
            </c:strRef>
          </c:tx>
          <c:spPr>
            <a:ln w="66675">
              <a:noFill/>
            </a:ln>
          </c:spPr>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8BA2-4A4C-AA8F-24EE3AECC537}"/>
                </c:ext>
              </c:extLst>
            </c:dLbl>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Hazard7!$J$799</c:f>
              <c:numCache>
                <c:formatCode>General</c:formatCode>
                <c:ptCount val="1"/>
                <c:pt idx="0">
                  <c:v>0</c:v>
                </c:pt>
              </c:numCache>
            </c:numRef>
          </c:xVal>
          <c:yVal>
            <c:numRef>
              <c:f>Hazard7!$J$798</c:f>
              <c:numCache>
                <c:formatCode>General</c:formatCode>
                <c:ptCount val="1"/>
                <c:pt idx="0">
                  <c:v>0</c:v>
                </c:pt>
              </c:numCache>
            </c:numRef>
          </c:yVal>
          <c:smooth val="0"/>
          <c:extLst>
            <c:ext xmlns:c16="http://schemas.microsoft.com/office/drawing/2014/chart" uri="{C3380CC4-5D6E-409C-BE32-E72D297353CC}">
              <c16:uniqueId val="{00000002-8BA2-4A4C-AA8F-24EE3AECC537}"/>
            </c:ext>
          </c:extLst>
        </c:ser>
        <c:ser>
          <c:idx val="2"/>
          <c:order val="2"/>
          <c:tx>
            <c:strRef>
              <c:f>Hazard7!$C$801</c:f>
              <c:strCache>
                <c:ptCount val="1"/>
                <c:pt idx="0">
                  <c:v>Children 18 and under</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Hazard7!$J$803</c:f>
              <c:numCache>
                <c:formatCode>General</c:formatCode>
                <c:ptCount val="1"/>
                <c:pt idx="0">
                  <c:v>0</c:v>
                </c:pt>
              </c:numCache>
            </c:numRef>
          </c:xVal>
          <c:yVal>
            <c:numRef>
              <c:f>Hazard7!$J$802</c:f>
              <c:numCache>
                <c:formatCode>General</c:formatCode>
                <c:ptCount val="1"/>
                <c:pt idx="0">
                  <c:v>0</c:v>
                </c:pt>
              </c:numCache>
            </c:numRef>
          </c:yVal>
          <c:smooth val="0"/>
          <c:extLst>
            <c:ext xmlns:c16="http://schemas.microsoft.com/office/drawing/2014/chart" uri="{C3380CC4-5D6E-409C-BE32-E72D297353CC}">
              <c16:uniqueId val="{00000003-8BA2-4A4C-AA8F-24EE3AECC537}"/>
            </c:ext>
          </c:extLst>
        </c:ser>
        <c:ser>
          <c:idx val="3"/>
          <c:order val="3"/>
          <c:tx>
            <c:strRef>
              <c:f>Hazard7!$C$805</c:f>
              <c:strCache>
                <c:ptCount val="1"/>
                <c:pt idx="0">
                  <c:v>Elderly 65 and older</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Hazard7!$J$807</c:f>
              <c:numCache>
                <c:formatCode>General</c:formatCode>
                <c:ptCount val="1"/>
                <c:pt idx="0">
                  <c:v>0</c:v>
                </c:pt>
              </c:numCache>
            </c:numRef>
          </c:xVal>
          <c:yVal>
            <c:numRef>
              <c:f>Hazard7!$J$806</c:f>
              <c:numCache>
                <c:formatCode>General</c:formatCode>
                <c:ptCount val="1"/>
                <c:pt idx="0">
                  <c:v>0</c:v>
                </c:pt>
              </c:numCache>
            </c:numRef>
          </c:yVal>
          <c:smooth val="0"/>
          <c:extLst>
            <c:ext xmlns:c16="http://schemas.microsoft.com/office/drawing/2014/chart" uri="{C3380CC4-5D6E-409C-BE32-E72D297353CC}">
              <c16:uniqueId val="{00000004-8BA2-4A4C-AA8F-24EE3AECC537}"/>
            </c:ext>
          </c:extLst>
        </c:ser>
        <c:ser>
          <c:idx val="4"/>
          <c:order val="4"/>
          <c:tx>
            <c:strRef>
              <c:f>Hazard7!$C$773</c:f>
              <c:strCache>
                <c:ptCount val="1"/>
                <c:pt idx="0">
                  <c:v>Hearing Disability</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Hazard7!$J$775</c:f>
              <c:numCache>
                <c:formatCode>General</c:formatCode>
                <c:ptCount val="1"/>
                <c:pt idx="0">
                  <c:v>0</c:v>
                </c:pt>
              </c:numCache>
            </c:numRef>
          </c:xVal>
          <c:yVal>
            <c:numRef>
              <c:f>Hazard7!$J$774</c:f>
              <c:numCache>
                <c:formatCode>General</c:formatCode>
                <c:ptCount val="1"/>
                <c:pt idx="0">
                  <c:v>0</c:v>
                </c:pt>
              </c:numCache>
            </c:numRef>
          </c:yVal>
          <c:smooth val="0"/>
          <c:extLst>
            <c:ext xmlns:c16="http://schemas.microsoft.com/office/drawing/2014/chart" uri="{C3380CC4-5D6E-409C-BE32-E72D297353CC}">
              <c16:uniqueId val="{00000005-8BA2-4A4C-AA8F-24EE3AECC537}"/>
            </c:ext>
          </c:extLst>
        </c:ser>
        <c:ser>
          <c:idx val="5"/>
          <c:order val="5"/>
          <c:tx>
            <c:strRef>
              <c:f>Hazard7!$C$777</c:f>
              <c:strCache>
                <c:ptCount val="1"/>
                <c:pt idx="0">
                  <c:v>Vision Disability</c:v>
                </c:pt>
              </c:strCache>
            </c:strRef>
          </c:tx>
          <c:spPr>
            <a:ln w="66675">
              <a:noFill/>
            </a:ln>
          </c:spPr>
          <c:dLbls>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Hazard7!$J$779</c:f>
              <c:numCache>
                <c:formatCode>General</c:formatCode>
                <c:ptCount val="1"/>
                <c:pt idx="0">
                  <c:v>0</c:v>
                </c:pt>
              </c:numCache>
            </c:numRef>
          </c:xVal>
          <c:yVal>
            <c:numRef>
              <c:f>Hazard7!$J$778</c:f>
              <c:numCache>
                <c:formatCode>General</c:formatCode>
                <c:ptCount val="1"/>
                <c:pt idx="0">
                  <c:v>0</c:v>
                </c:pt>
              </c:numCache>
            </c:numRef>
          </c:yVal>
          <c:smooth val="0"/>
          <c:extLst>
            <c:ext xmlns:c16="http://schemas.microsoft.com/office/drawing/2014/chart" uri="{C3380CC4-5D6E-409C-BE32-E72D297353CC}">
              <c16:uniqueId val="{00000006-8BA2-4A4C-AA8F-24EE3AECC537}"/>
            </c:ext>
          </c:extLst>
        </c:ser>
        <c:ser>
          <c:idx val="6"/>
          <c:order val="6"/>
          <c:tx>
            <c:strRef>
              <c:f>Hazard7!$C$781</c:f>
              <c:strCache>
                <c:ptCount val="1"/>
                <c:pt idx="0">
                  <c:v>Ambulatory Disability</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Hazard7!$J$783</c:f>
              <c:numCache>
                <c:formatCode>General</c:formatCode>
                <c:ptCount val="1"/>
                <c:pt idx="0">
                  <c:v>0</c:v>
                </c:pt>
              </c:numCache>
            </c:numRef>
          </c:xVal>
          <c:yVal>
            <c:numRef>
              <c:f>Hazard7!$J$782</c:f>
              <c:numCache>
                <c:formatCode>General</c:formatCode>
                <c:ptCount val="1"/>
                <c:pt idx="0">
                  <c:v>0</c:v>
                </c:pt>
              </c:numCache>
            </c:numRef>
          </c:yVal>
          <c:smooth val="0"/>
          <c:extLst>
            <c:ext xmlns:c16="http://schemas.microsoft.com/office/drawing/2014/chart" uri="{C3380CC4-5D6E-409C-BE32-E72D297353CC}">
              <c16:uniqueId val="{00000007-8BA2-4A4C-AA8F-24EE3AECC537}"/>
            </c:ext>
          </c:extLst>
        </c:ser>
        <c:ser>
          <c:idx val="7"/>
          <c:order val="7"/>
          <c:tx>
            <c:strRef>
              <c:f>Hazard7!$C$785</c:f>
              <c:strCache>
                <c:ptCount val="1"/>
                <c:pt idx="0">
                  <c:v>Cognitive Disability</c:v>
                </c:pt>
              </c:strCache>
            </c:strRef>
          </c:tx>
          <c:spPr>
            <a:ln w="66675">
              <a:noFill/>
            </a:ln>
          </c:spPr>
          <c:dLbls>
            <c:dLbl>
              <c:idx val="0"/>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8BA2-4A4C-AA8F-24EE3AECC537}"/>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Hazard7!$J$787</c:f>
              <c:numCache>
                <c:formatCode>General</c:formatCode>
                <c:ptCount val="1"/>
                <c:pt idx="0">
                  <c:v>0</c:v>
                </c:pt>
              </c:numCache>
            </c:numRef>
          </c:xVal>
          <c:yVal>
            <c:numRef>
              <c:f>Hazard7!$J$786</c:f>
              <c:numCache>
                <c:formatCode>General</c:formatCode>
                <c:ptCount val="1"/>
                <c:pt idx="0">
                  <c:v>0</c:v>
                </c:pt>
              </c:numCache>
            </c:numRef>
          </c:yVal>
          <c:smooth val="0"/>
          <c:extLst>
            <c:ext xmlns:c16="http://schemas.microsoft.com/office/drawing/2014/chart" uri="{C3380CC4-5D6E-409C-BE32-E72D297353CC}">
              <c16:uniqueId val="{00000009-8BA2-4A4C-AA8F-24EE3AECC537}"/>
            </c:ext>
          </c:extLst>
        </c:ser>
        <c:ser>
          <c:idx val="8"/>
          <c:order val="8"/>
          <c:tx>
            <c:strRef>
              <c:f>Hazard7!$C$789</c:f>
              <c:strCache>
                <c:ptCount val="1"/>
                <c:pt idx="0">
                  <c:v>Limited English Proficiency</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Hazard7!$J$791</c:f>
              <c:numCache>
                <c:formatCode>General</c:formatCode>
                <c:ptCount val="1"/>
                <c:pt idx="0">
                  <c:v>0</c:v>
                </c:pt>
              </c:numCache>
            </c:numRef>
          </c:xVal>
          <c:yVal>
            <c:numRef>
              <c:f>Hazard7!$J$790</c:f>
              <c:numCache>
                <c:formatCode>General</c:formatCode>
                <c:ptCount val="1"/>
                <c:pt idx="0">
                  <c:v>0</c:v>
                </c:pt>
              </c:numCache>
            </c:numRef>
          </c:yVal>
          <c:smooth val="0"/>
          <c:extLst>
            <c:ext xmlns:c16="http://schemas.microsoft.com/office/drawing/2014/chart" uri="{C3380CC4-5D6E-409C-BE32-E72D297353CC}">
              <c16:uniqueId val="{0000000A-8BA2-4A4C-AA8F-24EE3AECC537}"/>
            </c:ext>
          </c:extLst>
        </c:ser>
        <c:dLbls>
          <c:showLegendKey val="0"/>
          <c:showVal val="1"/>
          <c:showCatName val="0"/>
          <c:showSerName val="0"/>
          <c:showPercent val="0"/>
          <c:showBubbleSize val="0"/>
        </c:dLbls>
        <c:axId val="205679616"/>
        <c:axId val="205698176"/>
      </c:scatterChart>
      <c:valAx>
        <c:axId val="205679616"/>
        <c:scaling>
          <c:orientation val="minMax"/>
          <c:max val="4.5"/>
          <c:min val="0"/>
        </c:scaling>
        <c:delete val="0"/>
        <c:axPos val="b"/>
        <c:majorGridlines/>
        <c:title>
          <c:tx>
            <c:rich>
              <a:bodyPr/>
              <a:lstStyle/>
              <a:p>
                <a:pPr>
                  <a:defRPr b="0">
                    <a:latin typeface="+mj-lt"/>
                  </a:defRPr>
                </a:pPr>
                <a:r>
                  <a:rPr lang="en-US" sz="1600" b="0">
                    <a:latin typeface="+mj-lt"/>
                  </a:rPr>
                  <a:t>Access Planning Score</a:t>
                </a:r>
              </a:p>
            </c:rich>
          </c:tx>
          <c:overlay val="0"/>
        </c:title>
        <c:numFmt formatCode="General" sourceLinked="1"/>
        <c:majorTickMark val="out"/>
        <c:minorTickMark val="none"/>
        <c:tickLblPos val="nextTo"/>
        <c:spPr>
          <a:ln>
            <a:solidFill>
              <a:schemeClr val="tx1"/>
            </a:solidFill>
          </a:ln>
        </c:spPr>
        <c:crossAx val="205698176"/>
        <c:crosses val="autoZero"/>
        <c:crossBetween val="midCat"/>
        <c:majorUnit val="1"/>
        <c:minorUnit val="0.1"/>
      </c:valAx>
      <c:valAx>
        <c:axId val="205698176"/>
        <c:scaling>
          <c:orientation val="minMax"/>
          <c:max val="4.5"/>
          <c:min val="0"/>
        </c:scaling>
        <c:delete val="0"/>
        <c:axPos val="l"/>
        <c:majorGridlines/>
        <c:title>
          <c:tx>
            <c:rich>
              <a:bodyPr rot="-5400000" vert="horz"/>
              <a:lstStyle/>
              <a:p>
                <a:pPr>
                  <a:defRPr sz="1600" b="0">
                    <a:latin typeface="+mj-lt"/>
                  </a:defRPr>
                </a:pPr>
                <a:r>
                  <a:rPr lang="en-US" sz="1600" b="0">
                    <a:latin typeface="+mj-lt"/>
                  </a:rPr>
                  <a:t>Population Size Score</a:t>
                </a:r>
              </a:p>
            </c:rich>
          </c:tx>
          <c:overlay val="0"/>
        </c:title>
        <c:numFmt formatCode="General" sourceLinked="1"/>
        <c:majorTickMark val="out"/>
        <c:minorTickMark val="none"/>
        <c:tickLblPos val="nextTo"/>
        <c:spPr>
          <a:ln>
            <a:solidFill>
              <a:schemeClr val="tx1"/>
            </a:solidFill>
          </a:ln>
        </c:spPr>
        <c:crossAx val="205679616"/>
        <c:crosses val="autoZero"/>
        <c:crossBetween val="midCat"/>
        <c:majorUnit val="1"/>
        <c:minorUnit val="0.1"/>
      </c:valAx>
      <c:spPr>
        <a:gradFill flip="none" rotWithShape="1">
          <a:gsLst>
            <a:gs pos="0">
              <a:srgbClr val="63BE7B"/>
            </a:gs>
            <a:gs pos="50000">
              <a:srgbClr val="FFEB84"/>
            </a:gs>
            <a:gs pos="100000">
              <a:srgbClr val="F8696B"/>
            </a:gs>
          </a:gsLst>
          <a:lin ang="189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defRPr b="0" u="sng">
                <a:latin typeface="+mj-lt"/>
              </a:defRPr>
            </a:pPr>
            <a:r>
              <a:rPr lang="en-US" b="0" u="sng">
                <a:latin typeface="+mj-lt"/>
              </a:rPr>
              <a:t>Public Health Preparedness</a:t>
            </a:r>
          </a:p>
        </c:rich>
      </c:tx>
      <c:layout>
        <c:manualLayout>
          <c:xMode val="edge"/>
          <c:yMode val="edge"/>
          <c:x val="0.30532356317913883"/>
          <c:y val="1.3244983721297133E-2"/>
        </c:manualLayout>
      </c:layout>
      <c:overlay val="0"/>
    </c:title>
    <c:autoTitleDeleted val="0"/>
    <c:plotArea>
      <c:layout/>
      <c:scatterChart>
        <c:scatterStyle val="lineMarker"/>
        <c:varyColors val="0"/>
        <c:ser>
          <c:idx val="0"/>
          <c:order val="0"/>
          <c:tx>
            <c:strRef>
              <c:f>Hazard7!$C$853</c:f>
              <c:strCache>
                <c:ptCount val="1"/>
                <c:pt idx="0">
                  <c:v>Info Sharing</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Hazard7!$J$854</c:f>
              <c:strCache>
                <c:ptCount val="1"/>
                <c:pt idx="0">
                  <c:v>Not Calculated</c:v>
                </c:pt>
              </c:strCache>
            </c:strRef>
          </c:xVal>
          <c:yVal>
            <c:numRef>
              <c:f>Hazard7!$J$855</c:f>
              <c:numCache>
                <c:formatCode>General</c:formatCode>
                <c:ptCount val="1"/>
                <c:pt idx="0">
                  <c:v>0</c:v>
                </c:pt>
              </c:numCache>
            </c:numRef>
          </c:yVal>
          <c:smooth val="0"/>
          <c:extLst>
            <c:ext xmlns:c16="http://schemas.microsoft.com/office/drawing/2014/chart" uri="{C3380CC4-5D6E-409C-BE32-E72D297353CC}">
              <c16:uniqueId val="{00000000-265D-4DC9-A3E4-F2BAC76851F3}"/>
            </c:ext>
          </c:extLst>
        </c:ser>
        <c:ser>
          <c:idx val="1"/>
          <c:order val="1"/>
          <c:tx>
            <c:strRef>
              <c:f>Hazard7!$C$857</c:f>
              <c:strCache>
                <c:ptCount val="1"/>
                <c:pt idx="0">
                  <c:v>Mass Care</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Hazard7!$J$858</c:f>
              <c:strCache>
                <c:ptCount val="1"/>
                <c:pt idx="0">
                  <c:v>Not Calculated</c:v>
                </c:pt>
              </c:strCache>
            </c:strRef>
          </c:xVal>
          <c:yVal>
            <c:numRef>
              <c:f>Hazard7!$J$859</c:f>
              <c:numCache>
                <c:formatCode>General</c:formatCode>
                <c:ptCount val="1"/>
                <c:pt idx="0">
                  <c:v>0</c:v>
                </c:pt>
              </c:numCache>
            </c:numRef>
          </c:yVal>
          <c:smooth val="0"/>
          <c:extLst>
            <c:ext xmlns:c16="http://schemas.microsoft.com/office/drawing/2014/chart" uri="{C3380CC4-5D6E-409C-BE32-E72D297353CC}">
              <c16:uniqueId val="{00000001-265D-4DC9-A3E4-F2BAC76851F3}"/>
            </c:ext>
          </c:extLst>
        </c:ser>
        <c:ser>
          <c:idx val="2"/>
          <c:order val="2"/>
          <c:tx>
            <c:strRef>
              <c:f>Hazard7!$C$861</c:f>
              <c:strCache>
                <c:ptCount val="1"/>
                <c:pt idx="0">
                  <c:v>MCM Dispens</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Hazard7!$J$862</c:f>
              <c:strCache>
                <c:ptCount val="1"/>
                <c:pt idx="0">
                  <c:v>Not Calculated</c:v>
                </c:pt>
              </c:strCache>
            </c:strRef>
          </c:xVal>
          <c:yVal>
            <c:numRef>
              <c:f>Hazard7!$J$863</c:f>
              <c:numCache>
                <c:formatCode>General</c:formatCode>
                <c:ptCount val="1"/>
                <c:pt idx="0">
                  <c:v>0</c:v>
                </c:pt>
              </c:numCache>
            </c:numRef>
          </c:yVal>
          <c:smooth val="0"/>
          <c:extLst>
            <c:ext xmlns:c16="http://schemas.microsoft.com/office/drawing/2014/chart" uri="{C3380CC4-5D6E-409C-BE32-E72D297353CC}">
              <c16:uniqueId val="{00000002-265D-4DC9-A3E4-F2BAC76851F3}"/>
            </c:ext>
          </c:extLst>
        </c:ser>
        <c:ser>
          <c:idx val="3"/>
          <c:order val="3"/>
          <c:tx>
            <c:strRef>
              <c:f>Hazard7!$C$865</c:f>
              <c:strCache>
                <c:ptCount val="1"/>
                <c:pt idx="0">
                  <c:v>Med Materiel Mgmt</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Hazard7!$J$866</c:f>
              <c:strCache>
                <c:ptCount val="1"/>
                <c:pt idx="0">
                  <c:v>Not Calculated</c:v>
                </c:pt>
              </c:strCache>
            </c:strRef>
          </c:xVal>
          <c:yVal>
            <c:numRef>
              <c:f>Hazard7!$J$867</c:f>
              <c:numCache>
                <c:formatCode>General</c:formatCode>
                <c:ptCount val="1"/>
                <c:pt idx="0">
                  <c:v>0</c:v>
                </c:pt>
              </c:numCache>
            </c:numRef>
          </c:yVal>
          <c:smooth val="0"/>
          <c:extLst>
            <c:ext xmlns:c16="http://schemas.microsoft.com/office/drawing/2014/chart" uri="{C3380CC4-5D6E-409C-BE32-E72D297353CC}">
              <c16:uniqueId val="{00000003-265D-4DC9-A3E4-F2BAC76851F3}"/>
            </c:ext>
          </c:extLst>
        </c:ser>
        <c:ser>
          <c:idx val="4"/>
          <c:order val="4"/>
          <c:tx>
            <c:strRef>
              <c:f>Hazard7!$C$869</c:f>
              <c:strCache>
                <c:ptCount val="1"/>
                <c:pt idx="0">
                  <c:v>Medical Surge</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Hazard7!$J$870</c:f>
              <c:strCache>
                <c:ptCount val="1"/>
                <c:pt idx="0">
                  <c:v>Not Calculated</c:v>
                </c:pt>
              </c:strCache>
            </c:strRef>
          </c:xVal>
          <c:yVal>
            <c:numRef>
              <c:f>Hazard7!$J$871</c:f>
              <c:numCache>
                <c:formatCode>General</c:formatCode>
                <c:ptCount val="1"/>
                <c:pt idx="0">
                  <c:v>0</c:v>
                </c:pt>
              </c:numCache>
            </c:numRef>
          </c:yVal>
          <c:smooth val="0"/>
          <c:extLst>
            <c:ext xmlns:c16="http://schemas.microsoft.com/office/drawing/2014/chart" uri="{C3380CC4-5D6E-409C-BE32-E72D297353CC}">
              <c16:uniqueId val="{00000004-265D-4DC9-A3E4-F2BAC76851F3}"/>
            </c:ext>
          </c:extLst>
        </c:ser>
        <c:ser>
          <c:idx val="5"/>
          <c:order val="5"/>
          <c:tx>
            <c:strRef>
              <c:f>Hazard7!$C$873</c:f>
              <c:strCache>
                <c:ptCount val="1"/>
                <c:pt idx="0">
                  <c:v>Non-Pharm Interv</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Hazard7!$J$874</c:f>
              <c:strCache>
                <c:ptCount val="1"/>
                <c:pt idx="0">
                  <c:v>Not Calculated</c:v>
                </c:pt>
              </c:strCache>
            </c:strRef>
          </c:xVal>
          <c:yVal>
            <c:numRef>
              <c:f>Hazard7!$J$875</c:f>
              <c:numCache>
                <c:formatCode>General</c:formatCode>
                <c:ptCount val="1"/>
                <c:pt idx="0">
                  <c:v>0</c:v>
                </c:pt>
              </c:numCache>
            </c:numRef>
          </c:yVal>
          <c:smooth val="0"/>
          <c:extLst>
            <c:ext xmlns:c16="http://schemas.microsoft.com/office/drawing/2014/chart" uri="{C3380CC4-5D6E-409C-BE32-E72D297353CC}">
              <c16:uniqueId val="{00000005-265D-4DC9-A3E4-F2BAC76851F3}"/>
            </c:ext>
          </c:extLst>
        </c:ser>
        <c:ser>
          <c:idx val="6"/>
          <c:order val="6"/>
          <c:tx>
            <c:strRef>
              <c:f>Hazard7!$C$877</c:f>
              <c:strCache>
                <c:ptCount val="1"/>
                <c:pt idx="0">
                  <c:v>PH Lab Testing</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Hazard7!$J$878</c:f>
              <c:strCache>
                <c:ptCount val="1"/>
                <c:pt idx="0">
                  <c:v>Not Calculated</c:v>
                </c:pt>
              </c:strCache>
            </c:strRef>
          </c:xVal>
          <c:yVal>
            <c:numRef>
              <c:f>Hazard7!$J$879</c:f>
              <c:numCache>
                <c:formatCode>General</c:formatCode>
                <c:ptCount val="1"/>
                <c:pt idx="0">
                  <c:v>0</c:v>
                </c:pt>
              </c:numCache>
            </c:numRef>
          </c:yVal>
          <c:smooth val="0"/>
          <c:extLst>
            <c:ext xmlns:c16="http://schemas.microsoft.com/office/drawing/2014/chart" uri="{C3380CC4-5D6E-409C-BE32-E72D297353CC}">
              <c16:uniqueId val="{00000006-265D-4DC9-A3E4-F2BAC76851F3}"/>
            </c:ext>
          </c:extLst>
        </c:ser>
        <c:ser>
          <c:idx val="7"/>
          <c:order val="7"/>
          <c:tx>
            <c:strRef>
              <c:f>Hazard7!$C$881</c:f>
              <c:strCache>
                <c:ptCount val="1"/>
                <c:pt idx="0">
                  <c:v>PH Surv &amp; Epi</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Hazard7!$J$882</c:f>
              <c:strCache>
                <c:ptCount val="1"/>
                <c:pt idx="0">
                  <c:v>Not Calculated</c:v>
                </c:pt>
              </c:strCache>
            </c:strRef>
          </c:xVal>
          <c:yVal>
            <c:numRef>
              <c:f>Hazard7!$J$883</c:f>
              <c:numCache>
                <c:formatCode>General</c:formatCode>
                <c:ptCount val="1"/>
                <c:pt idx="0">
                  <c:v>0</c:v>
                </c:pt>
              </c:numCache>
            </c:numRef>
          </c:yVal>
          <c:smooth val="0"/>
          <c:extLst>
            <c:ext xmlns:c16="http://schemas.microsoft.com/office/drawing/2014/chart" uri="{C3380CC4-5D6E-409C-BE32-E72D297353CC}">
              <c16:uniqueId val="{00000007-265D-4DC9-A3E4-F2BAC76851F3}"/>
            </c:ext>
          </c:extLst>
        </c:ser>
        <c:ser>
          <c:idx val="8"/>
          <c:order val="8"/>
          <c:tx>
            <c:strRef>
              <c:f>Hazard7!$C$885</c:f>
              <c:strCache>
                <c:ptCount val="1"/>
                <c:pt idx="0">
                  <c:v>Responder Safety</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Hazard7!$J$886</c:f>
              <c:strCache>
                <c:ptCount val="1"/>
                <c:pt idx="0">
                  <c:v>Not Calculated</c:v>
                </c:pt>
              </c:strCache>
            </c:strRef>
          </c:xVal>
          <c:yVal>
            <c:numRef>
              <c:f>Hazard7!$J$887</c:f>
              <c:numCache>
                <c:formatCode>General</c:formatCode>
                <c:ptCount val="1"/>
                <c:pt idx="0">
                  <c:v>0</c:v>
                </c:pt>
              </c:numCache>
            </c:numRef>
          </c:yVal>
          <c:smooth val="0"/>
          <c:extLst>
            <c:ext xmlns:c16="http://schemas.microsoft.com/office/drawing/2014/chart" uri="{C3380CC4-5D6E-409C-BE32-E72D297353CC}">
              <c16:uniqueId val="{00000008-265D-4DC9-A3E4-F2BAC76851F3}"/>
            </c:ext>
          </c:extLst>
        </c:ser>
        <c:ser>
          <c:idx val="9"/>
          <c:order val="9"/>
          <c:tx>
            <c:strRef>
              <c:f>Hazard7!$C$889</c:f>
              <c:strCache>
                <c:ptCount val="1"/>
                <c:pt idx="0">
                  <c:v>Volunteer Mgmt</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Hazard7!$J$890</c:f>
              <c:strCache>
                <c:ptCount val="1"/>
                <c:pt idx="0">
                  <c:v>Not Calculated</c:v>
                </c:pt>
              </c:strCache>
            </c:strRef>
          </c:xVal>
          <c:yVal>
            <c:numRef>
              <c:f>Hazard7!$J$891</c:f>
              <c:numCache>
                <c:formatCode>General</c:formatCode>
                <c:ptCount val="1"/>
                <c:pt idx="0">
                  <c:v>0</c:v>
                </c:pt>
              </c:numCache>
            </c:numRef>
          </c:yVal>
          <c:smooth val="0"/>
          <c:extLst>
            <c:ext xmlns:c16="http://schemas.microsoft.com/office/drawing/2014/chart" uri="{C3380CC4-5D6E-409C-BE32-E72D297353CC}">
              <c16:uniqueId val="{00000009-265D-4DC9-A3E4-F2BAC76851F3}"/>
            </c:ext>
          </c:extLst>
        </c:ser>
        <c:ser>
          <c:idx val="10"/>
          <c:order val="10"/>
          <c:tx>
            <c:strRef>
              <c:f>Hazard7!$C$833</c:f>
              <c:strCache>
                <c:ptCount val="1"/>
                <c:pt idx="0">
                  <c:v>Community Prep</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Hazard7!$J$834</c:f>
              <c:strCache>
                <c:ptCount val="1"/>
                <c:pt idx="0">
                  <c:v>Not Calculated</c:v>
                </c:pt>
              </c:strCache>
            </c:strRef>
          </c:xVal>
          <c:yVal>
            <c:numRef>
              <c:f>Hazard7!$J$835</c:f>
              <c:numCache>
                <c:formatCode>General</c:formatCode>
                <c:ptCount val="1"/>
                <c:pt idx="0">
                  <c:v>0</c:v>
                </c:pt>
              </c:numCache>
            </c:numRef>
          </c:yVal>
          <c:smooth val="0"/>
          <c:extLst>
            <c:ext xmlns:c16="http://schemas.microsoft.com/office/drawing/2014/chart" uri="{C3380CC4-5D6E-409C-BE32-E72D297353CC}">
              <c16:uniqueId val="{0000000A-265D-4DC9-A3E4-F2BAC76851F3}"/>
            </c:ext>
          </c:extLst>
        </c:ser>
        <c:ser>
          <c:idx val="11"/>
          <c:order val="11"/>
          <c:tx>
            <c:strRef>
              <c:f>Hazard7!$C$837</c:f>
              <c:strCache>
                <c:ptCount val="1"/>
                <c:pt idx="0">
                  <c:v>Community Recov</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Hazard7!$J$838</c:f>
              <c:strCache>
                <c:ptCount val="1"/>
                <c:pt idx="0">
                  <c:v>Not Calculated</c:v>
                </c:pt>
              </c:strCache>
            </c:strRef>
          </c:xVal>
          <c:yVal>
            <c:numRef>
              <c:f>Hazard7!$J$839</c:f>
              <c:numCache>
                <c:formatCode>General</c:formatCode>
                <c:ptCount val="1"/>
                <c:pt idx="0">
                  <c:v>0</c:v>
                </c:pt>
              </c:numCache>
            </c:numRef>
          </c:yVal>
          <c:smooth val="0"/>
          <c:extLst>
            <c:ext xmlns:c16="http://schemas.microsoft.com/office/drawing/2014/chart" uri="{C3380CC4-5D6E-409C-BE32-E72D297353CC}">
              <c16:uniqueId val="{0000000B-265D-4DC9-A3E4-F2BAC76851F3}"/>
            </c:ext>
          </c:extLst>
        </c:ser>
        <c:ser>
          <c:idx val="12"/>
          <c:order val="12"/>
          <c:tx>
            <c:strRef>
              <c:f>Hazard7!$C$841</c:f>
              <c:strCache>
                <c:ptCount val="1"/>
                <c:pt idx="0">
                  <c:v>Emerg Ops Coord</c:v>
                </c:pt>
              </c:strCache>
            </c:strRef>
          </c:tx>
          <c:spPr>
            <a:ln w="66675">
              <a:noFill/>
            </a:ln>
          </c:spPr>
          <c:dLbls>
            <c:spPr>
              <a:noFill/>
              <a:ln>
                <a:noFill/>
              </a:ln>
              <a:effectLst/>
            </c:sp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Hazard7!$J$842</c:f>
              <c:strCache>
                <c:ptCount val="1"/>
                <c:pt idx="0">
                  <c:v>Not Calculated</c:v>
                </c:pt>
              </c:strCache>
            </c:strRef>
          </c:xVal>
          <c:yVal>
            <c:numRef>
              <c:f>Hazard7!$J$843</c:f>
              <c:numCache>
                <c:formatCode>General</c:formatCode>
                <c:ptCount val="1"/>
                <c:pt idx="0">
                  <c:v>0</c:v>
                </c:pt>
              </c:numCache>
            </c:numRef>
          </c:yVal>
          <c:smooth val="0"/>
          <c:extLst>
            <c:ext xmlns:c16="http://schemas.microsoft.com/office/drawing/2014/chart" uri="{C3380CC4-5D6E-409C-BE32-E72D297353CC}">
              <c16:uniqueId val="{0000000C-265D-4DC9-A3E4-F2BAC76851F3}"/>
            </c:ext>
          </c:extLst>
        </c:ser>
        <c:ser>
          <c:idx val="13"/>
          <c:order val="13"/>
          <c:tx>
            <c:strRef>
              <c:f>Hazard7!$C$845</c:f>
              <c:strCache>
                <c:ptCount val="1"/>
                <c:pt idx="0">
                  <c:v>Emerg Public Info</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Hazard7!$J$846</c:f>
              <c:strCache>
                <c:ptCount val="1"/>
                <c:pt idx="0">
                  <c:v>Not Calculated</c:v>
                </c:pt>
              </c:strCache>
            </c:strRef>
          </c:xVal>
          <c:yVal>
            <c:numRef>
              <c:f>Hazard7!$J$847</c:f>
              <c:numCache>
                <c:formatCode>General</c:formatCode>
                <c:ptCount val="1"/>
                <c:pt idx="0">
                  <c:v>0</c:v>
                </c:pt>
              </c:numCache>
            </c:numRef>
          </c:yVal>
          <c:smooth val="0"/>
          <c:extLst>
            <c:ext xmlns:c16="http://schemas.microsoft.com/office/drawing/2014/chart" uri="{C3380CC4-5D6E-409C-BE32-E72D297353CC}">
              <c16:uniqueId val="{0000000D-265D-4DC9-A3E4-F2BAC76851F3}"/>
            </c:ext>
          </c:extLst>
        </c:ser>
        <c:ser>
          <c:idx val="14"/>
          <c:order val="14"/>
          <c:tx>
            <c:strRef>
              <c:f>Drought!$C$964</c:f>
              <c:strCache>
                <c:ptCount val="1"/>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Drought!$J$965</c:f>
            </c:numRef>
          </c:xVal>
          <c:yVal>
            <c:numRef>
              <c:f>Drought!$J$966</c:f>
            </c:numRef>
          </c:yVal>
          <c:smooth val="0"/>
          <c:extLst>
            <c:ext xmlns:c16="http://schemas.microsoft.com/office/drawing/2014/chart" uri="{C3380CC4-5D6E-409C-BE32-E72D297353CC}">
              <c16:uniqueId val="{0000000E-265D-4DC9-A3E4-F2BAC76851F3}"/>
            </c:ext>
          </c:extLst>
        </c:ser>
        <c:ser>
          <c:idx val="15"/>
          <c:order val="15"/>
          <c:tx>
            <c:strRef>
              <c:f>Hazard7!$C$849</c:f>
              <c:strCache>
                <c:ptCount val="1"/>
                <c:pt idx="0">
                  <c:v>Fatality Mgmt</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Hazard7!$J$850</c:f>
              <c:strCache>
                <c:ptCount val="1"/>
                <c:pt idx="0">
                  <c:v>Not Calculated</c:v>
                </c:pt>
              </c:strCache>
            </c:strRef>
          </c:xVal>
          <c:yVal>
            <c:numRef>
              <c:f>Hazard7!$J$851</c:f>
              <c:numCache>
                <c:formatCode>General</c:formatCode>
                <c:ptCount val="1"/>
                <c:pt idx="0">
                  <c:v>0</c:v>
                </c:pt>
              </c:numCache>
            </c:numRef>
          </c:yVal>
          <c:smooth val="0"/>
          <c:extLst>
            <c:ext xmlns:c16="http://schemas.microsoft.com/office/drawing/2014/chart" uri="{C3380CC4-5D6E-409C-BE32-E72D297353CC}">
              <c16:uniqueId val="{0000000F-265D-4DC9-A3E4-F2BAC76851F3}"/>
            </c:ext>
          </c:extLst>
        </c:ser>
        <c:dLbls>
          <c:showLegendKey val="0"/>
          <c:showVal val="1"/>
          <c:showCatName val="0"/>
          <c:showSerName val="0"/>
          <c:showPercent val="0"/>
          <c:showBubbleSize val="0"/>
        </c:dLbls>
        <c:axId val="205958144"/>
        <c:axId val="206058624"/>
      </c:scatterChart>
      <c:valAx>
        <c:axId val="205958144"/>
        <c:scaling>
          <c:orientation val="minMax"/>
          <c:max val="4.5"/>
          <c:min val="0"/>
        </c:scaling>
        <c:delete val="0"/>
        <c:axPos val="b"/>
        <c:majorGridlines/>
        <c:title>
          <c:tx>
            <c:rich>
              <a:bodyPr/>
              <a:lstStyle/>
              <a:p>
                <a:pPr>
                  <a:defRPr b="0">
                    <a:latin typeface="+mj-lt"/>
                  </a:defRPr>
                </a:pPr>
                <a:r>
                  <a:rPr lang="en-US" sz="1600" b="0">
                    <a:latin typeface="+mj-lt"/>
                  </a:rPr>
                  <a:t>Capability Relevance to Hazard</a:t>
                </a:r>
              </a:p>
            </c:rich>
          </c:tx>
          <c:overlay val="0"/>
        </c:title>
        <c:numFmt formatCode="General" sourceLinked="1"/>
        <c:majorTickMark val="out"/>
        <c:minorTickMark val="none"/>
        <c:tickLblPos val="nextTo"/>
        <c:spPr>
          <a:ln>
            <a:solidFill>
              <a:schemeClr val="tx1"/>
            </a:solidFill>
          </a:ln>
        </c:spPr>
        <c:crossAx val="206058624"/>
        <c:crosses val="autoZero"/>
        <c:crossBetween val="midCat"/>
        <c:majorUnit val="1"/>
        <c:minorUnit val="0.1"/>
      </c:valAx>
      <c:valAx>
        <c:axId val="206058624"/>
        <c:scaling>
          <c:orientation val="minMax"/>
          <c:max val="4.5"/>
          <c:min val="0"/>
        </c:scaling>
        <c:delete val="0"/>
        <c:axPos val="l"/>
        <c:majorGridlines/>
        <c:title>
          <c:tx>
            <c:rich>
              <a:bodyPr rot="-5400000" vert="horz"/>
              <a:lstStyle/>
              <a:p>
                <a:pPr>
                  <a:defRPr sz="1600" b="0">
                    <a:latin typeface="+mj-lt"/>
                  </a:defRPr>
                </a:pPr>
                <a:r>
                  <a:rPr lang="en-US" sz="1600" b="0">
                    <a:latin typeface="+mj-lt"/>
                  </a:rPr>
                  <a:t>Capability Status</a:t>
                </a:r>
              </a:p>
            </c:rich>
          </c:tx>
          <c:overlay val="0"/>
        </c:title>
        <c:numFmt formatCode="General" sourceLinked="1"/>
        <c:majorTickMark val="out"/>
        <c:minorTickMark val="none"/>
        <c:tickLblPos val="nextTo"/>
        <c:spPr>
          <a:ln>
            <a:solidFill>
              <a:schemeClr val="tx1"/>
            </a:solidFill>
          </a:ln>
        </c:spPr>
        <c:crossAx val="205958144"/>
        <c:crosses val="autoZero"/>
        <c:crossBetween val="midCat"/>
        <c:majorUnit val="1"/>
        <c:minorUnit val="0.1"/>
      </c:valAx>
      <c:spPr>
        <a:gradFill flip="none" rotWithShape="1">
          <a:gsLst>
            <a:gs pos="0">
              <a:srgbClr val="63BE7B"/>
            </a:gs>
            <a:gs pos="50000">
              <a:srgbClr val="FFEB84"/>
            </a:gs>
            <a:gs pos="100000">
              <a:srgbClr val="F8696B"/>
            </a:gs>
          </a:gsLst>
          <a:lin ang="27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defRPr b="0" u="sng">
                <a:latin typeface="+mj-lt"/>
              </a:defRPr>
            </a:pPr>
            <a:r>
              <a:rPr lang="en-US" b="0" u="sng">
                <a:latin typeface="+mj-lt"/>
              </a:rPr>
              <a:t>Healthcare Preparedness</a:t>
            </a:r>
          </a:p>
        </c:rich>
      </c:tx>
      <c:layout>
        <c:manualLayout>
          <c:xMode val="edge"/>
          <c:yMode val="edge"/>
          <c:x val="0.38019690321630645"/>
          <c:y val="1.3244983721297133E-2"/>
        </c:manualLayout>
      </c:layout>
      <c:overlay val="0"/>
    </c:title>
    <c:autoTitleDeleted val="0"/>
    <c:plotArea>
      <c:layout/>
      <c:scatterChart>
        <c:scatterStyle val="lineMarker"/>
        <c:varyColors val="0"/>
        <c:ser>
          <c:idx val="0"/>
          <c:order val="0"/>
          <c:tx>
            <c:strRef>
              <c:f>Hazard7!$C$903</c:f>
              <c:strCache>
                <c:ptCount val="1"/>
                <c:pt idx="0">
                  <c:v>HC System Prep</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Hazard7!$J$904</c:f>
              <c:strCache>
                <c:ptCount val="1"/>
                <c:pt idx="0">
                  <c:v>Not Calculated</c:v>
                </c:pt>
              </c:strCache>
            </c:strRef>
          </c:xVal>
          <c:yVal>
            <c:numRef>
              <c:f>Hazard7!$J$905</c:f>
              <c:numCache>
                <c:formatCode>General</c:formatCode>
                <c:ptCount val="1"/>
                <c:pt idx="0">
                  <c:v>0</c:v>
                </c:pt>
              </c:numCache>
            </c:numRef>
          </c:yVal>
          <c:smooth val="0"/>
          <c:extLst>
            <c:ext xmlns:c16="http://schemas.microsoft.com/office/drawing/2014/chart" uri="{C3380CC4-5D6E-409C-BE32-E72D297353CC}">
              <c16:uniqueId val="{00000000-DF50-4B0D-BEE8-F53E5853E9B3}"/>
            </c:ext>
          </c:extLst>
        </c:ser>
        <c:ser>
          <c:idx val="1"/>
          <c:order val="1"/>
          <c:tx>
            <c:strRef>
              <c:f>Hazard7!$C$907</c:f>
              <c:strCache>
                <c:ptCount val="1"/>
                <c:pt idx="0">
                  <c:v>HC System Recov</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Hazard7!$J$908</c:f>
              <c:strCache>
                <c:ptCount val="1"/>
                <c:pt idx="0">
                  <c:v>Not Calculated</c:v>
                </c:pt>
              </c:strCache>
            </c:strRef>
          </c:xVal>
          <c:yVal>
            <c:numRef>
              <c:f>Hazard7!$J$909</c:f>
              <c:numCache>
                <c:formatCode>General</c:formatCode>
                <c:ptCount val="1"/>
                <c:pt idx="0">
                  <c:v>0</c:v>
                </c:pt>
              </c:numCache>
            </c:numRef>
          </c:yVal>
          <c:smooth val="0"/>
          <c:extLst>
            <c:ext xmlns:c16="http://schemas.microsoft.com/office/drawing/2014/chart" uri="{C3380CC4-5D6E-409C-BE32-E72D297353CC}">
              <c16:uniqueId val="{00000001-DF50-4B0D-BEE8-F53E5853E9B3}"/>
            </c:ext>
          </c:extLst>
        </c:ser>
        <c:ser>
          <c:idx val="2"/>
          <c:order val="2"/>
          <c:tx>
            <c:strRef>
              <c:f>Hazard7!$C$911</c:f>
              <c:strCache>
                <c:ptCount val="1"/>
                <c:pt idx="0">
                  <c:v>Emerg Ops Coord</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Hazard7!$J$912</c:f>
              <c:strCache>
                <c:ptCount val="1"/>
                <c:pt idx="0">
                  <c:v>Not Calculated</c:v>
                </c:pt>
              </c:strCache>
            </c:strRef>
          </c:xVal>
          <c:yVal>
            <c:numRef>
              <c:f>Hazard7!$J$913</c:f>
              <c:numCache>
                <c:formatCode>General</c:formatCode>
                <c:ptCount val="1"/>
                <c:pt idx="0">
                  <c:v>0</c:v>
                </c:pt>
              </c:numCache>
            </c:numRef>
          </c:yVal>
          <c:smooth val="0"/>
          <c:extLst>
            <c:ext xmlns:c16="http://schemas.microsoft.com/office/drawing/2014/chart" uri="{C3380CC4-5D6E-409C-BE32-E72D297353CC}">
              <c16:uniqueId val="{00000002-DF50-4B0D-BEE8-F53E5853E9B3}"/>
            </c:ext>
          </c:extLst>
        </c:ser>
        <c:ser>
          <c:idx val="3"/>
          <c:order val="3"/>
          <c:tx>
            <c:strRef>
              <c:f>Hazard7!$C$915</c:f>
              <c:strCache>
                <c:ptCount val="1"/>
                <c:pt idx="0">
                  <c:v>Fatality Mgmt</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Hazard7!$J$916</c:f>
              <c:strCache>
                <c:ptCount val="1"/>
                <c:pt idx="0">
                  <c:v>Not Calculated</c:v>
                </c:pt>
              </c:strCache>
            </c:strRef>
          </c:xVal>
          <c:yVal>
            <c:numRef>
              <c:f>Hazard7!$J$917</c:f>
              <c:numCache>
                <c:formatCode>General</c:formatCode>
                <c:ptCount val="1"/>
                <c:pt idx="0">
                  <c:v>0</c:v>
                </c:pt>
              </c:numCache>
            </c:numRef>
          </c:yVal>
          <c:smooth val="0"/>
          <c:extLst>
            <c:ext xmlns:c16="http://schemas.microsoft.com/office/drawing/2014/chart" uri="{C3380CC4-5D6E-409C-BE32-E72D297353CC}">
              <c16:uniqueId val="{00000003-DF50-4B0D-BEE8-F53E5853E9B3}"/>
            </c:ext>
          </c:extLst>
        </c:ser>
        <c:ser>
          <c:idx val="4"/>
          <c:order val="4"/>
          <c:tx>
            <c:strRef>
              <c:f>Hazard7!$C$919</c:f>
              <c:strCache>
                <c:ptCount val="1"/>
                <c:pt idx="0">
                  <c:v>Info Sharing</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Hazard7!$J$920</c:f>
              <c:strCache>
                <c:ptCount val="1"/>
                <c:pt idx="0">
                  <c:v>Not Calculated</c:v>
                </c:pt>
              </c:strCache>
            </c:strRef>
          </c:xVal>
          <c:yVal>
            <c:numRef>
              <c:f>Hazard7!$J$921</c:f>
              <c:numCache>
                <c:formatCode>General</c:formatCode>
                <c:ptCount val="1"/>
                <c:pt idx="0">
                  <c:v>0</c:v>
                </c:pt>
              </c:numCache>
            </c:numRef>
          </c:yVal>
          <c:smooth val="0"/>
          <c:extLst>
            <c:ext xmlns:c16="http://schemas.microsoft.com/office/drawing/2014/chart" uri="{C3380CC4-5D6E-409C-BE32-E72D297353CC}">
              <c16:uniqueId val="{00000004-DF50-4B0D-BEE8-F53E5853E9B3}"/>
            </c:ext>
          </c:extLst>
        </c:ser>
        <c:ser>
          <c:idx val="5"/>
          <c:order val="5"/>
          <c:tx>
            <c:strRef>
              <c:f>Hazard7!$C$923</c:f>
              <c:strCache>
                <c:ptCount val="1"/>
                <c:pt idx="0">
                  <c:v>Medical Surge</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Hazard7!$J$924</c:f>
              <c:strCache>
                <c:ptCount val="1"/>
                <c:pt idx="0">
                  <c:v>Not Calculated</c:v>
                </c:pt>
              </c:strCache>
            </c:strRef>
          </c:xVal>
          <c:yVal>
            <c:numRef>
              <c:f>Hazard7!$J$925</c:f>
              <c:numCache>
                <c:formatCode>General</c:formatCode>
                <c:ptCount val="1"/>
                <c:pt idx="0">
                  <c:v>0</c:v>
                </c:pt>
              </c:numCache>
            </c:numRef>
          </c:yVal>
          <c:smooth val="0"/>
          <c:extLst>
            <c:ext xmlns:c16="http://schemas.microsoft.com/office/drawing/2014/chart" uri="{C3380CC4-5D6E-409C-BE32-E72D297353CC}">
              <c16:uniqueId val="{00000005-DF50-4B0D-BEE8-F53E5853E9B3}"/>
            </c:ext>
          </c:extLst>
        </c:ser>
        <c:ser>
          <c:idx val="6"/>
          <c:order val="6"/>
          <c:tx>
            <c:strRef>
              <c:f>Hazard7!$C$927</c:f>
              <c:strCache>
                <c:ptCount val="1"/>
                <c:pt idx="0">
                  <c:v>Responder Safety</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Hazard7!$J$928</c:f>
              <c:strCache>
                <c:ptCount val="1"/>
                <c:pt idx="0">
                  <c:v>Not Calculated</c:v>
                </c:pt>
              </c:strCache>
            </c:strRef>
          </c:xVal>
          <c:yVal>
            <c:numRef>
              <c:f>Hazard7!$J$929</c:f>
              <c:numCache>
                <c:formatCode>General</c:formatCode>
                <c:ptCount val="1"/>
                <c:pt idx="0">
                  <c:v>0</c:v>
                </c:pt>
              </c:numCache>
            </c:numRef>
          </c:yVal>
          <c:smooth val="0"/>
          <c:extLst>
            <c:ext xmlns:c16="http://schemas.microsoft.com/office/drawing/2014/chart" uri="{C3380CC4-5D6E-409C-BE32-E72D297353CC}">
              <c16:uniqueId val="{00000006-DF50-4B0D-BEE8-F53E5853E9B3}"/>
            </c:ext>
          </c:extLst>
        </c:ser>
        <c:ser>
          <c:idx val="7"/>
          <c:order val="7"/>
          <c:tx>
            <c:strRef>
              <c:f>Hazard7!$C$931</c:f>
              <c:strCache>
                <c:ptCount val="1"/>
                <c:pt idx="0">
                  <c:v>Volunteer Mgmt</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Hazard7!$J$932</c:f>
              <c:strCache>
                <c:ptCount val="1"/>
                <c:pt idx="0">
                  <c:v>Not Calculated</c:v>
                </c:pt>
              </c:strCache>
            </c:strRef>
          </c:xVal>
          <c:yVal>
            <c:numRef>
              <c:f>Hazard7!$J$933</c:f>
              <c:numCache>
                <c:formatCode>General</c:formatCode>
                <c:ptCount val="1"/>
                <c:pt idx="0">
                  <c:v>0</c:v>
                </c:pt>
              </c:numCache>
            </c:numRef>
          </c:yVal>
          <c:smooth val="0"/>
          <c:extLst>
            <c:ext xmlns:c16="http://schemas.microsoft.com/office/drawing/2014/chart" uri="{C3380CC4-5D6E-409C-BE32-E72D297353CC}">
              <c16:uniqueId val="{00000007-DF50-4B0D-BEE8-F53E5853E9B3}"/>
            </c:ext>
          </c:extLst>
        </c:ser>
        <c:ser>
          <c:idx val="14"/>
          <c:order val="8"/>
          <c:tx>
            <c:strRef>
              <c:f>Drought!$C$964</c:f>
              <c:strCache>
                <c:ptCount val="1"/>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Drought!$J$965</c:f>
            </c:numRef>
          </c:xVal>
          <c:yVal>
            <c:numRef>
              <c:f>Drought!$J$966</c:f>
            </c:numRef>
          </c:yVal>
          <c:smooth val="0"/>
          <c:extLst>
            <c:ext xmlns:c16="http://schemas.microsoft.com/office/drawing/2014/chart" uri="{C3380CC4-5D6E-409C-BE32-E72D297353CC}">
              <c16:uniqueId val="{00000008-DF50-4B0D-BEE8-F53E5853E9B3}"/>
            </c:ext>
          </c:extLst>
        </c:ser>
        <c:dLbls>
          <c:showLegendKey val="0"/>
          <c:showVal val="1"/>
          <c:showCatName val="0"/>
          <c:showSerName val="0"/>
          <c:showPercent val="0"/>
          <c:showBubbleSize val="0"/>
        </c:dLbls>
        <c:axId val="206110720"/>
        <c:axId val="206112640"/>
      </c:scatterChart>
      <c:valAx>
        <c:axId val="206110720"/>
        <c:scaling>
          <c:orientation val="minMax"/>
          <c:max val="4.5"/>
          <c:min val="0"/>
        </c:scaling>
        <c:delete val="0"/>
        <c:axPos val="b"/>
        <c:majorGridlines/>
        <c:title>
          <c:tx>
            <c:rich>
              <a:bodyPr/>
              <a:lstStyle/>
              <a:p>
                <a:pPr>
                  <a:defRPr b="0">
                    <a:latin typeface="+mj-lt"/>
                  </a:defRPr>
                </a:pPr>
                <a:r>
                  <a:rPr lang="en-US" sz="1600" b="0">
                    <a:latin typeface="+mj-lt"/>
                  </a:rPr>
                  <a:t>Capability Relevance to Hazard</a:t>
                </a:r>
              </a:p>
            </c:rich>
          </c:tx>
          <c:overlay val="0"/>
        </c:title>
        <c:numFmt formatCode="General" sourceLinked="1"/>
        <c:majorTickMark val="out"/>
        <c:minorTickMark val="none"/>
        <c:tickLblPos val="nextTo"/>
        <c:spPr>
          <a:ln>
            <a:solidFill>
              <a:schemeClr val="tx1"/>
            </a:solidFill>
          </a:ln>
        </c:spPr>
        <c:crossAx val="206112640"/>
        <c:crosses val="autoZero"/>
        <c:crossBetween val="midCat"/>
        <c:majorUnit val="1"/>
        <c:minorUnit val="0.1"/>
      </c:valAx>
      <c:valAx>
        <c:axId val="206112640"/>
        <c:scaling>
          <c:orientation val="minMax"/>
          <c:max val="4.5"/>
          <c:min val="0"/>
        </c:scaling>
        <c:delete val="0"/>
        <c:axPos val="l"/>
        <c:majorGridlines/>
        <c:title>
          <c:tx>
            <c:rich>
              <a:bodyPr rot="-5400000" vert="horz"/>
              <a:lstStyle/>
              <a:p>
                <a:pPr>
                  <a:defRPr sz="1600" b="0">
                    <a:latin typeface="+mj-lt"/>
                  </a:defRPr>
                </a:pPr>
                <a:r>
                  <a:rPr lang="en-US" sz="1600" b="0">
                    <a:latin typeface="+mj-lt"/>
                  </a:rPr>
                  <a:t>Capability Status</a:t>
                </a:r>
              </a:p>
            </c:rich>
          </c:tx>
          <c:overlay val="0"/>
        </c:title>
        <c:numFmt formatCode="General" sourceLinked="1"/>
        <c:majorTickMark val="out"/>
        <c:minorTickMark val="none"/>
        <c:tickLblPos val="nextTo"/>
        <c:spPr>
          <a:ln>
            <a:solidFill>
              <a:schemeClr val="tx1"/>
            </a:solidFill>
          </a:ln>
        </c:spPr>
        <c:crossAx val="206110720"/>
        <c:crosses val="autoZero"/>
        <c:crossBetween val="midCat"/>
        <c:majorUnit val="1"/>
        <c:minorUnit val="0.1"/>
      </c:valAx>
      <c:spPr>
        <a:gradFill flip="none" rotWithShape="1">
          <a:gsLst>
            <a:gs pos="0">
              <a:srgbClr val="63BE7B"/>
            </a:gs>
            <a:gs pos="50000">
              <a:srgbClr val="FFEB84"/>
            </a:gs>
            <a:gs pos="100000">
              <a:srgbClr val="F8696B"/>
            </a:gs>
          </a:gsLst>
          <a:lin ang="27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b="0" u="sng">
                <a:latin typeface="+mj-lt"/>
              </a:defRPr>
            </a:pPr>
            <a:r>
              <a:rPr lang="en-US" b="0" u="sng">
                <a:latin typeface="+mj-lt"/>
              </a:rPr>
              <a:t>Severity</a:t>
            </a:r>
          </a:p>
        </c:rich>
      </c:tx>
      <c:layout>
        <c:manualLayout>
          <c:xMode val="edge"/>
          <c:yMode val="edge"/>
          <c:x val="0.46889233641333816"/>
          <c:y val="1.3244983721297133E-2"/>
        </c:manualLayout>
      </c:layout>
      <c:overlay val="0"/>
    </c:title>
    <c:autoTitleDeleted val="0"/>
    <c:plotArea>
      <c:layout/>
      <c:barChart>
        <c:barDir val="col"/>
        <c:grouping val="clustered"/>
        <c:varyColors val="0"/>
        <c:ser>
          <c:idx val="0"/>
          <c:order val="0"/>
          <c:tx>
            <c:v>Severity</c:v>
          </c:tx>
          <c:spPr>
            <a:solidFill>
              <a:schemeClr val="accent4">
                <a:lumMod val="60000"/>
                <a:lumOff val="40000"/>
              </a:schemeClr>
            </a:solidFill>
            <a:ln>
              <a:solidFill>
                <a:schemeClr val="accent4"/>
              </a:solidFill>
            </a:ln>
            <a:scene3d>
              <a:camera prst="orthographicFront"/>
              <a:lightRig rig="threePt" dir="t"/>
            </a:scene3d>
            <a:sp3d prstMaterial="matte">
              <a:bevelT w="63500" h="50800"/>
            </a:sp3d>
          </c:spPr>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('Active Shooter'!$G$22,'Active Shooter'!$G$137,'Active Shooter'!$G$265,'Active Shooter'!$G$425,'Active Shooter'!$G$543)</c:f>
              <c:strCache>
                <c:ptCount val="5"/>
                <c:pt idx="0">
                  <c:v>Human Impact</c:v>
                </c:pt>
                <c:pt idx="1">
                  <c:v>Healthcare Service Impact</c:v>
                </c:pt>
                <c:pt idx="2">
                  <c:v>Inpatient Healthcare Facility Infrastructure Impact</c:v>
                </c:pt>
                <c:pt idx="3">
                  <c:v>Community Impact</c:v>
                </c:pt>
                <c:pt idx="4">
                  <c:v>Public Health Service Impact</c:v>
                </c:pt>
              </c:strCache>
            </c:strRef>
          </c:cat>
          <c:val>
            <c:numRef>
              <c:f>(Hazard8!$J$133,Hazard8!$J$261,Hazard8!$J$421,Hazard8!$J$539,Hazard8!$J$681)</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0-A528-4BF0-BA4D-CEA380DA6CD5}"/>
            </c:ext>
          </c:extLst>
        </c:ser>
        <c:dLbls>
          <c:showLegendKey val="0"/>
          <c:showVal val="1"/>
          <c:showCatName val="0"/>
          <c:showSerName val="0"/>
          <c:showPercent val="0"/>
          <c:showBubbleSize val="0"/>
        </c:dLbls>
        <c:gapWidth val="150"/>
        <c:axId val="206152832"/>
        <c:axId val="206154752"/>
      </c:barChart>
      <c:catAx>
        <c:axId val="206152832"/>
        <c:scaling>
          <c:orientation val="minMax"/>
        </c:scaling>
        <c:delete val="0"/>
        <c:axPos val="b"/>
        <c:title>
          <c:tx>
            <c:rich>
              <a:bodyPr/>
              <a:lstStyle/>
              <a:p>
                <a:pPr>
                  <a:defRPr sz="1600" b="0">
                    <a:latin typeface="+mj-lt"/>
                  </a:defRPr>
                </a:pPr>
                <a:r>
                  <a:rPr lang="en-US" sz="1600" b="0">
                    <a:latin typeface="+mj-lt"/>
                  </a:rPr>
                  <a:t>Domain</a:t>
                </a:r>
              </a:p>
            </c:rich>
          </c:tx>
          <c:overlay val="0"/>
        </c:title>
        <c:numFmt formatCode="General" sourceLinked="1"/>
        <c:majorTickMark val="out"/>
        <c:minorTickMark val="none"/>
        <c:tickLblPos val="nextTo"/>
        <c:crossAx val="206154752"/>
        <c:crosses val="autoZero"/>
        <c:auto val="1"/>
        <c:lblAlgn val="ctr"/>
        <c:lblOffset val="100"/>
        <c:noMultiLvlLbl val="0"/>
      </c:catAx>
      <c:valAx>
        <c:axId val="206154752"/>
        <c:scaling>
          <c:orientation val="minMax"/>
          <c:max val="4"/>
        </c:scaling>
        <c:delete val="0"/>
        <c:axPos val="l"/>
        <c:majorGridlines/>
        <c:title>
          <c:tx>
            <c:rich>
              <a:bodyPr rot="-5400000" vert="horz"/>
              <a:lstStyle/>
              <a:p>
                <a:pPr>
                  <a:defRPr sz="1600" b="0">
                    <a:latin typeface="+mj-lt"/>
                  </a:defRPr>
                </a:pPr>
                <a:r>
                  <a:rPr lang="en-US" sz="1600" b="0">
                    <a:latin typeface="+mj-lt"/>
                  </a:rPr>
                  <a:t>Severity</a:t>
                </a:r>
                <a:r>
                  <a:rPr lang="en-US" sz="1600" b="0" baseline="0">
                    <a:latin typeface="+mj-lt"/>
                  </a:rPr>
                  <a:t> Score</a:t>
                </a:r>
                <a:endParaRPr lang="en-US" sz="1600" b="0">
                  <a:latin typeface="+mj-lt"/>
                </a:endParaRPr>
              </a:p>
            </c:rich>
          </c:tx>
          <c:overlay val="0"/>
        </c:title>
        <c:numFmt formatCode="0.00" sourceLinked="1"/>
        <c:majorTickMark val="out"/>
        <c:minorTickMark val="none"/>
        <c:tickLblPos val="nextTo"/>
        <c:crossAx val="206152832"/>
        <c:crosses val="autoZero"/>
        <c:crossBetween val="between"/>
      </c:valAx>
      <c:spPr>
        <a:gradFill flip="none" rotWithShape="1">
          <a:gsLst>
            <a:gs pos="0">
              <a:srgbClr val="63BE7B"/>
            </a:gs>
            <a:gs pos="50000">
              <a:srgbClr val="FFEB84"/>
            </a:gs>
            <a:gs pos="100000">
              <a:srgbClr val="F8696B"/>
            </a:gs>
          </a:gsLst>
          <a:lin ang="162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b="0" u="sng">
                <a:latin typeface="+mj-lt"/>
              </a:defRPr>
            </a:pPr>
            <a:r>
              <a:rPr lang="en-US" b="0" u="sng">
                <a:latin typeface="+mj-lt"/>
              </a:rPr>
              <a:t>At-Risk Populations</a:t>
            </a:r>
          </a:p>
        </c:rich>
      </c:tx>
      <c:layout>
        <c:manualLayout>
          <c:xMode val="edge"/>
          <c:yMode val="edge"/>
          <c:x val="0.37636858589702443"/>
          <c:y val="1.3244983721297133E-2"/>
        </c:manualLayout>
      </c:layout>
      <c:overlay val="0"/>
    </c:title>
    <c:autoTitleDeleted val="0"/>
    <c:plotArea>
      <c:layout>
        <c:manualLayout>
          <c:layoutTarget val="inner"/>
          <c:xMode val="edge"/>
          <c:yMode val="edge"/>
          <c:x val="9.2855623530330264E-2"/>
          <c:y val="0.10007907481510167"/>
          <c:w val="0.87850741705614022"/>
          <c:h val="0.77165947152780956"/>
        </c:manualLayout>
      </c:layout>
      <c:scatterChart>
        <c:scatterStyle val="lineMarker"/>
        <c:varyColors val="0"/>
        <c:ser>
          <c:idx val="0"/>
          <c:order val="0"/>
          <c:tx>
            <c:strRef>
              <c:f>Hazard8!$C$793</c:f>
              <c:strCache>
                <c:ptCount val="1"/>
                <c:pt idx="0">
                  <c:v>Poverty</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Hazard8!$J$795</c:f>
              <c:numCache>
                <c:formatCode>General</c:formatCode>
                <c:ptCount val="1"/>
                <c:pt idx="0">
                  <c:v>0</c:v>
                </c:pt>
              </c:numCache>
            </c:numRef>
          </c:xVal>
          <c:yVal>
            <c:numRef>
              <c:f>Hazard8!$J$794</c:f>
              <c:numCache>
                <c:formatCode>General</c:formatCode>
                <c:ptCount val="1"/>
                <c:pt idx="0">
                  <c:v>0</c:v>
                </c:pt>
              </c:numCache>
            </c:numRef>
          </c:yVal>
          <c:smooth val="0"/>
          <c:extLst>
            <c:ext xmlns:c16="http://schemas.microsoft.com/office/drawing/2014/chart" uri="{C3380CC4-5D6E-409C-BE32-E72D297353CC}">
              <c16:uniqueId val="{00000000-ACBB-4ACB-A6FD-F55D668E9EE2}"/>
            </c:ext>
          </c:extLst>
        </c:ser>
        <c:ser>
          <c:idx val="1"/>
          <c:order val="1"/>
          <c:tx>
            <c:strRef>
              <c:f>Hazard8!$C$797</c:f>
              <c:strCache>
                <c:ptCount val="1"/>
                <c:pt idx="0">
                  <c:v>Chronic Diseases (Diabetes)</c:v>
                </c:pt>
              </c:strCache>
            </c:strRef>
          </c:tx>
          <c:spPr>
            <a:ln w="66675">
              <a:noFill/>
            </a:ln>
          </c:spPr>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ACBB-4ACB-A6FD-F55D668E9EE2}"/>
                </c:ext>
              </c:extLst>
            </c:dLbl>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Hazard8!$J$799</c:f>
              <c:numCache>
                <c:formatCode>General</c:formatCode>
                <c:ptCount val="1"/>
                <c:pt idx="0">
                  <c:v>0</c:v>
                </c:pt>
              </c:numCache>
            </c:numRef>
          </c:xVal>
          <c:yVal>
            <c:numRef>
              <c:f>Hazard8!$J$798</c:f>
              <c:numCache>
                <c:formatCode>General</c:formatCode>
                <c:ptCount val="1"/>
                <c:pt idx="0">
                  <c:v>0</c:v>
                </c:pt>
              </c:numCache>
            </c:numRef>
          </c:yVal>
          <c:smooth val="0"/>
          <c:extLst>
            <c:ext xmlns:c16="http://schemas.microsoft.com/office/drawing/2014/chart" uri="{C3380CC4-5D6E-409C-BE32-E72D297353CC}">
              <c16:uniqueId val="{00000002-ACBB-4ACB-A6FD-F55D668E9EE2}"/>
            </c:ext>
          </c:extLst>
        </c:ser>
        <c:ser>
          <c:idx val="2"/>
          <c:order val="2"/>
          <c:tx>
            <c:strRef>
              <c:f>Hazard8!$C$801</c:f>
              <c:strCache>
                <c:ptCount val="1"/>
                <c:pt idx="0">
                  <c:v>Children 18 and under</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Hazard8!$J$803</c:f>
              <c:numCache>
                <c:formatCode>General</c:formatCode>
                <c:ptCount val="1"/>
                <c:pt idx="0">
                  <c:v>0</c:v>
                </c:pt>
              </c:numCache>
            </c:numRef>
          </c:xVal>
          <c:yVal>
            <c:numRef>
              <c:f>Hazard8!$J$802</c:f>
              <c:numCache>
                <c:formatCode>General</c:formatCode>
                <c:ptCount val="1"/>
                <c:pt idx="0">
                  <c:v>0</c:v>
                </c:pt>
              </c:numCache>
            </c:numRef>
          </c:yVal>
          <c:smooth val="0"/>
          <c:extLst>
            <c:ext xmlns:c16="http://schemas.microsoft.com/office/drawing/2014/chart" uri="{C3380CC4-5D6E-409C-BE32-E72D297353CC}">
              <c16:uniqueId val="{00000003-ACBB-4ACB-A6FD-F55D668E9EE2}"/>
            </c:ext>
          </c:extLst>
        </c:ser>
        <c:ser>
          <c:idx val="3"/>
          <c:order val="3"/>
          <c:tx>
            <c:strRef>
              <c:f>Hazard8!$C$805</c:f>
              <c:strCache>
                <c:ptCount val="1"/>
                <c:pt idx="0">
                  <c:v>Elderly 65 and older</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Hazard8!$J$807</c:f>
              <c:numCache>
                <c:formatCode>General</c:formatCode>
                <c:ptCount val="1"/>
                <c:pt idx="0">
                  <c:v>0</c:v>
                </c:pt>
              </c:numCache>
            </c:numRef>
          </c:xVal>
          <c:yVal>
            <c:numRef>
              <c:f>Hazard8!$J$806</c:f>
              <c:numCache>
                <c:formatCode>General</c:formatCode>
                <c:ptCount val="1"/>
                <c:pt idx="0">
                  <c:v>0</c:v>
                </c:pt>
              </c:numCache>
            </c:numRef>
          </c:yVal>
          <c:smooth val="0"/>
          <c:extLst>
            <c:ext xmlns:c16="http://schemas.microsoft.com/office/drawing/2014/chart" uri="{C3380CC4-5D6E-409C-BE32-E72D297353CC}">
              <c16:uniqueId val="{00000004-ACBB-4ACB-A6FD-F55D668E9EE2}"/>
            </c:ext>
          </c:extLst>
        </c:ser>
        <c:ser>
          <c:idx val="4"/>
          <c:order val="4"/>
          <c:tx>
            <c:strRef>
              <c:f>Hazard8!$C$773</c:f>
              <c:strCache>
                <c:ptCount val="1"/>
                <c:pt idx="0">
                  <c:v>Hearing Disability</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Hazard8!$J$775</c:f>
              <c:numCache>
                <c:formatCode>General</c:formatCode>
                <c:ptCount val="1"/>
                <c:pt idx="0">
                  <c:v>0</c:v>
                </c:pt>
              </c:numCache>
            </c:numRef>
          </c:xVal>
          <c:yVal>
            <c:numRef>
              <c:f>Hazard8!$J$774</c:f>
              <c:numCache>
                <c:formatCode>General</c:formatCode>
                <c:ptCount val="1"/>
                <c:pt idx="0">
                  <c:v>0</c:v>
                </c:pt>
              </c:numCache>
            </c:numRef>
          </c:yVal>
          <c:smooth val="0"/>
          <c:extLst>
            <c:ext xmlns:c16="http://schemas.microsoft.com/office/drawing/2014/chart" uri="{C3380CC4-5D6E-409C-BE32-E72D297353CC}">
              <c16:uniqueId val="{00000005-ACBB-4ACB-A6FD-F55D668E9EE2}"/>
            </c:ext>
          </c:extLst>
        </c:ser>
        <c:ser>
          <c:idx val="5"/>
          <c:order val="5"/>
          <c:tx>
            <c:strRef>
              <c:f>Hazard8!$C$777</c:f>
              <c:strCache>
                <c:ptCount val="1"/>
                <c:pt idx="0">
                  <c:v>Vision Disability</c:v>
                </c:pt>
              </c:strCache>
            </c:strRef>
          </c:tx>
          <c:spPr>
            <a:ln w="66675">
              <a:noFill/>
            </a:ln>
          </c:spPr>
          <c:dLbls>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Hazard8!$J$779</c:f>
              <c:numCache>
                <c:formatCode>General</c:formatCode>
                <c:ptCount val="1"/>
                <c:pt idx="0">
                  <c:v>0</c:v>
                </c:pt>
              </c:numCache>
            </c:numRef>
          </c:xVal>
          <c:yVal>
            <c:numRef>
              <c:f>Hazard8!$J$778</c:f>
              <c:numCache>
                <c:formatCode>General</c:formatCode>
                <c:ptCount val="1"/>
                <c:pt idx="0">
                  <c:v>0</c:v>
                </c:pt>
              </c:numCache>
            </c:numRef>
          </c:yVal>
          <c:smooth val="0"/>
          <c:extLst>
            <c:ext xmlns:c16="http://schemas.microsoft.com/office/drawing/2014/chart" uri="{C3380CC4-5D6E-409C-BE32-E72D297353CC}">
              <c16:uniqueId val="{00000006-ACBB-4ACB-A6FD-F55D668E9EE2}"/>
            </c:ext>
          </c:extLst>
        </c:ser>
        <c:ser>
          <c:idx val="6"/>
          <c:order val="6"/>
          <c:tx>
            <c:strRef>
              <c:f>Hazard8!$C$781</c:f>
              <c:strCache>
                <c:ptCount val="1"/>
                <c:pt idx="0">
                  <c:v>Ambulatory Disability</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Hazard8!$J$783</c:f>
              <c:numCache>
                <c:formatCode>General</c:formatCode>
                <c:ptCount val="1"/>
                <c:pt idx="0">
                  <c:v>0</c:v>
                </c:pt>
              </c:numCache>
            </c:numRef>
          </c:xVal>
          <c:yVal>
            <c:numRef>
              <c:f>Hazard8!$J$782</c:f>
              <c:numCache>
                <c:formatCode>General</c:formatCode>
                <c:ptCount val="1"/>
                <c:pt idx="0">
                  <c:v>0</c:v>
                </c:pt>
              </c:numCache>
            </c:numRef>
          </c:yVal>
          <c:smooth val="0"/>
          <c:extLst>
            <c:ext xmlns:c16="http://schemas.microsoft.com/office/drawing/2014/chart" uri="{C3380CC4-5D6E-409C-BE32-E72D297353CC}">
              <c16:uniqueId val="{00000007-ACBB-4ACB-A6FD-F55D668E9EE2}"/>
            </c:ext>
          </c:extLst>
        </c:ser>
        <c:ser>
          <c:idx val="7"/>
          <c:order val="7"/>
          <c:tx>
            <c:strRef>
              <c:f>Hazard8!$C$785</c:f>
              <c:strCache>
                <c:ptCount val="1"/>
                <c:pt idx="0">
                  <c:v>Cognitive Disability</c:v>
                </c:pt>
              </c:strCache>
            </c:strRef>
          </c:tx>
          <c:spPr>
            <a:ln w="66675">
              <a:noFill/>
            </a:ln>
          </c:spPr>
          <c:dLbls>
            <c:dLbl>
              <c:idx val="0"/>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ACBB-4ACB-A6FD-F55D668E9EE2}"/>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Hazard8!$J$787</c:f>
              <c:numCache>
                <c:formatCode>General</c:formatCode>
                <c:ptCount val="1"/>
                <c:pt idx="0">
                  <c:v>0</c:v>
                </c:pt>
              </c:numCache>
            </c:numRef>
          </c:xVal>
          <c:yVal>
            <c:numRef>
              <c:f>Hazard8!$J$786</c:f>
              <c:numCache>
                <c:formatCode>General</c:formatCode>
                <c:ptCount val="1"/>
                <c:pt idx="0">
                  <c:v>0</c:v>
                </c:pt>
              </c:numCache>
            </c:numRef>
          </c:yVal>
          <c:smooth val="0"/>
          <c:extLst>
            <c:ext xmlns:c16="http://schemas.microsoft.com/office/drawing/2014/chart" uri="{C3380CC4-5D6E-409C-BE32-E72D297353CC}">
              <c16:uniqueId val="{00000009-ACBB-4ACB-A6FD-F55D668E9EE2}"/>
            </c:ext>
          </c:extLst>
        </c:ser>
        <c:ser>
          <c:idx val="8"/>
          <c:order val="8"/>
          <c:tx>
            <c:strRef>
              <c:f>Hazard8!$C$789</c:f>
              <c:strCache>
                <c:ptCount val="1"/>
                <c:pt idx="0">
                  <c:v>Limited English Proficiency</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Hazard8!$J$791</c:f>
              <c:numCache>
                <c:formatCode>General</c:formatCode>
                <c:ptCount val="1"/>
                <c:pt idx="0">
                  <c:v>0</c:v>
                </c:pt>
              </c:numCache>
            </c:numRef>
          </c:xVal>
          <c:yVal>
            <c:numRef>
              <c:f>Hazard8!$J$790</c:f>
              <c:numCache>
                <c:formatCode>General</c:formatCode>
                <c:ptCount val="1"/>
                <c:pt idx="0">
                  <c:v>0</c:v>
                </c:pt>
              </c:numCache>
            </c:numRef>
          </c:yVal>
          <c:smooth val="0"/>
          <c:extLst>
            <c:ext xmlns:c16="http://schemas.microsoft.com/office/drawing/2014/chart" uri="{C3380CC4-5D6E-409C-BE32-E72D297353CC}">
              <c16:uniqueId val="{0000000A-ACBB-4ACB-A6FD-F55D668E9EE2}"/>
            </c:ext>
          </c:extLst>
        </c:ser>
        <c:dLbls>
          <c:showLegendKey val="0"/>
          <c:showVal val="1"/>
          <c:showCatName val="0"/>
          <c:showSerName val="0"/>
          <c:showPercent val="0"/>
          <c:showBubbleSize val="0"/>
        </c:dLbls>
        <c:axId val="206390016"/>
        <c:axId val="206391936"/>
      </c:scatterChart>
      <c:valAx>
        <c:axId val="206390016"/>
        <c:scaling>
          <c:orientation val="minMax"/>
          <c:max val="4.5"/>
          <c:min val="0"/>
        </c:scaling>
        <c:delete val="0"/>
        <c:axPos val="b"/>
        <c:majorGridlines/>
        <c:title>
          <c:tx>
            <c:rich>
              <a:bodyPr/>
              <a:lstStyle/>
              <a:p>
                <a:pPr>
                  <a:defRPr b="0">
                    <a:latin typeface="+mj-lt"/>
                  </a:defRPr>
                </a:pPr>
                <a:r>
                  <a:rPr lang="en-US" sz="1600" b="0">
                    <a:latin typeface="+mj-lt"/>
                  </a:rPr>
                  <a:t>Access Planning Score</a:t>
                </a:r>
              </a:p>
            </c:rich>
          </c:tx>
          <c:overlay val="0"/>
        </c:title>
        <c:numFmt formatCode="General" sourceLinked="1"/>
        <c:majorTickMark val="out"/>
        <c:minorTickMark val="none"/>
        <c:tickLblPos val="nextTo"/>
        <c:spPr>
          <a:ln>
            <a:solidFill>
              <a:schemeClr val="tx1"/>
            </a:solidFill>
          </a:ln>
        </c:spPr>
        <c:crossAx val="206391936"/>
        <c:crosses val="autoZero"/>
        <c:crossBetween val="midCat"/>
        <c:majorUnit val="1"/>
        <c:minorUnit val="0.1"/>
      </c:valAx>
      <c:valAx>
        <c:axId val="206391936"/>
        <c:scaling>
          <c:orientation val="minMax"/>
          <c:max val="4.5"/>
          <c:min val="0"/>
        </c:scaling>
        <c:delete val="0"/>
        <c:axPos val="l"/>
        <c:majorGridlines/>
        <c:title>
          <c:tx>
            <c:rich>
              <a:bodyPr rot="-5400000" vert="horz"/>
              <a:lstStyle/>
              <a:p>
                <a:pPr>
                  <a:defRPr sz="1600" b="0">
                    <a:latin typeface="+mj-lt"/>
                  </a:defRPr>
                </a:pPr>
                <a:r>
                  <a:rPr lang="en-US" sz="1600" b="0">
                    <a:latin typeface="+mj-lt"/>
                  </a:rPr>
                  <a:t>Population Size Score</a:t>
                </a:r>
              </a:p>
            </c:rich>
          </c:tx>
          <c:overlay val="0"/>
        </c:title>
        <c:numFmt formatCode="General" sourceLinked="1"/>
        <c:majorTickMark val="out"/>
        <c:minorTickMark val="none"/>
        <c:tickLblPos val="nextTo"/>
        <c:spPr>
          <a:ln>
            <a:solidFill>
              <a:schemeClr val="tx1"/>
            </a:solidFill>
          </a:ln>
        </c:spPr>
        <c:crossAx val="206390016"/>
        <c:crosses val="autoZero"/>
        <c:crossBetween val="midCat"/>
        <c:majorUnit val="1"/>
        <c:minorUnit val="0.1"/>
      </c:valAx>
      <c:spPr>
        <a:gradFill flip="none" rotWithShape="1">
          <a:gsLst>
            <a:gs pos="0">
              <a:srgbClr val="63BE7B"/>
            </a:gs>
            <a:gs pos="50000">
              <a:srgbClr val="FFEB84"/>
            </a:gs>
            <a:gs pos="100000">
              <a:srgbClr val="F8696B"/>
            </a:gs>
          </a:gsLst>
          <a:lin ang="189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defRPr b="0" u="sng">
                <a:latin typeface="+mj-lt"/>
              </a:defRPr>
            </a:pPr>
            <a:r>
              <a:rPr lang="en-US" b="0" u="sng">
                <a:latin typeface="+mj-lt"/>
              </a:rPr>
              <a:t>Public Health Preparedness</a:t>
            </a:r>
          </a:p>
        </c:rich>
      </c:tx>
      <c:layout>
        <c:manualLayout>
          <c:xMode val="edge"/>
          <c:yMode val="edge"/>
          <c:x val="0.30532356317913883"/>
          <c:y val="1.3244983721297133E-2"/>
        </c:manualLayout>
      </c:layout>
      <c:overlay val="0"/>
    </c:title>
    <c:autoTitleDeleted val="0"/>
    <c:plotArea>
      <c:layout/>
      <c:scatterChart>
        <c:scatterStyle val="lineMarker"/>
        <c:varyColors val="0"/>
        <c:ser>
          <c:idx val="0"/>
          <c:order val="0"/>
          <c:tx>
            <c:strRef>
              <c:f>Hazard8!$C$853</c:f>
              <c:strCache>
                <c:ptCount val="1"/>
                <c:pt idx="0">
                  <c:v>Info Sharing</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Hazard8!$J$854</c:f>
              <c:strCache>
                <c:ptCount val="1"/>
                <c:pt idx="0">
                  <c:v>Not Calculated</c:v>
                </c:pt>
              </c:strCache>
            </c:strRef>
          </c:xVal>
          <c:yVal>
            <c:numRef>
              <c:f>Hazard8!$J$855</c:f>
              <c:numCache>
                <c:formatCode>General</c:formatCode>
                <c:ptCount val="1"/>
                <c:pt idx="0">
                  <c:v>0</c:v>
                </c:pt>
              </c:numCache>
            </c:numRef>
          </c:yVal>
          <c:smooth val="0"/>
          <c:extLst>
            <c:ext xmlns:c16="http://schemas.microsoft.com/office/drawing/2014/chart" uri="{C3380CC4-5D6E-409C-BE32-E72D297353CC}">
              <c16:uniqueId val="{00000000-4A1F-4332-B2A3-9B7FFA6ABC88}"/>
            </c:ext>
          </c:extLst>
        </c:ser>
        <c:ser>
          <c:idx val="1"/>
          <c:order val="1"/>
          <c:tx>
            <c:strRef>
              <c:f>Hazard8!$C$857</c:f>
              <c:strCache>
                <c:ptCount val="1"/>
                <c:pt idx="0">
                  <c:v>Mass Care</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Hazard8!$J$858</c:f>
              <c:strCache>
                <c:ptCount val="1"/>
                <c:pt idx="0">
                  <c:v>Not Calculated</c:v>
                </c:pt>
              </c:strCache>
            </c:strRef>
          </c:xVal>
          <c:yVal>
            <c:numRef>
              <c:f>Hazard8!$J$859</c:f>
              <c:numCache>
                <c:formatCode>General</c:formatCode>
                <c:ptCount val="1"/>
                <c:pt idx="0">
                  <c:v>0</c:v>
                </c:pt>
              </c:numCache>
            </c:numRef>
          </c:yVal>
          <c:smooth val="0"/>
          <c:extLst>
            <c:ext xmlns:c16="http://schemas.microsoft.com/office/drawing/2014/chart" uri="{C3380CC4-5D6E-409C-BE32-E72D297353CC}">
              <c16:uniqueId val="{00000001-4A1F-4332-B2A3-9B7FFA6ABC88}"/>
            </c:ext>
          </c:extLst>
        </c:ser>
        <c:ser>
          <c:idx val="2"/>
          <c:order val="2"/>
          <c:tx>
            <c:strRef>
              <c:f>Hazard8!$C$861</c:f>
              <c:strCache>
                <c:ptCount val="1"/>
                <c:pt idx="0">
                  <c:v>MCM Dispens</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Hazard8!$J$862</c:f>
              <c:strCache>
                <c:ptCount val="1"/>
                <c:pt idx="0">
                  <c:v>Not Calculated</c:v>
                </c:pt>
              </c:strCache>
            </c:strRef>
          </c:xVal>
          <c:yVal>
            <c:numRef>
              <c:f>Hazard8!$J$863</c:f>
              <c:numCache>
                <c:formatCode>General</c:formatCode>
                <c:ptCount val="1"/>
                <c:pt idx="0">
                  <c:v>0</c:v>
                </c:pt>
              </c:numCache>
            </c:numRef>
          </c:yVal>
          <c:smooth val="0"/>
          <c:extLst>
            <c:ext xmlns:c16="http://schemas.microsoft.com/office/drawing/2014/chart" uri="{C3380CC4-5D6E-409C-BE32-E72D297353CC}">
              <c16:uniqueId val="{00000002-4A1F-4332-B2A3-9B7FFA6ABC88}"/>
            </c:ext>
          </c:extLst>
        </c:ser>
        <c:ser>
          <c:idx val="3"/>
          <c:order val="3"/>
          <c:tx>
            <c:strRef>
              <c:f>Hazard8!$C$865</c:f>
              <c:strCache>
                <c:ptCount val="1"/>
                <c:pt idx="0">
                  <c:v>Med Materiel Mgmt</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Hazard8!$J$866</c:f>
              <c:strCache>
                <c:ptCount val="1"/>
                <c:pt idx="0">
                  <c:v>Not Calculated</c:v>
                </c:pt>
              </c:strCache>
            </c:strRef>
          </c:xVal>
          <c:yVal>
            <c:numRef>
              <c:f>Hazard8!$J$867</c:f>
              <c:numCache>
                <c:formatCode>General</c:formatCode>
                <c:ptCount val="1"/>
                <c:pt idx="0">
                  <c:v>0</c:v>
                </c:pt>
              </c:numCache>
            </c:numRef>
          </c:yVal>
          <c:smooth val="0"/>
          <c:extLst>
            <c:ext xmlns:c16="http://schemas.microsoft.com/office/drawing/2014/chart" uri="{C3380CC4-5D6E-409C-BE32-E72D297353CC}">
              <c16:uniqueId val="{00000003-4A1F-4332-B2A3-9B7FFA6ABC88}"/>
            </c:ext>
          </c:extLst>
        </c:ser>
        <c:ser>
          <c:idx val="4"/>
          <c:order val="4"/>
          <c:tx>
            <c:strRef>
              <c:f>Hazard8!$C$869</c:f>
              <c:strCache>
                <c:ptCount val="1"/>
                <c:pt idx="0">
                  <c:v>Medical Surge</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Hazard8!$J$870</c:f>
              <c:strCache>
                <c:ptCount val="1"/>
                <c:pt idx="0">
                  <c:v>Not Calculated</c:v>
                </c:pt>
              </c:strCache>
            </c:strRef>
          </c:xVal>
          <c:yVal>
            <c:numRef>
              <c:f>Hazard8!$J$871</c:f>
              <c:numCache>
                <c:formatCode>General</c:formatCode>
                <c:ptCount val="1"/>
                <c:pt idx="0">
                  <c:v>0</c:v>
                </c:pt>
              </c:numCache>
            </c:numRef>
          </c:yVal>
          <c:smooth val="0"/>
          <c:extLst>
            <c:ext xmlns:c16="http://schemas.microsoft.com/office/drawing/2014/chart" uri="{C3380CC4-5D6E-409C-BE32-E72D297353CC}">
              <c16:uniqueId val="{00000004-4A1F-4332-B2A3-9B7FFA6ABC88}"/>
            </c:ext>
          </c:extLst>
        </c:ser>
        <c:ser>
          <c:idx val="5"/>
          <c:order val="5"/>
          <c:tx>
            <c:strRef>
              <c:f>Hazard8!$C$873</c:f>
              <c:strCache>
                <c:ptCount val="1"/>
                <c:pt idx="0">
                  <c:v>Non-Pharm Interv</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Hazard8!$J$874</c:f>
              <c:strCache>
                <c:ptCount val="1"/>
                <c:pt idx="0">
                  <c:v>Not Calculated</c:v>
                </c:pt>
              </c:strCache>
            </c:strRef>
          </c:xVal>
          <c:yVal>
            <c:numRef>
              <c:f>Hazard8!$J$875</c:f>
              <c:numCache>
                <c:formatCode>General</c:formatCode>
                <c:ptCount val="1"/>
                <c:pt idx="0">
                  <c:v>0</c:v>
                </c:pt>
              </c:numCache>
            </c:numRef>
          </c:yVal>
          <c:smooth val="0"/>
          <c:extLst>
            <c:ext xmlns:c16="http://schemas.microsoft.com/office/drawing/2014/chart" uri="{C3380CC4-5D6E-409C-BE32-E72D297353CC}">
              <c16:uniqueId val="{00000005-4A1F-4332-B2A3-9B7FFA6ABC88}"/>
            </c:ext>
          </c:extLst>
        </c:ser>
        <c:ser>
          <c:idx val="6"/>
          <c:order val="6"/>
          <c:tx>
            <c:strRef>
              <c:f>Hazard8!$C$877</c:f>
              <c:strCache>
                <c:ptCount val="1"/>
                <c:pt idx="0">
                  <c:v>PH Lab Testing</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Hazard8!$J$878</c:f>
              <c:strCache>
                <c:ptCount val="1"/>
                <c:pt idx="0">
                  <c:v>Not Calculated</c:v>
                </c:pt>
              </c:strCache>
            </c:strRef>
          </c:xVal>
          <c:yVal>
            <c:numRef>
              <c:f>Hazard8!$J$879</c:f>
              <c:numCache>
                <c:formatCode>General</c:formatCode>
                <c:ptCount val="1"/>
                <c:pt idx="0">
                  <c:v>0</c:v>
                </c:pt>
              </c:numCache>
            </c:numRef>
          </c:yVal>
          <c:smooth val="0"/>
          <c:extLst>
            <c:ext xmlns:c16="http://schemas.microsoft.com/office/drawing/2014/chart" uri="{C3380CC4-5D6E-409C-BE32-E72D297353CC}">
              <c16:uniqueId val="{00000006-4A1F-4332-B2A3-9B7FFA6ABC88}"/>
            </c:ext>
          </c:extLst>
        </c:ser>
        <c:ser>
          <c:idx val="7"/>
          <c:order val="7"/>
          <c:tx>
            <c:strRef>
              <c:f>Hazard8!$C$881</c:f>
              <c:strCache>
                <c:ptCount val="1"/>
                <c:pt idx="0">
                  <c:v>PH Surv &amp; Epi</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Hazard8!$J$882</c:f>
              <c:strCache>
                <c:ptCount val="1"/>
                <c:pt idx="0">
                  <c:v>Not Calculated</c:v>
                </c:pt>
              </c:strCache>
            </c:strRef>
          </c:xVal>
          <c:yVal>
            <c:numRef>
              <c:f>Hazard8!$J$883</c:f>
              <c:numCache>
                <c:formatCode>General</c:formatCode>
                <c:ptCount val="1"/>
                <c:pt idx="0">
                  <c:v>0</c:v>
                </c:pt>
              </c:numCache>
            </c:numRef>
          </c:yVal>
          <c:smooth val="0"/>
          <c:extLst>
            <c:ext xmlns:c16="http://schemas.microsoft.com/office/drawing/2014/chart" uri="{C3380CC4-5D6E-409C-BE32-E72D297353CC}">
              <c16:uniqueId val="{00000007-4A1F-4332-B2A3-9B7FFA6ABC88}"/>
            </c:ext>
          </c:extLst>
        </c:ser>
        <c:ser>
          <c:idx val="8"/>
          <c:order val="8"/>
          <c:tx>
            <c:strRef>
              <c:f>Hazard8!$C$885</c:f>
              <c:strCache>
                <c:ptCount val="1"/>
                <c:pt idx="0">
                  <c:v>Responder Safety</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Hazard8!$J$886</c:f>
              <c:strCache>
                <c:ptCount val="1"/>
                <c:pt idx="0">
                  <c:v>Not Calculated</c:v>
                </c:pt>
              </c:strCache>
            </c:strRef>
          </c:xVal>
          <c:yVal>
            <c:numRef>
              <c:f>Hazard8!$J$887</c:f>
              <c:numCache>
                <c:formatCode>General</c:formatCode>
                <c:ptCount val="1"/>
                <c:pt idx="0">
                  <c:v>0</c:v>
                </c:pt>
              </c:numCache>
            </c:numRef>
          </c:yVal>
          <c:smooth val="0"/>
          <c:extLst>
            <c:ext xmlns:c16="http://schemas.microsoft.com/office/drawing/2014/chart" uri="{C3380CC4-5D6E-409C-BE32-E72D297353CC}">
              <c16:uniqueId val="{00000008-4A1F-4332-B2A3-9B7FFA6ABC88}"/>
            </c:ext>
          </c:extLst>
        </c:ser>
        <c:ser>
          <c:idx val="9"/>
          <c:order val="9"/>
          <c:tx>
            <c:strRef>
              <c:f>Hazard8!$C$889</c:f>
              <c:strCache>
                <c:ptCount val="1"/>
                <c:pt idx="0">
                  <c:v>Volunteer Mgmt</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Hazard8!$J$890</c:f>
              <c:strCache>
                <c:ptCount val="1"/>
                <c:pt idx="0">
                  <c:v>Not Calculated</c:v>
                </c:pt>
              </c:strCache>
            </c:strRef>
          </c:xVal>
          <c:yVal>
            <c:numRef>
              <c:f>Hazard8!$J$891</c:f>
              <c:numCache>
                <c:formatCode>General</c:formatCode>
                <c:ptCount val="1"/>
                <c:pt idx="0">
                  <c:v>0</c:v>
                </c:pt>
              </c:numCache>
            </c:numRef>
          </c:yVal>
          <c:smooth val="0"/>
          <c:extLst>
            <c:ext xmlns:c16="http://schemas.microsoft.com/office/drawing/2014/chart" uri="{C3380CC4-5D6E-409C-BE32-E72D297353CC}">
              <c16:uniqueId val="{00000009-4A1F-4332-B2A3-9B7FFA6ABC88}"/>
            </c:ext>
          </c:extLst>
        </c:ser>
        <c:ser>
          <c:idx val="10"/>
          <c:order val="10"/>
          <c:tx>
            <c:strRef>
              <c:f>Hazard8!$C$833</c:f>
              <c:strCache>
                <c:ptCount val="1"/>
                <c:pt idx="0">
                  <c:v>Community Prep</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Hazard8!$J$834</c:f>
              <c:strCache>
                <c:ptCount val="1"/>
                <c:pt idx="0">
                  <c:v>Not Calculated</c:v>
                </c:pt>
              </c:strCache>
            </c:strRef>
          </c:xVal>
          <c:yVal>
            <c:numRef>
              <c:f>Hazard8!$J$835</c:f>
              <c:numCache>
                <c:formatCode>General</c:formatCode>
                <c:ptCount val="1"/>
                <c:pt idx="0">
                  <c:v>0</c:v>
                </c:pt>
              </c:numCache>
            </c:numRef>
          </c:yVal>
          <c:smooth val="0"/>
          <c:extLst>
            <c:ext xmlns:c16="http://schemas.microsoft.com/office/drawing/2014/chart" uri="{C3380CC4-5D6E-409C-BE32-E72D297353CC}">
              <c16:uniqueId val="{0000000A-4A1F-4332-B2A3-9B7FFA6ABC88}"/>
            </c:ext>
          </c:extLst>
        </c:ser>
        <c:ser>
          <c:idx val="11"/>
          <c:order val="11"/>
          <c:tx>
            <c:strRef>
              <c:f>Hazard8!$C$837</c:f>
              <c:strCache>
                <c:ptCount val="1"/>
                <c:pt idx="0">
                  <c:v>Community Recov</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Hazard8!$J$838</c:f>
              <c:strCache>
                <c:ptCount val="1"/>
                <c:pt idx="0">
                  <c:v>Not Calculated</c:v>
                </c:pt>
              </c:strCache>
            </c:strRef>
          </c:xVal>
          <c:yVal>
            <c:numRef>
              <c:f>Hazard8!$J$839</c:f>
              <c:numCache>
                <c:formatCode>General</c:formatCode>
                <c:ptCount val="1"/>
                <c:pt idx="0">
                  <c:v>0</c:v>
                </c:pt>
              </c:numCache>
            </c:numRef>
          </c:yVal>
          <c:smooth val="0"/>
          <c:extLst>
            <c:ext xmlns:c16="http://schemas.microsoft.com/office/drawing/2014/chart" uri="{C3380CC4-5D6E-409C-BE32-E72D297353CC}">
              <c16:uniqueId val="{0000000B-4A1F-4332-B2A3-9B7FFA6ABC88}"/>
            </c:ext>
          </c:extLst>
        </c:ser>
        <c:ser>
          <c:idx val="12"/>
          <c:order val="12"/>
          <c:tx>
            <c:strRef>
              <c:f>Hazard8!$C$841</c:f>
              <c:strCache>
                <c:ptCount val="1"/>
                <c:pt idx="0">
                  <c:v>Emerg Ops Coord</c:v>
                </c:pt>
              </c:strCache>
            </c:strRef>
          </c:tx>
          <c:spPr>
            <a:ln w="66675">
              <a:noFill/>
            </a:ln>
          </c:spPr>
          <c:dLbls>
            <c:spPr>
              <a:noFill/>
              <a:ln>
                <a:noFill/>
              </a:ln>
              <a:effectLst/>
            </c:sp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Hazard8!$J$842</c:f>
              <c:strCache>
                <c:ptCount val="1"/>
                <c:pt idx="0">
                  <c:v>Not Calculated</c:v>
                </c:pt>
              </c:strCache>
            </c:strRef>
          </c:xVal>
          <c:yVal>
            <c:numRef>
              <c:f>Hazard8!$J$843</c:f>
              <c:numCache>
                <c:formatCode>General</c:formatCode>
                <c:ptCount val="1"/>
                <c:pt idx="0">
                  <c:v>0</c:v>
                </c:pt>
              </c:numCache>
            </c:numRef>
          </c:yVal>
          <c:smooth val="0"/>
          <c:extLst>
            <c:ext xmlns:c16="http://schemas.microsoft.com/office/drawing/2014/chart" uri="{C3380CC4-5D6E-409C-BE32-E72D297353CC}">
              <c16:uniqueId val="{0000000C-4A1F-4332-B2A3-9B7FFA6ABC88}"/>
            </c:ext>
          </c:extLst>
        </c:ser>
        <c:ser>
          <c:idx val="13"/>
          <c:order val="13"/>
          <c:tx>
            <c:strRef>
              <c:f>Hazard8!$C$845</c:f>
              <c:strCache>
                <c:ptCount val="1"/>
                <c:pt idx="0">
                  <c:v>Emerg Public Info</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Hazard8!$J$846</c:f>
              <c:strCache>
                <c:ptCount val="1"/>
                <c:pt idx="0">
                  <c:v>Not Calculated</c:v>
                </c:pt>
              </c:strCache>
            </c:strRef>
          </c:xVal>
          <c:yVal>
            <c:numRef>
              <c:f>Hazard8!$J$847</c:f>
              <c:numCache>
                <c:formatCode>General</c:formatCode>
                <c:ptCount val="1"/>
                <c:pt idx="0">
                  <c:v>0</c:v>
                </c:pt>
              </c:numCache>
            </c:numRef>
          </c:yVal>
          <c:smooth val="0"/>
          <c:extLst>
            <c:ext xmlns:c16="http://schemas.microsoft.com/office/drawing/2014/chart" uri="{C3380CC4-5D6E-409C-BE32-E72D297353CC}">
              <c16:uniqueId val="{0000000D-4A1F-4332-B2A3-9B7FFA6ABC88}"/>
            </c:ext>
          </c:extLst>
        </c:ser>
        <c:ser>
          <c:idx val="14"/>
          <c:order val="14"/>
          <c:tx>
            <c:strRef>
              <c:f>Drought!$C$964</c:f>
              <c:strCache>
                <c:ptCount val="1"/>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Drought!$J$965</c:f>
            </c:numRef>
          </c:xVal>
          <c:yVal>
            <c:numRef>
              <c:f>Drought!$J$966</c:f>
            </c:numRef>
          </c:yVal>
          <c:smooth val="0"/>
          <c:extLst>
            <c:ext xmlns:c16="http://schemas.microsoft.com/office/drawing/2014/chart" uri="{C3380CC4-5D6E-409C-BE32-E72D297353CC}">
              <c16:uniqueId val="{0000000E-4A1F-4332-B2A3-9B7FFA6ABC88}"/>
            </c:ext>
          </c:extLst>
        </c:ser>
        <c:ser>
          <c:idx val="15"/>
          <c:order val="15"/>
          <c:tx>
            <c:strRef>
              <c:f>Hazard8!$C$849</c:f>
              <c:strCache>
                <c:ptCount val="1"/>
                <c:pt idx="0">
                  <c:v>Fatality Mgmt</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Hazard8!$J$850</c:f>
              <c:strCache>
                <c:ptCount val="1"/>
                <c:pt idx="0">
                  <c:v>Not Calculated</c:v>
                </c:pt>
              </c:strCache>
            </c:strRef>
          </c:xVal>
          <c:yVal>
            <c:numRef>
              <c:f>Hazard8!$J$851</c:f>
              <c:numCache>
                <c:formatCode>General</c:formatCode>
                <c:ptCount val="1"/>
                <c:pt idx="0">
                  <c:v>0</c:v>
                </c:pt>
              </c:numCache>
            </c:numRef>
          </c:yVal>
          <c:smooth val="0"/>
          <c:extLst>
            <c:ext xmlns:c16="http://schemas.microsoft.com/office/drawing/2014/chart" uri="{C3380CC4-5D6E-409C-BE32-E72D297353CC}">
              <c16:uniqueId val="{0000000F-4A1F-4332-B2A3-9B7FFA6ABC88}"/>
            </c:ext>
          </c:extLst>
        </c:ser>
        <c:dLbls>
          <c:showLegendKey val="0"/>
          <c:showVal val="1"/>
          <c:showCatName val="0"/>
          <c:showSerName val="0"/>
          <c:showPercent val="0"/>
          <c:showBubbleSize val="0"/>
        </c:dLbls>
        <c:axId val="206467840"/>
        <c:axId val="206469760"/>
      </c:scatterChart>
      <c:valAx>
        <c:axId val="206467840"/>
        <c:scaling>
          <c:orientation val="minMax"/>
          <c:max val="4.5"/>
          <c:min val="0"/>
        </c:scaling>
        <c:delete val="0"/>
        <c:axPos val="b"/>
        <c:majorGridlines/>
        <c:title>
          <c:tx>
            <c:rich>
              <a:bodyPr/>
              <a:lstStyle/>
              <a:p>
                <a:pPr>
                  <a:defRPr b="0">
                    <a:latin typeface="+mj-lt"/>
                  </a:defRPr>
                </a:pPr>
                <a:r>
                  <a:rPr lang="en-US" sz="1600" b="0">
                    <a:latin typeface="+mj-lt"/>
                  </a:rPr>
                  <a:t>Capability Relevance to Hazard</a:t>
                </a:r>
              </a:p>
            </c:rich>
          </c:tx>
          <c:overlay val="0"/>
        </c:title>
        <c:numFmt formatCode="General" sourceLinked="1"/>
        <c:majorTickMark val="out"/>
        <c:minorTickMark val="none"/>
        <c:tickLblPos val="nextTo"/>
        <c:spPr>
          <a:ln>
            <a:solidFill>
              <a:schemeClr val="tx1"/>
            </a:solidFill>
          </a:ln>
        </c:spPr>
        <c:crossAx val="206469760"/>
        <c:crosses val="autoZero"/>
        <c:crossBetween val="midCat"/>
        <c:majorUnit val="1"/>
        <c:minorUnit val="0.1"/>
      </c:valAx>
      <c:valAx>
        <c:axId val="206469760"/>
        <c:scaling>
          <c:orientation val="minMax"/>
          <c:max val="4.5"/>
          <c:min val="0"/>
        </c:scaling>
        <c:delete val="0"/>
        <c:axPos val="l"/>
        <c:majorGridlines/>
        <c:title>
          <c:tx>
            <c:rich>
              <a:bodyPr rot="-5400000" vert="horz"/>
              <a:lstStyle/>
              <a:p>
                <a:pPr>
                  <a:defRPr sz="1600" b="0">
                    <a:latin typeface="+mj-lt"/>
                  </a:defRPr>
                </a:pPr>
                <a:r>
                  <a:rPr lang="en-US" sz="1600" b="0">
                    <a:latin typeface="+mj-lt"/>
                  </a:rPr>
                  <a:t>Capability Status</a:t>
                </a:r>
              </a:p>
            </c:rich>
          </c:tx>
          <c:overlay val="0"/>
        </c:title>
        <c:numFmt formatCode="General" sourceLinked="1"/>
        <c:majorTickMark val="out"/>
        <c:minorTickMark val="none"/>
        <c:tickLblPos val="nextTo"/>
        <c:spPr>
          <a:ln>
            <a:solidFill>
              <a:schemeClr val="tx1"/>
            </a:solidFill>
          </a:ln>
        </c:spPr>
        <c:crossAx val="206467840"/>
        <c:crosses val="autoZero"/>
        <c:crossBetween val="midCat"/>
        <c:majorUnit val="1"/>
        <c:minorUnit val="0.1"/>
      </c:valAx>
      <c:spPr>
        <a:gradFill flip="none" rotWithShape="1">
          <a:gsLst>
            <a:gs pos="0">
              <a:srgbClr val="63BE7B"/>
            </a:gs>
            <a:gs pos="50000">
              <a:srgbClr val="FFEB84"/>
            </a:gs>
            <a:gs pos="100000">
              <a:srgbClr val="F8696B"/>
            </a:gs>
          </a:gsLst>
          <a:lin ang="27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defRPr b="0" u="sng">
                <a:latin typeface="+mj-lt"/>
              </a:defRPr>
            </a:pPr>
            <a:r>
              <a:rPr lang="en-US" b="0" u="sng">
                <a:latin typeface="+mj-lt"/>
              </a:rPr>
              <a:t>Healthcare Preparedness</a:t>
            </a:r>
          </a:p>
        </c:rich>
      </c:tx>
      <c:layout>
        <c:manualLayout>
          <c:xMode val="edge"/>
          <c:yMode val="edge"/>
          <c:x val="0.38019690321630645"/>
          <c:y val="1.3244983721297133E-2"/>
        </c:manualLayout>
      </c:layout>
      <c:overlay val="0"/>
    </c:title>
    <c:autoTitleDeleted val="0"/>
    <c:plotArea>
      <c:layout/>
      <c:scatterChart>
        <c:scatterStyle val="lineMarker"/>
        <c:varyColors val="0"/>
        <c:ser>
          <c:idx val="0"/>
          <c:order val="0"/>
          <c:tx>
            <c:strRef>
              <c:f>Hazard8!$C$903</c:f>
              <c:strCache>
                <c:ptCount val="1"/>
                <c:pt idx="0">
                  <c:v>HC System Prep</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Hazard8!$J$904</c:f>
              <c:strCache>
                <c:ptCount val="1"/>
                <c:pt idx="0">
                  <c:v>Not Calculated</c:v>
                </c:pt>
              </c:strCache>
            </c:strRef>
          </c:xVal>
          <c:yVal>
            <c:numRef>
              <c:f>Hazard8!$J$905</c:f>
              <c:numCache>
                <c:formatCode>General</c:formatCode>
                <c:ptCount val="1"/>
                <c:pt idx="0">
                  <c:v>0</c:v>
                </c:pt>
              </c:numCache>
            </c:numRef>
          </c:yVal>
          <c:smooth val="0"/>
          <c:extLst>
            <c:ext xmlns:c16="http://schemas.microsoft.com/office/drawing/2014/chart" uri="{C3380CC4-5D6E-409C-BE32-E72D297353CC}">
              <c16:uniqueId val="{00000000-D11D-4D62-8BC3-38BC4D538488}"/>
            </c:ext>
          </c:extLst>
        </c:ser>
        <c:ser>
          <c:idx val="1"/>
          <c:order val="1"/>
          <c:tx>
            <c:strRef>
              <c:f>Hazard8!$C$907</c:f>
              <c:strCache>
                <c:ptCount val="1"/>
                <c:pt idx="0">
                  <c:v>HC System Recov</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Hazard8!$J$908</c:f>
              <c:strCache>
                <c:ptCount val="1"/>
                <c:pt idx="0">
                  <c:v>Not Calculated</c:v>
                </c:pt>
              </c:strCache>
            </c:strRef>
          </c:xVal>
          <c:yVal>
            <c:numRef>
              <c:f>Hazard8!$J$909</c:f>
              <c:numCache>
                <c:formatCode>General</c:formatCode>
                <c:ptCount val="1"/>
                <c:pt idx="0">
                  <c:v>0</c:v>
                </c:pt>
              </c:numCache>
            </c:numRef>
          </c:yVal>
          <c:smooth val="0"/>
          <c:extLst>
            <c:ext xmlns:c16="http://schemas.microsoft.com/office/drawing/2014/chart" uri="{C3380CC4-5D6E-409C-BE32-E72D297353CC}">
              <c16:uniqueId val="{00000001-D11D-4D62-8BC3-38BC4D538488}"/>
            </c:ext>
          </c:extLst>
        </c:ser>
        <c:ser>
          <c:idx val="2"/>
          <c:order val="2"/>
          <c:tx>
            <c:strRef>
              <c:f>Hazard8!$C$911</c:f>
              <c:strCache>
                <c:ptCount val="1"/>
                <c:pt idx="0">
                  <c:v>Emerg Ops Coord</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Hazard8!$J$912</c:f>
              <c:strCache>
                <c:ptCount val="1"/>
                <c:pt idx="0">
                  <c:v>Not Calculated</c:v>
                </c:pt>
              </c:strCache>
            </c:strRef>
          </c:xVal>
          <c:yVal>
            <c:numRef>
              <c:f>Hazard8!$J$913</c:f>
              <c:numCache>
                <c:formatCode>General</c:formatCode>
                <c:ptCount val="1"/>
                <c:pt idx="0">
                  <c:v>0</c:v>
                </c:pt>
              </c:numCache>
            </c:numRef>
          </c:yVal>
          <c:smooth val="0"/>
          <c:extLst>
            <c:ext xmlns:c16="http://schemas.microsoft.com/office/drawing/2014/chart" uri="{C3380CC4-5D6E-409C-BE32-E72D297353CC}">
              <c16:uniqueId val="{00000002-D11D-4D62-8BC3-38BC4D538488}"/>
            </c:ext>
          </c:extLst>
        </c:ser>
        <c:ser>
          <c:idx val="3"/>
          <c:order val="3"/>
          <c:tx>
            <c:strRef>
              <c:f>Hazard8!$C$915</c:f>
              <c:strCache>
                <c:ptCount val="1"/>
                <c:pt idx="0">
                  <c:v>Fatality Mgmt</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Hazard8!$J$916</c:f>
              <c:strCache>
                <c:ptCount val="1"/>
                <c:pt idx="0">
                  <c:v>Not Calculated</c:v>
                </c:pt>
              </c:strCache>
            </c:strRef>
          </c:xVal>
          <c:yVal>
            <c:numRef>
              <c:f>Hazard8!$J$917</c:f>
              <c:numCache>
                <c:formatCode>General</c:formatCode>
                <c:ptCount val="1"/>
                <c:pt idx="0">
                  <c:v>0</c:v>
                </c:pt>
              </c:numCache>
            </c:numRef>
          </c:yVal>
          <c:smooth val="0"/>
          <c:extLst>
            <c:ext xmlns:c16="http://schemas.microsoft.com/office/drawing/2014/chart" uri="{C3380CC4-5D6E-409C-BE32-E72D297353CC}">
              <c16:uniqueId val="{00000003-D11D-4D62-8BC3-38BC4D538488}"/>
            </c:ext>
          </c:extLst>
        </c:ser>
        <c:ser>
          <c:idx val="4"/>
          <c:order val="4"/>
          <c:tx>
            <c:strRef>
              <c:f>Hazard8!$C$919</c:f>
              <c:strCache>
                <c:ptCount val="1"/>
                <c:pt idx="0">
                  <c:v>Info Sharing</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Hazard8!$J$920</c:f>
              <c:strCache>
                <c:ptCount val="1"/>
                <c:pt idx="0">
                  <c:v>Not Calculated</c:v>
                </c:pt>
              </c:strCache>
            </c:strRef>
          </c:xVal>
          <c:yVal>
            <c:numRef>
              <c:f>Hazard8!$J$921</c:f>
              <c:numCache>
                <c:formatCode>General</c:formatCode>
                <c:ptCount val="1"/>
                <c:pt idx="0">
                  <c:v>0</c:v>
                </c:pt>
              </c:numCache>
            </c:numRef>
          </c:yVal>
          <c:smooth val="0"/>
          <c:extLst>
            <c:ext xmlns:c16="http://schemas.microsoft.com/office/drawing/2014/chart" uri="{C3380CC4-5D6E-409C-BE32-E72D297353CC}">
              <c16:uniqueId val="{00000004-D11D-4D62-8BC3-38BC4D538488}"/>
            </c:ext>
          </c:extLst>
        </c:ser>
        <c:ser>
          <c:idx val="5"/>
          <c:order val="5"/>
          <c:tx>
            <c:strRef>
              <c:f>Hazard8!$C$923</c:f>
              <c:strCache>
                <c:ptCount val="1"/>
                <c:pt idx="0">
                  <c:v>Medical Surge</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Hazard8!$J$924</c:f>
              <c:strCache>
                <c:ptCount val="1"/>
                <c:pt idx="0">
                  <c:v>Not Calculated</c:v>
                </c:pt>
              </c:strCache>
            </c:strRef>
          </c:xVal>
          <c:yVal>
            <c:numRef>
              <c:f>Hazard8!$J$925</c:f>
              <c:numCache>
                <c:formatCode>General</c:formatCode>
                <c:ptCount val="1"/>
                <c:pt idx="0">
                  <c:v>0</c:v>
                </c:pt>
              </c:numCache>
            </c:numRef>
          </c:yVal>
          <c:smooth val="0"/>
          <c:extLst>
            <c:ext xmlns:c16="http://schemas.microsoft.com/office/drawing/2014/chart" uri="{C3380CC4-5D6E-409C-BE32-E72D297353CC}">
              <c16:uniqueId val="{00000005-D11D-4D62-8BC3-38BC4D538488}"/>
            </c:ext>
          </c:extLst>
        </c:ser>
        <c:ser>
          <c:idx val="6"/>
          <c:order val="6"/>
          <c:tx>
            <c:strRef>
              <c:f>Hazard8!$C$927</c:f>
              <c:strCache>
                <c:ptCount val="1"/>
                <c:pt idx="0">
                  <c:v>Responder Safety</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Hazard8!$J$928</c:f>
              <c:strCache>
                <c:ptCount val="1"/>
                <c:pt idx="0">
                  <c:v>Not Calculated</c:v>
                </c:pt>
              </c:strCache>
            </c:strRef>
          </c:xVal>
          <c:yVal>
            <c:numRef>
              <c:f>Hazard8!$J$929</c:f>
              <c:numCache>
                <c:formatCode>General</c:formatCode>
                <c:ptCount val="1"/>
                <c:pt idx="0">
                  <c:v>0</c:v>
                </c:pt>
              </c:numCache>
            </c:numRef>
          </c:yVal>
          <c:smooth val="0"/>
          <c:extLst>
            <c:ext xmlns:c16="http://schemas.microsoft.com/office/drawing/2014/chart" uri="{C3380CC4-5D6E-409C-BE32-E72D297353CC}">
              <c16:uniqueId val="{00000006-D11D-4D62-8BC3-38BC4D538488}"/>
            </c:ext>
          </c:extLst>
        </c:ser>
        <c:ser>
          <c:idx val="7"/>
          <c:order val="7"/>
          <c:tx>
            <c:strRef>
              <c:f>Hazard8!$C$931</c:f>
              <c:strCache>
                <c:ptCount val="1"/>
                <c:pt idx="0">
                  <c:v>Volunteer Mgmt</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Hazard8!$J$932</c:f>
              <c:strCache>
                <c:ptCount val="1"/>
                <c:pt idx="0">
                  <c:v>Not Calculated</c:v>
                </c:pt>
              </c:strCache>
            </c:strRef>
          </c:xVal>
          <c:yVal>
            <c:numRef>
              <c:f>Hazard8!$J$933</c:f>
              <c:numCache>
                <c:formatCode>General</c:formatCode>
                <c:ptCount val="1"/>
                <c:pt idx="0">
                  <c:v>0</c:v>
                </c:pt>
              </c:numCache>
            </c:numRef>
          </c:yVal>
          <c:smooth val="0"/>
          <c:extLst>
            <c:ext xmlns:c16="http://schemas.microsoft.com/office/drawing/2014/chart" uri="{C3380CC4-5D6E-409C-BE32-E72D297353CC}">
              <c16:uniqueId val="{00000007-D11D-4D62-8BC3-38BC4D538488}"/>
            </c:ext>
          </c:extLst>
        </c:ser>
        <c:ser>
          <c:idx val="14"/>
          <c:order val="8"/>
          <c:tx>
            <c:strRef>
              <c:f>Drought!$C$964</c:f>
              <c:strCache>
                <c:ptCount val="1"/>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Drought!$J$965</c:f>
            </c:numRef>
          </c:xVal>
          <c:yVal>
            <c:numRef>
              <c:f>Drought!$J$966</c:f>
            </c:numRef>
          </c:yVal>
          <c:smooth val="0"/>
          <c:extLst>
            <c:ext xmlns:c16="http://schemas.microsoft.com/office/drawing/2014/chart" uri="{C3380CC4-5D6E-409C-BE32-E72D297353CC}">
              <c16:uniqueId val="{00000008-D11D-4D62-8BC3-38BC4D538488}"/>
            </c:ext>
          </c:extLst>
        </c:ser>
        <c:dLbls>
          <c:showLegendKey val="0"/>
          <c:showVal val="1"/>
          <c:showCatName val="0"/>
          <c:showSerName val="0"/>
          <c:showPercent val="0"/>
          <c:showBubbleSize val="0"/>
        </c:dLbls>
        <c:axId val="206675968"/>
        <c:axId val="206677888"/>
      </c:scatterChart>
      <c:valAx>
        <c:axId val="206675968"/>
        <c:scaling>
          <c:orientation val="minMax"/>
          <c:max val="4.5"/>
          <c:min val="0"/>
        </c:scaling>
        <c:delete val="0"/>
        <c:axPos val="b"/>
        <c:majorGridlines/>
        <c:title>
          <c:tx>
            <c:rich>
              <a:bodyPr/>
              <a:lstStyle/>
              <a:p>
                <a:pPr>
                  <a:defRPr b="0">
                    <a:latin typeface="+mj-lt"/>
                  </a:defRPr>
                </a:pPr>
                <a:r>
                  <a:rPr lang="en-US" sz="1600" b="0">
                    <a:latin typeface="+mj-lt"/>
                  </a:rPr>
                  <a:t>Capability Relevance to Hazard</a:t>
                </a:r>
              </a:p>
            </c:rich>
          </c:tx>
          <c:overlay val="0"/>
        </c:title>
        <c:numFmt formatCode="General" sourceLinked="1"/>
        <c:majorTickMark val="out"/>
        <c:minorTickMark val="none"/>
        <c:tickLblPos val="nextTo"/>
        <c:spPr>
          <a:ln>
            <a:solidFill>
              <a:schemeClr val="tx1"/>
            </a:solidFill>
          </a:ln>
        </c:spPr>
        <c:crossAx val="206677888"/>
        <c:crosses val="autoZero"/>
        <c:crossBetween val="midCat"/>
        <c:majorUnit val="1"/>
        <c:minorUnit val="0.1"/>
      </c:valAx>
      <c:valAx>
        <c:axId val="206677888"/>
        <c:scaling>
          <c:orientation val="minMax"/>
          <c:max val="4.5"/>
          <c:min val="0"/>
        </c:scaling>
        <c:delete val="0"/>
        <c:axPos val="l"/>
        <c:majorGridlines/>
        <c:title>
          <c:tx>
            <c:rich>
              <a:bodyPr rot="-5400000" vert="horz"/>
              <a:lstStyle/>
              <a:p>
                <a:pPr>
                  <a:defRPr sz="1600" b="0">
                    <a:latin typeface="+mj-lt"/>
                  </a:defRPr>
                </a:pPr>
                <a:r>
                  <a:rPr lang="en-US" sz="1600" b="0">
                    <a:latin typeface="+mj-lt"/>
                  </a:rPr>
                  <a:t>Capability Status</a:t>
                </a:r>
              </a:p>
            </c:rich>
          </c:tx>
          <c:overlay val="0"/>
        </c:title>
        <c:numFmt formatCode="General" sourceLinked="1"/>
        <c:majorTickMark val="out"/>
        <c:minorTickMark val="none"/>
        <c:tickLblPos val="nextTo"/>
        <c:spPr>
          <a:ln>
            <a:solidFill>
              <a:schemeClr val="tx1"/>
            </a:solidFill>
          </a:ln>
        </c:spPr>
        <c:crossAx val="206675968"/>
        <c:crosses val="autoZero"/>
        <c:crossBetween val="midCat"/>
        <c:majorUnit val="1"/>
        <c:minorUnit val="0.1"/>
      </c:valAx>
      <c:spPr>
        <a:gradFill flip="none" rotWithShape="1">
          <a:gsLst>
            <a:gs pos="0">
              <a:srgbClr val="63BE7B"/>
            </a:gs>
            <a:gs pos="50000">
              <a:srgbClr val="FFEB84"/>
            </a:gs>
            <a:gs pos="100000">
              <a:srgbClr val="F8696B"/>
            </a:gs>
          </a:gsLst>
          <a:lin ang="27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b="0" u="sng">
                <a:latin typeface="+mj-lt"/>
              </a:defRPr>
            </a:pPr>
            <a:r>
              <a:rPr lang="en-US" b="0" u="sng">
                <a:latin typeface="+mj-lt"/>
              </a:rPr>
              <a:t>Probability vs. Healthcare System Severity</a:t>
            </a:r>
          </a:p>
        </c:rich>
      </c:tx>
      <c:layout>
        <c:manualLayout>
          <c:xMode val="edge"/>
          <c:yMode val="edge"/>
          <c:x val="0.28549704521135599"/>
          <c:y val="1.3244983721297133E-2"/>
        </c:manualLayout>
      </c:layout>
      <c:overlay val="0"/>
    </c:title>
    <c:autoTitleDeleted val="0"/>
    <c:plotArea>
      <c:layout/>
      <c:scatterChart>
        <c:scatterStyle val="lineMarker"/>
        <c:varyColors val="0"/>
        <c:ser>
          <c:idx val="0"/>
          <c:order val="0"/>
          <c:tx>
            <c:strRef>
              <c:f>'Summary of Scores'!$B$8</c:f>
              <c:strCache>
                <c:ptCount val="1"/>
                <c:pt idx="0">
                  <c:v>Active Shooter</c:v>
                </c:pt>
              </c:strCache>
            </c:strRef>
          </c:tx>
          <c:spPr>
            <a:ln w="66675">
              <a:noFill/>
            </a:ln>
          </c:spPr>
          <c:dLbls>
            <c:dLbl>
              <c:idx val="0"/>
              <c:layout>
                <c:manualLayout>
                  <c:x val="-7.1333756677780538E-2"/>
                  <c:y val="0"/>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AAE4-486C-927D-BDA51423610D}"/>
                </c:ext>
              </c:extLst>
            </c:dLbl>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Scores'!$E$8</c:f>
              <c:strCache>
                <c:ptCount val="1"/>
                <c:pt idx="0">
                  <c:v>Not Calculated</c:v>
                </c:pt>
              </c:strCache>
            </c:strRef>
          </c:xVal>
          <c:yVal>
            <c:numRef>
              <c:f>'Summary of Scores'!$C$8</c:f>
              <c:numCache>
                <c:formatCode>General</c:formatCode>
                <c:ptCount val="1"/>
                <c:pt idx="0">
                  <c:v>2</c:v>
                </c:pt>
              </c:numCache>
            </c:numRef>
          </c:yVal>
          <c:smooth val="0"/>
          <c:extLst>
            <c:ext xmlns:c16="http://schemas.microsoft.com/office/drawing/2014/chart" uri="{C3380CC4-5D6E-409C-BE32-E72D297353CC}">
              <c16:uniqueId val="{00000001-AAE4-486C-927D-BDA51423610D}"/>
            </c:ext>
          </c:extLst>
        </c:ser>
        <c:ser>
          <c:idx val="1"/>
          <c:order val="1"/>
          <c:tx>
            <c:strRef>
              <c:f>'Summary of Scores'!$B$9</c:f>
              <c:strCache>
                <c:ptCount val="1"/>
                <c:pt idx="0">
                  <c:v>Bio Terrorism</c:v>
                </c:pt>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Scores'!$E$9</c:f>
              <c:strCache>
                <c:ptCount val="1"/>
                <c:pt idx="0">
                  <c:v>Not Calculated</c:v>
                </c:pt>
              </c:strCache>
            </c:strRef>
          </c:xVal>
          <c:yVal>
            <c:numRef>
              <c:f>'Summary of Scores'!$C$9</c:f>
              <c:numCache>
                <c:formatCode>General</c:formatCode>
                <c:ptCount val="1"/>
                <c:pt idx="0">
                  <c:v>1</c:v>
                </c:pt>
              </c:numCache>
            </c:numRef>
          </c:yVal>
          <c:smooth val="0"/>
          <c:extLst>
            <c:ext xmlns:c16="http://schemas.microsoft.com/office/drawing/2014/chart" uri="{C3380CC4-5D6E-409C-BE32-E72D297353CC}">
              <c16:uniqueId val="{00000002-AAE4-486C-927D-BDA51423610D}"/>
            </c:ext>
          </c:extLst>
        </c:ser>
        <c:ser>
          <c:idx val="2"/>
          <c:order val="2"/>
          <c:tx>
            <c:strRef>
              <c:f>'Summary of Scores'!$B$10</c:f>
              <c:strCache>
                <c:ptCount val="1"/>
                <c:pt idx="0">
                  <c:v>Chem Terrorism</c:v>
                </c:pt>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Scores'!$E$10</c:f>
              <c:strCache>
                <c:ptCount val="1"/>
                <c:pt idx="0">
                  <c:v>Not Calculated</c:v>
                </c:pt>
              </c:strCache>
            </c:strRef>
          </c:xVal>
          <c:yVal>
            <c:numRef>
              <c:f>'Summary of Scores'!$C$10</c:f>
              <c:numCache>
                <c:formatCode>General</c:formatCode>
                <c:ptCount val="1"/>
                <c:pt idx="0">
                  <c:v>1</c:v>
                </c:pt>
              </c:numCache>
            </c:numRef>
          </c:yVal>
          <c:smooth val="0"/>
          <c:extLst>
            <c:ext xmlns:c16="http://schemas.microsoft.com/office/drawing/2014/chart" uri="{C3380CC4-5D6E-409C-BE32-E72D297353CC}">
              <c16:uniqueId val="{00000003-AAE4-486C-927D-BDA51423610D}"/>
            </c:ext>
          </c:extLst>
        </c:ser>
        <c:ser>
          <c:idx val="3"/>
          <c:order val="3"/>
          <c:tx>
            <c:strRef>
              <c:f>'Summary of Scores'!$B$11</c:f>
              <c:strCache>
                <c:ptCount val="1"/>
                <c:pt idx="0">
                  <c:v>Civil Disturbance</c:v>
                </c:pt>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Scores'!$E$11</c:f>
              <c:strCache>
                <c:ptCount val="1"/>
                <c:pt idx="0">
                  <c:v>Not Calculated</c:v>
                </c:pt>
              </c:strCache>
            </c:strRef>
          </c:xVal>
          <c:yVal>
            <c:numRef>
              <c:f>'Summary of Scores'!$C$11</c:f>
              <c:numCache>
                <c:formatCode>General</c:formatCode>
                <c:ptCount val="1"/>
                <c:pt idx="0">
                  <c:v>2</c:v>
                </c:pt>
              </c:numCache>
            </c:numRef>
          </c:yVal>
          <c:smooth val="0"/>
          <c:extLst>
            <c:ext xmlns:c16="http://schemas.microsoft.com/office/drawing/2014/chart" uri="{C3380CC4-5D6E-409C-BE32-E72D297353CC}">
              <c16:uniqueId val="{00000004-AAE4-486C-927D-BDA51423610D}"/>
            </c:ext>
          </c:extLst>
        </c:ser>
        <c:ser>
          <c:idx val="4"/>
          <c:order val="4"/>
          <c:tx>
            <c:strRef>
              <c:f>'Summary of Scores'!$B$12</c:f>
              <c:strCache>
                <c:ptCount val="1"/>
                <c:pt idx="0">
                  <c:v>Coastal Storm</c:v>
                </c:pt>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Scores'!$E$12</c:f>
              <c:strCache>
                <c:ptCount val="1"/>
                <c:pt idx="0">
                  <c:v>Not Calculated</c:v>
                </c:pt>
              </c:strCache>
            </c:strRef>
          </c:xVal>
          <c:yVal>
            <c:numRef>
              <c:f>'Summary of Scores'!$C$12</c:f>
              <c:numCache>
                <c:formatCode>General</c:formatCode>
                <c:ptCount val="1"/>
                <c:pt idx="0">
                  <c:v>0</c:v>
                </c:pt>
              </c:numCache>
            </c:numRef>
          </c:yVal>
          <c:smooth val="0"/>
          <c:extLst>
            <c:ext xmlns:c16="http://schemas.microsoft.com/office/drawing/2014/chart" uri="{C3380CC4-5D6E-409C-BE32-E72D297353CC}">
              <c16:uniqueId val="{00000005-AAE4-486C-927D-BDA51423610D}"/>
            </c:ext>
          </c:extLst>
        </c:ser>
        <c:ser>
          <c:idx val="5"/>
          <c:order val="5"/>
          <c:tx>
            <c:strRef>
              <c:f>'Summary of Scores'!$B$13</c:f>
              <c:strCache>
                <c:ptCount val="1"/>
                <c:pt idx="0">
                  <c:v>Conv Explosive</c:v>
                </c:pt>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Scores'!$E$13</c:f>
              <c:strCache>
                <c:ptCount val="1"/>
                <c:pt idx="0">
                  <c:v>Not Calculated</c:v>
                </c:pt>
              </c:strCache>
            </c:strRef>
          </c:xVal>
          <c:yVal>
            <c:numRef>
              <c:f>'Summary of Scores'!$C$13</c:f>
              <c:numCache>
                <c:formatCode>General</c:formatCode>
                <c:ptCount val="1"/>
                <c:pt idx="0">
                  <c:v>2</c:v>
                </c:pt>
              </c:numCache>
            </c:numRef>
          </c:yVal>
          <c:smooth val="0"/>
          <c:extLst>
            <c:ext xmlns:c16="http://schemas.microsoft.com/office/drawing/2014/chart" uri="{C3380CC4-5D6E-409C-BE32-E72D297353CC}">
              <c16:uniqueId val="{00000006-AAE4-486C-927D-BDA51423610D}"/>
            </c:ext>
          </c:extLst>
        </c:ser>
        <c:ser>
          <c:idx val="6"/>
          <c:order val="6"/>
          <c:tx>
            <c:strRef>
              <c:f>'Summary of Scores'!$B$14</c:f>
              <c:strCache>
                <c:ptCount val="1"/>
                <c:pt idx="0">
                  <c:v>Cyber Terrorism</c:v>
                </c:pt>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Scores'!$E$14</c:f>
              <c:strCache>
                <c:ptCount val="1"/>
                <c:pt idx="0">
                  <c:v>Not Calculated</c:v>
                </c:pt>
              </c:strCache>
            </c:strRef>
          </c:xVal>
          <c:yVal>
            <c:numRef>
              <c:f>'Summary of Scores'!$C$14</c:f>
              <c:numCache>
                <c:formatCode>General</c:formatCode>
                <c:ptCount val="1"/>
                <c:pt idx="0">
                  <c:v>1</c:v>
                </c:pt>
              </c:numCache>
            </c:numRef>
          </c:yVal>
          <c:smooth val="0"/>
          <c:extLst>
            <c:ext xmlns:c16="http://schemas.microsoft.com/office/drawing/2014/chart" uri="{C3380CC4-5D6E-409C-BE32-E72D297353CC}">
              <c16:uniqueId val="{00000007-AAE4-486C-927D-BDA51423610D}"/>
            </c:ext>
          </c:extLst>
        </c:ser>
        <c:ser>
          <c:idx val="7"/>
          <c:order val="7"/>
          <c:tx>
            <c:strRef>
              <c:f>'Summary of Scores'!$B$15</c:f>
              <c:strCache>
                <c:ptCount val="1"/>
                <c:pt idx="0">
                  <c:v>Drought</c:v>
                </c:pt>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Scores'!$E$15</c:f>
              <c:strCache>
                <c:ptCount val="1"/>
                <c:pt idx="0">
                  <c:v>Not Calculated</c:v>
                </c:pt>
              </c:strCache>
            </c:strRef>
          </c:xVal>
          <c:yVal>
            <c:numRef>
              <c:f>'Summary of Scores'!$C$15</c:f>
              <c:numCache>
                <c:formatCode>General</c:formatCode>
                <c:ptCount val="1"/>
                <c:pt idx="0">
                  <c:v>3</c:v>
                </c:pt>
              </c:numCache>
            </c:numRef>
          </c:yVal>
          <c:smooth val="0"/>
          <c:extLst>
            <c:ext xmlns:c16="http://schemas.microsoft.com/office/drawing/2014/chart" uri="{C3380CC4-5D6E-409C-BE32-E72D297353CC}">
              <c16:uniqueId val="{00000008-AAE4-486C-927D-BDA51423610D}"/>
            </c:ext>
          </c:extLst>
        </c:ser>
        <c:ser>
          <c:idx val="8"/>
          <c:order val="8"/>
          <c:tx>
            <c:strRef>
              <c:f>'Summary of Scores'!$B$16</c:f>
              <c:strCache>
                <c:ptCount val="1"/>
                <c:pt idx="0">
                  <c:v>Earthquake</c:v>
                </c:pt>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Scores'!$E$16</c:f>
              <c:strCache>
                <c:ptCount val="1"/>
                <c:pt idx="0">
                  <c:v>Not Calculated</c:v>
                </c:pt>
              </c:strCache>
            </c:strRef>
          </c:xVal>
          <c:yVal>
            <c:numRef>
              <c:f>'Summary of Scores'!$C$16</c:f>
              <c:numCache>
                <c:formatCode>General</c:formatCode>
                <c:ptCount val="1"/>
                <c:pt idx="0">
                  <c:v>2</c:v>
                </c:pt>
              </c:numCache>
            </c:numRef>
          </c:yVal>
          <c:smooth val="0"/>
          <c:extLst>
            <c:ext xmlns:c16="http://schemas.microsoft.com/office/drawing/2014/chart" uri="{C3380CC4-5D6E-409C-BE32-E72D297353CC}">
              <c16:uniqueId val="{00000009-AAE4-486C-927D-BDA51423610D}"/>
            </c:ext>
          </c:extLst>
        </c:ser>
        <c:ser>
          <c:idx val="9"/>
          <c:order val="9"/>
          <c:tx>
            <c:strRef>
              <c:f>'Summary of Scores'!$B$26</c:f>
              <c:strCache>
                <c:ptCount val="1"/>
                <c:pt idx="0">
                  <c:v>Wildfire</c:v>
                </c:pt>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Scores'!$E$26</c:f>
              <c:strCache>
                <c:ptCount val="1"/>
                <c:pt idx="0">
                  <c:v>Not Calculated</c:v>
                </c:pt>
              </c:strCache>
            </c:strRef>
          </c:xVal>
          <c:yVal>
            <c:numRef>
              <c:f>'Summary of Scores'!$C$26</c:f>
              <c:numCache>
                <c:formatCode>General</c:formatCode>
                <c:ptCount val="1"/>
                <c:pt idx="0">
                  <c:v>0</c:v>
                </c:pt>
              </c:numCache>
            </c:numRef>
          </c:yVal>
          <c:smooth val="0"/>
          <c:extLst>
            <c:ext xmlns:c16="http://schemas.microsoft.com/office/drawing/2014/chart" uri="{C3380CC4-5D6E-409C-BE32-E72D297353CC}">
              <c16:uniqueId val="{0000000A-AAE4-486C-927D-BDA51423610D}"/>
            </c:ext>
          </c:extLst>
        </c:ser>
        <c:ser>
          <c:idx val="10"/>
          <c:order val="10"/>
          <c:tx>
            <c:strRef>
              <c:f>'Summary of Scores'!$B$17</c:f>
              <c:strCache>
                <c:ptCount val="1"/>
                <c:pt idx="0">
                  <c:v>Flood</c:v>
                </c:pt>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Scores'!$E$17</c:f>
              <c:strCache>
                <c:ptCount val="1"/>
                <c:pt idx="0">
                  <c:v>Not Calculated</c:v>
                </c:pt>
              </c:strCache>
            </c:strRef>
          </c:xVal>
          <c:yVal>
            <c:numRef>
              <c:f>'Summary of Scores'!$C$17</c:f>
              <c:numCache>
                <c:formatCode>General</c:formatCode>
                <c:ptCount val="1"/>
                <c:pt idx="0">
                  <c:v>3</c:v>
                </c:pt>
              </c:numCache>
            </c:numRef>
          </c:yVal>
          <c:smooth val="0"/>
          <c:extLst>
            <c:ext xmlns:c16="http://schemas.microsoft.com/office/drawing/2014/chart" uri="{C3380CC4-5D6E-409C-BE32-E72D297353CC}">
              <c16:uniqueId val="{0000000B-AAE4-486C-927D-BDA51423610D}"/>
            </c:ext>
          </c:extLst>
        </c:ser>
        <c:ser>
          <c:idx val="11"/>
          <c:order val="11"/>
          <c:tx>
            <c:strRef>
              <c:f>'Summary of Scores'!$B$18</c:f>
              <c:strCache>
                <c:ptCount val="1"/>
                <c:pt idx="0">
                  <c:v>HazMat Release</c:v>
                </c:pt>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Scores'!$E$18</c:f>
              <c:strCache>
                <c:ptCount val="1"/>
                <c:pt idx="0">
                  <c:v>Not Calculated</c:v>
                </c:pt>
              </c:strCache>
            </c:strRef>
          </c:xVal>
          <c:yVal>
            <c:numRef>
              <c:f>'Summary of Scores'!$C$18</c:f>
              <c:numCache>
                <c:formatCode>General</c:formatCode>
                <c:ptCount val="1"/>
                <c:pt idx="0">
                  <c:v>2</c:v>
                </c:pt>
              </c:numCache>
            </c:numRef>
          </c:yVal>
          <c:smooth val="0"/>
          <c:extLst>
            <c:ext xmlns:c16="http://schemas.microsoft.com/office/drawing/2014/chart" uri="{C3380CC4-5D6E-409C-BE32-E72D297353CC}">
              <c16:uniqueId val="{0000000C-AAE4-486C-927D-BDA51423610D}"/>
            </c:ext>
          </c:extLst>
        </c:ser>
        <c:ser>
          <c:idx val="12"/>
          <c:order val="12"/>
          <c:tx>
            <c:strRef>
              <c:f>'Summary of Scores'!$B$19</c:f>
              <c:strCache>
                <c:ptCount val="1"/>
                <c:pt idx="0">
                  <c:v>Localized ID</c:v>
                </c:pt>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Scores'!$E$19</c:f>
              <c:strCache>
                <c:ptCount val="1"/>
                <c:pt idx="0">
                  <c:v>Not Calculated</c:v>
                </c:pt>
              </c:strCache>
            </c:strRef>
          </c:xVal>
          <c:yVal>
            <c:numRef>
              <c:f>'Summary of Scores'!$C$19</c:f>
              <c:numCache>
                <c:formatCode>General</c:formatCode>
                <c:ptCount val="1"/>
                <c:pt idx="0">
                  <c:v>3</c:v>
                </c:pt>
              </c:numCache>
            </c:numRef>
          </c:yVal>
          <c:smooth val="0"/>
          <c:extLst>
            <c:ext xmlns:c16="http://schemas.microsoft.com/office/drawing/2014/chart" uri="{C3380CC4-5D6E-409C-BE32-E72D297353CC}">
              <c16:uniqueId val="{0000000D-AAE4-486C-927D-BDA51423610D}"/>
            </c:ext>
          </c:extLst>
        </c:ser>
        <c:ser>
          <c:idx val="13"/>
          <c:order val="13"/>
          <c:tx>
            <c:strRef>
              <c:f>'Summary of Scores'!$B$20</c:f>
              <c:strCache>
                <c:ptCount val="1"/>
                <c:pt idx="0">
                  <c:v>Nuclear Facility</c:v>
                </c:pt>
              </c:strCache>
            </c:strRef>
          </c:tx>
          <c:spPr>
            <a:ln w="66675">
              <a:noFill/>
            </a:ln>
          </c:spPr>
          <c:dLbls>
            <c:dLbl>
              <c:idx val="0"/>
              <c:layout>
                <c:manualLayout>
                  <c:x val="-7.7765419365270191E-2"/>
                  <c:y val="0"/>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AAE4-486C-927D-BDA51423610D}"/>
                </c:ext>
              </c:extLst>
            </c:dLbl>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Scores'!$E$20</c:f>
              <c:strCache>
                <c:ptCount val="1"/>
                <c:pt idx="0">
                  <c:v>Not Calculated</c:v>
                </c:pt>
              </c:strCache>
            </c:strRef>
          </c:xVal>
          <c:yVal>
            <c:numRef>
              <c:f>'Summary of Scores'!$C$20</c:f>
              <c:numCache>
                <c:formatCode>General</c:formatCode>
                <c:ptCount val="1"/>
                <c:pt idx="0">
                  <c:v>0</c:v>
                </c:pt>
              </c:numCache>
            </c:numRef>
          </c:yVal>
          <c:smooth val="0"/>
          <c:extLst>
            <c:ext xmlns:c16="http://schemas.microsoft.com/office/drawing/2014/chart" uri="{C3380CC4-5D6E-409C-BE32-E72D297353CC}">
              <c16:uniqueId val="{0000000F-AAE4-486C-927D-BDA51423610D}"/>
            </c:ext>
          </c:extLst>
        </c:ser>
        <c:ser>
          <c:idx val="14"/>
          <c:order val="14"/>
          <c:tx>
            <c:strRef>
              <c:f>'Summary of Scores'!$B$21</c:f>
              <c:strCache>
                <c:ptCount val="1"/>
                <c:pt idx="0">
                  <c:v>Pandemic</c:v>
                </c:pt>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Scores'!$E$21</c:f>
              <c:strCache>
                <c:ptCount val="1"/>
                <c:pt idx="0">
                  <c:v>Not Calculated</c:v>
                </c:pt>
              </c:strCache>
            </c:strRef>
          </c:xVal>
          <c:yVal>
            <c:numRef>
              <c:f>'Summary of Scores'!$C$21</c:f>
              <c:numCache>
                <c:formatCode>General</c:formatCode>
                <c:ptCount val="1"/>
                <c:pt idx="0">
                  <c:v>2</c:v>
                </c:pt>
              </c:numCache>
            </c:numRef>
          </c:yVal>
          <c:smooth val="0"/>
          <c:extLst>
            <c:ext xmlns:c16="http://schemas.microsoft.com/office/drawing/2014/chart" uri="{C3380CC4-5D6E-409C-BE32-E72D297353CC}">
              <c16:uniqueId val="{00000010-AAE4-486C-927D-BDA51423610D}"/>
            </c:ext>
          </c:extLst>
        </c:ser>
        <c:ser>
          <c:idx val="15"/>
          <c:order val="15"/>
          <c:tx>
            <c:strRef>
              <c:f>'Summary of Scores'!$B$22</c:f>
              <c:strCache>
                <c:ptCount val="1"/>
                <c:pt idx="0">
                  <c:v>RDD</c:v>
                </c:pt>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Scores'!$E$22</c:f>
              <c:strCache>
                <c:ptCount val="1"/>
                <c:pt idx="0">
                  <c:v>Not Calculated</c:v>
                </c:pt>
              </c:strCache>
            </c:strRef>
          </c:xVal>
          <c:yVal>
            <c:numRef>
              <c:f>'Summary of Scores'!$C$22</c:f>
              <c:numCache>
                <c:formatCode>General</c:formatCode>
                <c:ptCount val="1"/>
                <c:pt idx="0">
                  <c:v>1</c:v>
                </c:pt>
              </c:numCache>
            </c:numRef>
          </c:yVal>
          <c:smooth val="0"/>
          <c:extLst>
            <c:ext xmlns:c16="http://schemas.microsoft.com/office/drawing/2014/chart" uri="{C3380CC4-5D6E-409C-BE32-E72D297353CC}">
              <c16:uniqueId val="{00000011-AAE4-486C-927D-BDA51423610D}"/>
            </c:ext>
          </c:extLst>
        </c:ser>
        <c:ser>
          <c:idx val="16"/>
          <c:order val="16"/>
          <c:tx>
            <c:strRef>
              <c:f>'Summary of Scores'!$B$23</c:f>
              <c:strCache>
                <c:ptCount val="1"/>
                <c:pt idx="0">
                  <c:v>Temp Extremes</c:v>
                </c:pt>
              </c:strCache>
            </c:strRef>
          </c:tx>
          <c:spPr>
            <a:ln w="66675">
              <a:noFill/>
            </a:ln>
          </c:spPr>
          <c:dLbls>
            <c:dLbl>
              <c:idx val="0"/>
              <c:layout>
                <c:manualLayout>
                  <c:x val="-5.8557925386193144E-2"/>
                  <c:y val="0"/>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2-AAE4-486C-927D-BDA51423610D}"/>
                </c:ext>
              </c:extLst>
            </c:dLbl>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Scores'!$E$23</c:f>
              <c:strCache>
                <c:ptCount val="1"/>
                <c:pt idx="0">
                  <c:v>Not Calculated</c:v>
                </c:pt>
              </c:strCache>
            </c:strRef>
          </c:xVal>
          <c:yVal>
            <c:numRef>
              <c:f>'Summary of Scores'!$C$23</c:f>
              <c:numCache>
                <c:formatCode>General</c:formatCode>
                <c:ptCount val="1"/>
                <c:pt idx="0">
                  <c:v>3</c:v>
                </c:pt>
              </c:numCache>
            </c:numRef>
          </c:yVal>
          <c:smooth val="0"/>
          <c:extLst>
            <c:ext xmlns:c16="http://schemas.microsoft.com/office/drawing/2014/chart" uri="{C3380CC4-5D6E-409C-BE32-E72D297353CC}">
              <c16:uniqueId val="{00000013-AAE4-486C-927D-BDA51423610D}"/>
            </c:ext>
          </c:extLst>
        </c:ser>
        <c:ser>
          <c:idx val="17"/>
          <c:order val="17"/>
          <c:tx>
            <c:strRef>
              <c:f>'Summary of Scores'!$B$24</c:f>
              <c:strCache>
                <c:ptCount val="1"/>
                <c:pt idx="0">
                  <c:v>Tornado</c:v>
                </c:pt>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Scores'!$E$24</c:f>
              <c:strCache>
                <c:ptCount val="1"/>
                <c:pt idx="0">
                  <c:v>Not Calculated</c:v>
                </c:pt>
              </c:strCache>
            </c:strRef>
          </c:xVal>
          <c:yVal>
            <c:numRef>
              <c:f>'Summary of Scores'!$C$24</c:f>
              <c:numCache>
                <c:formatCode>General</c:formatCode>
                <c:ptCount val="1"/>
                <c:pt idx="0">
                  <c:v>2</c:v>
                </c:pt>
              </c:numCache>
            </c:numRef>
          </c:yVal>
          <c:smooth val="0"/>
          <c:extLst>
            <c:ext xmlns:c16="http://schemas.microsoft.com/office/drawing/2014/chart" uri="{C3380CC4-5D6E-409C-BE32-E72D297353CC}">
              <c16:uniqueId val="{00000014-AAE4-486C-927D-BDA51423610D}"/>
            </c:ext>
          </c:extLst>
        </c:ser>
        <c:ser>
          <c:idx val="18"/>
          <c:order val="18"/>
          <c:tx>
            <c:strRef>
              <c:f>'Summary of Scores'!$B$25</c:f>
              <c:strCache>
                <c:ptCount val="1"/>
                <c:pt idx="0">
                  <c:v>Utility Interr</c:v>
                </c:pt>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Scores'!$E$25</c:f>
              <c:strCache>
                <c:ptCount val="1"/>
                <c:pt idx="0">
                  <c:v>Not Calculated</c:v>
                </c:pt>
              </c:strCache>
            </c:strRef>
          </c:xVal>
          <c:yVal>
            <c:numRef>
              <c:f>'Summary of Scores'!$C$25</c:f>
              <c:numCache>
                <c:formatCode>General</c:formatCode>
                <c:ptCount val="1"/>
                <c:pt idx="0">
                  <c:v>3</c:v>
                </c:pt>
              </c:numCache>
            </c:numRef>
          </c:yVal>
          <c:smooth val="0"/>
          <c:extLst>
            <c:ext xmlns:c16="http://schemas.microsoft.com/office/drawing/2014/chart" uri="{C3380CC4-5D6E-409C-BE32-E72D297353CC}">
              <c16:uniqueId val="{00000015-AAE4-486C-927D-BDA51423610D}"/>
            </c:ext>
          </c:extLst>
        </c:ser>
        <c:ser>
          <c:idx val="19"/>
          <c:order val="19"/>
          <c:tx>
            <c:strRef>
              <c:f>'Summary of Scores'!$B$27</c:f>
              <c:strCache>
                <c:ptCount val="1"/>
                <c:pt idx="0">
                  <c:v>Winter Storm</c:v>
                </c:pt>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Scores'!$E$27</c:f>
              <c:strCache>
                <c:ptCount val="1"/>
                <c:pt idx="0">
                  <c:v>Not Calculated</c:v>
                </c:pt>
              </c:strCache>
            </c:strRef>
          </c:xVal>
          <c:yVal>
            <c:numRef>
              <c:f>'Summary of Scores'!$C$27</c:f>
              <c:numCache>
                <c:formatCode>General</c:formatCode>
                <c:ptCount val="1"/>
                <c:pt idx="0">
                  <c:v>4</c:v>
                </c:pt>
              </c:numCache>
            </c:numRef>
          </c:yVal>
          <c:smooth val="0"/>
          <c:extLst>
            <c:ext xmlns:c16="http://schemas.microsoft.com/office/drawing/2014/chart" uri="{C3380CC4-5D6E-409C-BE32-E72D297353CC}">
              <c16:uniqueId val="{00000016-AAE4-486C-927D-BDA51423610D}"/>
            </c:ext>
          </c:extLst>
        </c:ser>
        <c:ser>
          <c:idx val="20"/>
          <c:order val="20"/>
          <c:tx>
            <c:strRef>
              <c:f>'Summary of Scores'!$B$28</c:f>
              <c:strCache>
                <c:ptCount val="1"/>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'Summary of Scores'!$E$28</c:f>
            </c:numRef>
          </c:xVal>
          <c:yVal>
            <c:numRef>
              <c:f>'Summary of Scores'!$C$28</c:f>
            </c:numRef>
          </c:yVal>
          <c:smooth val="0"/>
          <c:extLst>
            <c:ext xmlns:c16="http://schemas.microsoft.com/office/drawing/2014/chart" uri="{C3380CC4-5D6E-409C-BE32-E72D297353CC}">
              <c16:uniqueId val="{00000017-AAE4-486C-927D-BDA51423610D}"/>
            </c:ext>
          </c:extLst>
        </c:ser>
        <c:ser>
          <c:idx val="21"/>
          <c:order val="21"/>
          <c:tx>
            <c:strRef>
              <c:f>'Summary of Scores'!$B$29</c:f>
              <c:strCache>
                <c:ptCount val="1"/>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'Summary of Scores'!$E$29</c:f>
            </c:numRef>
          </c:xVal>
          <c:yVal>
            <c:numRef>
              <c:f>'Summary of Scores'!$C$29</c:f>
            </c:numRef>
          </c:yVal>
          <c:smooth val="0"/>
          <c:extLst>
            <c:ext xmlns:c16="http://schemas.microsoft.com/office/drawing/2014/chart" uri="{C3380CC4-5D6E-409C-BE32-E72D297353CC}">
              <c16:uniqueId val="{00000018-AAE4-486C-927D-BDA51423610D}"/>
            </c:ext>
          </c:extLst>
        </c:ser>
        <c:ser>
          <c:idx val="22"/>
          <c:order val="22"/>
          <c:tx>
            <c:strRef>
              <c:f>'Summary of Scores'!$B$30</c:f>
              <c:strCache>
                <c:ptCount val="1"/>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'Summary of Scores'!$E$30</c:f>
            </c:numRef>
          </c:xVal>
          <c:yVal>
            <c:numRef>
              <c:f>'Summary of Scores'!$C$30</c:f>
            </c:numRef>
          </c:yVal>
          <c:smooth val="0"/>
          <c:extLst>
            <c:ext xmlns:c16="http://schemas.microsoft.com/office/drawing/2014/chart" uri="{C3380CC4-5D6E-409C-BE32-E72D297353CC}">
              <c16:uniqueId val="{00000019-AAE4-486C-927D-BDA51423610D}"/>
            </c:ext>
          </c:extLst>
        </c:ser>
        <c:ser>
          <c:idx val="23"/>
          <c:order val="23"/>
          <c:tx>
            <c:strRef>
              <c:f>'Summary of Scores'!$B$31</c:f>
              <c:strCache>
                <c:ptCount val="1"/>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'Summary of Scores'!$E$31</c:f>
            </c:numRef>
          </c:xVal>
          <c:yVal>
            <c:numRef>
              <c:f>'Summary of Scores'!$C$31</c:f>
            </c:numRef>
          </c:yVal>
          <c:smooth val="0"/>
          <c:extLst>
            <c:ext xmlns:c16="http://schemas.microsoft.com/office/drawing/2014/chart" uri="{C3380CC4-5D6E-409C-BE32-E72D297353CC}">
              <c16:uniqueId val="{0000001A-AAE4-486C-927D-BDA51423610D}"/>
            </c:ext>
          </c:extLst>
        </c:ser>
        <c:ser>
          <c:idx val="24"/>
          <c:order val="24"/>
          <c:tx>
            <c:strRef>
              <c:f>'Summary of Scores'!$B$32</c:f>
              <c:strCache>
                <c:ptCount val="1"/>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'Summary of Scores'!$E$32</c:f>
            </c:numRef>
          </c:xVal>
          <c:yVal>
            <c:numRef>
              <c:f>'Summary of Scores'!$C$32</c:f>
            </c:numRef>
          </c:yVal>
          <c:smooth val="0"/>
          <c:extLst>
            <c:ext xmlns:c16="http://schemas.microsoft.com/office/drawing/2014/chart" uri="{C3380CC4-5D6E-409C-BE32-E72D297353CC}">
              <c16:uniqueId val="{0000001B-AAE4-486C-927D-BDA51423610D}"/>
            </c:ext>
          </c:extLst>
        </c:ser>
        <c:ser>
          <c:idx val="25"/>
          <c:order val="25"/>
          <c:tx>
            <c:strRef>
              <c:f>'Summary of Scores'!$B$33</c:f>
              <c:strCache>
                <c:ptCount val="1"/>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'Summary of Scores'!$E$33</c:f>
            </c:numRef>
          </c:xVal>
          <c:yVal>
            <c:numRef>
              <c:f>'Summary of Scores'!$C$33</c:f>
            </c:numRef>
          </c:yVal>
          <c:smooth val="0"/>
          <c:extLst>
            <c:ext xmlns:c16="http://schemas.microsoft.com/office/drawing/2014/chart" uri="{C3380CC4-5D6E-409C-BE32-E72D297353CC}">
              <c16:uniqueId val="{0000001C-AAE4-486C-927D-BDA51423610D}"/>
            </c:ext>
          </c:extLst>
        </c:ser>
        <c:ser>
          <c:idx val="26"/>
          <c:order val="26"/>
          <c:tx>
            <c:strRef>
              <c:f>'Summary of Scores'!$B$34</c:f>
              <c:strCache>
                <c:ptCount val="1"/>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'Summary of Scores'!$E$34</c:f>
            </c:numRef>
          </c:xVal>
          <c:yVal>
            <c:numRef>
              <c:f>'Summary of Scores'!$C$34</c:f>
            </c:numRef>
          </c:yVal>
          <c:smooth val="0"/>
          <c:extLst>
            <c:ext xmlns:c16="http://schemas.microsoft.com/office/drawing/2014/chart" uri="{C3380CC4-5D6E-409C-BE32-E72D297353CC}">
              <c16:uniqueId val="{0000001D-AAE4-486C-927D-BDA51423610D}"/>
            </c:ext>
          </c:extLst>
        </c:ser>
        <c:ser>
          <c:idx val="27"/>
          <c:order val="27"/>
          <c:tx>
            <c:strRef>
              <c:f>'Summary of Scores'!$B$35</c:f>
              <c:strCache>
                <c:ptCount val="1"/>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'Summary of Scores'!$E$35</c:f>
            </c:numRef>
          </c:xVal>
          <c:yVal>
            <c:numRef>
              <c:f>'Summary of Scores'!$C$35</c:f>
            </c:numRef>
          </c:yVal>
          <c:smooth val="0"/>
          <c:extLst>
            <c:ext xmlns:c16="http://schemas.microsoft.com/office/drawing/2014/chart" uri="{C3380CC4-5D6E-409C-BE32-E72D297353CC}">
              <c16:uniqueId val="{0000001E-AAE4-486C-927D-BDA51423610D}"/>
            </c:ext>
          </c:extLst>
        </c:ser>
        <c:ser>
          <c:idx val="28"/>
          <c:order val="28"/>
          <c:tx>
            <c:strRef>
              <c:f>'Summary of Scores'!$B$36</c:f>
              <c:strCache>
                <c:ptCount val="1"/>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'Summary of Scores'!$E$36</c:f>
            </c:numRef>
          </c:xVal>
          <c:yVal>
            <c:numRef>
              <c:f>'Summary of Scores'!$C$36</c:f>
            </c:numRef>
          </c:yVal>
          <c:smooth val="0"/>
          <c:extLst>
            <c:ext xmlns:c16="http://schemas.microsoft.com/office/drawing/2014/chart" uri="{C3380CC4-5D6E-409C-BE32-E72D297353CC}">
              <c16:uniqueId val="{0000001F-AAE4-486C-927D-BDA51423610D}"/>
            </c:ext>
          </c:extLst>
        </c:ser>
        <c:ser>
          <c:idx val="29"/>
          <c:order val="29"/>
          <c:tx>
            <c:strRef>
              <c:f>'Summary of Scores'!$B$37</c:f>
              <c:strCache>
                <c:ptCount val="1"/>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'Summary of Scores'!$E$37</c:f>
            </c:numRef>
          </c:xVal>
          <c:yVal>
            <c:numRef>
              <c:f>'Summary of Scores'!$D$37</c:f>
            </c:numRef>
          </c:yVal>
          <c:smooth val="0"/>
          <c:extLst>
            <c:ext xmlns:c16="http://schemas.microsoft.com/office/drawing/2014/chart" uri="{C3380CC4-5D6E-409C-BE32-E72D297353CC}">
              <c16:uniqueId val="{00000020-AAE4-486C-927D-BDA51423610D}"/>
            </c:ext>
          </c:extLst>
        </c:ser>
        <c:dLbls>
          <c:showLegendKey val="0"/>
          <c:showVal val="1"/>
          <c:showCatName val="0"/>
          <c:showSerName val="0"/>
          <c:showPercent val="0"/>
          <c:showBubbleSize val="0"/>
        </c:dLbls>
        <c:axId val="150896000"/>
        <c:axId val="150906368"/>
      </c:scatterChart>
      <c:valAx>
        <c:axId val="150896000"/>
        <c:scaling>
          <c:orientation val="minMax"/>
          <c:max val="4.5"/>
          <c:min val="0"/>
        </c:scaling>
        <c:delete val="0"/>
        <c:axPos val="b"/>
        <c:majorGridlines/>
        <c:title>
          <c:tx>
            <c:rich>
              <a:bodyPr/>
              <a:lstStyle/>
              <a:p>
                <a:pPr>
                  <a:defRPr b="0">
                    <a:latin typeface="+mj-lt"/>
                  </a:defRPr>
                </a:pPr>
                <a:r>
                  <a:rPr lang="en-US" sz="1600" b="0">
                    <a:latin typeface="+mj-lt"/>
                  </a:rPr>
                  <a:t>Healthcare System Severity</a:t>
                </a:r>
              </a:p>
            </c:rich>
          </c:tx>
          <c:overlay val="0"/>
        </c:title>
        <c:numFmt formatCode="#,##0" sourceLinked="0"/>
        <c:majorTickMark val="out"/>
        <c:minorTickMark val="none"/>
        <c:tickLblPos val="nextTo"/>
        <c:spPr>
          <a:ln>
            <a:solidFill>
              <a:schemeClr val="tx1"/>
            </a:solidFill>
          </a:ln>
        </c:spPr>
        <c:crossAx val="150906368"/>
        <c:crosses val="autoZero"/>
        <c:crossBetween val="midCat"/>
        <c:majorUnit val="1"/>
        <c:minorUnit val="0.1"/>
      </c:valAx>
      <c:valAx>
        <c:axId val="150906368"/>
        <c:scaling>
          <c:orientation val="minMax"/>
          <c:max val="4.5"/>
          <c:min val="0"/>
        </c:scaling>
        <c:delete val="0"/>
        <c:axPos val="l"/>
        <c:majorGridlines/>
        <c:title>
          <c:tx>
            <c:rich>
              <a:bodyPr rot="-5400000" vert="horz"/>
              <a:lstStyle/>
              <a:p>
                <a:pPr>
                  <a:defRPr sz="1600" b="0">
                    <a:latin typeface="+mj-lt"/>
                  </a:defRPr>
                </a:pPr>
                <a:r>
                  <a:rPr lang="en-US" sz="1600" b="0">
                    <a:latin typeface="+mj-lt"/>
                  </a:rPr>
                  <a:t>Probability</a:t>
                </a:r>
              </a:p>
            </c:rich>
          </c:tx>
          <c:overlay val="0"/>
        </c:title>
        <c:numFmt formatCode="General" sourceLinked="1"/>
        <c:majorTickMark val="out"/>
        <c:minorTickMark val="none"/>
        <c:tickLblPos val="nextTo"/>
        <c:spPr>
          <a:ln>
            <a:solidFill>
              <a:schemeClr val="tx1"/>
            </a:solidFill>
          </a:ln>
        </c:spPr>
        <c:crossAx val="150896000"/>
        <c:crosses val="autoZero"/>
        <c:crossBetween val="midCat"/>
        <c:majorUnit val="1"/>
        <c:minorUnit val="0.1"/>
      </c:valAx>
      <c:spPr>
        <a:gradFill flip="none" rotWithShape="1">
          <a:gsLst>
            <a:gs pos="0">
              <a:srgbClr val="63BE7B"/>
            </a:gs>
            <a:gs pos="50000">
              <a:srgbClr val="FFEB84"/>
            </a:gs>
            <a:gs pos="100000">
              <a:srgbClr val="F8696B"/>
            </a:gs>
          </a:gsLst>
          <a:lin ang="189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b="0" u="sng">
                <a:latin typeface="+mj-lt"/>
              </a:defRPr>
            </a:pPr>
            <a:r>
              <a:rPr lang="en-US" b="0" u="sng">
                <a:latin typeface="+mj-lt"/>
              </a:rPr>
              <a:t>Severity</a:t>
            </a:r>
          </a:p>
        </c:rich>
      </c:tx>
      <c:layout>
        <c:manualLayout>
          <c:xMode val="edge"/>
          <c:yMode val="edge"/>
          <c:x val="0.46889233641333816"/>
          <c:y val="1.3244983721297133E-2"/>
        </c:manualLayout>
      </c:layout>
      <c:overlay val="0"/>
    </c:title>
    <c:autoTitleDeleted val="0"/>
    <c:plotArea>
      <c:layout/>
      <c:barChart>
        <c:barDir val="col"/>
        <c:grouping val="clustered"/>
        <c:varyColors val="0"/>
        <c:ser>
          <c:idx val="0"/>
          <c:order val="0"/>
          <c:tx>
            <c:v>Severity</c:v>
          </c:tx>
          <c:spPr>
            <a:solidFill>
              <a:schemeClr val="accent4">
                <a:lumMod val="60000"/>
                <a:lumOff val="40000"/>
              </a:schemeClr>
            </a:solidFill>
            <a:ln>
              <a:solidFill>
                <a:schemeClr val="accent4"/>
              </a:solidFill>
            </a:ln>
            <a:scene3d>
              <a:camera prst="orthographicFront"/>
              <a:lightRig rig="threePt" dir="t"/>
            </a:scene3d>
            <a:sp3d prstMaterial="matte">
              <a:bevelT w="63500" h="50800"/>
            </a:sp3d>
          </c:spPr>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('Active Shooter'!$G$22,'Active Shooter'!$G$137,'Active Shooter'!$G$265,'Active Shooter'!$G$425,'Active Shooter'!$G$543)</c:f>
              <c:strCache>
                <c:ptCount val="5"/>
                <c:pt idx="0">
                  <c:v>Human Impact</c:v>
                </c:pt>
                <c:pt idx="1">
                  <c:v>Healthcare Service Impact</c:v>
                </c:pt>
                <c:pt idx="2">
                  <c:v>Inpatient Healthcare Facility Infrastructure Impact</c:v>
                </c:pt>
                <c:pt idx="3">
                  <c:v>Community Impact</c:v>
                </c:pt>
                <c:pt idx="4">
                  <c:v>Public Health Service Impact</c:v>
                </c:pt>
              </c:strCache>
            </c:strRef>
          </c:cat>
          <c:val>
            <c:numRef>
              <c:f>(Hazard9!$J$133,Hazard9!$J$261,Hazard9!$J$421,Hazard9!$J$539,Hazard9!$J$681)</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0-5021-4DD7-8DA3-6FE887FE6972}"/>
            </c:ext>
          </c:extLst>
        </c:ser>
        <c:dLbls>
          <c:showLegendKey val="0"/>
          <c:showVal val="1"/>
          <c:showCatName val="0"/>
          <c:showSerName val="0"/>
          <c:showPercent val="0"/>
          <c:showBubbleSize val="0"/>
        </c:dLbls>
        <c:gapWidth val="150"/>
        <c:axId val="206750848"/>
        <c:axId val="206752768"/>
      </c:barChart>
      <c:catAx>
        <c:axId val="206750848"/>
        <c:scaling>
          <c:orientation val="minMax"/>
        </c:scaling>
        <c:delete val="0"/>
        <c:axPos val="b"/>
        <c:title>
          <c:tx>
            <c:rich>
              <a:bodyPr/>
              <a:lstStyle/>
              <a:p>
                <a:pPr>
                  <a:defRPr sz="1600" b="0">
                    <a:latin typeface="+mj-lt"/>
                  </a:defRPr>
                </a:pPr>
                <a:r>
                  <a:rPr lang="en-US" sz="1600" b="0">
                    <a:latin typeface="+mj-lt"/>
                  </a:rPr>
                  <a:t>Domain</a:t>
                </a:r>
              </a:p>
            </c:rich>
          </c:tx>
          <c:overlay val="0"/>
        </c:title>
        <c:numFmt formatCode="General" sourceLinked="1"/>
        <c:majorTickMark val="out"/>
        <c:minorTickMark val="none"/>
        <c:tickLblPos val="nextTo"/>
        <c:crossAx val="206752768"/>
        <c:crosses val="autoZero"/>
        <c:auto val="1"/>
        <c:lblAlgn val="ctr"/>
        <c:lblOffset val="100"/>
        <c:noMultiLvlLbl val="0"/>
      </c:catAx>
      <c:valAx>
        <c:axId val="206752768"/>
        <c:scaling>
          <c:orientation val="minMax"/>
          <c:max val="4"/>
        </c:scaling>
        <c:delete val="0"/>
        <c:axPos val="l"/>
        <c:majorGridlines/>
        <c:title>
          <c:tx>
            <c:rich>
              <a:bodyPr rot="-5400000" vert="horz"/>
              <a:lstStyle/>
              <a:p>
                <a:pPr>
                  <a:defRPr sz="1600" b="0">
                    <a:latin typeface="+mj-lt"/>
                  </a:defRPr>
                </a:pPr>
                <a:r>
                  <a:rPr lang="en-US" sz="1600" b="0">
                    <a:latin typeface="+mj-lt"/>
                  </a:rPr>
                  <a:t>Severity</a:t>
                </a:r>
                <a:r>
                  <a:rPr lang="en-US" sz="1600" b="0" baseline="0">
                    <a:latin typeface="+mj-lt"/>
                  </a:rPr>
                  <a:t> Score</a:t>
                </a:r>
                <a:endParaRPr lang="en-US" sz="1600" b="0">
                  <a:latin typeface="+mj-lt"/>
                </a:endParaRPr>
              </a:p>
            </c:rich>
          </c:tx>
          <c:overlay val="0"/>
        </c:title>
        <c:numFmt formatCode="0.00" sourceLinked="1"/>
        <c:majorTickMark val="out"/>
        <c:minorTickMark val="none"/>
        <c:tickLblPos val="nextTo"/>
        <c:crossAx val="206750848"/>
        <c:crosses val="autoZero"/>
        <c:crossBetween val="between"/>
      </c:valAx>
      <c:spPr>
        <a:gradFill flip="none" rotWithShape="1">
          <a:gsLst>
            <a:gs pos="0">
              <a:srgbClr val="63BE7B"/>
            </a:gs>
            <a:gs pos="50000">
              <a:srgbClr val="FFEB84"/>
            </a:gs>
            <a:gs pos="100000">
              <a:srgbClr val="F8696B"/>
            </a:gs>
          </a:gsLst>
          <a:lin ang="162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b="0" u="sng">
                <a:latin typeface="+mj-lt"/>
              </a:defRPr>
            </a:pPr>
            <a:r>
              <a:rPr lang="en-US" b="0" u="sng">
                <a:latin typeface="+mj-lt"/>
              </a:rPr>
              <a:t>At-Risk Populations</a:t>
            </a:r>
          </a:p>
        </c:rich>
      </c:tx>
      <c:layout>
        <c:manualLayout>
          <c:xMode val="edge"/>
          <c:yMode val="edge"/>
          <c:x val="0.37636858589702443"/>
          <c:y val="1.3244983721297133E-2"/>
        </c:manualLayout>
      </c:layout>
      <c:overlay val="0"/>
    </c:title>
    <c:autoTitleDeleted val="0"/>
    <c:plotArea>
      <c:layout>
        <c:manualLayout>
          <c:layoutTarget val="inner"/>
          <c:xMode val="edge"/>
          <c:yMode val="edge"/>
          <c:x val="9.2855623530330264E-2"/>
          <c:y val="0.10007907481510167"/>
          <c:w val="0.87850741705614022"/>
          <c:h val="0.77165947152780956"/>
        </c:manualLayout>
      </c:layout>
      <c:scatterChart>
        <c:scatterStyle val="lineMarker"/>
        <c:varyColors val="0"/>
        <c:ser>
          <c:idx val="0"/>
          <c:order val="0"/>
          <c:tx>
            <c:strRef>
              <c:f>Hazard9!$C$793</c:f>
              <c:strCache>
                <c:ptCount val="1"/>
                <c:pt idx="0">
                  <c:v>Poverty</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Hazard9!$J$795</c:f>
              <c:numCache>
                <c:formatCode>General</c:formatCode>
                <c:ptCount val="1"/>
                <c:pt idx="0">
                  <c:v>0</c:v>
                </c:pt>
              </c:numCache>
            </c:numRef>
          </c:xVal>
          <c:yVal>
            <c:numRef>
              <c:f>Hazard9!$J$794</c:f>
              <c:numCache>
                <c:formatCode>General</c:formatCode>
                <c:ptCount val="1"/>
                <c:pt idx="0">
                  <c:v>0</c:v>
                </c:pt>
              </c:numCache>
            </c:numRef>
          </c:yVal>
          <c:smooth val="0"/>
          <c:extLst>
            <c:ext xmlns:c16="http://schemas.microsoft.com/office/drawing/2014/chart" uri="{C3380CC4-5D6E-409C-BE32-E72D297353CC}">
              <c16:uniqueId val="{00000000-4676-442A-8B17-46DE492C4E49}"/>
            </c:ext>
          </c:extLst>
        </c:ser>
        <c:ser>
          <c:idx val="1"/>
          <c:order val="1"/>
          <c:tx>
            <c:strRef>
              <c:f>Hazard9!$C$797</c:f>
              <c:strCache>
                <c:ptCount val="1"/>
                <c:pt idx="0">
                  <c:v>Chronic Diseases (Diabetes)</c:v>
                </c:pt>
              </c:strCache>
            </c:strRef>
          </c:tx>
          <c:spPr>
            <a:ln w="66675">
              <a:noFill/>
            </a:ln>
          </c:spPr>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4676-442A-8B17-46DE492C4E49}"/>
                </c:ext>
              </c:extLst>
            </c:dLbl>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Hazard9!$J$799</c:f>
              <c:numCache>
                <c:formatCode>General</c:formatCode>
                <c:ptCount val="1"/>
                <c:pt idx="0">
                  <c:v>0</c:v>
                </c:pt>
              </c:numCache>
            </c:numRef>
          </c:xVal>
          <c:yVal>
            <c:numRef>
              <c:f>Hazard9!$J$798</c:f>
              <c:numCache>
                <c:formatCode>General</c:formatCode>
                <c:ptCount val="1"/>
                <c:pt idx="0">
                  <c:v>0</c:v>
                </c:pt>
              </c:numCache>
            </c:numRef>
          </c:yVal>
          <c:smooth val="0"/>
          <c:extLst>
            <c:ext xmlns:c16="http://schemas.microsoft.com/office/drawing/2014/chart" uri="{C3380CC4-5D6E-409C-BE32-E72D297353CC}">
              <c16:uniqueId val="{00000002-4676-442A-8B17-46DE492C4E49}"/>
            </c:ext>
          </c:extLst>
        </c:ser>
        <c:ser>
          <c:idx val="2"/>
          <c:order val="2"/>
          <c:tx>
            <c:strRef>
              <c:f>Hazard9!$C$801</c:f>
              <c:strCache>
                <c:ptCount val="1"/>
                <c:pt idx="0">
                  <c:v>Children 18 and under</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Hazard9!$J$803</c:f>
              <c:numCache>
                <c:formatCode>General</c:formatCode>
                <c:ptCount val="1"/>
                <c:pt idx="0">
                  <c:v>0</c:v>
                </c:pt>
              </c:numCache>
            </c:numRef>
          </c:xVal>
          <c:yVal>
            <c:numRef>
              <c:f>Hazard9!$J$802</c:f>
              <c:numCache>
                <c:formatCode>General</c:formatCode>
                <c:ptCount val="1"/>
                <c:pt idx="0">
                  <c:v>0</c:v>
                </c:pt>
              </c:numCache>
            </c:numRef>
          </c:yVal>
          <c:smooth val="0"/>
          <c:extLst>
            <c:ext xmlns:c16="http://schemas.microsoft.com/office/drawing/2014/chart" uri="{C3380CC4-5D6E-409C-BE32-E72D297353CC}">
              <c16:uniqueId val="{00000003-4676-442A-8B17-46DE492C4E49}"/>
            </c:ext>
          </c:extLst>
        </c:ser>
        <c:ser>
          <c:idx val="3"/>
          <c:order val="3"/>
          <c:tx>
            <c:strRef>
              <c:f>Hazard9!$C$805</c:f>
              <c:strCache>
                <c:ptCount val="1"/>
                <c:pt idx="0">
                  <c:v>Elderly 65 and older</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Hazard9!$J$807</c:f>
              <c:numCache>
                <c:formatCode>General</c:formatCode>
                <c:ptCount val="1"/>
                <c:pt idx="0">
                  <c:v>0</c:v>
                </c:pt>
              </c:numCache>
            </c:numRef>
          </c:xVal>
          <c:yVal>
            <c:numRef>
              <c:f>Hazard9!$J$806</c:f>
              <c:numCache>
                <c:formatCode>General</c:formatCode>
                <c:ptCount val="1"/>
                <c:pt idx="0">
                  <c:v>0</c:v>
                </c:pt>
              </c:numCache>
            </c:numRef>
          </c:yVal>
          <c:smooth val="0"/>
          <c:extLst>
            <c:ext xmlns:c16="http://schemas.microsoft.com/office/drawing/2014/chart" uri="{C3380CC4-5D6E-409C-BE32-E72D297353CC}">
              <c16:uniqueId val="{00000004-4676-442A-8B17-46DE492C4E49}"/>
            </c:ext>
          </c:extLst>
        </c:ser>
        <c:ser>
          <c:idx val="4"/>
          <c:order val="4"/>
          <c:tx>
            <c:strRef>
              <c:f>Hazard9!$C$773</c:f>
              <c:strCache>
                <c:ptCount val="1"/>
                <c:pt idx="0">
                  <c:v>Hearing Disability</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Hazard9!$J$775</c:f>
              <c:numCache>
                <c:formatCode>General</c:formatCode>
                <c:ptCount val="1"/>
                <c:pt idx="0">
                  <c:v>0</c:v>
                </c:pt>
              </c:numCache>
            </c:numRef>
          </c:xVal>
          <c:yVal>
            <c:numRef>
              <c:f>Hazard9!$J$774</c:f>
              <c:numCache>
                <c:formatCode>General</c:formatCode>
                <c:ptCount val="1"/>
                <c:pt idx="0">
                  <c:v>0</c:v>
                </c:pt>
              </c:numCache>
            </c:numRef>
          </c:yVal>
          <c:smooth val="0"/>
          <c:extLst>
            <c:ext xmlns:c16="http://schemas.microsoft.com/office/drawing/2014/chart" uri="{C3380CC4-5D6E-409C-BE32-E72D297353CC}">
              <c16:uniqueId val="{00000005-4676-442A-8B17-46DE492C4E49}"/>
            </c:ext>
          </c:extLst>
        </c:ser>
        <c:ser>
          <c:idx val="5"/>
          <c:order val="5"/>
          <c:tx>
            <c:strRef>
              <c:f>Hazard9!$C$777</c:f>
              <c:strCache>
                <c:ptCount val="1"/>
                <c:pt idx="0">
                  <c:v>Vision Disability</c:v>
                </c:pt>
              </c:strCache>
            </c:strRef>
          </c:tx>
          <c:spPr>
            <a:ln w="66675">
              <a:noFill/>
            </a:ln>
          </c:spPr>
          <c:dLbls>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Hazard9!$J$779</c:f>
              <c:numCache>
                <c:formatCode>General</c:formatCode>
                <c:ptCount val="1"/>
                <c:pt idx="0">
                  <c:v>0</c:v>
                </c:pt>
              </c:numCache>
            </c:numRef>
          </c:xVal>
          <c:yVal>
            <c:numRef>
              <c:f>Hazard9!$J$778</c:f>
              <c:numCache>
                <c:formatCode>General</c:formatCode>
                <c:ptCount val="1"/>
                <c:pt idx="0">
                  <c:v>0</c:v>
                </c:pt>
              </c:numCache>
            </c:numRef>
          </c:yVal>
          <c:smooth val="0"/>
          <c:extLst>
            <c:ext xmlns:c16="http://schemas.microsoft.com/office/drawing/2014/chart" uri="{C3380CC4-5D6E-409C-BE32-E72D297353CC}">
              <c16:uniqueId val="{00000006-4676-442A-8B17-46DE492C4E49}"/>
            </c:ext>
          </c:extLst>
        </c:ser>
        <c:ser>
          <c:idx val="6"/>
          <c:order val="6"/>
          <c:tx>
            <c:strRef>
              <c:f>Hazard9!$C$781</c:f>
              <c:strCache>
                <c:ptCount val="1"/>
                <c:pt idx="0">
                  <c:v>Ambulatory Disability</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Hazard9!$J$783</c:f>
              <c:numCache>
                <c:formatCode>General</c:formatCode>
                <c:ptCount val="1"/>
                <c:pt idx="0">
                  <c:v>0</c:v>
                </c:pt>
              </c:numCache>
            </c:numRef>
          </c:xVal>
          <c:yVal>
            <c:numRef>
              <c:f>Hazard9!$J$782</c:f>
              <c:numCache>
                <c:formatCode>General</c:formatCode>
                <c:ptCount val="1"/>
                <c:pt idx="0">
                  <c:v>0</c:v>
                </c:pt>
              </c:numCache>
            </c:numRef>
          </c:yVal>
          <c:smooth val="0"/>
          <c:extLst>
            <c:ext xmlns:c16="http://schemas.microsoft.com/office/drawing/2014/chart" uri="{C3380CC4-5D6E-409C-BE32-E72D297353CC}">
              <c16:uniqueId val="{00000007-4676-442A-8B17-46DE492C4E49}"/>
            </c:ext>
          </c:extLst>
        </c:ser>
        <c:ser>
          <c:idx val="7"/>
          <c:order val="7"/>
          <c:tx>
            <c:strRef>
              <c:f>Hazard9!$C$785</c:f>
              <c:strCache>
                <c:ptCount val="1"/>
                <c:pt idx="0">
                  <c:v>Cognitive Disability</c:v>
                </c:pt>
              </c:strCache>
            </c:strRef>
          </c:tx>
          <c:spPr>
            <a:ln w="66675">
              <a:noFill/>
            </a:ln>
          </c:spPr>
          <c:dLbls>
            <c:dLbl>
              <c:idx val="0"/>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4676-442A-8B17-46DE492C4E49}"/>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Hazard9!$J$787</c:f>
              <c:numCache>
                <c:formatCode>General</c:formatCode>
                <c:ptCount val="1"/>
                <c:pt idx="0">
                  <c:v>0</c:v>
                </c:pt>
              </c:numCache>
            </c:numRef>
          </c:xVal>
          <c:yVal>
            <c:numRef>
              <c:f>Hazard9!$J$786</c:f>
              <c:numCache>
                <c:formatCode>General</c:formatCode>
                <c:ptCount val="1"/>
                <c:pt idx="0">
                  <c:v>0</c:v>
                </c:pt>
              </c:numCache>
            </c:numRef>
          </c:yVal>
          <c:smooth val="0"/>
          <c:extLst>
            <c:ext xmlns:c16="http://schemas.microsoft.com/office/drawing/2014/chart" uri="{C3380CC4-5D6E-409C-BE32-E72D297353CC}">
              <c16:uniqueId val="{00000009-4676-442A-8B17-46DE492C4E49}"/>
            </c:ext>
          </c:extLst>
        </c:ser>
        <c:ser>
          <c:idx val="8"/>
          <c:order val="8"/>
          <c:tx>
            <c:strRef>
              <c:f>Hazard9!$C$789</c:f>
              <c:strCache>
                <c:ptCount val="1"/>
                <c:pt idx="0">
                  <c:v>Limited English Proficiency</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Hazard9!$J$791</c:f>
              <c:numCache>
                <c:formatCode>General</c:formatCode>
                <c:ptCount val="1"/>
                <c:pt idx="0">
                  <c:v>0</c:v>
                </c:pt>
              </c:numCache>
            </c:numRef>
          </c:xVal>
          <c:yVal>
            <c:numRef>
              <c:f>Hazard9!$J$790</c:f>
              <c:numCache>
                <c:formatCode>General</c:formatCode>
                <c:ptCount val="1"/>
                <c:pt idx="0">
                  <c:v>0</c:v>
                </c:pt>
              </c:numCache>
            </c:numRef>
          </c:yVal>
          <c:smooth val="0"/>
          <c:extLst>
            <c:ext xmlns:c16="http://schemas.microsoft.com/office/drawing/2014/chart" uri="{C3380CC4-5D6E-409C-BE32-E72D297353CC}">
              <c16:uniqueId val="{0000000A-4676-442A-8B17-46DE492C4E49}"/>
            </c:ext>
          </c:extLst>
        </c:ser>
        <c:dLbls>
          <c:showLegendKey val="0"/>
          <c:showVal val="1"/>
          <c:showCatName val="0"/>
          <c:showSerName val="0"/>
          <c:showPercent val="0"/>
          <c:showBubbleSize val="0"/>
        </c:dLbls>
        <c:axId val="206852864"/>
        <c:axId val="206854784"/>
      </c:scatterChart>
      <c:valAx>
        <c:axId val="206852864"/>
        <c:scaling>
          <c:orientation val="minMax"/>
          <c:max val="4.5"/>
          <c:min val="0"/>
        </c:scaling>
        <c:delete val="0"/>
        <c:axPos val="b"/>
        <c:majorGridlines/>
        <c:title>
          <c:tx>
            <c:rich>
              <a:bodyPr/>
              <a:lstStyle/>
              <a:p>
                <a:pPr>
                  <a:defRPr b="0">
                    <a:latin typeface="+mj-lt"/>
                  </a:defRPr>
                </a:pPr>
                <a:r>
                  <a:rPr lang="en-US" sz="1600" b="0">
                    <a:latin typeface="+mj-lt"/>
                  </a:rPr>
                  <a:t>Access Planning Score</a:t>
                </a:r>
              </a:p>
            </c:rich>
          </c:tx>
          <c:overlay val="0"/>
        </c:title>
        <c:numFmt formatCode="General" sourceLinked="1"/>
        <c:majorTickMark val="out"/>
        <c:minorTickMark val="none"/>
        <c:tickLblPos val="nextTo"/>
        <c:spPr>
          <a:ln>
            <a:solidFill>
              <a:schemeClr val="tx1"/>
            </a:solidFill>
          </a:ln>
        </c:spPr>
        <c:crossAx val="206854784"/>
        <c:crosses val="autoZero"/>
        <c:crossBetween val="midCat"/>
        <c:majorUnit val="1"/>
        <c:minorUnit val="0.1"/>
      </c:valAx>
      <c:valAx>
        <c:axId val="206854784"/>
        <c:scaling>
          <c:orientation val="minMax"/>
          <c:max val="4.5"/>
          <c:min val="0"/>
        </c:scaling>
        <c:delete val="0"/>
        <c:axPos val="l"/>
        <c:majorGridlines/>
        <c:title>
          <c:tx>
            <c:rich>
              <a:bodyPr rot="-5400000" vert="horz"/>
              <a:lstStyle/>
              <a:p>
                <a:pPr>
                  <a:defRPr sz="1600" b="0">
                    <a:latin typeface="+mj-lt"/>
                  </a:defRPr>
                </a:pPr>
                <a:r>
                  <a:rPr lang="en-US" sz="1600" b="0">
                    <a:latin typeface="+mj-lt"/>
                  </a:rPr>
                  <a:t>Population Size Score</a:t>
                </a:r>
              </a:p>
            </c:rich>
          </c:tx>
          <c:overlay val="0"/>
        </c:title>
        <c:numFmt formatCode="General" sourceLinked="1"/>
        <c:majorTickMark val="out"/>
        <c:minorTickMark val="none"/>
        <c:tickLblPos val="nextTo"/>
        <c:spPr>
          <a:ln>
            <a:solidFill>
              <a:schemeClr val="tx1"/>
            </a:solidFill>
          </a:ln>
        </c:spPr>
        <c:crossAx val="206852864"/>
        <c:crosses val="autoZero"/>
        <c:crossBetween val="midCat"/>
        <c:majorUnit val="1"/>
        <c:minorUnit val="0.1"/>
      </c:valAx>
      <c:spPr>
        <a:gradFill flip="none" rotWithShape="1">
          <a:gsLst>
            <a:gs pos="0">
              <a:srgbClr val="63BE7B"/>
            </a:gs>
            <a:gs pos="50000">
              <a:srgbClr val="FFEB84"/>
            </a:gs>
            <a:gs pos="100000">
              <a:srgbClr val="F8696B"/>
            </a:gs>
          </a:gsLst>
          <a:lin ang="189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defRPr b="0" u="sng">
                <a:latin typeface="+mj-lt"/>
              </a:defRPr>
            </a:pPr>
            <a:r>
              <a:rPr lang="en-US" b="0" u="sng">
                <a:latin typeface="+mj-lt"/>
              </a:rPr>
              <a:t>Public Health Preparedness</a:t>
            </a:r>
          </a:p>
        </c:rich>
      </c:tx>
      <c:layout>
        <c:manualLayout>
          <c:xMode val="edge"/>
          <c:yMode val="edge"/>
          <c:x val="0.30532356317913883"/>
          <c:y val="1.3244983721297133E-2"/>
        </c:manualLayout>
      </c:layout>
      <c:overlay val="0"/>
    </c:title>
    <c:autoTitleDeleted val="0"/>
    <c:plotArea>
      <c:layout/>
      <c:scatterChart>
        <c:scatterStyle val="lineMarker"/>
        <c:varyColors val="0"/>
        <c:ser>
          <c:idx val="0"/>
          <c:order val="0"/>
          <c:tx>
            <c:strRef>
              <c:f>Hazard9!$C$853</c:f>
              <c:strCache>
                <c:ptCount val="1"/>
                <c:pt idx="0">
                  <c:v>Info Sharing</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Hazard9!$J$854</c:f>
              <c:strCache>
                <c:ptCount val="1"/>
                <c:pt idx="0">
                  <c:v>Not Calculated</c:v>
                </c:pt>
              </c:strCache>
            </c:strRef>
          </c:xVal>
          <c:yVal>
            <c:numRef>
              <c:f>Hazard9!$J$855</c:f>
              <c:numCache>
                <c:formatCode>General</c:formatCode>
                <c:ptCount val="1"/>
                <c:pt idx="0">
                  <c:v>0</c:v>
                </c:pt>
              </c:numCache>
            </c:numRef>
          </c:yVal>
          <c:smooth val="0"/>
          <c:extLst>
            <c:ext xmlns:c16="http://schemas.microsoft.com/office/drawing/2014/chart" uri="{C3380CC4-5D6E-409C-BE32-E72D297353CC}">
              <c16:uniqueId val="{00000000-1849-4A52-A1DE-33FA3BD46E0F}"/>
            </c:ext>
          </c:extLst>
        </c:ser>
        <c:ser>
          <c:idx val="1"/>
          <c:order val="1"/>
          <c:tx>
            <c:strRef>
              <c:f>Hazard9!$C$857</c:f>
              <c:strCache>
                <c:ptCount val="1"/>
                <c:pt idx="0">
                  <c:v>Mass Care</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Hazard9!$J$858</c:f>
              <c:strCache>
                <c:ptCount val="1"/>
                <c:pt idx="0">
                  <c:v>Not Calculated</c:v>
                </c:pt>
              </c:strCache>
            </c:strRef>
          </c:xVal>
          <c:yVal>
            <c:numRef>
              <c:f>Hazard9!$J$859</c:f>
              <c:numCache>
                <c:formatCode>General</c:formatCode>
                <c:ptCount val="1"/>
                <c:pt idx="0">
                  <c:v>0</c:v>
                </c:pt>
              </c:numCache>
            </c:numRef>
          </c:yVal>
          <c:smooth val="0"/>
          <c:extLst>
            <c:ext xmlns:c16="http://schemas.microsoft.com/office/drawing/2014/chart" uri="{C3380CC4-5D6E-409C-BE32-E72D297353CC}">
              <c16:uniqueId val="{00000001-1849-4A52-A1DE-33FA3BD46E0F}"/>
            </c:ext>
          </c:extLst>
        </c:ser>
        <c:ser>
          <c:idx val="2"/>
          <c:order val="2"/>
          <c:tx>
            <c:strRef>
              <c:f>Hazard9!$C$861</c:f>
              <c:strCache>
                <c:ptCount val="1"/>
                <c:pt idx="0">
                  <c:v>MCM Dispens</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Hazard9!$J$862</c:f>
              <c:strCache>
                <c:ptCount val="1"/>
                <c:pt idx="0">
                  <c:v>Not Calculated</c:v>
                </c:pt>
              </c:strCache>
            </c:strRef>
          </c:xVal>
          <c:yVal>
            <c:numRef>
              <c:f>Hazard9!$J$863</c:f>
              <c:numCache>
                <c:formatCode>General</c:formatCode>
                <c:ptCount val="1"/>
                <c:pt idx="0">
                  <c:v>0</c:v>
                </c:pt>
              </c:numCache>
            </c:numRef>
          </c:yVal>
          <c:smooth val="0"/>
          <c:extLst>
            <c:ext xmlns:c16="http://schemas.microsoft.com/office/drawing/2014/chart" uri="{C3380CC4-5D6E-409C-BE32-E72D297353CC}">
              <c16:uniqueId val="{00000002-1849-4A52-A1DE-33FA3BD46E0F}"/>
            </c:ext>
          </c:extLst>
        </c:ser>
        <c:ser>
          <c:idx val="3"/>
          <c:order val="3"/>
          <c:tx>
            <c:strRef>
              <c:f>Hazard9!$C$865</c:f>
              <c:strCache>
                <c:ptCount val="1"/>
                <c:pt idx="0">
                  <c:v>Med Materiel Mgmt</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Hazard9!$J$866</c:f>
              <c:strCache>
                <c:ptCount val="1"/>
                <c:pt idx="0">
                  <c:v>Not Calculated</c:v>
                </c:pt>
              </c:strCache>
            </c:strRef>
          </c:xVal>
          <c:yVal>
            <c:numRef>
              <c:f>Hazard9!$J$867</c:f>
              <c:numCache>
                <c:formatCode>General</c:formatCode>
                <c:ptCount val="1"/>
                <c:pt idx="0">
                  <c:v>0</c:v>
                </c:pt>
              </c:numCache>
            </c:numRef>
          </c:yVal>
          <c:smooth val="0"/>
          <c:extLst>
            <c:ext xmlns:c16="http://schemas.microsoft.com/office/drawing/2014/chart" uri="{C3380CC4-5D6E-409C-BE32-E72D297353CC}">
              <c16:uniqueId val="{00000003-1849-4A52-A1DE-33FA3BD46E0F}"/>
            </c:ext>
          </c:extLst>
        </c:ser>
        <c:ser>
          <c:idx val="4"/>
          <c:order val="4"/>
          <c:tx>
            <c:strRef>
              <c:f>Hazard9!$C$869</c:f>
              <c:strCache>
                <c:ptCount val="1"/>
                <c:pt idx="0">
                  <c:v>Medical Surge</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Hazard9!$J$870</c:f>
              <c:strCache>
                <c:ptCount val="1"/>
                <c:pt idx="0">
                  <c:v>Not Calculated</c:v>
                </c:pt>
              </c:strCache>
            </c:strRef>
          </c:xVal>
          <c:yVal>
            <c:numRef>
              <c:f>Hazard9!$J$871</c:f>
              <c:numCache>
                <c:formatCode>General</c:formatCode>
                <c:ptCount val="1"/>
                <c:pt idx="0">
                  <c:v>0</c:v>
                </c:pt>
              </c:numCache>
            </c:numRef>
          </c:yVal>
          <c:smooth val="0"/>
          <c:extLst>
            <c:ext xmlns:c16="http://schemas.microsoft.com/office/drawing/2014/chart" uri="{C3380CC4-5D6E-409C-BE32-E72D297353CC}">
              <c16:uniqueId val="{00000004-1849-4A52-A1DE-33FA3BD46E0F}"/>
            </c:ext>
          </c:extLst>
        </c:ser>
        <c:ser>
          <c:idx val="5"/>
          <c:order val="5"/>
          <c:tx>
            <c:strRef>
              <c:f>Hazard9!$C$873</c:f>
              <c:strCache>
                <c:ptCount val="1"/>
                <c:pt idx="0">
                  <c:v>Non-Pharm Interv</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Hazard9!$J$874</c:f>
              <c:strCache>
                <c:ptCount val="1"/>
                <c:pt idx="0">
                  <c:v>Not Calculated</c:v>
                </c:pt>
              </c:strCache>
            </c:strRef>
          </c:xVal>
          <c:yVal>
            <c:numRef>
              <c:f>Hazard9!$J$875</c:f>
              <c:numCache>
                <c:formatCode>General</c:formatCode>
                <c:ptCount val="1"/>
                <c:pt idx="0">
                  <c:v>0</c:v>
                </c:pt>
              </c:numCache>
            </c:numRef>
          </c:yVal>
          <c:smooth val="0"/>
          <c:extLst>
            <c:ext xmlns:c16="http://schemas.microsoft.com/office/drawing/2014/chart" uri="{C3380CC4-5D6E-409C-BE32-E72D297353CC}">
              <c16:uniqueId val="{00000005-1849-4A52-A1DE-33FA3BD46E0F}"/>
            </c:ext>
          </c:extLst>
        </c:ser>
        <c:ser>
          <c:idx val="6"/>
          <c:order val="6"/>
          <c:tx>
            <c:strRef>
              <c:f>Hazard9!$C$877</c:f>
              <c:strCache>
                <c:ptCount val="1"/>
                <c:pt idx="0">
                  <c:v>PH Lab Testing</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Hazard9!$J$878</c:f>
              <c:strCache>
                <c:ptCount val="1"/>
                <c:pt idx="0">
                  <c:v>Not Calculated</c:v>
                </c:pt>
              </c:strCache>
            </c:strRef>
          </c:xVal>
          <c:yVal>
            <c:numRef>
              <c:f>Hazard9!$J$879</c:f>
              <c:numCache>
                <c:formatCode>General</c:formatCode>
                <c:ptCount val="1"/>
                <c:pt idx="0">
                  <c:v>0</c:v>
                </c:pt>
              </c:numCache>
            </c:numRef>
          </c:yVal>
          <c:smooth val="0"/>
          <c:extLst>
            <c:ext xmlns:c16="http://schemas.microsoft.com/office/drawing/2014/chart" uri="{C3380CC4-5D6E-409C-BE32-E72D297353CC}">
              <c16:uniqueId val="{00000006-1849-4A52-A1DE-33FA3BD46E0F}"/>
            </c:ext>
          </c:extLst>
        </c:ser>
        <c:ser>
          <c:idx val="7"/>
          <c:order val="7"/>
          <c:tx>
            <c:strRef>
              <c:f>Hazard9!$C$881</c:f>
              <c:strCache>
                <c:ptCount val="1"/>
                <c:pt idx="0">
                  <c:v>PH Surv &amp; Epi</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Hazard9!$J$882</c:f>
              <c:strCache>
                <c:ptCount val="1"/>
                <c:pt idx="0">
                  <c:v>Not Calculated</c:v>
                </c:pt>
              </c:strCache>
            </c:strRef>
          </c:xVal>
          <c:yVal>
            <c:numRef>
              <c:f>Hazard9!$J$883</c:f>
              <c:numCache>
                <c:formatCode>General</c:formatCode>
                <c:ptCount val="1"/>
                <c:pt idx="0">
                  <c:v>0</c:v>
                </c:pt>
              </c:numCache>
            </c:numRef>
          </c:yVal>
          <c:smooth val="0"/>
          <c:extLst>
            <c:ext xmlns:c16="http://schemas.microsoft.com/office/drawing/2014/chart" uri="{C3380CC4-5D6E-409C-BE32-E72D297353CC}">
              <c16:uniqueId val="{00000007-1849-4A52-A1DE-33FA3BD46E0F}"/>
            </c:ext>
          </c:extLst>
        </c:ser>
        <c:ser>
          <c:idx val="8"/>
          <c:order val="8"/>
          <c:tx>
            <c:strRef>
              <c:f>Hazard9!$C$885</c:f>
              <c:strCache>
                <c:ptCount val="1"/>
                <c:pt idx="0">
                  <c:v>Responder Safety</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Hazard9!$J$886</c:f>
              <c:strCache>
                <c:ptCount val="1"/>
                <c:pt idx="0">
                  <c:v>Not Calculated</c:v>
                </c:pt>
              </c:strCache>
            </c:strRef>
          </c:xVal>
          <c:yVal>
            <c:numRef>
              <c:f>Hazard9!$J$887</c:f>
              <c:numCache>
                <c:formatCode>General</c:formatCode>
                <c:ptCount val="1"/>
                <c:pt idx="0">
                  <c:v>0</c:v>
                </c:pt>
              </c:numCache>
            </c:numRef>
          </c:yVal>
          <c:smooth val="0"/>
          <c:extLst>
            <c:ext xmlns:c16="http://schemas.microsoft.com/office/drawing/2014/chart" uri="{C3380CC4-5D6E-409C-BE32-E72D297353CC}">
              <c16:uniqueId val="{00000008-1849-4A52-A1DE-33FA3BD46E0F}"/>
            </c:ext>
          </c:extLst>
        </c:ser>
        <c:ser>
          <c:idx val="9"/>
          <c:order val="9"/>
          <c:tx>
            <c:strRef>
              <c:f>Hazard9!$C$889</c:f>
              <c:strCache>
                <c:ptCount val="1"/>
                <c:pt idx="0">
                  <c:v>Volunteer Mgmt</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Hazard9!$J$890</c:f>
              <c:strCache>
                <c:ptCount val="1"/>
                <c:pt idx="0">
                  <c:v>Not Calculated</c:v>
                </c:pt>
              </c:strCache>
            </c:strRef>
          </c:xVal>
          <c:yVal>
            <c:numRef>
              <c:f>Hazard9!$J$891</c:f>
              <c:numCache>
                <c:formatCode>General</c:formatCode>
                <c:ptCount val="1"/>
                <c:pt idx="0">
                  <c:v>0</c:v>
                </c:pt>
              </c:numCache>
            </c:numRef>
          </c:yVal>
          <c:smooth val="0"/>
          <c:extLst>
            <c:ext xmlns:c16="http://schemas.microsoft.com/office/drawing/2014/chart" uri="{C3380CC4-5D6E-409C-BE32-E72D297353CC}">
              <c16:uniqueId val="{00000009-1849-4A52-A1DE-33FA3BD46E0F}"/>
            </c:ext>
          </c:extLst>
        </c:ser>
        <c:ser>
          <c:idx val="10"/>
          <c:order val="10"/>
          <c:tx>
            <c:strRef>
              <c:f>Hazard9!$C$833</c:f>
              <c:strCache>
                <c:ptCount val="1"/>
                <c:pt idx="0">
                  <c:v>Community Prep</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Hazard9!$J$834</c:f>
              <c:strCache>
                <c:ptCount val="1"/>
                <c:pt idx="0">
                  <c:v>Not Calculated</c:v>
                </c:pt>
              </c:strCache>
            </c:strRef>
          </c:xVal>
          <c:yVal>
            <c:numRef>
              <c:f>Hazard9!$J$835</c:f>
              <c:numCache>
                <c:formatCode>General</c:formatCode>
                <c:ptCount val="1"/>
                <c:pt idx="0">
                  <c:v>0</c:v>
                </c:pt>
              </c:numCache>
            </c:numRef>
          </c:yVal>
          <c:smooth val="0"/>
          <c:extLst>
            <c:ext xmlns:c16="http://schemas.microsoft.com/office/drawing/2014/chart" uri="{C3380CC4-5D6E-409C-BE32-E72D297353CC}">
              <c16:uniqueId val="{0000000A-1849-4A52-A1DE-33FA3BD46E0F}"/>
            </c:ext>
          </c:extLst>
        </c:ser>
        <c:ser>
          <c:idx val="11"/>
          <c:order val="11"/>
          <c:tx>
            <c:strRef>
              <c:f>Hazard9!$C$837</c:f>
              <c:strCache>
                <c:ptCount val="1"/>
                <c:pt idx="0">
                  <c:v>Community Recov</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Hazard9!$J$838</c:f>
              <c:strCache>
                <c:ptCount val="1"/>
                <c:pt idx="0">
                  <c:v>Not Calculated</c:v>
                </c:pt>
              </c:strCache>
            </c:strRef>
          </c:xVal>
          <c:yVal>
            <c:numRef>
              <c:f>Hazard9!$J$839</c:f>
              <c:numCache>
                <c:formatCode>General</c:formatCode>
                <c:ptCount val="1"/>
                <c:pt idx="0">
                  <c:v>0</c:v>
                </c:pt>
              </c:numCache>
            </c:numRef>
          </c:yVal>
          <c:smooth val="0"/>
          <c:extLst>
            <c:ext xmlns:c16="http://schemas.microsoft.com/office/drawing/2014/chart" uri="{C3380CC4-5D6E-409C-BE32-E72D297353CC}">
              <c16:uniqueId val="{0000000B-1849-4A52-A1DE-33FA3BD46E0F}"/>
            </c:ext>
          </c:extLst>
        </c:ser>
        <c:ser>
          <c:idx val="12"/>
          <c:order val="12"/>
          <c:tx>
            <c:strRef>
              <c:f>Hazard9!$C$841</c:f>
              <c:strCache>
                <c:ptCount val="1"/>
                <c:pt idx="0">
                  <c:v>Emerg Ops Coord</c:v>
                </c:pt>
              </c:strCache>
            </c:strRef>
          </c:tx>
          <c:spPr>
            <a:ln w="66675">
              <a:noFill/>
            </a:ln>
          </c:spPr>
          <c:dLbls>
            <c:spPr>
              <a:noFill/>
              <a:ln>
                <a:noFill/>
              </a:ln>
              <a:effectLst/>
            </c:sp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Hazard9!$J$842</c:f>
              <c:strCache>
                <c:ptCount val="1"/>
                <c:pt idx="0">
                  <c:v>Not Calculated</c:v>
                </c:pt>
              </c:strCache>
            </c:strRef>
          </c:xVal>
          <c:yVal>
            <c:numRef>
              <c:f>Hazard9!$J$843</c:f>
              <c:numCache>
                <c:formatCode>General</c:formatCode>
                <c:ptCount val="1"/>
                <c:pt idx="0">
                  <c:v>0</c:v>
                </c:pt>
              </c:numCache>
            </c:numRef>
          </c:yVal>
          <c:smooth val="0"/>
          <c:extLst>
            <c:ext xmlns:c16="http://schemas.microsoft.com/office/drawing/2014/chart" uri="{C3380CC4-5D6E-409C-BE32-E72D297353CC}">
              <c16:uniqueId val="{0000000C-1849-4A52-A1DE-33FA3BD46E0F}"/>
            </c:ext>
          </c:extLst>
        </c:ser>
        <c:ser>
          <c:idx val="13"/>
          <c:order val="13"/>
          <c:tx>
            <c:strRef>
              <c:f>Hazard9!$C$845</c:f>
              <c:strCache>
                <c:ptCount val="1"/>
                <c:pt idx="0">
                  <c:v>Emerg Public Info</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Hazard9!$J$846</c:f>
              <c:strCache>
                <c:ptCount val="1"/>
                <c:pt idx="0">
                  <c:v>Not Calculated</c:v>
                </c:pt>
              </c:strCache>
            </c:strRef>
          </c:xVal>
          <c:yVal>
            <c:numRef>
              <c:f>Hazard9!$J$847</c:f>
              <c:numCache>
                <c:formatCode>General</c:formatCode>
                <c:ptCount val="1"/>
                <c:pt idx="0">
                  <c:v>0</c:v>
                </c:pt>
              </c:numCache>
            </c:numRef>
          </c:yVal>
          <c:smooth val="0"/>
          <c:extLst>
            <c:ext xmlns:c16="http://schemas.microsoft.com/office/drawing/2014/chart" uri="{C3380CC4-5D6E-409C-BE32-E72D297353CC}">
              <c16:uniqueId val="{0000000D-1849-4A52-A1DE-33FA3BD46E0F}"/>
            </c:ext>
          </c:extLst>
        </c:ser>
        <c:ser>
          <c:idx val="14"/>
          <c:order val="14"/>
          <c:tx>
            <c:strRef>
              <c:f>Drought!$C$964</c:f>
              <c:strCache>
                <c:ptCount val="1"/>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Drought!$J$965</c:f>
            </c:numRef>
          </c:xVal>
          <c:yVal>
            <c:numRef>
              <c:f>Drought!$J$966</c:f>
            </c:numRef>
          </c:yVal>
          <c:smooth val="0"/>
          <c:extLst>
            <c:ext xmlns:c16="http://schemas.microsoft.com/office/drawing/2014/chart" uri="{C3380CC4-5D6E-409C-BE32-E72D297353CC}">
              <c16:uniqueId val="{0000000E-1849-4A52-A1DE-33FA3BD46E0F}"/>
            </c:ext>
          </c:extLst>
        </c:ser>
        <c:ser>
          <c:idx val="15"/>
          <c:order val="15"/>
          <c:tx>
            <c:strRef>
              <c:f>Hazard9!$C$849</c:f>
              <c:strCache>
                <c:ptCount val="1"/>
                <c:pt idx="0">
                  <c:v>Fatality Mgmt</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Hazard9!$J$850</c:f>
              <c:strCache>
                <c:ptCount val="1"/>
                <c:pt idx="0">
                  <c:v>Not Calculated</c:v>
                </c:pt>
              </c:strCache>
            </c:strRef>
          </c:xVal>
          <c:yVal>
            <c:numRef>
              <c:f>Hazard9!$J$851</c:f>
              <c:numCache>
                <c:formatCode>General</c:formatCode>
                <c:ptCount val="1"/>
                <c:pt idx="0">
                  <c:v>0</c:v>
                </c:pt>
              </c:numCache>
            </c:numRef>
          </c:yVal>
          <c:smooth val="0"/>
          <c:extLst>
            <c:ext xmlns:c16="http://schemas.microsoft.com/office/drawing/2014/chart" uri="{C3380CC4-5D6E-409C-BE32-E72D297353CC}">
              <c16:uniqueId val="{0000000F-1849-4A52-A1DE-33FA3BD46E0F}"/>
            </c:ext>
          </c:extLst>
        </c:ser>
        <c:dLbls>
          <c:showLegendKey val="0"/>
          <c:showVal val="1"/>
          <c:showCatName val="0"/>
          <c:showSerName val="0"/>
          <c:showPercent val="0"/>
          <c:showBubbleSize val="0"/>
        </c:dLbls>
        <c:axId val="206955264"/>
        <c:axId val="206957184"/>
      </c:scatterChart>
      <c:valAx>
        <c:axId val="206955264"/>
        <c:scaling>
          <c:orientation val="minMax"/>
          <c:max val="4.5"/>
          <c:min val="0"/>
        </c:scaling>
        <c:delete val="0"/>
        <c:axPos val="b"/>
        <c:majorGridlines/>
        <c:title>
          <c:tx>
            <c:rich>
              <a:bodyPr/>
              <a:lstStyle/>
              <a:p>
                <a:pPr>
                  <a:defRPr b="0">
                    <a:latin typeface="+mj-lt"/>
                  </a:defRPr>
                </a:pPr>
                <a:r>
                  <a:rPr lang="en-US" sz="1600" b="0">
                    <a:latin typeface="+mj-lt"/>
                  </a:rPr>
                  <a:t>Capability Relevance to Hazard</a:t>
                </a:r>
              </a:p>
            </c:rich>
          </c:tx>
          <c:overlay val="0"/>
        </c:title>
        <c:numFmt formatCode="General" sourceLinked="1"/>
        <c:majorTickMark val="out"/>
        <c:minorTickMark val="none"/>
        <c:tickLblPos val="nextTo"/>
        <c:spPr>
          <a:ln>
            <a:solidFill>
              <a:schemeClr val="tx1"/>
            </a:solidFill>
          </a:ln>
        </c:spPr>
        <c:crossAx val="206957184"/>
        <c:crosses val="autoZero"/>
        <c:crossBetween val="midCat"/>
        <c:majorUnit val="1"/>
        <c:minorUnit val="0.1"/>
      </c:valAx>
      <c:valAx>
        <c:axId val="206957184"/>
        <c:scaling>
          <c:orientation val="minMax"/>
          <c:max val="4.5"/>
          <c:min val="0"/>
        </c:scaling>
        <c:delete val="0"/>
        <c:axPos val="l"/>
        <c:majorGridlines/>
        <c:title>
          <c:tx>
            <c:rich>
              <a:bodyPr rot="-5400000" vert="horz"/>
              <a:lstStyle/>
              <a:p>
                <a:pPr>
                  <a:defRPr sz="1600" b="0">
                    <a:latin typeface="+mj-lt"/>
                  </a:defRPr>
                </a:pPr>
                <a:r>
                  <a:rPr lang="en-US" sz="1600" b="0">
                    <a:latin typeface="+mj-lt"/>
                  </a:rPr>
                  <a:t>Capability Status</a:t>
                </a:r>
              </a:p>
            </c:rich>
          </c:tx>
          <c:overlay val="0"/>
        </c:title>
        <c:numFmt formatCode="General" sourceLinked="1"/>
        <c:majorTickMark val="out"/>
        <c:minorTickMark val="none"/>
        <c:tickLblPos val="nextTo"/>
        <c:spPr>
          <a:ln>
            <a:solidFill>
              <a:schemeClr val="tx1"/>
            </a:solidFill>
          </a:ln>
        </c:spPr>
        <c:crossAx val="206955264"/>
        <c:crosses val="autoZero"/>
        <c:crossBetween val="midCat"/>
        <c:majorUnit val="1"/>
        <c:minorUnit val="0.1"/>
      </c:valAx>
      <c:spPr>
        <a:gradFill flip="none" rotWithShape="1">
          <a:gsLst>
            <a:gs pos="0">
              <a:srgbClr val="63BE7B"/>
            </a:gs>
            <a:gs pos="50000">
              <a:srgbClr val="FFEB84"/>
            </a:gs>
            <a:gs pos="100000">
              <a:srgbClr val="F8696B"/>
            </a:gs>
          </a:gsLst>
          <a:lin ang="27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defRPr b="0" u="sng">
                <a:latin typeface="+mj-lt"/>
              </a:defRPr>
            </a:pPr>
            <a:r>
              <a:rPr lang="en-US" b="0" u="sng">
                <a:latin typeface="+mj-lt"/>
              </a:rPr>
              <a:t>Healthcare Preparedness</a:t>
            </a:r>
          </a:p>
        </c:rich>
      </c:tx>
      <c:layout>
        <c:manualLayout>
          <c:xMode val="edge"/>
          <c:yMode val="edge"/>
          <c:x val="0.38019690321630645"/>
          <c:y val="1.3244983721297133E-2"/>
        </c:manualLayout>
      </c:layout>
      <c:overlay val="0"/>
    </c:title>
    <c:autoTitleDeleted val="0"/>
    <c:plotArea>
      <c:layout/>
      <c:scatterChart>
        <c:scatterStyle val="lineMarker"/>
        <c:varyColors val="0"/>
        <c:ser>
          <c:idx val="0"/>
          <c:order val="0"/>
          <c:tx>
            <c:strRef>
              <c:f>Hazard9!$C$903</c:f>
              <c:strCache>
                <c:ptCount val="1"/>
                <c:pt idx="0">
                  <c:v>HC System Prep</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Hazard9!$J$904</c:f>
              <c:strCache>
                <c:ptCount val="1"/>
                <c:pt idx="0">
                  <c:v>Not Calculated</c:v>
                </c:pt>
              </c:strCache>
            </c:strRef>
          </c:xVal>
          <c:yVal>
            <c:numRef>
              <c:f>Hazard9!$J$905</c:f>
              <c:numCache>
                <c:formatCode>General</c:formatCode>
                <c:ptCount val="1"/>
                <c:pt idx="0">
                  <c:v>0</c:v>
                </c:pt>
              </c:numCache>
            </c:numRef>
          </c:yVal>
          <c:smooth val="0"/>
          <c:extLst>
            <c:ext xmlns:c16="http://schemas.microsoft.com/office/drawing/2014/chart" uri="{C3380CC4-5D6E-409C-BE32-E72D297353CC}">
              <c16:uniqueId val="{00000000-A5ED-492A-A119-DB8BD977A308}"/>
            </c:ext>
          </c:extLst>
        </c:ser>
        <c:ser>
          <c:idx val="1"/>
          <c:order val="1"/>
          <c:tx>
            <c:strRef>
              <c:f>Hazard9!$C$907</c:f>
              <c:strCache>
                <c:ptCount val="1"/>
                <c:pt idx="0">
                  <c:v>HC System Recov</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Hazard9!$J$908</c:f>
              <c:strCache>
                <c:ptCount val="1"/>
                <c:pt idx="0">
                  <c:v>Not Calculated</c:v>
                </c:pt>
              </c:strCache>
            </c:strRef>
          </c:xVal>
          <c:yVal>
            <c:numRef>
              <c:f>Hazard9!$J$909</c:f>
              <c:numCache>
                <c:formatCode>General</c:formatCode>
                <c:ptCount val="1"/>
                <c:pt idx="0">
                  <c:v>0</c:v>
                </c:pt>
              </c:numCache>
            </c:numRef>
          </c:yVal>
          <c:smooth val="0"/>
          <c:extLst>
            <c:ext xmlns:c16="http://schemas.microsoft.com/office/drawing/2014/chart" uri="{C3380CC4-5D6E-409C-BE32-E72D297353CC}">
              <c16:uniqueId val="{00000001-A5ED-492A-A119-DB8BD977A308}"/>
            </c:ext>
          </c:extLst>
        </c:ser>
        <c:ser>
          <c:idx val="2"/>
          <c:order val="2"/>
          <c:tx>
            <c:strRef>
              <c:f>Hazard9!$C$911</c:f>
              <c:strCache>
                <c:ptCount val="1"/>
                <c:pt idx="0">
                  <c:v>Emerg Ops Coord</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Hazard9!$J$912</c:f>
              <c:strCache>
                <c:ptCount val="1"/>
                <c:pt idx="0">
                  <c:v>Not Calculated</c:v>
                </c:pt>
              </c:strCache>
            </c:strRef>
          </c:xVal>
          <c:yVal>
            <c:numRef>
              <c:f>Hazard9!$J$913</c:f>
              <c:numCache>
                <c:formatCode>General</c:formatCode>
                <c:ptCount val="1"/>
                <c:pt idx="0">
                  <c:v>0</c:v>
                </c:pt>
              </c:numCache>
            </c:numRef>
          </c:yVal>
          <c:smooth val="0"/>
          <c:extLst>
            <c:ext xmlns:c16="http://schemas.microsoft.com/office/drawing/2014/chart" uri="{C3380CC4-5D6E-409C-BE32-E72D297353CC}">
              <c16:uniqueId val="{00000002-A5ED-492A-A119-DB8BD977A308}"/>
            </c:ext>
          </c:extLst>
        </c:ser>
        <c:ser>
          <c:idx val="3"/>
          <c:order val="3"/>
          <c:tx>
            <c:strRef>
              <c:f>Hazard9!$C$915</c:f>
              <c:strCache>
                <c:ptCount val="1"/>
                <c:pt idx="0">
                  <c:v>Fatality Mgmt</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Hazard9!$J$916</c:f>
              <c:strCache>
                <c:ptCount val="1"/>
                <c:pt idx="0">
                  <c:v>Not Calculated</c:v>
                </c:pt>
              </c:strCache>
            </c:strRef>
          </c:xVal>
          <c:yVal>
            <c:numRef>
              <c:f>Hazard9!$J$917</c:f>
              <c:numCache>
                <c:formatCode>General</c:formatCode>
                <c:ptCount val="1"/>
                <c:pt idx="0">
                  <c:v>0</c:v>
                </c:pt>
              </c:numCache>
            </c:numRef>
          </c:yVal>
          <c:smooth val="0"/>
          <c:extLst>
            <c:ext xmlns:c16="http://schemas.microsoft.com/office/drawing/2014/chart" uri="{C3380CC4-5D6E-409C-BE32-E72D297353CC}">
              <c16:uniqueId val="{00000003-A5ED-492A-A119-DB8BD977A308}"/>
            </c:ext>
          </c:extLst>
        </c:ser>
        <c:ser>
          <c:idx val="4"/>
          <c:order val="4"/>
          <c:tx>
            <c:strRef>
              <c:f>Hazard9!$C$919</c:f>
              <c:strCache>
                <c:ptCount val="1"/>
                <c:pt idx="0">
                  <c:v>Info Sharing</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Hazard9!$J$920</c:f>
              <c:strCache>
                <c:ptCount val="1"/>
                <c:pt idx="0">
                  <c:v>Not Calculated</c:v>
                </c:pt>
              </c:strCache>
            </c:strRef>
          </c:xVal>
          <c:yVal>
            <c:numRef>
              <c:f>Hazard9!$J$921</c:f>
              <c:numCache>
                <c:formatCode>General</c:formatCode>
                <c:ptCount val="1"/>
                <c:pt idx="0">
                  <c:v>0</c:v>
                </c:pt>
              </c:numCache>
            </c:numRef>
          </c:yVal>
          <c:smooth val="0"/>
          <c:extLst>
            <c:ext xmlns:c16="http://schemas.microsoft.com/office/drawing/2014/chart" uri="{C3380CC4-5D6E-409C-BE32-E72D297353CC}">
              <c16:uniqueId val="{00000004-A5ED-492A-A119-DB8BD977A308}"/>
            </c:ext>
          </c:extLst>
        </c:ser>
        <c:ser>
          <c:idx val="5"/>
          <c:order val="5"/>
          <c:tx>
            <c:strRef>
              <c:f>Hazard9!$C$923</c:f>
              <c:strCache>
                <c:ptCount val="1"/>
                <c:pt idx="0">
                  <c:v>Medical Surge</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Hazard9!$J$924</c:f>
              <c:strCache>
                <c:ptCount val="1"/>
                <c:pt idx="0">
                  <c:v>Not Calculated</c:v>
                </c:pt>
              </c:strCache>
            </c:strRef>
          </c:xVal>
          <c:yVal>
            <c:numRef>
              <c:f>Hazard9!$J$925</c:f>
              <c:numCache>
                <c:formatCode>General</c:formatCode>
                <c:ptCount val="1"/>
                <c:pt idx="0">
                  <c:v>0</c:v>
                </c:pt>
              </c:numCache>
            </c:numRef>
          </c:yVal>
          <c:smooth val="0"/>
          <c:extLst>
            <c:ext xmlns:c16="http://schemas.microsoft.com/office/drawing/2014/chart" uri="{C3380CC4-5D6E-409C-BE32-E72D297353CC}">
              <c16:uniqueId val="{00000005-A5ED-492A-A119-DB8BD977A308}"/>
            </c:ext>
          </c:extLst>
        </c:ser>
        <c:ser>
          <c:idx val="6"/>
          <c:order val="6"/>
          <c:tx>
            <c:strRef>
              <c:f>Hazard9!$C$927</c:f>
              <c:strCache>
                <c:ptCount val="1"/>
                <c:pt idx="0">
                  <c:v>Responder Safety</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Hazard9!$J$928</c:f>
              <c:strCache>
                <c:ptCount val="1"/>
                <c:pt idx="0">
                  <c:v>Not Calculated</c:v>
                </c:pt>
              </c:strCache>
            </c:strRef>
          </c:xVal>
          <c:yVal>
            <c:numRef>
              <c:f>Hazard9!$J$929</c:f>
              <c:numCache>
                <c:formatCode>General</c:formatCode>
                <c:ptCount val="1"/>
                <c:pt idx="0">
                  <c:v>0</c:v>
                </c:pt>
              </c:numCache>
            </c:numRef>
          </c:yVal>
          <c:smooth val="0"/>
          <c:extLst>
            <c:ext xmlns:c16="http://schemas.microsoft.com/office/drawing/2014/chart" uri="{C3380CC4-5D6E-409C-BE32-E72D297353CC}">
              <c16:uniqueId val="{00000006-A5ED-492A-A119-DB8BD977A308}"/>
            </c:ext>
          </c:extLst>
        </c:ser>
        <c:ser>
          <c:idx val="7"/>
          <c:order val="7"/>
          <c:tx>
            <c:strRef>
              <c:f>Hazard9!$C$931</c:f>
              <c:strCache>
                <c:ptCount val="1"/>
                <c:pt idx="0">
                  <c:v>Volunteer Mgmt</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Hazard9!$J$932</c:f>
              <c:strCache>
                <c:ptCount val="1"/>
                <c:pt idx="0">
                  <c:v>Not Calculated</c:v>
                </c:pt>
              </c:strCache>
            </c:strRef>
          </c:xVal>
          <c:yVal>
            <c:numRef>
              <c:f>Hazard9!$J$933</c:f>
              <c:numCache>
                <c:formatCode>General</c:formatCode>
                <c:ptCount val="1"/>
                <c:pt idx="0">
                  <c:v>0</c:v>
                </c:pt>
              </c:numCache>
            </c:numRef>
          </c:yVal>
          <c:smooth val="0"/>
          <c:extLst>
            <c:ext xmlns:c16="http://schemas.microsoft.com/office/drawing/2014/chart" uri="{C3380CC4-5D6E-409C-BE32-E72D297353CC}">
              <c16:uniqueId val="{00000007-A5ED-492A-A119-DB8BD977A308}"/>
            </c:ext>
          </c:extLst>
        </c:ser>
        <c:ser>
          <c:idx val="14"/>
          <c:order val="8"/>
          <c:tx>
            <c:strRef>
              <c:f>Drought!$C$964</c:f>
              <c:strCache>
                <c:ptCount val="1"/>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Drought!$J$965</c:f>
            </c:numRef>
          </c:xVal>
          <c:yVal>
            <c:numRef>
              <c:f>Drought!$J$966</c:f>
            </c:numRef>
          </c:yVal>
          <c:smooth val="0"/>
          <c:extLst>
            <c:ext xmlns:c16="http://schemas.microsoft.com/office/drawing/2014/chart" uri="{C3380CC4-5D6E-409C-BE32-E72D297353CC}">
              <c16:uniqueId val="{00000008-A5ED-492A-A119-DB8BD977A308}"/>
            </c:ext>
          </c:extLst>
        </c:ser>
        <c:dLbls>
          <c:showLegendKey val="0"/>
          <c:showVal val="1"/>
          <c:showCatName val="0"/>
          <c:showSerName val="0"/>
          <c:showPercent val="0"/>
          <c:showBubbleSize val="0"/>
        </c:dLbls>
        <c:axId val="207123968"/>
        <c:axId val="207125888"/>
      </c:scatterChart>
      <c:valAx>
        <c:axId val="207123968"/>
        <c:scaling>
          <c:orientation val="minMax"/>
          <c:max val="4.5"/>
          <c:min val="0"/>
        </c:scaling>
        <c:delete val="0"/>
        <c:axPos val="b"/>
        <c:majorGridlines/>
        <c:title>
          <c:tx>
            <c:rich>
              <a:bodyPr/>
              <a:lstStyle/>
              <a:p>
                <a:pPr>
                  <a:defRPr b="0">
                    <a:latin typeface="+mj-lt"/>
                  </a:defRPr>
                </a:pPr>
                <a:r>
                  <a:rPr lang="en-US" sz="1600" b="0">
                    <a:latin typeface="+mj-lt"/>
                  </a:rPr>
                  <a:t>Capability Relevance to Hazard</a:t>
                </a:r>
              </a:p>
            </c:rich>
          </c:tx>
          <c:overlay val="0"/>
        </c:title>
        <c:numFmt formatCode="General" sourceLinked="1"/>
        <c:majorTickMark val="out"/>
        <c:minorTickMark val="none"/>
        <c:tickLblPos val="nextTo"/>
        <c:spPr>
          <a:ln>
            <a:solidFill>
              <a:schemeClr val="tx1"/>
            </a:solidFill>
          </a:ln>
        </c:spPr>
        <c:crossAx val="207125888"/>
        <c:crosses val="autoZero"/>
        <c:crossBetween val="midCat"/>
        <c:majorUnit val="1"/>
        <c:minorUnit val="0.1"/>
      </c:valAx>
      <c:valAx>
        <c:axId val="207125888"/>
        <c:scaling>
          <c:orientation val="minMax"/>
          <c:max val="4.5"/>
          <c:min val="0"/>
        </c:scaling>
        <c:delete val="0"/>
        <c:axPos val="l"/>
        <c:majorGridlines/>
        <c:title>
          <c:tx>
            <c:rich>
              <a:bodyPr rot="-5400000" vert="horz"/>
              <a:lstStyle/>
              <a:p>
                <a:pPr>
                  <a:defRPr sz="1600" b="0">
                    <a:latin typeface="+mj-lt"/>
                  </a:defRPr>
                </a:pPr>
                <a:r>
                  <a:rPr lang="en-US" sz="1600" b="0">
                    <a:latin typeface="+mj-lt"/>
                  </a:rPr>
                  <a:t>Capability Status</a:t>
                </a:r>
              </a:p>
            </c:rich>
          </c:tx>
          <c:overlay val="0"/>
        </c:title>
        <c:numFmt formatCode="General" sourceLinked="1"/>
        <c:majorTickMark val="out"/>
        <c:minorTickMark val="none"/>
        <c:tickLblPos val="nextTo"/>
        <c:spPr>
          <a:ln>
            <a:solidFill>
              <a:schemeClr val="tx1"/>
            </a:solidFill>
          </a:ln>
        </c:spPr>
        <c:crossAx val="207123968"/>
        <c:crosses val="autoZero"/>
        <c:crossBetween val="midCat"/>
        <c:majorUnit val="1"/>
        <c:minorUnit val="0.1"/>
      </c:valAx>
      <c:spPr>
        <a:gradFill flip="none" rotWithShape="1">
          <a:gsLst>
            <a:gs pos="0">
              <a:srgbClr val="63BE7B"/>
            </a:gs>
            <a:gs pos="50000">
              <a:srgbClr val="FFEB84"/>
            </a:gs>
            <a:gs pos="100000">
              <a:srgbClr val="F8696B"/>
            </a:gs>
          </a:gsLst>
          <a:lin ang="27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b="0" u="sng">
                <a:latin typeface="+mj-lt"/>
              </a:defRPr>
            </a:pPr>
            <a:r>
              <a:rPr lang="en-US" b="0" u="sng">
                <a:latin typeface="+mj-lt"/>
              </a:rPr>
              <a:t>Severity</a:t>
            </a:r>
          </a:p>
        </c:rich>
      </c:tx>
      <c:layout>
        <c:manualLayout>
          <c:xMode val="edge"/>
          <c:yMode val="edge"/>
          <c:x val="0.46889233641333816"/>
          <c:y val="1.3244983721297133E-2"/>
        </c:manualLayout>
      </c:layout>
      <c:overlay val="0"/>
    </c:title>
    <c:autoTitleDeleted val="0"/>
    <c:plotArea>
      <c:layout/>
      <c:barChart>
        <c:barDir val="col"/>
        <c:grouping val="clustered"/>
        <c:varyColors val="0"/>
        <c:ser>
          <c:idx val="0"/>
          <c:order val="0"/>
          <c:tx>
            <c:v>Severity</c:v>
          </c:tx>
          <c:spPr>
            <a:solidFill>
              <a:schemeClr val="accent4">
                <a:lumMod val="60000"/>
                <a:lumOff val="40000"/>
              </a:schemeClr>
            </a:solidFill>
            <a:ln>
              <a:solidFill>
                <a:schemeClr val="accent4"/>
              </a:solidFill>
            </a:ln>
            <a:scene3d>
              <a:camera prst="orthographicFront"/>
              <a:lightRig rig="threePt" dir="t"/>
            </a:scene3d>
            <a:sp3d prstMaterial="matte">
              <a:bevelT w="63500" h="50800"/>
            </a:sp3d>
          </c:spPr>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('Active Shooter'!$G$22,'Active Shooter'!$G$137,'Active Shooter'!$G$265,'Active Shooter'!$G$425,'Active Shooter'!$G$543)</c:f>
              <c:strCache>
                <c:ptCount val="5"/>
                <c:pt idx="0">
                  <c:v>Human Impact</c:v>
                </c:pt>
                <c:pt idx="1">
                  <c:v>Healthcare Service Impact</c:v>
                </c:pt>
                <c:pt idx="2">
                  <c:v>Inpatient Healthcare Facility Infrastructure Impact</c:v>
                </c:pt>
                <c:pt idx="3">
                  <c:v>Community Impact</c:v>
                </c:pt>
                <c:pt idx="4">
                  <c:v>Public Health Service Impact</c:v>
                </c:pt>
              </c:strCache>
            </c:strRef>
          </c:cat>
          <c:val>
            <c:numRef>
              <c:f>(Hazard10!$J$133,Hazard10!$J$261,Hazard10!$J$421,Hazard10!$J$539,Hazard10!$J$681)</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0-BABD-4832-9E81-17B9446F163A}"/>
            </c:ext>
          </c:extLst>
        </c:ser>
        <c:dLbls>
          <c:showLegendKey val="0"/>
          <c:showVal val="1"/>
          <c:showCatName val="0"/>
          <c:showSerName val="0"/>
          <c:showPercent val="0"/>
          <c:showBubbleSize val="0"/>
        </c:dLbls>
        <c:gapWidth val="150"/>
        <c:axId val="207186560"/>
        <c:axId val="207192832"/>
      </c:barChart>
      <c:catAx>
        <c:axId val="207186560"/>
        <c:scaling>
          <c:orientation val="minMax"/>
        </c:scaling>
        <c:delete val="0"/>
        <c:axPos val="b"/>
        <c:title>
          <c:tx>
            <c:rich>
              <a:bodyPr/>
              <a:lstStyle/>
              <a:p>
                <a:pPr>
                  <a:defRPr sz="1600" b="0">
                    <a:latin typeface="+mj-lt"/>
                  </a:defRPr>
                </a:pPr>
                <a:r>
                  <a:rPr lang="en-US" sz="1600" b="0">
                    <a:latin typeface="+mj-lt"/>
                  </a:rPr>
                  <a:t>Domain</a:t>
                </a:r>
              </a:p>
            </c:rich>
          </c:tx>
          <c:overlay val="0"/>
        </c:title>
        <c:numFmt formatCode="General" sourceLinked="1"/>
        <c:majorTickMark val="out"/>
        <c:minorTickMark val="none"/>
        <c:tickLblPos val="nextTo"/>
        <c:crossAx val="207192832"/>
        <c:crosses val="autoZero"/>
        <c:auto val="1"/>
        <c:lblAlgn val="ctr"/>
        <c:lblOffset val="100"/>
        <c:noMultiLvlLbl val="0"/>
      </c:catAx>
      <c:valAx>
        <c:axId val="207192832"/>
        <c:scaling>
          <c:orientation val="minMax"/>
          <c:max val="4"/>
        </c:scaling>
        <c:delete val="0"/>
        <c:axPos val="l"/>
        <c:majorGridlines/>
        <c:title>
          <c:tx>
            <c:rich>
              <a:bodyPr rot="-5400000" vert="horz"/>
              <a:lstStyle/>
              <a:p>
                <a:pPr>
                  <a:defRPr sz="1600" b="0">
                    <a:latin typeface="+mj-lt"/>
                  </a:defRPr>
                </a:pPr>
                <a:r>
                  <a:rPr lang="en-US" sz="1600" b="0">
                    <a:latin typeface="+mj-lt"/>
                  </a:rPr>
                  <a:t>Severity</a:t>
                </a:r>
                <a:r>
                  <a:rPr lang="en-US" sz="1600" b="0" baseline="0">
                    <a:latin typeface="+mj-lt"/>
                  </a:rPr>
                  <a:t> Score</a:t>
                </a:r>
                <a:endParaRPr lang="en-US" sz="1600" b="0">
                  <a:latin typeface="+mj-lt"/>
                </a:endParaRPr>
              </a:p>
            </c:rich>
          </c:tx>
          <c:overlay val="0"/>
        </c:title>
        <c:numFmt formatCode="0.00" sourceLinked="1"/>
        <c:majorTickMark val="out"/>
        <c:minorTickMark val="none"/>
        <c:tickLblPos val="nextTo"/>
        <c:crossAx val="207186560"/>
        <c:crosses val="autoZero"/>
        <c:crossBetween val="between"/>
      </c:valAx>
      <c:spPr>
        <a:gradFill flip="none" rotWithShape="1">
          <a:gsLst>
            <a:gs pos="0">
              <a:srgbClr val="63BE7B"/>
            </a:gs>
            <a:gs pos="50000">
              <a:srgbClr val="FFEB84"/>
            </a:gs>
            <a:gs pos="100000">
              <a:srgbClr val="F8696B"/>
            </a:gs>
          </a:gsLst>
          <a:lin ang="162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b="0" u="sng">
                <a:latin typeface="+mj-lt"/>
              </a:defRPr>
            </a:pPr>
            <a:r>
              <a:rPr lang="en-US" b="0" u="sng">
                <a:latin typeface="+mj-lt"/>
              </a:rPr>
              <a:t>At-Risk Populations</a:t>
            </a:r>
          </a:p>
        </c:rich>
      </c:tx>
      <c:layout>
        <c:manualLayout>
          <c:xMode val="edge"/>
          <c:yMode val="edge"/>
          <c:x val="0.37636858589702443"/>
          <c:y val="1.3244983721297133E-2"/>
        </c:manualLayout>
      </c:layout>
      <c:overlay val="0"/>
    </c:title>
    <c:autoTitleDeleted val="0"/>
    <c:plotArea>
      <c:layout>
        <c:manualLayout>
          <c:layoutTarget val="inner"/>
          <c:xMode val="edge"/>
          <c:yMode val="edge"/>
          <c:x val="9.2855623530330264E-2"/>
          <c:y val="0.10007907481510167"/>
          <c:w val="0.87850741705614022"/>
          <c:h val="0.77165947152780956"/>
        </c:manualLayout>
      </c:layout>
      <c:scatterChart>
        <c:scatterStyle val="lineMarker"/>
        <c:varyColors val="0"/>
        <c:ser>
          <c:idx val="0"/>
          <c:order val="0"/>
          <c:tx>
            <c:strRef>
              <c:f>Hazard10!$C$793</c:f>
              <c:strCache>
                <c:ptCount val="1"/>
                <c:pt idx="0">
                  <c:v>Poverty</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Hazard10!$J$795</c:f>
              <c:numCache>
                <c:formatCode>General</c:formatCode>
                <c:ptCount val="1"/>
                <c:pt idx="0">
                  <c:v>0</c:v>
                </c:pt>
              </c:numCache>
            </c:numRef>
          </c:xVal>
          <c:yVal>
            <c:numRef>
              <c:f>Hazard10!$J$794</c:f>
              <c:numCache>
                <c:formatCode>General</c:formatCode>
                <c:ptCount val="1"/>
                <c:pt idx="0">
                  <c:v>0</c:v>
                </c:pt>
              </c:numCache>
            </c:numRef>
          </c:yVal>
          <c:smooth val="0"/>
          <c:extLst>
            <c:ext xmlns:c16="http://schemas.microsoft.com/office/drawing/2014/chart" uri="{C3380CC4-5D6E-409C-BE32-E72D297353CC}">
              <c16:uniqueId val="{00000000-8C06-4F5D-AF61-12A993E830DB}"/>
            </c:ext>
          </c:extLst>
        </c:ser>
        <c:ser>
          <c:idx val="1"/>
          <c:order val="1"/>
          <c:tx>
            <c:strRef>
              <c:f>Hazard10!$C$797</c:f>
              <c:strCache>
                <c:ptCount val="1"/>
                <c:pt idx="0">
                  <c:v>Chronic Diseases (Diabetes)</c:v>
                </c:pt>
              </c:strCache>
            </c:strRef>
          </c:tx>
          <c:spPr>
            <a:ln w="66675">
              <a:noFill/>
            </a:ln>
          </c:spPr>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8C06-4F5D-AF61-12A993E830DB}"/>
                </c:ext>
              </c:extLst>
            </c:dLbl>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Hazard10!$J$799</c:f>
              <c:numCache>
                <c:formatCode>General</c:formatCode>
                <c:ptCount val="1"/>
                <c:pt idx="0">
                  <c:v>0</c:v>
                </c:pt>
              </c:numCache>
            </c:numRef>
          </c:xVal>
          <c:yVal>
            <c:numRef>
              <c:f>Hazard10!$J$798</c:f>
              <c:numCache>
                <c:formatCode>General</c:formatCode>
                <c:ptCount val="1"/>
                <c:pt idx="0">
                  <c:v>0</c:v>
                </c:pt>
              </c:numCache>
            </c:numRef>
          </c:yVal>
          <c:smooth val="0"/>
          <c:extLst>
            <c:ext xmlns:c16="http://schemas.microsoft.com/office/drawing/2014/chart" uri="{C3380CC4-5D6E-409C-BE32-E72D297353CC}">
              <c16:uniqueId val="{00000002-8C06-4F5D-AF61-12A993E830DB}"/>
            </c:ext>
          </c:extLst>
        </c:ser>
        <c:ser>
          <c:idx val="2"/>
          <c:order val="2"/>
          <c:tx>
            <c:strRef>
              <c:f>Hazard10!$C$801</c:f>
              <c:strCache>
                <c:ptCount val="1"/>
                <c:pt idx="0">
                  <c:v>Children 18 and under</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Hazard10!$J$803</c:f>
              <c:numCache>
                <c:formatCode>General</c:formatCode>
                <c:ptCount val="1"/>
                <c:pt idx="0">
                  <c:v>0</c:v>
                </c:pt>
              </c:numCache>
            </c:numRef>
          </c:xVal>
          <c:yVal>
            <c:numRef>
              <c:f>Hazard10!$J$802</c:f>
              <c:numCache>
                <c:formatCode>General</c:formatCode>
                <c:ptCount val="1"/>
                <c:pt idx="0">
                  <c:v>0</c:v>
                </c:pt>
              </c:numCache>
            </c:numRef>
          </c:yVal>
          <c:smooth val="0"/>
          <c:extLst>
            <c:ext xmlns:c16="http://schemas.microsoft.com/office/drawing/2014/chart" uri="{C3380CC4-5D6E-409C-BE32-E72D297353CC}">
              <c16:uniqueId val="{00000003-8C06-4F5D-AF61-12A993E830DB}"/>
            </c:ext>
          </c:extLst>
        </c:ser>
        <c:ser>
          <c:idx val="3"/>
          <c:order val="3"/>
          <c:tx>
            <c:strRef>
              <c:f>Hazard10!$C$805</c:f>
              <c:strCache>
                <c:ptCount val="1"/>
                <c:pt idx="0">
                  <c:v>Elderly 65 and older</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Hazard10!$J$807</c:f>
              <c:numCache>
                <c:formatCode>General</c:formatCode>
                <c:ptCount val="1"/>
                <c:pt idx="0">
                  <c:v>0</c:v>
                </c:pt>
              </c:numCache>
            </c:numRef>
          </c:xVal>
          <c:yVal>
            <c:numRef>
              <c:f>Hazard10!$J$806</c:f>
              <c:numCache>
                <c:formatCode>General</c:formatCode>
                <c:ptCount val="1"/>
                <c:pt idx="0">
                  <c:v>0</c:v>
                </c:pt>
              </c:numCache>
            </c:numRef>
          </c:yVal>
          <c:smooth val="0"/>
          <c:extLst>
            <c:ext xmlns:c16="http://schemas.microsoft.com/office/drawing/2014/chart" uri="{C3380CC4-5D6E-409C-BE32-E72D297353CC}">
              <c16:uniqueId val="{00000004-8C06-4F5D-AF61-12A993E830DB}"/>
            </c:ext>
          </c:extLst>
        </c:ser>
        <c:ser>
          <c:idx val="4"/>
          <c:order val="4"/>
          <c:tx>
            <c:strRef>
              <c:f>Hazard10!$C$773</c:f>
              <c:strCache>
                <c:ptCount val="1"/>
                <c:pt idx="0">
                  <c:v>Hearing Disability</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Hazard10!$J$775</c:f>
              <c:numCache>
                <c:formatCode>General</c:formatCode>
                <c:ptCount val="1"/>
                <c:pt idx="0">
                  <c:v>0</c:v>
                </c:pt>
              </c:numCache>
            </c:numRef>
          </c:xVal>
          <c:yVal>
            <c:numRef>
              <c:f>Hazard10!$J$774</c:f>
              <c:numCache>
                <c:formatCode>General</c:formatCode>
                <c:ptCount val="1"/>
                <c:pt idx="0">
                  <c:v>0</c:v>
                </c:pt>
              </c:numCache>
            </c:numRef>
          </c:yVal>
          <c:smooth val="0"/>
          <c:extLst>
            <c:ext xmlns:c16="http://schemas.microsoft.com/office/drawing/2014/chart" uri="{C3380CC4-5D6E-409C-BE32-E72D297353CC}">
              <c16:uniqueId val="{00000005-8C06-4F5D-AF61-12A993E830DB}"/>
            </c:ext>
          </c:extLst>
        </c:ser>
        <c:ser>
          <c:idx val="5"/>
          <c:order val="5"/>
          <c:tx>
            <c:strRef>
              <c:f>Hazard10!$C$777</c:f>
              <c:strCache>
                <c:ptCount val="1"/>
                <c:pt idx="0">
                  <c:v>Vision Disability</c:v>
                </c:pt>
              </c:strCache>
            </c:strRef>
          </c:tx>
          <c:spPr>
            <a:ln w="66675">
              <a:noFill/>
            </a:ln>
          </c:spPr>
          <c:dLbls>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Hazard10!$J$779</c:f>
              <c:numCache>
                <c:formatCode>General</c:formatCode>
                <c:ptCount val="1"/>
                <c:pt idx="0">
                  <c:v>0</c:v>
                </c:pt>
              </c:numCache>
            </c:numRef>
          </c:xVal>
          <c:yVal>
            <c:numRef>
              <c:f>Hazard10!$J$778</c:f>
              <c:numCache>
                <c:formatCode>General</c:formatCode>
                <c:ptCount val="1"/>
                <c:pt idx="0">
                  <c:v>0</c:v>
                </c:pt>
              </c:numCache>
            </c:numRef>
          </c:yVal>
          <c:smooth val="0"/>
          <c:extLst>
            <c:ext xmlns:c16="http://schemas.microsoft.com/office/drawing/2014/chart" uri="{C3380CC4-5D6E-409C-BE32-E72D297353CC}">
              <c16:uniqueId val="{00000006-8C06-4F5D-AF61-12A993E830DB}"/>
            </c:ext>
          </c:extLst>
        </c:ser>
        <c:ser>
          <c:idx val="6"/>
          <c:order val="6"/>
          <c:tx>
            <c:strRef>
              <c:f>Hazard10!$C$781</c:f>
              <c:strCache>
                <c:ptCount val="1"/>
                <c:pt idx="0">
                  <c:v>Ambulatory Disability</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Hazard10!$J$783</c:f>
              <c:numCache>
                <c:formatCode>General</c:formatCode>
                <c:ptCount val="1"/>
                <c:pt idx="0">
                  <c:v>0</c:v>
                </c:pt>
              </c:numCache>
            </c:numRef>
          </c:xVal>
          <c:yVal>
            <c:numRef>
              <c:f>Hazard10!$J$782</c:f>
              <c:numCache>
                <c:formatCode>General</c:formatCode>
                <c:ptCount val="1"/>
                <c:pt idx="0">
                  <c:v>0</c:v>
                </c:pt>
              </c:numCache>
            </c:numRef>
          </c:yVal>
          <c:smooth val="0"/>
          <c:extLst>
            <c:ext xmlns:c16="http://schemas.microsoft.com/office/drawing/2014/chart" uri="{C3380CC4-5D6E-409C-BE32-E72D297353CC}">
              <c16:uniqueId val="{00000007-8C06-4F5D-AF61-12A993E830DB}"/>
            </c:ext>
          </c:extLst>
        </c:ser>
        <c:ser>
          <c:idx val="7"/>
          <c:order val="7"/>
          <c:tx>
            <c:strRef>
              <c:f>Hazard10!$C$785</c:f>
              <c:strCache>
                <c:ptCount val="1"/>
                <c:pt idx="0">
                  <c:v>Cognitive Disability</c:v>
                </c:pt>
              </c:strCache>
            </c:strRef>
          </c:tx>
          <c:spPr>
            <a:ln w="66675">
              <a:noFill/>
            </a:ln>
          </c:spPr>
          <c:dLbls>
            <c:dLbl>
              <c:idx val="0"/>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8C06-4F5D-AF61-12A993E830DB}"/>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Hazard10!$J$787</c:f>
              <c:numCache>
                <c:formatCode>General</c:formatCode>
                <c:ptCount val="1"/>
                <c:pt idx="0">
                  <c:v>0</c:v>
                </c:pt>
              </c:numCache>
            </c:numRef>
          </c:xVal>
          <c:yVal>
            <c:numRef>
              <c:f>Hazard10!$J$786</c:f>
              <c:numCache>
                <c:formatCode>General</c:formatCode>
                <c:ptCount val="1"/>
                <c:pt idx="0">
                  <c:v>0</c:v>
                </c:pt>
              </c:numCache>
            </c:numRef>
          </c:yVal>
          <c:smooth val="0"/>
          <c:extLst>
            <c:ext xmlns:c16="http://schemas.microsoft.com/office/drawing/2014/chart" uri="{C3380CC4-5D6E-409C-BE32-E72D297353CC}">
              <c16:uniqueId val="{00000009-8C06-4F5D-AF61-12A993E830DB}"/>
            </c:ext>
          </c:extLst>
        </c:ser>
        <c:ser>
          <c:idx val="8"/>
          <c:order val="8"/>
          <c:tx>
            <c:strRef>
              <c:f>Hazard10!$C$789</c:f>
              <c:strCache>
                <c:ptCount val="1"/>
                <c:pt idx="0">
                  <c:v>Limited English Proficiency</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Hazard10!$J$791</c:f>
              <c:numCache>
                <c:formatCode>General</c:formatCode>
                <c:ptCount val="1"/>
                <c:pt idx="0">
                  <c:v>0</c:v>
                </c:pt>
              </c:numCache>
            </c:numRef>
          </c:xVal>
          <c:yVal>
            <c:numRef>
              <c:f>Hazard10!$J$790</c:f>
              <c:numCache>
                <c:formatCode>General</c:formatCode>
                <c:ptCount val="1"/>
                <c:pt idx="0">
                  <c:v>0</c:v>
                </c:pt>
              </c:numCache>
            </c:numRef>
          </c:yVal>
          <c:smooth val="0"/>
          <c:extLst>
            <c:ext xmlns:c16="http://schemas.microsoft.com/office/drawing/2014/chart" uri="{C3380CC4-5D6E-409C-BE32-E72D297353CC}">
              <c16:uniqueId val="{0000000A-8C06-4F5D-AF61-12A993E830DB}"/>
            </c:ext>
          </c:extLst>
        </c:ser>
        <c:dLbls>
          <c:showLegendKey val="0"/>
          <c:showVal val="1"/>
          <c:showCatName val="0"/>
          <c:showSerName val="0"/>
          <c:showPercent val="0"/>
          <c:showBubbleSize val="0"/>
        </c:dLbls>
        <c:axId val="207341824"/>
        <c:axId val="207233408"/>
      </c:scatterChart>
      <c:valAx>
        <c:axId val="207341824"/>
        <c:scaling>
          <c:orientation val="minMax"/>
          <c:max val="4.5"/>
          <c:min val="0"/>
        </c:scaling>
        <c:delete val="0"/>
        <c:axPos val="b"/>
        <c:majorGridlines/>
        <c:title>
          <c:tx>
            <c:rich>
              <a:bodyPr/>
              <a:lstStyle/>
              <a:p>
                <a:pPr>
                  <a:defRPr b="0">
                    <a:latin typeface="+mj-lt"/>
                  </a:defRPr>
                </a:pPr>
                <a:r>
                  <a:rPr lang="en-US" sz="1600" b="0">
                    <a:latin typeface="+mj-lt"/>
                  </a:rPr>
                  <a:t>Access Planning Score</a:t>
                </a:r>
              </a:p>
            </c:rich>
          </c:tx>
          <c:overlay val="0"/>
        </c:title>
        <c:numFmt formatCode="General" sourceLinked="1"/>
        <c:majorTickMark val="out"/>
        <c:minorTickMark val="none"/>
        <c:tickLblPos val="nextTo"/>
        <c:spPr>
          <a:ln>
            <a:solidFill>
              <a:schemeClr val="tx1"/>
            </a:solidFill>
          </a:ln>
        </c:spPr>
        <c:crossAx val="207233408"/>
        <c:crosses val="autoZero"/>
        <c:crossBetween val="midCat"/>
        <c:majorUnit val="1"/>
        <c:minorUnit val="0.1"/>
      </c:valAx>
      <c:valAx>
        <c:axId val="207233408"/>
        <c:scaling>
          <c:orientation val="minMax"/>
          <c:max val="4.5"/>
          <c:min val="0"/>
        </c:scaling>
        <c:delete val="0"/>
        <c:axPos val="l"/>
        <c:majorGridlines/>
        <c:title>
          <c:tx>
            <c:rich>
              <a:bodyPr rot="-5400000" vert="horz"/>
              <a:lstStyle/>
              <a:p>
                <a:pPr>
                  <a:defRPr sz="1600" b="0">
                    <a:latin typeface="+mj-lt"/>
                  </a:defRPr>
                </a:pPr>
                <a:r>
                  <a:rPr lang="en-US" sz="1600" b="0">
                    <a:latin typeface="+mj-lt"/>
                  </a:rPr>
                  <a:t>Population Size Score</a:t>
                </a:r>
              </a:p>
            </c:rich>
          </c:tx>
          <c:overlay val="0"/>
        </c:title>
        <c:numFmt formatCode="General" sourceLinked="1"/>
        <c:majorTickMark val="out"/>
        <c:minorTickMark val="none"/>
        <c:tickLblPos val="nextTo"/>
        <c:spPr>
          <a:ln>
            <a:solidFill>
              <a:schemeClr val="tx1"/>
            </a:solidFill>
          </a:ln>
        </c:spPr>
        <c:crossAx val="207341824"/>
        <c:crosses val="autoZero"/>
        <c:crossBetween val="midCat"/>
        <c:majorUnit val="1"/>
        <c:minorUnit val="0.1"/>
      </c:valAx>
      <c:spPr>
        <a:gradFill flip="none" rotWithShape="1">
          <a:gsLst>
            <a:gs pos="0">
              <a:srgbClr val="63BE7B"/>
            </a:gs>
            <a:gs pos="50000">
              <a:srgbClr val="FFEB84"/>
            </a:gs>
            <a:gs pos="100000">
              <a:srgbClr val="F8696B"/>
            </a:gs>
          </a:gsLst>
          <a:lin ang="189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defRPr b="0" u="sng">
                <a:latin typeface="+mj-lt"/>
              </a:defRPr>
            </a:pPr>
            <a:r>
              <a:rPr lang="en-US" b="0" u="sng">
                <a:latin typeface="+mj-lt"/>
              </a:rPr>
              <a:t>Public Health Preparedness</a:t>
            </a:r>
          </a:p>
        </c:rich>
      </c:tx>
      <c:layout>
        <c:manualLayout>
          <c:xMode val="edge"/>
          <c:yMode val="edge"/>
          <c:x val="0.30532356317913883"/>
          <c:y val="1.3244983721297133E-2"/>
        </c:manualLayout>
      </c:layout>
      <c:overlay val="0"/>
    </c:title>
    <c:autoTitleDeleted val="0"/>
    <c:plotArea>
      <c:layout/>
      <c:scatterChart>
        <c:scatterStyle val="lineMarker"/>
        <c:varyColors val="0"/>
        <c:ser>
          <c:idx val="0"/>
          <c:order val="0"/>
          <c:tx>
            <c:strRef>
              <c:f>Hazard10!$C$853</c:f>
              <c:strCache>
                <c:ptCount val="1"/>
                <c:pt idx="0">
                  <c:v>Info Sharing</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Hazard10!$J$854</c:f>
              <c:strCache>
                <c:ptCount val="1"/>
                <c:pt idx="0">
                  <c:v>Not Calculated</c:v>
                </c:pt>
              </c:strCache>
            </c:strRef>
          </c:xVal>
          <c:yVal>
            <c:numRef>
              <c:f>Hazard10!$J$855</c:f>
              <c:numCache>
                <c:formatCode>General</c:formatCode>
                <c:ptCount val="1"/>
                <c:pt idx="0">
                  <c:v>0</c:v>
                </c:pt>
              </c:numCache>
            </c:numRef>
          </c:yVal>
          <c:smooth val="0"/>
          <c:extLst>
            <c:ext xmlns:c16="http://schemas.microsoft.com/office/drawing/2014/chart" uri="{C3380CC4-5D6E-409C-BE32-E72D297353CC}">
              <c16:uniqueId val="{00000000-01A6-4F4E-B676-756FE55F16F0}"/>
            </c:ext>
          </c:extLst>
        </c:ser>
        <c:ser>
          <c:idx val="1"/>
          <c:order val="1"/>
          <c:tx>
            <c:strRef>
              <c:f>Hazard10!$C$857</c:f>
              <c:strCache>
                <c:ptCount val="1"/>
                <c:pt idx="0">
                  <c:v>Mass Care</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Hazard10!$J$858</c:f>
              <c:strCache>
                <c:ptCount val="1"/>
                <c:pt idx="0">
                  <c:v>Not Calculated</c:v>
                </c:pt>
              </c:strCache>
            </c:strRef>
          </c:xVal>
          <c:yVal>
            <c:numRef>
              <c:f>Hazard10!$J$859</c:f>
              <c:numCache>
                <c:formatCode>General</c:formatCode>
                <c:ptCount val="1"/>
                <c:pt idx="0">
                  <c:v>0</c:v>
                </c:pt>
              </c:numCache>
            </c:numRef>
          </c:yVal>
          <c:smooth val="0"/>
          <c:extLst>
            <c:ext xmlns:c16="http://schemas.microsoft.com/office/drawing/2014/chart" uri="{C3380CC4-5D6E-409C-BE32-E72D297353CC}">
              <c16:uniqueId val="{00000001-01A6-4F4E-B676-756FE55F16F0}"/>
            </c:ext>
          </c:extLst>
        </c:ser>
        <c:ser>
          <c:idx val="2"/>
          <c:order val="2"/>
          <c:tx>
            <c:strRef>
              <c:f>Hazard10!$C$861</c:f>
              <c:strCache>
                <c:ptCount val="1"/>
                <c:pt idx="0">
                  <c:v>MCM Dispens</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Hazard10!$J$862</c:f>
              <c:strCache>
                <c:ptCount val="1"/>
                <c:pt idx="0">
                  <c:v>Not Calculated</c:v>
                </c:pt>
              </c:strCache>
            </c:strRef>
          </c:xVal>
          <c:yVal>
            <c:numRef>
              <c:f>Hazard10!$J$863</c:f>
              <c:numCache>
                <c:formatCode>General</c:formatCode>
                <c:ptCount val="1"/>
                <c:pt idx="0">
                  <c:v>0</c:v>
                </c:pt>
              </c:numCache>
            </c:numRef>
          </c:yVal>
          <c:smooth val="0"/>
          <c:extLst>
            <c:ext xmlns:c16="http://schemas.microsoft.com/office/drawing/2014/chart" uri="{C3380CC4-5D6E-409C-BE32-E72D297353CC}">
              <c16:uniqueId val="{00000002-01A6-4F4E-B676-756FE55F16F0}"/>
            </c:ext>
          </c:extLst>
        </c:ser>
        <c:ser>
          <c:idx val="3"/>
          <c:order val="3"/>
          <c:tx>
            <c:strRef>
              <c:f>Hazard10!$C$865</c:f>
              <c:strCache>
                <c:ptCount val="1"/>
                <c:pt idx="0">
                  <c:v>Med Materiel Mgmt</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Hazard10!$J$866</c:f>
              <c:strCache>
                <c:ptCount val="1"/>
                <c:pt idx="0">
                  <c:v>Not Calculated</c:v>
                </c:pt>
              </c:strCache>
            </c:strRef>
          </c:xVal>
          <c:yVal>
            <c:numRef>
              <c:f>Hazard10!$J$867</c:f>
              <c:numCache>
                <c:formatCode>General</c:formatCode>
                <c:ptCount val="1"/>
                <c:pt idx="0">
                  <c:v>0</c:v>
                </c:pt>
              </c:numCache>
            </c:numRef>
          </c:yVal>
          <c:smooth val="0"/>
          <c:extLst>
            <c:ext xmlns:c16="http://schemas.microsoft.com/office/drawing/2014/chart" uri="{C3380CC4-5D6E-409C-BE32-E72D297353CC}">
              <c16:uniqueId val="{00000003-01A6-4F4E-B676-756FE55F16F0}"/>
            </c:ext>
          </c:extLst>
        </c:ser>
        <c:ser>
          <c:idx val="4"/>
          <c:order val="4"/>
          <c:tx>
            <c:strRef>
              <c:f>Hazard10!$C$869</c:f>
              <c:strCache>
                <c:ptCount val="1"/>
                <c:pt idx="0">
                  <c:v>Medical Surge</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Hazard10!$J$870</c:f>
              <c:strCache>
                <c:ptCount val="1"/>
                <c:pt idx="0">
                  <c:v>Not Calculated</c:v>
                </c:pt>
              </c:strCache>
            </c:strRef>
          </c:xVal>
          <c:yVal>
            <c:numRef>
              <c:f>Hazard10!$J$871</c:f>
              <c:numCache>
                <c:formatCode>General</c:formatCode>
                <c:ptCount val="1"/>
                <c:pt idx="0">
                  <c:v>0</c:v>
                </c:pt>
              </c:numCache>
            </c:numRef>
          </c:yVal>
          <c:smooth val="0"/>
          <c:extLst>
            <c:ext xmlns:c16="http://schemas.microsoft.com/office/drawing/2014/chart" uri="{C3380CC4-5D6E-409C-BE32-E72D297353CC}">
              <c16:uniqueId val="{00000004-01A6-4F4E-B676-756FE55F16F0}"/>
            </c:ext>
          </c:extLst>
        </c:ser>
        <c:ser>
          <c:idx val="5"/>
          <c:order val="5"/>
          <c:tx>
            <c:strRef>
              <c:f>Hazard10!$C$873</c:f>
              <c:strCache>
                <c:ptCount val="1"/>
                <c:pt idx="0">
                  <c:v>Non-Pharm Interv</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Hazard10!$J$874</c:f>
              <c:strCache>
                <c:ptCount val="1"/>
                <c:pt idx="0">
                  <c:v>Not Calculated</c:v>
                </c:pt>
              </c:strCache>
            </c:strRef>
          </c:xVal>
          <c:yVal>
            <c:numRef>
              <c:f>Hazard10!$J$875</c:f>
              <c:numCache>
                <c:formatCode>General</c:formatCode>
                <c:ptCount val="1"/>
                <c:pt idx="0">
                  <c:v>0</c:v>
                </c:pt>
              </c:numCache>
            </c:numRef>
          </c:yVal>
          <c:smooth val="0"/>
          <c:extLst>
            <c:ext xmlns:c16="http://schemas.microsoft.com/office/drawing/2014/chart" uri="{C3380CC4-5D6E-409C-BE32-E72D297353CC}">
              <c16:uniqueId val="{00000005-01A6-4F4E-B676-756FE55F16F0}"/>
            </c:ext>
          </c:extLst>
        </c:ser>
        <c:ser>
          <c:idx val="6"/>
          <c:order val="6"/>
          <c:tx>
            <c:strRef>
              <c:f>Hazard10!$C$877</c:f>
              <c:strCache>
                <c:ptCount val="1"/>
                <c:pt idx="0">
                  <c:v>PH Lab Testing</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Hazard10!$J$878</c:f>
              <c:strCache>
                <c:ptCount val="1"/>
                <c:pt idx="0">
                  <c:v>Not Calculated</c:v>
                </c:pt>
              </c:strCache>
            </c:strRef>
          </c:xVal>
          <c:yVal>
            <c:numRef>
              <c:f>Hazard10!$J$879</c:f>
              <c:numCache>
                <c:formatCode>General</c:formatCode>
                <c:ptCount val="1"/>
                <c:pt idx="0">
                  <c:v>0</c:v>
                </c:pt>
              </c:numCache>
            </c:numRef>
          </c:yVal>
          <c:smooth val="0"/>
          <c:extLst>
            <c:ext xmlns:c16="http://schemas.microsoft.com/office/drawing/2014/chart" uri="{C3380CC4-5D6E-409C-BE32-E72D297353CC}">
              <c16:uniqueId val="{00000006-01A6-4F4E-B676-756FE55F16F0}"/>
            </c:ext>
          </c:extLst>
        </c:ser>
        <c:ser>
          <c:idx val="7"/>
          <c:order val="7"/>
          <c:tx>
            <c:strRef>
              <c:f>Hazard10!$C$881</c:f>
              <c:strCache>
                <c:ptCount val="1"/>
                <c:pt idx="0">
                  <c:v>PH Surv &amp; Epi</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Hazard10!$J$882</c:f>
              <c:strCache>
                <c:ptCount val="1"/>
                <c:pt idx="0">
                  <c:v>Not Calculated</c:v>
                </c:pt>
              </c:strCache>
            </c:strRef>
          </c:xVal>
          <c:yVal>
            <c:numRef>
              <c:f>Hazard10!$J$883</c:f>
              <c:numCache>
                <c:formatCode>General</c:formatCode>
                <c:ptCount val="1"/>
                <c:pt idx="0">
                  <c:v>0</c:v>
                </c:pt>
              </c:numCache>
            </c:numRef>
          </c:yVal>
          <c:smooth val="0"/>
          <c:extLst>
            <c:ext xmlns:c16="http://schemas.microsoft.com/office/drawing/2014/chart" uri="{C3380CC4-5D6E-409C-BE32-E72D297353CC}">
              <c16:uniqueId val="{00000007-01A6-4F4E-B676-756FE55F16F0}"/>
            </c:ext>
          </c:extLst>
        </c:ser>
        <c:ser>
          <c:idx val="8"/>
          <c:order val="8"/>
          <c:tx>
            <c:strRef>
              <c:f>Hazard10!$C$885</c:f>
              <c:strCache>
                <c:ptCount val="1"/>
                <c:pt idx="0">
                  <c:v>Responder Safety</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Hazard10!$J$886</c:f>
              <c:strCache>
                <c:ptCount val="1"/>
                <c:pt idx="0">
                  <c:v>Not Calculated</c:v>
                </c:pt>
              </c:strCache>
            </c:strRef>
          </c:xVal>
          <c:yVal>
            <c:numRef>
              <c:f>Hazard10!$J$887</c:f>
              <c:numCache>
                <c:formatCode>General</c:formatCode>
                <c:ptCount val="1"/>
                <c:pt idx="0">
                  <c:v>0</c:v>
                </c:pt>
              </c:numCache>
            </c:numRef>
          </c:yVal>
          <c:smooth val="0"/>
          <c:extLst>
            <c:ext xmlns:c16="http://schemas.microsoft.com/office/drawing/2014/chart" uri="{C3380CC4-5D6E-409C-BE32-E72D297353CC}">
              <c16:uniqueId val="{00000008-01A6-4F4E-B676-756FE55F16F0}"/>
            </c:ext>
          </c:extLst>
        </c:ser>
        <c:ser>
          <c:idx val="9"/>
          <c:order val="9"/>
          <c:tx>
            <c:strRef>
              <c:f>Hazard10!$C$889</c:f>
              <c:strCache>
                <c:ptCount val="1"/>
                <c:pt idx="0">
                  <c:v>Volunteer Mgmt</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Hazard10!$J$890</c:f>
              <c:strCache>
                <c:ptCount val="1"/>
                <c:pt idx="0">
                  <c:v>Not Calculated</c:v>
                </c:pt>
              </c:strCache>
            </c:strRef>
          </c:xVal>
          <c:yVal>
            <c:numRef>
              <c:f>Hazard10!$J$891</c:f>
              <c:numCache>
                <c:formatCode>General</c:formatCode>
                <c:ptCount val="1"/>
                <c:pt idx="0">
                  <c:v>0</c:v>
                </c:pt>
              </c:numCache>
            </c:numRef>
          </c:yVal>
          <c:smooth val="0"/>
          <c:extLst>
            <c:ext xmlns:c16="http://schemas.microsoft.com/office/drawing/2014/chart" uri="{C3380CC4-5D6E-409C-BE32-E72D297353CC}">
              <c16:uniqueId val="{00000009-01A6-4F4E-B676-756FE55F16F0}"/>
            </c:ext>
          </c:extLst>
        </c:ser>
        <c:ser>
          <c:idx val="10"/>
          <c:order val="10"/>
          <c:tx>
            <c:strRef>
              <c:f>Hazard10!$C$833</c:f>
              <c:strCache>
                <c:ptCount val="1"/>
                <c:pt idx="0">
                  <c:v>Community Prep</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Hazard10!$J$834</c:f>
              <c:strCache>
                <c:ptCount val="1"/>
                <c:pt idx="0">
                  <c:v>Not Calculated</c:v>
                </c:pt>
              </c:strCache>
            </c:strRef>
          </c:xVal>
          <c:yVal>
            <c:numRef>
              <c:f>Hazard10!$J$835</c:f>
              <c:numCache>
                <c:formatCode>General</c:formatCode>
                <c:ptCount val="1"/>
                <c:pt idx="0">
                  <c:v>0</c:v>
                </c:pt>
              </c:numCache>
            </c:numRef>
          </c:yVal>
          <c:smooth val="0"/>
          <c:extLst>
            <c:ext xmlns:c16="http://schemas.microsoft.com/office/drawing/2014/chart" uri="{C3380CC4-5D6E-409C-BE32-E72D297353CC}">
              <c16:uniqueId val="{0000000A-01A6-4F4E-B676-756FE55F16F0}"/>
            </c:ext>
          </c:extLst>
        </c:ser>
        <c:ser>
          <c:idx val="11"/>
          <c:order val="11"/>
          <c:tx>
            <c:strRef>
              <c:f>Hazard10!$C$837</c:f>
              <c:strCache>
                <c:ptCount val="1"/>
                <c:pt idx="0">
                  <c:v>Community Recov</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Hazard10!$J$838</c:f>
              <c:strCache>
                <c:ptCount val="1"/>
                <c:pt idx="0">
                  <c:v>Not Calculated</c:v>
                </c:pt>
              </c:strCache>
            </c:strRef>
          </c:xVal>
          <c:yVal>
            <c:numRef>
              <c:f>Hazard10!$J$839</c:f>
              <c:numCache>
                <c:formatCode>General</c:formatCode>
                <c:ptCount val="1"/>
                <c:pt idx="0">
                  <c:v>0</c:v>
                </c:pt>
              </c:numCache>
            </c:numRef>
          </c:yVal>
          <c:smooth val="0"/>
          <c:extLst>
            <c:ext xmlns:c16="http://schemas.microsoft.com/office/drawing/2014/chart" uri="{C3380CC4-5D6E-409C-BE32-E72D297353CC}">
              <c16:uniqueId val="{0000000B-01A6-4F4E-B676-756FE55F16F0}"/>
            </c:ext>
          </c:extLst>
        </c:ser>
        <c:ser>
          <c:idx val="12"/>
          <c:order val="12"/>
          <c:tx>
            <c:strRef>
              <c:f>Hazard10!$C$841</c:f>
              <c:strCache>
                <c:ptCount val="1"/>
                <c:pt idx="0">
                  <c:v>Emerg Ops Coord</c:v>
                </c:pt>
              </c:strCache>
            </c:strRef>
          </c:tx>
          <c:spPr>
            <a:ln w="66675">
              <a:noFill/>
            </a:ln>
          </c:spPr>
          <c:dLbls>
            <c:spPr>
              <a:noFill/>
              <a:ln>
                <a:noFill/>
              </a:ln>
              <a:effectLst/>
            </c:sp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Hazard10!$J$842</c:f>
              <c:strCache>
                <c:ptCount val="1"/>
                <c:pt idx="0">
                  <c:v>Not Calculated</c:v>
                </c:pt>
              </c:strCache>
            </c:strRef>
          </c:xVal>
          <c:yVal>
            <c:numRef>
              <c:f>Hazard10!$J$843</c:f>
              <c:numCache>
                <c:formatCode>General</c:formatCode>
                <c:ptCount val="1"/>
                <c:pt idx="0">
                  <c:v>0</c:v>
                </c:pt>
              </c:numCache>
            </c:numRef>
          </c:yVal>
          <c:smooth val="0"/>
          <c:extLst>
            <c:ext xmlns:c16="http://schemas.microsoft.com/office/drawing/2014/chart" uri="{C3380CC4-5D6E-409C-BE32-E72D297353CC}">
              <c16:uniqueId val="{0000000C-01A6-4F4E-B676-756FE55F16F0}"/>
            </c:ext>
          </c:extLst>
        </c:ser>
        <c:ser>
          <c:idx val="13"/>
          <c:order val="13"/>
          <c:tx>
            <c:strRef>
              <c:f>Hazard10!$C$845</c:f>
              <c:strCache>
                <c:ptCount val="1"/>
                <c:pt idx="0">
                  <c:v>Emerg Public Info</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Hazard10!$J$846</c:f>
              <c:strCache>
                <c:ptCount val="1"/>
                <c:pt idx="0">
                  <c:v>Not Calculated</c:v>
                </c:pt>
              </c:strCache>
            </c:strRef>
          </c:xVal>
          <c:yVal>
            <c:numRef>
              <c:f>Hazard10!$J$847</c:f>
              <c:numCache>
                <c:formatCode>General</c:formatCode>
                <c:ptCount val="1"/>
                <c:pt idx="0">
                  <c:v>0</c:v>
                </c:pt>
              </c:numCache>
            </c:numRef>
          </c:yVal>
          <c:smooth val="0"/>
          <c:extLst>
            <c:ext xmlns:c16="http://schemas.microsoft.com/office/drawing/2014/chart" uri="{C3380CC4-5D6E-409C-BE32-E72D297353CC}">
              <c16:uniqueId val="{0000000D-01A6-4F4E-B676-756FE55F16F0}"/>
            </c:ext>
          </c:extLst>
        </c:ser>
        <c:ser>
          <c:idx val="14"/>
          <c:order val="14"/>
          <c:tx>
            <c:strRef>
              <c:f>Drought!$C$964</c:f>
              <c:strCache>
                <c:ptCount val="1"/>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Drought!$J$965</c:f>
            </c:numRef>
          </c:xVal>
          <c:yVal>
            <c:numRef>
              <c:f>Drought!$J$966</c:f>
            </c:numRef>
          </c:yVal>
          <c:smooth val="0"/>
          <c:extLst>
            <c:ext xmlns:c16="http://schemas.microsoft.com/office/drawing/2014/chart" uri="{C3380CC4-5D6E-409C-BE32-E72D297353CC}">
              <c16:uniqueId val="{0000000E-01A6-4F4E-B676-756FE55F16F0}"/>
            </c:ext>
          </c:extLst>
        </c:ser>
        <c:ser>
          <c:idx val="15"/>
          <c:order val="15"/>
          <c:tx>
            <c:strRef>
              <c:f>Hazard10!$C$849</c:f>
              <c:strCache>
                <c:ptCount val="1"/>
                <c:pt idx="0">
                  <c:v>Fatality Mgmt</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Hazard10!$J$850</c:f>
              <c:strCache>
                <c:ptCount val="1"/>
                <c:pt idx="0">
                  <c:v>Not Calculated</c:v>
                </c:pt>
              </c:strCache>
            </c:strRef>
          </c:xVal>
          <c:yVal>
            <c:numRef>
              <c:f>Hazard10!$J$851</c:f>
              <c:numCache>
                <c:formatCode>General</c:formatCode>
                <c:ptCount val="1"/>
                <c:pt idx="0">
                  <c:v>0</c:v>
                </c:pt>
              </c:numCache>
            </c:numRef>
          </c:yVal>
          <c:smooth val="0"/>
          <c:extLst>
            <c:ext xmlns:c16="http://schemas.microsoft.com/office/drawing/2014/chart" uri="{C3380CC4-5D6E-409C-BE32-E72D297353CC}">
              <c16:uniqueId val="{0000000F-01A6-4F4E-B676-756FE55F16F0}"/>
            </c:ext>
          </c:extLst>
        </c:ser>
        <c:dLbls>
          <c:showLegendKey val="0"/>
          <c:showVal val="1"/>
          <c:showCatName val="0"/>
          <c:showSerName val="0"/>
          <c:showPercent val="0"/>
          <c:showBubbleSize val="0"/>
        </c:dLbls>
        <c:axId val="194922752"/>
        <c:axId val="194941312"/>
      </c:scatterChart>
      <c:valAx>
        <c:axId val="194922752"/>
        <c:scaling>
          <c:orientation val="minMax"/>
          <c:max val="4.5"/>
          <c:min val="0"/>
        </c:scaling>
        <c:delete val="0"/>
        <c:axPos val="b"/>
        <c:majorGridlines/>
        <c:title>
          <c:tx>
            <c:rich>
              <a:bodyPr/>
              <a:lstStyle/>
              <a:p>
                <a:pPr>
                  <a:defRPr b="0">
                    <a:latin typeface="+mj-lt"/>
                  </a:defRPr>
                </a:pPr>
                <a:r>
                  <a:rPr lang="en-US" sz="1600" b="0">
                    <a:latin typeface="+mj-lt"/>
                  </a:rPr>
                  <a:t>Capability Relevance to Hazard</a:t>
                </a:r>
              </a:p>
            </c:rich>
          </c:tx>
          <c:overlay val="0"/>
        </c:title>
        <c:numFmt formatCode="General" sourceLinked="1"/>
        <c:majorTickMark val="out"/>
        <c:minorTickMark val="none"/>
        <c:tickLblPos val="nextTo"/>
        <c:spPr>
          <a:ln>
            <a:solidFill>
              <a:schemeClr val="tx1"/>
            </a:solidFill>
          </a:ln>
        </c:spPr>
        <c:crossAx val="194941312"/>
        <c:crosses val="autoZero"/>
        <c:crossBetween val="midCat"/>
        <c:majorUnit val="1"/>
        <c:minorUnit val="0.1"/>
      </c:valAx>
      <c:valAx>
        <c:axId val="194941312"/>
        <c:scaling>
          <c:orientation val="minMax"/>
          <c:max val="4.5"/>
          <c:min val="0"/>
        </c:scaling>
        <c:delete val="0"/>
        <c:axPos val="l"/>
        <c:majorGridlines/>
        <c:title>
          <c:tx>
            <c:rich>
              <a:bodyPr rot="-5400000" vert="horz"/>
              <a:lstStyle/>
              <a:p>
                <a:pPr>
                  <a:defRPr sz="1600" b="0">
                    <a:latin typeface="+mj-lt"/>
                  </a:defRPr>
                </a:pPr>
                <a:r>
                  <a:rPr lang="en-US" sz="1600" b="0">
                    <a:latin typeface="+mj-lt"/>
                  </a:rPr>
                  <a:t>Capability Status</a:t>
                </a:r>
              </a:p>
            </c:rich>
          </c:tx>
          <c:overlay val="0"/>
        </c:title>
        <c:numFmt formatCode="General" sourceLinked="1"/>
        <c:majorTickMark val="out"/>
        <c:minorTickMark val="none"/>
        <c:tickLblPos val="nextTo"/>
        <c:spPr>
          <a:ln>
            <a:solidFill>
              <a:schemeClr val="tx1"/>
            </a:solidFill>
          </a:ln>
        </c:spPr>
        <c:crossAx val="194922752"/>
        <c:crosses val="autoZero"/>
        <c:crossBetween val="midCat"/>
        <c:majorUnit val="1"/>
        <c:minorUnit val="0.1"/>
      </c:valAx>
      <c:spPr>
        <a:gradFill flip="none" rotWithShape="1">
          <a:gsLst>
            <a:gs pos="0">
              <a:srgbClr val="63BE7B"/>
            </a:gs>
            <a:gs pos="50000">
              <a:srgbClr val="FFEB84"/>
            </a:gs>
            <a:gs pos="100000">
              <a:srgbClr val="F8696B"/>
            </a:gs>
          </a:gsLst>
          <a:lin ang="27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defRPr b="0" u="sng">
                <a:latin typeface="+mj-lt"/>
              </a:defRPr>
            </a:pPr>
            <a:r>
              <a:rPr lang="en-US" b="0" u="sng">
                <a:latin typeface="+mj-lt"/>
              </a:rPr>
              <a:t>Healthcare Preparedness</a:t>
            </a:r>
          </a:p>
        </c:rich>
      </c:tx>
      <c:layout>
        <c:manualLayout>
          <c:xMode val="edge"/>
          <c:yMode val="edge"/>
          <c:x val="0.38019690321630645"/>
          <c:y val="1.3244983721297133E-2"/>
        </c:manualLayout>
      </c:layout>
      <c:overlay val="0"/>
    </c:title>
    <c:autoTitleDeleted val="0"/>
    <c:plotArea>
      <c:layout/>
      <c:scatterChart>
        <c:scatterStyle val="lineMarker"/>
        <c:varyColors val="0"/>
        <c:ser>
          <c:idx val="0"/>
          <c:order val="0"/>
          <c:tx>
            <c:strRef>
              <c:f>Hazard10!$C$903</c:f>
              <c:strCache>
                <c:ptCount val="1"/>
                <c:pt idx="0">
                  <c:v>HC System Prep</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Hazard10!$J$904</c:f>
              <c:strCache>
                <c:ptCount val="1"/>
                <c:pt idx="0">
                  <c:v>Not Calculated</c:v>
                </c:pt>
              </c:strCache>
            </c:strRef>
          </c:xVal>
          <c:yVal>
            <c:numRef>
              <c:f>Hazard10!$J$905</c:f>
              <c:numCache>
                <c:formatCode>General</c:formatCode>
                <c:ptCount val="1"/>
                <c:pt idx="0">
                  <c:v>0</c:v>
                </c:pt>
              </c:numCache>
            </c:numRef>
          </c:yVal>
          <c:smooth val="0"/>
          <c:extLst>
            <c:ext xmlns:c16="http://schemas.microsoft.com/office/drawing/2014/chart" uri="{C3380CC4-5D6E-409C-BE32-E72D297353CC}">
              <c16:uniqueId val="{00000000-93C9-404E-B384-21361EA25FCF}"/>
            </c:ext>
          </c:extLst>
        </c:ser>
        <c:ser>
          <c:idx val="1"/>
          <c:order val="1"/>
          <c:tx>
            <c:strRef>
              <c:f>Hazard10!$C$907</c:f>
              <c:strCache>
                <c:ptCount val="1"/>
                <c:pt idx="0">
                  <c:v>HC System Recov</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Hazard10!$J$908</c:f>
              <c:strCache>
                <c:ptCount val="1"/>
                <c:pt idx="0">
                  <c:v>Not Calculated</c:v>
                </c:pt>
              </c:strCache>
            </c:strRef>
          </c:xVal>
          <c:yVal>
            <c:numRef>
              <c:f>Hazard10!$J$909</c:f>
              <c:numCache>
                <c:formatCode>General</c:formatCode>
                <c:ptCount val="1"/>
                <c:pt idx="0">
                  <c:v>0</c:v>
                </c:pt>
              </c:numCache>
            </c:numRef>
          </c:yVal>
          <c:smooth val="0"/>
          <c:extLst>
            <c:ext xmlns:c16="http://schemas.microsoft.com/office/drawing/2014/chart" uri="{C3380CC4-5D6E-409C-BE32-E72D297353CC}">
              <c16:uniqueId val="{00000001-93C9-404E-B384-21361EA25FCF}"/>
            </c:ext>
          </c:extLst>
        </c:ser>
        <c:ser>
          <c:idx val="2"/>
          <c:order val="2"/>
          <c:tx>
            <c:strRef>
              <c:f>Hazard10!$C$911</c:f>
              <c:strCache>
                <c:ptCount val="1"/>
                <c:pt idx="0">
                  <c:v>Emerg Ops Coord</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Hazard10!$J$912</c:f>
              <c:strCache>
                <c:ptCount val="1"/>
                <c:pt idx="0">
                  <c:v>Not Calculated</c:v>
                </c:pt>
              </c:strCache>
            </c:strRef>
          </c:xVal>
          <c:yVal>
            <c:numRef>
              <c:f>Hazard10!$J$913</c:f>
              <c:numCache>
                <c:formatCode>General</c:formatCode>
                <c:ptCount val="1"/>
                <c:pt idx="0">
                  <c:v>0</c:v>
                </c:pt>
              </c:numCache>
            </c:numRef>
          </c:yVal>
          <c:smooth val="0"/>
          <c:extLst>
            <c:ext xmlns:c16="http://schemas.microsoft.com/office/drawing/2014/chart" uri="{C3380CC4-5D6E-409C-BE32-E72D297353CC}">
              <c16:uniqueId val="{00000002-93C9-404E-B384-21361EA25FCF}"/>
            </c:ext>
          </c:extLst>
        </c:ser>
        <c:ser>
          <c:idx val="3"/>
          <c:order val="3"/>
          <c:tx>
            <c:strRef>
              <c:f>Hazard10!$C$915</c:f>
              <c:strCache>
                <c:ptCount val="1"/>
                <c:pt idx="0">
                  <c:v>Fatality Mgmt</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Hazard10!$J$916</c:f>
              <c:strCache>
                <c:ptCount val="1"/>
                <c:pt idx="0">
                  <c:v>Not Calculated</c:v>
                </c:pt>
              </c:strCache>
            </c:strRef>
          </c:xVal>
          <c:yVal>
            <c:numRef>
              <c:f>Hazard10!$J$917</c:f>
              <c:numCache>
                <c:formatCode>General</c:formatCode>
                <c:ptCount val="1"/>
                <c:pt idx="0">
                  <c:v>0</c:v>
                </c:pt>
              </c:numCache>
            </c:numRef>
          </c:yVal>
          <c:smooth val="0"/>
          <c:extLst>
            <c:ext xmlns:c16="http://schemas.microsoft.com/office/drawing/2014/chart" uri="{C3380CC4-5D6E-409C-BE32-E72D297353CC}">
              <c16:uniqueId val="{00000003-93C9-404E-B384-21361EA25FCF}"/>
            </c:ext>
          </c:extLst>
        </c:ser>
        <c:ser>
          <c:idx val="4"/>
          <c:order val="4"/>
          <c:tx>
            <c:strRef>
              <c:f>Hazard10!$C$919</c:f>
              <c:strCache>
                <c:ptCount val="1"/>
                <c:pt idx="0">
                  <c:v>Info Sharing</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Hazard10!$J$920</c:f>
              <c:strCache>
                <c:ptCount val="1"/>
                <c:pt idx="0">
                  <c:v>Not Calculated</c:v>
                </c:pt>
              </c:strCache>
            </c:strRef>
          </c:xVal>
          <c:yVal>
            <c:numRef>
              <c:f>Hazard10!$J$921</c:f>
              <c:numCache>
                <c:formatCode>General</c:formatCode>
                <c:ptCount val="1"/>
                <c:pt idx="0">
                  <c:v>0</c:v>
                </c:pt>
              </c:numCache>
            </c:numRef>
          </c:yVal>
          <c:smooth val="0"/>
          <c:extLst>
            <c:ext xmlns:c16="http://schemas.microsoft.com/office/drawing/2014/chart" uri="{C3380CC4-5D6E-409C-BE32-E72D297353CC}">
              <c16:uniqueId val="{00000004-93C9-404E-B384-21361EA25FCF}"/>
            </c:ext>
          </c:extLst>
        </c:ser>
        <c:ser>
          <c:idx val="5"/>
          <c:order val="5"/>
          <c:tx>
            <c:strRef>
              <c:f>Hazard10!$C$923</c:f>
              <c:strCache>
                <c:ptCount val="1"/>
                <c:pt idx="0">
                  <c:v>Medical Surge</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Hazard10!$J$924</c:f>
              <c:strCache>
                <c:ptCount val="1"/>
                <c:pt idx="0">
                  <c:v>Not Calculated</c:v>
                </c:pt>
              </c:strCache>
            </c:strRef>
          </c:xVal>
          <c:yVal>
            <c:numRef>
              <c:f>Hazard10!$J$925</c:f>
              <c:numCache>
                <c:formatCode>General</c:formatCode>
                <c:ptCount val="1"/>
                <c:pt idx="0">
                  <c:v>0</c:v>
                </c:pt>
              </c:numCache>
            </c:numRef>
          </c:yVal>
          <c:smooth val="0"/>
          <c:extLst>
            <c:ext xmlns:c16="http://schemas.microsoft.com/office/drawing/2014/chart" uri="{C3380CC4-5D6E-409C-BE32-E72D297353CC}">
              <c16:uniqueId val="{00000005-93C9-404E-B384-21361EA25FCF}"/>
            </c:ext>
          </c:extLst>
        </c:ser>
        <c:ser>
          <c:idx val="6"/>
          <c:order val="6"/>
          <c:tx>
            <c:strRef>
              <c:f>Hazard10!$C$927</c:f>
              <c:strCache>
                <c:ptCount val="1"/>
                <c:pt idx="0">
                  <c:v>Responder Safety</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Hazard10!$J$928</c:f>
              <c:strCache>
                <c:ptCount val="1"/>
                <c:pt idx="0">
                  <c:v>Not Calculated</c:v>
                </c:pt>
              </c:strCache>
            </c:strRef>
          </c:xVal>
          <c:yVal>
            <c:numRef>
              <c:f>Hazard10!$J$929</c:f>
              <c:numCache>
                <c:formatCode>General</c:formatCode>
                <c:ptCount val="1"/>
                <c:pt idx="0">
                  <c:v>0</c:v>
                </c:pt>
              </c:numCache>
            </c:numRef>
          </c:yVal>
          <c:smooth val="0"/>
          <c:extLst>
            <c:ext xmlns:c16="http://schemas.microsoft.com/office/drawing/2014/chart" uri="{C3380CC4-5D6E-409C-BE32-E72D297353CC}">
              <c16:uniqueId val="{00000006-93C9-404E-B384-21361EA25FCF}"/>
            </c:ext>
          </c:extLst>
        </c:ser>
        <c:ser>
          <c:idx val="7"/>
          <c:order val="7"/>
          <c:tx>
            <c:strRef>
              <c:f>Hazard10!$C$931</c:f>
              <c:strCache>
                <c:ptCount val="1"/>
                <c:pt idx="0">
                  <c:v>Volunteer Mgmt</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Hazard10!$J$932</c:f>
              <c:strCache>
                <c:ptCount val="1"/>
                <c:pt idx="0">
                  <c:v>Not Calculated</c:v>
                </c:pt>
              </c:strCache>
            </c:strRef>
          </c:xVal>
          <c:yVal>
            <c:numRef>
              <c:f>Hazard10!$J$933</c:f>
              <c:numCache>
                <c:formatCode>General</c:formatCode>
                <c:ptCount val="1"/>
                <c:pt idx="0">
                  <c:v>0</c:v>
                </c:pt>
              </c:numCache>
            </c:numRef>
          </c:yVal>
          <c:smooth val="0"/>
          <c:extLst>
            <c:ext xmlns:c16="http://schemas.microsoft.com/office/drawing/2014/chart" uri="{C3380CC4-5D6E-409C-BE32-E72D297353CC}">
              <c16:uniqueId val="{00000007-93C9-404E-B384-21361EA25FCF}"/>
            </c:ext>
          </c:extLst>
        </c:ser>
        <c:ser>
          <c:idx val="14"/>
          <c:order val="8"/>
          <c:tx>
            <c:strRef>
              <c:f>Drought!$C$964</c:f>
              <c:strCache>
                <c:ptCount val="1"/>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Drought!$J$965</c:f>
            </c:numRef>
          </c:xVal>
          <c:yVal>
            <c:numRef>
              <c:f>Drought!$J$966</c:f>
            </c:numRef>
          </c:yVal>
          <c:smooth val="0"/>
          <c:extLst>
            <c:ext xmlns:c16="http://schemas.microsoft.com/office/drawing/2014/chart" uri="{C3380CC4-5D6E-409C-BE32-E72D297353CC}">
              <c16:uniqueId val="{00000008-93C9-404E-B384-21361EA25FCF}"/>
            </c:ext>
          </c:extLst>
        </c:ser>
        <c:dLbls>
          <c:showLegendKey val="0"/>
          <c:showVal val="1"/>
          <c:showCatName val="0"/>
          <c:showSerName val="0"/>
          <c:showPercent val="0"/>
          <c:showBubbleSize val="0"/>
        </c:dLbls>
        <c:axId val="195042304"/>
        <c:axId val="195064960"/>
      </c:scatterChart>
      <c:valAx>
        <c:axId val="195042304"/>
        <c:scaling>
          <c:orientation val="minMax"/>
          <c:max val="4.5"/>
          <c:min val="0"/>
        </c:scaling>
        <c:delete val="0"/>
        <c:axPos val="b"/>
        <c:majorGridlines/>
        <c:title>
          <c:tx>
            <c:rich>
              <a:bodyPr/>
              <a:lstStyle/>
              <a:p>
                <a:pPr>
                  <a:defRPr b="0">
                    <a:latin typeface="+mj-lt"/>
                  </a:defRPr>
                </a:pPr>
                <a:r>
                  <a:rPr lang="en-US" sz="1600" b="0">
                    <a:latin typeface="+mj-lt"/>
                  </a:rPr>
                  <a:t>Capability Relevance to Hazard</a:t>
                </a:r>
              </a:p>
            </c:rich>
          </c:tx>
          <c:overlay val="0"/>
        </c:title>
        <c:numFmt formatCode="General" sourceLinked="1"/>
        <c:majorTickMark val="out"/>
        <c:minorTickMark val="none"/>
        <c:tickLblPos val="nextTo"/>
        <c:spPr>
          <a:ln>
            <a:solidFill>
              <a:schemeClr val="tx1"/>
            </a:solidFill>
          </a:ln>
        </c:spPr>
        <c:crossAx val="195064960"/>
        <c:crosses val="autoZero"/>
        <c:crossBetween val="midCat"/>
        <c:majorUnit val="1"/>
        <c:minorUnit val="0.1"/>
      </c:valAx>
      <c:valAx>
        <c:axId val="195064960"/>
        <c:scaling>
          <c:orientation val="minMax"/>
          <c:max val="4.5"/>
          <c:min val="0"/>
        </c:scaling>
        <c:delete val="0"/>
        <c:axPos val="l"/>
        <c:majorGridlines/>
        <c:title>
          <c:tx>
            <c:rich>
              <a:bodyPr rot="-5400000" vert="horz"/>
              <a:lstStyle/>
              <a:p>
                <a:pPr>
                  <a:defRPr sz="1600" b="0">
                    <a:latin typeface="+mj-lt"/>
                  </a:defRPr>
                </a:pPr>
                <a:r>
                  <a:rPr lang="en-US" sz="1600" b="0">
                    <a:latin typeface="+mj-lt"/>
                  </a:rPr>
                  <a:t>Capability Status</a:t>
                </a:r>
              </a:p>
            </c:rich>
          </c:tx>
          <c:overlay val="0"/>
        </c:title>
        <c:numFmt formatCode="General" sourceLinked="1"/>
        <c:majorTickMark val="out"/>
        <c:minorTickMark val="none"/>
        <c:tickLblPos val="nextTo"/>
        <c:spPr>
          <a:ln>
            <a:solidFill>
              <a:schemeClr val="tx1"/>
            </a:solidFill>
          </a:ln>
        </c:spPr>
        <c:crossAx val="195042304"/>
        <c:crosses val="autoZero"/>
        <c:crossBetween val="midCat"/>
        <c:majorUnit val="1"/>
        <c:minorUnit val="0.1"/>
      </c:valAx>
      <c:spPr>
        <a:gradFill flip="none" rotWithShape="1">
          <a:gsLst>
            <a:gs pos="0">
              <a:srgbClr val="63BE7B"/>
            </a:gs>
            <a:gs pos="50000">
              <a:srgbClr val="FFEB84"/>
            </a:gs>
            <a:gs pos="100000">
              <a:srgbClr val="F8696B"/>
            </a:gs>
          </a:gsLst>
          <a:lin ang="27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b="0" u="sng">
                <a:latin typeface="+mj-lt"/>
              </a:defRPr>
            </a:pPr>
            <a:r>
              <a:rPr lang="en-US" b="0" u="sng">
                <a:latin typeface="+mj-lt"/>
              </a:rPr>
              <a:t>Healthcare</a:t>
            </a:r>
            <a:r>
              <a:rPr lang="en-US" b="0" u="sng" baseline="0">
                <a:latin typeface="+mj-lt"/>
              </a:rPr>
              <a:t> System Adjusted Risk</a:t>
            </a:r>
            <a:r>
              <a:rPr lang="en-US" b="0" u="sng">
                <a:latin typeface="+mj-lt"/>
              </a:rPr>
              <a:t> vs. Preparedness</a:t>
            </a:r>
          </a:p>
        </c:rich>
      </c:tx>
      <c:layout>
        <c:manualLayout>
          <c:xMode val="edge"/>
          <c:yMode val="edge"/>
          <c:x val="0.21238071518679641"/>
          <c:y val="1.3244983721297133E-2"/>
        </c:manualLayout>
      </c:layout>
      <c:overlay val="0"/>
    </c:title>
    <c:autoTitleDeleted val="0"/>
    <c:plotArea>
      <c:layout/>
      <c:scatterChart>
        <c:scatterStyle val="lineMarker"/>
        <c:varyColors val="0"/>
        <c:ser>
          <c:idx val="0"/>
          <c:order val="0"/>
          <c:tx>
            <c:strRef>
              <c:f>'Summary of Scores'!$B$8</c:f>
              <c:strCache>
                <c:ptCount val="1"/>
                <c:pt idx="0">
                  <c:v>Active Shooter</c:v>
                </c:pt>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Scores'!$L$8</c:f>
              <c:strCache>
                <c:ptCount val="1"/>
                <c:pt idx="0">
                  <c:v>Not Calculated</c:v>
                </c:pt>
              </c:strCache>
            </c:strRef>
          </c:xVal>
          <c:yVal>
            <c:numRef>
              <c:f>'Summary of Scores'!$O$8</c:f>
              <c:numCache>
                <c:formatCode>#,##0.00</c:formatCode>
                <c:ptCount val="1"/>
                <c:pt idx="0">
                  <c:v>0</c:v>
                </c:pt>
              </c:numCache>
            </c:numRef>
          </c:yVal>
          <c:smooth val="0"/>
          <c:extLst>
            <c:ext xmlns:c16="http://schemas.microsoft.com/office/drawing/2014/chart" uri="{C3380CC4-5D6E-409C-BE32-E72D297353CC}">
              <c16:uniqueId val="{00000000-9941-4687-B075-C0A052681A5F}"/>
            </c:ext>
          </c:extLst>
        </c:ser>
        <c:ser>
          <c:idx val="1"/>
          <c:order val="1"/>
          <c:tx>
            <c:strRef>
              <c:f>'Summary of Scores'!$B$9</c:f>
              <c:strCache>
                <c:ptCount val="1"/>
                <c:pt idx="0">
                  <c:v>Bio Terrorism</c:v>
                </c:pt>
              </c:strCache>
            </c:strRef>
          </c:tx>
          <c:spPr>
            <a:ln w="66675">
              <a:noFill/>
            </a:ln>
          </c:spPr>
          <c:dLbls>
            <c:dLbl>
              <c:idx val="0"/>
              <c:layout>
                <c:manualLayout>
                  <c:x val="-7.0150357599352078E-2"/>
                  <c:y val="0"/>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9941-4687-B075-C0A052681A5F}"/>
                </c:ext>
              </c:extLst>
            </c:dLbl>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Scores'!$L$9</c:f>
              <c:strCache>
                <c:ptCount val="1"/>
                <c:pt idx="0">
                  <c:v>Not Calculated</c:v>
                </c:pt>
              </c:strCache>
            </c:strRef>
          </c:xVal>
          <c:yVal>
            <c:numRef>
              <c:f>'Summary of Scores'!$O$9</c:f>
              <c:numCache>
                <c:formatCode>#,##0.00</c:formatCode>
                <c:ptCount val="1"/>
                <c:pt idx="0">
                  <c:v>0</c:v>
                </c:pt>
              </c:numCache>
            </c:numRef>
          </c:yVal>
          <c:smooth val="0"/>
          <c:extLst>
            <c:ext xmlns:c16="http://schemas.microsoft.com/office/drawing/2014/chart" uri="{C3380CC4-5D6E-409C-BE32-E72D297353CC}">
              <c16:uniqueId val="{00000002-9941-4687-B075-C0A052681A5F}"/>
            </c:ext>
          </c:extLst>
        </c:ser>
        <c:ser>
          <c:idx val="2"/>
          <c:order val="2"/>
          <c:tx>
            <c:strRef>
              <c:f>'Summary of Scores'!$B$10</c:f>
              <c:strCache>
                <c:ptCount val="1"/>
                <c:pt idx="0">
                  <c:v>Chem Terrorism</c:v>
                </c:pt>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Scores'!$L$10</c:f>
              <c:strCache>
                <c:ptCount val="1"/>
                <c:pt idx="0">
                  <c:v>Not Calculated</c:v>
                </c:pt>
              </c:strCache>
            </c:strRef>
          </c:xVal>
          <c:yVal>
            <c:numRef>
              <c:f>'Summary of Scores'!$O$10</c:f>
              <c:numCache>
                <c:formatCode>#,##0.00</c:formatCode>
                <c:ptCount val="1"/>
                <c:pt idx="0">
                  <c:v>0</c:v>
                </c:pt>
              </c:numCache>
            </c:numRef>
          </c:yVal>
          <c:smooth val="0"/>
          <c:extLst>
            <c:ext xmlns:c16="http://schemas.microsoft.com/office/drawing/2014/chart" uri="{C3380CC4-5D6E-409C-BE32-E72D297353CC}">
              <c16:uniqueId val="{00000003-9941-4687-B075-C0A052681A5F}"/>
            </c:ext>
          </c:extLst>
        </c:ser>
        <c:ser>
          <c:idx val="3"/>
          <c:order val="3"/>
          <c:tx>
            <c:strRef>
              <c:f>'Summary of Scores'!$B$11</c:f>
              <c:strCache>
                <c:ptCount val="1"/>
                <c:pt idx="0">
                  <c:v>Civil Disturbance</c:v>
                </c:pt>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Scores'!$L$11</c:f>
              <c:strCache>
                <c:ptCount val="1"/>
                <c:pt idx="0">
                  <c:v>Not Calculated</c:v>
                </c:pt>
              </c:strCache>
            </c:strRef>
          </c:xVal>
          <c:yVal>
            <c:numRef>
              <c:f>'Summary of Scores'!$O$11</c:f>
              <c:numCache>
                <c:formatCode>#,##0.00</c:formatCode>
                <c:ptCount val="1"/>
                <c:pt idx="0">
                  <c:v>0</c:v>
                </c:pt>
              </c:numCache>
            </c:numRef>
          </c:yVal>
          <c:smooth val="0"/>
          <c:extLst>
            <c:ext xmlns:c16="http://schemas.microsoft.com/office/drawing/2014/chart" uri="{C3380CC4-5D6E-409C-BE32-E72D297353CC}">
              <c16:uniqueId val="{00000004-9941-4687-B075-C0A052681A5F}"/>
            </c:ext>
          </c:extLst>
        </c:ser>
        <c:ser>
          <c:idx val="4"/>
          <c:order val="4"/>
          <c:tx>
            <c:strRef>
              <c:f>'Summary of Scores'!$B$12</c:f>
              <c:strCache>
                <c:ptCount val="1"/>
                <c:pt idx="0">
                  <c:v>Coastal Storm</c:v>
                </c:pt>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Scores'!$L$12</c:f>
              <c:strCache>
                <c:ptCount val="1"/>
                <c:pt idx="0">
                  <c:v>Not Calculated</c:v>
                </c:pt>
              </c:strCache>
            </c:strRef>
          </c:xVal>
          <c:yVal>
            <c:numRef>
              <c:f>'Summary of Scores'!$O$12</c:f>
              <c:numCache>
                <c:formatCode>#,##0.00</c:formatCode>
                <c:ptCount val="1"/>
                <c:pt idx="0">
                  <c:v>0</c:v>
                </c:pt>
              </c:numCache>
            </c:numRef>
          </c:yVal>
          <c:smooth val="0"/>
          <c:extLst>
            <c:ext xmlns:c16="http://schemas.microsoft.com/office/drawing/2014/chart" uri="{C3380CC4-5D6E-409C-BE32-E72D297353CC}">
              <c16:uniqueId val="{00000005-9941-4687-B075-C0A052681A5F}"/>
            </c:ext>
          </c:extLst>
        </c:ser>
        <c:ser>
          <c:idx val="5"/>
          <c:order val="5"/>
          <c:tx>
            <c:strRef>
              <c:f>'Summary of Scores'!$B$13</c:f>
              <c:strCache>
                <c:ptCount val="1"/>
                <c:pt idx="0">
                  <c:v>Conv Explosive</c:v>
                </c:pt>
              </c:strCache>
            </c:strRef>
          </c:tx>
          <c:spPr>
            <a:ln w="66675">
              <a:noFill/>
            </a:ln>
          </c:spPr>
          <c:dLbls>
            <c:dLbl>
              <c:idx val="0"/>
              <c:layout>
                <c:manualLayout>
                  <c:x val="-6.8304175732680258E-2"/>
                  <c:y val="0"/>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9941-4687-B075-C0A052681A5F}"/>
                </c:ext>
              </c:extLst>
            </c:dLbl>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Scores'!$L$13</c:f>
              <c:strCache>
                <c:ptCount val="1"/>
                <c:pt idx="0">
                  <c:v>Not Calculated</c:v>
                </c:pt>
              </c:strCache>
            </c:strRef>
          </c:xVal>
          <c:yVal>
            <c:numRef>
              <c:f>'Summary of Scores'!$O$13</c:f>
              <c:numCache>
                <c:formatCode>#,##0.00</c:formatCode>
                <c:ptCount val="1"/>
                <c:pt idx="0">
                  <c:v>0</c:v>
                </c:pt>
              </c:numCache>
            </c:numRef>
          </c:yVal>
          <c:smooth val="0"/>
          <c:extLst>
            <c:ext xmlns:c16="http://schemas.microsoft.com/office/drawing/2014/chart" uri="{C3380CC4-5D6E-409C-BE32-E72D297353CC}">
              <c16:uniqueId val="{00000007-9941-4687-B075-C0A052681A5F}"/>
            </c:ext>
          </c:extLst>
        </c:ser>
        <c:ser>
          <c:idx val="6"/>
          <c:order val="6"/>
          <c:tx>
            <c:strRef>
              <c:f>'Summary of Scores'!$B$14</c:f>
              <c:strCache>
                <c:ptCount val="1"/>
                <c:pt idx="0">
                  <c:v>Cyber Terrorism</c:v>
                </c:pt>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Scores'!$L$14</c:f>
              <c:strCache>
                <c:ptCount val="1"/>
                <c:pt idx="0">
                  <c:v>Not Calculated</c:v>
                </c:pt>
              </c:strCache>
            </c:strRef>
          </c:xVal>
          <c:yVal>
            <c:numRef>
              <c:f>'Summary of Scores'!$O$14</c:f>
              <c:numCache>
                <c:formatCode>#,##0.00</c:formatCode>
                <c:ptCount val="1"/>
                <c:pt idx="0">
                  <c:v>0</c:v>
                </c:pt>
              </c:numCache>
            </c:numRef>
          </c:yVal>
          <c:smooth val="0"/>
          <c:extLst>
            <c:ext xmlns:c16="http://schemas.microsoft.com/office/drawing/2014/chart" uri="{C3380CC4-5D6E-409C-BE32-E72D297353CC}">
              <c16:uniqueId val="{00000008-9941-4687-B075-C0A052681A5F}"/>
            </c:ext>
          </c:extLst>
        </c:ser>
        <c:ser>
          <c:idx val="7"/>
          <c:order val="7"/>
          <c:tx>
            <c:strRef>
              <c:f>'Summary of Scores'!$B$15</c:f>
              <c:strCache>
                <c:ptCount val="1"/>
                <c:pt idx="0">
                  <c:v>Drought</c:v>
                </c:pt>
              </c:strCache>
            </c:strRef>
          </c:tx>
          <c:spPr>
            <a:ln w="66675">
              <a:noFill/>
            </a:ln>
          </c:spPr>
          <c:dLbls>
            <c:dLbl>
              <c:idx val="0"/>
              <c:spPr/>
              <c:txPr>
                <a:bodyPr rot="-2700000"/>
                <a:lstStyle/>
                <a:p>
                  <a:pPr>
                    <a:defRPr/>
                  </a:pPr>
                  <a:endParaRPr lang="en-US"/>
                </a:p>
              </c:txPr>
              <c:dLblPos val="ct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9-9941-4687-B075-C0A052681A5F}"/>
                </c:ext>
              </c:extLst>
            </c:dLbl>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Scores'!$L$15</c:f>
              <c:strCache>
                <c:ptCount val="1"/>
                <c:pt idx="0">
                  <c:v>Not Calculated</c:v>
                </c:pt>
              </c:strCache>
            </c:strRef>
          </c:xVal>
          <c:yVal>
            <c:numRef>
              <c:f>'Summary of Scores'!$O$15</c:f>
              <c:numCache>
                <c:formatCode>#,##0.00</c:formatCode>
                <c:ptCount val="1"/>
                <c:pt idx="0">
                  <c:v>0</c:v>
                </c:pt>
              </c:numCache>
            </c:numRef>
          </c:yVal>
          <c:smooth val="0"/>
          <c:extLst>
            <c:ext xmlns:c16="http://schemas.microsoft.com/office/drawing/2014/chart" uri="{C3380CC4-5D6E-409C-BE32-E72D297353CC}">
              <c16:uniqueId val="{0000000A-9941-4687-B075-C0A052681A5F}"/>
            </c:ext>
          </c:extLst>
        </c:ser>
        <c:ser>
          <c:idx val="8"/>
          <c:order val="8"/>
          <c:tx>
            <c:strRef>
              <c:f>'Summary of Scores'!$B$16</c:f>
              <c:strCache>
                <c:ptCount val="1"/>
                <c:pt idx="0">
                  <c:v>Earthquake</c:v>
                </c:pt>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Scores'!$L$16</c:f>
              <c:strCache>
                <c:ptCount val="1"/>
                <c:pt idx="0">
                  <c:v>Not Calculated</c:v>
                </c:pt>
              </c:strCache>
            </c:strRef>
          </c:xVal>
          <c:yVal>
            <c:numRef>
              <c:f>'Summary of Scores'!$O$16</c:f>
              <c:numCache>
                <c:formatCode>#,##0.00</c:formatCode>
                <c:ptCount val="1"/>
                <c:pt idx="0">
                  <c:v>0</c:v>
                </c:pt>
              </c:numCache>
            </c:numRef>
          </c:yVal>
          <c:smooth val="0"/>
          <c:extLst>
            <c:ext xmlns:c16="http://schemas.microsoft.com/office/drawing/2014/chart" uri="{C3380CC4-5D6E-409C-BE32-E72D297353CC}">
              <c16:uniqueId val="{0000000B-9941-4687-B075-C0A052681A5F}"/>
            </c:ext>
          </c:extLst>
        </c:ser>
        <c:ser>
          <c:idx val="9"/>
          <c:order val="9"/>
          <c:tx>
            <c:strRef>
              <c:f>'Summary of Scores'!$B$26</c:f>
              <c:strCache>
                <c:ptCount val="1"/>
                <c:pt idx="0">
                  <c:v>Wildfire</c:v>
                </c:pt>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Scores'!$L$26</c:f>
              <c:strCache>
                <c:ptCount val="1"/>
                <c:pt idx="0">
                  <c:v>Not Calculated</c:v>
                </c:pt>
              </c:strCache>
            </c:strRef>
          </c:xVal>
          <c:yVal>
            <c:numRef>
              <c:f>'Summary of Scores'!$O$26</c:f>
              <c:numCache>
                <c:formatCode>#,##0.00</c:formatCode>
                <c:ptCount val="1"/>
                <c:pt idx="0">
                  <c:v>0</c:v>
                </c:pt>
              </c:numCache>
            </c:numRef>
          </c:yVal>
          <c:smooth val="0"/>
          <c:extLst>
            <c:ext xmlns:c16="http://schemas.microsoft.com/office/drawing/2014/chart" uri="{C3380CC4-5D6E-409C-BE32-E72D297353CC}">
              <c16:uniqueId val="{0000000C-9941-4687-B075-C0A052681A5F}"/>
            </c:ext>
          </c:extLst>
        </c:ser>
        <c:ser>
          <c:idx val="10"/>
          <c:order val="10"/>
          <c:tx>
            <c:strRef>
              <c:f>'Summary of Scores'!$B$17</c:f>
              <c:strCache>
                <c:ptCount val="1"/>
                <c:pt idx="0">
                  <c:v>Flood</c:v>
                </c:pt>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Scores'!$L$17</c:f>
              <c:strCache>
                <c:ptCount val="1"/>
                <c:pt idx="0">
                  <c:v>Not Calculated</c:v>
                </c:pt>
              </c:strCache>
            </c:strRef>
          </c:xVal>
          <c:yVal>
            <c:numRef>
              <c:f>'Summary of Scores'!$O$17</c:f>
              <c:numCache>
                <c:formatCode>#,##0.00</c:formatCode>
                <c:ptCount val="1"/>
                <c:pt idx="0">
                  <c:v>0</c:v>
                </c:pt>
              </c:numCache>
            </c:numRef>
          </c:yVal>
          <c:smooth val="0"/>
          <c:extLst>
            <c:ext xmlns:c16="http://schemas.microsoft.com/office/drawing/2014/chart" uri="{C3380CC4-5D6E-409C-BE32-E72D297353CC}">
              <c16:uniqueId val="{0000000D-9941-4687-B075-C0A052681A5F}"/>
            </c:ext>
          </c:extLst>
        </c:ser>
        <c:ser>
          <c:idx val="11"/>
          <c:order val="11"/>
          <c:tx>
            <c:strRef>
              <c:f>'Summary of Scores'!$B$18</c:f>
              <c:strCache>
                <c:ptCount val="1"/>
                <c:pt idx="0">
                  <c:v>HazMat Release</c:v>
                </c:pt>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Scores'!$L$18</c:f>
              <c:strCache>
                <c:ptCount val="1"/>
                <c:pt idx="0">
                  <c:v>Not Calculated</c:v>
                </c:pt>
              </c:strCache>
            </c:strRef>
          </c:xVal>
          <c:yVal>
            <c:numRef>
              <c:f>'Summary of Scores'!$O$18</c:f>
              <c:numCache>
                <c:formatCode>#,##0.00</c:formatCode>
                <c:ptCount val="1"/>
                <c:pt idx="0">
                  <c:v>0</c:v>
                </c:pt>
              </c:numCache>
            </c:numRef>
          </c:yVal>
          <c:smooth val="0"/>
          <c:extLst>
            <c:ext xmlns:c16="http://schemas.microsoft.com/office/drawing/2014/chart" uri="{C3380CC4-5D6E-409C-BE32-E72D297353CC}">
              <c16:uniqueId val="{0000000E-9941-4687-B075-C0A052681A5F}"/>
            </c:ext>
          </c:extLst>
        </c:ser>
        <c:ser>
          <c:idx val="12"/>
          <c:order val="12"/>
          <c:tx>
            <c:strRef>
              <c:f>'Summary of Scores'!$B$19</c:f>
              <c:strCache>
                <c:ptCount val="1"/>
                <c:pt idx="0">
                  <c:v>Localized ID</c:v>
                </c:pt>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Scores'!$L$19</c:f>
              <c:strCache>
                <c:ptCount val="1"/>
                <c:pt idx="0">
                  <c:v>Not Calculated</c:v>
                </c:pt>
              </c:strCache>
            </c:strRef>
          </c:xVal>
          <c:yVal>
            <c:numRef>
              <c:f>'Summary of Scores'!$O$19</c:f>
              <c:numCache>
                <c:formatCode>#,##0.00</c:formatCode>
                <c:ptCount val="1"/>
                <c:pt idx="0">
                  <c:v>0</c:v>
                </c:pt>
              </c:numCache>
            </c:numRef>
          </c:yVal>
          <c:smooth val="0"/>
          <c:extLst>
            <c:ext xmlns:c16="http://schemas.microsoft.com/office/drawing/2014/chart" uri="{C3380CC4-5D6E-409C-BE32-E72D297353CC}">
              <c16:uniqueId val="{0000000F-9941-4687-B075-C0A052681A5F}"/>
            </c:ext>
          </c:extLst>
        </c:ser>
        <c:ser>
          <c:idx val="13"/>
          <c:order val="13"/>
          <c:tx>
            <c:strRef>
              <c:f>'Summary of Scores'!$B$20</c:f>
              <c:strCache>
                <c:ptCount val="1"/>
                <c:pt idx="0">
                  <c:v>Nuclear Facility</c:v>
                </c:pt>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Scores'!$L$20</c:f>
              <c:strCache>
                <c:ptCount val="1"/>
                <c:pt idx="0">
                  <c:v>Not Calculated</c:v>
                </c:pt>
              </c:strCache>
            </c:strRef>
          </c:xVal>
          <c:yVal>
            <c:numRef>
              <c:f>'Summary of Scores'!$O$20</c:f>
              <c:numCache>
                <c:formatCode>#,##0.00</c:formatCode>
                <c:ptCount val="1"/>
                <c:pt idx="0">
                  <c:v>0</c:v>
                </c:pt>
              </c:numCache>
            </c:numRef>
          </c:yVal>
          <c:smooth val="0"/>
          <c:extLst>
            <c:ext xmlns:c16="http://schemas.microsoft.com/office/drawing/2014/chart" uri="{C3380CC4-5D6E-409C-BE32-E72D297353CC}">
              <c16:uniqueId val="{00000010-9941-4687-B075-C0A052681A5F}"/>
            </c:ext>
          </c:extLst>
        </c:ser>
        <c:ser>
          <c:idx val="14"/>
          <c:order val="14"/>
          <c:tx>
            <c:strRef>
              <c:f>'Summary of Scores'!$B$21</c:f>
              <c:strCache>
                <c:ptCount val="1"/>
                <c:pt idx="0">
                  <c:v>Pandemic</c:v>
                </c:pt>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Scores'!$L$21</c:f>
              <c:strCache>
                <c:ptCount val="1"/>
                <c:pt idx="0">
                  <c:v>Not Calculated</c:v>
                </c:pt>
              </c:strCache>
            </c:strRef>
          </c:xVal>
          <c:yVal>
            <c:numRef>
              <c:f>'Summary of Scores'!$O$21</c:f>
              <c:numCache>
                <c:formatCode>#,##0.00</c:formatCode>
                <c:ptCount val="1"/>
                <c:pt idx="0">
                  <c:v>0</c:v>
                </c:pt>
              </c:numCache>
            </c:numRef>
          </c:yVal>
          <c:smooth val="0"/>
          <c:extLst>
            <c:ext xmlns:c16="http://schemas.microsoft.com/office/drawing/2014/chart" uri="{C3380CC4-5D6E-409C-BE32-E72D297353CC}">
              <c16:uniqueId val="{00000011-9941-4687-B075-C0A052681A5F}"/>
            </c:ext>
          </c:extLst>
        </c:ser>
        <c:ser>
          <c:idx val="15"/>
          <c:order val="15"/>
          <c:tx>
            <c:strRef>
              <c:f>'Summary of Scores'!$B$22</c:f>
              <c:strCache>
                <c:ptCount val="1"/>
                <c:pt idx="0">
                  <c:v>RDD</c:v>
                </c:pt>
              </c:strCache>
            </c:strRef>
          </c:tx>
          <c:spPr>
            <a:ln w="66675">
              <a:noFill/>
            </a:ln>
          </c:spPr>
          <c:dLbls>
            <c:dLbl>
              <c:idx val="0"/>
              <c:layout>
                <c:manualLayout>
                  <c:x val="-5.0005106239043563E-2"/>
                  <c:y val="0"/>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2-9941-4687-B075-C0A052681A5F}"/>
                </c:ext>
              </c:extLst>
            </c:dLbl>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Scores'!$L$22</c:f>
              <c:strCache>
                <c:ptCount val="1"/>
                <c:pt idx="0">
                  <c:v>Not Calculated</c:v>
                </c:pt>
              </c:strCache>
            </c:strRef>
          </c:xVal>
          <c:yVal>
            <c:numRef>
              <c:f>'Summary of Scores'!$O$22</c:f>
              <c:numCache>
                <c:formatCode>#,##0.00</c:formatCode>
                <c:ptCount val="1"/>
                <c:pt idx="0">
                  <c:v>0</c:v>
                </c:pt>
              </c:numCache>
            </c:numRef>
          </c:yVal>
          <c:smooth val="0"/>
          <c:extLst>
            <c:ext xmlns:c16="http://schemas.microsoft.com/office/drawing/2014/chart" uri="{C3380CC4-5D6E-409C-BE32-E72D297353CC}">
              <c16:uniqueId val="{00000013-9941-4687-B075-C0A052681A5F}"/>
            </c:ext>
          </c:extLst>
        </c:ser>
        <c:ser>
          <c:idx val="16"/>
          <c:order val="16"/>
          <c:tx>
            <c:strRef>
              <c:f>'Summary of Scores'!$B$23</c:f>
              <c:strCache>
                <c:ptCount val="1"/>
                <c:pt idx="0">
                  <c:v>Temp Extremes</c:v>
                </c:pt>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Scores'!$L$23</c:f>
              <c:strCache>
                <c:ptCount val="1"/>
                <c:pt idx="0">
                  <c:v>Not Calculated</c:v>
                </c:pt>
              </c:strCache>
            </c:strRef>
          </c:xVal>
          <c:yVal>
            <c:numRef>
              <c:f>'Summary of Scores'!$O$23</c:f>
              <c:numCache>
                <c:formatCode>#,##0.00</c:formatCode>
                <c:ptCount val="1"/>
                <c:pt idx="0">
                  <c:v>0</c:v>
                </c:pt>
              </c:numCache>
            </c:numRef>
          </c:yVal>
          <c:smooth val="0"/>
          <c:extLst>
            <c:ext xmlns:c16="http://schemas.microsoft.com/office/drawing/2014/chart" uri="{C3380CC4-5D6E-409C-BE32-E72D297353CC}">
              <c16:uniqueId val="{00000014-9941-4687-B075-C0A052681A5F}"/>
            </c:ext>
          </c:extLst>
        </c:ser>
        <c:ser>
          <c:idx val="17"/>
          <c:order val="17"/>
          <c:tx>
            <c:strRef>
              <c:f>'Summary of Scores'!$B$24</c:f>
              <c:strCache>
                <c:ptCount val="1"/>
                <c:pt idx="0">
                  <c:v>Tornado</c:v>
                </c:pt>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Scores'!$L$24</c:f>
              <c:strCache>
                <c:ptCount val="1"/>
                <c:pt idx="0">
                  <c:v>Not Calculated</c:v>
                </c:pt>
              </c:strCache>
            </c:strRef>
          </c:xVal>
          <c:yVal>
            <c:numRef>
              <c:f>'Summary of Scores'!$O$24</c:f>
              <c:numCache>
                <c:formatCode>#,##0.00</c:formatCode>
                <c:ptCount val="1"/>
                <c:pt idx="0">
                  <c:v>0</c:v>
                </c:pt>
              </c:numCache>
            </c:numRef>
          </c:yVal>
          <c:smooth val="0"/>
          <c:extLst>
            <c:ext xmlns:c16="http://schemas.microsoft.com/office/drawing/2014/chart" uri="{C3380CC4-5D6E-409C-BE32-E72D297353CC}">
              <c16:uniqueId val="{00000015-9941-4687-B075-C0A052681A5F}"/>
            </c:ext>
          </c:extLst>
        </c:ser>
        <c:ser>
          <c:idx val="18"/>
          <c:order val="18"/>
          <c:tx>
            <c:strRef>
              <c:f>'Summary of Scores'!$B$25</c:f>
              <c:strCache>
                <c:ptCount val="1"/>
                <c:pt idx="0">
                  <c:v>Utility Interr</c:v>
                </c:pt>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Scores'!$L$25</c:f>
              <c:strCache>
                <c:ptCount val="1"/>
                <c:pt idx="0">
                  <c:v>Not Calculated</c:v>
                </c:pt>
              </c:strCache>
            </c:strRef>
          </c:xVal>
          <c:yVal>
            <c:numRef>
              <c:f>'Summary of Scores'!$O$25</c:f>
              <c:numCache>
                <c:formatCode>#,##0.00</c:formatCode>
                <c:ptCount val="1"/>
                <c:pt idx="0">
                  <c:v>0</c:v>
                </c:pt>
              </c:numCache>
            </c:numRef>
          </c:yVal>
          <c:smooth val="0"/>
          <c:extLst>
            <c:ext xmlns:c16="http://schemas.microsoft.com/office/drawing/2014/chart" uri="{C3380CC4-5D6E-409C-BE32-E72D297353CC}">
              <c16:uniqueId val="{00000016-9941-4687-B075-C0A052681A5F}"/>
            </c:ext>
          </c:extLst>
        </c:ser>
        <c:ser>
          <c:idx val="19"/>
          <c:order val="19"/>
          <c:tx>
            <c:strRef>
              <c:f>'Summary of Scores'!$B$27</c:f>
              <c:strCache>
                <c:ptCount val="1"/>
                <c:pt idx="0">
                  <c:v>Winter Storm</c:v>
                </c:pt>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Scores'!$L$27</c:f>
              <c:strCache>
                <c:ptCount val="1"/>
                <c:pt idx="0">
                  <c:v>Not Calculated</c:v>
                </c:pt>
              </c:strCache>
            </c:strRef>
          </c:xVal>
          <c:yVal>
            <c:numRef>
              <c:f>'Summary of Scores'!$O$27</c:f>
              <c:numCache>
                <c:formatCode>#,##0.00</c:formatCode>
                <c:ptCount val="1"/>
                <c:pt idx="0">
                  <c:v>0</c:v>
                </c:pt>
              </c:numCache>
            </c:numRef>
          </c:yVal>
          <c:smooth val="0"/>
          <c:extLst>
            <c:ext xmlns:c16="http://schemas.microsoft.com/office/drawing/2014/chart" uri="{C3380CC4-5D6E-409C-BE32-E72D297353CC}">
              <c16:uniqueId val="{00000017-9941-4687-B075-C0A052681A5F}"/>
            </c:ext>
          </c:extLst>
        </c:ser>
        <c:ser>
          <c:idx val="20"/>
          <c:order val="20"/>
          <c:tx>
            <c:strRef>
              <c:f>'Summary of Scores'!$B$28</c:f>
              <c:strCache>
                <c:ptCount val="1"/>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'Summary of Scores'!$L$28</c:f>
            </c:numRef>
          </c:xVal>
          <c:yVal>
            <c:numRef>
              <c:f>'Summary of Scores'!$O$28</c:f>
            </c:numRef>
          </c:yVal>
          <c:smooth val="0"/>
          <c:extLst>
            <c:ext xmlns:c16="http://schemas.microsoft.com/office/drawing/2014/chart" uri="{C3380CC4-5D6E-409C-BE32-E72D297353CC}">
              <c16:uniqueId val="{00000018-9941-4687-B075-C0A052681A5F}"/>
            </c:ext>
          </c:extLst>
        </c:ser>
        <c:ser>
          <c:idx val="21"/>
          <c:order val="21"/>
          <c:tx>
            <c:strRef>
              <c:f>'Summary of Scores'!$B$29</c:f>
              <c:strCache>
                <c:ptCount val="1"/>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'Summary of Scores'!$L$29</c:f>
            </c:numRef>
          </c:xVal>
          <c:yVal>
            <c:numRef>
              <c:f>'Summary of Scores'!$O$29</c:f>
            </c:numRef>
          </c:yVal>
          <c:smooth val="0"/>
          <c:extLst>
            <c:ext xmlns:c16="http://schemas.microsoft.com/office/drawing/2014/chart" uri="{C3380CC4-5D6E-409C-BE32-E72D297353CC}">
              <c16:uniqueId val="{00000019-9941-4687-B075-C0A052681A5F}"/>
            </c:ext>
          </c:extLst>
        </c:ser>
        <c:ser>
          <c:idx val="22"/>
          <c:order val="22"/>
          <c:tx>
            <c:strRef>
              <c:f>'Summary of Scores'!$B$30</c:f>
              <c:strCache>
                <c:ptCount val="1"/>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'Summary of Scores'!$L$30</c:f>
            </c:numRef>
          </c:xVal>
          <c:yVal>
            <c:numRef>
              <c:f>'Summary of Scores'!$O$30</c:f>
            </c:numRef>
          </c:yVal>
          <c:smooth val="0"/>
          <c:extLst>
            <c:ext xmlns:c16="http://schemas.microsoft.com/office/drawing/2014/chart" uri="{C3380CC4-5D6E-409C-BE32-E72D297353CC}">
              <c16:uniqueId val="{0000001A-9941-4687-B075-C0A052681A5F}"/>
            </c:ext>
          </c:extLst>
        </c:ser>
        <c:ser>
          <c:idx val="23"/>
          <c:order val="23"/>
          <c:tx>
            <c:strRef>
              <c:f>'Summary of Scores'!$B$31</c:f>
              <c:strCache>
                <c:ptCount val="1"/>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'Summary of Scores'!$L$31</c:f>
            </c:numRef>
          </c:xVal>
          <c:yVal>
            <c:numRef>
              <c:f>'Summary of Scores'!$O$31</c:f>
            </c:numRef>
          </c:yVal>
          <c:smooth val="0"/>
          <c:extLst>
            <c:ext xmlns:c16="http://schemas.microsoft.com/office/drawing/2014/chart" uri="{C3380CC4-5D6E-409C-BE32-E72D297353CC}">
              <c16:uniqueId val="{0000001B-9941-4687-B075-C0A052681A5F}"/>
            </c:ext>
          </c:extLst>
        </c:ser>
        <c:ser>
          <c:idx val="24"/>
          <c:order val="24"/>
          <c:tx>
            <c:strRef>
              <c:f>'Summary of Scores'!$B$32</c:f>
              <c:strCache>
                <c:ptCount val="1"/>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'Summary of Scores'!$L$32</c:f>
            </c:numRef>
          </c:xVal>
          <c:yVal>
            <c:numRef>
              <c:f>'Summary of Scores'!$O$32</c:f>
            </c:numRef>
          </c:yVal>
          <c:smooth val="0"/>
          <c:extLst>
            <c:ext xmlns:c16="http://schemas.microsoft.com/office/drawing/2014/chart" uri="{C3380CC4-5D6E-409C-BE32-E72D297353CC}">
              <c16:uniqueId val="{0000001C-9941-4687-B075-C0A052681A5F}"/>
            </c:ext>
          </c:extLst>
        </c:ser>
        <c:ser>
          <c:idx val="25"/>
          <c:order val="25"/>
          <c:tx>
            <c:strRef>
              <c:f>'Summary of Scores'!$B$33</c:f>
              <c:strCache>
                <c:ptCount val="1"/>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'Summary of Scores'!$L$33</c:f>
            </c:numRef>
          </c:xVal>
          <c:yVal>
            <c:numRef>
              <c:f>'Summary of Scores'!$O$33</c:f>
            </c:numRef>
          </c:yVal>
          <c:smooth val="0"/>
          <c:extLst>
            <c:ext xmlns:c16="http://schemas.microsoft.com/office/drawing/2014/chart" uri="{C3380CC4-5D6E-409C-BE32-E72D297353CC}">
              <c16:uniqueId val="{0000001D-9941-4687-B075-C0A052681A5F}"/>
            </c:ext>
          </c:extLst>
        </c:ser>
        <c:ser>
          <c:idx val="26"/>
          <c:order val="26"/>
          <c:tx>
            <c:strRef>
              <c:f>'Summary of Scores'!$B$34</c:f>
              <c:strCache>
                <c:ptCount val="1"/>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'Summary of Scores'!$L$34</c:f>
            </c:numRef>
          </c:xVal>
          <c:yVal>
            <c:numRef>
              <c:f>'Summary of Scores'!$O$34</c:f>
            </c:numRef>
          </c:yVal>
          <c:smooth val="0"/>
          <c:extLst>
            <c:ext xmlns:c16="http://schemas.microsoft.com/office/drawing/2014/chart" uri="{C3380CC4-5D6E-409C-BE32-E72D297353CC}">
              <c16:uniqueId val="{0000001E-9941-4687-B075-C0A052681A5F}"/>
            </c:ext>
          </c:extLst>
        </c:ser>
        <c:ser>
          <c:idx val="27"/>
          <c:order val="27"/>
          <c:tx>
            <c:strRef>
              <c:f>'Summary of Scores'!$B$35</c:f>
              <c:strCache>
                <c:ptCount val="1"/>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'Summary of Scores'!$L$35</c:f>
            </c:numRef>
          </c:xVal>
          <c:yVal>
            <c:numRef>
              <c:f>'Summary of Scores'!$O$35</c:f>
            </c:numRef>
          </c:yVal>
          <c:smooth val="0"/>
          <c:extLst>
            <c:ext xmlns:c16="http://schemas.microsoft.com/office/drawing/2014/chart" uri="{C3380CC4-5D6E-409C-BE32-E72D297353CC}">
              <c16:uniqueId val="{0000001F-9941-4687-B075-C0A052681A5F}"/>
            </c:ext>
          </c:extLst>
        </c:ser>
        <c:ser>
          <c:idx val="28"/>
          <c:order val="28"/>
          <c:tx>
            <c:strRef>
              <c:f>'Summary of Scores'!$B$36</c:f>
              <c:strCache>
                <c:ptCount val="1"/>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'Summary of Scores'!$L$36</c:f>
            </c:numRef>
          </c:xVal>
          <c:yVal>
            <c:numRef>
              <c:f>'Summary of Scores'!$O$36</c:f>
            </c:numRef>
          </c:yVal>
          <c:smooth val="0"/>
          <c:extLst>
            <c:ext xmlns:c16="http://schemas.microsoft.com/office/drawing/2014/chart" uri="{C3380CC4-5D6E-409C-BE32-E72D297353CC}">
              <c16:uniqueId val="{00000020-9941-4687-B075-C0A052681A5F}"/>
            </c:ext>
          </c:extLst>
        </c:ser>
        <c:ser>
          <c:idx val="29"/>
          <c:order val="29"/>
          <c:tx>
            <c:strRef>
              <c:f>'Summary of Scores'!$B$37</c:f>
              <c:strCache>
                <c:ptCount val="1"/>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'Summary of Scores'!$L$37</c:f>
            </c:numRef>
          </c:xVal>
          <c:yVal>
            <c:numRef>
              <c:f>'Summary of Scores'!$O$37</c:f>
            </c:numRef>
          </c:yVal>
          <c:smooth val="0"/>
          <c:extLst>
            <c:ext xmlns:c16="http://schemas.microsoft.com/office/drawing/2014/chart" uri="{C3380CC4-5D6E-409C-BE32-E72D297353CC}">
              <c16:uniqueId val="{00000021-9941-4687-B075-C0A052681A5F}"/>
            </c:ext>
          </c:extLst>
        </c:ser>
        <c:dLbls>
          <c:showLegendKey val="0"/>
          <c:showVal val="1"/>
          <c:showCatName val="0"/>
          <c:showSerName val="0"/>
          <c:showPercent val="0"/>
          <c:showBubbleSize val="0"/>
        </c:dLbls>
        <c:axId val="151197184"/>
        <c:axId val="151199104"/>
      </c:scatterChart>
      <c:valAx>
        <c:axId val="151197184"/>
        <c:scaling>
          <c:orientation val="minMax"/>
        </c:scaling>
        <c:delete val="0"/>
        <c:axPos val="b"/>
        <c:majorGridlines/>
        <c:title>
          <c:tx>
            <c:rich>
              <a:bodyPr/>
              <a:lstStyle/>
              <a:p>
                <a:pPr>
                  <a:defRPr b="0">
                    <a:latin typeface="+mj-lt"/>
                  </a:defRPr>
                </a:pPr>
                <a:r>
                  <a:rPr lang="en-US" sz="1600" b="0">
                    <a:latin typeface="+mj-lt"/>
                  </a:rPr>
                  <a:t>Healthcare System Adjusted Risk</a:t>
                </a:r>
              </a:p>
            </c:rich>
          </c:tx>
          <c:overlay val="0"/>
        </c:title>
        <c:numFmt formatCode="#,##0" sourceLinked="0"/>
        <c:majorTickMark val="out"/>
        <c:minorTickMark val="none"/>
        <c:tickLblPos val="nextTo"/>
        <c:spPr>
          <a:ln>
            <a:solidFill>
              <a:schemeClr val="tx1"/>
            </a:solidFill>
          </a:ln>
        </c:spPr>
        <c:crossAx val="151199104"/>
        <c:crosses val="autoZero"/>
        <c:crossBetween val="midCat"/>
      </c:valAx>
      <c:valAx>
        <c:axId val="151199104"/>
        <c:scaling>
          <c:orientation val="minMax"/>
        </c:scaling>
        <c:delete val="0"/>
        <c:axPos val="l"/>
        <c:majorGridlines/>
        <c:title>
          <c:tx>
            <c:rich>
              <a:bodyPr rot="-5400000" vert="horz"/>
              <a:lstStyle/>
              <a:p>
                <a:pPr>
                  <a:defRPr sz="1600" b="0">
                    <a:latin typeface="+mj-lt"/>
                  </a:defRPr>
                </a:pPr>
                <a:r>
                  <a:rPr lang="en-US" sz="1600" b="0">
                    <a:latin typeface="+mj-lt"/>
                  </a:rPr>
                  <a:t>Healthcare </a:t>
                </a:r>
                <a:r>
                  <a:rPr lang="en-US" sz="1600" b="0" baseline="0">
                    <a:latin typeface="+mj-lt"/>
                  </a:rPr>
                  <a:t>Preparedness</a:t>
                </a:r>
                <a:endParaRPr lang="en-US" sz="1600" b="0">
                  <a:latin typeface="+mj-lt"/>
                </a:endParaRPr>
              </a:p>
            </c:rich>
          </c:tx>
          <c:overlay val="0"/>
        </c:title>
        <c:numFmt formatCode="#,##0.00" sourceLinked="1"/>
        <c:majorTickMark val="out"/>
        <c:minorTickMark val="none"/>
        <c:tickLblPos val="nextTo"/>
        <c:spPr>
          <a:ln>
            <a:solidFill>
              <a:schemeClr val="tx1"/>
            </a:solidFill>
          </a:ln>
        </c:spPr>
        <c:crossAx val="151197184"/>
        <c:crosses val="autoZero"/>
        <c:crossBetween val="midCat"/>
      </c:valAx>
      <c:spPr>
        <a:gradFill flip="none" rotWithShape="1">
          <a:gsLst>
            <a:gs pos="0">
              <a:srgbClr val="63BE7B"/>
            </a:gs>
            <a:gs pos="50000">
              <a:srgbClr val="FFEB84"/>
            </a:gs>
            <a:gs pos="100000">
              <a:srgbClr val="F8696B"/>
            </a:gs>
          </a:gsLst>
          <a:lin ang="27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b="0" u="sng">
                <a:latin typeface="+mj-lt"/>
              </a:defRPr>
            </a:pPr>
            <a:r>
              <a:rPr lang="en-US" b="0" u="sng" baseline="0">
                <a:latin typeface="+mj-lt"/>
              </a:rPr>
              <a:t>Adjusted Risk</a:t>
            </a:r>
            <a:r>
              <a:rPr lang="en-US" b="0" u="sng">
                <a:latin typeface="+mj-lt"/>
              </a:rPr>
              <a:t> vs. Preparedness</a:t>
            </a:r>
          </a:p>
        </c:rich>
      </c:tx>
      <c:layout>
        <c:manualLayout>
          <c:xMode val="edge"/>
          <c:yMode val="edge"/>
          <c:x val="0.31886729097391392"/>
          <c:y val="1.3244983721297133E-2"/>
        </c:manualLayout>
      </c:layout>
      <c:overlay val="0"/>
    </c:title>
    <c:autoTitleDeleted val="0"/>
    <c:plotArea>
      <c:layout/>
      <c:scatterChart>
        <c:scatterStyle val="lineMarker"/>
        <c:varyColors val="0"/>
        <c:ser>
          <c:idx val="0"/>
          <c:order val="0"/>
          <c:tx>
            <c:strRef>
              <c:f>'Summary of Scores'!$B$8</c:f>
              <c:strCache>
                <c:ptCount val="1"/>
                <c:pt idx="0">
                  <c:v>Active Shooter</c:v>
                </c:pt>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Scores'!$M$8</c:f>
              <c:strCache>
                <c:ptCount val="1"/>
                <c:pt idx="0">
                  <c:v>Not Calculated</c:v>
                </c:pt>
              </c:strCache>
            </c:strRef>
          </c:xVal>
          <c:yVal>
            <c:numRef>
              <c:f>'Summary of Scores'!$P$8</c:f>
              <c:numCache>
                <c:formatCode>#,##0.00</c:formatCode>
                <c:ptCount val="1"/>
                <c:pt idx="0">
                  <c:v>0</c:v>
                </c:pt>
              </c:numCache>
            </c:numRef>
          </c:yVal>
          <c:smooth val="0"/>
          <c:extLst>
            <c:ext xmlns:c16="http://schemas.microsoft.com/office/drawing/2014/chart" uri="{C3380CC4-5D6E-409C-BE32-E72D297353CC}">
              <c16:uniqueId val="{00000000-7726-4055-AF07-017EF314E4E5}"/>
            </c:ext>
          </c:extLst>
        </c:ser>
        <c:ser>
          <c:idx val="1"/>
          <c:order val="1"/>
          <c:tx>
            <c:strRef>
              <c:f>'Summary of Scores'!$B$9</c:f>
              <c:strCache>
                <c:ptCount val="1"/>
                <c:pt idx="0">
                  <c:v>Bio Terrorism</c:v>
                </c:pt>
              </c:strCache>
            </c:strRef>
          </c:tx>
          <c:spPr>
            <a:ln w="66675">
              <a:noFill/>
            </a:ln>
          </c:spPr>
          <c:dLbls>
            <c:dLbl>
              <c:idx val="0"/>
              <c:layout>
                <c:manualLayout>
                  <c:x val="-7.0150357599352078E-2"/>
                  <c:y val="0"/>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7726-4055-AF07-017EF314E4E5}"/>
                </c:ext>
              </c:extLst>
            </c:dLbl>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Scores'!$M$9</c:f>
              <c:strCache>
                <c:ptCount val="1"/>
                <c:pt idx="0">
                  <c:v>Not Calculated</c:v>
                </c:pt>
              </c:strCache>
            </c:strRef>
          </c:xVal>
          <c:yVal>
            <c:numRef>
              <c:f>'Summary of Scores'!$P$9</c:f>
              <c:numCache>
                <c:formatCode>#,##0.00</c:formatCode>
                <c:ptCount val="1"/>
                <c:pt idx="0">
                  <c:v>0</c:v>
                </c:pt>
              </c:numCache>
            </c:numRef>
          </c:yVal>
          <c:smooth val="0"/>
          <c:extLst>
            <c:ext xmlns:c16="http://schemas.microsoft.com/office/drawing/2014/chart" uri="{C3380CC4-5D6E-409C-BE32-E72D297353CC}">
              <c16:uniqueId val="{00000002-7726-4055-AF07-017EF314E4E5}"/>
            </c:ext>
          </c:extLst>
        </c:ser>
        <c:ser>
          <c:idx val="2"/>
          <c:order val="2"/>
          <c:tx>
            <c:strRef>
              <c:f>'Summary of Scores'!$B$10</c:f>
              <c:strCache>
                <c:ptCount val="1"/>
                <c:pt idx="0">
                  <c:v>Chem Terrorism</c:v>
                </c:pt>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Scores'!$M$10</c:f>
              <c:strCache>
                <c:ptCount val="1"/>
                <c:pt idx="0">
                  <c:v>Not Calculated</c:v>
                </c:pt>
              </c:strCache>
            </c:strRef>
          </c:xVal>
          <c:yVal>
            <c:numRef>
              <c:f>'Summary of Scores'!$P$10</c:f>
              <c:numCache>
                <c:formatCode>#,##0.00</c:formatCode>
                <c:ptCount val="1"/>
                <c:pt idx="0">
                  <c:v>0</c:v>
                </c:pt>
              </c:numCache>
            </c:numRef>
          </c:yVal>
          <c:smooth val="0"/>
          <c:extLst>
            <c:ext xmlns:c16="http://schemas.microsoft.com/office/drawing/2014/chart" uri="{C3380CC4-5D6E-409C-BE32-E72D297353CC}">
              <c16:uniqueId val="{00000003-7726-4055-AF07-017EF314E4E5}"/>
            </c:ext>
          </c:extLst>
        </c:ser>
        <c:ser>
          <c:idx val="3"/>
          <c:order val="3"/>
          <c:tx>
            <c:strRef>
              <c:f>'Summary of Scores'!$B$11</c:f>
              <c:strCache>
                <c:ptCount val="1"/>
                <c:pt idx="0">
                  <c:v>Civil Disturbance</c:v>
                </c:pt>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Scores'!$M$11</c:f>
              <c:strCache>
                <c:ptCount val="1"/>
                <c:pt idx="0">
                  <c:v>Not Calculated</c:v>
                </c:pt>
              </c:strCache>
            </c:strRef>
          </c:xVal>
          <c:yVal>
            <c:numRef>
              <c:f>'Summary of Scores'!$P$11</c:f>
              <c:numCache>
                <c:formatCode>#,##0.00</c:formatCode>
                <c:ptCount val="1"/>
                <c:pt idx="0">
                  <c:v>0</c:v>
                </c:pt>
              </c:numCache>
            </c:numRef>
          </c:yVal>
          <c:smooth val="0"/>
          <c:extLst>
            <c:ext xmlns:c16="http://schemas.microsoft.com/office/drawing/2014/chart" uri="{C3380CC4-5D6E-409C-BE32-E72D297353CC}">
              <c16:uniqueId val="{00000004-7726-4055-AF07-017EF314E4E5}"/>
            </c:ext>
          </c:extLst>
        </c:ser>
        <c:ser>
          <c:idx val="4"/>
          <c:order val="4"/>
          <c:tx>
            <c:strRef>
              <c:f>'Summary of Scores'!$B$12</c:f>
              <c:strCache>
                <c:ptCount val="1"/>
                <c:pt idx="0">
                  <c:v>Coastal Storm</c:v>
                </c:pt>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Scores'!$M$12</c:f>
              <c:strCache>
                <c:ptCount val="1"/>
                <c:pt idx="0">
                  <c:v>Not Calculated</c:v>
                </c:pt>
              </c:strCache>
            </c:strRef>
          </c:xVal>
          <c:yVal>
            <c:numRef>
              <c:f>'Summary of Scores'!$P$12</c:f>
              <c:numCache>
                <c:formatCode>#,##0.00</c:formatCode>
                <c:ptCount val="1"/>
                <c:pt idx="0">
                  <c:v>0</c:v>
                </c:pt>
              </c:numCache>
            </c:numRef>
          </c:yVal>
          <c:smooth val="0"/>
          <c:extLst>
            <c:ext xmlns:c16="http://schemas.microsoft.com/office/drawing/2014/chart" uri="{C3380CC4-5D6E-409C-BE32-E72D297353CC}">
              <c16:uniqueId val="{00000005-7726-4055-AF07-017EF314E4E5}"/>
            </c:ext>
          </c:extLst>
        </c:ser>
        <c:ser>
          <c:idx val="5"/>
          <c:order val="5"/>
          <c:tx>
            <c:strRef>
              <c:f>'Summary of Scores'!$B$13</c:f>
              <c:strCache>
                <c:ptCount val="1"/>
                <c:pt idx="0">
                  <c:v>Conv Explosive</c:v>
                </c:pt>
              </c:strCache>
            </c:strRef>
          </c:tx>
          <c:spPr>
            <a:ln w="66675">
              <a:noFill/>
            </a:ln>
          </c:spPr>
          <c:dLbls>
            <c:dLbl>
              <c:idx val="0"/>
              <c:layout>
                <c:manualLayout>
                  <c:x val="-6.8304175732680258E-2"/>
                  <c:y val="0"/>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7726-4055-AF07-017EF314E4E5}"/>
                </c:ext>
              </c:extLst>
            </c:dLbl>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Scores'!$M$13</c:f>
              <c:strCache>
                <c:ptCount val="1"/>
                <c:pt idx="0">
                  <c:v>Not Calculated</c:v>
                </c:pt>
              </c:strCache>
            </c:strRef>
          </c:xVal>
          <c:yVal>
            <c:numRef>
              <c:f>'Summary of Scores'!$P$13</c:f>
              <c:numCache>
                <c:formatCode>#,##0.00</c:formatCode>
                <c:ptCount val="1"/>
                <c:pt idx="0">
                  <c:v>0</c:v>
                </c:pt>
              </c:numCache>
            </c:numRef>
          </c:yVal>
          <c:smooth val="0"/>
          <c:extLst>
            <c:ext xmlns:c16="http://schemas.microsoft.com/office/drawing/2014/chart" uri="{C3380CC4-5D6E-409C-BE32-E72D297353CC}">
              <c16:uniqueId val="{00000007-7726-4055-AF07-017EF314E4E5}"/>
            </c:ext>
          </c:extLst>
        </c:ser>
        <c:ser>
          <c:idx val="6"/>
          <c:order val="6"/>
          <c:tx>
            <c:strRef>
              <c:f>'Summary of Scores'!$B$14</c:f>
              <c:strCache>
                <c:ptCount val="1"/>
                <c:pt idx="0">
                  <c:v>Cyber Terrorism</c:v>
                </c:pt>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Scores'!$M$14</c:f>
              <c:strCache>
                <c:ptCount val="1"/>
                <c:pt idx="0">
                  <c:v>Not Calculated</c:v>
                </c:pt>
              </c:strCache>
            </c:strRef>
          </c:xVal>
          <c:yVal>
            <c:numRef>
              <c:f>'Summary of Scores'!$P$14</c:f>
              <c:numCache>
                <c:formatCode>#,##0.00</c:formatCode>
                <c:ptCount val="1"/>
                <c:pt idx="0">
                  <c:v>0</c:v>
                </c:pt>
              </c:numCache>
            </c:numRef>
          </c:yVal>
          <c:smooth val="0"/>
          <c:extLst>
            <c:ext xmlns:c16="http://schemas.microsoft.com/office/drawing/2014/chart" uri="{C3380CC4-5D6E-409C-BE32-E72D297353CC}">
              <c16:uniqueId val="{00000008-7726-4055-AF07-017EF314E4E5}"/>
            </c:ext>
          </c:extLst>
        </c:ser>
        <c:ser>
          <c:idx val="7"/>
          <c:order val="7"/>
          <c:tx>
            <c:strRef>
              <c:f>'Summary of Scores'!$B$15</c:f>
              <c:strCache>
                <c:ptCount val="1"/>
                <c:pt idx="0">
                  <c:v>Drought</c:v>
                </c:pt>
              </c:strCache>
            </c:strRef>
          </c:tx>
          <c:spPr>
            <a:ln w="66675">
              <a:noFill/>
            </a:ln>
          </c:spPr>
          <c:dLbls>
            <c:dLbl>
              <c:idx val="0"/>
              <c:spPr/>
              <c:txPr>
                <a:bodyPr rot="-2700000"/>
                <a:lstStyle/>
                <a:p>
                  <a:pPr>
                    <a:defRPr/>
                  </a:pPr>
                  <a:endParaRPr lang="en-US"/>
                </a:p>
              </c:txPr>
              <c:dLblPos val="ct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9-7726-4055-AF07-017EF314E4E5}"/>
                </c:ext>
              </c:extLst>
            </c:dLbl>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Scores'!$M$15</c:f>
              <c:strCache>
                <c:ptCount val="1"/>
                <c:pt idx="0">
                  <c:v>Not Calculated</c:v>
                </c:pt>
              </c:strCache>
            </c:strRef>
          </c:xVal>
          <c:yVal>
            <c:numRef>
              <c:f>'Summary of Scores'!$P$15</c:f>
              <c:numCache>
                <c:formatCode>#,##0.00</c:formatCode>
                <c:ptCount val="1"/>
                <c:pt idx="0">
                  <c:v>0</c:v>
                </c:pt>
              </c:numCache>
            </c:numRef>
          </c:yVal>
          <c:smooth val="0"/>
          <c:extLst>
            <c:ext xmlns:c16="http://schemas.microsoft.com/office/drawing/2014/chart" uri="{C3380CC4-5D6E-409C-BE32-E72D297353CC}">
              <c16:uniqueId val="{0000000A-7726-4055-AF07-017EF314E4E5}"/>
            </c:ext>
          </c:extLst>
        </c:ser>
        <c:ser>
          <c:idx val="8"/>
          <c:order val="8"/>
          <c:tx>
            <c:strRef>
              <c:f>'Summary of Scores'!$B$16</c:f>
              <c:strCache>
                <c:ptCount val="1"/>
                <c:pt idx="0">
                  <c:v>Earthquake</c:v>
                </c:pt>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Scores'!$M$16</c:f>
              <c:strCache>
                <c:ptCount val="1"/>
                <c:pt idx="0">
                  <c:v>Not Calculated</c:v>
                </c:pt>
              </c:strCache>
            </c:strRef>
          </c:xVal>
          <c:yVal>
            <c:numRef>
              <c:f>'Summary of Scores'!$P$16</c:f>
              <c:numCache>
                <c:formatCode>#,##0.00</c:formatCode>
                <c:ptCount val="1"/>
                <c:pt idx="0">
                  <c:v>0</c:v>
                </c:pt>
              </c:numCache>
            </c:numRef>
          </c:yVal>
          <c:smooth val="0"/>
          <c:extLst>
            <c:ext xmlns:c16="http://schemas.microsoft.com/office/drawing/2014/chart" uri="{C3380CC4-5D6E-409C-BE32-E72D297353CC}">
              <c16:uniqueId val="{0000000B-7726-4055-AF07-017EF314E4E5}"/>
            </c:ext>
          </c:extLst>
        </c:ser>
        <c:ser>
          <c:idx val="9"/>
          <c:order val="9"/>
          <c:tx>
            <c:strRef>
              <c:f>'Summary of Scores'!$B$26</c:f>
              <c:strCache>
                <c:ptCount val="1"/>
                <c:pt idx="0">
                  <c:v>Wildfire</c:v>
                </c:pt>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Scores'!$M$26</c:f>
              <c:strCache>
                <c:ptCount val="1"/>
                <c:pt idx="0">
                  <c:v>Not Calculated</c:v>
                </c:pt>
              </c:strCache>
            </c:strRef>
          </c:xVal>
          <c:yVal>
            <c:numRef>
              <c:f>'Summary of Scores'!$P$26</c:f>
              <c:numCache>
                <c:formatCode>#,##0.00</c:formatCode>
                <c:ptCount val="1"/>
                <c:pt idx="0">
                  <c:v>0</c:v>
                </c:pt>
              </c:numCache>
            </c:numRef>
          </c:yVal>
          <c:smooth val="0"/>
          <c:extLst>
            <c:ext xmlns:c16="http://schemas.microsoft.com/office/drawing/2014/chart" uri="{C3380CC4-5D6E-409C-BE32-E72D297353CC}">
              <c16:uniqueId val="{0000000C-7726-4055-AF07-017EF314E4E5}"/>
            </c:ext>
          </c:extLst>
        </c:ser>
        <c:ser>
          <c:idx val="10"/>
          <c:order val="10"/>
          <c:tx>
            <c:strRef>
              <c:f>'Summary of Scores'!$B$17</c:f>
              <c:strCache>
                <c:ptCount val="1"/>
                <c:pt idx="0">
                  <c:v>Flood</c:v>
                </c:pt>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Scores'!$M$17</c:f>
              <c:strCache>
                <c:ptCount val="1"/>
                <c:pt idx="0">
                  <c:v>Not Calculated</c:v>
                </c:pt>
              </c:strCache>
            </c:strRef>
          </c:xVal>
          <c:yVal>
            <c:numRef>
              <c:f>'Summary of Scores'!$P$17</c:f>
              <c:numCache>
                <c:formatCode>#,##0.00</c:formatCode>
                <c:ptCount val="1"/>
                <c:pt idx="0">
                  <c:v>0</c:v>
                </c:pt>
              </c:numCache>
            </c:numRef>
          </c:yVal>
          <c:smooth val="0"/>
          <c:extLst>
            <c:ext xmlns:c16="http://schemas.microsoft.com/office/drawing/2014/chart" uri="{C3380CC4-5D6E-409C-BE32-E72D297353CC}">
              <c16:uniqueId val="{0000000D-7726-4055-AF07-017EF314E4E5}"/>
            </c:ext>
          </c:extLst>
        </c:ser>
        <c:ser>
          <c:idx val="11"/>
          <c:order val="11"/>
          <c:tx>
            <c:strRef>
              <c:f>'Summary of Scores'!$B$18</c:f>
              <c:strCache>
                <c:ptCount val="1"/>
                <c:pt idx="0">
                  <c:v>HazMat Release</c:v>
                </c:pt>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Scores'!$M$18</c:f>
              <c:strCache>
                <c:ptCount val="1"/>
                <c:pt idx="0">
                  <c:v>Not Calculated</c:v>
                </c:pt>
              </c:strCache>
            </c:strRef>
          </c:xVal>
          <c:yVal>
            <c:numRef>
              <c:f>'Summary of Scores'!$P$18</c:f>
              <c:numCache>
                <c:formatCode>#,##0.00</c:formatCode>
                <c:ptCount val="1"/>
                <c:pt idx="0">
                  <c:v>0</c:v>
                </c:pt>
              </c:numCache>
            </c:numRef>
          </c:yVal>
          <c:smooth val="0"/>
          <c:extLst>
            <c:ext xmlns:c16="http://schemas.microsoft.com/office/drawing/2014/chart" uri="{C3380CC4-5D6E-409C-BE32-E72D297353CC}">
              <c16:uniqueId val="{0000000E-7726-4055-AF07-017EF314E4E5}"/>
            </c:ext>
          </c:extLst>
        </c:ser>
        <c:ser>
          <c:idx val="12"/>
          <c:order val="12"/>
          <c:tx>
            <c:strRef>
              <c:f>'Summary of Scores'!$B$19</c:f>
              <c:strCache>
                <c:ptCount val="1"/>
                <c:pt idx="0">
                  <c:v>Localized ID</c:v>
                </c:pt>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Scores'!$M$19</c:f>
              <c:strCache>
                <c:ptCount val="1"/>
                <c:pt idx="0">
                  <c:v>Not Calculated</c:v>
                </c:pt>
              </c:strCache>
            </c:strRef>
          </c:xVal>
          <c:yVal>
            <c:numRef>
              <c:f>'Summary of Scores'!$P$19</c:f>
              <c:numCache>
                <c:formatCode>#,##0.00</c:formatCode>
                <c:ptCount val="1"/>
                <c:pt idx="0">
                  <c:v>0</c:v>
                </c:pt>
              </c:numCache>
            </c:numRef>
          </c:yVal>
          <c:smooth val="0"/>
          <c:extLst>
            <c:ext xmlns:c16="http://schemas.microsoft.com/office/drawing/2014/chart" uri="{C3380CC4-5D6E-409C-BE32-E72D297353CC}">
              <c16:uniqueId val="{0000000F-7726-4055-AF07-017EF314E4E5}"/>
            </c:ext>
          </c:extLst>
        </c:ser>
        <c:ser>
          <c:idx val="13"/>
          <c:order val="13"/>
          <c:tx>
            <c:strRef>
              <c:f>'Summary of Scores'!$B$20</c:f>
              <c:strCache>
                <c:ptCount val="1"/>
                <c:pt idx="0">
                  <c:v>Nuclear Facility</c:v>
                </c:pt>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Scores'!$M$20</c:f>
              <c:strCache>
                <c:ptCount val="1"/>
                <c:pt idx="0">
                  <c:v>Not Calculated</c:v>
                </c:pt>
              </c:strCache>
            </c:strRef>
          </c:xVal>
          <c:yVal>
            <c:numRef>
              <c:f>'Summary of Scores'!$P$20</c:f>
              <c:numCache>
                <c:formatCode>#,##0.00</c:formatCode>
                <c:ptCount val="1"/>
                <c:pt idx="0">
                  <c:v>0</c:v>
                </c:pt>
              </c:numCache>
            </c:numRef>
          </c:yVal>
          <c:smooth val="0"/>
          <c:extLst>
            <c:ext xmlns:c16="http://schemas.microsoft.com/office/drawing/2014/chart" uri="{C3380CC4-5D6E-409C-BE32-E72D297353CC}">
              <c16:uniqueId val="{00000010-7726-4055-AF07-017EF314E4E5}"/>
            </c:ext>
          </c:extLst>
        </c:ser>
        <c:ser>
          <c:idx val="14"/>
          <c:order val="14"/>
          <c:tx>
            <c:strRef>
              <c:f>'Summary of Scores'!$B$21</c:f>
              <c:strCache>
                <c:ptCount val="1"/>
                <c:pt idx="0">
                  <c:v>Pandemic</c:v>
                </c:pt>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Scores'!$M$21</c:f>
              <c:strCache>
                <c:ptCount val="1"/>
                <c:pt idx="0">
                  <c:v>Not Calculated</c:v>
                </c:pt>
              </c:strCache>
            </c:strRef>
          </c:xVal>
          <c:yVal>
            <c:numRef>
              <c:f>'Summary of Scores'!$P$21</c:f>
              <c:numCache>
                <c:formatCode>#,##0.00</c:formatCode>
                <c:ptCount val="1"/>
                <c:pt idx="0">
                  <c:v>0</c:v>
                </c:pt>
              </c:numCache>
            </c:numRef>
          </c:yVal>
          <c:smooth val="0"/>
          <c:extLst>
            <c:ext xmlns:c16="http://schemas.microsoft.com/office/drawing/2014/chart" uri="{C3380CC4-5D6E-409C-BE32-E72D297353CC}">
              <c16:uniqueId val="{00000011-7726-4055-AF07-017EF314E4E5}"/>
            </c:ext>
          </c:extLst>
        </c:ser>
        <c:ser>
          <c:idx val="15"/>
          <c:order val="15"/>
          <c:tx>
            <c:strRef>
              <c:f>'Summary of Scores'!$B$22</c:f>
              <c:strCache>
                <c:ptCount val="1"/>
                <c:pt idx="0">
                  <c:v>RDD</c:v>
                </c:pt>
              </c:strCache>
            </c:strRef>
          </c:tx>
          <c:spPr>
            <a:ln w="66675">
              <a:noFill/>
            </a:ln>
          </c:spPr>
          <c:dLbls>
            <c:dLbl>
              <c:idx val="0"/>
              <c:layout>
                <c:manualLayout>
                  <c:x val="-5.0005106239043563E-2"/>
                  <c:y val="0"/>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2-7726-4055-AF07-017EF314E4E5}"/>
                </c:ext>
              </c:extLst>
            </c:dLbl>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Scores'!$M$22</c:f>
              <c:strCache>
                <c:ptCount val="1"/>
                <c:pt idx="0">
                  <c:v>Not Calculated</c:v>
                </c:pt>
              </c:strCache>
            </c:strRef>
          </c:xVal>
          <c:yVal>
            <c:numRef>
              <c:f>'Summary of Scores'!$P$22</c:f>
              <c:numCache>
                <c:formatCode>#,##0.00</c:formatCode>
                <c:ptCount val="1"/>
                <c:pt idx="0">
                  <c:v>0</c:v>
                </c:pt>
              </c:numCache>
            </c:numRef>
          </c:yVal>
          <c:smooth val="0"/>
          <c:extLst>
            <c:ext xmlns:c16="http://schemas.microsoft.com/office/drawing/2014/chart" uri="{C3380CC4-5D6E-409C-BE32-E72D297353CC}">
              <c16:uniqueId val="{00000013-7726-4055-AF07-017EF314E4E5}"/>
            </c:ext>
          </c:extLst>
        </c:ser>
        <c:ser>
          <c:idx val="16"/>
          <c:order val="16"/>
          <c:tx>
            <c:strRef>
              <c:f>'Summary of Scores'!$B$23</c:f>
              <c:strCache>
                <c:ptCount val="1"/>
                <c:pt idx="0">
                  <c:v>Temp Extremes</c:v>
                </c:pt>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Scores'!$M$23</c:f>
              <c:strCache>
                <c:ptCount val="1"/>
                <c:pt idx="0">
                  <c:v>Not Calculated</c:v>
                </c:pt>
              </c:strCache>
            </c:strRef>
          </c:xVal>
          <c:yVal>
            <c:numRef>
              <c:f>'Summary of Scores'!$P$23</c:f>
              <c:numCache>
                <c:formatCode>#,##0.00</c:formatCode>
                <c:ptCount val="1"/>
                <c:pt idx="0">
                  <c:v>0</c:v>
                </c:pt>
              </c:numCache>
            </c:numRef>
          </c:yVal>
          <c:smooth val="0"/>
          <c:extLst>
            <c:ext xmlns:c16="http://schemas.microsoft.com/office/drawing/2014/chart" uri="{C3380CC4-5D6E-409C-BE32-E72D297353CC}">
              <c16:uniqueId val="{00000014-7726-4055-AF07-017EF314E4E5}"/>
            </c:ext>
          </c:extLst>
        </c:ser>
        <c:ser>
          <c:idx val="17"/>
          <c:order val="17"/>
          <c:tx>
            <c:strRef>
              <c:f>'Summary of Scores'!$B$24</c:f>
              <c:strCache>
                <c:ptCount val="1"/>
                <c:pt idx="0">
                  <c:v>Tornado</c:v>
                </c:pt>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Scores'!$M$24</c:f>
              <c:strCache>
                <c:ptCount val="1"/>
                <c:pt idx="0">
                  <c:v>Not Calculated</c:v>
                </c:pt>
              </c:strCache>
            </c:strRef>
          </c:xVal>
          <c:yVal>
            <c:numRef>
              <c:f>'Summary of Scores'!$P$24</c:f>
              <c:numCache>
                <c:formatCode>#,##0.00</c:formatCode>
                <c:ptCount val="1"/>
                <c:pt idx="0">
                  <c:v>0</c:v>
                </c:pt>
              </c:numCache>
            </c:numRef>
          </c:yVal>
          <c:smooth val="0"/>
          <c:extLst>
            <c:ext xmlns:c16="http://schemas.microsoft.com/office/drawing/2014/chart" uri="{C3380CC4-5D6E-409C-BE32-E72D297353CC}">
              <c16:uniqueId val="{00000015-7726-4055-AF07-017EF314E4E5}"/>
            </c:ext>
          </c:extLst>
        </c:ser>
        <c:ser>
          <c:idx val="18"/>
          <c:order val="18"/>
          <c:tx>
            <c:strRef>
              <c:f>'Summary of Scores'!$B$25</c:f>
              <c:strCache>
                <c:ptCount val="1"/>
                <c:pt idx="0">
                  <c:v>Utility Interr</c:v>
                </c:pt>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Scores'!$M$25</c:f>
              <c:strCache>
                <c:ptCount val="1"/>
                <c:pt idx="0">
                  <c:v>Not Calculated</c:v>
                </c:pt>
              </c:strCache>
            </c:strRef>
          </c:xVal>
          <c:yVal>
            <c:numRef>
              <c:f>'Summary of Scores'!$P$25</c:f>
              <c:numCache>
                <c:formatCode>#,##0.00</c:formatCode>
                <c:ptCount val="1"/>
                <c:pt idx="0">
                  <c:v>0</c:v>
                </c:pt>
              </c:numCache>
            </c:numRef>
          </c:yVal>
          <c:smooth val="0"/>
          <c:extLst>
            <c:ext xmlns:c16="http://schemas.microsoft.com/office/drawing/2014/chart" uri="{C3380CC4-5D6E-409C-BE32-E72D297353CC}">
              <c16:uniqueId val="{00000016-7726-4055-AF07-017EF314E4E5}"/>
            </c:ext>
          </c:extLst>
        </c:ser>
        <c:ser>
          <c:idx val="19"/>
          <c:order val="19"/>
          <c:tx>
            <c:strRef>
              <c:f>'Summary of Scores'!$B$27</c:f>
              <c:strCache>
                <c:ptCount val="1"/>
                <c:pt idx="0">
                  <c:v>Winter Storm</c:v>
                </c:pt>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Scores'!$M$27</c:f>
              <c:strCache>
                <c:ptCount val="1"/>
                <c:pt idx="0">
                  <c:v>Not Calculated</c:v>
                </c:pt>
              </c:strCache>
            </c:strRef>
          </c:xVal>
          <c:yVal>
            <c:numRef>
              <c:f>'Summary of Scores'!$P$27</c:f>
              <c:numCache>
                <c:formatCode>#,##0.00</c:formatCode>
                <c:ptCount val="1"/>
                <c:pt idx="0">
                  <c:v>0</c:v>
                </c:pt>
              </c:numCache>
            </c:numRef>
          </c:yVal>
          <c:smooth val="0"/>
          <c:extLst>
            <c:ext xmlns:c16="http://schemas.microsoft.com/office/drawing/2014/chart" uri="{C3380CC4-5D6E-409C-BE32-E72D297353CC}">
              <c16:uniqueId val="{00000017-7726-4055-AF07-017EF314E4E5}"/>
            </c:ext>
          </c:extLst>
        </c:ser>
        <c:ser>
          <c:idx val="20"/>
          <c:order val="20"/>
          <c:tx>
            <c:strRef>
              <c:f>'Summary of Scores'!$B$28</c:f>
              <c:strCache>
                <c:ptCount val="1"/>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'Summary of Scores'!$M$28</c:f>
            </c:numRef>
          </c:xVal>
          <c:yVal>
            <c:numRef>
              <c:f>'Summary of Scores'!$P$28</c:f>
            </c:numRef>
          </c:yVal>
          <c:smooth val="0"/>
          <c:extLst>
            <c:ext xmlns:c16="http://schemas.microsoft.com/office/drawing/2014/chart" uri="{C3380CC4-5D6E-409C-BE32-E72D297353CC}">
              <c16:uniqueId val="{00000018-7726-4055-AF07-017EF314E4E5}"/>
            </c:ext>
          </c:extLst>
        </c:ser>
        <c:ser>
          <c:idx val="21"/>
          <c:order val="21"/>
          <c:tx>
            <c:strRef>
              <c:f>'Summary of Scores'!$B$29</c:f>
              <c:strCache>
                <c:ptCount val="1"/>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'Summary of Scores'!$M$29</c:f>
            </c:numRef>
          </c:xVal>
          <c:yVal>
            <c:numRef>
              <c:f>'Summary of Scores'!$P$29</c:f>
            </c:numRef>
          </c:yVal>
          <c:smooth val="0"/>
          <c:extLst>
            <c:ext xmlns:c16="http://schemas.microsoft.com/office/drawing/2014/chart" uri="{C3380CC4-5D6E-409C-BE32-E72D297353CC}">
              <c16:uniqueId val="{00000019-7726-4055-AF07-017EF314E4E5}"/>
            </c:ext>
          </c:extLst>
        </c:ser>
        <c:ser>
          <c:idx val="22"/>
          <c:order val="22"/>
          <c:tx>
            <c:strRef>
              <c:f>'Summary of Scores'!$B$30</c:f>
              <c:strCache>
                <c:ptCount val="1"/>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'Summary of Scores'!$M$30</c:f>
            </c:numRef>
          </c:xVal>
          <c:yVal>
            <c:numRef>
              <c:f>'Summary of Scores'!$P$30</c:f>
            </c:numRef>
          </c:yVal>
          <c:smooth val="0"/>
          <c:extLst>
            <c:ext xmlns:c16="http://schemas.microsoft.com/office/drawing/2014/chart" uri="{C3380CC4-5D6E-409C-BE32-E72D297353CC}">
              <c16:uniqueId val="{0000001A-7726-4055-AF07-017EF314E4E5}"/>
            </c:ext>
          </c:extLst>
        </c:ser>
        <c:ser>
          <c:idx val="23"/>
          <c:order val="23"/>
          <c:tx>
            <c:strRef>
              <c:f>'Summary of Scores'!$B$31</c:f>
              <c:strCache>
                <c:ptCount val="1"/>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'Summary of Scores'!$M$31</c:f>
            </c:numRef>
          </c:xVal>
          <c:yVal>
            <c:numRef>
              <c:f>'Summary of Scores'!$P$31</c:f>
            </c:numRef>
          </c:yVal>
          <c:smooth val="0"/>
          <c:extLst>
            <c:ext xmlns:c16="http://schemas.microsoft.com/office/drawing/2014/chart" uri="{C3380CC4-5D6E-409C-BE32-E72D297353CC}">
              <c16:uniqueId val="{0000001B-7726-4055-AF07-017EF314E4E5}"/>
            </c:ext>
          </c:extLst>
        </c:ser>
        <c:ser>
          <c:idx val="24"/>
          <c:order val="24"/>
          <c:tx>
            <c:strRef>
              <c:f>'Summary of Scores'!$B$32</c:f>
              <c:strCache>
                <c:ptCount val="1"/>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'Summary of Scores'!$M$32</c:f>
            </c:numRef>
          </c:xVal>
          <c:yVal>
            <c:numRef>
              <c:f>'Summary of Scores'!$P$32</c:f>
            </c:numRef>
          </c:yVal>
          <c:smooth val="0"/>
          <c:extLst>
            <c:ext xmlns:c16="http://schemas.microsoft.com/office/drawing/2014/chart" uri="{C3380CC4-5D6E-409C-BE32-E72D297353CC}">
              <c16:uniqueId val="{0000001C-7726-4055-AF07-017EF314E4E5}"/>
            </c:ext>
          </c:extLst>
        </c:ser>
        <c:ser>
          <c:idx val="25"/>
          <c:order val="25"/>
          <c:tx>
            <c:strRef>
              <c:f>'Summary of Scores'!$B$33</c:f>
              <c:strCache>
                <c:ptCount val="1"/>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'Summary of Scores'!$M$33</c:f>
            </c:numRef>
          </c:xVal>
          <c:yVal>
            <c:numRef>
              <c:f>'Summary of Scores'!$P$33</c:f>
            </c:numRef>
          </c:yVal>
          <c:smooth val="0"/>
          <c:extLst>
            <c:ext xmlns:c16="http://schemas.microsoft.com/office/drawing/2014/chart" uri="{C3380CC4-5D6E-409C-BE32-E72D297353CC}">
              <c16:uniqueId val="{0000001D-7726-4055-AF07-017EF314E4E5}"/>
            </c:ext>
          </c:extLst>
        </c:ser>
        <c:ser>
          <c:idx val="26"/>
          <c:order val="26"/>
          <c:tx>
            <c:strRef>
              <c:f>'Summary of Scores'!$B$34</c:f>
              <c:strCache>
                <c:ptCount val="1"/>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'Summary of Scores'!$M$34</c:f>
            </c:numRef>
          </c:xVal>
          <c:yVal>
            <c:numRef>
              <c:f>'Summary of Scores'!$P$34</c:f>
            </c:numRef>
          </c:yVal>
          <c:smooth val="0"/>
          <c:extLst>
            <c:ext xmlns:c16="http://schemas.microsoft.com/office/drawing/2014/chart" uri="{C3380CC4-5D6E-409C-BE32-E72D297353CC}">
              <c16:uniqueId val="{0000001E-7726-4055-AF07-017EF314E4E5}"/>
            </c:ext>
          </c:extLst>
        </c:ser>
        <c:ser>
          <c:idx val="27"/>
          <c:order val="27"/>
          <c:tx>
            <c:strRef>
              <c:f>'Summary of Scores'!$B$35</c:f>
              <c:strCache>
                <c:ptCount val="1"/>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'Summary of Scores'!$M$35</c:f>
            </c:numRef>
          </c:xVal>
          <c:yVal>
            <c:numRef>
              <c:f>'Summary of Scores'!$P$35</c:f>
            </c:numRef>
          </c:yVal>
          <c:smooth val="0"/>
          <c:extLst>
            <c:ext xmlns:c16="http://schemas.microsoft.com/office/drawing/2014/chart" uri="{C3380CC4-5D6E-409C-BE32-E72D297353CC}">
              <c16:uniqueId val="{0000001F-7726-4055-AF07-017EF314E4E5}"/>
            </c:ext>
          </c:extLst>
        </c:ser>
        <c:ser>
          <c:idx val="28"/>
          <c:order val="28"/>
          <c:tx>
            <c:strRef>
              <c:f>'Summary of Scores'!$B$36</c:f>
              <c:strCache>
                <c:ptCount val="1"/>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'Summary of Scores'!$M$36</c:f>
            </c:numRef>
          </c:xVal>
          <c:yVal>
            <c:numRef>
              <c:f>'Summary of Scores'!$P$36</c:f>
            </c:numRef>
          </c:yVal>
          <c:smooth val="0"/>
          <c:extLst>
            <c:ext xmlns:c16="http://schemas.microsoft.com/office/drawing/2014/chart" uri="{C3380CC4-5D6E-409C-BE32-E72D297353CC}">
              <c16:uniqueId val="{00000020-7726-4055-AF07-017EF314E4E5}"/>
            </c:ext>
          </c:extLst>
        </c:ser>
        <c:ser>
          <c:idx val="29"/>
          <c:order val="29"/>
          <c:tx>
            <c:strRef>
              <c:f>'Summary of Scores'!$B$37</c:f>
              <c:strCache>
                <c:ptCount val="1"/>
              </c:strCache>
            </c:strRef>
          </c:tx>
          <c:spPr>
            <a:ln w="66675">
              <a:noFill/>
            </a:ln>
          </c:spPr>
          <c:dLbls>
            <c:dLbl>
              <c:idx val="0"/>
              <c:spPr/>
              <c:txPr>
                <a:bodyPr rot="-2700000"/>
                <a:lstStyle/>
                <a:p>
                  <a:pPr>
                    <a:defRPr/>
                  </a:pPr>
                  <a:endParaRPr lang="en-US"/>
                </a:p>
              </c:txPr>
              <c:dLblPos val="ct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1-7726-4055-AF07-017EF314E4E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'Summary of Scores'!$M$37</c:f>
            </c:numRef>
          </c:xVal>
          <c:yVal>
            <c:numRef>
              <c:f>'Summary of Scores'!$P$37</c:f>
            </c:numRef>
          </c:yVal>
          <c:smooth val="0"/>
          <c:extLst>
            <c:ext xmlns:c16="http://schemas.microsoft.com/office/drawing/2014/chart" uri="{C3380CC4-5D6E-409C-BE32-E72D297353CC}">
              <c16:uniqueId val="{00000022-7726-4055-AF07-017EF314E4E5}"/>
            </c:ext>
          </c:extLst>
        </c:ser>
        <c:dLbls>
          <c:showLegendKey val="0"/>
          <c:showVal val="1"/>
          <c:showCatName val="0"/>
          <c:showSerName val="0"/>
          <c:showPercent val="0"/>
          <c:showBubbleSize val="0"/>
        </c:dLbls>
        <c:axId val="151448960"/>
        <c:axId val="151479808"/>
      </c:scatterChart>
      <c:valAx>
        <c:axId val="151448960"/>
        <c:scaling>
          <c:orientation val="minMax"/>
        </c:scaling>
        <c:delete val="0"/>
        <c:axPos val="b"/>
        <c:majorGridlines/>
        <c:title>
          <c:tx>
            <c:rich>
              <a:bodyPr/>
              <a:lstStyle/>
              <a:p>
                <a:pPr>
                  <a:defRPr b="0">
                    <a:latin typeface="+mj-lt"/>
                  </a:defRPr>
                </a:pPr>
                <a:r>
                  <a:rPr lang="en-US" sz="1600" b="0">
                    <a:latin typeface="+mj-lt"/>
                  </a:rPr>
                  <a:t>Adjusted Risk</a:t>
                </a:r>
              </a:p>
            </c:rich>
          </c:tx>
          <c:layout>
            <c:manualLayout>
              <c:xMode val="edge"/>
              <c:yMode val="edge"/>
              <c:x val="0.41435173873267139"/>
              <c:y val="0.92043715846994456"/>
            </c:manualLayout>
          </c:layout>
          <c:overlay val="0"/>
        </c:title>
        <c:numFmt formatCode="#,##0" sourceLinked="0"/>
        <c:majorTickMark val="out"/>
        <c:minorTickMark val="none"/>
        <c:tickLblPos val="nextTo"/>
        <c:spPr>
          <a:ln>
            <a:solidFill>
              <a:schemeClr val="tx1"/>
            </a:solidFill>
          </a:ln>
        </c:spPr>
        <c:crossAx val="151479808"/>
        <c:crosses val="autoZero"/>
        <c:crossBetween val="midCat"/>
      </c:valAx>
      <c:valAx>
        <c:axId val="151479808"/>
        <c:scaling>
          <c:orientation val="minMax"/>
        </c:scaling>
        <c:delete val="0"/>
        <c:axPos val="l"/>
        <c:majorGridlines/>
        <c:title>
          <c:tx>
            <c:rich>
              <a:bodyPr rot="-5400000" vert="horz"/>
              <a:lstStyle/>
              <a:p>
                <a:pPr>
                  <a:defRPr sz="1600" b="0">
                    <a:latin typeface="+mj-lt"/>
                  </a:defRPr>
                </a:pPr>
                <a:r>
                  <a:rPr lang="en-US" sz="1600" b="0" baseline="0">
                    <a:latin typeface="+mj-lt"/>
                  </a:rPr>
                  <a:t>Preparedness</a:t>
                </a:r>
                <a:endParaRPr lang="en-US" sz="1600" b="0">
                  <a:latin typeface="+mj-lt"/>
                </a:endParaRPr>
              </a:p>
            </c:rich>
          </c:tx>
          <c:overlay val="0"/>
        </c:title>
        <c:numFmt formatCode="#,##0.00" sourceLinked="1"/>
        <c:majorTickMark val="out"/>
        <c:minorTickMark val="none"/>
        <c:tickLblPos val="nextTo"/>
        <c:spPr>
          <a:ln>
            <a:solidFill>
              <a:schemeClr val="tx1"/>
            </a:solidFill>
          </a:ln>
        </c:spPr>
        <c:crossAx val="151448960"/>
        <c:crosses val="autoZero"/>
        <c:crossBetween val="midCat"/>
      </c:valAx>
      <c:spPr>
        <a:gradFill flip="none" rotWithShape="1">
          <a:gsLst>
            <a:gs pos="0">
              <a:srgbClr val="63BE7B"/>
            </a:gs>
            <a:gs pos="50000">
              <a:srgbClr val="FFEB84"/>
            </a:gs>
            <a:gs pos="100000">
              <a:srgbClr val="F8696B"/>
            </a:gs>
          </a:gsLst>
          <a:lin ang="27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b="0" u="sng">
                <a:latin typeface="+mj-lt"/>
              </a:defRPr>
            </a:pPr>
            <a:r>
              <a:rPr lang="en-US" b="0" u="sng">
                <a:latin typeface="+mj-lt"/>
              </a:rPr>
              <a:t>Public</a:t>
            </a:r>
            <a:r>
              <a:rPr lang="en-US" b="0" u="sng" baseline="0">
                <a:latin typeface="+mj-lt"/>
              </a:rPr>
              <a:t> Health System Adjusted Risk</a:t>
            </a:r>
            <a:r>
              <a:rPr lang="en-US" b="0" u="sng">
                <a:latin typeface="+mj-lt"/>
              </a:rPr>
              <a:t> vs. Preparedness</a:t>
            </a:r>
          </a:p>
        </c:rich>
      </c:tx>
      <c:layout>
        <c:manualLayout>
          <c:xMode val="edge"/>
          <c:yMode val="edge"/>
          <c:x val="0.19740604046673338"/>
          <c:y val="1.3244983721297133E-2"/>
        </c:manualLayout>
      </c:layout>
      <c:overlay val="0"/>
    </c:title>
    <c:autoTitleDeleted val="0"/>
    <c:plotArea>
      <c:layout/>
      <c:scatterChart>
        <c:scatterStyle val="lineMarker"/>
        <c:varyColors val="0"/>
        <c:ser>
          <c:idx val="0"/>
          <c:order val="0"/>
          <c:tx>
            <c:strRef>
              <c:f>'Summary of Scores'!$B$8</c:f>
              <c:strCache>
                <c:ptCount val="1"/>
                <c:pt idx="0">
                  <c:v>Active Shooter</c:v>
                </c:pt>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Scores'!$K$8</c:f>
              <c:strCache>
                <c:ptCount val="1"/>
                <c:pt idx="0">
                  <c:v>Not Calculated</c:v>
                </c:pt>
              </c:strCache>
            </c:strRef>
          </c:xVal>
          <c:yVal>
            <c:numRef>
              <c:f>'Summary of Scores'!$N$8</c:f>
              <c:numCache>
                <c:formatCode>#,##0.00</c:formatCode>
                <c:ptCount val="1"/>
                <c:pt idx="0">
                  <c:v>0</c:v>
                </c:pt>
              </c:numCache>
            </c:numRef>
          </c:yVal>
          <c:smooth val="0"/>
          <c:extLst>
            <c:ext xmlns:c16="http://schemas.microsoft.com/office/drawing/2014/chart" uri="{C3380CC4-5D6E-409C-BE32-E72D297353CC}">
              <c16:uniqueId val="{00000000-EC2A-4F6A-A096-7C99FD6D871F}"/>
            </c:ext>
          </c:extLst>
        </c:ser>
        <c:ser>
          <c:idx val="1"/>
          <c:order val="1"/>
          <c:tx>
            <c:strRef>
              <c:f>'Summary of Scores'!$B$9</c:f>
              <c:strCache>
                <c:ptCount val="1"/>
                <c:pt idx="0">
                  <c:v>Bio Terrorism</c:v>
                </c:pt>
              </c:strCache>
            </c:strRef>
          </c:tx>
          <c:spPr>
            <a:ln w="66675">
              <a:noFill/>
            </a:ln>
          </c:spPr>
          <c:dLbls>
            <c:dLbl>
              <c:idx val="0"/>
              <c:layout>
                <c:manualLayout>
                  <c:x val="-7.0150357599352078E-2"/>
                  <c:y val="0"/>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EC2A-4F6A-A096-7C99FD6D871F}"/>
                </c:ext>
              </c:extLst>
            </c:dLbl>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Scores'!$K$9</c:f>
              <c:strCache>
                <c:ptCount val="1"/>
                <c:pt idx="0">
                  <c:v>Not Calculated</c:v>
                </c:pt>
              </c:strCache>
            </c:strRef>
          </c:xVal>
          <c:yVal>
            <c:numRef>
              <c:f>'Summary of Scores'!$N$9</c:f>
              <c:numCache>
                <c:formatCode>#,##0.00</c:formatCode>
                <c:ptCount val="1"/>
                <c:pt idx="0">
                  <c:v>0</c:v>
                </c:pt>
              </c:numCache>
            </c:numRef>
          </c:yVal>
          <c:smooth val="0"/>
          <c:extLst>
            <c:ext xmlns:c16="http://schemas.microsoft.com/office/drawing/2014/chart" uri="{C3380CC4-5D6E-409C-BE32-E72D297353CC}">
              <c16:uniqueId val="{00000002-EC2A-4F6A-A096-7C99FD6D871F}"/>
            </c:ext>
          </c:extLst>
        </c:ser>
        <c:ser>
          <c:idx val="2"/>
          <c:order val="2"/>
          <c:tx>
            <c:strRef>
              <c:f>'Summary of Scores'!$B$10</c:f>
              <c:strCache>
                <c:ptCount val="1"/>
                <c:pt idx="0">
                  <c:v>Chem Terrorism</c:v>
                </c:pt>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Scores'!$K$10</c:f>
              <c:strCache>
                <c:ptCount val="1"/>
                <c:pt idx="0">
                  <c:v>Not Calculated</c:v>
                </c:pt>
              </c:strCache>
            </c:strRef>
          </c:xVal>
          <c:yVal>
            <c:numRef>
              <c:f>'Summary of Scores'!$N$10</c:f>
              <c:numCache>
                <c:formatCode>#,##0.00</c:formatCode>
                <c:ptCount val="1"/>
                <c:pt idx="0">
                  <c:v>0</c:v>
                </c:pt>
              </c:numCache>
            </c:numRef>
          </c:yVal>
          <c:smooth val="0"/>
          <c:extLst>
            <c:ext xmlns:c16="http://schemas.microsoft.com/office/drawing/2014/chart" uri="{C3380CC4-5D6E-409C-BE32-E72D297353CC}">
              <c16:uniqueId val="{00000003-EC2A-4F6A-A096-7C99FD6D871F}"/>
            </c:ext>
          </c:extLst>
        </c:ser>
        <c:ser>
          <c:idx val="3"/>
          <c:order val="3"/>
          <c:tx>
            <c:strRef>
              <c:f>'Summary of Scores'!$B$11</c:f>
              <c:strCache>
                <c:ptCount val="1"/>
                <c:pt idx="0">
                  <c:v>Civil Disturbance</c:v>
                </c:pt>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Scores'!$K$11</c:f>
              <c:strCache>
                <c:ptCount val="1"/>
                <c:pt idx="0">
                  <c:v>Not Calculated</c:v>
                </c:pt>
              </c:strCache>
            </c:strRef>
          </c:xVal>
          <c:yVal>
            <c:numRef>
              <c:f>'Summary of Scores'!$N$11</c:f>
              <c:numCache>
                <c:formatCode>#,##0.00</c:formatCode>
                <c:ptCount val="1"/>
                <c:pt idx="0">
                  <c:v>0</c:v>
                </c:pt>
              </c:numCache>
            </c:numRef>
          </c:yVal>
          <c:smooth val="0"/>
          <c:extLst>
            <c:ext xmlns:c16="http://schemas.microsoft.com/office/drawing/2014/chart" uri="{C3380CC4-5D6E-409C-BE32-E72D297353CC}">
              <c16:uniqueId val="{00000004-EC2A-4F6A-A096-7C99FD6D871F}"/>
            </c:ext>
          </c:extLst>
        </c:ser>
        <c:ser>
          <c:idx val="4"/>
          <c:order val="4"/>
          <c:tx>
            <c:strRef>
              <c:f>'Summary of Scores'!$B$12</c:f>
              <c:strCache>
                <c:ptCount val="1"/>
                <c:pt idx="0">
                  <c:v>Coastal Storm</c:v>
                </c:pt>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Scores'!$K$12</c:f>
              <c:strCache>
                <c:ptCount val="1"/>
                <c:pt idx="0">
                  <c:v>Not Calculated</c:v>
                </c:pt>
              </c:strCache>
            </c:strRef>
          </c:xVal>
          <c:yVal>
            <c:numRef>
              <c:f>'Summary of Scores'!$N$12</c:f>
              <c:numCache>
                <c:formatCode>#,##0.00</c:formatCode>
                <c:ptCount val="1"/>
                <c:pt idx="0">
                  <c:v>0</c:v>
                </c:pt>
              </c:numCache>
            </c:numRef>
          </c:yVal>
          <c:smooth val="0"/>
          <c:extLst>
            <c:ext xmlns:c16="http://schemas.microsoft.com/office/drawing/2014/chart" uri="{C3380CC4-5D6E-409C-BE32-E72D297353CC}">
              <c16:uniqueId val="{00000005-EC2A-4F6A-A096-7C99FD6D871F}"/>
            </c:ext>
          </c:extLst>
        </c:ser>
        <c:ser>
          <c:idx val="5"/>
          <c:order val="5"/>
          <c:tx>
            <c:strRef>
              <c:f>'Summary of Scores'!$B$13</c:f>
              <c:strCache>
                <c:ptCount val="1"/>
                <c:pt idx="0">
                  <c:v>Conv Explosive</c:v>
                </c:pt>
              </c:strCache>
            </c:strRef>
          </c:tx>
          <c:spPr>
            <a:ln w="66675">
              <a:noFill/>
            </a:ln>
          </c:spPr>
          <c:dLbls>
            <c:dLbl>
              <c:idx val="0"/>
              <c:layout>
                <c:manualLayout>
                  <c:x val="-6.8304175732680258E-2"/>
                  <c:y val="0"/>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EC2A-4F6A-A096-7C99FD6D871F}"/>
                </c:ext>
              </c:extLst>
            </c:dLbl>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Scores'!$K$13</c:f>
              <c:strCache>
                <c:ptCount val="1"/>
                <c:pt idx="0">
                  <c:v>Not Calculated</c:v>
                </c:pt>
              </c:strCache>
            </c:strRef>
          </c:xVal>
          <c:yVal>
            <c:numRef>
              <c:f>'Summary of Scores'!$N$13</c:f>
              <c:numCache>
                <c:formatCode>#,##0.00</c:formatCode>
                <c:ptCount val="1"/>
                <c:pt idx="0">
                  <c:v>0</c:v>
                </c:pt>
              </c:numCache>
            </c:numRef>
          </c:yVal>
          <c:smooth val="0"/>
          <c:extLst>
            <c:ext xmlns:c16="http://schemas.microsoft.com/office/drawing/2014/chart" uri="{C3380CC4-5D6E-409C-BE32-E72D297353CC}">
              <c16:uniqueId val="{00000007-EC2A-4F6A-A096-7C99FD6D871F}"/>
            </c:ext>
          </c:extLst>
        </c:ser>
        <c:ser>
          <c:idx val="6"/>
          <c:order val="6"/>
          <c:tx>
            <c:strRef>
              <c:f>'Summary of Scores'!$B$14</c:f>
              <c:strCache>
                <c:ptCount val="1"/>
                <c:pt idx="0">
                  <c:v>Cyber Terrorism</c:v>
                </c:pt>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Scores'!$K$14</c:f>
              <c:strCache>
                <c:ptCount val="1"/>
                <c:pt idx="0">
                  <c:v>Not Calculated</c:v>
                </c:pt>
              </c:strCache>
            </c:strRef>
          </c:xVal>
          <c:yVal>
            <c:numRef>
              <c:f>'Summary of Scores'!$N$14</c:f>
              <c:numCache>
                <c:formatCode>#,##0.00</c:formatCode>
                <c:ptCount val="1"/>
                <c:pt idx="0">
                  <c:v>0</c:v>
                </c:pt>
              </c:numCache>
            </c:numRef>
          </c:yVal>
          <c:smooth val="0"/>
          <c:extLst>
            <c:ext xmlns:c16="http://schemas.microsoft.com/office/drawing/2014/chart" uri="{C3380CC4-5D6E-409C-BE32-E72D297353CC}">
              <c16:uniqueId val="{00000008-EC2A-4F6A-A096-7C99FD6D871F}"/>
            </c:ext>
          </c:extLst>
        </c:ser>
        <c:ser>
          <c:idx val="7"/>
          <c:order val="7"/>
          <c:tx>
            <c:strRef>
              <c:f>'Summary of Scores'!$B$15</c:f>
              <c:strCache>
                <c:ptCount val="1"/>
                <c:pt idx="0">
                  <c:v>Drought</c:v>
                </c:pt>
              </c:strCache>
            </c:strRef>
          </c:tx>
          <c:spPr>
            <a:ln w="66675">
              <a:noFill/>
            </a:ln>
          </c:spPr>
          <c:dLbls>
            <c:dLbl>
              <c:idx val="0"/>
              <c:spPr/>
              <c:txPr>
                <a:bodyPr rot="-2700000"/>
                <a:lstStyle/>
                <a:p>
                  <a:pPr>
                    <a:defRPr/>
                  </a:pPr>
                  <a:endParaRPr lang="en-US"/>
                </a:p>
              </c:txPr>
              <c:dLblPos val="ct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9-EC2A-4F6A-A096-7C99FD6D871F}"/>
                </c:ext>
              </c:extLst>
            </c:dLbl>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Scores'!$K$15</c:f>
              <c:strCache>
                <c:ptCount val="1"/>
                <c:pt idx="0">
                  <c:v>Not Calculated</c:v>
                </c:pt>
              </c:strCache>
            </c:strRef>
          </c:xVal>
          <c:yVal>
            <c:numRef>
              <c:f>'Summary of Scores'!$N$15</c:f>
              <c:numCache>
                <c:formatCode>#,##0.00</c:formatCode>
                <c:ptCount val="1"/>
                <c:pt idx="0">
                  <c:v>0</c:v>
                </c:pt>
              </c:numCache>
            </c:numRef>
          </c:yVal>
          <c:smooth val="0"/>
          <c:extLst>
            <c:ext xmlns:c16="http://schemas.microsoft.com/office/drawing/2014/chart" uri="{C3380CC4-5D6E-409C-BE32-E72D297353CC}">
              <c16:uniqueId val="{0000000A-EC2A-4F6A-A096-7C99FD6D871F}"/>
            </c:ext>
          </c:extLst>
        </c:ser>
        <c:ser>
          <c:idx val="8"/>
          <c:order val="8"/>
          <c:tx>
            <c:strRef>
              <c:f>'Summary of Scores'!$B$16</c:f>
              <c:strCache>
                <c:ptCount val="1"/>
                <c:pt idx="0">
                  <c:v>Earthquake</c:v>
                </c:pt>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Scores'!$K$16</c:f>
              <c:strCache>
                <c:ptCount val="1"/>
                <c:pt idx="0">
                  <c:v>Not Calculated</c:v>
                </c:pt>
              </c:strCache>
            </c:strRef>
          </c:xVal>
          <c:yVal>
            <c:numRef>
              <c:f>'Summary of Scores'!$N$16</c:f>
              <c:numCache>
                <c:formatCode>#,##0.00</c:formatCode>
                <c:ptCount val="1"/>
                <c:pt idx="0">
                  <c:v>0</c:v>
                </c:pt>
              </c:numCache>
            </c:numRef>
          </c:yVal>
          <c:smooth val="0"/>
          <c:extLst>
            <c:ext xmlns:c16="http://schemas.microsoft.com/office/drawing/2014/chart" uri="{C3380CC4-5D6E-409C-BE32-E72D297353CC}">
              <c16:uniqueId val="{0000000B-EC2A-4F6A-A096-7C99FD6D871F}"/>
            </c:ext>
          </c:extLst>
        </c:ser>
        <c:ser>
          <c:idx val="9"/>
          <c:order val="9"/>
          <c:tx>
            <c:strRef>
              <c:f>'Summary of Scores'!$B$26</c:f>
              <c:strCache>
                <c:ptCount val="1"/>
                <c:pt idx="0">
                  <c:v>Wildfire</c:v>
                </c:pt>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Scores'!$K$26</c:f>
              <c:strCache>
                <c:ptCount val="1"/>
                <c:pt idx="0">
                  <c:v>Not Calculated</c:v>
                </c:pt>
              </c:strCache>
            </c:strRef>
          </c:xVal>
          <c:yVal>
            <c:numRef>
              <c:f>'Summary of Scores'!$N$26</c:f>
              <c:numCache>
                <c:formatCode>#,##0.00</c:formatCode>
                <c:ptCount val="1"/>
                <c:pt idx="0">
                  <c:v>0</c:v>
                </c:pt>
              </c:numCache>
            </c:numRef>
          </c:yVal>
          <c:smooth val="0"/>
          <c:extLst>
            <c:ext xmlns:c16="http://schemas.microsoft.com/office/drawing/2014/chart" uri="{C3380CC4-5D6E-409C-BE32-E72D297353CC}">
              <c16:uniqueId val="{0000000C-EC2A-4F6A-A096-7C99FD6D871F}"/>
            </c:ext>
          </c:extLst>
        </c:ser>
        <c:ser>
          <c:idx val="10"/>
          <c:order val="10"/>
          <c:tx>
            <c:strRef>
              <c:f>'Summary of Scores'!$B$17</c:f>
              <c:strCache>
                <c:ptCount val="1"/>
                <c:pt idx="0">
                  <c:v>Flood</c:v>
                </c:pt>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Scores'!$K$17</c:f>
              <c:strCache>
                <c:ptCount val="1"/>
                <c:pt idx="0">
                  <c:v>Not Calculated</c:v>
                </c:pt>
              </c:strCache>
            </c:strRef>
          </c:xVal>
          <c:yVal>
            <c:numRef>
              <c:f>'Summary of Scores'!$N$17</c:f>
              <c:numCache>
                <c:formatCode>#,##0.00</c:formatCode>
                <c:ptCount val="1"/>
                <c:pt idx="0">
                  <c:v>0</c:v>
                </c:pt>
              </c:numCache>
            </c:numRef>
          </c:yVal>
          <c:smooth val="0"/>
          <c:extLst>
            <c:ext xmlns:c16="http://schemas.microsoft.com/office/drawing/2014/chart" uri="{C3380CC4-5D6E-409C-BE32-E72D297353CC}">
              <c16:uniqueId val="{0000000D-EC2A-4F6A-A096-7C99FD6D871F}"/>
            </c:ext>
          </c:extLst>
        </c:ser>
        <c:ser>
          <c:idx val="11"/>
          <c:order val="11"/>
          <c:tx>
            <c:strRef>
              <c:f>'Summary of Scores'!$B$18</c:f>
              <c:strCache>
                <c:ptCount val="1"/>
                <c:pt idx="0">
                  <c:v>HazMat Release</c:v>
                </c:pt>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Scores'!$K$18</c:f>
              <c:strCache>
                <c:ptCount val="1"/>
                <c:pt idx="0">
                  <c:v>Not Calculated</c:v>
                </c:pt>
              </c:strCache>
            </c:strRef>
          </c:xVal>
          <c:yVal>
            <c:numRef>
              <c:f>'Summary of Scores'!$N$18</c:f>
              <c:numCache>
                <c:formatCode>#,##0.00</c:formatCode>
                <c:ptCount val="1"/>
                <c:pt idx="0">
                  <c:v>0</c:v>
                </c:pt>
              </c:numCache>
            </c:numRef>
          </c:yVal>
          <c:smooth val="0"/>
          <c:extLst>
            <c:ext xmlns:c16="http://schemas.microsoft.com/office/drawing/2014/chart" uri="{C3380CC4-5D6E-409C-BE32-E72D297353CC}">
              <c16:uniqueId val="{0000000E-EC2A-4F6A-A096-7C99FD6D871F}"/>
            </c:ext>
          </c:extLst>
        </c:ser>
        <c:ser>
          <c:idx val="12"/>
          <c:order val="12"/>
          <c:tx>
            <c:strRef>
              <c:f>'Summary of Scores'!$B$19</c:f>
              <c:strCache>
                <c:ptCount val="1"/>
                <c:pt idx="0">
                  <c:v>Localized ID</c:v>
                </c:pt>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Scores'!$K$19</c:f>
              <c:strCache>
                <c:ptCount val="1"/>
                <c:pt idx="0">
                  <c:v>Not Calculated</c:v>
                </c:pt>
              </c:strCache>
            </c:strRef>
          </c:xVal>
          <c:yVal>
            <c:numRef>
              <c:f>'Summary of Scores'!$N$19</c:f>
              <c:numCache>
                <c:formatCode>#,##0.00</c:formatCode>
                <c:ptCount val="1"/>
                <c:pt idx="0">
                  <c:v>0</c:v>
                </c:pt>
              </c:numCache>
            </c:numRef>
          </c:yVal>
          <c:smooth val="0"/>
          <c:extLst>
            <c:ext xmlns:c16="http://schemas.microsoft.com/office/drawing/2014/chart" uri="{C3380CC4-5D6E-409C-BE32-E72D297353CC}">
              <c16:uniqueId val="{0000000F-EC2A-4F6A-A096-7C99FD6D871F}"/>
            </c:ext>
          </c:extLst>
        </c:ser>
        <c:ser>
          <c:idx val="13"/>
          <c:order val="13"/>
          <c:tx>
            <c:strRef>
              <c:f>'Summary of Scores'!$B$20</c:f>
              <c:strCache>
                <c:ptCount val="1"/>
                <c:pt idx="0">
                  <c:v>Nuclear Facility</c:v>
                </c:pt>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Scores'!$K$20</c:f>
              <c:strCache>
                <c:ptCount val="1"/>
                <c:pt idx="0">
                  <c:v>Not Calculated</c:v>
                </c:pt>
              </c:strCache>
            </c:strRef>
          </c:xVal>
          <c:yVal>
            <c:numRef>
              <c:f>'Summary of Scores'!$N$20</c:f>
              <c:numCache>
                <c:formatCode>#,##0.00</c:formatCode>
                <c:ptCount val="1"/>
                <c:pt idx="0">
                  <c:v>0</c:v>
                </c:pt>
              </c:numCache>
            </c:numRef>
          </c:yVal>
          <c:smooth val="0"/>
          <c:extLst>
            <c:ext xmlns:c16="http://schemas.microsoft.com/office/drawing/2014/chart" uri="{C3380CC4-5D6E-409C-BE32-E72D297353CC}">
              <c16:uniqueId val="{00000010-EC2A-4F6A-A096-7C99FD6D871F}"/>
            </c:ext>
          </c:extLst>
        </c:ser>
        <c:ser>
          <c:idx val="14"/>
          <c:order val="14"/>
          <c:tx>
            <c:strRef>
              <c:f>'Summary of Scores'!$B$21</c:f>
              <c:strCache>
                <c:ptCount val="1"/>
                <c:pt idx="0">
                  <c:v>Pandemic</c:v>
                </c:pt>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Scores'!$K$21</c:f>
              <c:strCache>
                <c:ptCount val="1"/>
                <c:pt idx="0">
                  <c:v>Not Calculated</c:v>
                </c:pt>
              </c:strCache>
            </c:strRef>
          </c:xVal>
          <c:yVal>
            <c:numRef>
              <c:f>'Summary of Scores'!$N$21</c:f>
              <c:numCache>
                <c:formatCode>#,##0.00</c:formatCode>
                <c:ptCount val="1"/>
                <c:pt idx="0">
                  <c:v>0</c:v>
                </c:pt>
              </c:numCache>
            </c:numRef>
          </c:yVal>
          <c:smooth val="0"/>
          <c:extLst>
            <c:ext xmlns:c16="http://schemas.microsoft.com/office/drawing/2014/chart" uri="{C3380CC4-5D6E-409C-BE32-E72D297353CC}">
              <c16:uniqueId val="{00000011-EC2A-4F6A-A096-7C99FD6D871F}"/>
            </c:ext>
          </c:extLst>
        </c:ser>
        <c:ser>
          <c:idx val="15"/>
          <c:order val="15"/>
          <c:tx>
            <c:strRef>
              <c:f>'Summary of Scores'!$B$22</c:f>
              <c:strCache>
                <c:ptCount val="1"/>
                <c:pt idx="0">
                  <c:v>RDD</c:v>
                </c:pt>
              </c:strCache>
            </c:strRef>
          </c:tx>
          <c:spPr>
            <a:ln w="66675">
              <a:noFill/>
            </a:ln>
          </c:spPr>
          <c:dLbls>
            <c:dLbl>
              <c:idx val="0"/>
              <c:layout>
                <c:manualLayout>
                  <c:x val="-5.5087754207115334E-2"/>
                  <c:y val="2.4286581663630808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2-EC2A-4F6A-A096-7C99FD6D871F}"/>
                </c:ext>
              </c:extLst>
            </c:dLbl>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Scores'!$K$22</c:f>
              <c:strCache>
                <c:ptCount val="1"/>
                <c:pt idx="0">
                  <c:v>Not Calculated</c:v>
                </c:pt>
              </c:strCache>
            </c:strRef>
          </c:xVal>
          <c:yVal>
            <c:numRef>
              <c:f>'Summary of Scores'!$N$22</c:f>
              <c:numCache>
                <c:formatCode>#,##0.00</c:formatCode>
                <c:ptCount val="1"/>
                <c:pt idx="0">
                  <c:v>0</c:v>
                </c:pt>
              </c:numCache>
            </c:numRef>
          </c:yVal>
          <c:smooth val="0"/>
          <c:extLst>
            <c:ext xmlns:c16="http://schemas.microsoft.com/office/drawing/2014/chart" uri="{C3380CC4-5D6E-409C-BE32-E72D297353CC}">
              <c16:uniqueId val="{00000013-EC2A-4F6A-A096-7C99FD6D871F}"/>
            </c:ext>
          </c:extLst>
        </c:ser>
        <c:ser>
          <c:idx val="16"/>
          <c:order val="16"/>
          <c:tx>
            <c:strRef>
              <c:f>'Summary of Scores'!$B$23</c:f>
              <c:strCache>
                <c:ptCount val="1"/>
                <c:pt idx="0">
                  <c:v>Temp Extremes</c:v>
                </c:pt>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Scores'!$K$23</c:f>
              <c:strCache>
                <c:ptCount val="1"/>
                <c:pt idx="0">
                  <c:v>Not Calculated</c:v>
                </c:pt>
              </c:strCache>
            </c:strRef>
          </c:xVal>
          <c:yVal>
            <c:numRef>
              <c:f>'Summary of Scores'!$N$23</c:f>
              <c:numCache>
                <c:formatCode>#,##0.00</c:formatCode>
                <c:ptCount val="1"/>
                <c:pt idx="0">
                  <c:v>0</c:v>
                </c:pt>
              </c:numCache>
            </c:numRef>
          </c:yVal>
          <c:smooth val="0"/>
          <c:extLst>
            <c:ext xmlns:c16="http://schemas.microsoft.com/office/drawing/2014/chart" uri="{C3380CC4-5D6E-409C-BE32-E72D297353CC}">
              <c16:uniqueId val="{00000014-EC2A-4F6A-A096-7C99FD6D871F}"/>
            </c:ext>
          </c:extLst>
        </c:ser>
        <c:ser>
          <c:idx val="17"/>
          <c:order val="17"/>
          <c:tx>
            <c:strRef>
              <c:f>'Summary of Scores'!$B$24</c:f>
              <c:strCache>
                <c:ptCount val="1"/>
                <c:pt idx="0">
                  <c:v>Tornado</c:v>
                </c:pt>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Scores'!$K$24</c:f>
              <c:strCache>
                <c:ptCount val="1"/>
                <c:pt idx="0">
                  <c:v>Not Calculated</c:v>
                </c:pt>
              </c:strCache>
            </c:strRef>
          </c:xVal>
          <c:yVal>
            <c:numRef>
              <c:f>'Summary of Scores'!$N$24</c:f>
              <c:numCache>
                <c:formatCode>#,##0.00</c:formatCode>
                <c:ptCount val="1"/>
                <c:pt idx="0">
                  <c:v>0</c:v>
                </c:pt>
              </c:numCache>
            </c:numRef>
          </c:yVal>
          <c:smooth val="0"/>
          <c:extLst>
            <c:ext xmlns:c16="http://schemas.microsoft.com/office/drawing/2014/chart" uri="{C3380CC4-5D6E-409C-BE32-E72D297353CC}">
              <c16:uniqueId val="{00000015-EC2A-4F6A-A096-7C99FD6D871F}"/>
            </c:ext>
          </c:extLst>
        </c:ser>
        <c:ser>
          <c:idx val="18"/>
          <c:order val="18"/>
          <c:tx>
            <c:strRef>
              <c:f>'Summary of Scores'!$B$25</c:f>
              <c:strCache>
                <c:ptCount val="1"/>
                <c:pt idx="0">
                  <c:v>Utility Interr</c:v>
                </c:pt>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Scores'!$K$25</c:f>
              <c:strCache>
                <c:ptCount val="1"/>
                <c:pt idx="0">
                  <c:v>Not Calculated</c:v>
                </c:pt>
              </c:strCache>
            </c:strRef>
          </c:xVal>
          <c:yVal>
            <c:numRef>
              <c:f>'Summary of Scores'!$N$25</c:f>
              <c:numCache>
                <c:formatCode>#,##0.00</c:formatCode>
                <c:ptCount val="1"/>
                <c:pt idx="0">
                  <c:v>0</c:v>
                </c:pt>
              </c:numCache>
            </c:numRef>
          </c:yVal>
          <c:smooth val="0"/>
          <c:extLst>
            <c:ext xmlns:c16="http://schemas.microsoft.com/office/drawing/2014/chart" uri="{C3380CC4-5D6E-409C-BE32-E72D297353CC}">
              <c16:uniqueId val="{00000016-EC2A-4F6A-A096-7C99FD6D871F}"/>
            </c:ext>
          </c:extLst>
        </c:ser>
        <c:ser>
          <c:idx val="19"/>
          <c:order val="19"/>
          <c:tx>
            <c:strRef>
              <c:f>'Summary of Scores'!$B$27</c:f>
              <c:strCache>
                <c:ptCount val="1"/>
                <c:pt idx="0">
                  <c:v>Winter Storm</c:v>
                </c:pt>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'Summary of Scores'!$K$27</c:f>
              <c:strCache>
                <c:ptCount val="1"/>
                <c:pt idx="0">
                  <c:v>Not Calculated</c:v>
                </c:pt>
              </c:strCache>
            </c:strRef>
          </c:xVal>
          <c:yVal>
            <c:numRef>
              <c:f>'Summary of Scores'!$N$27</c:f>
              <c:numCache>
                <c:formatCode>#,##0.00</c:formatCode>
                <c:ptCount val="1"/>
                <c:pt idx="0">
                  <c:v>0</c:v>
                </c:pt>
              </c:numCache>
            </c:numRef>
          </c:yVal>
          <c:smooth val="0"/>
          <c:extLst>
            <c:ext xmlns:c16="http://schemas.microsoft.com/office/drawing/2014/chart" uri="{C3380CC4-5D6E-409C-BE32-E72D297353CC}">
              <c16:uniqueId val="{00000017-EC2A-4F6A-A096-7C99FD6D871F}"/>
            </c:ext>
          </c:extLst>
        </c:ser>
        <c:ser>
          <c:idx val="20"/>
          <c:order val="20"/>
          <c:tx>
            <c:strRef>
              <c:f>'Summary of Scores'!$B$28</c:f>
              <c:strCache>
                <c:ptCount val="1"/>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'Summary of Scores'!$K$28</c:f>
            </c:numRef>
          </c:xVal>
          <c:yVal>
            <c:numRef>
              <c:f>'Summary of Scores'!$N$28</c:f>
            </c:numRef>
          </c:yVal>
          <c:smooth val="0"/>
          <c:extLst>
            <c:ext xmlns:c16="http://schemas.microsoft.com/office/drawing/2014/chart" uri="{C3380CC4-5D6E-409C-BE32-E72D297353CC}">
              <c16:uniqueId val="{00000018-EC2A-4F6A-A096-7C99FD6D871F}"/>
            </c:ext>
          </c:extLst>
        </c:ser>
        <c:ser>
          <c:idx val="21"/>
          <c:order val="21"/>
          <c:tx>
            <c:strRef>
              <c:f>'Summary of Scores'!$B$29</c:f>
              <c:strCache>
                <c:ptCount val="1"/>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'Summary of Scores'!$K$29</c:f>
            </c:numRef>
          </c:xVal>
          <c:yVal>
            <c:numRef>
              <c:f>'Summary of Scores'!$N$29</c:f>
            </c:numRef>
          </c:yVal>
          <c:smooth val="0"/>
          <c:extLst>
            <c:ext xmlns:c16="http://schemas.microsoft.com/office/drawing/2014/chart" uri="{C3380CC4-5D6E-409C-BE32-E72D297353CC}">
              <c16:uniqueId val="{00000019-EC2A-4F6A-A096-7C99FD6D871F}"/>
            </c:ext>
          </c:extLst>
        </c:ser>
        <c:ser>
          <c:idx val="22"/>
          <c:order val="22"/>
          <c:tx>
            <c:strRef>
              <c:f>'Summary of Scores'!$B$30</c:f>
              <c:strCache>
                <c:ptCount val="1"/>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'Summary of Scores'!$K$30</c:f>
            </c:numRef>
          </c:xVal>
          <c:yVal>
            <c:numRef>
              <c:f>'Summary of Scores'!$N$30</c:f>
            </c:numRef>
          </c:yVal>
          <c:smooth val="0"/>
          <c:extLst>
            <c:ext xmlns:c16="http://schemas.microsoft.com/office/drawing/2014/chart" uri="{C3380CC4-5D6E-409C-BE32-E72D297353CC}">
              <c16:uniqueId val="{0000001A-EC2A-4F6A-A096-7C99FD6D871F}"/>
            </c:ext>
          </c:extLst>
        </c:ser>
        <c:ser>
          <c:idx val="23"/>
          <c:order val="23"/>
          <c:tx>
            <c:strRef>
              <c:f>'Summary of Scores'!$B$31</c:f>
              <c:strCache>
                <c:ptCount val="1"/>
              </c:strCache>
            </c:strRef>
          </c:tx>
          <c:spPr>
            <a:ln w="66675">
              <a:noFill/>
            </a:ln>
          </c:spPr>
          <c:dLbls>
            <c:delete val="1"/>
          </c:dLbls>
          <c:xVal>
            <c:numRef>
              <c:f>'Summary of Scores'!$K$31</c:f>
            </c:numRef>
          </c:xVal>
          <c:yVal>
            <c:numRef>
              <c:f>'Summary of Scores'!$N$31</c:f>
            </c:numRef>
          </c:yVal>
          <c:smooth val="0"/>
          <c:extLst>
            <c:ext xmlns:c16="http://schemas.microsoft.com/office/drawing/2014/chart" uri="{C3380CC4-5D6E-409C-BE32-E72D297353CC}">
              <c16:uniqueId val="{0000001B-EC2A-4F6A-A096-7C99FD6D871F}"/>
            </c:ext>
          </c:extLst>
        </c:ser>
        <c:ser>
          <c:idx val="24"/>
          <c:order val="24"/>
          <c:tx>
            <c:strRef>
              <c:f>'Summary of Scores'!$B$32</c:f>
              <c:strCache>
                <c:ptCount val="1"/>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'Summary of Scores'!$K$32</c:f>
            </c:numRef>
          </c:xVal>
          <c:yVal>
            <c:numRef>
              <c:f>'Summary of Scores'!$N$32</c:f>
            </c:numRef>
          </c:yVal>
          <c:smooth val="0"/>
          <c:extLst>
            <c:ext xmlns:c16="http://schemas.microsoft.com/office/drawing/2014/chart" uri="{C3380CC4-5D6E-409C-BE32-E72D297353CC}">
              <c16:uniqueId val="{0000001C-EC2A-4F6A-A096-7C99FD6D871F}"/>
            </c:ext>
          </c:extLst>
        </c:ser>
        <c:ser>
          <c:idx val="25"/>
          <c:order val="25"/>
          <c:tx>
            <c:strRef>
              <c:f>'Summary of Scores'!$B$33</c:f>
              <c:strCache>
                <c:ptCount val="1"/>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'Summary of Scores'!$K$33</c:f>
            </c:numRef>
          </c:xVal>
          <c:yVal>
            <c:numRef>
              <c:f>'Summary of Scores'!$N$33</c:f>
            </c:numRef>
          </c:yVal>
          <c:smooth val="0"/>
          <c:extLst>
            <c:ext xmlns:c16="http://schemas.microsoft.com/office/drawing/2014/chart" uri="{C3380CC4-5D6E-409C-BE32-E72D297353CC}">
              <c16:uniqueId val="{0000001D-EC2A-4F6A-A096-7C99FD6D871F}"/>
            </c:ext>
          </c:extLst>
        </c:ser>
        <c:ser>
          <c:idx val="26"/>
          <c:order val="26"/>
          <c:tx>
            <c:strRef>
              <c:f>'Summary of Scores'!$B$34</c:f>
              <c:strCache>
                <c:ptCount val="1"/>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'Summary of Scores'!$K$34</c:f>
            </c:numRef>
          </c:xVal>
          <c:yVal>
            <c:numRef>
              <c:f>'Summary of Scores'!$N$34</c:f>
            </c:numRef>
          </c:yVal>
          <c:smooth val="0"/>
          <c:extLst>
            <c:ext xmlns:c16="http://schemas.microsoft.com/office/drawing/2014/chart" uri="{C3380CC4-5D6E-409C-BE32-E72D297353CC}">
              <c16:uniqueId val="{0000001E-EC2A-4F6A-A096-7C99FD6D871F}"/>
            </c:ext>
          </c:extLst>
        </c:ser>
        <c:ser>
          <c:idx val="27"/>
          <c:order val="27"/>
          <c:tx>
            <c:strRef>
              <c:f>'Summary of Scores'!$B$35</c:f>
              <c:strCache>
                <c:ptCount val="1"/>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'Summary of Scores'!$K$35</c:f>
            </c:numRef>
          </c:xVal>
          <c:yVal>
            <c:numRef>
              <c:f>'Summary of Scores'!$N$35</c:f>
            </c:numRef>
          </c:yVal>
          <c:smooth val="0"/>
          <c:extLst>
            <c:ext xmlns:c16="http://schemas.microsoft.com/office/drawing/2014/chart" uri="{C3380CC4-5D6E-409C-BE32-E72D297353CC}">
              <c16:uniqueId val="{0000001F-EC2A-4F6A-A096-7C99FD6D871F}"/>
            </c:ext>
          </c:extLst>
        </c:ser>
        <c:ser>
          <c:idx val="28"/>
          <c:order val="28"/>
          <c:tx>
            <c:strRef>
              <c:f>'Summary of Scores'!$B$36</c:f>
              <c:strCache>
                <c:ptCount val="1"/>
              </c:strCache>
            </c:strRef>
          </c:tx>
          <c:spPr>
            <a:ln w="66675">
              <a:noFill/>
            </a:ln>
          </c:spPr>
          <c:dLbls>
            <c:spPr>
              <a:noFill/>
              <a:ln>
                <a:noFill/>
              </a:ln>
              <a:effectLst/>
            </c:spPr>
            <c:txPr>
              <a:bodyPr rot="-2700000"/>
              <a:lstStyle/>
              <a:p>
                <a:pPr>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'Summary of Scores'!$K$36</c:f>
            </c:numRef>
          </c:xVal>
          <c:yVal>
            <c:numRef>
              <c:f>'Summary of Scores'!$N$36</c:f>
            </c:numRef>
          </c:yVal>
          <c:smooth val="0"/>
          <c:extLst>
            <c:ext xmlns:c16="http://schemas.microsoft.com/office/drawing/2014/chart" uri="{C3380CC4-5D6E-409C-BE32-E72D297353CC}">
              <c16:uniqueId val="{00000020-EC2A-4F6A-A096-7C99FD6D871F}"/>
            </c:ext>
          </c:extLst>
        </c:ser>
        <c:ser>
          <c:idx val="29"/>
          <c:order val="29"/>
          <c:tx>
            <c:strRef>
              <c:f>'Summary of Scores'!$B$37</c:f>
              <c:strCache>
                <c:ptCount val="1"/>
              </c:strCache>
            </c:strRef>
          </c:tx>
          <c:spPr>
            <a:ln w="66675">
              <a:noFill/>
            </a:ln>
          </c:spPr>
          <c:dLbls>
            <c:dLbl>
              <c:idx val="0"/>
              <c:spPr/>
              <c:txPr>
                <a:bodyPr rot="-2700000"/>
                <a:lstStyle/>
                <a:p>
                  <a:pPr>
                    <a:defRPr/>
                  </a:pPr>
                  <a:endParaRPr lang="en-US"/>
                </a:p>
              </c:txPr>
              <c:dLblPos val="ct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1-EC2A-4F6A-A096-7C99FD6D871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'Summary of Scores'!$K$37</c:f>
            </c:numRef>
          </c:xVal>
          <c:yVal>
            <c:numRef>
              <c:f>'Summary of Scores'!$N$37</c:f>
            </c:numRef>
          </c:yVal>
          <c:smooth val="0"/>
          <c:extLst>
            <c:ext xmlns:c16="http://schemas.microsoft.com/office/drawing/2014/chart" uri="{C3380CC4-5D6E-409C-BE32-E72D297353CC}">
              <c16:uniqueId val="{00000022-EC2A-4F6A-A096-7C99FD6D871F}"/>
            </c:ext>
          </c:extLst>
        </c:ser>
        <c:dLbls>
          <c:showLegendKey val="0"/>
          <c:showVal val="1"/>
          <c:showCatName val="0"/>
          <c:showSerName val="0"/>
          <c:showPercent val="0"/>
          <c:showBubbleSize val="0"/>
        </c:dLbls>
        <c:axId val="151704704"/>
        <c:axId val="151706624"/>
      </c:scatterChart>
      <c:valAx>
        <c:axId val="151704704"/>
        <c:scaling>
          <c:orientation val="minMax"/>
        </c:scaling>
        <c:delete val="0"/>
        <c:axPos val="b"/>
        <c:majorGridlines/>
        <c:title>
          <c:tx>
            <c:rich>
              <a:bodyPr/>
              <a:lstStyle/>
              <a:p>
                <a:pPr>
                  <a:defRPr b="0">
                    <a:latin typeface="+mj-lt"/>
                  </a:defRPr>
                </a:pPr>
                <a:r>
                  <a:rPr lang="en-US" sz="1600" b="0">
                    <a:latin typeface="+mj-lt"/>
                  </a:rPr>
                  <a:t>Public Health System Adjusted Risk</a:t>
                </a:r>
              </a:p>
            </c:rich>
          </c:tx>
          <c:overlay val="0"/>
        </c:title>
        <c:numFmt formatCode="#,##0" sourceLinked="0"/>
        <c:majorTickMark val="out"/>
        <c:minorTickMark val="none"/>
        <c:tickLblPos val="nextTo"/>
        <c:spPr>
          <a:ln>
            <a:solidFill>
              <a:schemeClr val="tx1"/>
            </a:solidFill>
          </a:ln>
        </c:spPr>
        <c:crossAx val="151706624"/>
        <c:crosses val="autoZero"/>
        <c:crossBetween val="midCat"/>
      </c:valAx>
      <c:valAx>
        <c:axId val="151706624"/>
        <c:scaling>
          <c:orientation val="minMax"/>
        </c:scaling>
        <c:delete val="0"/>
        <c:axPos val="l"/>
        <c:majorGridlines/>
        <c:title>
          <c:tx>
            <c:rich>
              <a:bodyPr rot="-5400000" vert="horz"/>
              <a:lstStyle/>
              <a:p>
                <a:pPr>
                  <a:defRPr sz="1600" b="0">
                    <a:latin typeface="+mj-lt"/>
                  </a:defRPr>
                </a:pPr>
                <a:r>
                  <a:rPr lang="en-US" sz="1600" b="0">
                    <a:latin typeface="+mj-lt"/>
                  </a:rPr>
                  <a:t>Public</a:t>
                </a:r>
                <a:r>
                  <a:rPr lang="en-US" sz="1600" b="0" baseline="0">
                    <a:latin typeface="+mj-lt"/>
                  </a:rPr>
                  <a:t> Health Preparedness</a:t>
                </a:r>
                <a:endParaRPr lang="en-US" sz="1600" b="0">
                  <a:latin typeface="+mj-lt"/>
                </a:endParaRPr>
              </a:p>
            </c:rich>
          </c:tx>
          <c:overlay val="0"/>
        </c:title>
        <c:numFmt formatCode="#,##0.00" sourceLinked="1"/>
        <c:majorTickMark val="out"/>
        <c:minorTickMark val="none"/>
        <c:tickLblPos val="nextTo"/>
        <c:spPr>
          <a:ln>
            <a:solidFill>
              <a:schemeClr val="tx1"/>
            </a:solidFill>
          </a:ln>
        </c:spPr>
        <c:crossAx val="151704704"/>
        <c:crosses val="autoZero"/>
        <c:crossBetween val="midCat"/>
      </c:valAx>
      <c:spPr>
        <a:gradFill flip="none" rotWithShape="1">
          <a:gsLst>
            <a:gs pos="0">
              <a:srgbClr val="63BE7B"/>
            </a:gs>
            <a:gs pos="50000">
              <a:srgbClr val="FFEB84"/>
            </a:gs>
            <a:gs pos="100000">
              <a:srgbClr val="F8696B"/>
            </a:gs>
          </a:gsLst>
          <a:lin ang="27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b="0" u="sng">
                <a:latin typeface="+mj-lt"/>
              </a:defRPr>
            </a:pPr>
            <a:r>
              <a:rPr lang="en-US" b="0" u="sng">
                <a:latin typeface="+mj-lt"/>
              </a:rPr>
              <a:t>At-Risk Populations</a:t>
            </a:r>
          </a:p>
        </c:rich>
      </c:tx>
      <c:layout>
        <c:manualLayout>
          <c:xMode val="edge"/>
          <c:yMode val="edge"/>
          <c:x val="0.43605768040323412"/>
          <c:y val="1.5673641887660222E-2"/>
        </c:manualLayout>
      </c:layout>
      <c:overlay val="0"/>
    </c:title>
    <c:autoTitleDeleted val="0"/>
    <c:plotArea>
      <c:layout/>
      <c:barChart>
        <c:barDir val="col"/>
        <c:grouping val="clustered"/>
        <c:varyColors val="0"/>
        <c:ser>
          <c:idx val="0"/>
          <c:order val="0"/>
          <c:tx>
            <c:strRef>
              <c:f>'Summary of Scores'!$J$6</c:f>
              <c:strCache>
                <c:ptCount val="1"/>
                <c:pt idx="0">
                  <c:v>At-Risk Populations Score</c:v>
                </c:pt>
              </c:strCache>
            </c:strRef>
          </c:tx>
          <c:spPr>
            <a:solidFill>
              <a:schemeClr val="accent1">
                <a:lumMod val="60000"/>
                <a:lumOff val="40000"/>
              </a:schemeClr>
            </a:solidFill>
            <a:ln>
              <a:solidFill>
                <a:schemeClr val="tx2"/>
              </a:solidFill>
            </a:ln>
            <a:scene3d>
              <a:camera prst="orthographicFront"/>
              <a:lightRig rig="threePt" dir="t"/>
            </a:scene3d>
            <a:sp3d prstMaterial="matte">
              <a:bevelT w="63500" h="50800"/>
            </a:sp3d>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'Summary of Scores'!$B$8:$B$37</c:f>
              <c:strCache>
                <c:ptCount val="20"/>
                <c:pt idx="0">
                  <c:v>Active Shooter</c:v>
                </c:pt>
                <c:pt idx="1">
                  <c:v>Bio Terrorism</c:v>
                </c:pt>
                <c:pt idx="2">
                  <c:v>Chem Terrorism</c:v>
                </c:pt>
                <c:pt idx="3">
                  <c:v>Civil Disturbance</c:v>
                </c:pt>
                <c:pt idx="4">
                  <c:v>Coastal Storm</c:v>
                </c:pt>
                <c:pt idx="5">
                  <c:v>Conv Explosive</c:v>
                </c:pt>
                <c:pt idx="6">
                  <c:v>Cyber Terrorism</c:v>
                </c:pt>
                <c:pt idx="7">
                  <c:v>Drought</c:v>
                </c:pt>
                <c:pt idx="8">
                  <c:v>Earthquake</c:v>
                </c:pt>
                <c:pt idx="9">
                  <c:v>Flood</c:v>
                </c:pt>
                <c:pt idx="10">
                  <c:v>HazMat Release</c:v>
                </c:pt>
                <c:pt idx="11">
                  <c:v>Localized ID</c:v>
                </c:pt>
                <c:pt idx="12">
                  <c:v>Nuclear Facility</c:v>
                </c:pt>
                <c:pt idx="13">
                  <c:v>Pandemic</c:v>
                </c:pt>
                <c:pt idx="14">
                  <c:v>RDD</c:v>
                </c:pt>
                <c:pt idx="15">
                  <c:v>Temp Extremes</c:v>
                </c:pt>
                <c:pt idx="16">
                  <c:v>Tornado</c:v>
                </c:pt>
                <c:pt idx="17">
                  <c:v>Utility Interr</c:v>
                </c:pt>
                <c:pt idx="18">
                  <c:v>Wildfire</c:v>
                </c:pt>
                <c:pt idx="19">
                  <c:v>Winter Storm</c:v>
                </c:pt>
              </c:strCache>
            </c:strRef>
          </c:cat>
          <c:val>
            <c:numRef>
              <c:f>'Summary of Scores'!$J$8:$J$37</c:f>
              <c:numCache>
                <c:formatCode>#,##0.00</c:formatCode>
                <c:ptCount val="20"/>
                <c:pt idx="0">
                  <c:v>0.83333333333333337</c:v>
                </c:pt>
                <c:pt idx="1">
                  <c:v>1.3333333333333333</c:v>
                </c:pt>
                <c:pt idx="2">
                  <c:v>1.6666666666666667</c:v>
                </c:pt>
                <c:pt idx="3">
                  <c:v>0.83333333333333337</c:v>
                </c:pt>
                <c:pt idx="4">
                  <c:v>1.6666666666666667</c:v>
                </c:pt>
                <c:pt idx="5">
                  <c:v>1.7222222222222223</c:v>
                </c:pt>
                <c:pt idx="6">
                  <c:v>0.33333333333333331</c:v>
                </c:pt>
                <c:pt idx="7">
                  <c:v>0.83333333333333337</c:v>
                </c:pt>
                <c:pt idx="8">
                  <c:v>0.33333333333333331</c:v>
                </c:pt>
                <c:pt idx="9">
                  <c:v>1.6666666666666667</c:v>
                </c:pt>
                <c:pt idx="10">
                  <c:v>1.6666666666666667</c:v>
                </c:pt>
                <c:pt idx="11">
                  <c:v>0.88888888888888884</c:v>
                </c:pt>
                <c:pt idx="12">
                  <c:v>1.6666666666666667</c:v>
                </c:pt>
                <c:pt idx="13">
                  <c:v>0.94444444444444442</c:v>
                </c:pt>
                <c:pt idx="14">
                  <c:v>1.8333333333333333</c:v>
                </c:pt>
                <c:pt idx="15">
                  <c:v>1.3888888888888888</c:v>
                </c:pt>
                <c:pt idx="16">
                  <c:v>1.4444444444444444</c:v>
                </c:pt>
                <c:pt idx="17">
                  <c:v>1.2222222222222223</c:v>
                </c:pt>
                <c:pt idx="18">
                  <c:v>1.6666666666666667</c:v>
                </c:pt>
                <c:pt idx="19">
                  <c:v>0.83333333333333337</c:v>
                </c:pt>
              </c:numCache>
            </c:numRef>
          </c:val>
          <c:extLst>
            <c:ext xmlns:c16="http://schemas.microsoft.com/office/drawing/2014/chart" uri="{C3380CC4-5D6E-409C-BE32-E72D297353CC}">
              <c16:uniqueId val="{00000000-F135-43B1-AF73-B21065ED026A}"/>
            </c:ext>
          </c:extLst>
        </c:ser>
        <c:dLbls>
          <c:showLegendKey val="0"/>
          <c:showVal val="1"/>
          <c:showCatName val="0"/>
          <c:showSerName val="0"/>
          <c:showPercent val="0"/>
          <c:showBubbleSize val="0"/>
        </c:dLbls>
        <c:gapWidth val="150"/>
        <c:axId val="178553984"/>
        <c:axId val="178555904"/>
      </c:barChart>
      <c:catAx>
        <c:axId val="178553984"/>
        <c:scaling>
          <c:orientation val="minMax"/>
        </c:scaling>
        <c:delete val="0"/>
        <c:axPos val="b"/>
        <c:title>
          <c:tx>
            <c:rich>
              <a:bodyPr/>
              <a:lstStyle/>
              <a:p>
                <a:pPr>
                  <a:defRPr sz="1600" b="0">
                    <a:latin typeface="+mj-lt"/>
                  </a:defRPr>
                </a:pPr>
                <a:r>
                  <a:rPr lang="en-US" sz="1600" b="0">
                    <a:latin typeface="+mj-lt"/>
                  </a:rPr>
                  <a:t>Hazard</a:t>
                </a:r>
              </a:p>
            </c:rich>
          </c:tx>
          <c:overlay val="0"/>
        </c:title>
        <c:numFmt formatCode="General" sourceLinked="1"/>
        <c:majorTickMark val="out"/>
        <c:minorTickMark val="none"/>
        <c:tickLblPos val="nextTo"/>
        <c:crossAx val="178555904"/>
        <c:crosses val="autoZero"/>
        <c:auto val="1"/>
        <c:lblAlgn val="ctr"/>
        <c:lblOffset val="100"/>
        <c:noMultiLvlLbl val="0"/>
      </c:catAx>
      <c:valAx>
        <c:axId val="178555904"/>
        <c:scaling>
          <c:orientation val="minMax"/>
        </c:scaling>
        <c:delete val="0"/>
        <c:axPos val="l"/>
        <c:majorGridlines/>
        <c:title>
          <c:tx>
            <c:rich>
              <a:bodyPr rot="-5400000" vert="horz"/>
              <a:lstStyle/>
              <a:p>
                <a:pPr>
                  <a:defRPr sz="1600" b="0">
                    <a:latin typeface="+mj-lt"/>
                  </a:defRPr>
                </a:pPr>
                <a:r>
                  <a:rPr lang="en-US" sz="1600" b="0">
                    <a:latin typeface="+mj-lt"/>
                  </a:rPr>
                  <a:t>At-Risk Populations Score</a:t>
                </a:r>
              </a:p>
            </c:rich>
          </c:tx>
          <c:overlay val="0"/>
        </c:title>
        <c:numFmt formatCode="#,##0.00" sourceLinked="1"/>
        <c:majorTickMark val="out"/>
        <c:minorTickMark val="none"/>
        <c:tickLblPos val="nextTo"/>
        <c:crossAx val="178553984"/>
        <c:crosses val="autoZero"/>
        <c:crossBetween val="between"/>
      </c:valAx>
      <c:spPr>
        <a:gradFill flip="none" rotWithShape="1">
          <a:gsLst>
            <a:gs pos="0">
              <a:srgbClr val="63BE7B"/>
            </a:gs>
            <a:gs pos="50000">
              <a:srgbClr val="FFEB84"/>
            </a:gs>
            <a:gs pos="100000">
              <a:srgbClr val="F8696B"/>
            </a:gs>
          </a:gsLst>
          <a:lin ang="162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b="0" u="sng">
                <a:latin typeface="+mj-lt"/>
              </a:defRPr>
            </a:pPr>
            <a:r>
              <a:rPr lang="en-US" b="0" u="sng">
                <a:latin typeface="+mj-lt"/>
              </a:rPr>
              <a:t>Severity</a:t>
            </a:r>
          </a:p>
        </c:rich>
      </c:tx>
      <c:layout>
        <c:manualLayout>
          <c:xMode val="edge"/>
          <c:yMode val="edge"/>
          <c:x val="0.46889233641333816"/>
          <c:y val="1.3244983721297133E-2"/>
        </c:manualLayout>
      </c:layout>
      <c:overlay val="0"/>
    </c:title>
    <c:autoTitleDeleted val="0"/>
    <c:plotArea>
      <c:layout/>
      <c:barChart>
        <c:barDir val="col"/>
        <c:grouping val="clustered"/>
        <c:varyColors val="0"/>
        <c:ser>
          <c:idx val="0"/>
          <c:order val="0"/>
          <c:tx>
            <c:v>Severity</c:v>
          </c:tx>
          <c:spPr>
            <a:solidFill>
              <a:schemeClr val="accent4">
                <a:lumMod val="60000"/>
                <a:lumOff val="40000"/>
              </a:schemeClr>
            </a:solidFill>
            <a:ln>
              <a:solidFill>
                <a:schemeClr val="accent4"/>
              </a:solidFill>
            </a:ln>
            <a:scene3d>
              <a:camera prst="orthographicFront"/>
              <a:lightRig rig="threePt" dir="t"/>
            </a:scene3d>
            <a:sp3d prstMaterial="matte">
              <a:bevelT w="63500" h="50800"/>
            </a:sp3d>
          </c:spPr>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('Active Shooter'!$G$22,'Active Shooter'!$G$137,'Active Shooter'!$G$265,'Active Shooter'!$G$425,'Active Shooter'!$G$543)</c:f>
              <c:strCache>
                <c:ptCount val="5"/>
                <c:pt idx="0">
                  <c:v>Human Impact</c:v>
                </c:pt>
                <c:pt idx="1">
                  <c:v>Healthcare Service Impact</c:v>
                </c:pt>
                <c:pt idx="2">
                  <c:v>Inpatient Healthcare Facility Infrastructure Impact</c:v>
                </c:pt>
                <c:pt idx="3">
                  <c:v>Community Impact</c:v>
                </c:pt>
                <c:pt idx="4">
                  <c:v>Public Health Service Impact</c:v>
                </c:pt>
              </c:strCache>
            </c:strRef>
          </c:cat>
          <c:val>
            <c:numRef>
              <c:f>('Active Shooter'!$J$133,'Active Shooter'!$J$261,'Active Shooter'!$J$421,'Active Shooter'!$J$539,'Active Shooter'!$J$681)</c:f>
              <c:numCache>
                <c:formatCode>0.00</c:formatCode>
                <c:ptCount val="5"/>
                <c:pt idx="0">
                  <c:v>0</c:v>
                </c:pt>
                <c:pt idx="1">
                  <c:v>0</c:v>
                </c:pt>
                <c:pt idx="2">
                  <c:v>1.6875</c:v>
                </c:pt>
                <c:pt idx="3">
                  <c:v>7.1428571428571425E-2</c:v>
                </c:pt>
                <c:pt idx="4">
                  <c:v>0</c:v>
                </c:pt>
              </c:numCache>
            </c:numRef>
          </c:val>
          <c:extLst>
            <c:ext xmlns:c16="http://schemas.microsoft.com/office/drawing/2014/chart" uri="{C3380CC4-5D6E-409C-BE32-E72D297353CC}">
              <c16:uniqueId val="{00000000-4697-40E1-A3E4-2DCB4EA37F59}"/>
            </c:ext>
          </c:extLst>
        </c:ser>
        <c:dLbls>
          <c:showLegendKey val="0"/>
          <c:showVal val="1"/>
          <c:showCatName val="0"/>
          <c:showSerName val="0"/>
          <c:showPercent val="0"/>
          <c:showBubbleSize val="0"/>
        </c:dLbls>
        <c:gapWidth val="150"/>
        <c:axId val="147968000"/>
        <c:axId val="147969920"/>
      </c:barChart>
      <c:catAx>
        <c:axId val="147968000"/>
        <c:scaling>
          <c:orientation val="minMax"/>
        </c:scaling>
        <c:delete val="0"/>
        <c:axPos val="b"/>
        <c:title>
          <c:tx>
            <c:rich>
              <a:bodyPr/>
              <a:lstStyle/>
              <a:p>
                <a:pPr>
                  <a:defRPr sz="1600" b="0">
                    <a:latin typeface="+mj-lt"/>
                  </a:defRPr>
                </a:pPr>
                <a:r>
                  <a:rPr lang="en-US" sz="1600" b="0">
                    <a:latin typeface="+mj-lt"/>
                  </a:rPr>
                  <a:t>Domain</a:t>
                </a:r>
              </a:p>
            </c:rich>
          </c:tx>
          <c:overlay val="0"/>
        </c:title>
        <c:numFmt formatCode="General" sourceLinked="1"/>
        <c:majorTickMark val="out"/>
        <c:minorTickMark val="none"/>
        <c:tickLblPos val="nextTo"/>
        <c:crossAx val="147969920"/>
        <c:crosses val="autoZero"/>
        <c:auto val="1"/>
        <c:lblAlgn val="ctr"/>
        <c:lblOffset val="100"/>
        <c:noMultiLvlLbl val="0"/>
      </c:catAx>
      <c:valAx>
        <c:axId val="147969920"/>
        <c:scaling>
          <c:orientation val="minMax"/>
          <c:max val="4"/>
        </c:scaling>
        <c:delete val="0"/>
        <c:axPos val="l"/>
        <c:majorGridlines/>
        <c:title>
          <c:tx>
            <c:rich>
              <a:bodyPr rot="-5400000" vert="horz"/>
              <a:lstStyle/>
              <a:p>
                <a:pPr>
                  <a:defRPr sz="1600" b="0">
                    <a:latin typeface="+mj-lt"/>
                  </a:defRPr>
                </a:pPr>
                <a:r>
                  <a:rPr lang="en-US" sz="1600" b="0">
                    <a:latin typeface="+mj-lt"/>
                  </a:rPr>
                  <a:t>Severity</a:t>
                </a:r>
                <a:r>
                  <a:rPr lang="en-US" sz="1600" b="0" baseline="0">
                    <a:latin typeface="+mj-lt"/>
                  </a:rPr>
                  <a:t> Score</a:t>
                </a:r>
                <a:endParaRPr lang="en-US" sz="1600" b="0">
                  <a:latin typeface="+mj-lt"/>
                </a:endParaRPr>
              </a:p>
            </c:rich>
          </c:tx>
          <c:overlay val="0"/>
        </c:title>
        <c:numFmt formatCode="0.00" sourceLinked="1"/>
        <c:majorTickMark val="out"/>
        <c:minorTickMark val="none"/>
        <c:tickLblPos val="nextTo"/>
        <c:crossAx val="147968000"/>
        <c:crosses val="autoZero"/>
        <c:crossBetween val="between"/>
      </c:valAx>
      <c:spPr>
        <a:gradFill flip="none" rotWithShape="1">
          <a:gsLst>
            <a:gs pos="0">
              <a:srgbClr val="63BE7B"/>
            </a:gs>
            <a:gs pos="50000">
              <a:srgbClr val="FFEB84"/>
            </a:gs>
            <a:gs pos="100000">
              <a:srgbClr val="F8696B"/>
            </a:gs>
          </a:gsLst>
          <a:lin ang="162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b="0" u="sng">
                <a:latin typeface="+mj-lt"/>
              </a:defRPr>
            </a:pPr>
            <a:r>
              <a:rPr lang="en-US" b="0" u="sng">
                <a:latin typeface="+mj-lt"/>
              </a:rPr>
              <a:t>At-Risk Populations</a:t>
            </a:r>
          </a:p>
        </c:rich>
      </c:tx>
      <c:layout>
        <c:manualLayout>
          <c:xMode val="edge"/>
          <c:yMode val="edge"/>
          <c:x val="0.37636858589702443"/>
          <c:y val="1.3244983721297133E-2"/>
        </c:manualLayout>
      </c:layout>
      <c:overlay val="0"/>
    </c:title>
    <c:autoTitleDeleted val="0"/>
    <c:plotArea>
      <c:layout/>
      <c:scatterChart>
        <c:scatterStyle val="lineMarker"/>
        <c:varyColors val="0"/>
        <c:ser>
          <c:idx val="0"/>
          <c:order val="0"/>
          <c:tx>
            <c:strRef>
              <c:f>'Active Shooter'!$C$773</c:f>
              <c:strCache>
                <c:ptCount val="1"/>
                <c:pt idx="0">
                  <c:v>Hearing Disability</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'Active Shooter'!$J$775</c:f>
              <c:numCache>
                <c:formatCode>General</c:formatCode>
                <c:ptCount val="1"/>
                <c:pt idx="0">
                  <c:v>2</c:v>
                </c:pt>
              </c:numCache>
            </c:numRef>
          </c:xVal>
          <c:yVal>
            <c:numRef>
              <c:f>'Active Shooter'!$J$774</c:f>
              <c:numCache>
                <c:formatCode>General</c:formatCode>
                <c:ptCount val="1"/>
                <c:pt idx="0">
                  <c:v>0</c:v>
                </c:pt>
              </c:numCache>
            </c:numRef>
          </c:yVal>
          <c:smooth val="0"/>
          <c:extLst>
            <c:ext xmlns:c16="http://schemas.microsoft.com/office/drawing/2014/chart" uri="{C3380CC4-5D6E-409C-BE32-E72D297353CC}">
              <c16:uniqueId val="{00000000-A79D-443F-B18B-35B088AD912A}"/>
            </c:ext>
          </c:extLst>
        </c:ser>
        <c:ser>
          <c:idx val="1"/>
          <c:order val="1"/>
          <c:tx>
            <c:strRef>
              <c:f>'Active Shooter'!$C$777</c:f>
              <c:strCache>
                <c:ptCount val="1"/>
                <c:pt idx="0">
                  <c:v>Vision Disability</c:v>
                </c:pt>
              </c:strCache>
            </c:strRef>
          </c:tx>
          <c:spPr>
            <a:ln w="66675">
              <a:noFill/>
            </a:ln>
          </c:spPr>
          <c:dLbls>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'Active Shooter'!$J$779</c:f>
              <c:numCache>
                <c:formatCode>General</c:formatCode>
                <c:ptCount val="1"/>
                <c:pt idx="0">
                  <c:v>2</c:v>
                </c:pt>
              </c:numCache>
            </c:numRef>
          </c:xVal>
          <c:yVal>
            <c:numRef>
              <c:f>'Active Shooter'!$J$778</c:f>
              <c:numCache>
                <c:formatCode>General</c:formatCode>
                <c:ptCount val="1"/>
                <c:pt idx="0">
                  <c:v>0</c:v>
                </c:pt>
              </c:numCache>
            </c:numRef>
          </c:yVal>
          <c:smooth val="0"/>
          <c:extLst>
            <c:ext xmlns:c16="http://schemas.microsoft.com/office/drawing/2014/chart" uri="{C3380CC4-5D6E-409C-BE32-E72D297353CC}">
              <c16:uniqueId val="{00000001-A79D-443F-B18B-35B088AD912A}"/>
            </c:ext>
          </c:extLst>
        </c:ser>
        <c:ser>
          <c:idx val="2"/>
          <c:order val="2"/>
          <c:tx>
            <c:strRef>
              <c:f>'Active Shooter'!$C$781</c:f>
              <c:strCache>
                <c:ptCount val="1"/>
                <c:pt idx="0">
                  <c:v>Ambulatory Disability</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'Active Shooter'!$J$783</c:f>
              <c:numCache>
                <c:formatCode>General</c:formatCode>
                <c:ptCount val="1"/>
                <c:pt idx="0">
                  <c:v>1</c:v>
                </c:pt>
              </c:numCache>
            </c:numRef>
          </c:xVal>
          <c:yVal>
            <c:numRef>
              <c:f>'Active Shooter'!$J$782</c:f>
              <c:numCache>
                <c:formatCode>General</c:formatCode>
                <c:ptCount val="1"/>
                <c:pt idx="0">
                  <c:v>0</c:v>
                </c:pt>
              </c:numCache>
            </c:numRef>
          </c:yVal>
          <c:smooth val="0"/>
          <c:extLst>
            <c:ext xmlns:c16="http://schemas.microsoft.com/office/drawing/2014/chart" uri="{C3380CC4-5D6E-409C-BE32-E72D297353CC}">
              <c16:uniqueId val="{00000002-A79D-443F-B18B-35B088AD912A}"/>
            </c:ext>
          </c:extLst>
        </c:ser>
        <c:ser>
          <c:idx val="3"/>
          <c:order val="3"/>
          <c:tx>
            <c:strRef>
              <c:f>'Active Shooter'!$C$785</c:f>
              <c:strCache>
                <c:ptCount val="1"/>
                <c:pt idx="0">
                  <c:v>Cognitive Disability</c:v>
                </c:pt>
              </c:strCache>
            </c:strRef>
          </c:tx>
          <c:spPr>
            <a:ln w="66675">
              <a:noFill/>
            </a:ln>
          </c:spPr>
          <c:dLbls>
            <c:spPr>
              <a:noFill/>
              <a:ln>
                <a:noFill/>
              </a:ln>
              <a:effectLst/>
            </c:sp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'Active Shooter'!$J$787</c:f>
              <c:numCache>
                <c:formatCode>General</c:formatCode>
                <c:ptCount val="1"/>
                <c:pt idx="0">
                  <c:v>2</c:v>
                </c:pt>
              </c:numCache>
            </c:numRef>
          </c:xVal>
          <c:yVal>
            <c:numRef>
              <c:f>'Active Shooter'!$J$786</c:f>
              <c:numCache>
                <c:formatCode>General</c:formatCode>
                <c:ptCount val="1"/>
                <c:pt idx="0">
                  <c:v>0</c:v>
                </c:pt>
              </c:numCache>
            </c:numRef>
          </c:yVal>
          <c:smooth val="0"/>
          <c:extLst>
            <c:ext xmlns:c16="http://schemas.microsoft.com/office/drawing/2014/chart" uri="{C3380CC4-5D6E-409C-BE32-E72D297353CC}">
              <c16:uniqueId val="{00000003-A79D-443F-B18B-35B088AD912A}"/>
            </c:ext>
          </c:extLst>
        </c:ser>
        <c:ser>
          <c:idx val="4"/>
          <c:order val="4"/>
          <c:tx>
            <c:strRef>
              <c:f>'Active Shooter'!$C$789</c:f>
              <c:strCache>
                <c:ptCount val="1"/>
                <c:pt idx="0">
                  <c:v>Limited English Proficiency</c:v>
                </c:pt>
              </c:strCache>
            </c:strRef>
          </c:tx>
          <c:spPr>
            <a:ln w="66675">
              <a:noFill/>
            </a:ln>
          </c:spPr>
          <c:dLbls>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'Active Shooter'!$J$791</c:f>
              <c:numCache>
                <c:formatCode>General</c:formatCode>
                <c:ptCount val="1"/>
                <c:pt idx="0">
                  <c:v>2</c:v>
                </c:pt>
              </c:numCache>
            </c:numRef>
          </c:xVal>
          <c:yVal>
            <c:numRef>
              <c:f>'Active Shooter'!$J$790</c:f>
              <c:numCache>
                <c:formatCode>General</c:formatCode>
                <c:ptCount val="1"/>
                <c:pt idx="0">
                  <c:v>0</c:v>
                </c:pt>
              </c:numCache>
            </c:numRef>
          </c:yVal>
          <c:smooth val="0"/>
          <c:extLst>
            <c:ext xmlns:c16="http://schemas.microsoft.com/office/drawing/2014/chart" uri="{C3380CC4-5D6E-409C-BE32-E72D297353CC}">
              <c16:uniqueId val="{00000004-A79D-443F-B18B-35B088AD912A}"/>
            </c:ext>
          </c:extLst>
        </c:ser>
        <c:ser>
          <c:idx val="5"/>
          <c:order val="5"/>
          <c:tx>
            <c:strRef>
              <c:f>'Active Shooter'!$C$793</c:f>
              <c:strCache>
                <c:ptCount val="1"/>
                <c:pt idx="0">
                  <c:v>Poverty</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'Active Shooter'!$J$795</c:f>
              <c:numCache>
                <c:formatCode>General</c:formatCode>
                <c:ptCount val="1"/>
                <c:pt idx="0">
                  <c:v>2</c:v>
                </c:pt>
              </c:numCache>
            </c:numRef>
          </c:xVal>
          <c:yVal>
            <c:numRef>
              <c:f>'Active Shooter'!$J$794</c:f>
              <c:numCache>
                <c:formatCode>General</c:formatCode>
                <c:ptCount val="1"/>
                <c:pt idx="0">
                  <c:v>0</c:v>
                </c:pt>
              </c:numCache>
            </c:numRef>
          </c:yVal>
          <c:smooth val="0"/>
          <c:extLst>
            <c:ext xmlns:c16="http://schemas.microsoft.com/office/drawing/2014/chart" uri="{C3380CC4-5D6E-409C-BE32-E72D297353CC}">
              <c16:uniqueId val="{00000005-A79D-443F-B18B-35B088AD912A}"/>
            </c:ext>
          </c:extLst>
        </c:ser>
        <c:ser>
          <c:idx val="6"/>
          <c:order val="6"/>
          <c:tx>
            <c:strRef>
              <c:f>'Active Shooter'!$C$797</c:f>
              <c:strCache>
                <c:ptCount val="1"/>
                <c:pt idx="0">
                  <c:v>Chronic Diseases (Diabetes)</c:v>
                </c:pt>
              </c:strCache>
            </c:strRef>
          </c:tx>
          <c:spPr>
            <a:ln w="66675">
              <a:noFill/>
            </a:ln>
          </c:spPr>
          <c:dLbls>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'Active Shooter'!$J$799</c:f>
              <c:numCache>
                <c:formatCode>General</c:formatCode>
                <c:ptCount val="1"/>
                <c:pt idx="0">
                  <c:v>1</c:v>
                </c:pt>
              </c:numCache>
            </c:numRef>
          </c:xVal>
          <c:yVal>
            <c:numRef>
              <c:f>'Active Shooter'!$J$798</c:f>
              <c:numCache>
                <c:formatCode>General</c:formatCode>
                <c:ptCount val="1"/>
                <c:pt idx="0">
                  <c:v>0</c:v>
                </c:pt>
              </c:numCache>
            </c:numRef>
          </c:yVal>
          <c:smooth val="0"/>
          <c:extLst>
            <c:ext xmlns:c16="http://schemas.microsoft.com/office/drawing/2014/chart" uri="{C3380CC4-5D6E-409C-BE32-E72D297353CC}">
              <c16:uniqueId val="{00000006-A79D-443F-B18B-35B088AD912A}"/>
            </c:ext>
          </c:extLst>
        </c:ser>
        <c:ser>
          <c:idx val="7"/>
          <c:order val="7"/>
          <c:tx>
            <c:strRef>
              <c:f>'Active Shooter'!$C$801</c:f>
              <c:strCache>
                <c:ptCount val="1"/>
                <c:pt idx="0">
                  <c:v>Children 18 and under</c:v>
                </c:pt>
              </c:strCache>
            </c:strRef>
          </c:tx>
          <c:spPr>
            <a:ln w="66675">
              <a:noFill/>
            </a:ln>
          </c:spPr>
          <c:dLbls>
            <c:dLbl>
              <c:idx val="0"/>
              <c:layout>
                <c:manualLayout>
                  <c:x val="4.9915582400211697E-3"/>
                  <c:y val="2.4286581663630822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A79D-443F-B18B-35B088AD912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'Active Shooter'!$J$803</c:f>
              <c:numCache>
                <c:formatCode>General</c:formatCode>
                <c:ptCount val="1"/>
                <c:pt idx="0">
                  <c:v>2</c:v>
                </c:pt>
              </c:numCache>
            </c:numRef>
          </c:xVal>
          <c:yVal>
            <c:numRef>
              <c:f>'Active Shooter'!$J$802</c:f>
              <c:numCache>
                <c:formatCode>General</c:formatCode>
                <c:ptCount val="1"/>
                <c:pt idx="0">
                  <c:v>0</c:v>
                </c:pt>
              </c:numCache>
            </c:numRef>
          </c:yVal>
          <c:smooth val="0"/>
          <c:extLst>
            <c:ext xmlns:c16="http://schemas.microsoft.com/office/drawing/2014/chart" uri="{C3380CC4-5D6E-409C-BE32-E72D297353CC}">
              <c16:uniqueId val="{00000008-A79D-443F-B18B-35B088AD912A}"/>
            </c:ext>
          </c:extLst>
        </c:ser>
        <c:ser>
          <c:idx val="8"/>
          <c:order val="8"/>
          <c:tx>
            <c:strRef>
              <c:f>'Active Shooter'!$C$805</c:f>
              <c:strCache>
                <c:ptCount val="1"/>
                <c:pt idx="0">
                  <c:v>Elderly 65 and older</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'Active Shooter'!$J$807</c:f>
              <c:numCache>
                <c:formatCode>General</c:formatCode>
                <c:ptCount val="1"/>
                <c:pt idx="0">
                  <c:v>1</c:v>
                </c:pt>
              </c:numCache>
            </c:numRef>
          </c:xVal>
          <c:yVal>
            <c:numRef>
              <c:f>'Active Shooter'!$J$806</c:f>
              <c:numCache>
                <c:formatCode>General</c:formatCode>
                <c:ptCount val="1"/>
                <c:pt idx="0">
                  <c:v>0</c:v>
                </c:pt>
              </c:numCache>
            </c:numRef>
          </c:yVal>
          <c:smooth val="0"/>
          <c:extLst>
            <c:ext xmlns:c16="http://schemas.microsoft.com/office/drawing/2014/chart" uri="{C3380CC4-5D6E-409C-BE32-E72D297353CC}">
              <c16:uniqueId val="{00000009-A79D-443F-B18B-35B088AD912A}"/>
            </c:ext>
          </c:extLst>
        </c:ser>
        <c:dLbls>
          <c:showLegendKey val="0"/>
          <c:showVal val="1"/>
          <c:showCatName val="0"/>
          <c:showSerName val="0"/>
          <c:showPercent val="0"/>
          <c:showBubbleSize val="0"/>
        </c:dLbls>
        <c:axId val="192822656"/>
        <c:axId val="192833024"/>
      </c:scatterChart>
      <c:valAx>
        <c:axId val="192822656"/>
        <c:scaling>
          <c:orientation val="minMax"/>
          <c:max val="4.5"/>
          <c:min val="0"/>
        </c:scaling>
        <c:delete val="0"/>
        <c:axPos val="b"/>
        <c:majorGridlines/>
        <c:title>
          <c:tx>
            <c:rich>
              <a:bodyPr/>
              <a:lstStyle/>
              <a:p>
                <a:pPr>
                  <a:defRPr b="0">
                    <a:latin typeface="+mj-lt"/>
                  </a:defRPr>
                </a:pPr>
                <a:r>
                  <a:rPr lang="en-US" sz="1600" b="0">
                    <a:latin typeface="+mj-lt"/>
                  </a:rPr>
                  <a:t>Access Planning Score</a:t>
                </a:r>
              </a:p>
            </c:rich>
          </c:tx>
          <c:overlay val="0"/>
        </c:title>
        <c:numFmt formatCode="General" sourceLinked="1"/>
        <c:majorTickMark val="out"/>
        <c:minorTickMark val="none"/>
        <c:tickLblPos val="nextTo"/>
        <c:spPr>
          <a:ln>
            <a:solidFill>
              <a:schemeClr val="tx1"/>
            </a:solidFill>
          </a:ln>
        </c:spPr>
        <c:crossAx val="192833024"/>
        <c:crosses val="autoZero"/>
        <c:crossBetween val="midCat"/>
        <c:majorUnit val="1"/>
        <c:minorUnit val="0.1"/>
      </c:valAx>
      <c:valAx>
        <c:axId val="192833024"/>
        <c:scaling>
          <c:orientation val="minMax"/>
          <c:max val="4.5"/>
          <c:min val="0"/>
        </c:scaling>
        <c:delete val="0"/>
        <c:axPos val="l"/>
        <c:majorGridlines/>
        <c:title>
          <c:tx>
            <c:rich>
              <a:bodyPr rot="-5400000" vert="horz"/>
              <a:lstStyle/>
              <a:p>
                <a:pPr>
                  <a:defRPr sz="1600" b="0">
                    <a:latin typeface="+mj-lt"/>
                  </a:defRPr>
                </a:pPr>
                <a:r>
                  <a:rPr lang="en-US" sz="1600" b="0">
                    <a:latin typeface="+mj-lt"/>
                  </a:rPr>
                  <a:t>Population Size Score</a:t>
                </a:r>
              </a:p>
            </c:rich>
          </c:tx>
          <c:overlay val="0"/>
        </c:title>
        <c:numFmt formatCode="General" sourceLinked="1"/>
        <c:majorTickMark val="out"/>
        <c:minorTickMark val="none"/>
        <c:tickLblPos val="nextTo"/>
        <c:spPr>
          <a:ln>
            <a:solidFill>
              <a:schemeClr val="tx1"/>
            </a:solidFill>
          </a:ln>
        </c:spPr>
        <c:crossAx val="192822656"/>
        <c:crosses val="autoZero"/>
        <c:crossBetween val="midCat"/>
        <c:majorUnit val="1"/>
        <c:minorUnit val="0.1"/>
      </c:valAx>
      <c:spPr>
        <a:gradFill flip="none" rotWithShape="1">
          <a:gsLst>
            <a:gs pos="0">
              <a:srgbClr val="63BE7B"/>
            </a:gs>
            <a:gs pos="50000">
              <a:srgbClr val="FFEB84"/>
            </a:gs>
            <a:gs pos="100000">
              <a:srgbClr val="F8696B"/>
            </a:gs>
          </a:gsLst>
          <a:lin ang="189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b="0" u="sng">
                <a:latin typeface="+mj-lt"/>
              </a:defRPr>
            </a:pPr>
            <a:r>
              <a:rPr lang="en-US" b="0" u="sng">
                <a:latin typeface="+mj-lt"/>
              </a:rPr>
              <a:t>Healthcare Service Impact</a:t>
            </a:r>
          </a:p>
        </c:rich>
      </c:tx>
      <c:layout>
        <c:manualLayout>
          <c:xMode val="edge"/>
          <c:yMode val="edge"/>
          <c:x val="0.36379123178310274"/>
          <c:y val="1.8102300054023301E-2"/>
        </c:manualLayout>
      </c:layout>
      <c:overlay val="0"/>
    </c:title>
    <c:autoTitleDeleted val="0"/>
    <c:plotArea>
      <c:layout/>
      <c:barChart>
        <c:barDir val="col"/>
        <c:grouping val="clustered"/>
        <c:varyColors val="0"/>
        <c:ser>
          <c:idx val="3"/>
          <c:order val="0"/>
          <c:tx>
            <c:strRef>
              <c:f>Severity!$T$151</c:f>
              <c:strCache>
                <c:ptCount val="1"/>
                <c:pt idx="0">
                  <c:v>Healthcare Service Impact</c:v>
                </c:pt>
              </c:strCache>
            </c:strRef>
          </c:tx>
          <c:spPr>
            <a:scene3d>
              <a:camera prst="orthographicFront"/>
              <a:lightRig rig="threePt" dir="t"/>
            </a:scene3d>
            <a:sp3d prstMaterial="dkEdge">
              <a:bevelT w="63500" h="50800"/>
            </a:sp3d>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Severity!$R$152:$R$181</c:f>
              <c:strCache>
                <c:ptCount val="20"/>
                <c:pt idx="0">
                  <c:v>Active Shooter</c:v>
                </c:pt>
                <c:pt idx="1">
                  <c:v>Biological Terrorism</c:v>
                </c:pt>
                <c:pt idx="2">
                  <c:v>Chemical Terrorism</c:v>
                </c:pt>
                <c:pt idx="3">
                  <c:v>Civil Disturbance</c:v>
                </c:pt>
                <c:pt idx="4">
                  <c:v>Coastal Storm</c:v>
                </c:pt>
                <c:pt idx="5">
                  <c:v>Conventional Explosive</c:v>
                </c:pt>
                <c:pt idx="6">
                  <c:v>Cyber Terrorism</c:v>
                </c:pt>
                <c:pt idx="7">
                  <c:v>Drought</c:v>
                </c:pt>
                <c:pt idx="8">
                  <c:v>Earthquake</c:v>
                </c:pt>
                <c:pt idx="9">
                  <c:v>Flood</c:v>
                </c:pt>
                <c:pt idx="10">
                  <c:v>Hazardous Materials Release</c:v>
                </c:pt>
                <c:pt idx="11">
                  <c:v>Localized Infectious Disease</c:v>
                </c:pt>
                <c:pt idx="12">
                  <c:v>Nuclear Facility Accident</c:v>
                </c:pt>
                <c:pt idx="13">
                  <c:v>Pandemic</c:v>
                </c:pt>
                <c:pt idx="14">
                  <c:v>Radiation Dispersal Device</c:v>
                </c:pt>
                <c:pt idx="15">
                  <c:v>Temperature Extremes</c:v>
                </c:pt>
                <c:pt idx="16">
                  <c:v>Tornado</c:v>
                </c:pt>
                <c:pt idx="17">
                  <c:v>Utility Interruption</c:v>
                </c:pt>
                <c:pt idx="18">
                  <c:v>Wildfire</c:v>
                </c:pt>
                <c:pt idx="19">
                  <c:v>Winter Storm</c:v>
                </c:pt>
              </c:strCache>
            </c:strRef>
          </c:cat>
          <c:val>
            <c:numRef>
              <c:f>Severity!$T$152:$T$181</c:f>
              <c:numCache>
                <c:formatCode>0.00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0-F5AA-4759-A715-D7B7576CBCAD}"/>
            </c:ext>
          </c:extLst>
        </c:ser>
        <c:dLbls>
          <c:showLegendKey val="0"/>
          <c:showVal val="1"/>
          <c:showCatName val="0"/>
          <c:showSerName val="0"/>
          <c:showPercent val="0"/>
          <c:showBubbleSize val="0"/>
        </c:dLbls>
        <c:gapWidth val="150"/>
        <c:axId val="149138432"/>
        <c:axId val="149034112"/>
      </c:barChart>
      <c:catAx>
        <c:axId val="149138432"/>
        <c:scaling>
          <c:orientation val="minMax"/>
        </c:scaling>
        <c:delete val="0"/>
        <c:axPos val="b"/>
        <c:title>
          <c:tx>
            <c:rich>
              <a:bodyPr/>
              <a:lstStyle/>
              <a:p>
                <a:pPr>
                  <a:defRPr b="0">
                    <a:latin typeface="+mj-lt"/>
                  </a:defRPr>
                </a:pPr>
                <a:r>
                  <a:rPr lang="en-US" sz="1600" b="0">
                    <a:latin typeface="+mj-lt"/>
                  </a:rPr>
                  <a:t>Hazard</a:t>
                </a:r>
              </a:p>
            </c:rich>
          </c:tx>
          <c:layout>
            <c:manualLayout>
              <c:xMode val="edge"/>
              <c:yMode val="edge"/>
              <c:x val="0.43549307562041467"/>
              <c:y val="0.92043715846994456"/>
            </c:manualLayout>
          </c:layout>
          <c:overlay val="0"/>
        </c:title>
        <c:numFmt formatCode="General" sourceLinked="1"/>
        <c:majorTickMark val="out"/>
        <c:minorTickMark val="none"/>
        <c:tickLblPos val="nextTo"/>
        <c:spPr>
          <a:ln>
            <a:solidFill>
              <a:schemeClr val="tx1"/>
            </a:solidFill>
          </a:ln>
        </c:spPr>
        <c:crossAx val="149034112"/>
        <c:crosses val="autoZero"/>
        <c:auto val="1"/>
        <c:lblAlgn val="ctr"/>
        <c:lblOffset val="100"/>
        <c:noMultiLvlLbl val="0"/>
      </c:catAx>
      <c:valAx>
        <c:axId val="149034112"/>
        <c:scaling>
          <c:orientation val="minMax"/>
        </c:scaling>
        <c:delete val="0"/>
        <c:axPos val="l"/>
        <c:majorGridlines/>
        <c:title>
          <c:tx>
            <c:rich>
              <a:bodyPr rot="-5400000" vert="horz"/>
              <a:lstStyle/>
              <a:p>
                <a:pPr>
                  <a:defRPr sz="1600" b="0">
                    <a:latin typeface="+mj-lt"/>
                  </a:defRPr>
                </a:pPr>
                <a:r>
                  <a:rPr lang="en-US" sz="1600" b="0">
                    <a:latin typeface="+mj-lt"/>
                  </a:rPr>
                  <a:t>Severity</a:t>
                </a:r>
              </a:p>
            </c:rich>
          </c:tx>
          <c:layout>
            <c:manualLayout>
              <c:xMode val="edge"/>
              <c:yMode val="edge"/>
              <c:x val="1.1646970752609181E-2"/>
              <c:y val="0.28418895725466126"/>
            </c:manualLayout>
          </c:layout>
          <c:overlay val="0"/>
        </c:title>
        <c:numFmt formatCode="#,##0.00" sourceLinked="0"/>
        <c:majorTickMark val="out"/>
        <c:minorTickMark val="none"/>
        <c:tickLblPos val="nextTo"/>
        <c:spPr>
          <a:ln>
            <a:solidFill>
              <a:schemeClr val="tx1"/>
            </a:solidFill>
          </a:ln>
        </c:spPr>
        <c:crossAx val="149138432"/>
        <c:crosses val="autoZero"/>
        <c:crossBetween val="between"/>
      </c:valAx>
      <c:spPr>
        <a:gradFill flip="none" rotWithShape="1">
          <a:gsLst>
            <a:gs pos="0">
              <a:srgbClr val="63BE7B"/>
            </a:gs>
            <a:gs pos="50000">
              <a:srgbClr val="FFEB84"/>
            </a:gs>
            <a:gs pos="100000">
              <a:srgbClr val="F8696B"/>
            </a:gs>
          </a:gsLst>
          <a:lin ang="162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defRPr b="0" u="sng">
                <a:latin typeface="+mj-lt"/>
              </a:defRPr>
            </a:pPr>
            <a:r>
              <a:rPr lang="en-US" b="0" u="sng">
                <a:latin typeface="+mj-lt"/>
              </a:rPr>
              <a:t>Public Health Preparedness</a:t>
            </a:r>
          </a:p>
        </c:rich>
      </c:tx>
      <c:layout>
        <c:manualLayout>
          <c:xMode val="edge"/>
          <c:yMode val="edge"/>
          <c:x val="0.30532356317913883"/>
          <c:y val="1.3244983721297133E-2"/>
        </c:manualLayout>
      </c:layout>
      <c:overlay val="0"/>
    </c:title>
    <c:autoTitleDeleted val="0"/>
    <c:plotArea>
      <c:layout/>
      <c:scatterChart>
        <c:scatterStyle val="lineMarker"/>
        <c:varyColors val="0"/>
        <c:ser>
          <c:idx val="0"/>
          <c:order val="0"/>
          <c:tx>
            <c:strRef>
              <c:f>'Active Shooter'!$C$833</c:f>
              <c:strCache>
                <c:ptCount val="1"/>
                <c:pt idx="0">
                  <c:v>Community Prep</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'Active Shooter'!$J$834</c:f>
              <c:numCache>
                <c:formatCode>General</c:formatCode>
                <c:ptCount val="1"/>
                <c:pt idx="0">
                  <c:v>4</c:v>
                </c:pt>
              </c:numCache>
            </c:numRef>
          </c:xVal>
          <c:yVal>
            <c:numRef>
              <c:f>'Active Shooter'!$J$835</c:f>
              <c:numCache>
                <c:formatCode>General</c:formatCode>
                <c:ptCount val="1"/>
                <c:pt idx="0">
                  <c:v>0</c:v>
                </c:pt>
              </c:numCache>
            </c:numRef>
          </c:yVal>
          <c:smooth val="0"/>
          <c:extLst>
            <c:ext xmlns:c16="http://schemas.microsoft.com/office/drawing/2014/chart" uri="{C3380CC4-5D6E-409C-BE32-E72D297353CC}">
              <c16:uniqueId val="{00000000-23CB-4D78-AE94-B08BC2672087}"/>
            </c:ext>
          </c:extLst>
        </c:ser>
        <c:ser>
          <c:idx val="1"/>
          <c:order val="1"/>
          <c:tx>
            <c:strRef>
              <c:f>'Active Shooter'!$C$837</c:f>
              <c:strCache>
                <c:ptCount val="1"/>
                <c:pt idx="0">
                  <c:v>Community Recov</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'Active Shooter'!$J$838</c:f>
              <c:numCache>
                <c:formatCode>General</c:formatCode>
                <c:ptCount val="1"/>
                <c:pt idx="0">
                  <c:v>3</c:v>
                </c:pt>
              </c:numCache>
            </c:numRef>
          </c:xVal>
          <c:yVal>
            <c:numRef>
              <c:f>'Active Shooter'!$J$839</c:f>
              <c:numCache>
                <c:formatCode>General</c:formatCode>
                <c:ptCount val="1"/>
                <c:pt idx="0">
                  <c:v>0</c:v>
                </c:pt>
              </c:numCache>
            </c:numRef>
          </c:yVal>
          <c:smooth val="0"/>
          <c:extLst>
            <c:ext xmlns:c16="http://schemas.microsoft.com/office/drawing/2014/chart" uri="{C3380CC4-5D6E-409C-BE32-E72D297353CC}">
              <c16:uniqueId val="{00000001-23CB-4D78-AE94-B08BC2672087}"/>
            </c:ext>
          </c:extLst>
        </c:ser>
        <c:ser>
          <c:idx val="2"/>
          <c:order val="2"/>
          <c:tx>
            <c:strRef>
              <c:f>'Active Shooter'!$C$841</c:f>
              <c:strCache>
                <c:ptCount val="1"/>
                <c:pt idx="0">
                  <c:v>Emerg Ops Coord</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'Active Shooter'!$J$842</c:f>
              <c:numCache>
                <c:formatCode>General</c:formatCode>
                <c:ptCount val="1"/>
                <c:pt idx="0">
                  <c:v>2</c:v>
                </c:pt>
              </c:numCache>
            </c:numRef>
          </c:xVal>
          <c:yVal>
            <c:numRef>
              <c:f>'Active Shooter'!$J$843</c:f>
              <c:numCache>
                <c:formatCode>General</c:formatCode>
                <c:ptCount val="1"/>
                <c:pt idx="0">
                  <c:v>0</c:v>
                </c:pt>
              </c:numCache>
            </c:numRef>
          </c:yVal>
          <c:smooth val="0"/>
          <c:extLst>
            <c:ext xmlns:c16="http://schemas.microsoft.com/office/drawing/2014/chart" uri="{C3380CC4-5D6E-409C-BE32-E72D297353CC}">
              <c16:uniqueId val="{00000002-23CB-4D78-AE94-B08BC2672087}"/>
            </c:ext>
          </c:extLst>
        </c:ser>
        <c:ser>
          <c:idx val="3"/>
          <c:order val="3"/>
          <c:tx>
            <c:strRef>
              <c:f>'Active Shooter'!$C$845</c:f>
              <c:strCache>
                <c:ptCount val="1"/>
                <c:pt idx="0">
                  <c:v>Emerg Public Info</c:v>
                </c:pt>
              </c:strCache>
            </c:strRef>
          </c:tx>
          <c:spPr>
            <a:ln w="66675">
              <a:noFill/>
            </a:ln>
          </c:spPr>
          <c:dLbls>
            <c:spPr>
              <a:noFill/>
              <a:ln>
                <a:noFill/>
              </a:ln>
              <a:effectLst/>
            </c:sp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'Active Shooter'!$J$846</c:f>
              <c:numCache>
                <c:formatCode>General</c:formatCode>
                <c:ptCount val="1"/>
                <c:pt idx="0">
                  <c:v>4</c:v>
                </c:pt>
              </c:numCache>
            </c:numRef>
          </c:xVal>
          <c:yVal>
            <c:numRef>
              <c:f>'Active Shooter'!$J$847</c:f>
              <c:numCache>
                <c:formatCode>General</c:formatCode>
                <c:ptCount val="1"/>
                <c:pt idx="0">
                  <c:v>0</c:v>
                </c:pt>
              </c:numCache>
            </c:numRef>
          </c:yVal>
          <c:smooth val="0"/>
          <c:extLst>
            <c:ext xmlns:c16="http://schemas.microsoft.com/office/drawing/2014/chart" uri="{C3380CC4-5D6E-409C-BE32-E72D297353CC}">
              <c16:uniqueId val="{00000003-23CB-4D78-AE94-B08BC2672087}"/>
            </c:ext>
          </c:extLst>
        </c:ser>
        <c:ser>
          <c:idx val="4"/>
          <c:order val="4"/>
          <c:tx>
            <c:strRef>
              <c:f>'Active Shooter'!$C$849</c:f>
              <c:strCache>
                <c:ptCount val="1"/>
                <c:pt idx="0">
                  <c:v>Fatality Mgmt</c:v>
                </c:pt>
              </c:strCache>
            </c:strRef>
          </c:tx>
          <c:spPr>
            <a:ln w="66675">
              <a:noFill/>
            </a:ln>
          </c:spPr>
          <c:dLbls>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'Active Shooter'!$J$850</c:f>
              <c:numCache>
                <c:formatCode>General</c:formatCode>
                <c:ptCount val="1"/>
                <c:pt idx="0">
                  <c:v>4</c:v>
                </c:pt>
              </c:numCache>
            </c:numRef>
          </c:xVal>
          <c:yVal>
            <c:numRef>
              <c:f>'Active Shooter'!$J$851</c:f>
              <c:numCache>
                <c:formatCode>General</c:formatCode>
                <c:ptCount val="1"/>
                <c:pt idx="0">
                  <c:v>0</c:v>
                </c:pt>
              </c:numCache>
            </c:numRef>
          </c:yVal>
          <c:smooth val="0"/>
          <c:extLst>
            <c:ext xmlns:c16="http://schemas.microsoft.com/office/drawing/2014/chart" uri="{C3380CC4-5D6E-409C-BE32-E72D297353CC}">
              <c16:uniqueId val="{00000004-23CB-4D78-AE94-B08BC2672087}"/>
            </c:ext>
          </c:extLst>
        </c:ser>
        <c:ser>
          <c:idx val="5"/>
          <c:order val="5"/>
          <c:tx>
            <c:strRef>
              <c:f>'Active Shooter'!$C$853</c:f>
              <c:strCache>
                <c:ptCount val="1"/>
                <c:pt idx="0">
                  <c:v>Info Sharing</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'Active Shooter'!$J$854</c:f>
              <c:numCache>
                <c:formatCode>General</c:formatCode>
                <c:ptCount val="1"/>
                <c:pt idx="0">
                  <c:v>4</c:v>
                </c:pt>
              </c:numCache>
            </c:numRef>
          </c:xVal>
          <c:yVal>
            <c:numRef>
              <c:f>'Active Shooter'!$J$855</c:f>
              <c:numCache>
                <c:formatCode>General</c:formatCode>
                <c:ptCount val="1"/>
                <c:pt idx="0">
                  <c:v>0</c:v>
                </c:pt>
              </c:numCache>
            </c:numRef>
          </c:yVal>
          <c:smooth val="0"/>
          <c:extLst>
            <c:ext xmlns:c16="http://schemas.microsoft.com/office/drawing/2014/chart" uri="{C3380CC4-5D6E-409C-BE32-E72D297353CC}">
              <c16:uniqueId val="{00000005-23CB-4D78-AE94-B08BC2672087}"/>
            </c:ext>
          </c:extLst>
        </c:ser>
        <c:ser>
          <c:idx val="6"/>
          <c:order val="6"/>
          <c:tx>
            <c:strRef>
              <c:f>'Active Shooter'!$C$857</c:f>
              <c:strCache>
                <c:ptCount val="1"/>
                <c:pt idx="0">
                  <c:v>Mass Care</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'Active Shooter'!$J$858</c:f>
              <c:numCache>
                <c:formatCode>General</c:formatCode>
                <c:ptCount val="1"/>
                <c:pt idx="0">
                  <c:v>0</c:v>
                </c:pt>
              </c:numCache>
            </c:numRef>
          </c:xVal>
          <c:yVal>
            <c:numRef>
              <c:f>'Active Shooter'!$J$859</c:f>
              <c:numCache>
                <c:formatCode>General</c:formatCode>
                <c:ptCount val="1"/>
                <c:pt idx="0">
                  <c:v>0</c:v>
                </c:pt>
              </c:numCache>
            </c:numRef>
          </c:yVal>
          <c:smooth val="0"/>
          <c:extLst>
            <c:ext xmlns:c16="http://schemas.microsoft.com/office/drawing/2014/chart" uri="{C3380CC4-5D6E-409C-BE32-E72D297353CC}">
              <c16:uniqueId val="{00000006-23CB-4D78-AE94-B08BC2672087}"/>
            </c:ext>
          </c:extLst>
        </c:ser>
        <c:ser>
          <c:idx val="7"/>
          <c:order val="7"/>
          <c:tx>
            <c:strRef>
              <c:f>'Active Shooter'!$C$861</c:f>
              <c:strCache>
                <c:ptCount val="1"/>
                <c:pt idx="0">
                  <c:v>MCM Dispens</c:v>
                </c:pt>
              </c:strCache>
            </c:strRef>
          </c:tx>
          <c:spPr>
            <a:ln w="66675">
              <a:noFill/>
            </a:ln>
          </c:spPr>
          <c:dLbls>
            <c:dLbl>
              <c:idx val="0"/>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23CB-4D78-AE94-B08BC2672087}"/>
                </c:ext>
              </c:extLst>
            </c:dLbl>
            <c:spPr>
              <a:noFill/>
              <a:ln>
                <a:noFill/>
              </a:ln>
              <a:effectLst/>
            </c:sp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'Active Shooter'!$J$862</c:f>
              <c:numCache>
                <c:formatCode>General</c:formatCode>
                <c:ptCount val="1"/>
                <c:pt idx="0">
                  <c:v>0</c:v>
                </c:pt>
              </c:numCache>
            </c:numRef>
          </c:xVal>
          <c:yVal>
            <c:numRef>
              <c:f>'Active Shooter'!$J$863</c:f>
              <c:numCache>
                <c:formatCode>General</c:formatCode>
                <c:ptCount val="1"/>
                <c:pt idx="0">
                  <c:v>0</c:v>
                </c:pt>
              </c:numCache>
            </c:numRef>
          </c:yVal>
          <c:smooth val="0"/>
          <c:extLst>
            <c:ext xmlns:c16="http://schemas.microsoft.com/office/drawing/2014/chart" uri="{C3380CC4-5D6E-409C-BE32-E72D297353CC}">
              <c16:uniqueId val="{00000008-23CB-4D78-AE94-B08BC2672087}"/>
            </c:ext>
          </c:extLst>
        </c:ser>
        <c:ser>
          <c:idx val="8"/>
          <c:order val="8"/>
          <c:tx>
            <c:strRef>
              <c:f>'Active Shooter'!$C$865</c:f>
              <c:strCache>
                <c:ptCount val="1"/>
                <c:pt idx="0">
                  <c:v>Med Materiel Mgmt</c:v>
                </c:pt>
              </c:strCache>
            </c:strRef>
          </c:tx>
          <c:spPr>
            <a:ln w="66675">
              <a:noFill/>
            </a:ln>
          </c:spPr>
          <c:dLbls>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'Active Shooter'!$J$866</c:f>
              <c:numCache>
                <c:formatCode>General</c:formatCode>
                <c:ptCount val="1"/>
                <c:pt idx="0">
                  <c:v>2</c:v>
                </c:pt>
              </c:numCache>
            </c:numRef>
          </c:xVal>
          <c:yVal>
            <c:numRef>
              <c:f>'Active Shooter'!$J$867</c:f>
              <c:numCache>
                <c:formatCode>General</c:formatCode>
                <c:ptCount val="1"/>
                <c:pt idx="0">
                  <c:v>0</c:v>
                </c:pt>
              </c:numCache>
            </c:numRef>
          </c:yVal>
          <c:smooth val="0"/>
          <c:extLst>
            <c:ext xmlns:c16="http://schemas.microsoft.com/office/drawing/2014/chart" uri="{C3380CC4-5D6E-409C-BE32-E72D297353CC}">
              <c16:uniqueId val="{00000009-23CB-4D78-AE94-B08BC2672087}"/>
            </c:ext>
          </c:extLst>
        </c:ser>
        <c:ser>
          <c:idx val="9"/>
          <c:order val="9"/>
          <c:tx>
            <c:strRef>
              <c:f>'Active Shooter'!$C$869</c:f>
              <c:strCache>
                <c:ptCount val="1"/>
                <c:pt idx="0">
                  <c:v>Medical Surge</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'Active Shooter'!$J$870</c:f>
              <c:numCache>
                <c:formatCode>General</c:formatCode>
                <c:ptCount val="1"/>
                <c:pt idx="0">
                  <c:v>4</c:v>
                </c:pt>
              </c:numCache>
            </c:numRef>
          </c:xVal>
          <c:yVal>
            <c:numRef>
              <c:f>'Active Shooter'!$J$871</c:f>
              <c:numCache>
                <c:formatCode>General</c:formatCode>
                <c:ptCount val="1"/>
                <c:pt idx="0">
                  <c:v>0</c:v>
                </c:pt>
              </c:numCache>
            </c:numRef>
          </c:yVal>
          <c:smooth val="0"/>
          <c:extLst>
            <c:ext xmlns:c16="http://schemas.microsoft.com/office/drawing/2014/chart" uri="{C3380CC4-5D6E-409C-BE32-E72D297353CC}">
              <c16:uniqueId val="{0000000A-23CB-4D78-AE94-B08BC2672087}"/>
            </c:ext>
          </c:extLst>
        </c:ser>
        <c:ser>
          <c:idx val="10"/>
          <c:order val="10"/>
          <c:tx>
            <c:strRef>
              <c:f>'Active Shooter'!$C$873</c:f>
              <c:strCache>
                <c:ptCount val="1"/>
                <c:pt idx="0">
                  <c:v>Non-Pharm Interv</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'Active Shooter'!$J$874</c:f>
              <c:numCache>
                <c:formatCode>General</c:formatCode>
                <c:ptCount val="1"/>
                <c:pt idx="0">
                  <c:v>0</c:v>
                </c:pt>
              </c:numCache>
            </c:numRef>
          </c:xVal>
          <c:yVal>
            <c:numRef>
              <c:f>'Active Shooter'!$J$875</c:f>
              <c:numCache>
                <c:formatCode>General</c:formatCode>
                <c:ptCount val="1"/>
                <c:pt idx="0">
                  <c:v>0</c:v>
                </c:pt>
              </c:numCache>
            </c:numRef>
          </c:yVal>
          <c:smooth val="0"/>
          <c:extLst>
            <c:ext xmlns:c16="http://schemas.microsoft.com/office/drawing/2014/chart" uri="{C3380CC4-5D6E-409C-BE32-E72D297353CC}">
              <c16:uniqueId val="{0000000B-23CB-4D78-AE94-B08BC2672087}"/>
            </c:ext>
          </c:extLst>
        </c:ser>
        <c:ser>
          <c:idx val="11"/>
          <c:order val="11"/>
          <c:tx>
            <c:strRef>
              <c:f>'Active Shooter'!$C$877</c:f>
              <c:strCache>
                <c:ptCount val="1"/>
                <c:pt idx="0">
                  <c:v>PH Lab Testing</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'Active Shooter'!$J$878</c:f>
              <c:numCache>
                <c:formatCode>General</c:formatCode>
                <c:ptCount val="1"/>
                <c:pt idx="0">
                  <c:v>0</c:v>
                </c:pt>
              </c:numCache>
            </c:numRef>
          </c:xVal>
          <c:yVal>
            <c:numRef>
              <c:f>'Active Shooter'!$J$879</c:f>
              <c:numCache>
                <c:formatCode>General</c:formatCode>
                <c:ptCount val="1"/>
                <c:pt idx="0">
                  <c:v>0</c:v>
                </c:pt>
              </c:numCache>
            </c:numRef>
          </c:yVal>
          <c:smooth val="0"/>
          <c:extLst>
            <c:ext xmlns:c16="http://schemas.microsoft.com/office/drawing/2014/chart" uri="{C3380CC4-5D6E-409C-BE32-E72D297353CC}">
              <c16:uniqueId val="{0000000C-23CB-4D78-AE94-B08BC2672087}"/>
            </c:ext>
          </c:extLst>
        </c:ser>
        <c:ser>
          <c:idx val="12"/>
          <c:order val="12"/>
          <c:tx>
            <c:strRef>
              <c:f>'Active Shooter'!$C$881</c:f>
              <c:strCache>
                <c:ptCount val="1"/>
                <c:pt idx="0">
                  <c:v>PH Surv &amp; Epi</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'Active Shooter'!$J$882</c:f>
              <c:numCache>
                <c:formatCode>General</c:formatCode>
                <c:ptCount val="1"/>
                <c:pt idx="0">
                  <c:v>1</c:v>
                </c:pt>
              </c:numCache>
            </c:numRef>
          </c:xVal>
          <c:yVal>
            <c:numRef>
              <c:f>'Active Shooter'!$J$883</c:f>
              <c:numCache>
                <c:formatCode>General</c:formatCode>
                <c:ptCount val="1"/>
                <c:pt idx="0">
                  <c:v>0</c:v>
                </c:pt>
              </c:numCache>
            </c:numRef>
          </c:yVal>
          <c:smooth val="0"/>
          <c:extLst>
            <c:ext xmlns:c16="http://schemas.microsoft.com/office/drawing/2014/chart" uri="{C3380CC4-5D6E-409C-BE32-E72D297353CC}">
              <c16:uniqueId val="{0000000D-23CB-4D78-AE94-B08BC2672087}"/>
            </c:ext>
          </c:extLst>
        </c:ser>
        <c:ser>
          <c:idx val="13"/>
          <c:order val="13"/>
          <c:tx>
            <c:strRef>
              <c:f>'Active Shooter'!$C$885</c:f>
              <c:strCache>
                <c:ptCount val="1"/>
                <c:pt idx="0">
                  <c:v>Responder Safety</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'Active Shooter'!$J$886</c:f>
              <c:numCache>
                <c:formatCode>General</c:formatCode>
                <c:ptCount val="1"/>
                <c:pt idx="0">
                  <c:v>3</c:v>
                </c:pt>
              </c:numCache>
            </c:numRef>
          </c:xVal>
          <c:yVal>
            <c:numRef>
              <c:f>'Active Shooter'!$J$887</c:f>
              <c:numCache>
                <c:formatCode>General</c:formatCode>
                <c:ptCount val="1"/>
                <c:pt idx="0">
                  <c:v>0</c:v>
                </c:pt>
              </c:numCache>
            </c:numRef>
          </c:yVal>
          <c:smooth val="0"/>
          <c:extLst>
            <c:ext xmlns:c16="http://schemas.microsoft.com/office/drawing/2014/chart" uri="{C3380CC4-5D6E-409C-BE32-E72D297353CC}">
              <c16:uniqueId val="{0000000E-23CB-4D78-AE94-B08BC2672087}"/>
            </c:ext>
          </c:extLst>
        </c:ser>
        <c:ser>
          <c:idx val="14"/>
          <c:order val="14"/>
          <c:tx>
            <c:strRef>
              <c:f>'Active Shooter'!$C$889</c:f>
              <c:strCache>
                <c:ptCount val="1"/>
                <c:pt idx="0">
                  <c:v>Volunteer Mgmt</c:v>
                </c:pt>
              </c:strCache>
            </c:strRef>
          </c:tx>
          <c:spPr>
            <a:ln w="66675">
              <a:noFill/>
            </a:ln>
          </c:spPr>
          <c:dLbls>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'Active Shooter'!$J$890</c:f>
              <c:numCache>
                <c:formatCode>General</c:formatCode>
                <c:ptCount val="1"/>
                <c:pt idx="0">
                  <c:v>1</c:v>
                </c:pt>
              </c:numCache>
            </c:numRef>
          </c:xVal>
          <c:yVal>
            <c:numRef>
              <c:f>'Active Shooter'!$J$891</c:f>
              <c:numCache>
                <c:formatCode>General</c:formatCode>
                <c:ptCount val="1"/>
                <c:pt idx="0">
                  <c:v>0</c:v>
                </c:pt>
              </c:numCache>
            </c:numRef>
          </c:yVal>
          <c:smooth val="0"/>
          <c:extLst>
            <c:ext xmlns:c16="http://schemas.microsoft.com/office/drawing/2014/chart" uri="{C3380CC4-5D6E-409C-BE32-E72D297353CC}">
              <c16:uniqueId val="{0000000F-23CB-4D78-AE94-B08BC2672087}"/>
            </c:ext>
          </c:extLst>
        </c:ser>
        <c:dLbls>
          <c:showLegendKey val="0"/>
          <c:showVal val="1"/>
          <c:showCatName val="0"/>
          <c:showSerName val="0"/>
          <c:showPercent val="0"/>
          <c:showBubbleSize val="0"/>
        </c:dLbls>
        <c:axId val="192899328"/>
        <c:axId val="192926080"/>
      </c:scatterChart>
      <c:valAx>
        <c:axId val="192899328"/>
        <c:scaling>
          <c:orientation val="minMax"/>
          <c:max val="4.5"/>
          <c:min val="0"/>
        </c:scaling>
        <c:delete val="0"/>
        <c:axPos val="b"/>
        <c:majorGridlines/>
        <c:title>
          <c:tx>
            <c:rich>
              <a:bodyPr/>
              <a:lstStyle/>
              <a:p>
                <a:pPr>
                  <a:defRPr b="0">
                    <a:latin typeface="+mj-lt"/>
                  </a:defRPr>
                </a:pPr>
                <a:r>
                  <a:rPr lang="en-US" sz="1600" b="0">
                    <a:latin typeface="+mj-lt"/>
                  </a:rPr>
                  <a:t>Capability Relevance to Hazard</a:t>
                </a:r>
              </a:p>
            </c:rich>
          </c:tx>
          <c:overlay val="0"/>
        </c:title>
        <c:numFmt formatCode="General" sourceLinked="1"/>
        <c:majorTickMark val="out"/>
        <c:minorTickMark val="none"/>
        <c:tickLblPos val="nextTo"/>
        <c:spPr>
          <a:ln>
            <a:solidFill>
              <a:schemeClr val="tx1"/>
            </a:solidFill>
          </a:ln>
        </c:spPr>
        <c:crossAx val="192926080"/>
        <c:crosses val="autoZero"/>
        <c:crossBetween val="midCat"/>
        <c:majorUnit val="1"/>
        <c:minorUnit val="0.1"/>
      </c:valAx>
      <c:valAx>
        <c:axId val="192926080"/>
        <c:scaling>
          <c:orientation val="minMax"/>
          <c:max val="4.5"/>
          <c:min val="0"/>
        </c:scaling>
        <c:delete val="0"/>
        <c:axPos val="l"/>
        <c:majorGridlines/>
        <c:title>
          <c:tx>
            <c:rich>
              <a:bodyPr rot="-5400000" vert="horz"/>
              <a:lstStyle/>
              <a:p>
                <a:pPr>
                  <a:defRPr sz="1600" b="0">
                    <a:latin typeface="+mj-lt"/>
                  </a:defRPr>
                </a:pPr>
                <a:r>
                  <a:rPr lang="en-US" sz="1600" b="0">
                    <a:latin typeface="+mj-lt"/>
                  </a:rPr>
                  <a:t>Capability Status</a:t>
                </a:r>
              </a:p>
            </c:rich>
          </c:tx>
          <c:overlay val="0"/>
        </c:title>
        <c:numFmt formatCode="General" sourceLinked="1"/>
        <c:majorTickMark val="out"/>
        <c:minorTickMark val="none"/>
        <c:tickLblPos val="nextTo"/>
        <c:spPr>
          <a:ln>
            <a:solidFill>
              <a:schemeClr val="tx1"/>
            </a:solidFill>
          </a:ln>
        </c:spPr>
        <c:crossAx val="192899328"/>
        <c:crosses val="autoZero"/>
        <c:crossBetween val="midCat"/>
        <c:majorUnit val="1"/>
        <c:minorUnit val="0.1"/>
      </c:valAx>
      <c:spPr>
        <a:gradFill flip="none" rotWithShape="1">
          <a:gsLst>
            <a:gs pos="0">
              <a:srgbClr val="63BE7B"/>
            </a:gs>
            <a:gs pos="50000">
              <a:srgbClr val="FFEB84"/>
            </a:gs>
            <a:gs pos="100000">
              <a:srgbClr val="F8696B"/>
            </a:gs>
          </a:gsLst>
          <a:lin ang="27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defRPr b="0" u="sng">
                <a:latin typeface="+mj-lt"/>
              </a:defRPr>
            </a:pPr>
            <a:r>
              <a:rPr lang="en-US" b="0" u="sng">
                <a:latin typeface="+mj-lt"/>
              </a:rPr>
              <a:t>Healthcare Preparedness</a:t>
            </a:r>
          </a:p>
        </c:rich>
      </c:tx>
      <c:layout>
        <c:manualLayout>
          <c:xMode val="edge"/>
          <c:yMode val="edge"/>
          <c:x val="0.37021378673626382"/>
          <c:y val="1.3244983721297133E-2"/>
        </c:manualLayout>
      </c:layout>
      <c:overlay val="0"/>
    </c:title>
    <c:autoTitleDeleted val="0"/>
    <c:plotArea>
      <c:layout>
        <c:manualLayout>
          <c:layoutTarget val="inner"/>
          <c:xMode val="edge"/>
          <c:yMode val="edge"/>
          <c:x val="9.6837670988709795E-2"/>
          <c:y val="0.10007907481510167"/>
          <c:w val="0.87765127401991005"/>
          <c:h val="0.77165947152780956"/>
        </c:manualLayout>
      </c:layout>
      <c:scatterChart>
        <c:scatterStyle val="lineMarker"/>
        <c:varyColors val="0"/>
        <c:ser>
          <c:idx val="0"/>
          <c:order val="0"/>
          <c:tx>
            <c:strRef>
              <c:f>'Active Shooter'!$C$903</c:f>
              <c:strCache>
                <c:ptCount val="1"/>
                <c:pt idx="0">
                  <c:v>HC System Prep</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'Active Shooter'!$J$904</c:f>
              <c:numCache>
                <c:formatCode>General</c:formatCode>
                <c:ptCount val="1"/>
                <c:pt idx="0">
                  <c:v>4</c:v>
                </c:pt>
              </c:numCache>
            </c:numRef>
          </c:xVal>
          <c:yVal>
            <c:numRef>
              <c:f>'Active Shooter'!$J$905</c:f>
              <c:numCache>
                <c:formatCode>General</c:formatCode>
                <c:ptCount val="1"/>
                <c:pt idx="0">
                  <c:v>0</c:v>
                </c:pt>
              </c:numCache>
            </c:numRef>
          </c:yVal>
          <c:smooth val="0"/>
          <c:extLst>
            <c:ext xmlns:c16="http://schemas.microsoft.com/office/drawing/2014/chart" uri="{C3380CC4-5D6E-409C-BE32-E72D297353CC}">
              <c16:uniqueId val="{00000000-7904-4812-8B1F-F60154F9F82E}"/>
            </c:ext>
          </c:extLst>
        </c:ser>
        <c:ser>
          <c:idx val="1"/>
          <c:order val="1"/>
          <c:tx>
            <c:strRef>
              <c:f>'Active Shooter'!$C$907</c:f>
              <c:strCache>
                <c:ptCount val="1"/>
                <c:pt idx="0">
                  <c:v>HC System Recov</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'Active Shooter'!$J$908</c:f>
              <c:numCache>
                <c:formatCode>General</c:formatCode>
                <c:ptCount val="1"/>
                <c:pt idx="0">
                  <c:v>3</c:v>
                </c:pt>
              </c:numCache>
            </c:numRef>
          </c:xVal>
          <c:yVal>
            <c:numRef>
              <c:f>'Active Shooter'!$J$909</c:f>
              <c:numCache>
                <c:formatCode>General</c:formatCode>
                <c:ptCount val="1"/>
                <c:pt idx="0">
                  <c:v>0</c:v>
                </c:pt>
              </c:numCache>
            </c:numRef>
          </c:yVal>
          <c:smooth val="0"/>
          <c:extLst>
            <c:ext xmlns:c16="http://schemas.microsoft.com/office/drawing/2014/chart" uri="{C3380CC4-5D6E-409C-BE32-E72D297353CC}">
              <c16:uniqueId val="{00000001-7904-4812-8B1F-F60154F9F82E}"/>
            </c:ext>
          </c:extLst>
        </c:ser>
        <c:ser>
          <c:idx val="2"/>
          <c:order val="2"/>
          <c:tx>
            <c:strRef>
              <c:f>'Active Shooter'!$C$911</c:f>
              <c:strCache>
                <c:ptCount val="1"/>
                <c:pt idx="0">
                  <c:v>Emerg Ops Coord</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'Active Shooter'!$J$912</c:f>
              <c:numCache>
                <c:formatCode>General</c:formatCode>
                <c:ptCount val="1"/>
                <c:pt idx="0">
                  <c:v>2</c:v>
                </c:pt>
              </c:numCache>
            </c:numRef>
          </c:xVal>
          <c:yVal>
            <c:numRef>
              <c:f>'Active Shooter'!$J$913</c:f>
              <c:numCache>
                <c:formatCode>General</c:formatCode>
                <c:ptCount val="1"/>
                <c:pt idx="0">
                  <c:v>0</c:v>
                </c:pt>
              </c:numCache>
            </c:numRef>
          </c:yVal>
          <c:smooth val="0"/>
          <c:extLst>
            <c:ext xmlns:c16="http://schemas.microsoft.com/office/drawing/2014/chart" uri="{C3380CC4-5D6E-409C-BE32-E72D297353CC}">
              <c16:uniqueId val="{00000002-7904-4812-8B1F-F60154F9F82E}"/>
            </c:ext>
          </c:extLst>
        </c:ser>
        <c:ser>
          <c:idx val="4"/>
          <c:order val="3"/>
          <c:tx>
            <c:strRef>
              <c:f>'Active Shooter'!$C$915</c:f>
              <c:strCache>
                <c:ptCount val="1"/>
                <c:pt idx="0">
                  <c:v>Fatality Mgmt</c:v>
                </c:pt>
              </c:strCache>
            </c:strRef>
          </c:tx>
          <c:spPr>
            <a:ln w="66675">
              <a:noFill/>
            </a:ln>
          </c:spPr>
          <c:dLbls>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'Active Shooter'!$J$916</c:f>
              <c:numCache>
                <c:formatCode>General</c:formatCode>
                <c:ptCount val="1"/>
                <c:pt idx="0">
                  <c:v>4</c:v>
                </c:pt>
              </c:numCache>
            </c:numRef>
          </c:xVal>
          <c:yVal>
            <c:numRef>
              <c:f>'Active Shooter'!$J$917</c:f>
              <c:numCache>
                <c:formatCode>General</c:formatCode>
                <c:ptCount val="1"/>
                <c:pt idx="0">
                  <c:v>0</c:v>
                </c:pt>
              </c:numCache>
            </c:numRef>
          </c:yVal>
          <c:smooth val="0"/>
          <c:extLst>
            <c:ext xmlns:c16="http://schemas.microsoft.com/office/drawing/2014/chart" uri="{C3380CC4-5D6E-409C-BE32-E72D297353CC}">
              <c16:uniqueId val="{00000003-7904-4812-8B1F-F60154F9F82E}"/>
            </c:ext>
          </c:extLst>
        </c:ser>
        <c:ser>
          <c:idx val="5"/>
          <c:order val="4"/>
          <c:tx>
            <c:strRef>
              <c:f>'Active Shooter'!$C$919</c:f>
              <c:strCache>
                <c:ptCount val="1"/>
                <c:pt idx="0">
                  <c:v>Info Sharing</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'Active Shooter'!$J$920</c:f>
              <c:numCache>
                <c:formatCode>General</c:formatCode>
                <c:ptCount val="1"/>
                <c:pt idx="0">
                  <c:v>4</c:v>
                </c:pt>
              </c:numCache>
            </c:numRef>
          </c:xVal>
          <c:yVal>
            <c:numRef>
              <c:f>'Active Shooter'!$J$921</c:f>
              <c:numCache>
                <c:formatCode>General</c:formatCode>
                <c:ptCount val="1"/>
                <c:pt idx="0">
                  <c:v>0</c:v>
                </c:pt>
              </c:numCache>
            </c:numRef>
          </c:yVal>
          <c:smooth val="0"/>
          <c:extLst>
            <c:ext xmlns:c16="http://schemas.microsoft.com/office/drawing/2014/chart" uri="{C3380CC4-5D6E-409C-BE32-E72D297353CC}">
              <c16:uniqueId val="{00000004-7904-4812-8B1F-F60154F9F82E}"/>
            </c:ext>
          </c:extLst>
        </c:ser>
        <c:ser>
          <c:idx val="9"/>
          <c:order val="5"/>
          <c:tx>
            <c:strRef>
              <c:f>'Active Shooter'!$C$923</c:f>
              <c:strCache>
                <c:ptCount val="1"/>
                <c:pt idx="0">
                  <c:v>Medical Surge</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'Active Shooter'!$J$924</c:f>
              <c:numCache>
                <c:formatCode>General</c:formatCode>
                <c:ptCount val="1"/>
                <c:pt idx="0">
                  <c:v>4</c:v>
                </c:pt>
              </c:numCache>
            </c:numRef>
          </c:xVal>
          <c:yVal>
            <c:numRef>
              <c:f>'Active Shooter'!$J$925</c:f>
              <c:numCache>
                <c:formatCode>General</c:formatCode>
                <c:ptCount val="1"/>
                <c:pt idx="0">
                  <c:v>0</c:v>
                </c:pt>
              </c:numCache>
            </c:numRef>
          </c:yVal>
          <c:smooth val="0"/>
          <c:extLst>
            <c:ext xmlns:c16="http://schemas.microsoft.com/office/drawing/2014/chart" uri="{C3380CC4-5D6E-409C-BE32-E72D297353CC}">
              <c16:uniqueId val="{00000005-7904-4812-8B1F-F60154F9F82E}"/>
            </c:ext>
          </c:extLst>
        </c:ser>
        <c:ser>
          <c:idx val="13"/>
          <c:order val="6"/>
          <c:tx>
            <c:strRef>
              <c:f>'Active Shooter'!$C$927</c:f>
              <c:strCache>
                <c:ptCount val="1"/>
                <c:pt idx="0">
                  <c:v>Responder Safety</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'Active Shooter'!$J$928</c:f>
              <c:numCache>
                <c:formatCode>General</c:formatCode>
                <c:ptCount val="1"/>
                <c:pt idx="0">
                  <c:v>3</c:v>
                </c:pt>
              </c:numCache>
            </c:numRef>
          </c:xVal>
          <c:yVal>
            <c:numRef>
              <c:f>'Active Shooter'!$J$929</c:f>
              <c:numCache>
                <c:formatCode>General</c:formatCode>
                <c:ptCount val="1"/>
                <c:pt idx="0">
                  <c:v>0</c:v>
                </c:pt>
              </c:numCache>
            </c:numRef>
          </c:yVal>
          <c:smooth val="0"/>
          <c:extLst>
            <c:ext xmlns:c16="http://schemas.microsoft.com/office/drawing/2014/chart" uri="{C3380CC4-5D6E-409C-BE32-E72D297353CC}">
              <c16:uniqueId val="{00000006-7904-4812-8B1F-F60154F9F82E}"/>
            </c:ext>
          </c:extLst>
        </c:ser>
        <c:ser>
          <c:idx val="14"/>
          <c:order val="7"/>
          <c:tx>
            <c:strRef>
              <c:f>'Active Shooter'!$C$931</c:f>
              <c:strCache>
                <c:ptCount val="1"/>
                <c:pt idx="0">
                  <c:v>Volunteer Mgmt</c:v>
                </c:pt>
              </c:strCache>
            </c:strRef>
          </c:tx>
          <c:spPr>
            <a:ln w="66675">
              <a:noFill/>
            </a:ln>
          </c:spPr>
          <c:dLbls>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'Active Shooter'!$J$932</c:f>
              <c:numCache>
                <c:formatCode>General</c:formatCode>
                <c:ptCount val="1"/>
                <c:pt idx="0">
                  <c:v>1</c:v>
                </c:pt>
              </c:numCache>
            </c:numRef>
          </c:xVal>
          <c:yVal>
            <c:numRef>
              <c:f>'Active Shooter'!$J$933</c:f>
              <c:numCache>
                <c:formatCode>General</c:formatCode>
                <c:ptCount val="1"/>
                <c:pt idx="0">
                  <c:v>0</c:v>
                </c:pt>
              </c:numCache>
            </c:numRef>
          </c:yVal>
          <c:smooth val="0"/>
          <c:extLst>
            <c:ext xmlns:c16="http://schemas.microsoft.com/office/drawing/2014/chart" uri="{C3380CC4-5D6E-409C-BE32-E72D297353CC}">
              <c16:uniqueId val="{00000007-7904-4812-8B1F-F60154F9F82E}"/>
            </c:ext>
          </c:extLst>
        </c:ser>
        <c:dLbls>
          <c:showLegendKey val="0"/>
          <c:showVal val="1"/>
          <c:showCatName val="0"/>
          <c:showSerName val="0"/>
          <c:showPercent val="0"/>
          <c:showBubbleSize val="0"/>
        </c:dLbls>
        <c:axId val="193083264"/>
        <c:axId val="193101824"/>
      </c:scatterChart>
      <c:valAx>
        <c:axId val="193083264"/>
        <c:scaling>
          <c:orientation val="minMax"/>
          <c:max val="4.5"/>
          <c:min val="0"/>
        </c:scaling>
        <c:delete val="0"/>
        <c:axPos val="b"/>
        <c:majorGridlines/>
        <c:title>
          <c:tx>
            <c:rich>
              <a:bodyPr/>
              <a:lstStyle/>
              <a:p>
                <a:pPr>
                  <a:defRPr b="0">
                    <a:latin typeface="+mj-lt"/>
                  </a:defRPr>
                </a:pPr>
                <a:r>
                  <a:rPr lang="en-US" sz="1600" b="0">
                    <a:latin typeface="+mj-lt"/>
                  </a:rPr>
                  <a:t>Capability Relevance to Hazard</a:t>
                </a:r>
              </a:p>
            </c:rich>
          </c:tx>
          <c:overlay val="0"/>
        </c:title>
        <c:numFmt formatCode="General" sourceLinked="1"/>
        <c:majorTickMark val="out"/>
        <c:minorTickMark val="none"/>
        <c:tickLblPos val="nextTo"/>
        <c:spPr>
          <a:ln>
            <a:solidFill>
              <a:schemeClr val="tx1"/>
            </a:solidFill>
          </a:ln>
        </c:spPr>
        <c:crossAx val="193101824"/>
        <c:crosses val="autoZero"/>
        <c:crossBetween val="midCat"/>
        <c:majorUnit val="1"/>
        <c:minorUnit val="0.1"/>
      </c:valAx>
      <c:valAx>
        <c:axId val="193101824"/>
        <c:scaling>
          <c:orientation val="minMax"/>
          <c:max val="4.5"/>
          <c:min val="0"/>
        </c:scaling>
        <c:delete val="0"/>
        <c:axPos val="l"/>
        <c:majorGridlines/>
        <c:title>
          <c:tx>
            <c:rich>
              <a:bodyPr rot="-5400000" vert="horz"/>
              <a:lstStyle/>
              <a:p>
                <a:pPr>
                  <a:defRPr sz="1600" b="0">
                    <a:latin typeface="+mj-lt"/>
                  </a:defRPr>
                </a:pPr>
                <a:r>
                  <a:rPr lang="en-US" sz="1600" b="0">
                    <a:latin typeface="+mj-lt"/>
                  </a:rPr>
                  <a:t>Capability Status</a:t>
                </a:r>
              </a:p>
            </c:rich>
          </c:tx>
          <c:overlay val="0"/>
        </c:title>
        <c:numFmt formatCode="General" sourceLinked="1"/>
        <c:majorTickMark val="out"/>
        <c:minorTickMark val="none"/>
        <c:tickLblPos val="nextTo"/>
        <c:spPr>
          <a:ln>
            <a:solidFill>
              <a:schemeClr val="tx1"/>
            </a:solidFill>
          </a:ln>
        </c:spPr>
        <c:crossAx val="193083264"/>
        <c:crosses val="autoZero"/>
        <c:crossBetween val="midCat"/>
        <c:majorUnit val="1"/>
        <c:minorUnit val="0.1"/>
      </c:valAx>
      <c:spPr>
        <a:gradFill flip="none" rotWithShape="1">
          <a:gsLst>
            <a:gs pos="0">
              <a:srgbClr val="63BE7B"/>
            </a:gs>
            <a:gs pos="50000">
              <a:srgbClr val="FFEB84"/>
            </a:gs>
            <a:gs pos="100000">
              <a:srgbClr val="F8696B"/>
            </a:gs>
          </a:gsLst>
          <a:lin ang="27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b="0" u="sng">
                <a:latin typeface="+mj-lt"/>
              </a:defRPr>
            </a:pPr>
            <a:r>
              <a:rPr lang="en-US" b="0" u="sng">
                <a:latin typeface="+mj-lt"/>
              </a:rPr>
              <a:t>Severity</a:t>
            </a:r>
          </a:p>
        </c:rich>
      </c:tx>
      <c:layout>
        <c:manualLayout>
          <c:xMode val="edge"/>
          <c:yMode val="edge"/>
          <c:x val="0.46889233641333816"/>
          <c:y val="1.3244983721297133E-2"/>
        </c:manualLayout>
      </c:layout>
      <c:overlay val="0"/>
    </c:title>
    <c:autoTitleDeleted val="0"/>
    <c:plotArea>
      <c:layout/>
      <c:barChart>
        <c:barDir val="col"/>
        <c:grouping val="clustered"/>
        <c:varyColors val="0"/>
        <c:ser>
          <c:idx val="0"/>
          <c:order val="0"/>
          <c:tx>
            <c:v>Severity</c:v>
          </c:tx>
          <c:spPr>
            <a:solidFill>
              <a:schemeClr val="accent4">
                <a:lumMod val="60000"/>
                <a:lumOff val="40000"/>
              </a:schemeClr>
            </a:solidFill>
            <a:ln>
              <a:solidFill>
                <a:schemeClr val="accent4"/>
              </a:solidFill>
            </a:ln>
            <a:scene3d>
              <a:camera prst="orthographicFront"/>
              <a:lightRig rig="threePt" dir="t"/>
            </a:scene3d>
            <a:sp3d prstMaterial="matte">
              <a:bevelT/>
            </a:sp3d>
          </c:spPr>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('Active Shooter'!$G$22,'Active Shooter'!$G$137,'Active Shooter'!$G$265,'Active Shooter'!$G$425,'Active Shooter'!$G$543)</c:f>
              <c:strCache>
                <c:ptCount val="5"/>
                <c:pt idx="0">
                  <c:v>Human Impact</c:v>
                </c:pt>
                <c:pt idx="1">
                  <c:v>Healthcare Service Impact</c:v>
                </c:pt>
                <c:pt idx="2">
                  <c:v>Inpatient Healthcare Facility Infrastructure Impact</c:v>
                </c:pt>
                <c:pt idx="3">
                  <c:v>Community Impact</c:v>
                </c:pt>
                <c:pt idx="4">
                  <c:v>Public Health Service Impact</c:v>
                </c:pt>
              </c:strCache>
            </c:strRef>
          </c:cat>
          <c:val>
            <c:numRef>
              <c:f>('Biological Terrorism'!$J$133,'Biological Terrorism'!$J$261,'Biological Terrorism'!$J$421,'Biological Terrorism'!$J$539,'Biological Terrorism'!$J$681)</c:f>
              <c:numCache>
                <c:formatCode>0.00</c:formatCode>
                <c:ptCount val="5"/>
                <c:pt idx="0">
                  <c:v>0</c:v>
                </c:pt>
                <c:pt idx="1">
                  <c:v>0</c:v>
                </c:pt>
                <c:pt idx="2">
                  <c:v>2.25</c:v>
                </c:pt>
                <c:pt idx="3">
                  <c:v>2.0714285714285716</c:v>
                </c:pt>
                <c:pt idx="4">
                  <c:v>0</c:v>
                </c:pt>
              </c:numCache>
            </c:numRef>
          </c:val>
          <c:extLst>
            <c:ext xmlns:c16="http://schemas.microsoft.com/office/drawing/2014/chart" uri="{C3380CC4-5D6E-409C-BE32-E72D297353CC}">
              <c16:uniqueId val="{00000000-C413-4726-9971-ECF9284B3F0B}"/>
            </c:ext>
          </c:extLst>
        </c:ser>
        <c:dLbls>
          <c:showLegendKey val="0"/>
          <c:showVal val="1"/>
          <c:showCatName val="0"/>
          <c:showSerName val="0"/>
          <c:showPercent val="0"/>
          <c:showBubbleSize val="0"/>
        </c:dLbls>
        <c:gapWidth val="150"/>
        <c:axId val="193121280"/>
        <c:axId val="193135744"/>
      </c:barChart>
      <c:catAx>
        <c:axId val="193121280"/>
        <c:scaling>
          <c:orientation val="minMax"/>
        </c:scaling>
        <c:delete val="0"/>
        <c:axPos val="b"/>
        <c:title>
          <c:tx>
            <c:rich>
              <a:bodyPr/>
              <a:lstStyle/>
              <a:p>
                <a:pPr>
                  <a:defRPr sz="1600" b="0">
                    <a:latin typeface="+mj-lt"/>
                  </a:defRPr>
                </a:pPr>
                <a:r>
                  <a:rPr lang="en-US" sz="1600" b="0">
                    <a:latin typeface="+mj-lt"/>
                  </a:rPr>
                  <a:t>Domain</a:t>
                </a:r>
              </a:p>
            </c:rich>
          </c:tx>
          <c:overlay val="0"/>
        </c:title>
        <c:numFmt formatCode="General" sourceLinked="1"/>
        <c:majorTickMark val="out"/>
        <c:minorTickMark val="none"/>
        <c:tickLblPos val="nextTo"/>
        <c:crossAx val="193135744"/>
        <c:crosses val="autoZero"/>
        <c:auto val="1"/>
        <c:lblAlgn val="ctr"/>
        <c:lblOffset val="100"/>
        <c:noMultiLvlLbl val="0"/>
      </c:catAx>
      <c:valAx>
        <c:axId val="193135744"/>
        <c:scaling>
          <c:orientation val="minMax"/>
          <c:max val="4"/>
        </c:scaling>
        <c:delete val="0"/>
        <c:axPos val="l"/>
        <c:majorGridlines/>
        <c:title>
          <c:tx>
            <c:rich>
              <a:bodyPr rot="-5400000" vert="horz"/>
              <a:lstStyle/>
              <a:p>
                <a:pPr>
                  <a:defRPr sz="1600" b="0">
                    <a:latin typeface="+mj-lt"/>
                  </a:defRPr>
                </a:pPr>
                <a:r>
                  <a:rPr lang="en-US" sz="1600" b="0">
                    <a:latin typeface="+mj-lt"/>
                  </a:rPr>
                  <a:t>Severity</a:t>
                </a:r>
                <a:r>
                  <a:rPr lang="en-US" sz="1600" b="0" baseline="0">
                    <a:latin typeface="+mj-lt"/>
                  </a:rPr>
                  <a:t> Score</a:t>
                </a:r>
                <a:endParaRPr lang="en-US" sz="1600" b="0">
                  <a:latin typeface="+mj-lt"/>
                </a:endParaRPr>
              </a:p>
            </c:rich>
          </c:tx>
          <c:overlay val="0"/>
        </c:title>
        <c:numFmt formatCode="0.00" sourceLinked="1"/>
        <c:majorTickMark val="out"/>
        <c:minorTickMark val="none"/>
        <c:tickLblPos val="nextTo"/>
        <c:crossAx val="193121280"/>
        <c:crosses val="autoZero"/>
        <c:crossBetween val="between"/>
      </c:valAx>
      <c:spPr>
        <a:gradFill flip="none" rotWithShape="1">
          <a:gsLst>
            <a:gs pos="0">
              <a:srgbClr val="63BE7B"/>
            </a:gs>
            <a:gs pos="50000">
              <a:srgbClr val="FFEB84"/>
            </a:gs>
            <a:gs pos="100000">
              <a:srgbClr val="F8696B"/>
            </a:gs>
          </a:gsLst>
          <a:lin ang="162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b="0" u="sng">
                <a:latin typeface="+mj-lt"/>
              </a:defRPr>
            </a:pPr>
            <a:r>
              <a:rPr lang="en-US" b="0" u="sng">
                <a:latin typeface="+mj-lt"/>
              </a:rPr>
              <a:t>At-Risk Populations</a:t>
            </a:r>
          </a:p>
        </c:rich>
      </c:tx>
      <c:layout>
        <c:manualLayout>
          <c:xMode val="edge"/>
          <c:yMode val="edge"/>
          <c:x val="0.37636858589702443"/>
          <c:y val="1.3244983721297133E-2"/>
        </c:manualLayout>
      </c:layout>
      <c:overlay val="0"/>
    </c:title>
    <c:autoTitleDeleted val="0"/>
    <c:plotArea>
      <c:layout/>
      <c:scatterChart>
        <c:scatterStyle val="lineMarker"/>
        <c:varyColors val="0"/>
        <c:ser>
          <c:idx val="0"/>
          <c:order val="0"/>
          <c:tx>
            <c:strRef>
              <c:f>'Biological Terrorism'!$C$793</c:f>
              <c:strCache>
                <c:ptCount val="1"/>
                <c:pt idx="0">
                  <c:v>Poverty</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'Biological Terrorism'!$J$795</c:f>
              <c:numCache>
                <c:formatCode>General</c:formatCode>
                <c:ptCount val="1"/>
                <c:pt idx="0">
                  <c:v>3</c:v>
                </c:pt>
              </c:numCache>
            </c:numRef>
          </c:xVal>
          <c:yVal>
            <c:numRef>
              <c:f>'Biological Terrorism'!$J$794</c:f>
              <c:numCache>
                <c:formatCode>General</c:formatCode>
                <c:ptCount val="1"/>
                <c:pt idx="0">
                  <c:v>0</c:v>
                </c:pt>
              </c:numCache>
            </c:numRef>
          </c:yVal>
          <c:smooth val="0"/>
          <c:extLst>
            <c:ext xmlns:c16="http://schemas.microsoft.com/office/drawing/2014/chart" uri="{C3380CC4-5D6E-409C-BE32-E72D297353CC}">
              <c16:uniqueId val="{00000000-6E25-4045-BAE4-60CDB2414911}"/>
            </c:ext>
          </c:extLst>
        </c:ser>
        <c:ser>
          <c:idx val="1"/>
          <c:order val="1"/>
          <c:tx>
            <c:strRef>
              <c:f>'Biological Terrorism'!$C$797</c:f>
              <c:strCache>
                <c:ptCount val="1"/>
                <c:pt idx="0">
                  <c:v>Chronic Diseases (Diabetes)</c:v>
                </c:pt>
              </c:strCache>
            </c:strRef>
          </c:tx>
          <c:spPr>
            <a:ln w="66675">
              <a:noFill/>
            </a:ln>
          </c:spPr>
          <c:dLbls>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'Biological Terrorism'!$J$799</c:f>
              <c:numCache>
                <c:formatCode>General</c:formatCode>
                <c:ptCount val="1"/>
                <c:pt idx="0">
                  <c:v>3</c:v>
                </c:pt>
              </c:numCache>
            </c:numRef>
          </c:xVal>
          <c:yVal>
            <c:numRef>
              <c:f>'Biological Terrorism'!$J$798</c:f>
              <c:numCache>
                <c:formatCode>General</c:formatCode>
                <c:ptCount val="1"/>
                <c:pt idx="0">
                  <c:v>0</c:v>
                </c:pt>
              </c:numCache>
            </c:numRef>
          </c:yVal>
          <c:smooth val="0"/>
          <c:extLst>
            <c:ext xmlns:c16="http://schemas.microsoft.com/office/drawing/2014/chart" uri="{C3380CC4-5D6E-409C-BE32-E72D297353CC}">
              <c16:uniqueId val="{00000001-6E25-4045-BAE4-60CDB2414911}"/>
            </c:ext>
          </c:extLst>
        </c:ser>
        <c:ser>
          <c:idx val="2"/>
          <c:order val="2"/>
          <c:tx>
            <c:strRef>
              <c:f>'Biological Terrorism'!$C$801</c:f>
              <c:strCache>
                <c:ptCount val="1"/>
                <c:pt idx="0">
                  <c:v>Children 18 and under</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'Biological Terrorism'!$J$803</c:f>
              <c:numCache>
                <c:formatCode>General</c:formatCode>
                <c:ptCount val="1"/>
                <c:pt idx="0">
                  <c:v>3</c:v>
                </c:pt>
              </c:numCache>
            </c:numRef>
          </c:xVal>
          <c:yVal>
            <c:numRef>
              <c:f>'Biological Terrorism'!$J$802</c:f>
              <c:numCache>
                <c:formatCode>General</c:formatCode>
                <c:ptCount val="1"/>
                <c:pt idx="0">
                  <c:v>0</c:v>
                </c:pt>
              </c:numCache>
            </c:numRef>
          </c:yVal>
          <c:smooth val="0"/>
          <c:extLst>
            <c:ext xmlns:c16="http://schemas.microsoft.com/office/drawing/2014/chart" uri="{C3380CC4-5D6E-409C-BE32-E72D297353CC}">
              <c16:uniqueId val="{00000002-6E25-4045-BAE4-60CDB2414911}"/>
            </c:ext>
          </c:extLst>
        </c:ser>
        <c:ser>
          <c:idx val="3"/>
          <c:order val="3"/>
          <c:tx>
            <c:strRef>
              <c:f>'Biological Terrorism'!$C$805</c:f>
              <c:strCache>
                <c:ptCount val="1"/>
                <c:pt idx="0">
                  <c:v>Elderly 65 and older</c:v>
                </c:pt>
              </c:strCache>
            </c:strRef>
          </c:tx>
          <c:spPr>
            <a:ln w="66675">
              <a:noFill/>
            </a:ln>
          </c:spPr>
          <c:dLbls>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'Biological Terrorism'!$J$806</c:f>
              <c:numCache>
                <c:formatCode>General</c:formatCode>
                <c:ptCount val="1"/>
                <c:pt idx="0">
                  <c:v>0</c:v>
                </c:pt>
              </c:numCache>
            </c:numRef>
          </c:xVal>
          <c:yVal>
            <c:numRef>
              <c:f>'Biological Terrorism'!$J$806</c:f>
              <c:numCache>
                <c:formatCode>General</c:formatCode>
                <c:ptCount val="1"/>
                <c:pt idx="0">
                  <c:v>0</c:v>
                </c:pt>
              </c:numCache>
            </c:numRef>
          </c:yVal>
          <c:smooth val="0"/>
          <c:extLst>
            <c:ext xmlns:c16="http://schemas.microsoft.com/office/drawing/2014/chart" uri="{C3380CC4-5D6E-409C-BE32-E72D297353CC}">
              <c16:uniqueId val="{00000003-6E25-4045-BAE4-60CDB2414911}"/>
            </c:ext>
          </c:extLst>
        </c:ser>
        <c:ser>
          <c:idx val="4"/>
          <c:order val="4"/>
          <c:tx>
            <c:strRef>
              <c:f>'Biological Terrorism'!$C$773</c:f>
              <c:strCache>
                <c:ptCount val="1"/>
                <c:pt idx="0">
                  <c:v>Hearing Disability</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'Biological Terrorism'!$J$775</c:f>
              <c:numCache>
                <c:formatCode>General</c:formatCode>
                <c:ptCount val="1"/>
                <c:pt idx="0">
                  <c:v>2</c:v>
                </c:pt>
              </c:numCache>
            </c:numRef>
          </c:xVal>
          <c:yVal>
            <c:numRef>
              <c:f>'Biological Terrorism'!$J$774</c:f>
              <c:numCache>
                <c:formatCode>General</c:formatCode>
                <c:ptCount val="1"/>
                <c:pt idx="0">
                  <c:v>0</c:v>
                </c:pt>
              </c:numCache>
            </c:numRef>
          </c:yVal>
          <c:smooth val="0"/>
          <c:extLst>
            <c:ext xmlns:c16="http://schemas.microsoft.com/office/drawing/2014/chart" uri="{C3380CC4-5D6E-409C-BE32-E72D297353CC}">
              <c16:uniqueId val="{00000004-6E25-4045-BAE4-60CDB2414911}"/>
            </c:ext>
          </c:extLst>
        </c:ser>
        <c:ser>
          <c:idx val="5"/>
          <c:order val="5"/>
          <c:tx>
            <c:strRef>
              <c:f>'Biological Terrorism'!$C$777</c:f>
              <c:strCache>
                <c:ptCount val="1"/>
                <c:pt idx="0">
                  <c:v>Vision Disability</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'Biological Terrorism'!$J$779</c:f>
              <c:numCache>
                <c:formatCode>General</c:formatCode>
                <c:ptCount val="1"/>
                <c:pt idx="0">
                  <c:v>3</c:v>
                </c:pt>
              </c:numCache>
            </c:numRef>
          </c:xVal>
          <c:yVal>
            <c:numRef>
              <c:f>'Biological Terrorism'!$J$778</c:f>
              <c:numCache>
                <c:formatCode>General</c:formatCode>
                <c:ptCount val="1"/>
                <c:pt idx="0">
                  <c:v>0</c:v>
                </c:pt>
              </c:numCache>
            </c:numRef>
          </c:yVal>
          <c:smooth val="0"/>
          <c:extLst>
            <c:ext xmlns:c16="http://schemas.microsoft.com/office/drawing/2014/chart" uri="{C3380CC4-5D6E-409C-BE32-E72D297353CC}">
              <c16:uniqueId val="{00000005-6E25-4045-BAE4-60CDB2414911}"/>
            </c:ext>
          </c:extLst>
        </c:ser>
        <c:ser>
          <c:idx val="6"/>
          <c:order val="6"/>
          <c:tx>
            <c:strRef>
              <c:f>'Biological Terrorism'!$C$781</c:f>
              <c:strCache>
                <c:ptCount val="1"/>
                <c:pt idx="0">
                  <c:v>Ambulatory Disability</c:v>
                </c:pt>
              </c:strCache>
            </c:strRef>
          </c:tx>
          <c:spPr>
            <a:ln w="66675">
              <a:noFill/>
            </a:ln>
          </c:spPr>
          <c:dLbls>
            <c:spPr>
              <a:noFill/>
              <a:ln>
                <a:noFill/>
              </a:ln>
              <a:effectLst/>
            </c:sp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'Biological Terrorism'!$J$783</c:f>
              <c:numCache>
                <c:formatCode>General</c:formatCode>
                <c:ptCount val="1"/>
                <c:pt idx="0">
                  <c:v>2</c:v>
                </c:pt>
              </c:numCache>
            </c:numRef>
          </c:xVal>
          <c:yVal>
            <c:numRef>
              <c:f>'Biological Terrorism'!$J$782</c:f>
              <c:numCache>
                <c:formatCode>General</c:formatCode>
                <c:ptCount val="1"/>
                <c:pt idx="0">
                  <c:v>0</c:v>
                </c:pt>
              </c:numCache>
            </c:numRef>
          </c:yVal>
          <c:smooth val="0"/>
          <c:extLst>
            <c:ext xmlns:c16="http://schemas.microsoft.com/office/drawing/2014/chart" uri="{C3380CC4-5D6E-409C-BE32-E72D297353CC}">
              <c16:uniqueId val="{00000006-6E25-4045-BAE4-60CDB2414911}"/>
            </c:ext>
          </c:extLst>
        </c:ser>
        <c:ser>
          <c:idx val="7"/>
          <c:order val="7"/>
          <c:tx>
            <c:strRef>
              <c:f>'Biological Terrorism'!$C$785</c:f>
              <c:strCache>
                <c:ptCount val="1"/>
                <c:pt idx="0">
                  <c:v>Cognitive Disability</c:v>
                </c:pt>
              </c:strCache>
            </c:strRef>
          </c:tx>
          <c:spPr>
            <a:ln w="66675">
              <a:noFill/>
            </a:ln>
          </c:spPr>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6E25-4045-BAE4-60CDB2414911}"/>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'Biological Terrorism'!$J$787</c:f>
              <c:numCache>
                <c:formatCode>General</c:formatCode>
                <c:ptCount val="1"/>
                <c:pt idx="0">
                  <c:v>3</c:v>
                </c:pt>
              </c:numCache>
            </c:numRef>
          </c:xVal>
          <c:yVal>
            <c:numRef>
              <c:f>'Biological Terrorism'!$J$786</c:f>
              <c:numCache>
                <c:formatCode>General</c:formatCode>
                <c:ptCount val="1"/>
                <c:pt idx="0">
                  <c:v>0</c:v>
                </c:pt>
              </c:numCache>
            </c:numRef>
          </c:yVal>
          <c:smooth val="0"/>
          <c:extLst>
            <c:ext xmlns:c16="http://schemas.microsoft.com/office/drawing/2014/chart" uri="{C3380CC4-5D6E-409C-BE32-E72D297353CC}">
              <c16:uniqueId val="{00000008-6E25-4045-BAE4-60CDB2414911}"/>
            </c:ext>
          </c:extLst>
        </c:ser>
        <c:ser>
          <c:idx val="8"/>
          <c:order val="8"/>
          <c:tx>
            <c:strRef>
              <c:f>'Biological Terrorism'!$C$789</c:f>
              <c:strCache>
                <c:ptCount val="1"/>
                <c:pt idx="0">
                  <c:v>Limited English Proficiency</c:v>
                </c:pt>
              </c:strCache>
            </c:strRef>
          </c:tx>
          <c:spPr>
            <a:ln w="66675">
              <a:noFill/>
            </a:ln>
          </c:spPr>
          <c:dLbls>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'Biological Terrorism'!$J$791</c:f>
              <c:numCache>
                <c:formatCode>General</c:formatCode>
                <c:ptCount val="1"/>
                <c:pt idx="0">
                  <c:v>2</c:v>
                </c:pt>
              </c:numCache>
            </c:numRef>
          </c:xVal>
          <c:yVal>
            <c:numRef>
              <c:f>'Biological Terrorism'!$J$790</c:f>
              <c:numCache>
                <c:formatCode>General</c:formatCode>
                <c:ptCount val="1"/>
                <c:pt idx="0">
                  <c:v>0</c:v>
                </c:pt>
              </c:numCache>
            </c:numRef>
          </c:yVal>
          <c:smooth val="0"/>
          <c:extLst>
            <c:ext xmlns:c16="http://schemas.microsoft.com/office/drawing/2014/chart" uri="{C3380CC4-5D6E-409C-BE32-E72D297353CC}">
              <c16:uniqueId val="{00000009-6E25-4045-BAE4-60CDB2414911}"/>
            </c:ext>
          </c:extLst>
        </c:ser>
        <c:dLbls>
          <c:showLegendKey val="0"/>
          <c:showVal val="1"/>
          <c:showCatName val="0"/>
          <c:showSerName val="0"/>
          <c:showPercent val="0"/>
          <c:showBubbleSize val="0"/>
        </c:dLbls>
        <c:axId val="193223296"/>
        <c:axId val="193241856"/>
      </c:scatterChart>
      <c:valAx>
        <c:axId val="193223296"/>
        <c:scaling>
          <c:orientation val="minMax"/>
          <c:max val="4.5"/>
          <c:min val="0"/>
        </c:scaling>
        <c:delete val="0"/>
        <c:axPos val="b"/>
        <c:majorGridlines/>
        <c:title>
          <c:tx>
            <c:rich>
              <a:bodyPr/>
              <a:lstStyle/>
              <a:p>
                <a:pPr>
                  <a:defRPr b="0">
                    <a:latin typeface="+mj-lt"/>
                  </a:defRPr>
                </a:pPr>
                <a:r>
                  <a:rPr lang="en-US" sz="1600" b="0">
                    <a:latin typeface="+mj-lt"/>
                  </a:rPr>
                  <a:t>Access Planning Score</a:t>
                </a:r>
              </a:p>
            </c:rich>
          </c:tx>
          <c:overlay val="0"/>
        </c:title>
        <c:numFmt formatCode="General" sourceLinked="1"/>
        <c:majorTickMark val="out"/>
        <c:minorTickMark val="none"/>
        <c:tickLblPos val="nextTo"/>
        <c:spPr>
          <a:ln>
            <a:solidFill>
              <a:schemeClr val="tx1"/>
            </a:solidFill>
          </a:ln>
        </c:spPr>
        <c:crossAx val="193241856"/>
        <c:crosses val="autoZero"/>
        <c:crossBetween val="midCat"/>
        <c:majorUnit val="1"/>
        <c:minorUnit val="0.1"/>
      </c:valAx>
      <c:valAx>
        <c:axId val="193241856"/>
        <c:scaling>
          <c:orientation val="minMax"/>
          <c:max val="4.5"/>
          <c:min val="0"/>
        </c:scaling>
        <c:delete val="0"/>
        <c:axPos val="l"/>
        <c:majorGridlines/>
        <c:title>
          <c:tx>
            <c:rich>
              <a:bodyPr rot="-5400000" vert="horz"/>
              <a:lstStyle/>
              <a:p>
                <a:pPr>
                  <a:defRPr sz="1600" b="0">
                    <a:latin typeface="+mj-lt"/>
                  </a:defRPr>
                </a:pPr>
                <a:r>
                  <a:rPr lang="en-US" sz="1600" b="0">
                    <a:latin typeface="+mj-lt"/>
                  </a:rPr>
                  <a:t>Population Size Score</a:t>
                </a:r>
              </a:p>
            </c:rich>
          </c:tx>
          <c:overlay val="0"/>
        </c:title>
        <c:numFmt formatCode="General" sourceLinked="1"/>
        <c:majorTickMark val="out"/>
        <c:minorTickMark val="none"/>
        <c:tickLblPos val="nextTo"/>
        <c:spPr>
          <a:ln>
            <a:solidFill>
              <a:schemeClr val="tx1"/>
            </a:solidFill>
          </a:ln>
        </c:spPr>
        <c:crossAx val="193223296"/>
        <c:crosses val="autoZero"/>
        <c:crossBetween val="midCat"/>
        <c:majorUnit val="1"/>
        <c:minorUnit val="0.1"/>
      </c:valAx>
      <c:spPr>
        <a:gradFill flip="none" rotWithShape="1">
          <a:gsLst>
            <a:gs pos="0">
              <a:srgbClr val="63BE7B"/>
            </a:gs>
            <a:gs pos="50000">
              <a:srgbClr val="FFEB84"/>
            </a:gs>
            <a:gs pos="100000">
              <a:srgbClr val="F8696B"/>
            </a:gs>
          </a:gsLst>
          <a:lin ang="189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defRPr b="0" u="sng">
                <a:latin typeface="+mj-lt"/>
              </a:defRPr>
            </a:pPr>
            <a:r>
              <a:rPr lang="en-US" b="0" u="sng">
                <a:latin typeface="+mj-lt"/>
              </a:rPr>
              <a:t>Public Health Preparedness</a:t>
            </a:r>
          </a:p>
        </c:rich>
      </c:tx>
      <c:layout>
        <c:manualLayout>
          <c:xMode val="edge"/>
          <c:yMode val="edge"/>
          <c:x val="0.30532356317913883"/>
          <c:y val="1.3244983721297133E-2"/>
        </c:manualLayout>
      </c:layout>
      <c:overlay val="0"/>
    </c:title>
    <c:autoTitleDeleted val="0"/>
    <c:plotArea>
      <c:layout/>
      <c:scatterChart>
        <c:scatterStyle val="lineMarker"/>
        <c:varyColors val="0"/>
        <c:ser>
          <c:idx val="0"/>
          <c:order val="0"/>
          <c:tx>
            <c:strRef>
              <c:f>'Biological Terrorism'!$C$853</c:f>
              <c:strCache>
                <c:ptCount val="1"/>
                <c:pt idx="0">
                  <c:v>Info Sharing</c:v>
                </c:pt>
              </c:strCache>
            </c:strRef>
          </c:tx>
          <c:spPr>
            <a:ln w="66675">
              <a:noFill/>
            </a:ln>
          </c:spPr>
          <c:dLbls>
            <c:dLbl>
              <c:idx val="0"/>
              <c:layout>
                <c:manualLayout>
                  <c:x val="0"/>
                  <c:y val="-7.2859744990892532E-3"/>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ED94-4A6B-9005-9AA695D85944}"/>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'Biological Terrorism'!$J$854</c:f>
              <c:numCache>
                <c:formatCode>General</c:formatCode>
                <c:ptCount val="1"/>
                <c:pt idx="0">
                  <c:v>4</c:v>
                </c:pt>
              </c:numCache>
            </c:numRef>
          </c:xVal>
          <c:yVal>
            <c:numRef>
              <c:f>'Biological Terrorism'!$J$855</c:f>
              <c:numCache>
                <c:formatCode>General</c:formatCode>
                <c:ptCount val="1"/>
                <c:pt idx="0">
                  <c:v>0</c:v>
                </c:pt>
              </c:numCache>
            </c:numRef>
          </c:yVal>
          <c:smooth val="0"/>
          <c:extLst>
            <c:ext xmlns:c16="http://schemas.microsoft.com/office/drawing/2014/chart" uri="{C3380CC4-5D6E-409C-BE32-E72D297353CC}">
              <c16:uniqueId val="{00000001-ED94-4A6B-9005-9AA695D85944}"/>
            </c:ext>
          </c:extLst>
        </c:ser>
        <c:ser>
          <c:idx val="1"/>
          <c:order val="1"/>
          <c:tx>
            <c:strRef>
              <c:f>'Biological Terrorism'!$C$857</c:f>
              <c:strCache>
                <c:ptCount val="1"/>
                <c:pt idx="0">
                  <c:v>Mass Care</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'Biological Terrorism'!$J$858</c:f>
              <c:numCache>
                <c:formatCode>General</c:formatCode>
                <c:ptCount val="1"/>
                <c:pt idx="0">
                  <c:v>1</c:v>
                </c:pt>
              </c:numCache>
            </c:numRef>
          </c:xVal>
          <c:yVal>
            <c:numRef>
              <c:f>'Biological Terrorism'!$J$859</c:f>
              <c:numCache>
                <c:formatCode>General</c:formatCode>
                <c:ptCount val="1"/>
                <c:pt idx="0">
                  <c:v>0</c:v>
                </c:pt>
              </c:numCache>
            </c:numRef>
          </c:yVal>
          <c:smooth val="0"/>
          <c:extLst>
            <c:ext xmlns:c16="http://schemas.microsoft.com/office/drawing/2014/chart" uri="{C3380CC4-5D6E-409C-BE32-E72D297353CC}">
              <c16:uniqueId val="{00000002-ED94-4A6B-9005-9AA695D85944}"/>
            </c:ext>
          </c:extLst>
        </c:ser>
        <c:ser>
          <c:idx val="2"/>
          <c:order val="2"/>
          <c:tx>
            <c:strRef>
              <c:f>'Biological Terrorism'!$C$861</c:f>
              <c:strCache>
                <c:ptCount val="1"/>
                <c:pt idx="0">
                  <c:v>MCM Dispens</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'Biological Terrorism'!$J$862</c:f>
              <c:numCache>
                <c:formatCode>General</c:formatCode>
                <c:ptCount val="1"/>
                <c:pt idx="0">
                  <c:v>4</c:v>
                </c:pt>
              </c:numCache>
            </c:numRef>
          </c:xVal>
          <c:yVal>
            <c:numRef>
              <c:f>'Biological Terrorism'!$J$863</c:f>
              <c:numCache>
                <c:formatCode>General</c:formatCode>
                <c:ptCount val="1"/>
                <c:pt idx="0">
                  <c:v>0</c:v>
                </c:pt>
              </c:numCache>
            </c:numRef>
          </c:yVal>
          <c:smooth val="0"/>
          <c:extLst>
            <c:ext xmlns:c16="http://schemas.microsoft.com/office/drawing/2014/chart" uri="{C3380CC4-5D6E-409C-BE32-E72D297353CC}">
              <c16:uniqueId val="{00000003-ED94-4A6B-9005-9AA695D85944}"/>
            </c:ext>
          </c:extLst>
        </c:ser>
        <c:ser>
          <c:idx val="3"/>
          <c:order val="3"/>
          <c:tx>
            <c:strRef>
              <c:f>'Biological Terrorism'!$C$865</c:f>
              <c:strCache>
                <c:ptCount val="1"/>
                <c:pt idx="0">
                  <c:v>Med Materiel Mgmt</c:v>
                </c:pt>
              </c:strCache>
            </c:strRef>
          </c:tx>
          <c:spPr>
            <a:ln w="66675">
              <a:noFill/>
            </a:ln>
          </c:spPr>
          <c:dLbls>
            <c:dLbl>
              <c:idx val="0"/>
              <c:layout>
                <c:manualLayout>
                  <c:x val="-0.14216219891634721"/>
                  <c:y val="-1.214329083181542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ED94-4A6B-9005-9AA695D85944}"/>
                </c:ext>
              </c:extLst>
            </c:dLbl>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'Biological Terrorism'!$J$866</c:f>
              <c:numCache>
                <c:formatCode>General</c:formatCode>
                <c:ptCount val="1"/>
                <c:pt idx="0">
                  <c:v>4</c:v>
                </c:pt>
              </c:numCache>
            </c:numRef>
          </c:xVal>
          <c:yVal>
            <c:numRef>
              <c:f>'Biological Terrorism'!$J$867</c:f>
              <c:numCache>
                <c:formatCode>General</c:formatCode>
                <c:ptCount val="1"/>
                <c:pt idx="0">
                  <c:v>0</c:v>
                </c:pt>
              </c:numCache>
            </c:numRef>
          </c:yVal>
          <c:smooth val="0"/>
          <c:extLst>
            <c:ext xmlns:c16="http://schemas.microsoft.com/office/drawing/2014/chart" uri="{C3380CC4-5D6E-409C-BE32-E72D297353CC}">
              <c16:uniqueId val="{00000005-ED94-4A6B-9005-9AA695D85944}"/>
            </c:ext>
          </c:extLst>
        </c:ser>
        <c:ser>
          <c:idx val="4"/>
          <c:order val="4"/>
          <c:tx>
            <c:strRef>
              <c:f>'Biological Terrorism'!$C$869</c:f>
              <c:strCache>
                <c:ptCount val="1"/>
                <c:pt idx="0">
                  <c:v>Medical Surge</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'Biological Terrorism'!$J$870</c:f>
              <c:numCache>
                <c:formatCode>General</c:formatCode>
                <c:ptCount val="1"/>
                <c:pt idx="0">
                  <c:v>4</c:v>
                </c:pt>
              </c:numCache>
            </c:numRef>
          </c:xVal>
          <c:yVal>
            <c:numRef>
              <c:f>'Biological Terrorism'!$J$871</c:f>
              <c:numCache>
                <c:formatCode>General</c:formatCode>
                <c:ptCount val="1"/>
                <c:pt idx="0">
                  <c:v>0</c:v>
                </c:pt>
              </c:numCache>
            </c:numRef>
          </c:yVal>
          <c:smooth val="0"/>
          <c:extLst>
            <c:ext xmlns:c16="http://schemas.microsoft.com/office/drawing/2014/chart" uri="{C3380CC4-5D6E-409C-BE32-E72D297353CC}">
              <c16:uniqueId val="{00000006-ED94-4A6B-9005-9AA695D85944}"/>
            </c:ext>
          </c:extLst>
        </c:ser>
        <c:ser>
          <c:idx val="5"/>
          <c:order val="5"/>
          <c:tx>
            <c:strRef>
              <c:f>'Biological Terrorism'!$C$873</c:f>
              <c:strCache>
                <c:ptCount val="1"/>
                <c:pt idx="0">
                  <c:v>Non-Pharm Interv</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'Biological Terrorism'!$J$874</c:f>
              <c:numCache>
                <c:formatCode>General</c:formatCode>
                <c:ptCount val="1"/>
                <c:pt idx="0">
                  <c:v>4</c:v>
                </c:pt>
              </c:numCache>
            </c:numRef>
          </c:xVal>
          <c:yVal>
            <c:numRef>
              <c:f>'Biological Terrorism'!$J$875</c:f>
              <c:numCache>
                <c:formatCode>General</c:formatCode>
                <c:ptCount val="1"/>
                <c:pt idx="0">
                  <c:v>0</c:v>
                </c:pt>
              </c:numCache>
            </c:numRef>
          </c:yVal>
          <c:smooth val="0"/>
          <c:extLst>
            <c:ext xmlns:c16="http://schemas.microsoft.com/office/drawing/2014/chart" uri="{C3380CC4-5D6E-409C-BE32-E72D297353CC}">
              <c16:uniqueId val="{00000007-ED94-4A6B-9005-9AA695D85944}"/>
            </c:ext>
          </c:extLst>
        </c:ser>
        <c:ser>
          <c:idx val="6"/>
          <c:order val="6"/>
          <c:tx>
            <c:strRef>
              <c:f>'Biological Terrorism'!$C$877</c:f>
              <c:strCache>
                <c:ptCount val="1"/>
                <c:pt idx="0">
                  <c:v>PH Lab Testing</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'Biological Terrorism'!$J$878</c:f>
              <c:numCache>
                <c:formatCode>General</c:formatCode>
                <c:ptCount val="1"/>
                <c:pt idx="0">
                  <c:v>4</c:v>
                </c:pt>
              </c:numCache>
            </c:numRef>
          </c:xVal>
          <c:yVal>
            <c:numRef>
              <c:f>'Biological Terrorism'!$J$879</c:f>
              <c:numCache>
                <c:formatCode>General</c:formatCode>
                <c:ptCount val="1"/>
                <c:pt idx="0">
                  <c:v>0</c:v>
                </c:pt>
              </c:numCache>
            </c:numRef>
          </c:yVal>
          <c:smooth val="0"/>
          <c:extLst>
            <c:ext xmlns:c16="http://schemas.microsoft.com/office/drawing/2014/chart" uri="{C3380CC4-5D6E-409C-BE32-E72D297353CC}">
              <c16:uniqueId val="{00000008-ED94-4A6B-9005-9AA695D85944}"/>
            </c:ext>
          </c:extLst>
        </c:ser>
        <c:ser>
          <c:idx val="7"/>
          <c:order val="7"/>
          <c:tx>
            <c:strRef>
              <c:f>'Biological Terrorism'!$C$881</c:f>
              <c:strCache>
                <c:ptCount val="1"/>
                <c:pt idx="0">
                  <c:v>PH Surv &amp; Epi</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'Biological Terrorism'!$J$882</c:f>
              <c:numCache>
                <c:formatCode>General</c:formatCode>
                <c:ptCount val="1"/>
                <c:pt idx="0">
                  <c:v>4</c:v>
                </c:pt>
              </c:numCache>
            </c:numRef>
          </c:xVal>
          <c:yVal>
            <c:numRef>
              <c:f>'Biological Terrorism'!$J$883</c:f>
              <c:numCache>
                <c:formatCode>General</c:formatCode>
                <c:ptCount val="1"/>
                <c:pt idx="0">
                  <c:v>0</c:v>
                </c:pt>
              </c:numCache>
            </c:numRef>
          </c:yVal>
          <c:smooth val="0"/>
          <c:extLst>
            <c:ext xmlns:c16="http://schemas.microsoft.com/office/drawing/2014/chart" uri="{C3380CC4-5D6E-409C-BE32-E72D297353CC}">
              <c16:uniqueId val="{00000009-ED94-4A6B-9005-9AA695D85944}"/>
            </c:ext>
          </c:extLst>
        </c:ser>
        <c:ser>
          <c:idx val="8"/>
          <c:order val="8"/>
          <c:tx>
            <c:strRef>
              <c:f>'Biological Terrorism'!$C$885</c:f>
              <c:strCache>
                <c:ptCount val="1"/>
                <c:pt idx="0">
                  <c:v>Responder Safety</c:v>
                </c:pt>
              </c:strCache>
            </c:strRef>
          </c:tx>
          <c:spPr>
            <a:ln w="66675">
              <a:noFill/>
            </a:ln>
          </c:spPr>
          <c:dLbls>
            <c:dLbl>
              <c:idx val="0"/>
              <c:layout>
                <c:manualLayout>
                  <c:x val="-4.3535296670828093E-4"/>
                  <c:y val="1.2392276102099239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ED94-4A6B-9005-9AA695D85944}"/>
                </c:ext>
              </c:extLst>
            </c:dLbl>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'Biological Terrorism'!$J$886</c:f>
              <c:numCache>
                <c:formatCode>General</c:formatCode>
                <c:ptCount val="1"/>
                <c:pt idx="0">
                  <c:v>4</c:v>
                </c:pt>
              </c:numCache>
            </c:numRef>
          </c:xVal>
          <c:yVal>
            <c:numRef>
              <c:f>'Biological Terrorism'!$J$887</c:f>
              <c:numCache>
                <c:formatCode>General</c:formatCode>
                <c:ptCount val="1"/>
                <c:pt idx="0">
                  <c:v>0</c:v>
                </c:pt>
              </c:numCache>
            </c:numRef>
          </c:yVal>
          <c:smooth val="0"/>
          <c:extLst>
            <c:ext xmlns:c16="http://schemas.microsoft.com/office/drawing/2014/chart" uri="{C3380CC4-5D6E-409C-BE32-E72D297353CC}">
              <c16:uniqueId val="{0000000B-ED94-4A6B-9005-9AA695D85944}"/>
            </c:ext>
          </c:extLst>
        </c:ser>
        <c:ser>
          <c:idx val="9"/>
          <c:order val="9"/>
          <c:tx>
            <c:strRef>
              <c:f>'Biological Terrorism'!$C$889</c:f>
              <c:strCache>
                <c:ptCount val="1"/>
                <c:pt idx="0">
                  <c:v>Volunteer Mgmt</c:v>
                </c:pt>
              </c:strCache>
            </c:strRef>
          </c:tx>
          <c:spPr>
            <a:ln w="66675">
              <a:noFill/>
            </a:ln>
          </c:spPr>
          <c:dLbls>
            <c:dLbl>
              <c:idx val="0"/>
              <c:layout>
                <c:manualLayout>
                  <c:x val="-0.14382605166302084"/>
                  <c:y val="7.2859744990892532E-3"/>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C-ED94-4A6B-9005-9AA695D85944}"/>
                </c:ext>
              </c:extLst>
            </c:dLbl>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'Biological Terrorism'!$J$890</c:f>
              <c:numCache>
                <c:formatCode>General</c:formatCode>
                <c:ptCount val="1"/>
                <c:pt idx="0">
                  <c:v>4</c:v>
                </c:pt>
              </c:numCache>
            </c:numRef>
          </c:xVal>
          <c:yVal>
            <c:numRef>
              <c:f>'Biological Terrorism'!$J$891</c:f>
              <c:numCache>
                <c:formatCode>General</c:formatCode>
                <c:ptCount val="1"/>
                <c:pt idx="0">
                  <c:v>0</c:v>
                </c:pt>
              </c:numCache>
            </c:numRef>
          </c:yVal>
          <c:smooth val="0"/>
          <c:extLst>
            <c:ext xmlns:c16="http://schemas.microsoft.com/office/drawing/2014/chart" uri="{C3380CC4-5D6E-409C-BE32-E72D297353CC}">
              <c16:uniqueId val="{0000000D-ED94-4A6B-9005-9AA695D85944}"/>
            </c:ext>
          </c:extLst>
        </c:ser>
        <c:ser>
          <c:idx val="10"/>
          <c:order val="10"/>
          <c:tx>
            <c:strRef>
              <c:f>'Biological Terrorism'!$C$833</c:f>
              <c:strCache>
                <c:ptCount val="1"/>
                <c:pt idx="0">
                  <c:v>Community Prep</c:v>
                </c:pt>
              </c:strCache>
            </c:strRef>
          </c:tx>
          <c:spPr>
            <a:ln w="66675">
              <a:noFill/>
            </a:ln>
          </c:spPr>
          <c:dLbls>
            <c:dLbl>
              <c:idx val="0"/>
              <c:layout>
                <c:manualLayout>
                  <c:x val="0"/>
                  <c:y val="-2.1858114730194243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ED94-4A6B-9005-9AA695D85944}"/>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'Biological Terrorism'!$J$834</c:f>
              <c:numCache>
                <c:formatCode>General</c:formatCode>
                <c:ptCount val="1"/>
                <c:pt idx="0">
                  <c:v>4</c:v>
                </c:pt>
              </c:numCache>
            </c:numRef>
          </c:xVal>
          <c:yVal>
            <c:numRef>
              <c:f>'Biological Terrorism'!$J$835</c:f>
              <c:numCache>
                <c:formatCode>General</c:formatCode>
                <c:ptCount val="1"/>
                <c:pt idx="0">
                  <c:v>0</c:v>
                </c:pt>
              </c:numCache>
            </c:numRef>
          </c:yVal>
          <c:smooth val="0"/>
          <c:extLst>
            <c:ext xmlns:c16="http://schemas.microsoft.com/office/drawing/2014/chart" uri="{C3380CC4-5D6E-409C-BE32-E72D297353CC}">
              <c16:uniqueId val="{0000000F-ED94-4A6B-9005-9AA695D85944}"/>
            </c:ext>
          </c:extLst>
        </c:ser>
        <c:ser>
          <c:idx val="11"/>
          <c:order val="11"/>
          <c:tx>
            <c:strRef>
              <c:f>'Biological Terrorism'!$C$837</c:f>
              <c:strCache>
                <c:ptCount val="1"/>
                <c:pt idx="0">
                  <c:v>Community Recov</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'Biological Terrorism'!$J$838</c:f>
              <c:numCache>
                <c:formatCode>General</c:formatCode>
                <c:ptCount val="1"/>
                <c:pt idx="0">
                  <c:v>4</c:v>
                </c:pt>
              </c:numCache>
            </c:numRef>
          </c:xVal>
          <c:yVal>
            <c:numRef>
              <c:f>'Biological Terrorism'!$J$839</c:f>
              <c:numCache>
                <c:formatCode>General</c:formatCode>
                <c:ptCount val="1"/>
                <c:pt idx="0">
                  <c:v>0</c:v>
                </c:pt>
              </c:numCache>
            </c:numRef>
          </c:yVal>
          <c:smooth val="0"/>
          <c:extLst>
            <c:ext xmlns:c16="http://schemas.microsoft.com/office/drawing/2014/chart" uri="{C3380CC4-5D6E-409C-BE32-E72D297353CC}">
              <c16:uniqueId val="{00000010-ED94-4A6B-9005-9AA695D85944}"/>
            </c:ext>
          </c:extLst>
        </c:ser>
        <c:ser>
          <c:idx val="12"/>
          <c:order val="12"/>
          <c:tx>
            <c:strRef>
              <c:f>'Biological Terrorism'!$C$841</c:f>
              <c:strCache>
                <c:ptCount val="1"/>
                <c:pt idx="0">
                  <c:v>Emerg Ops Coord</c:v>
                </c:pt>
              </c:strCache>
            </c:strRef>
          </c:tx>
          <c:spPr>
            <a:ln w="66675">
              <a:noFill/>
            </a:ln>
          </c:spPr>
          <c:dLbls>
            <c:dLbl>
              <c:idx val="0"/>
              <c:layout>
                <c:manualLayout>
                  <c:x val="-0.14219141459843468"/>
                  <c:y val="-1.9678441834115028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1-ED94-4A6B-9005-9AA695D85944}"/>
                </c:ext>
              </c:extLst>
            </c:dLbl>
            <c:spPr>
              <a:noFill/>
              <a:ln>
                <a:noFill/>
              </a:ln>
              <a:effectLst/>
            </c:sp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'Biological Terrorism'!$J$842</c:f>
              <c:numCache>
                <c:formatCode>General</c:formatCode>
                <c:ptCount val="1"/>
                <c:pt idx="0">
                  <c:v>4</c:v>
                </c:pt>
              </c:numCache>
            </c:numRef>
          </c:xVal>
          <c:yVal>
            <c:numRef>
              <c:f>'Biological Terrorism'!$J$843</c:f>
              <c:numCache>
                <c:formatCode>General</c:formatCode>
                <c:ptCount val="1"/>
                <c:pt idx="0">
                  <c:v>0</c:v>
                </c:pt>
              </c:numCache>
            </c:numRef>
          </c:yVal>
          <c:smooth val="0"/>
          <c:extLst>
            <c:ext xmlns:c16="http://schemas.microsoft.com/office/drawing/2014/chart" uri="{C3380CC4-5D6E-409C-BE32-E72D297353CC}">
              <c16:uniqueId val="{00000012-ED94-4A6B-9005-9AA695D85944}"/>
            </c:ext>
          </c:extLst>
        </c:ser>
        <c:ser>
          <c:idx val="13"/>
          <c:order val="13"/>
          <c:tx>
            <c:strRef>
              <c:f>'Biological Terrorism'!$C$845</c:f>
              <c:strCache>
                <c:ptCount val="1"/>
                <c:pt idx="0">
                  <c:v>Emerg Public Info</c:v>
                </c:pt>
              </c:strCache>
            </c:strRef>
          </c:tx>
          <c:spPr>
            <a:ln w="66675">
              <a:noFill/>
            </a:ln>
          </c:spPr>
          <c:dLbls>
            <c:dLbl>
              <c:idx val="0"/>
              <c:dLblPos val="l"/>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3-ED94-4A6B-9005-9AA695D85944}"/>
                </c:ext>
              </c:extLst>
            </c:dLbl>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'Biological Terrorism'!$J$846</c:f>
              <c:numCache>
                <c:formatCode>General</c:formatCode>
                <c:ptCount val="1"/>
                <c:pt idx="0">
                  <c:v>4</c:v>
                </c:pt>
              </c:numCache>
            </c:numRef>
          </c:xVal>
          <c:yVal>
            <c:numRef>
              <c:f>'Biological Terrorism'!$J$847</c:f>
              <c:numCache>
                <c:formatCode>General</c:formatCode>
                <c:ptCount val="1"/>
                <c:pt idx="0">
                  <c:v>0</c:v>
                </c:pt>
              </c:numCache>
            </c:numRef>
          </c:yVal>
          <c:smooth val="0"/>
          <c:extLst>
            <c:ext xmlns:c16="http://schemas.microsoft.com/office/drawing/2014/chart" uri="{C3380CC4-5D6E-409C-BE32-E72D297353CC}">
              <c16:uniqueId val="{00000014-ED94-4A6B-9005-9AA695D85944}"/>
            </c:ext>
          </c:extLst>
        </c:ser>
        <c:ser>
          <c:idx val="14"/>
          <c:order val="14"/>
          <c:tx>
            <c:strRef>
              <c:f>'Biological Terrorism'!$C$964</c:f>
              <c:strCache>
                <c:ptCount val="1"/>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'Biological Terrorism'!$J$965</c:f>
              <c:numCache>
                <c:formatCode>General</c:formatCode>
                <c:ptCount val="1"/>
              </c:numCache>
            </c:numRef>
          </c:xVal>
          <c:yVal>
            <c:numRef>
              <c:f>'Biological Terrorism'!$J$966</c:f>
            </c:numRef>
          </c:yVal>
          <c:smooth val="0"/>
          <c:extLst>
            <c:ext xmlns:c16="http://schemas.microsoft.com/office/drawing/2014/chart" uri="{C3380CC4-5D6E-409C-BE32-E72D297353CC}">
              <c16:uniqueId val="{00000015-ED94-4A6B-9005-9AA695D85944}"/>
            </c:ext>
          </c:extLst>
        </c:ser>
        <c:ser>
          <c:idx val="15"/>
          <c:order val="15"/>
          <c:tx>
            <c:strRef>
              <c:f>'Biological Terrorism'!$C$849</c:f>
              <c:strCache>
                <c:ptCount val="1"/>
                <c:pt idx="0">
                  <c:v>Fatality Mgmt</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'Biological Terrorism'!$J$850</c:f>
              <c:numCache>
                <c:formatCode>General</c:formatCode>
                <c:ptCount val="1"/>
                <c:pt idx="0">
                  <c:v>4</c:v>
                </c:pt>
              </c:numCache>
            </c:numRef>
          </c:xVal>
          <c:yVal>
            <c:numRef>
              <c:f>'Biological Terrorism'!$J$851</c:f>
              <c:numCache>
                <c:formatCode>General</c:formatCode>
                <c:ptCount val="1"/>
                <c:pt idx="0">
                  <c:v>0</c:v>
                </c:pt>
              </c:numCache>
            </c:numRef>
          </c:yVal>
          <c:smooth val="0"/>
          <c:extLst>
            <c:ext xmlns:c16="http://schemas.microsoft.com/office/drawing/2014/chart" uri="{C3380CC4-5D6E-409C-BE32-E72D297353CC}">
              <c16:uniqueId val="{00000016-ED94-4A6B-9005-9AA695D85944}"/>
            </c:ext>
          </c:extLst>
        </c:ser>
        <c:dLbls>
          <c:showLegendKey val="0"/>
          <c:showVal val="1"/>
          <c:showCatName val="0"/>
          <c:showSerName val="0"/>
          <c:showPercent val="0"/>
          <c:showBubbleSize val="0"/>
        </c:dLbls>
        <c:axId val="193378944"/>
        <c:axId val="193413888"/>
      </c:scatterChart>
      <c:valAx>
        <c:axId val="193378944"/>
        <c:scaling>
          <c:orientation val="minMax"/>
          <c:max val="4.5"/>
          <c:min val="0"/>
        </c:scaling>
        <c:delete val="0"/>
        <c:axPos val="b"/>
        <c:majorGridlines/>
        <c:title>
          <c:tx>
            <c:rich>
              <a:bodyPr/>
              <a:lstStyle/>
              <a:p>
                <a:pPr>
                  <a:defRPr b="0">
                    <a:latin typeface="+mj-lt"/>
                  </a:defRPr>
                </a:pPr>
                <a:r>
                  <a:rPr lang="en-US" sz="1600" b="0">
                    <a:latin typeface="+mj-lt"/>
                  </a:rPr>
                  <a:t>Capability Relevance to Hazard</a:t>
                </a:r>
              </a:p>
            </c:rich>
          </c:tx>
          <c:overlay val="0"/>
        </c:title>
        <c:numFmt formatCode="General" sourceLinked="1"/>
        <c:majorTickMark val="out"/>
        <c:minorTickMark val="none"/>
        <c:tickLblPos val="nextTo"/>
        <c:spPr>
          <a:ln>
            <a:solidFill>
              <a:schemeClr val="tx1"/>
            </a:solidFill>
          </a:ln>
        </c:spPr>
        <c:crossAx val="193413888"/>
        <c:crosses val="autoZero"/>
        <c:crossBetween val="midCat"/>
        <c:majorUnit val="1"/>
        <c:minorUnit val="0.1"/>
      </c:valAx>
      <c:valAx>
        <c:axId val="193413888"/>
        <c:scaling>
          <c:orientation val="minMax"/>
          <c:max val="4.5"/>
          <c:min val="0"/>
        </c:scaling>
        <c:delete val="0"/>
        <c:axPos val="l"/>
        <c:majorGridlines/>
        <c:title>
          <c:tx>
            <c:rich>
              <a:bodyPr rot="-5400000" vert="horz"/>
              <a:lstStyle/>
              <a:p>
                <a:pPr>
                  <a:defRPr sz="1600" b="0">
                    <a:latin typeface="+mj-lt"/>
                  </a:defRPr>
                </a:pPr>
                <a:r>
                  <a:rPr lang="en-US" sz="1600" b="0">
                    <a:latin typeface="+mj-lt"/>
                  </a:rPr>
                  <a:t>Capability Status</a:t>
                </a:r>
              </a:p>
            </c:rich>
          </c:tx>
          <c:overlay val="0"/>
        </c:title>
        <c:numFmt formatCode="General" sourceLinked="1"/>
        <c:majorTickMark val="out"/>
        <c:minorTickMark val="none"/>
        <c:tickLblPos val="nextTo"/>
        <c:spPr>
          <a:ln>
            <a:solidFill>
              <a:schemeClr val="tx1"/>
            </a:solidFill>
          </a:ln>
        </c:spPr>
        <c:crossAx val="193378944"/>
        <c:crosses val="autoZero"/>
        <c:crossBetween val="midCat"/>
        <c:majorUnit val="1"/>
        <c:minorUnit val="0.1"/>
      </c:valAx>
      <c:spPr>
        <a:gradFill flip="none" rotWithShape="1">
          <a:gsLst>
            <a:gs pos="0">
              <a:srgbClr val="63BE7B"/>
            </a:gs>
            <a:gs pos="50000">
              <a:srgbClr val="FFEB84"/>
            </a:gs>
            <a:gs pos="100000">
              <a:srgbClr val="F8696B"/>
            </a:gs>
          </a:gsLst>
          <a:lin ang="27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defRPr b="0" u="sng">
                <a:latin typeface="+mj-lt"/>
              </a:defRPr>
            </a:pPr>
            <a:r>
              <a:rPr lang="en-US" b="0" u="sng">
                <a:latin typeface="+mj-lt"/>
              </a:rPr>
              <a:t>Healthcare Preparedness</a:t>
            </a:r>
          </a:p>
        </c:rich>
      </c:tx>
      <c:layout>
        <c:manualLayout>
          <c:xMode val="edge"/>
          <c:yMode val="edge"/>
          <c:x val="0.30532356317913883"/>
          <c:y val="1.3244983721297133E-2"/>
        </c:manualLayout>
      </c:layout>
      <c:overlay val="0"/>
    </c:title>
    <c:autoTitleDeleted val="0"/>
    <c:plotArea>
      <c:layout/>
      <c:scatterChart>
        <c:scatterStyle val="lineMarker"/>
        <c:varyColors val="0"/>
        <c:ser>
          <c:idx val="0"/>
          <c:order val="0"/>
          <c:tx>
            <c:strRef>
              <c:f>'Biological Terrorism'!$C$903</c:f>
              <c:strCache>
                <c:ptCount val="1"/>
                <c:pt idx="0">
                  <c:v>HC System Prep</c:v>
                </c:pt>
              </c:strCache>
            </c:strRef>
          </c:tx>
          <c:spPr>
            <a:ln w="66675">
              <a:noFill/>
            </a:ln>
          </c:spPr>
          <c:dLbls>
            <c:dLbl>
              <c:idx val="0"/>
              <c:layout>
                <c:manualLayout>
                  <c:x val="0"/>
                  <c:y val="-7.2859744990892532E-3"/>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AE0E-4F30-A2F1-8FBA04FB36B5}"/>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'Biological Terrorism'!$J$904</c:f>
              <c:numCache>
                <c:formatCode>General</c:formatCode>
                <c:ptCount val="1"/>
                <c:pt idx="0">
                  <c:v>4</c:v>
                </c:pt>
              </c:numCache>
            </c:numRef>
          </c:xVal>
          <c:yVal>
            <c:numRef>
              <c:f>'Biological Terrorism'!$J$905</c:f>
              <c:numCache>
                <c:formatCode>General</c:formatCode>
                <c:ptCount val="1"/>
                <c:pt idx="0">
                  <c:v>0</c:v>
                </c:pt>
              </c:numCache>
            </c:numRef>
          </c:yVal>
          <c:smooth val="0"/>
          <c:extLst>
            <c:ext xmlns:c16="http://schemas.microsoft.com/office/drawing/2014/chart" uri="{C3380CC4-5D6E-409C-BE32-E72D297353CC}">
              <c16:uniqueId val="{00000001-AE0E-4F30-A2F1-8FBA04FB36B5}"/>
            </c:ext>
          </c:extLst>
        </c:ser>
        <c:ser>
          <c:idx val="1"/>
          <c:order val="1"/>
          <c:tx>
            <c:strRef>
              <c:f>'Biological Terrorism'!$C$907</c:f>
              <c:strCache>
                <c:ptCount val="1"/>
                <c:pt idx="0">
                  <c:v>HC System Recov</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'Biological Terrorism'!$J$908</c:f>
              <c:numCache>
                <c:formatCode>General</c:formatCode>
                <c:ptCount val="1"/>
                <c:pt idx="0">
                  <c:v>4</c:v>
                </c:pt>
              </c:numCache>
            </c:numRef>
          </c:xVal>
          <c:yVal>
            <c:numRef>
              <c:f>'Biological Terrorism'!$J$909</c:f>
              <c:numCache>
                <c:formatCode>General</c:formatCode>
                <c:ptCount val="1"/>
                <c:pt idx="0">
                  <c:v>0</c:v>
                </c:pt>
              </c:numCache>
            </c:numRef>
          </c:yVal>
          <c:smooth val="0"/>
          <c:extLst>
            <c:ext xmlns:c16="http://schemas.microsoft.com/office/drawing/2014/chart" uri="{C3380CC4-5D6E-409C-BE32-E72D297353CC}">
              <c16:uniqueId val="{00000002-AE0E-4F30-A2F1-8FBA04FB36B5}"/>
            </c:ext>
          </c:extLst>
        </c:ser>
        <c:ser>
          <c:idx val="2"/>
          <c:order val="2"/>
          <c:tx>
            <c:strRef>
              <c:f>'Biological Terrorism'!$C$911</c:f>
              <c:strCache>
                <c:ptCount val="1"/>
                <c:pt idx="0">
                  <c:v>Emerg Ops Coord</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'Biological Terrorism'!$J$912</c:f>
              <c:numCache>
                <c:formatCode>General</c:formatCode>
                <c:ptCount val="1"/>
                <c:pt idx="0">
                  <c:v>4</c:v>
                </c:pt>
              </c:numCache>
            </c:numRef>
          </c:xVal>
          <c:yVal>
            <c:numRef>
              <c:f>'Biological Terrorism'!$J$913</c:f>
              <c:numCache>
                <c:formatCode>General</c:formatCode>
                <c:ptCount val="1"/>
                <c:pt idx="0">
                  <c:v>0</c:v>
                </c:pt>
              </c:numCache>
            </c:numRef>
          </c:yVal>
          <c:smooth val="0"/>
          <c:extLst>
            <c:ext xmlns:c16="http://schemas.microsoft.com/office/drawing/2014/chart" uri="{C3380CC4-5D6E-409C-BE32-E72D297353CC}">
              <c16:uniqueId val="{00000003-AE0E-4F30-A2F1-8FBA04FB36B5}"/>
            </c:ext>
          </c:extLst>
        </c:ser>
        <c:ser>
          <c:idx val="3"/>
          <c:order val="3"/>
          <c:tx>
            <c:strRef>
              <c:f>'Biological Terrorism'!$C$915</c:f>
              <c:strCache>
                <c:ptCount val="1"/>
                <c:pt idx="0">
                  <c:v>Fatality Mgmt</c:v>
                </c:pt>
              </c:strCache>
            </c:strRef>
          </c:tx>
          <c:spPr>
            <a:ln w="66675">
              <a:noFill/>
            </a:ln>
          </c:spPr>
          <c:dLbls>
            <c:dLbl>
              <c:idx val="0"/>
              <c:layout>
                <c:manualLayout>
                  <c:x val="-0.14216219891634721"/>
                  <c:y val="-1.214329083181542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AE0E-4F30-A2F1-8FBA04FB36B5}"/>
                </c:ext>
              </c:extLst>
            </c:dLbl>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'Biological Terrorism'!$J$916</c:f>
              <c:numCache>
                <c:formatCode>General</c:formatCode>
                <c:ptCount val="1"/>
                <c:pt idx="0">
                  <c:v>4</c:v>
                </c:pt>
              </c:numCache>
            </c:numRef>
          </c:xVal>
          <c:yVal>
            <c:numRef>
              <c:f>'Biological Terrorism'!$J$917</c:f>
              <c:numCache>
                <c:formatCode>General</c:formatCode>
                <c:ptCount val="1"/>
                <c:pt idx="0">
                  <c:v>0</c:v>
                </c:pt>
              </c:numCache>
            </c:numRef>
          </c:yVal>
          <c:smooth val="0"/>
          <c:extLst>
            <c:ext xmlns:c16="http://schemas.microsoft.com/office/drawing/2014/chart" uri="{C3380CC4-5D6E-409C-BE32-E72D297353CC}">
              <c16:uniqueId val="{00000005-AE0E-4F30-A2F1-8FBA04FB36B5}"/>
            </c:ext>
          </c:extLst>
        </c:ser>
        <c:ser>
          <c:idx val="4"/>
          <c:order val="4"/>
          <c:tx>
            <c:strRef>
              <c:f>'Biological Terrorism'!$C$919</c:f>
              <c:strCache>
                <c:ptCount val="1"/>
                <c:pt idx="0">
                  <c:v>Info Sharing</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'Biological Terrorism'!$J$920</c:f>
              <c:numCache>
                <c:formatCode>General</c:formatCode>
                <c:ptCount val="1"/>
                <c:pt idx="0">
                  <c:v>4</c:v>
                </c:pt>
              </c:numCache>
            </c:numRef>
          </c:xVal>
          <c:yVal>
            <c:numRef>
              <c:f>'Biological Terrorism'!$J$921</c:f>
              <c:numCache>
                <c:formatCode>General</c:formatCode>
                <c:ptCount val="1"/>
                <c:pt idx="0">
                  <c:v>0</c:v>
                </c:pt>
              </c:numCache>
            </c:numRef>
          </c:yVal>
          <c:smooth val="0"/>
          <c:extLst>
            <c:ext xmlns:c16="http://schemas.microsoft.com/office/drawing/2014/chart" uri="{C3380CC4-5D6E-409C-BE32-E72D297353CC}">
              <c16:uniqueId val="{00000006-AE0E-4F30-A2F1-8FBA04FB36B5}"/>
            </c:ext>
          </c:extLst>
        </c:ser>
        <c:ser>
          <c:idx val="5"/>
          <c:order val="5"/>
          <c:tx>
            <c:strRef>
              <c:f>'Biological Terrorism'!$C$923</c:f>
              <c:strCache>
                <c:ptCount val="1"/>
                <c:pt idx="0">
                  <c:v>Medical Surge</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'Biological Terrorism'!$J$924</c:f>
              <c:numCache>
                <c:formatCode>General</c:formatCode>
                <c:ptCount val="1"/>
                <c:pt idx="0">
                  <c:v>4</c:v>
                </c:pt>
              </c:numCache>
            </c:numRef>
          </c:xVal>
          <c:yVal>
            <c:numRef>
              <c:f>'Biological Terrorism'!$J$925</c:f>
              <c:numCache>
                <c:formatCode>General</c:formatCode>
                <c:ptCount val="1"/>
                <c:pt idx="0">
                  <c:v>0</c:v>
                </c:pt>
              </c:numCache>
            </c:numRef>
          </c:yVal>
          <c:smooth val="0"/>
          <c:extLst>
            <c:ext xmlns:c16="http://schemas.microsoft.com/office/drawing/2014/chart" uri="{C3380CC4-5D6E-409C-BE32-E72D297353CC}">
              <c16:uniqueId val="{00000007-AE0E-4F30-A2F1-8FBA04FB36B5}"/>
            </c:ext>
          </c:extLst>
        </c:ser>
        <c:ser>
          <c:idx val="6"/>
          <c:order val="6"/>
          <c:tx>
            <c:strRef>
              <c:f>'Biological Terrorism'!$C$927</c:f>
              <c:strCache>
                <c:ptCount val="1"/>
                <c:pt idx="0">
                  <c:v>Responder Safety</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'Biological Terrorism'!$J$928</c:f>
              <c:numCache>
                <c:formatCode>General</c:formatCode>
                <c:ptCount val="1"/>
                <c:pt idx="0">
                  <c:v>4</c:v>
                </c:pt>
              </c:numCache>
            </c:numRef>
          </c:xVal>
          <c:yVal>
            <c:numRef>
              <c:f>'Biological Terrorism'!$J$929</c:f>
              <c:numCache>
                <c:formatCode>General</c:formatCode>
                <c:ptCount val="1"/>
                <c:pt idx="0">
                  <c:v>0</c:v>
                </c:pt>
              </c:numCache>
            </c:numRef>
          </c:yVal>
          <c:smooth val="0"/>
          <c:extLst>
            <c:ext xmlns:c16="http://schemas.microsoft.com/office/drawing/2014/chart" uri="{C3380CC4-5D6E-409C-BE32-E72D297353CC}">
              <c16:uniqueId val="{00000008-AE0E-4F30-A2F1-8FBA04FB36B5}"/>
            </c:ext>
          </c:extLst>
        </c:ser>
        <c:ser>
          <c:idx val="7"/>
          <c:order val="7"/>
          <c:tx>
            <c:strRef>
              <c:f>'Biological Terrorism'!$C$931</c:f>
              <c:strCache>
                <c:ptCount val="1"/>
                <c:pt idx="0">
                  <c:v>Volunteer Mgmt</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'Biological Terrorism'!$J$932</c:f>
              <c:numCache>
                <c:formatCode>General</c:formatCode>
                <c:ptCount val="1"/>
                <c:pt idx="0">
                  <c:v>4</c:v>
                </c:pt>
              </c:numCache>
            </c:numRef>
          </c:xVal>
          <c:yVal>
            <c:numRef>
              <c:f>'Biological Terrorism'!$J$933</c:f>
              <c:numCache>
                <c:formatCode>General</c:formatCode>
                <c:ptCount val="1"/>
                <c:pt idx="0">
                  <c:v>0</c:v>
                </c:pt>
              </c:numCache>
            </c:numRef>
          </c:yVal>
          <c:smooth val="0"/>
          <c:extLst>
            <c:ext xmlns:c16="http://schemas.microsoft.com/office/drawing/2014/chart" uri="{C3380CC4-5D6E-409C-BE32-E72D297353CC}">
              <c16:uniqueId val="{00000009-AE0E-4F30-A2F1-8FBA04FB36B5}"/>
            </c:ext>
          </c:extLst>
        </c:ser>
        <c:ser>
          <c:idx val="14"/>
          <c:order val="8"/>
          <c:tx>
            <c:strRef>
              <c:f>'Biological Terrorism'!$C$964</c:f>
              <c:strCache>
                <c:ptCount val="1"/>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'Biological Terrorism'!$J$965</c:f>
              <c:numCache>
                <c:formatCode>General</c:formatCode>
                <c:ptCount val="1"/>
              </c:numCache>
            </c:numRef>
          </c:xVal>
          <c:yVal>
            <c:numRef>
              <c:f>'Biological Terrorism'!$J$966</c:f>
            </c:numRef>
          </c:yVal>
          <c:smooth val="0"/>
          <c:extLst>
            <c:ext xmlns:c16="http://schemas.microsoft.com/office/drawing/2014/chart" uri="{C3380CC4-5D6E-409C-BE32-E72D297353CC}">
              <c16:uniqueId val="{0000000A-AE0E-4F30-A2F1-8FBA04FB36B5}"/>
            </c:ext>
          </c:extLst>
        </c:ser>
        <c:dLbls>
          <c:showLegendKey val="0"/>
          <c:showVal val="1"/>
          <c:showCatName val="0"/>
          <c:showSerName val="0"/>
          <c:showPercent val="0"/>
          <c:showBubbleSize val="0"/>
        </c:dLbls>
        <c:axId val="193580416"/>
        <c:axId val="193484288"/>
      </c:scatterChart>
      <c:valAx>
        <c:axId val="193580416"/>
        <c:scaling>
          <c:orientation val="minMax"/>
          <c:max val="4.5"/>
          <c:min val="0"/>
        </c:scaling>
        <c:delete val="0"/>
        <c:axPos val="b"/>
        <c:majorGridlines/>
        <c:title>
          <c:tx>
            <c:rich>
              <a:bodyPr/>
              <a:lstStyle/>
              <a:p>
                <a:pPr>
                  <a:defRPr b="0">
                    <a:latin typeface="+mj-lt"/>
                  </a:defRPr>
                </a:pPr>
                <a:r>
                  <a:rPr lang="en-US" sz="1600" b="0">
                    <a:latin typeface="+mj-lt"/>
                  </a:rPr>
                  <a:t>Capability Relevance to Hazard</a:t>
                </a:r>
              </a:p>
            </c:rich>
          </c:tx>
          <c:overlay val="0"/>
        </c:title>
        <c:numFmt formatCode="General" sourceLinked="1"/>
        <c:majorTickMark val="out"/>
        <c:minorTickMark val="none"/>
        <c:tickLblPos val="nextTo"/>
        <c:spPr>
          <a:ln>
            <a:solidFill>
              <a:schemeClr val="tx1"/>
            </a:solidFill>
          </a:ln>
        </c:spPr>
        <c:crossAx val="193484288"/>
        <c:crosses val="autoZero"/>
        <c:crossBetween val="midCat"/>
        <c:majorUnit val="1"/>
        <c:minorUnit val="0.1"/>
      </c:valAx>
      <c:valAx>
        <c:axId val="193484288"/>
        <c:scaling>
          <c:orientation val="minMax"/>
          <c:max val="4.5"/>
          <c:min val="0"/>
        </c:scaling>
        <c:delete val="0"/>
        <c:axPos val="l"/>
        <c:majorGridlines/>
        <c:title>
          <c:tx>
            <c:rich>
              <a:bodyPr rot="-5400000" vert="horz"/>
              <a:lstStyle/>
              <a:p>
                <a:pPr>
                  <a:defRPr sz="1600" b="0">
                    <a:latin typeface="+mj-lt"/>
                  </a:defRPr>
                </a:pPr>
                <a:r>
                  <a:rPr lang="en-US" sz="1600" b="0">
                    <a:latin typeface="+mj-lt"/>
                  </a:rPr>
                  <a:t>Capability Status</a:t>
                </a:r>
              </a:p>
            </c:rich>
          </c:tx>
          <c:overlay val="0"/>
        </c:title>
        <c:numFmt formatCode="General" sourceLinked="1"/>
        <c:majorTickMark val="out"/>
        <c:minorTickMark val="none"/>
        <c:tickLblPos val="nextTo"/>
        <c:spPr>
          <a:ln>
            <a:solidFill>
              <a:schemeClr val="tx1"/>
            </a:solidFill>
          </a:ln>
        </c:spPr>
        <c:crossAx val="193580416"/>
        <c:crosses val="autoZero"/>
        <c:crossBetween val="midCat"/>
        <c:majorUnit val="1"/>
        <c:minorUnit val="0.1"/>
      </c:valAx>
      <c:spPr>
        <a:gradFill flip="none" rotWithShape="1">
          <a:gsLst>
            <a:gs pos="0">
              <a:srgbClr val="63BE7B"/>
            </a:gs>
            <a:gs pos="50000">
              <a:srgbClr val="FFEB84"/>
            </a:gs>
            <a:gs pos="100000">
              <a:srgbClr val="F8696B"/>
            </a:gs>
          </a:gsLst>
          <a:lin ang="27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b="0" u="sng">
                <a:latin typeface="+mj-lt"/>
              </a:defRPr>
            </a:pPr>
            <a:r>
              <a:rPr lang="en-US" b="0" u="sng">
                <a:latin typeface="+mj-lt"/>
              </a:rPr>
              <a:t>At-Risk Populations</a:t>
            </a:r>
          </a:p>
        </c:rich>
      </c:tx>
      <c:layout>
        <c:manualLayout>
          <c:xMode val="edge"/>
          <c:yMode val="edge"/>
          <c:x val="0.37636858589702443"/>
          <c:y val="1.3244983721297133E-2"/>
        </c:manualLayout>
      </c:layout>
      <c:overlay val="0"/>
    </c:title>
    <c:autoTitleDeleted val="0"/>
    <c:plotArea>
      <c:layout/>
      <c:scatterChart>
        <c:scatterStyle val="lineMarker"/>
        <c:varyColors val="0"/>
        <c:ser>
          <c:idx val="0"/>
          <c:order val="0"/>
          <c:tx>
            <c:strRef>
              <c:f>'Chemical Terrorism'!$C$793</c:f>
              <c:strCache>
                <c:ptCount val="1"/>
                <c:pt idx="0">
                  <c:v>Poverty</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'Chemical Terrorism'!$J$795</c:f>
              <c:numCache>
                <c:formatCode>General</c:formatCode>
                <c:ptCount val="1"/>
                <c:pt idx="0">
                  <c:v>3</c:v>
                </c:pt>
              </c:numCache>
            </c:numRef>
          </c:xVal>
          <c:yVal>
            <c:numRef>
              <c:f>'Chemical Terrorism'!$J$794</c:f>
              <c:numCache>
                <c:formatCode>General</c:formatCode>
                <c:ptCount val="1"/>
                <c:pt idx="0">
                  <c:v>0</c:v>
                </c:pt>
              </c:numCache>
            </c:numRef>
          </c:yVal>
          <c:smooth val="0"/>
          <c:extLst>
            <c:ext xmlns:c16="http://schemas.microsoft.com/office/drawing/2014/chart" uri="{C3380CC4-5D6E-409C-BE32-E72D297353CC}">
              <c16:uniqueId val="{00000000-22FD-417A-A7E5-E18C826A23A7}"/>
            </c:ext>
          </c:extLst>
        </c:ser>
        <c:ser>
          <c:idx val="1"/>
          <c:order val="1"/>
          <c:tx>
            <c:strRef>
              <c:f>'Chemical Terrorism'!$C$797</c:f>
              <c:strCache>
                <c:ptCount val="1"/>
                <c:pt idx="0">
                  <c:v>Chronic Diseases (Diabetes)</c:v>
                </c:pt>
              </c:strCache>
            </c:strRef>
          </c:tx>
          <c:spPr>
            <a:ln w="66675">
              <a:noFill/>
            </a:ln>
          </c:spPr>
          <c:dLbls>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'Chemical Terrorism'!$J$799</c:f>
              <c:numCache>
                <c:formatCode>General</c:formatCode>
                <c:ptCount val="1"/>
                <c:pt idx="0">
                  <c:v>3</c:v>
                </c:pt>
              </c:numCache>
            </c:numRef>
          </c:xVal>
          <c:yVal>
            <c:numRef>
              <c:f>'Chemical Terrorism'!$J$798</c:f>
              <c:numCache>
                <c:formatCode>General</c:formatCode>
                <c:ptCount val="1"/>
                <c:pt idx="0">
                  <c:v>0</c:v>
                </c:pt>
              </c:numCache>
            </c:numRef>
          </c:yVal>
          <c:smooth val="0"/>
          <c:extLst>
            <c:ext xmlns:c16="http://schemas.microsoft.com/office/drawing/2014/chart" uri="{C3380CC4-5D6E-409C-BE32-E72D297353CC}">
              <c16:uniqueId val="{00000001-22FD-417A-A7E5-E18C826A23A7}"/>
            </c:ext>
          </c:extLst>
        </c:ser>
        <c:ser>
          <c:idx val="2"/>
          <c:order val="2"/>
          <c:tx>
            <c:strRef>
              <c:f>'Chemical Terrorism'!$C$801</c:f>
              <c:strCache>
                <c:ptCount val="1"/>
                <c:pt idx="0">
                  <c:v>Children 18 and under</c:v>
                </c:pt>
              </c:strCache>
            </c:strRef>
          </c:tx>
          <c:spPr>
            <a:ln w="66675">
              <a:noFill/>
            </a:ln>
          </c:spPr>
          <c:dLbls>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'Chemical Terrorism'!$J$803</c:f>
              <c:numCache>
                <c:formatCode>General</c:formatCode>
                <c:ptCount val="1"/>
                <c:pt idx="0">
                  <c:v>4</c:v>
                </c:pt>
              </c:numCache>
            </c:numRef>
          </c:xVal>
          <c:yVal>
            <c:numRef>
              <c:f>'Chemical Terrorism'!$J$802</c:f>
              <c:numCache>
                <c:formatCode>General</c:formatCode>
                <c:ptCount val="1"/>
                <c:pt idx="0">
                  <c:v>0</c:v>
                </c:pt>
              </c:numCache>
            </c:numRef>
          </c:yVal>
          <c:smooth val="0"/>
          <c:extLst>
            <c:ext xmlns:c16="http://schemas.microsoft.com/office/drawing/2014/chart" uri="{C3380CC4-5D6E-409C-BE32-E72D297353CC}">
              <c16:uniqueId val="{00000002-22FD-417A-A7E5-E18C826A23A7}"/>
            </c:ext>
          </c:extLst>
        </c:ser>
        <c:ser>
          <c:idx val="3"/>
          <c:order val="3"/>
          <c:tx>
            <c:strRef>
              <c:f>'Chemical Terrorism'!$C$805</c:f>
              <c:strCache>
                <c:ptCount val="1"/>
                <c:pt idx="0">
                  <c:v>Elderly 65 and older</c:v>
                </c:pt>
              </c:strCache>
            </c:strRef>
          </c:tx>
          <c:spPr>
            <a:ln w="66675">
              <a:noFill/>
            </a:ln>
          </c:spPr>
          <c:dLbls>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'Chemical Terrorism'!$J$806</c:f>
              <c:numCache>
                <c:formatCode>General</c:formatCode>
                <c:ptCount val="1"/>
                <c:pt idx="0">
                  <c:v>0</c:v>
                </c:pt>
              </c:numCache>
            </c:numRef>
          </c:xVal>
          <c:yVal>
            <c:numRef>
              <c:f>'Chemical Terrorism'!$J$806</c:f>
              <c:numCache>
                <c:formatCode>General</c:formatCode>
                <c:ptCount val="1"/>
                <c:pt idx="0">
                  <c:v>0</c:v>
                </c:pt>
              </c:numCache>
            </c:numRef>
          </c:yVal>
          <c:smooth val="0"/>
          <c:extLst>
            <c:ext xmlns:c16="http://schemas.microsoft.com/office/drawing/2014/chart" uri="{C3380CC4-5D6E-409C-BE32-E72D297353CC}">
              <c16:uniqueId val="{00000003-22FD-417A-A7E5-E18C826A23A7}"/>
            </c:ext>
          </c:extLst>
        </c:ser>
        <c:ser>
          <c:idx val="4"/>
          <c:order val="4"/>
          <c:tx>
            <c:strRef>
              <c:f>'Chemical Terrorism'!$C$773</c:f>
              <c:strCache>
                <c:ptCount val="1"/>
                <c:pt idx="0">
                  <c:v>Hearing Disability</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'Chemical Terrorism'!$J$775</c:f>
              <c:numCache>
                <c:formatCode>General</c:formatCode>
                <c:ptCount val="1"/>
                <c:pt idx="0">
                  <c:v>3</c:v>
                </c:pt>
              </c:numCache>
            </c:numRef>
          </c:xVal>
          <c:yVal>
            <c:numRef>
              <c:f>'Chemical Terrorism'!$J$774</c:f>
              <c:numCache>
                <c:formatCode>General</c:formatCode>
                <c:ptCount val="1"/>
                <c:pt idx="0">
                  <c:v>0</c:v>
                </c:pt>
              </c:numCache>
            </c:numRef>
          </c:yVal>
          <c:smooth val="0"/>
          <c:extLst>
            <c:ext xmlns:c16="http://schemas.microsoft.com/office/drawing/2014/chart" uri="{C3380CC4-5D6E-409C-BE32-E72D297353CC}">
              <c16:uniqueId val="{00000004-22FD-417A-A7E5-E18C826A23A7}"/>
            </c:ext>
          </c:extLst>
        </c:ser>
        <c:ser>
          <c:idx val="5"/>
          <c:order val="5"/>
          <c:tx>
            <c:strRef>
              <c:f>'Chemical Terrorism'!$C$777</c:f>
              <c:strCache>
                <c:ptCount val="1"/>
                <c:pt idx="0">
                  <c:v>Vision Disability</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'Chemical Terrorism'!$J$779</c:f>
              <c:numCache>
                <c:formatCode>General</c:formatCode>
                <c:ptCount val="1"/>
                <c:pt idx="0">
                  <c:v>4</c:v>
                </c:pt>
              </c:numCache>
            </c:numRef>
          </c:xVal>
          <c:yVal>
            <c:numRef>
              <c:f>'Chemical Terrorism'!$J$778</c:f>
              <c:numCache>
                <c:formatCode>General</c:formatCode>
                <c:ptCount val="1"/>
                <c:pt idx="0">
                  <c:v>0</c:v>
                </c:pt>
              </c:numCache>
            </c:numRef>
          </c:yVal>
          <c:smooth val="0"/>
          <c:extLst>
            <c:ext xmlns:c16="http://schemas.microsoft.com/office/drawing/2014/chart" uri="{C3380CC4-5D6E-409C-BE32-E72D297353CC}">
              <c16:uniqueId val="{00000005-22FD-417A-A7E5-E18C826A23A7}"/>
            </c:ext>
          </c:extLst>
        </c:ser>
        <c:ser>
          <c:idx val="6"/>
          <c:order val="6"/>
          <c:tx>
            <c:strRef>
              <c:f>'Chemical Terrorism'!$C$781</c:f>
              <c:strCache>
                <c:ptCount val="1"/>
                <c:pt idx="0">
                  <c:v>Ambulatory Disability</c:v>
                </c:pt>
              </c:strCache>
            </c:strRef>
          </c:tx>
          <c:spPr>
            <a:ln w="66675">
              <a:noFill/>
            </a:ln>
          </c:spPr>
          <c:dLbls>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'Chemical Terrorism'!$J$783</c:f>
              <c:numCache>
                <c:formatCode>General</c:formatCode>
                <c:ptCount val="1"/>
                <c:pt idx="0">
                  <c:v>3</c:v>
                </c:pt>
              </c:numCache>
            </c:numRef>
          </c:xVal>
          <c:yVal>
            <c:numRef>
              <c:f>'Chemical Terrorism'!$J$782</c:f>
              <c:numCache>
                <c:formatCode>General</c:formatCode>
                <c:ptCount val="1"/>
                <c:pt idx="0">
                  <c:v>0</c:v>
                </c:pt>
              </c:numCache>
            </c:numRef>
          </c:yVal>
          <c:smooth val="0"/>
          <c:extLst>
            <c:ext xmlns:c16="http://schemas.microsoft.com/office/drawing/2014/chart" uri="{C3380CC4-5D6E-409C-BE32-E72D297353CC}">
              <c16:uniqueId val="{00000006-22FD-417A-A7E5-E18C826A23A7}"/>
            </c:ext>
          </c:extLst>
        </c:ser>
        <c:ser>
          <c:idx val="7"/>
          <c:order val="7"/>
          <c:tx>
            <c:strRef>
              <c:f>'Chemical Terrorism'!$C$785</c:f>
              <c:strCache>
                <c:ptCount val="1"/>
                <c:pt idx="0">
                  <c:v>Cognitive Disability</c:v>
                </c:pt>
              </c:strCache>
            </c:strRef>
          </c:tx>
          <c:spPr>
            <a:ln w="66675">
              <a:noFill/>
            </a:ln>
          </c:spPr>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22FD-417A-A7E5-E18C826A23A7}"/>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'Chemical Terrorism'!$J$787</c:f>
              <c:numCache>
                <c:formatCode>General</c:formatCode>
                <c:ptCount val="1"/>
                <c:pt idx="0">
                  <c:v>4</c:v>
                </c:pt>
              </c:numCache>
            </c:numRef>
          </c:xVal>
          <c:yVal>
            <c:numRef>
              <c:f>'Chemical Terrorism'!$J$786</c:f>
              <c:numCache>
                <c:formatCode>General</c:formatCode>
                <c:ptCount val="1"/>
                <c:pt idx="0">
                  <c:v>0</c:v>
                </c:pt>
              </c:numCache>
            </c:numRef>
          </c:yVal>
          <c:smooth val="0"/>
          <c:extLst>
            <c:ext xmlns:c16="http://schemas.microsoft.com/office/drawing/2014/chart" uri="{C3380CC4-5D6E-409C-BE32-E72D297353CC}">
              <c16:uniqueId val="{00000008-22FD-417A-A7E5-E18C826A23A7}"/>
            </c:ext>
          </c:extLst>
        </c:ser>
        <c:ser>
          <c:idx val="8"/>
          <c:order val="8"/>
          <c:tx>
            <c:strRef>
              <c:f>'Chemical Terrorism'!$C$789</c:f>
              <c:strCache>
                <c:ptCount val="1"/>
                <c:pt idx="0">
                  <c:v>Limited English Proficiency</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'Chemical Terrorism'!$J$791</c:f>
              <c:numCache>
                <c:formatCode>General</c:formatCode>
                <c:ptCount val="1"/>
                <c:pt idx="0">
                  <c:v>3</c:v>
                </c:pt>
              </c:numCache>
            </c:numRef>
          </c:xVal>
          <c:yVal>
            <c:numRef>
              <c:f>'Chemical Terrorism'!$J$790</c:f>
              <c:numCache>
                <c:formatCode>General</c:formatCode>
                <c:ptCount val="1"/>
                <c:pt idx="0">
                  <c:v>0</c:v>
                </c:pt>
              </c:numCache>
            </c:numRef>
          </c:yVal>
          <c:smooth val="0"/>
          <c:extLst>
            <c:ext xmlns:c16="http://schemas.microsoft.com/office/drawing/2014/chart" uri="{C3380CC4-5D6E-409C-BE32-E72D297353CC}">
              <c16:uniqueId val="{00000009-22FD-417A-A7E5-E18C826A23A7}"/>
            </c:ext>
          </c:extLst>
        </c:ser>
        <c:dLbls>
          <c:showLegendKey val="0"/>
          <c:showVal val="1"/>
          <c:showCatName val="0"/>
          <c:showSerName val="0"/>
          <c:showPercent val="0"/>
          <c:showBubbleSize val="0"/>
        </c:dLbls>
        <c:axId val="193682816"/>
        <c:axId val="193709568"/>
      </c:scatterChart>
      <c:valAx>
        <c:axId val="193682816"/>
        <c:scaling>
          <c:orientation val="minMax"/>
          <c:max val="4.5"/>
          <c:min val="0"/>
        </c:scaling>
        <c:delete val="0"/>
        <c:axPos val="b"/>
        <c:majorGridlines/>
        <c:title>
          <c:tx>
            <c:rich>
              <a:bodyPr/>
              <a:lstStyle/>
              <a:p>
                <a:pPr>
                  <a:defRPr b="0">
                    <a:latin typeface="+mj-lt"/>
                  </a:defRPr>
                </a:pPr>
                <a:r>
                  <a:rPr lang="en-US" sz="1600" b="0">
                    <a:latin typeface="+mj-lt"/>
                  </a:rPr>
                  <a:t>Access Planning Score</a:t>
                </a:r>
              </a:p>
            </c:rich>
          </c:tx>
          <c:overlay val="0"/>
        </c:title>
        <c:numFmt formatCode="General" sourceLinked="1"/>
        <c:majorTickMark val="out"/>
        <c:minorTickMark val="none"/>
        <c:tickLblPos val="nextTo"/>
        <c:spPr>
          <a:ln>
            <a:solidFill>
              <a:schemeClr val="tx1"/>
            </a:solidFill>
          </a:ln>
        </c:spPr>
        <c:crossAx val="193709568"/>
        <c:crosses val="autoZero"/>
        <c:crossBetween val="midCat"/>
        <c:majorUnit val="1"/>
        <c:minorUnit val="0.1"/>
      </c:valAx>
      <c:valAx>
        <c:axId val="193709568"/>
        <c:scaling>
          <c:orientation val="minMax"/>
          <c:max val="4.5"/>
          <c:min val="0"/>
        </c:scaling>
        <c:delete val="0"/>
        <c:axPos val="l"/>
        <c:majorGridlines/>
        <c:title>
          <c:tx>
            <c:rich>
              <a:bodyPr rot="-5400000" vert="horz"/>
              <a:lstStyle/>
              <a:p>
                <a:pPr>
                  <a:defRPr sz="1600" b="0">
                    <a:latin typeface="+mj-lt"/>
                  </a:defRPr>
                </a:pPr>
                <a:r>
                  <a:rPr lang="en-US" sz="1600" b="0">
                    <a:latin typeface="+mj-lt"/>
                  </a:rPr>
                  <a:t>Population Size Score</a:t>
                </a:r>
              </a:p>
            </c:rich>
          </c:tx>
          <c:overlay val="0"/>
        </c:title>
        <c:numFmt formatCode="General" sourceLinked="1"/>
        <c:majorTickMark val="out"/>
        <c:minorTickMark val="none"/>
        <c:tickLblPos val="nextTo"/>
        <c:spPr>
          <a:ln>
            <a:solidFill>
              <a:schemeClr val="tx1"/>
            </a:solidFill>
          </a:ln>
        </c:spPr>
        <c:crossAx val="193682816"/>
        <c:crosses val="autoZero"/>
        <c:crossBetween val="midCat"/>
        <c:majorUnit val="1"/>
        <c:minorUnit val="0.1"/>
      </c:valAx>
      <c:spPr>
        <a:gradFill flip="none" rotWithShape="1">
          <a:gsLst>
            <a:gs pos="0">
              <a:srgbClr val="63BE7B"/>
            </a:gs>
            <a:gs pos="50000">
              <a:srgbClr val="FFEB84"/>
            </a:gs>
            <a:gs pos="100000">
              <a:srgbClr val="F8696B"/>
            </a:gs>
          </a:gsLst>
          <a:lin ang="189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b="0" u="sng">
                <a:latin typeface="+mj-lt"/>
              </a:defRPr>
            </a:pPr>
            <a:r>
              <a:rPr lang="en-US" b="0" u="sng">
                <a:latin typeface="+mj-lt"/>
              </a:rPr>
              <a:t>Severity</a:t>
            </a:r>
          </a:p>
        </c:rich>
      </c:tx>
      <c:layout>
        <c:manualLayout>
          <c:xMode val="edge"/>
          <c:yMode val="edge"/>
          <c:x val="0.46889233641333816"/>
          <c:y val="1.3244983721297133E-2"/>
        </c:manualLayout>
      </c:layout>
      <c:overlay val="0"/>
    </c:title>
    <c:autoTitleDeleted val="0"/>
    <c:plotArea>
      <c:layout/>
      <c:barChart>
        <c:barDir val="col"/>
        <c:grouping val="clustered"/>
        <c:varyColors val="0"/>
        <c:ser>
          <c:idx val="0"/>
          <c:order val="0"/>
          <c:tx>
            <c:v>Severity</c:v>
          </c:tx>
          <c:spPr>
            <a:solidFill>
              <a:schemeClr val="accent4">
                <a:lumMod val="60000"/>
                <a:lumOff val="40000"/>
              </a:schemeClr>
            </a:solidFill>
            <a:ln>
              <a:solidFill>
                <a:schemeClr val="accent4"/>
              </a:solidFill>
            </a:ln>
            <a:scene3d>
              <a:camera prst="orthographicFront"/>
              <a:lightRig rig="threePt" dir="t"/>
            </a:scene3d>
            <a:sp3d prstMaterial="matte">
              <a:bevelT/>
            </a:sp3d>
          </c:spPr>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('Active Shooter'!$G$22,'Active Shooter'!$G$137,'Active Shooter'!$G$265,'Active Shooter'!$G$425,'Active Shooter'!$G$543)</c:f>
              <c:strCache>
                <c:ptCount val="5"/>
                <c:pt idx="0">
                  <c:v>Human Impact</c:v>
                </c:pt>
                <c:pt idx="1">
                  <c:v>Healthcare Service Impact</c:v>
                </c:pt>
                <c:pt idx="2">
                  <c:v>Inpatient Healthcare Facility Infrastructure Impact</c:v>
                </c:pt>
                <c:pt idx="3">
                  <c:v>Community Impact</c:v>
                </c:pt>
                <c:pt idx="4">
                  <c:v>Public Health Service Impact</c:v>
                </c:pt>
              </c:strCache>
            </c:strRef>
          </c:cat>
          <c:val>
            <c:numRef>
              <c:f>('Chemical Terrorism'!$J$133,'Chemical Terrorism'!$J$261,'Chemical Terrorism'!$J$421,'Chemical Terrorism'!$J$539,'Chemical Terrorism'!$J$681)</c:f>
              <c:numCache>
                <c:formatCode>0.00</c:formatCode>
                <c:ptCount val="5"/>
                <c:pt idx="0">
                  <c:v>0</c:v>
                </c:pt>
                <c:pt idx="1">
                  <c:v>0</c:v>
                </c:pt>
                <c:pt idx="2">
                  <c:v>1.75</c:v>
                </c:pt>
                <c:pt idx="3">
                  <c:v>0.7857142857142857</c:v>
                </c:pt>
                <c:pt idx="4">
                  <c:v>0</c:v>
                </c:pt>
              </c:numCache>
            </c:numRef>
          </c:val>
          <c:extLst>
            <c:ext xmlns:c16="http://schemas.microsoft.com/office/drawing/2014/chart" uri="{C3380CC4-5D6E-409C-BE32-E72D297353CC}">
              <c16:uniqueId val="{00000000-0F58-415F-8C12-53F0D224422E}"/>
            </c:ext>
          </c:extLst>
        </c:ser>
        <c:dLbls>
          <c:showLegendKey val="0"/>
          <c:showVal val="1"/>
          <c:showCatName val="0"/>
          <c:showSerName val="0"/>
          <c:showPercent val="0"/>
          <c:showBubbleSize val="0"/>
        </c:dLbls>
        <c:gapWidth val="150"/>
        <c:axId val="193861120"/>
        <c:axId val="193863040"/>
      </c:barChart>
      <c:catAx>
        <c:axId val="193861120"/>
        <c:scaling>
          <c:orientation val="minMax"/>
        </c:scaling>
        <c:delete val="0"/>
        <c:axPos val="b"/>
        <c:title>
          <c:tx>
            <c:rich>
              <a:bodyPr/>
              <a:lstStyle/>
              <a:p>
                <a:pPr>
                  <a:defRPr sz="1600" b="0">
                    <a:latin typeface="+mj-lt"/>
                  </a:defRPr>
                </a:pPr>
                <a:r>
                  <a:rPr lang="en-US" sz="1600" b="0">
                    <a:latin typeface="+mj-lt"/>
                  </a:rPr>
                  <a:t>Domain</a:t>
                </a:r>
              </a:p>
            </c:rich>
          </c:tx>
          <c:overlay val="0"/>
        </c:title>
        <c:numFmt formatCode="General" sourceLinked="1"/>
        <c:majorTickMark val="out"/>
        <c:minorTickMark val="none"/>
        <c:tickLblPos val="nextTo"/>
        <c:crossAx val="193863040"/>
        <c:crosses val="autoZero"/>
        <c:auto val="1"/>
        <c:lblAlgn val="ctr"/>
        <c:lblOffset val="100"/>
        <c:noMultiLvlLbl val="0"/>
      </c:catAx>
      <c:valAx>
        <c:axId val="193863040"/>
        <c:scaling>
          <c:orientation val="minMax"/>
          <c:max val="4"/>
        </c:scaling>
        <c:delete val="0"/>
        <c:axPos val="l"/>
        <c:majorGridlines/>
        <c:title>
          <c:tx>
            <c:rich>
              <a:bodyPr rot="-5400000" vert="horz"/>
              <a:lstStyle/>
              <a:p>
                <a:pPr>
                  <a:defRPr sz="1600" b="0">
                    <a:latin typeface="+mj-lt"/>
                  </a:defRPr>
                </a:pPr>
                <a:r>
                  <a:rPr lang="en-US" sz="1600" b="0">
                    <a:latin typeface="+mj-lt"/>
                  </a:rPr>
                  <a:t>Severity</a:t>
                </a:r>
                <a:r>
                  <a:rPr lang="en-US" sz="1600" b="0" baseline="0">
                    <a:latin typeface="+mj-lt"/>
                  </a:rPr>
                  <a:t> Score</a:t>
                </a:r>
                <a:endParaRPr lang="en-US" sz="1600" b="0">
                  <a:latin typeface="+mj-lt"/>
                </a:endParaRPr>
              </a:p>
            </c:rich>
          </c:tx>
          <c:overlay val="0"/>
        </c:title>
        <c:numFmt formatCode="0.00" sourceLinked="1"/>
        <c:majorTickMark val="out"/>
        <c:minorTickMark val="none"/>
        <c:tickLblPos val="nextTo"/>
        <c:crossAx val="193861120"/>
        <c:crosses val="autoZero"/>
        <c:crossBetween val="between"/>
      </c:valAx>
      <c:spPr>
        <a:gradFill flip="none" rotWithShape="1">
          <a:gsLst>
            <a:gs pos="0">
              <a:srgbClr val="63BE7B"/>
            </a:gs>
            <a:gs pos="50000">
              <a:srgbClr val="FFEB84"/>
            </a:gs>
            <a:gs pos="100000">
              <a:srgbClr val="F8696B"/>
            </a:gs>
          </a:gsLst>
          <a:lin ang="162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defRPr b="0" u="sng">
                <a:latin typeface="+mj-lt"/>
              </a:defRPr>
            </a:pPr>
            <a:r>
              <a:rPr lang="en-US" b="0" u="sng">
                <a:latin typeface="+mj-lt"/>
              </a:rPr>
              <a:t>Public Health Preparedness</a:t>
            </a:r>
          </a:p>
        </c:rich>
      </c:tx>
      <c:layout>
        <c:manualLayout>
          <c:xMode val="edge"/>
          <c:yMode val="edge"/>
          <c:x val="0.30532356317913883"/>
          <c:y val="1.3244983721297133E-2"/>
        </c:manualLayout>
      </c:layout>
      <c:overlay val="0"/>
    </c:title>
    <c:autoTitleDeleted val="0"/>
    <c:plotArea>
      <c:layout/>
      <c:scatterChart>
        <c:scatterStyle val="lineMarker"/>
        <c:varyColors val="0"/>
        <c:ser>
          <c:idx val="0"/>
          <c:order val="0"/>
          <c:tx>
            <c:strRef>
              <c:f>'Chemical Terrorism'!$C$853</c:f>
              <c:strCache>
                <c:ptCount val="1"/>
                <c:pt idx="0">
                  <c:v>Info Sharing</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'Chemical Terrorism'!$J$854</c:f>
              <c:numCache>
                <c:formatCode>General</c:formatCode>
                <c:ptCount val="1"/>
                <c:pt idx="0">
                  <c:v>4</c:v>
                </c:pt>
              </c:numCache>
            </c:numRef>
          </c:xVal>
          <c:yVal>
            <c:numRef>
              <c:f>'Chemical Terrorism'!$J$855</c:f>
              <c:numCache>
                <c:formatCode>General</c:formatCode>
                <c:ptCount val="1"/>
                <c:pt idx="0">
                  <c:v>0</c:v>
                </c:pt>
              </c:numCache>
            </c:numRef>
          </c:yVal>
          <c:smooth val="0"/>
          <c:extLst>
            <c:ext xmlns:c16="http://schemas.microsoft.com/office/drawing/2014/chart" uri="{C3380CC4-5D6E-409C-BE32-E72D297353CC}">
              <c16:uniqueId val="{00000000-D323-4F40-8735-9478040DB465}"/>
            </c:ext>
          </c:extLst>
        </c:ser>
        <c:ser>
          <c:idx val="1"/>
          <c:order val="1"/>
          <c:tx>
            <c:strRef>
              <c:f>'Chemical Terrorism'!$C$857</c:f>
              <c:strCache>
                <c:ptCount val="1"/>
                <c:pt idx="0">
                  <c:v>Mass Care</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'Chemical Terrorism'!$J$858</c:f>
              <c:numCache>
                <c:formatCode>General</c:formatCode>
                <c:ptCount val="1"/>
                <c:pt idx="0">
                  <c:v>3</c:v>
                </c:pt>
              </c:numCache>
            </c:numRef>
          </c:xVal>
          <c:yVal>
            <c:numRef>
              <c:f>'Chemical Terrorism'!$J$859</c:f>
              <c:numCache>
                <c:formatCode>General</c:formatCode>
                <c:ptCount val="1"/>
                <c:pt idx="0">
                  <c:v>0</c:v>
                </c:pt>
              </c:numCache>
            </c:numRef>
          </c:yVal>
          <c:smooth val="0"/>
          <c:extLst>
            <c:ext xmlns:c16="http://schemas.microsoft.com/office/drawing/2014/chart" uri="{C3380CC4-5D6E-409C-BE32-E72D297353CC}">
              <c16:uniqueId val="{00000001-D323-4F40-8735-9478040DB465}"/>
            </c:ext>
          </c:extLst>
        </c:ser>
        <c:ser>
          <c:idx val="2"/>
          <c:order val="2"/>
          <c:tx>
            <c:strRef>
              <c:f>'Chemical Terrorism'!$C$861</c:f>
              <c:strCache>
                <c:ptCount val="1"/>
                <c:pt idx="0">
                  <c:v>MCM Dispens</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'Chemical Terrorism'!$J$862</c:f>
              <c:numCache>
                <c:formatCode>General</c:formatCode>
                <c:ptCount val="1"/>
                <c:pt idx="0">
                  <c:v>4</c:v>
                </c:pt>
              </c:numCache>
            </c:numRef>
          </c:xVal>
          <c:yVal>
            <c:numRef>
              <c:f>'Chemical Terrorism'!$J$863</c:f>
              <c:numCache>
                <c:formatCode>General</c:formatCode>
                <c:ptCount val="1"/>
                <c:pt idx="0">
                  <c:v>0</c:v>
                </c:pt>
              </c:numCache>
            </c:numRef>
          </c:yVal>
          <c:smooth val="0"/>
          <c:extLst>
            <c:ext xmlns:c16="http://schemas.microsoft.com/office/drawing/2014/chart" uri="{C3380CC4-5D6E-409C-BE32-E72D297353CC}">
              <c16:uniqueId val="{00000002-D323-4F40-8735-9478040DB465}"/>
            </c:ext>
          </c:extLst>
        </c:ser>
        <c:ser>
          <c:idx val="3"/>
          <c:order val="3"/>
          <c:tx>
            <c:strRef>
              <c:f>'Chemical Terrorism'!$C$865</c:f>
              <c:strCache>
                <c:ptCount val="1"/>
                <c:pt idx="0">
                  <c:v>Med Materiel Mgmt</c:v>
                </c:pt>
              </c:strCache>
            </c:strRef>
          </c:tx>
          <c:spPr>
            <a:ln w="66675">
              <a:noFill/>
            </a:ln>
          </c:spPr>
          <c:dLbls>
            <c:dLbl>
              <c:idx val="0"/>
              <c:dLblPos val="l"/>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D323-4F40-8735-9478040DB465}"/>
                </c:ext>
              </c:extLst>
            </c:dLbl>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'Chemical Terrorism'!$J$866</c:f>
              <c:numCache>
                <c:formatCode>General</c:formatCode>
                <c:ptCount val="1"/>
                <c:pt idx="0">
                  <c:v>4</c:v>
                </c:pt>
              </c:numCache>
            </c:numRef>
          </c:xVal>
          <c:yVal>
            <c:numRef>
              <c:f>'Chemical Terrorism'!$J$867</c:f>
              <c:numCache>
                <c:formatCode>General</c:formatCode>
                <c:ptCount val="1"/>
                <c:pt idx="0">
                  <c:v>0</c:v>
                </c:pt>
              </c:numCache>
            </c:numRef>
          </c:yVal>
          <c:smooth val="0"/>
          <c:extLst>
            <c:ext xmlns:c16="http://schemas.microsoft.com/office/drawing/2014/chart" uri="{C3380CC4-5D6E-409C-BE32-E72D297353CC}">
              <c16:uniqueId val="{00000004-D323-4F40-8735-9478040DB465}"/>
            </c:ext>
          </c:extLst>
        </c:ser>
        <c:ser>
          <c:idx val="4"/>
          <c:order val="4"/>
          <c:tx>
            <c:strRef>
              <c:f>'Chemical Terrorism'!$C$869</c:f>
              <c:strCache>
                <c:ptCount val="1"/>
                <c:pt idx="0">
                  <c:v>Medical Surge</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'Chemical Terrorism'!$J$870</c:f>
              <c:numCache>
                <c:formatCode>General</c:formatCode>
                <c:ptCount val="1"/>
                <c:pt idx="0">
                  <c:v>4</c:v>
                </c:pt>
              </c:numCache>
            </c:numRef>
          </c:xVal>
          <c:yVal>
            <c:numRef>
              <c:f>'Chemical Terrorism'!$J$871</c:f>
              <c:numCache>
                <c:formatCode>General</c:formatCode>
                <c:ptCount val="1"/>
                <c:pt idx="0">
                  <c:v>0</c:v>
                </c:pt>
              </c:numCache>
            </c:numRef>
          </c:yVal>
          <c:smooth val="0"/>
          <c:extLst>
            <c:ext xmlns:c16="http://schemas.microsoft.com/office/drawing/2014/chart" uri="{C3380CC4-5D6E-409C-BE32-E72D297353CC}">
              <c16:uniqueId val="{00000005-D323-4F40-8735-9478040DB465}"/>
            </c:ext>
          </c:extLst>
        </c:ser>
        <c:ser>
          <c:idx val="5"/>
          <c:order val="5"/>
          <c:tx>
            <c:strRef>
              <c:f>'Chemical Terrorism'!$C$873</c:f>
              <c:strCache>
                <c:ptCount val="1"/>
                <c:pt idx="0">
                  <c:v>Non-Pharm Interv</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'Chemical Terrorism'!$J$874</c:f>
              <c:numCache>
                <c:formatCode>General</c:formatCode>
                <c:ptCount val="1"/>
                <c:pt idx="0">
                  <c:v>3</c:v>
                </c:pt>
              </c:numCache>
            </c:numRef>
          </c:xVal>
          <c:yVal>
            <c:numRef>
              <c:f>'Chemical Terrorism'!$J$875</c:f>
              <c:numCache>
                <c:formatCode>General</c:formatCode>
                <c:ptCount val="1"/>
                <c:pt idx="0">
                  <c:v>0</c:v>
                </c:pt>
              </c:numCache>
            </c:numRef>
          </c:yVal>
          <c:smooth val="0"/>
          <c:extLst>
            <c:ext xmlns:c16="http://schemas.microsoft.com/office/drawing/2014/chart" uri="{C3380CC4-5D6E-409C-BE32-E72D297353CC}">
              <c16:uniqueId val="{00000006-D323-4F40-8735-9478040DB465}"/>
            </c:ext>
          </c:extLst>
        </c:ser>
        <c:ser>
          <c:idx val="6"/>
          <c:order val="6"/>
          <c:tx>
            <c:strRef>
              <c:f>'Chemical Terrorism'!$C$877</c:f>
              <c:strCache>
                <c:ptCount val="1"/>
                <c:pt idx="0">
                  <c:v>PH Lab Testing</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'Chemical Terrorism'!$J$878</c:f>
              <c:numCache>
                <c:formatCode>General</c:formatCode>
                <c:ptCount val="1"/>
                <c:pt idx="0">
                  <c:v>4</c:v>
                </c:pt>
              </c:numCache>
            </c:numRef>
          </c:xVal>
          <c:yVal>
            <c:numRef>
              <c:f>'Chemical Terrorism'!$J$879</c:f>
              <c:numCache>
                <c:formatCode>General</c:formatCode>
                <c:ptCount val="1"/>
                <c:pt idx="0">
                  <c:v>0</c:v>
                </c:pt>
              </c:numCache>
            </c:numRef>
          </c:yVal>
          <c:smooth val="0"/>
          <c:extLst>
            <c:ext xmlns:c16="http://schemas.microsoft.com/office/drawing/2014/chart" uri="{C3380CC4-5D6E-409C-BE32-E72D297353CC}">
              <c16:uniqueId val="{00000007-D323-4F40-8735-9478040DB465}"/>
            </c:ext>
          </c:extLst>
        </c:ser>
        <c:ser>
          <c:idx val="7"/>
          <c:order val="7"/>
          <c:tx>
            <c:strRef>
              <c:f>'Chemical Terrorism'!$C$881</c:f>
              <c:strCache>
                <c:ptCount val="1"/>
                <c:pt idx="0">
                  <c:v>PH Surv &amp; Epi</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'Chemical Terrorism'!$J$882</c:f>
              <c:numCache>
                <c:formatCode>General</c:formatCode>
                <c:ptCount val="1"/>
                <c:pt idx="0">
                  <c:v>3</c:v>
                </c:pt>
              </c:numCache>
            </c:numRef>
          </c:xVal>
          <c:yVal>
            <c:numRef>
              <c:f>'Chemical Terrorism'!$J$883</c:f>
              <c:numCache>
                <c:formatCode>General</c:formatCode>
                <c:ptCount val="1"/>
                <c:pt idx="0">
                  <c:v>0</c:v>
                </c:pt>
              </c:numCache>
            </c:numRef>
          </c:yVal>
          <c:smooth val="0"/>
          <c:extLst>
            <c:ext xmlns:c16="http://schemas.microsoft.com/office/drawing/2014/chart" uri="{C3380CC4-5D6E-409C-BE32-E72D297353CC}">
              <c16:uniqueId val="{00000008-D323-4F40-8735-9478040DB465}"/>
            </c:ext>
          </c:extLst>
        </c:ser>
        <c:ser>
          <c:idx val="8"/>
          <c:order val="8"/>
          <c:tx>
            <c:strRef>
              <c:f>'Chemical Terrorism'!$C$885</c:f>
              <c:strCache>
                <c:ptCount val="1"/>
                <c:pt idx="0">
                  <c:v>Responder Safety</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'Chemical Terrorism'!$J$886</c:f>
              <c:numCache>
                <c:formatCode>General</c:formatCode>
                <c:ptCount val="1"/>
                <c:pt idx="0">
                  <c:v>4</c:v>
                </c:pt>
              </c:numCache>
            </c:numRef>
          </c:xVal>
          <c:yVal>
            <c:numRef>
              <c:f>'Chemical Terrorism'!$J$887</c:f>
              <c:numCache>
                <c:formatCode>General</c:formatCode>
                <c:ptCount val="1"/>
                <c:pt idx="0">
                  <c:v>0</c:v>
                </c:pt>
              </c:numCache>
            </c:numRef>
          </c:yVal>
          <c:smooth val="0"/>
          <c:extLst>
            <c:ext xmlns:c16="http://schemas.microsoft.com/office/drawing/2014/chart" uri="{C3380CC4-5D6E-409C-BE32-E72D297353CC}">
              <c16:uniqueId val="{00000009-D323-4F40-8735-9478040DB465}"/>
            </c:ext>
          </c:extLst>
        </c:ser>
        <c:ser>
          <c:idx val="9"/>
          <c:order val="9"/>
          <c:tx>
            <c:strRef>
              <c:f>'Chemical Terrorism'!$C$889</c:f>
              <c:strCache>
                <c:ptCount val="1"/>
                <c:pt idx="0">
                  <c:v>Volunteer Mgmt</c:v>
                </c:pt>
              </c:strCache>
            </c:strRef>
          </c:tx>
          <c:spPr>
            <a:ln w="66675">
              <a:noFill/>
            </a:ln>
          </c:spPr>
          <c:dLbls>
            <c:dLbl>
              <c:idx val="0"/>
              <c:layout>
                <c:manualLayout>
                  <c:x val="-0.14382605166302084"/>
                  <c:y val="7.2859744990892532E-3"/>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D323-4F40-8735-9478040DB465}"/>
                </c:ext>
              </c:extLst>
            </c:dLbl>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'Chemical Terrorism'!$J$890</c:f>
              <c:numCache>
                <c:formatCode>General</c:formatCode>
                <c:ptCount val="1"/>
                <c:pt idx="0">
                  <c:v>3</c:v>
                </c:pt>
              </c:numCache>
            </c:numRef>
          </c:xVal>
          <c:yVal>
            <c:numRef>
              <c:f>'Chemical Terrorism'!$J$891</c:f>
              <c:numCache>
                <c:formatCode>General</c:formatCode>
                <c:ptCount val="1"/>
                <c:pt idx="0">
                  <c:v>0</c:v>
                </c:pt>
              </c:numCache>
            </c:numRef>
          </c:yVal>
          <c:smooth val="0"/>
          <c:extLst>
            <c:ext xmlns:c16="http://schemas.microsoft.com/office/drawing/2014/chart" uri="{C3380CC4-5D6E-409C-BE32-E72D297353CC}">
              <c16:uniqueId val="{0000000B-D323-4F40-8735-9478040DB465}"/>
            </c:ext>
          </c:extLst>
        </c:ser>
        <c:ser>
          <c:idx val="10"/>
          <c:order val="10"/>
          <c:tx>
            <c:strRef>
              <c:f>'Chemical Terrorism'!$C$833</c:f>
              <c:strCache>
                <c:ptCount val="1"/>
                <c:pt idx="0">
                  <c:v>Community Prep</c:v>
                </c:pt>
              </c:strCache>
            </c:strRef>
          </c:tx>
          <c:spPr>
            <a:ln w="66675">
              <a:noFill/>
            </a:ln>
          </c:spPr>
          <c:dLbls>
            <c:dLbl>
              <c:idx val="0"/>
              <c:layout>
                <c:manualLayout>
                  <c:x val="0"/>
                  <c:y val="-2.1858114730194243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C-D323-4F40-8735-9478040DB465}"/>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'Chemical Terrorism'!$J$834</c:f>
              <c:numCache>
                <c:formatCode>General</c:formatCode>
                <c:ptCount val="1"/>
                <c:pt idx="0">
                  <c:v>4</c:v>
                </c:pt>
              </c:numCache>
            </c:numRef>
          </c:xVal>
          <c:yVal>
            <c:numRef>
              <c:f>'Chemical Terrorism'!$J$835</c:f>
              <c:numCache>
                <c:formatCode>General</c:formatCode>
                <c:ptCount val="1"/>
                <c:pt idx="0">
                  <c:v>0</c:v>
                </c:pt>
              </c:numCache>
            </c:numRef>
          </c:yVal>
          <c:smooth val="0"/>
          <c:extLst>
            <c:ext xmlns:c16="http://schemas.microsoft.com/office/drawing/2014/chart" uri="{C3380CC4-5D6E-409C-BE32-E72D297353CC}">
              <c16:uniqueId val="{0000000D-D323-4F40-8735-9478040DB465}"/>
            </c:ext>
          </c:extLst>
        </c:ser>
        <c:ser>
          <c:idx val="11"/>
          <c:order val="11"/>
          <c:tx>
            <c:strRef>
              <c:f>'Chemical Terrorism'!$C$837</c:f>
              <c:strCache>
                <c:ptCount val="1"/>
                <c:pt idx="0">
                  <c:v>Community Recov</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'Chemical Terrorism'!$J$838</c:f>
              <c:numCache>
                <c:formatCode>General</c:formatCode>
                <c:ptCount val="1"/>
                <c:pt idx="0">
                  <c:v>4</c:v>
                </c:pt>
              </c:numCache>
            </c:numRef>
          </c:xVal>
          <c:yVal>
            <c:numRef>
              <c:f>'Chemical Terrorism'!$J$839</c:f>
              <c:numCache>
                <c:formatCode>General</c:formatCode>
                <c:ptCount val="1"/>
                <c:pt idx="0">
                  <c:v>0</c:v>
                </c:pt>
              </c:numCache>
            </c:numRef>
          </c:yVal>
          <c:smooth val="0"/>
          <c:extLst>
            <c:ext xmlns:c16="http://schemas.microsoft.com/office/drawing/2014/chart" uri="{C3380CC4-5D6E-409C-BE32-E72D297353CC}">
              <c16:uniqueId val="{0000000E-D323-4F40-8735-9478040DB465}"/>
            </c:ext>
          </c:extLst>
        </c:ser>
        <c:ser>
          <c:idx val="12"/>
          <c:order val="12"/>
          <c:tx>
            <c:strRef>
              <c:f>'Chemical Terrorism'!$C$841</c:f>
              <c:strCache>
                <c:ptCount val="1"/>
                <c:pt idx="0">
                  <c:v>Emerg Ops Coord</c:v>
                </c:pt>
              </c:strCache>
            </c:strRef>
          </c:tx>
          <c:spPr>
            <a:ln w="66675">
              <a:noFill/>
            </a:ln>
          </c:spPr>
          <c:dLbls>
            <c:dLbl>
              <c:idx val="0"/>
              <c:layout>
                <c:manualLayout>
                  <c:x val="-0.14219141459843468"/>
                  <c:y val="-1.9678441834115028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F-D323-4F40-8735-9478040DB465}"/>
                </c:ext>
              </c:extLst>
            </c:dLbl>
            <c:spPr>
              <a:noFill/>
              <a:ln>
                <a:noFill/>
              </a:ln>
              <a:effectLst/>
            </c:sp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'Chemical Terrorism'!$J$842</c:f>
              <c:numCache>
                <c:formatCode>General</c:formatCode>
                <c:ptCount val="1"/>
                <c:pt idx="0">
                  <c:v>4</c:v>
                </c:pt>
              </c:numCache>
            </c:numRef>
          </c:xVal>
          <c:yVal>
            <c:numRef>
              <c:f>'Chemical Terrorism'!$J$843</c:f>
              <c:numCache>
                <c:formatCode>General</c:formatCode>
                <c:ptCount val="1"/>
                <c:pt idx="0">
                  <c:v>0</c:v>
                </c:pt>
              </c:numCache>
            </c:numRef>
          </c:yVal>
          <c:smooth val="0"/>
          <c:extLst>
            <c:ext xmlns:c16="http://schemas.microsoft.com/office/drawing/2014/chart" uri="{C3380CC4-5D6E-409C-BE32-E72D297353CC}">
              <c16:uniqueId val="{00000010-D323-4F40-8735-9478040DB465}"/>
            </c:ext>
          </c:extLst>
        </c:ser>
        <c:ser>
          <c:idx val="13"/>
          <c:order val="13"/>
          <c:tx>
            <c:strRef>
              <c:f>'Chemical Terrorism'!$C$845</c:f>
              <c:strCache>
                <c:ptCount val="1"/>
                <c:pt idx="0">
                  <c:v>Emerg Public Info</c:v>
                </c:pt>
              </c:strCache>
            </c:strRef>
          </c:tx>
          <c:spPr>
            <a:ln w="66675">
              <a:noFill/>
            </a:ln>
          </c:spPr>
          <c:dLbls>
            <c:dLbl>
              <c:idx val="0"/>
              <c:dLblPos val="l"/>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1-D323-4F40-8735-9478040DB465}"/>
                </c:ext>
              </c:extLst>
            </c:dLbl>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'Chemical Terrorism'!$J$846</c:f>
              <c:numCache>
                <c:formatCode>General</c:formatCode>
                <c:ptCount val="1"/>
                <c:pt idx="0">
                  <c:v>4</c:v>
                </c:pt>
              </c:numCache>
            </c:numRef>
          </c:xVal>
          <c:yVal>
            <c:numRef>
              <c:f>'Chemical Terrorism'!$J$847</c:f>
              <c:numCache>
                <c:formatCode>General</c:formatCode>
                <c:ptCount val="1"/>
                <c:pt idx="0">
                  <c:v>0</c:v>
                </c:pt>
              </c:numCache>
            </c:numRef>
          </c:yVal>
          <c:smooth val="0"/>
          <c:extLst>
            <c:ext xmlns:c16="http://schemas.microsoft.com/office/drawing/2014/chart" uri="{C3380CC4-5D6E-409C-BE32-E72D297353CC}">
              <c16:uniqueId val="{00000012-D323-4F40-8735-9478040DB465}"/>
            </c:ext>
          </c:extLst>
        </c:ser>
        <c:ser>
          <c:idx val="14"/>
          <c:order val="14"/>
          <c:tx>
            <c:strRef>
              <c:f>'Biological Terrorism'!$C$964</c:f>
              <c:strCache>
                <c:ptCount val="1"/>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'Biological Terrorism'!$J$965</c:f>
              <c:numCache>
                <c:formatCode>General</c:formatCode>
                <c:ptCount val="1"/>
              </c:numCache>
            </c:numRef>
          </c:xVal>
          <c:yVal>
            <c:numRef>
              <c:f>'Biological Terrorism'!$J$966</c:f>
            </c:numRef>
          </c:yVal>
          <c:smooth val="0"/>
          <c:extLst>
            <c:ext xmlns:c16="http://schemas.microsoft.com/office/drawing/2014/chart" uri="{C3380CC4-5D6E-409C-BE32-E72D297353CC}">
              <c16:uniqueId val="{00000013-D323-4F40-8735-9478040DB465}"/>
            </c:ext>
          </c:extLst>
        </c:ser>
        <c:ser>
          <c:idx val="15"/>
          <c:order val="15"/>
          <c:tx>
            <c:strRef>
              <c:f>'Chemical Terrorism'!$C$849</c:f>
              <c:strCache>
                <c:ptCount val="1"/>
                <c:pt idx="0">
                  <c:v>Fatality Mgmt</c:v>
                </c:pt>
              </c:strCache>
            </c:strRef>
          </c:tx>
          <c:spPr>
            <a:ln w="66675">
              <a:noFill/>
            </a:ln>
          </c:spPr>
          <c:dLbls>
            <c:dLbl>
              <c:idx val="0"/>
              <c:dLblPos val="l"/>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4-D323-4F40-8735-9478040DB46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'Chemical Terrorism'!$J$850</c:f>
              <c:numCache>
                <c:formatCode>General</c:formatCode>
                <c:ptCount val="1"/>
                <c:pt idx="0">
                  <c:v>4</c:v>
                </c:pt>
              </c:numCache>
            </c:numRef>
          </c:xVal>
          <c:yVal>
            <c:numRef>
              <c:f>'Chemical Terrorism'!$J$851</c:f>
              <c:numCache>
                <c:formatCode>General</c:formatCode>
                <c:ptCount val="1"/>
                <c:pt idx="0">
                  <c:v>0</c:v>
                </c:pt>
              </c:numCache>
            </c:numRef>
          </c:yVal>
          <c:smooth val="0"/>
          <c:extLst>
            <c:ext xmlns:c16="http://schemas.microsoft.com/office/drawing/2014/chart" uri="{C3380CC4-5D6E-409C-BE32-E72D297353CC}">
              <c16:uniqueId val="{00000015-D323-4F40-8735-9478040DB465}"/>
            </c:ext>
          </c:extLst>
        </c:ser>
        <c:dLbls>
          <c:showLegendKey val="0"/>
          <c:showVal val="1"/>
          <c:showCatName val="0"/>
          <c:showSerName val="0"/>
          <c:showPercent val="0"/>
          <c:showBubbleSize val="0"/>
        </c:dLbls>
        <c:axId val="193840640"/>
        <c:axId val="193842560"/>
      </c:scatterChart>
      <c:valAx>
        <c:axId val="193840640"/>
        <c:scaling>
          <c:orientation val="minMax"/>
          <c:max val="4.5"/>
          <c:min val="0"/>
        </c:scaling>
        <c:delete val="0"/>
        <c:axPos val="b"/>
        <c:majorGridlines/>
        <c:title>
          <c:tx>
            <c:rich>
              <a:bodyPr/>
              <a:lstStyle/>
              <a:p>
                <a:pPr>
                  <a:defRPr b="0">
                    <a:latin typeface="+mj-lt"/>
                  </a:defRPr>
                </a:pPr>
                <a:r>
                  <a:rPr lang="en-US" sz="1600" b="0">
                    <a:latin typeface="+mj-lt"/>
                  </a:rPr>
                  <a:t>Capability Relevance to Hazard</a:t>
                </a:r>
              </a:p>
            </c:rich>
          </c:tx>
          <c:overlay val="0"/>
        </c:title>
        <c:numFmt formatCode="General" sourceLinked="1"/>
        <c:majorTickMark val="out"/>
        <c:minorTickMark val="none"/>
        <c:tickLblPos val="nextTo"/>
        <c:spPr>
          <a:ln>
            <a:solidFill>
              <a:schemeClr val="tx1"/>
            </a:solidFill>
          </a:ln>
        </c:spPr>
        <c:crossAx val="193842560"/>
        <c:crosses val="autoZero"/>
        <c:crossBetween val="midCat"/>
        <c:majorUnit val="1"/>
        <c:minorUnit val="0.1"/>
      </c:valAx>
      <c:valAx>
        <c:axId val="193842560"/>
        <c:scaling>
          <c:orientation val="minMax"/>
          <c:max val="4.5"/>
          <c:min val="0"/>
        </c:scaling>
        <c:delete val="0"/>
        <c:axPos val="l"/>
        <c:majorGridlines/>
        <c:title>
          <c:tx>
            <c:rich>
              <a:bodyPr rot="-5400000" vert="horz"/>
              <a:lstStyle/>
              <a:p>
                <a:pPr>
                  <a:defRPr sz="1600" b="0">
                    <a:latin typeface="+mj-lt"/>
                  </a:defRPr>
                </a:pPr>
                <a:r>
                  <a:rPr lang="en-US" sz="1600" b="0">
                    <a:latin typeface="+mj-lt"/>
                  </a:rPr>
                  <a:t>Capability Status</a:t>
                </a:r>
              </a:p>
            </c:rich>
          </c:tx>
          <c:overlay val="0"/>
        </c:title>
        <c:numFmt formatCode="General" sourceLinked="1"/>
        <c:majorTickMark val="out"/>
        <c:minorTickMark val="none"/>
        <c:tickLblPos val="nextTo"/>
        <c:spPr>
          <a:ln>
            <a:solidFill>
              <a:schemeClr val="tx1"/>
            </a:solidFill>
          </a:ln>
        </c:spPr>
        <c:crossAx val="193840640"/>
        <c:crosses val="autoZero"/>
        <c:crossBetween val="midCat"/>
        <c:majorUnit val="1"/>
        <c:minorUnit val="0.1"/>
      </c:valAx>
      <c:spPr>
        <a:gradFill flip="none" rotWithShape="1">
          <a:gsLst>
            <a:gs pos="0">
              <a:srgbClr val="63BE7B"/>
            </a:gs>
            <a:gs pos="50000">
              <a:srgbClr val="FFEB84"/>
            </a:gs>
            <a:gs pos="100000">
              <a:srgbClr val="F8696B"/>
            </a:gs>
          </a:gsLst>
          <a:lin ang="27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defRPr b="0" u="sng">
                <a:latin typeface="+mj-lt"/>
              </a:defRPr>
            </a:pPr>
            <a:r>
              <a:rPr lang="en-US" b="0" u="sng">
                <a:latin typeface="+mj-lt"/>
              </a:rPr>
              <a:t>Healthcare Preparedness</a:t>
            </a:r>
          </a:p>
        </c:rich>
      </c:tx>
      <c:layout>
        <c:manualLayout>
          <c:xMode val="edge"/>
          <c:yMode val="edge"/>
          <c:x val="0.30532356317913883"/>
          <c:y val="1.3244983721297133E-2"/>
        </c:manualLayout>
      </c:layout>
      <c:overlay val="0"/>
    </c:title>
    <c:autoTitleDeleted val="0"/>
    <c:plotArea>
      <c:layout/>
      <c:scatterChart>
        <c:scatterStyle val="lineMarker"/>
        <c:varyColors val="0"/>
        <c:ser>
          <c:idx val="0"/>
          <c:order val="0"/>
          <c:tx>
            <c:strRef>
              <c:f>'Chemical Terrorism'!$C$903</c:f>
              <c:strCache>
                <c:ptCount val="1"/>
                <c:pt idx="0">
                  <c:v>HC System Prep</c:v>
                </c:pt>
              </c:strCache>
            </c:strRef>
          </c:tx>
          <c:spPr>
            <a:ln w="66675">
              <a:noFill/>
            </a:ln>
          </c:spPr>
          <c:dLbls>
            <c:dLbl>
              <c:idx val="0"/>
              <c:layout>
                <c:manualLayout>
                  <c:x val="0"/>
                  <c:y val="-7.2859744990892532E-3"/>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333A-475F-8B86-91139C6A72ED}"/>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'Chemical Terrorism'!$J$904</c:f>
              <c:numCache>
                <c:formatCode>General</c:formatCode>
                <c:ptCount val="1"/>
                <c:pt idx="0">
                  <c:v>4</c:v>
                </c:pt>
              </c:numCache>
            </c:numRef>
          </c:xVal>
          <c:yVal>
            <c:numRef>
              <c:f>'Chemical Terrorism'!$J$905</c:f>
              <c:numCache>
                <c:formatCode>General</c:formatCode>
                <c:ptCount val="1"/>
                <c:pt idx="0">
                  <c:v>0</c:v>
                </c:pt>
              </c:numCache>
            </c:numRef>
          </c:yVal>
          <c:smooth val="0"/>
          <c:extLst>
            <c:ext xmlns:c16="http://schemas.microsoft.com/office/drawing/2014/chart" uri="{C3380CC4-5D6E-409C-BE32-E72D297353CC}">
              <c16:uniqueId val="{00000001-333A-475F-8B86-91139C6A72ED}"/>
            </c:ext>
          </c:extLst>
        </c:ser>
        <c:ser>
          <c:idx val="1"/>
          <c:order val="1"/>
          <c:tx>
            <c:strRef>
              <c:f>'Chemical Terrorism'!$C$907</c:f>
              <c:strCache>
                <c:ptCount val="1"/>
                <c:pt idx="0">
                  <c:v>HC System Recov</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'Chemical Terrorism'!$J$908</c:f>
              <c:numCache>
                <c:formatCode>General</c:formatCode>
                <c:ptCount val="1"/>
                <c:pt idx="0">
                  <c:v>4</c:v>
                </c:pt>
              </c:numCache>
            </c:numRef>
          </c:xVal>
          <c:yVal>
            <c:numRef>
              <c:f>'Chemical Terrorism'!$J$909</c:f>
              <c:numCache>
                <c:formatCode>General</c:formatCode>
                <c:ptCount val="1"/>
                <c:pt idx="0">
                  <c:v>0</c:v>
                </c:pt>
              </c:numCache>
            </c:numRef>
          </c:yVal>
          <c:smooth val="0"/>
          <c:extLst>
            <c:ext xmlns:c16="http://schemas.microsoft.com/office/drawing/2014/chart" uri="{C3380CC4-5D6E-409C-BE32-E72D297353CC}">
              <c16:uniqueId val="{00000002-333A-475F-8B86-91139C6A72ED}"/>
            </c:ext>
          </c:extLst>
        </c:ser>
        <c:ser>
          <c:idx val="2"/>
          <c:order val="2"/>
          <c:tx>
            <c:strRef>
              <c:f>'Chemical Terrorism'!$C$911</c:f>
              <c:strCache>
                <c:ptCount val="1"/>
                <c:pt idx="0">
                  <c:v>Emerg Ops Coord</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'Chemical Terrorism'!$J$912</c:f>
              <c:numCache>
                <c:formatCode>General</c:formatCode>
                <c:ptCount val="1"/>
                <c:pt idx="0">
                  <c:v>4</c:v>
                </c:pt>
              </c:numCache>
            </c:numRef>
          </c:xVal>
          <c:yVal>
            <c:numRef>
              <c:f>'Chemical Terrorism'!$J$913</c:f>
              <c:numCache>
                <c:formatCode>General</c:formatCode>
                <c:ptCount val="1"/>
                <c:pt idx="0">
                  <c:v>0</c:v>
                </c:pt>
              </c:numCache>
            </c:numRef>
          </c:yVal>
          <c:smooth val="0"/>
          <c:extLst>
            <c:ext xmlns:c16="http://schemas.microsoft.com/office/drawing/2014/chart" uri="{C3380CC4-5D6E-409C-BE32-E72D297353CC}">
              <c16:uniqueId val="{00000003-333A-475F-8B86-91139C6A72ED}"/>
            </c:ext>
          </c:extLst>
        </c:ser>
        <c:ser>
          <c:idx val="3"/>
          <c:order val="3"/>
          <c:tx>
            <c:strRef>
              <c:f>'Chemical Terrorism'!$C$915</c:f>
              <c:strCache>
                <c:ptCount val="1"/>
                <c:pt idx="0">
                  <c:v>Fatality Mgmt</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'Chemical Terrorism'!$J$916</c:f>
              <c:numCache>
                <c:formatCode>General</c:formatCode>
                <c:ptCount val="1"/>
                <c:pt idx="0">
                  <c:v>4</c:v>
                </c:pt>
              </c:numCache>
            </c:numRef>
          </c:xVal>
          <c:yVal>
            <c:numRef>
              <c:f>'Chemical Terrorism'!$J$917</c:f>
              <c:numCache>
                <c:formatCode>General</c:formatCode>
                <c:ptCount val="1"/>
                <c:pt idx="0">
                  <c:v>0</c:v>
                </c:pt>
              </c:numCache>
            </c:numRef>
          </c:yVal>
          <c:smooth val="0"/>
          <c:extLst>
            <c:ext xmlns:c16="http://schemas.microsoft.com/office/drawing/2014/chart" uri="{C3380CC4-5D6E-409C-BE32-E72D297353CC}">
              <c16:uniqueId val="{00000004-333A-475F-8B86-91139C6A72ED}"/>
            </c:ext>
          </c:extLst>
        </c:ser>
        <c:ser>
          <c:idx val="4"/>
          <c:order val="4"/>
          <c:tx>
            <c:strRef>
              <c:f>'Chemical Terrorism'!$C$919</c:f>
              <c:strCache>
                <c:ptCount val="1"/>
                <c:pt idx="0">
                  <c:v>Info Sharing</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'Chemical Terrorism'!$J$920</c:f>
              <c:numCache>
                <c:formatCode>General</c:formatCode>
                <c:ptCount val="1"/>
                <c:pt idx="0">
                  <c:v>4</c:v>
                </c:pt>
              </c:numCache>
            </c:numRef>
          </c:xVal>
          <c:yVal>
            <c:numRef>
              <c:f>'Chemical Terrorism'!$J$921</c:f>
              <c:numCache>
                <c:formatCode>General</c:formatCode>
                <c:ptCount val="1"/>
                <c:pt idx="0">
                  <c:v>0</c:v>
                </c:pt>
              </c:numCache>
            </c:numRef>
          </c:yVal>
          <c:smooth val="0"/>
          <c:extLst>
            <c:ext xmlns:c16="http://schemas.microsoft.com/office/drawing/2014/chart" uri="{C3380CC4-5D6E-409C-BE32-E72D297353CC}">
              <c16:uniqueId val="{00000005-333A-475F-8B86-91139C6A72ED}"/>
            </c:ext>
          </c:extLst>
        </c:ser>
        <c:ser>
          <c:idx val="5"/>
          <c:order val="5"/>
          <c:tx>
            <c:strRef>
              <c:f>'Chemical Terrorism'!$C$923</c:f>
              <c:strCache>
                <c:ptCount val="1"/>
                <c:pt idx="0">
                  <c:v>Medical Surge</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'Chemical Terrorism'!$J$924</c:f>
              <c:numCache>
                <c:formatCode>General</c:formatCode>
                <c:ptCount val="1"/>
                <c:pt idx="0">
                  <c:v>4</c:v>
                </c:pt>
              </c:numCache>
            </c:numRef>
          </c:xVal>
          <c:yVal>
            <c:numRef>
              <c:f>'Chemical Terrorism'!$J$925</c:f>
              <c:numCache>
                <c:formatCode>General</c:formatCode>
                <c:ptCount val="1"/>
                <c:pt idx="0">
                  <c:v>0</c:v>
                </c:pt>
              </c:numCache>
            </c:numRef>
          </c:yVal>
          <c:smooth val="0"/>
          <c:extLst>
            <c:ext xmlns:c16="http://schemas.microsoft.com/office/drawing/2014/chart" uri="{C3380CC4-5D6E-409C-BE32-E72D297353CC}">
              <c16:uniqueId val="{00000006-333A-475F-8B86-91139C6A72ED}"/>
            </c:ext>
          </c:extLst>
        </c:ser>
        <c:ser>
          <c:idx val="6"/>
          <c:order val="6"/>
          <c:tx>
            <c:strRef>
              <c:f>'Chemical Terrorism'!$C$927</c:f>
              <c:strCache>
                <c:ptCount val="1"/>
                <c:pt idx="0">
                  <c:v>Responder Safety</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'Chemical Terrorism'!$J$928</c:f>
              <c:numCache>
                <c:formatCode>General</c:formatCode>
                <c:ptCount val="1"/>
                <c:pt idx="0">
                  <c:v>4</c:v>
                </c:pt>
              </c:numCache>
            </c:numRef>
          </c:xVal>
          <c:yVal>
            <c:numRef>
              <c:f>'Chemical Terrorism'!$J$929</c:f>
              <c:numCache>
                <c:formatCode>General</c:formatCode>
                <c:ptCount val="1"/>
                <c:pt idx="0">
                  <c:v>0</c:v>
                </c:pt>
              </c:numCache>
            </c:numRef>
          </c:yVal>
          <c:smooth val="0"/>
          <c:extLst>
            <c:ext xmlns:c16="http://schemas.microsoft.com/office/drawing/2014/chart" uri="{C3380CC4-5D6E-409C-BE32-E72D297353CC}">
              <c16:uniqueId val="{00000007-333A-475F-8B86-91139C6A72ED}"/>
            </c:ext>
          </c:extLst>
        </c:ser>
        <c:ser>
          <c:idx val="7"/>
          <c:order val="7"/>
          <c:tx>
            <c:strRef>
              <c:f>'Chemical Terrorism'!$C$931</c:f>
              <c:strCache>
                <c:ptCount val="1"/>
                <c:pt idx="0">
                  <c:v>Volunteer Mgmt</c:v>
                </c:pt>
              </c:strCache>
            </c:strRef>
          </c:tx>
          <c:spPr>
            <a:ln w="66675">
              <a:noFill/>
            </a:ln>
          </c:spPr>
          <c:dLbls>
            <c:dLbl>
              <c:idx val="0"/>
              <c:dLblPos val="l"/>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333A-475F-8B86-91139C6A72ED}"/>
                </c:ext>
              </c:extLst>
            </c:dLbl>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'Chemical Terrorism'!$J$932</c:f>
              <c:numCache>
                <c:formatCode>General</c:formatCode>
                <c:ptCount val="1"/>
                <c:pt idx="0">
                  <c:v>3</c:v>
                </c:pt>
              </c:numCache>
            </c:numRef>
          </c:xVal>
          <c:yVal>
            <c:numRef>
              <c:f>'Chemical Terrorism'!$J$933</c:f>
              <c:numCache>
                <c:formatCode>General</c:formatCode>
                <c:ptCount val="1"/>
                <c:pt idx="0">
                  <c:v>0</c:v>
                </c:pt>
              </c:numCache>
            </c:numRef>
          </c:yVal>
          <c:smooth val="0"/>
          <c:extLst>
            <c:ext xmlns:c16="http://schemas.microsoft.com/office/drawing/2014/chart" uri="{C3380CC4-5D6E-409C-BE32-E72D297353CC}">
              <c16:uniqueId val="{00000009-333A-475F-8B86-91139C6A72ED}"/>
            </c:ext>
          </c:extLst>
        </c:ser>
        <c:ser>
          <c:idx val="14"/>
          <c:order val="8"/>
          <c:tx>
            <c:strRef>
              <c:f>'Biological Terrorism'!$C$964</c:f>
              <c:strCache>
                <c:ptCount val="1"/>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'Biological Terrorism'!$J$965</c:f>
              <c:numCache>
                <c:formatCode>General</c:formatCode>
                <c:ptCount val="1"/>
              </c:numCache>
            </c:numRef>
          </c:xVal>
          <c:yVal>
            <c:numRef>
              <c:f>'Biological Terrorism'!$J$966</c:f>
            </c:numRef>
          </c:yVal>
          <c:smooth val="0"/>
          <c:extLst>
            <c:ext xmlns:c16="http://schemas.microsoft.com/office/drawing/2014/chart" uri="{C3380CC4-5D6E-409C-BE32-E72D297353CC}">
              <c16:uniqueId val="{0000000A-333A-475F-8B86-91139C6A72ED}"/>
            </c:ext>
          </c:extLst>
        </c:ser>
        <c:dLbls>
          <c:showLegendKey val="0"/>
          <c:showVal val="1"/>
          <c:showCatName val="0"/>
          <c:showSerName val="0"/>
          <c:showPercent val="0"/>
          <c:showBubbleSize val="0"/>
        </c:dLbls>
        <c:axId val="194065536"/>
        <c:axId val="194067456"/>
      </c:scatterChart>
      <c:valAx>
        <c:axId val="194065536"/>
        <c:scaling>
          <c:orientation val="minMax"/>
          <c:max val="4.5"/>
          <c:min val="0"/>
        </c:scaling>
        <c:delete val="0"/>
        <c:axPos val="b"/>
        <c:majorGridlines/>
        <c:title>
          <c:tx>
            <c:rich>
              <a:bodyPr/>
              <a:lstStyle/>
              <a:p>
                <a:pPr>
                  <a:defRPr b="0">
                    <a:latin typeface="+mj-lt"/>
                  </a:defRPr>
                </a:pPr>
                <a:r>
                  <a:rPr lang="en-US" sz="1600" b="0">
                    <a:latin typeface="+mj-lt"/>
                  </a:rPr>
                  <a:t>Capability Relevance to Hazard</a:t>
                </a:r>
              </a:p>
            </c:rich>
          </c:tx>
          <c:overlay val="0"/>
        </c:title>
        <c:numFmt formatCode="General" sourceLinked="1"/>
        <c:majorTickMark val="out"/>
        <c:minorTickMark val="none"/>
        <c:tickLblPos val="nextTo"/>
        <c:spPr>
          <a:ln>
            <a:solidFill>
              <a:schemeClr val="tx1"/>
            </a:solidFill>
          </a:ln>
        </c:spPr>
        <c:crossAx val="194067456"/>
        <c:crosses val="autoZero"/>
        <c:crossBetween val="midCat"/>
        <c:majorUnit val="1"/>
        <c:minorUnit val="0.1"/>
      </c:valAx>
      <c:valAx>
        <c:axId val="194067456"/>
        <c:scaling>
          <c:orientation val="minMax"/>
          <c:max val="4.5"/>
          <c:min val="0"/>
        </c:scaling>
        <c:delete val="0"/>
        <c:axPos val="l"/>
        <c:majorGridlines/>
        <c:title>
          <c:tx>
            <c:rich>
              <a:bodyPr rot="-5400000" vert="horz"/>
              <a:lstStyle/>
              <a:p>
                <a:pPr>
                  <a:defRPr sz="1600" b="0">
                    <a:latin typeface="+mj-lt"/>
                  </a:defRPr>
                </a:pPr>
                <a:r>
                  <a:rPr lang="en-US" sz="1600" b="0">
                    <a:latin typeface="+mj-lt"/>
                  </a:rPr>
                  <a:t>Capability Status</a:t>
                </a:r>
              </a:p>
            </c:rich>
          </c:tx>
          <c:overlay val="0"/>
        </c:title>
        <c:numFmt formatCode="General" sourceLinked="1"/>
        <c:majorTickMark val="out"/>
        <c:minorTickMark val="none"/>
        <c:tickLblPos val="nextTo"/>
        <c:spPr>
          <a:ln>
            <a:solidFill>
              <a:schemeClr val="tx1"/>
            </a:solidFill>
          </a:ln>
        </c:spPr>
        <c:crossAx val="194065536"/>
        <c:crosses val="autoZero"/>
        <c:crossBetween val="midCat"/>
        <c:majorUnit val="1"/>
        <c:minorUnit val="0.1"/>
      </c:valAx>
      <c:spPr>
        <a:gradFill flip="none" rotWithShape="1">
          <a:gsLst>
            <a:gs pos="0">
              <a:srgbClr val="63BE7B"/>
            </a:gs>
            <a:gs pos="50000">
              <a:srgbClr val="FFEB84"/>
            </a:gs>
            <a:gs pos="100000">
              <a:srgbClr val="F8696B"/>
            </a:gs>
          </a:gsLst>
          <a:lin ang="27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b="0" u="sng">
                <a:latin typeface="+mj-lt"/>
              </a:defRPr>
            </a:pPr>
            <a:r>
              <a:rPr lang="en-US" b="0" u="sng">
                <a:latin typeface="+mj-lt"/>
              </a:rPr>
              <a:t>Inpatient Healthcare</a:t>
            </a:r>
            <a:r>
              <a:rPr lang="en-US" b="0" u="sng" baseline="0">
                <a:latin typeface="+mj-lt"/>
              </a:rPr>
              <a:t> </a:t>
            </a:r>
            <a:r>
              <a:rPr lang="en-US" b="0" u="sng">
                <a:latin typeface="+mj-lt"/>
              </a:rPr>
              <a:t>Facility Infrastructure</a:t>
            </a:r>
            <a:r>
              <a:rPr lang="en-US" b="0" u="sng" baseline="0">
                <a:latin typeface="+mj-lt"/>
              </a:rPr>
              <a:t> </a:t>
            </a:r>
            <a:r>
              <a:rPr lang="en-US" b="0" u="sng">
                <a:latin typeface="+mj-lt"/>
              </a:rPr>
              <a:t>Impact</a:t>
            </a:r>
          </a:p>
        </c:rich>
      </c:tx>
      <c:layout>
        <c:manualLayout>
          <c:xMode val="edge"/>
          <c:yMode val="edge"/>
          <c:x val="0.21238061199918337"/>
          <c:y val="1.8102300054023301E-2"/>
        </c:manualLayout>
      </c:layout>
      <c:overlay val="0"/>
    </c:title>
    <c:autoTitleDeleted val="0"/>
    <c:plotArea>
      <c:layout/>
      <c:barChart>
        <c:barDir val="col"/>
        <c:grouping val="clustered"/>
        <c:varyColors val="0"/>
        <c:ser>
          <c:idx val="3"/>
          <c:order val="0"/>
          <c:tx>
            <c:strRef>
              <c:f>Severity!$U$151</c:f>
              <c:strCache>
                <c:ptCount val="1"/>
                <c:pt idx="0">
                  <c:v>Inpatient Facility Infrastructure</c:v>
                </c:pt>
              </c:strCache>
            </c:strRef>
          </c:tx>
          <c:spPr>
            <a:scene3d>
              <a:camera prst="orthographicFront"/>
              <a:lightRig rig="threePt" dir="t"/>
            </a:scene3d>
            <a:sp3d prstMaterial="dkEdge">
              <a:bevelT w="63500" h="50800"/>
            </a:sp3d>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Severity!$R$152:$R$181</c:f>
              <c:strCache>
                <c:ptCount val="20"/>
                <c:pt idx="0">
                  <c:v>Active Shooter</c:v>
                </c:pt>
                <c:pt idx="1">
                  <c:v>Biological Terrorism</c:v>
                </c:pt>
                <c:pt idx="2">
                  <c:v>Chemical Terrorism</c:v>
                </c:pt>
                <c:pt idx="3">
                  <c:v>Civil Disturbance</c:v>
                </c:pt>
                <c:pt idx="4">
                  <c:v>Coastal Storm</c:v>
                </c:pt>
                <c:pt idx="5">
                  <c:v>Conventional Explosive</c:v>
                </c:pt>
                <c:pt idx="6">
                  <c:v>Cyber Terrorism</c:v>
                </c:pt>
                <c:pt idx="7">
                  <c:v>Drought</c:v>
                </c:pt>
                <c:pt idx="8">
                  <c:v>Earthquake</c:v>
                </c:pt>
                <c:pt idx="9">
                  <c:v>Flood</c:v>
                </c:pt>
                <c:pt idx="10">
                  <c:v>Hazardous Materials Release</c:v>
                </c:pt>
                <c:pt idx="11">
                  <c:v>Localized Infectious Disease</c:v>
                </c:pt>
                <c:pt idx="12">
                  <c:v>Nuclear Facility Accident</c:v>
                </c:pt>
                <c:pt idx="13">
                  <c:v>Pandemic</c:v>
                </c:pt>
                <c:pt idx="14">
                  <c:v>Radiation Dispersal Device</c:v>
                </c:pt>
                <c:pt idx="15">
                  <c:v>Temperature Extremes</c:v>
                </c:pt>
                <c:pt idx="16">
                  <c:v>Tornado</c:v>
                </c:pt>
                <c:pt idx="17">
                  <c:v>Utility Interruption</c:v>
                </c:pt>
                <c:pt idx="18">
                  <c:v>Wildfire</c:v>
                </c:pt>
                <c:pt idx="19">
                  <c:v>Winter Storm</c:v>
                </c:pt>
              </c:strCache>
            </c:strRef>
          </c:cat>
          <c:val>
            <c:numRef>
              <c:f>Severity!$U$152:$U$181</c:f>
              <c:numCache>
                <c:formatCode>0.00</c:formatCode>
                <c:ptCount val="20"/>
                <c:pt idx="0">
                  <c:v>1.6875</c:v>
                </c:pt>
                <c:pt idx="1">
                  <c:v>2.25</c:v>
                </c:pt>
                <c:pt idx="2">
                  <c:v>1.75</c:v>
                </c:pt>
                <c:pt idx="3">
                  <c:v>1.625</c:v>
                </c:pt>
                <c:pt idx="4">
                  <c:v>1.5</c:v>
                </c:pt>
                <c:pt idx="5">
                  <c:v>1.6875</c:v>
                </c:pt>
                <c:pt idx="6">
                  <c:v>1.75</c:v>
                </c:pt>
                <c:pt idx="7">
                  <c:v>1.5</c:v>
                </c:pt>
                <c:pt idx="8">
                  <c:v>1.5</c:v>
                </c:pt>
                <c:pt idx="9">
                  <c:v>1.625</c:v>
                </c:pt>
                <c:pt idx="10">
                  <c:v>2.1875</c:v>
                </c:pt>
                <c:pt idx="11">
                  <c:v>1.75</c:v>
                </c:pt>
                <c:pt idx="12">
                  <c:v>2</c:v>
                </c:pt>
                <c:pt idx="13">
                  <c:v>2</c:v>
                </c:pt>
                <c:pt idx="14">
                  <c:v>1.6875</c:v>
                </c:pt>
                <c:pt idx="15">
                  <c:v>1.75</c:v>
                </c:pt>
                <c:pt idx="16">
                  <c:v>2.5</c:v>
                </c:pt>
                <c:pt idx="17">
                  <c:v>2.1875</c:v>
                </c:pt>
                <c:pt idx="18">
                  <c:v>1.5</c:v>
                </c:pt>
                <c:pt idx="19">
                  <c:v>1.5</c:v>
                </c:pt>
              </c:numCache>
            </c:numRef>
          </c:val>
          <c:extLst>
            <c:ext xmlns:c16="http://schemas.microsoft.com/office/drawing/2014/chart" uri="{C3380CC4-5D6E-409C-BE32-E72D297353CC}">
              <c16:uniqueId val="{00000000-CA08-4742-B2C5-1E24EE9A0833}"/>
            </c:ext>
          </c:extLst>
        </c:ser>
        <c:dLbls>
          <c:showLegendKey val="0"/>
          <c:showVal val="1"/>
          <c:showCatName val="0"/>
          <c:showSerName val="0"/>
          <c:showPercent val="0"/>
          <c:showBubbleSize val="0"/>
        </c:dLbls>
        <c:gapWidth val="150"/>
        <c:axId val="149070976"/>
        <c:axId val="149072896"/>
      </c:barChart>
      <c:catAx>
        <c:axId val="149070976"/>
        <c:scaling>
          <c:orientation val="minMax"/>
        </c:scaling>
        <c:delete val="0"/>
        <c:axPos val="b"/>
        <c:title>
          <c:tx>
            <c:rich>
              <a:bodyPr/>
              <a:lstStyle/>
              <a:p>
                <a:pPr>
                  <a:defRPr b="0">
                    <a:latin typeface="+mj-lt"/>
                  </a:defRPr>
                </a:pPr>
                <a:r>
                  <a:rPr lang="en-US" sz="1600" b="0">
                    <a:latin typeface="+mj-lt"/>
                  </a:rPr>
                  <a:t>Hazard</a:t>
                </a:r>
              </a:p>
            </c:rich>
          </c:tx>
          <c:layout>
            <c:manualLayout>
              <c:xMode val="edge"/>
              <c:yMode val="edge"/>
              <c:x val="0.43549307562041467"/>
              <c:y val="0.92043715846994456"/>
            </c:manualLayout>
          </c:layout>
          <c:overlay val="0"/>
        </c:title>
        <c:numFmt formatCode="General" sourceLinked="1"/>
        <c:majorTickMark val="out"/>
        <c:minorTickMark val="none"/>
        <c:tickLblPos val="nextTo"/>
        <c:spPr>
          <a:ln>
            <a:solidFill>
              <a:schemeClr val="tx1"/>
            </a:solidFill>
          </a:ln>
        </c:spPr>
        <c:crossAx val="149072896"/>
        <c:crosses val="autoZero"/>
        <c:auto val="1"/>
        <c:lblAlgn val="ctr"/>
        <c:lblOffset val="100"/>
        <c:noMultiLvlLbl val="0"/>
      </c:catAx>
      <c:valAx>
        <c:axId val="149072896"/>
        <c:scaling>
          <c:orientation val="minMax"/>
        </c:scaling>
        <c:delete val="0"/>
        <c:axPos val="l"/>
        <c:majorGridlines/>
        <c:title>
          <c:tx>
            <c:rich>
              <a:bodyPr rot="-5400000" vert="horz"/>
              <a:lstStyle/>
              <a:p>
                <a:pPr>
                  <a:defRPr sz="1600" b="0">
                    <a:latin typeface="+mj-lt"/>
                  </a:defRPr>
                </a:pPr>
                <a:r>
                  <a:rPr lang="en-US" sz="1600" b="0">
                    <a:latin typeface="+mj-lt"/>
                  </a:rPr>
                  <a:t>Severity</a:t>
                </a:r>
              </a:p>
            </c:rich>
          </c:tx>
          <c:layout>
            <c:manualLayout>
              <c:xMode val="edge"/>
              <c:yMode val="edge"/>
              <c:x val="1.1646970752609181E-2"/>
              <c:y val="0.28418895725466126"/>
            </c:manualLayout>
          </c:layout>
          <c:overlay val="0"/>
        </c:title>
        <c:numFmt formatCode="#,##0.00" sourceLinked="0"/>
        <c:majorTickMark val="out"/>
        <c:minorTickMark val="none"/>
        <c:tickLblPos val="nextTo"/>
        <c:spPr>
          <a:ln>
            <a:solidFill>
              <a:schemeClr val="tx1"/>
            </a:solidFill>
          </a:ln>
        </c:spPr>
        <c:crossAx val="149070976"/>
        <c:crosses val="autoZero"/>
        <c:crossBetween val="between"/>
      </c:valAx>
      <c:spPr>
        <a:gradFill flip="none" rotWithShape="1">
          <a:gsLst>
            <a:gs pos="0">
              <a:srgbClr val="63BE7B"/>
            </a:gs>
            <a:gs pos="50000">
              <a:srgbClr val="FFEB84"/>
            </a:gs>
            <a:gs pos="100000">
              <a:srgbClr val="F8696B"/>
            </a:gs>
          </a:gsLst>
          <a:lin ang="162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b="0" u="sng">
                <a:latin typeface="+mj-lt"/>
              </a:defRPr>
            </a:pPr>
            <a:r>
              <a:rPr lang="en-US" b="0" u="sng">
                <a:latin typeface="+mj-lt"/>
              </a:rPr>
              <a:t>At-Risk Populations</a:t>
            </a:r>
          </a:p>
        </c:rich>
      </c:tx>
      <c:layout>
        <c:manualLayout>
          <c:xMode val="edge"/>
          <c:yMode val="edge"/>
          <c:x val="0.37636858589702443"/>
          <c:y val="1.3244983721297133E-2"/>
        </c:manualLayout>
      </c:layout>
      <c:overlay val="0"/>
    </c:title>
    <c:autoTitleDeleted val="0"/>
    <c:plotArea>
      <c:layout/>
      <c:scatterChart>
        <c:scatterStyle val="lineMarker"/>
        <c:varyColors val="0"/>
        <c:ser>
          <c:idx val="0"/>
          <c:order val="0"/>
          <c:tx>
            <c:strRef>
              <c:f>'Civil Disturbance'!$C$793</c:f>
              <c:strCache>
                <c:ptCount val="1"/>
                <c:pt idx="0">
                  <c:v>Poverty</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'Civil Disturbance'!$J$795</c:f>
              <c:numCache>
                <c:formatCode>General</c:formatCode>
                <c:ptCount val="1"/>
                <c:pt idx="0">
                  <c:v>2</c:v>
                </c:pt>
              </c:numCache>
            </c:numRef>
          </c:xVal>
          <c:yVal>
            <c:numRef>
              <c:f>'Civil Disturbance'!$J$794</c:f>
              <c:numCache>
                <c:formatCode>General</c:formatCode>
                <c:ptCount val="1"/>
                <c:pt idx="0">
                  <c:v>0</c:v>
                </c:pt>
              </c:numCache>
            </c:numRef>
          </c:yVal>
          <c:smooth val="0"/>
          <c:extLst>
            <c:ext xmlns:c16="http://schemas.microsoft.com/office/drawing/2014/chart" uri="{C3380CC4-5D6E-409C-BE32-E72D297353CC}">
              <c16:uniqueId val="{00000000-745E-4CE7-9E56-200EDC114D57}"/>
            </c:ext>
          </c:extLst>
        </c:ser>
        <c:ser>
          <c:idx val="1"/>
          <c:order val="1"/>
          <c:tx>
            <c:strRef>
              <c:f>'Civil Disturbance'!$C$797</c:f>
              <c:strCache>
                <c:ptCount val="1"/>
                <c:pt idx="0">
                  <c:v>Chronic Diseases (Diabetes)</c:v>
                </c:pt>
              </c:strCache>
            </c:strRef>
          </c:tx>
          <c:spPr>
            <a:ln w="66675">
              <a:noFill/>
            </a:ln>
          </c:spPr>
          <c:dLbls>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'Civil Disturbance'!$J$799</c:f>
              <c:numCache>
                <c:formatCode>General</c:formatCode>
                <c:ptCount val="1"/>
                <c:pt idx="0">
                  <c:v>1</c:v>
                </c:pt>
              </c:numCache>
            </c:numRef>
          </c:xVal>
          <c:yVal>
            <c:numRef>
              <c:f>'Civil Disturbance'!$J$798</c:f>
              <c:numCache>
                <c:formatCode>General</c:formatCode>
                <c:ptCount val="1"/>
                <c:pt idx="0">
                  <c:v>0</c:v>
                </c:pt>
              </c:numCache>
            </c:numRef>
          </c:yVal>
          <c:smooth val="0"/>
          <c:extLst>
            <c:ext xmlns:c16="http://schemas.microsoft.com/office/drawing/2014/chart" uri="{C3380CC4-5D6E-409C-BE32-E72D297353CC}">
              <c16:uniqueId val="{00000001-745E-4CE7-9E56-200EDC114D57}"/>
            </c:ext>
          </c:extLst>
        </c:ser>
        <c:ser>
          <c:idx val="2"/>
          <c:order val="2"/>
          <c:tx>
            <c:strRef>
              <c:f>'Civil Disturbance'!$C$801</c:f>
              <c:strCache>
                <c:ptCount val="1"/>
                <c:pt idx="0">
                  <c:v>Children 18 and under</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'Civil Disturbance'!$J$803</c:f>
              <c:numCache>
                <c:formatCode>General</c:formatCode>
                <c:ptCount val="1"/>
                <c:pt idx="0">
                  <c:v>2</c:v>
                </c:pt>
              </c:numCache>
            </c:numRef>
          </c:xVal>
          <c:yVal>
            <c:numRef>
              <c:f>'Civil Disturbance'!$J$802</c:f>
              <c:numCache>
                <c:formatCode>General</c:formatCode>
                <c:ptCount val="1"/>
                <c:pt idx="0">
                  <c:v>0</c:v>
                </c:pt>
              </c:numCache>
            </c:numRef>
          </c:yVal>
          <c:smooth val="0"/>
          <c:extLst>
            <c:ext xmlns:c16="http://schemas.microsoft.com/office/drawing/2014/chart" uri="{C3380CC4-5D6E-409C-BE32-E72D297353CC}">
              <c16:uniqueId val="{00000002-745E-4CE7-9E56-200EDC114D57}"/>
            </c:ext>
          </c:extLst>
        </c:ser>
        <c:ser>
          <c:idx val="3"/>
          <c:order val="3"/>
          <c:tx>
            <c:strRef>
              <c:f>'Civil Disturbance'!$C$805</c:f>
              <c:strCache>
                <c:ptCount val="1"/>
                <c:pt idx="0">
                  <c:v>Elderly 65 and older</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'Civil Disturbance'!$J$807</c:f>
              <c:numCache>
                <c:formatCode>General</c:formatCode>
                <c:ptCount val="1"/>
                <c:pt idx="0">
                  <c:v>1</c:v>
                </c:pt>
              </c:numCache>
            </c:numRef>
          </c:xVal>
          <c:yVal>
            <c:numRef>
              <c:f>'Civil Disturbance'!$J$806</c:f>
              <c:numCache>
                <c:formatCode>General</c:formatCode>
                <c:ptCount val="1"/>
                <c:pt idx="0">
                  <c:v>0</c:v>
                </c:pt>
              </c:numCache>
            </c:numRef>
          </c:yVal>
          <c:smooth val="0"/>
          <c:extLst>
            <c:ext xmlns:c16="http://schemas.microsoft.com/office/drawing/2014/chart" uri="{C3380CC4-5D6E-409C-BE32-E72D297353CC}">
              <c16:uniqueId val="{00000003-745E-4CE7-9E56-200EDC114D57}"/>
            </c:ext>
          </c:extLst>
        </c:ser>
        <c:ser>
          <c:idx val="4"/>
          <c:order val="4"/>
          <c:tx>
            <c:strRef>
              <c:f>'Civil Disturbance'!$C$773</c:f>
              <c:strCache>
                <c:ptCount val="1"/>
                <c:pt idx="0">
                  <c:v>Hearing Disability</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'Civil Disturbance'!$J$775</c:f>
              <c:numCache>
                <c:formatCode>General</c:formatCode>
                <c:ptCount val="1"/>
                <c:pt idx="0">
                  <c:v>2</c:v>
                </c:pt>
              </c:numCache>
            </c:numRef>
          </c:xVal>
          <c:yVal>
            <c:numRef>
              <c:f>'Civil Disturbance'!$J$774</c:f>
              <c:numCache>
                <c:formatCode>General</c:formatCode>
                <c:ptCount val="1"/>
                <c:pt idx="0">
                  <c:v>0</c:v>
                </c:pt>
              </c:numCache>
            </c:numRef>
          </c:yVal>
          <c:smooth val="0"/>
          <c:extLst>
            <c:ext xmlns:c16="http://schemas.microsoft.com/office/drawing/2014/chart" uri="{C3380CC4-5D6E-409C-BE32-E72D297353CC}">
              <c16:uniqueId val="{00000004-745E-4CE7-9E56-200EDC114D57}"/>
            </c:ext>
          </c:extLst>
        </c:ser>
        <c:ser>
          <c:idx val="5"/>
          <c:order val="5"/>
          <c:tx>
            <c:strRef>
              <c:f>'Civil Disturbance'!$C$777</c:f>
              <c:strCache>
                <c:ptCount val="1"/>
                <c:pt idx="0">
                  <c:v>Vision Disability</c:v>
                </c:pt>
              </c:strCache>
            </c:strRef>
          </c:tx>
          <c:spPr>
            <a:ln w="66675">
              <a:noFill/>
            </a:ln>
          </c:spPr>
          <c:dLbls>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'Civil Disturbance'!$J$779</c:f>
              <c:numCache>
                <c:formatCode>General</c:formatCode>
                <c:ptCount val="1"/>
                <c:pt idx="0">
                  <c:v>2</c:v>
                </c:pt>
              </c:numCache>
            </c:numRef>
          </c:xVal>
          <c:yVal>
            <c:numRef>
              <c:f>'Civil Disturbance'!$J$778</c:f>
              <c:numCache>
                <c:formatCode>General</c:formatCode>
                <c:ptCount val="1"/>
                <c:pt idx="0">
                  <c:v>0</c:v>
                </c:pt>
              </c:numCache>
            </c:numRef>
          </c:yVal>
          <c:smooth val="0"/>
          <c:extLst>
            <c:ext xmlns:c16="http://schemas.microsoft.com/office/drawing/2014/chart" uri="{C3380CC4-5D6E-409C-BE32-E72D297353CC}">
              <c16:uniqueId val="{00000005-745E-4CE7-9E56-200EDC114D57}"/>
            </c:ext>
          </c:extLst>
        </c:ser>
        <c:ser>
          <c:idx val="6"/>
          <c:order val="6"/>
          <c:tx>
            <c:strRef>
              <c:f>'Civil Disturbance'!$C$781</c:f>
              <c:strCache>
                <c:ptCount val="1"/>
                <c:pt idx="0">
                  <c:v>Ambulatory Disability</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'Civil Disturbance'!$J$783</c:f>
              <c:numCache>
                <c:formatCode>General</c:formatCode>
                <c:ptCount val="1"/>
                <c:pt idx="0">
                  <c:v>1</c:v>
                </c:pt>
              </c:numCache>
            </c:numRef>
          </c:xVal>
          <c:yVal>
            <c:numRef>
              <c:f>'Civil Disturbance'!$J$782</c:f>
              <c:numCache>
                <c:formatCode>General</c:formatCode>
                <c:ptCount val="1"/>
                <c:pt idx="0">
                  <c:v>0</c:v>
                </c:pt>
              </c:numCache>
            </c:numRef>
          </c:yVal>
          <c:smooth val="0"/>
          <c:extLst>
            <c:ext xmlns:c16="http://schemas.microsoft.com/office/drawing/2014/chart" uri="{C3380CC4-5D6E-409C-BE32-E72D297353CC}">
              <c16:uniqueId val="{00000006-745E-4CE7-9E56-200EDC114D57}"/>
            </c:ext>
          </c:extLst>
        </c:ser>
        <c:ser>
          <c:idx val="7"/>
          <c:order val="7"/>
          <c:tx>
            <c:strRef>
              <c:f>'Civil Disturbance'!$C$785</c:f>
              <c:strCache>
                <c:ptCount val="1"/>
                <c:pt idx="0">
                  <c:v>Cognitive Disability</c:v>
                </c:pt>
              </c:strCache>
            </c:strRef>
          </c:tx>
          <c:spPr>
            <a:ln w="66675">
              <a:noFill/>
            </a:ln>
          </c:spPr>
          <c:dLbls>
            <c:dLbl>
              <c:idx val="0"/>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745E-4CE7-9E56-200EDC114D57}"/>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'Civil Disturbance'!$J$787</c:f>
              <c:numCache>
                <c:formatCode>General</c:formatCode>
                <c:ptCount val="1"/>
                <c:pt idx="0">
                  <c:v>2</c:v>
                </c:pt>
              </c:numCache>
            </c:numRef>
          </c:xVal>
          <c:yVal>
            <c:numRef>
              <c:f>'Civil Disturbance'!$J$786</c:f>
              <c:numCache>
                <c:formatCode>General</c:formatCode>
                <c:ptCount val="1"/>
                <c:pt idx="0">
                  <c:v>0</c:v>
                </c:pt>
              </c:numCache>
            </c:numRef>
          </c:yVal>
          <c:smooth val="0"/>
          <c:extLst>
            <c:ext xmlns:c16="http://schemas.microsoft.com/office/drawing/2014/chart" uri="{C3380CC4-5D6E-409C-BE32-E72D297353CC}">
              <c16:uniqueId val="{00000008-745E-4CE7-9E56-200EDC114D57}"/>
            </c:ext>
          </c:extLst>
        </c:ser>
        <c:ser>
          <c:idx val="8"/>
          <c:order val="8"/>
          <c:tx>
            <c:strRef>
              <c:f>'Civil Disturbance'!$C$789</c:f>
              <c:strCache>
                <c:ptCount val="1"/>
                <c:pt idx="0">
                  <c:v>Limited English Proficiency</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'Civil Disturbance'!$J$791</c:f>
              <c:numCache>
                <c:formatCode>General</c:formatCode>
                <c:ptCount val="1"/>
                <c:pt idx="0">
                  <c:v>2</c:v>
                </c:pt>
              </c:numCache>
            </c:numRef>
          </c:xVal>
          <c:yVal>
            <c:numRef>
              <c:f>'Civil Disturbance'!$J$1025</c:f>
              <c:numCache>
                <c:formatCode>General</c:formatCode>
                <c:ptCount val="1"/>
              </c:numCache>
            </c:numRef>
          </c:yVal>
          <c:smooth val="0"/>
          <c:extLst>
            <c:ext xmlns:c16="http://schemas.microsoft.com/office/drawing/2014/chart" uri="{C3380CC4-5D6E-409C-BE32-E72D297353CC}">
              <c16:uniqueId val="{00000009-745E-4CE7-9E56-200EDC114D57}"/>
            </c:ext>
          </c:extLst>
        </c:ser>
        <c:dLbls>
          <c:showLegendKey val="0"/>
          <c:showVal val="1"/>
          <c:showCatName val="0"/>
          <c:showSerName val="0"/>
          <c:showPercent val="0"/>
          <c:showBubbleSize val="0"/>
        </c:dLbls>
        <c:axId val="194117632"/>
        <c:axId val="194119552"/>
      </c:scatterChart>
      <c:valAx>
        <c:axId val="194117632"/>
        <c:scaling>
          <c:orientation val="minMax"/>
          <c:max val="4.5"/>
          <c:min val="0"/>
        </c:scaling>
        <c:delete val="0"/>
        <c:axPos val="b"/>
        <c:majorGridlines/>
        <c:title>
          <c:tx>
            <c:rich>
              <a:bodyPr/>
              <a:lstStyle/>
              <a:p>
                <a:pPr>
                  <a:defRPr b="0">
                    <a:latin typeface="+mj-lt"/>
                  </a:defRPr>
                </a:pPr>
                <a:r>
                  <a:rPr lang="en-US" sz="1600" b="0">
                    <a:latin typeface="+mj-lt"/>
                  </a:rPr>
                  <a:t>Access Planning Score</a:t>
                </a:r>
              </a:p>
            </c:rich>
          </c:tx>
          <c:overlay val="0"/>
        </c:title>
        <c:numFmt formatCode="General" sourceLinked="1"/>
        <c:majorTickMark val="out"/>
        <c:minorTickMark val="none"/>
        <c:tickLblPos val="nextTo"/>
        <c:spPr>
          <a:ln>
            <a:solidFill>
              <a:schemeClr val="tx1"/>
            </a:solidFill>
          </a:ln>
        </c:spPr>
        <c:crossAx val="194119552"/>
        <c:crosses val="autoZero"/>
        <c:crossBetween val="midCat"/>
        <c:majorUnit val="1"/>
        <c:minorUnit val="0.1"/>
      </c:valAx>
      <c:valAx>
        <c:axId val="194119552"/>
        <c:scaling>
          <c:orientation val="minMax"/>
          <c:max val="4.5"/>
          <c:min val="0"/>
        </c:scaling>
        <c:delete val="0"/>
        <c:axPos val="l"/>
        <c:majorGridlines/>
        <c:title>
          <c:tx>
            <c:rich>
              <a:bodyPr rot="-5400000" vert="horz"/>
              <a:lstStyle/>
              <a:p>
                <a:pPr>
                  <a:defRPr sz="1600" b="0">
                    <a:latin typeface="+mj-lt"/>
                  </a:defRPr>
                </a:pPr>
                <a:r>
                  <a:rPr lang="en-US" sz="1600" b="0">
                    <a:latin typeface="+mj-lt"/>
                  </a:rPr>
                  <a:t>Population Size Score</a:t>
                </a:r>
              </a:p>
            </c:rich>
          </c:tx>
          <c:overlay val="0"/>
        </c:title>
        <c:numFmt formatCode="General" sourceLinked="1"/>
        <c:majorTickMark val="out"/>
        <c:minorTickMark val="none"/>
        <c:tickLblPos val="nextTo"/>
        <c:spPr>
          <a:ln>
            <a:solidFill>
              <a:schemeClr val="tx1"/>
            </a:solidFill>
          </a:ln>
        </c:spPr>
        <c:crossAx val="194117632"/>
        <c:crosses val="autoZero"/>
        <c:crossBetween val="midCat"/>
        <c:majorUnit val="1"/>
        <c:minorUnit val="0.1"/>
      </c:valAx>
      <c:spPr>
        <a:gradFill flip="none" rotWithShape="1">
          <a:gsLst>
            <a:gs pos="0">
              <a:srgbClr val="63BE7B"/>
            </a:gs>
            <a:gs pos="50000">
              <a:srgbClr val="FFEB84"/>
            </a:gs>
            <a:gs pos="100000">
              <a:srgbClr val="F8696B"/>
            </a:gs>
          </a:gsLst>
          <a:lin ang="189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defRPr b="0" u="sng">
                <a:latin typeface="+mj-lt"/>
              </a:defRPr>
            </a:pPr>
            <a:r>
              <a:rPr lang="en-US" b="0" u="sng">
                <a:latin typeface="+mj-lt"/>
              </a:rPr>
              <a:t>Public Health Preparedness</a:t>
            </a:r>
          </a:p>
        </c:rich>
      </c:tx>
      <c:layout>
        <c:manualLayout>
          <c:xMode val="edge"/>
          <c:yMode val="edge"/>
          <c:x val="0.30532356317913883"/>
          <c:y val="1.3244983721297133E-2"/>
        </c:manualLayout>
      </c:layout>
      <c:overlay val="0"/>
    </c:title>
    <c:autoTitleDeleted val="0"/>
    <c:plotArea>
      <c:layout/>
      <c:scatterChart>
        <c:scatterStyle val="lineMarker"/>
        <c:varyColors val="0"/>
        <c:ser>
          <c:idx val="0"/>
          <c:order val="0"/>
          <c:tx>
            <c:strRef>
              <c:f>'Civil Disturbance'!$C$853</c:f>
              <c:strCache>
                <c:ptCount val="1"/>
                <c:pt idx="0">
                  <c:v>Info Sharing</c:v>
                </c:pt>
              </c:strCache>
            </c:strRef>
          </c:tx>
          <c:spPr>
            <a:ln w="66675">
              <a:noFill/>
            </a:ln>
          </c:spPr>
          <c:dLbls>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'Civil Disturbance'!$J$854</c:f>
              <c:numCache>
                <c:formatCode>General</c:formatCode>
                <c:ptCount val="1"/>
                <c:pt idx="0">
                  <c:v>4</c:v>
                </c:pt>
              </c:numCache>
            </c:numRef>
          </c:xVal>
          <c:yVal>
            <c:numRef>
              <c:f>'Civil Disturbance'!$J$855</c:f>
              <c:numCache>
                <c:formatCode>General</c:formatCode>
                <c:ptCount val="1"/>
                <c:pt idx="0">
                  <c:v>0</c:v>
                </c:pt>
              </c:numCache>
            </c:numRef>
          </c:yVal>
          <c:smooth val="0"/>
          <c:extLst>
            <c:ext xmlns:c16="http://schemas.microsoft.com/office/drawing/2014/chart" uri="{C3380CC4-5D6E-409C-BE32-E72D297353CC}">
              <c16:uniqueId val="{00000000-59E4-44C6-96FF-4DD5D15492E8}"/>
            </c:ext>
          </c:extLst>
        </c:ser>
        <c:ser>
          <c:idx val="1"/>
          <c:order val="1"/>
          <c:tx>
            <c:strRef>
              <c:f>'Civil Disturbance'!$C$857</c:f>
              <c:strCache>
                <c:ptCount val="1"/>
                <c:pt idx="0">
                  <c:v>Mass Care</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'Civil Disturbance'!$J$858</c:f>
              <c:numCache>
                <c:formatCode>General</c:formatCode>
                <c:ptCount val="1"/>
                <c:pt idx="0">
                  <c:v>0</c:v>
                </c:pt>
              </c:numCache>
            </c:numRef>
          </c:xVal>
          <c:yVal>
            <c:numRef>
              <c:f>'Civil Disturbance'!$J$859</c:f>
              <c:numCache>
                <c:formatCode>General</c:formatCode>
                <c:ptCount val="1"/>
                <c:pt idx="0">
                  <c:v>0</c:v>
                </c:pt>
              </c:numCache>
            </c:numRef>
          </c:yVal>
          <c:smooth val="0"/>
          <c:extLst>
            <c:ext xmlns:c16="http://schemas.microsoft.com/office/drawing/2014/chart" uri="{C3380CC4-5D6E-409C-BE32-E72D297353CC}">
              <c16:uniqueId val="{00000001-59E4-44C6-96FF-4DD5D15492E8}"/>
            </c:ext>
          </c:extLst>
        </c:ser>
        <c:ser>
          <c:idx val="2"/>
          <c:order val="2"/>
          <c:tx>
            <c:strRef>
              <c:f>'Civil Disturbance'!$C$861</c:f>
              <c:strCache>
                <c:ptCount val="1"/>
                <c:pt idx="0">
                  <c:v>MCM Dispens</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'Civil Disturbance'!$J$862</c:f>
              <c:numCache>
                <c:formatCode>General</c:formatCode>
                <c:ptCount val="1"/>
                <c:pt idx="0">
                  <c:v>0</c:v>
                </c:pt>
              </c:numCache>
            </c:numRef>
          </c:xVal>
          <c:yVal>
            <c:numRef>
              <c:f>'Civil Disturbance'!$J$863</c:f>
              <c:numCache>
                <c:formatCode>General</c:formatCode>
                <c:ptCount val="1"/>
                <c:pt idx="0">
                  <c:v>0</c:v>
                </c:pt>
              </c:numCache>
            </c:numRef>
          </c:yVal>
          <c:smooth val="0"/>
          <c:extLst>
            <c:ext xmlns:c16="http://schemas.microsoft.com/office/drawing/2014/chart" uri="{C3380CC4-5D6E-409C-BE32-E72D297353CC}">
              <c16:uniqueId val="{00000002-59E4-44C6-96FF-4DD5D15492E8}"/>
            </c:ext>
          </c:extLst>
        </c:ser>
        <c:ser>
          <c:idx val="3"/>
          <c:order val="3"/>
          <c:tx>
            <c:strRef>
              <c:f>'Civil Disturbance'!$C$865</c:f>
              <c:strCache>
                <c:ptCount val="1"/>
                <c:pt idx="0">
                  <c:v>Med Materiel Mgmt</c:v>
                </c:pt>
              </c:strCache>
            </c:strRef>
          </c:tx>
          <c:spPr>
            <a:ln w="66675">
              <a:noFill/>
            </a:ln>
          </c:spPr>
          <c:dLbls>
            <c:dLbl>
              <c:idx val="0"/>
              <c:layout>
                <c:manualLayout>
                  <c:x val="-1.5251807320996049E-17"/>
                  <c:y val="1.214329083181542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59E4-44C6-96FF-4DD5D15492E8}"/>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'Civil Disturbance'!$J$866</c:f>
              <c:numCache>
                <c:formatCode>General</c:formatCode>
                <c:ptCount val="1"/>
                <c:pt idx="0">
                  <c:v>0</c:v>
                </c:pt>
              </c:numCache>
            </c:numRef>
          </c:xVal>
          <c:yVal>
            <c:numRef>
              <c:f>'Civil Disturbance'!$J$867</c:f>
              <c:numCache>
                <c:formatCode>General</c:formatCode>
                <c:ptCount val="1"/>
                <c:pt idx="0">
                  <c:v>0</c:v>
                </c:pt>
              </c:numCache>
            </c:numRef>
          </c:yVal>
          <c:smooth val="0"/>
          <c:extLst>
            <c:ext xmlns:c16="http://schemas.microsoft.com/office/drawing/2014/chart" uri="{C3380CC4-5D6E-409C-BE32-E72D297353CC}">
              <c16:uniqueId val="{00000004-59E4-44C6-96FF-4DD5D15492E8}"/>
            </c:ext>
          </c:extLst>
        </c:ser>
        <c:ser>
          <c:idx val="4"/>
          <c:order val="4"/>
          <c:tx>
            <c:strRef>
              <c:f>'Civil Disturbance'!$C$869</c:f>
              <c:strCache>
                <c:ptCount val="1"/>
                <c:pt idx="0">
                  <c:v>Medical Surge</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'Civil Disturbance'!$J$870</c:f>
              <c:numCache>
                <c:formatCode>General</c:formatCode>
                <c:ptCount val="1"/>
                <c:pt idx="0">
                  <c:v>2</c:v>
                </c:pt>
              </c:numCache>
            </c:numRef>
          </c:xVal>
          <c:yVal>
            <c:numRef>
              <c:f>'Civil Disturbance'!$J$871</c:f>
              <c:numCache>
                <c:formatCode>General</c:formatCode>
                <c:ptCount val="1"/>
                <c:pt idx="0">
                  <c:v>0</c:v>
                </c:pt>
              </c:numCache>
            </c:numRef>
          </c:yVal>
          <c:smooth val="0"/>
          <c:extLst>
            <c:ext xmlns:c16="http://schemas.microsoft.com/office/drawing/2014/chart" uri="{C3380CC4-5D6E-409C-BE32-E72D297353CC}">
              <c16:uniqueId val="{00000005-59E4-44C6-96FF-4DD5D15492E8}"/>
            </c:ext>
          </c:extLst>
        </c:ser>
        <c:ser>
          <c:idx val="5"/>
          <c:order val="5"/>
          <c:tx>
            <c:strRef>
              <c:f>'Civil Disturbance'!$C$873</c:f>
              <c:strCache>
                <c:ptCount val="1"/>
                <c:pt idx="0">
                  <c:v>Non-Pharm Interv</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'Civil Disturbance'!$J$874</c:f>
              <c:numCache>
                <c:formatCode>General</c:formatCode>
                <c:ptCount val="1"/>
                <c:pt idx="0">
                  <c:v>0</c:v>
                </c:pt>
              </c:numCache>
            </c:numRef>
          </c:xVal>
          <c:yVal>
            <c:numRef>
              <c:f>'Civil Disturbance'!$J$875</c:f>
              <c:numCache>
                <c:formatCode>General</c:formatCode>
                <c:ptCount val="1"/>
                <c:pt idx="0">
                  <c:v>0</c:v>
                </c:pt>
              </c:numCache>
            </c:numRef>
          </c:yVal>
          <c:smooth val="0"/>
          <c:extLst>
            <c:ext xmlns:c16="http://schemas.microsoft.com/office/drawing/2014/chart" uri="{C3380CC4-5D6E-409C-BE32-E72D297353CC}">
              <c16:uniqueId val="{00000006-59E4-44C6-96FF-4DD5D15492E8}"/>
            </c:ext>
          </c:extLst>
        </c:ser>
        <c:ser>
          <c:idx val="6"/>
          <c:order val="6"/>
          <c:tx>
            <c:strRef>
              <c:f>'Civil Disturbance'!$C$877</c:f>
              <c:strCache>
                <c:ptCount val="1"/>
                <c:pt idx="0">
                  <c:v>PH Lab Testing</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'Civil Disturbance'!$J$878</c:f>
              <c:numCache>
                <c:formatCode>General</c:formatCode>
                <c:ptCount val="1"/>
                <c:pt idx="0">
                  <c:v>0</c:v>
                </c:pt>
              </c:numCache>
            </c:numRef>
          </c:xVal>
          <c:yVal>
            <c:numRef>
              <c:f>'Civil Disturbance'!$J$879</c:f>
              <c:numCache>
                <c:formatCode>General</c:formatCode>
                <c:ptCount val="1"/>
                <c:pt idx="0">
                  <c:v>0</c:v>
                </c:pt>
              </c:numCache>
            </c:numRef>
          </c:yVal>
          <c:smooth val="0"/>
          <c:extLst>
            <c:ext xmlns:c16="http://schemas.microsoft.com/office/drawing/2014/chart" uri="{C3380CC4-5D6E-409C-BE32-E72D297353CC}">
              <c16:uniqueId val="{00000007-59E4-44C6-96FF-4DD5D15492E8}"/>
            </c:ext>
          </c:extLst>
        </c:ser>
        <c:ser>
          <c:idx val="7"/>
          <c:order val="7"/>
          <c:tx>
            <c:strRef>
              <c:f>'Civil Disturbance'!$C$881</c:f>
              <c:strCache>
                <c:ptCount val="1"/>
                <c:pt idx="0">
                  <c:v>PH Surv &amp; Epi</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'Civil Disturbance'!$J$882</c:f>
              <c:numCache>
                <c:formatCode>General</c:formatCode>
                <c:ptCount val="1"/>
                <c:pt idx="0">
                  <c:v>0</c:v>
                </c:pt>
              </c:numCache>
            </c:numRef>
          </c:xVal>
          <c:yVal>
            <c:numRef>
              <c:f>'Civil Disturbance'!$J$883</c:f>
              <c:numCache>
                <c:formatCode>General</c:formatCode>
                <c:ptCount val="1"/>
                <c:pt idx="0">
                  <c:v>0</c:v>
                </c:pt>
              </c:numCache>
            </c:numRef>
          </c:yVal>
          <c:smooth val="0"/>
          <c:extLst>
            <c:ext xmlns:c16="http://schemas.microsoft.com/office/drawing/2014/chart" uri="{C3380CC4-5D6E-409C-BE32-E72D297353CC}">
              <c16:uniqueId val="{00000008-59E4-44C6-96FF-4DD5D15492E8}"/>
            </c:ext>
          </c:extLst>
        </c:ser>
        <c:ser>
          <c:idx val="8"/>
          <c:order val="8"/>
          <c:tx>
            <c:strRef>
              <c:f>'Civil Disturbance'!$C$885</c:f>
              <c:strCache>
                <c:ptCount val="1"/>
                <c:pt idx="0">
                  <c:v>Responder Safety</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'Civil Disturbance'!$J$886</c:f>
              <c:numCache>
                <c:formatCode>General</c:formatCode>
                <c:ptCount val="1"/>
                <c:pt idx="0">
                  <c:v>1</c:v>
                </c:pt>
              </c:numCache>
            </c:numRef>
          </c:xVal>
          <c:yVal>
            <c:numRef>
              <c:f>'Civil Disturbance'!$J$887</c:f>
              <c:numCache>
                <c:formatCode>General</c:formatCode>
                <c:ptCount val="1"/>
                <c:pt idx="0">
                  <c:v>0</c:v>
                </c:pt>
              </c:numCache>
            </c:numRef>
          </c:yVal>
          <c:smooth val="0"/>
          <c:extLst>
            <c:ext xmlns:c16="http://schemas.microsoft.com/office/drawing/2014/chart" uri="{C3380CC4-5D6E-409C-BE32-E72D297353CC}">
              <c16:uniqueId val="{00000009-59E4-44C6-96FF-4DD5D15492E8}"/>
            </c:ext>
          </c:extLst>
        </c:ser>
        <c:ser>
          <c:idx val="9"/>
          <c:order val="9"/>
          <c:tx>
            <c:strRef>
              <c:f>'Civil Disturbance'!$C$889</c:f>
              <c:strCache>
                <c:ptCount val="1"/>
                <c:pt idx="0">
                  <c:v>Volunteer Mgmt</c:v>
                </c:pt>
              </c:strCache>
            </c:strRef>
          </c:tx>
          <c:spPr>
            <a:ln w="66675">
              <a:noFill/>
            </a:ln>
          </c:spPr>
          <c:dLbls>
            <c:dLbl>
              <c:idx val="0"/>
              <c:layout>
                <c:manualLayout>
                  <c:x val="-1.5251807320996049E-17"/>
                  <c:y val="-1.214329083181542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59E4-44C6-96FF-4DD5D15492E8}"/>
                </c:ext>
              </c:extLst>
            </c:dLbl>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'Civil Disturbance'!$J$890</c:f>
              <c:numCache>
                <c:formatCode>General</c:formatCode>
                <c:ptCount val="1"/>
                <c:pt idx="0">
                  <c:v>0</c:v>
                </c:pt>
              </c:numCache>
            </c:numRef>
          </c:xVal>
          <c:yVal>
            <c:numRef>
              <c:f>'Civil Disturbance'!$J$891</c:f>
              <c:numCache>
                <c:formatCode>General</c:formatCode>
                <c:ptCount val="1"/>
                <c:pt idx="0">
                  <c:v>0</c:v>
                </c:pt>
              </c:numCache>
            </c:numRef>
          </c:yVal>
          <c:smooth val="0"/>
          <c:extLst>
            <c:ext xmlns:c16="http://schemas.microsoft.com/office/drawing/2014/chart" uri="{C3380CC4-5D6E-409C-BE32-E72D297353CC}">
              <c16:uniqueId val="{0000000B-59E4-44C6-96FF-4DD5D15492E8}"/>
            </c:ext>
          </c:extLst>
        </c:ser>
        <c:ser>
          <c:idx val="10"/>
          <c:order val="10"/>
          <c:tx>
            <c:strRef>
              <c:f>'Civil Disturbance'!$C$833</c:f>
              <c:strCache>
                <c:ptCount val="1"/>
                <c:pt idx="0">
                  <c:v>Community Prep</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'Civil Disturbance'!$J$834</c:f>
              <c:numCache>
                <c:formatCode>General</c:formatCode>
                <c:ptCount val="1"/>
                <c:pt idx="0">
                  <c:v>2</c:v>
                </c:pt>
              </c:numCache>
            </c:numRef>
          </c:xVal>
          <c:yVal>
            <c:numRef>
              <c:f>'Civil Disturbance'!$J$835</c:f>
              <c:numCache>
                <c:formatCode>General</c:formatCode>
                <c:ptCount val="1"/>
                <c:pt idx="0">
                  <c:v>0</c:v>
                </c:pt>
              </c:numCache>
            </c:numRef>
          </c:yVal>
          <c:smooth val="0"/>
          <c:extLst>
            <c:ext xmlns:c16="http://schemas.microsoft.com/office/drawing/2014/chart" uri="{C3380CC4-5D6E-409C-BE32-E72D297353CC}">
              <c16:uniqueId val="{0000000C-59E4-44C6-96FF-4DD5D15492E8}"/>
            </c:ext>
          </c:extLst>
        </c:ser>
        <c:ser>
          <c:idx val="11"/>
          <c:order val="11"/>
          <c:tx>
            <c:strRef>
              <c:f>'Civil Disturbance'!$C$837</c:f>
              <c:strCache>
                <c:ptCount val="1"/>
                <c:pt idx="0">
                  <c:v>Community Recov</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'Civil Disturbance'!$J$838</c:f>
              <c:numCache>
                <c:formatCode>General</c:formatCode>
                <c:ptCount val="1"/>
                <c:pt idx="0">
                  <c:v>2</c:v>
                </c:pt>
              </c:numCache>
            </c:numRef>
          </c:xVal>
          <c:yVal>
            <c:numRef>
              <c:f>'Civil Disturbance'!$J$839</c:f>
              <c:numCache>
                <c:formatCode>General</c:formatCode>
                <c:ptCount val="1"/>
                <c:pt idx="0">
                  <c:v>0</c:v>
                </c:pt>
              </c:numCache>
            </c:numRef>
          </c:yVal>
          <c:smooth val="0"/>
          <c:extLst>
            <c:ext xmlns:c16="http://schemas.microsoft.com/office/drawing/2014/chart" uri="{C3380CC4-5D6E-409C-BE32-E72D297353CC}">
              <c16:uniqueId val="{0000000D-59E4-44C6-96FF-4DD5D15492E8}"/>
            </c:ext>
          </c:extLst>
        </c:ser>
        <c:ser>
          <c:idx val="12"/>
          <c:order val="12"/>
          <c:tx>
            <c:strRef>
              <c:f>'Civil Disturbance'!$C$841</c:f>
              <c:strCache>
                <c:ptCount val="1"/>
                <c:pt idx="0">
                  <c:v>Emerg Ops Coord</c:v>
                </c:pt>
              </c:strCache>
            </c:strRef>
          </c:tx>
          <c:spPr>
            <a:ln w="66675">
              <a:noFill/>
            </a:ln>
          </c:spPr>
          <c:dLbls>
            <c:spPr>
              <a:noFill/>
              <a:ln>
                <a:noFill/>
              </a:ln>
              <a:effectLst/>
            </c:sp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'Civil Disturbance'!$J$842</c:f>
              <c:numCache>
                <c:formatCode>General</c:formatCode>
                <c:ptCount val="1"/>
                <c:pt idx="0">
                  <c:v>2</c:v>
                </c:pt>
              </c:numCache>
            </c:numRef>
          </c:xVal>
          <c:yVal>
            <c:numRef>
              <c:f>'Civil Disturbance'!$J$843</c:f>
              <c:numCache>
                <c:formatCode>General</c:formatCode>
                <c:ptCount val="1"/>
                <c:pt idx="0">
                  <c:v>0</c:v>
                </c:pt>
              </c:numCache>
            </c:numRef>
          </c:yVal>
          <c:smooth val="0"/>
          <c:extLst>
            <c:ext xmlns:c16="http://schemas.microsoft.com/office/drawing/2014/chart" uri="{C3380CC4-5D6E-409C-BE32-E72D297353CC}">
              <c16:uniqueId val="{0000000E-59E4-44C6-96FF-4DD5D15492E8}"/>
            </c:ext>
          </c:extLst>
        </c:ser>
        <c:ser>
          <c:idx val="13"/>
          <c:order val="13"/>
          <c:tx>
            <c:strRef>
              <c:f>'Civil Disturbance'!$C$845</c:f>
              <c:strCache>
                <c:ptCount val="1"/>
                <c:pt idx="0">
                  <c:v>Emerg Public Info</c:v>
                </c:pt>
              </c:strCache>
            </c:strRef>
          </c:tx>
          <c:spPr>
            <a:ln w="66675">
              <a:noFill/>
            </a:ln>
          </c:spPr>
          <c:dLbls>
            <c:spPr>
              <a:noFill/>
              <a:ln>
                <a:noFill/>
              </a:ln>
              <a:effectLst/>
            </c:sp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'Civil Disturbance'!$J$846</c:f>
              <c:numCache>
                <c:formatCode>General</c:formatCode>
                <c:ptCount val="1"/>
                <c:pt idx="0">
                  <c:v>4</c:v>
                </c:pt>
              </c:numCache>
            </c:numRef>
          </c:xVal>
          <c:yVal>
            <c:numRef>
              <c:f>'Civil Disturbance'!$J$847</c:f>
              <c:numCache>
                <c:formatCode>General</c:formatCode>
                <c:ptCount val="1"/>
                <c:pt idx="0">
                  <c:v>0</c:v>
                </c:pt>
              </c:numCache>
            </c:numRef>
          </c:yVal>
          <c:smooth val="0"/>
          <c:extLst>
            <c:ext xmlns:c16="http://schemas.microsoft.com/office/drawing/2014/chart" uri="{C3380CC4-5D6E-409C-BE32-E72D297353CC}">
              <c16:uniqueId val="{0000000F-59E4-44C6-96FF-4DD5D15492E8}"/>
            </c:ext>
          </c:extLst>
        </c:ser>
        <c:ser>
          <c:idx val="14"/>
          <c:order val="14"/>
          <c:tx>
            <c:strRef>
              <c:f>'Civil Disturbance'!$C$964</c:f>
              <c:strCache>
                <c:ptCount val="1"/>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'Civil Disturbance'!$J$965</c:f>
            </c:numRef>
          </c:xVal>
          <c:yVal>
            <c:numRef>
              <c:f>'Civil Disturbance'!$J$966</c:f>
            </c:numRef>
          </c:yVal>
          <c:smooth val="0"/>
          <c:extLst>
            <c:ext xmlns:c16="http://schemas.microsoft.com/office/drawing/2014/chart" uri="{C3380CC4-5D6E-409C-BE32-E72D297353CC}">
              <c16:uniqueId val="{00000010-59E4-44C6-96FF-4DD5D15492E8}"/>
            </c:ext>
          </c:extLst>
        </c:ser>
        <c:ser>
          <c:idx val="15"/>
          <c:order val="15"/>
          <c:tx>
            <c:strRef>
              <c:f>'Civil Disturbance'!$C$849</c:f>
              <c:strCache>
                <c:ptCount val="1"/>
                <c:pt idx="0">
                  <c:v>Fatality Mgmt</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'Civil Disturbance'!$J$850</c:f>
              <c:numCache>
                <c:formatCode>General</c:formatCode>
                <c:ptCount val="1"/>
                <c:pt idx="0">
                  <c:v>1</c:v>
                </c:pt>
              </c:numCache>
            </c:numRef>
          </c:xVal>
          <c:yVal>
            <c:numRef>
              <c:f>'Civil Disturbance'!$J$851</c:f>
              <c:numCache>
                <c:formatCode>General</c:formatCode>
                <c:ptCount val="1"/>
                <c:pt idx="0">
                  <c:v>0</c:v>
                </c:pt>
              </c:numCache>
            </c:numRef>
          </c:yVal>
          <c:smooth val="0"/>
          <c:extLst>
            <c:ext xmlns:c16="http://schemas.microsoft.com/office/drawing/2014/chart" uri="{C3380CC4-5D6E-409C-BE32-E72D297353CC}">
              <c16:uniqueId val="{00000011-59E4-44C6-96FF-4DD5D15492E8}"/>
            </c:ext>
          </c:extLst>
        </c:ser>
        <c:dLbls>
          <c:showLegendKey val="0"/>
          <c:showVal val="1"/>
          <c:showCatName val="0"/>
          <c:showSerName val="0"/>
          <c:showPercent val="0"/>
          <c:showBubbleSize val="0"/>
        </c:dLbls>
        <c:axId val="194416640"/>
        <c:axId val="194418560"/>
      </c:scatterChart>
      <c:valAx>
        <c:axId val="194416640"/>
        <c:scaling>
          <c:orientation val="minMax"/>
          <c:max val="4.5"/>
          <c:min val="0"/>
        </c:scaling>
        <c:delete val="0"/>
        <c:axPos val="b"/>
        <c:majorGridlines/>
        <c:title>
          <c:tx>
            <c:rich>
              <a:bodyPr/>
              <a:lstStyle/>
              <a:p>
                <a:pPr>
                  <a:defRPr b="0">
                    <a:latin typeface="+mj-lt"/>
                  </a:defRPr>
                </a:pPr>
                <a:r>
                  <a:rPr lang="en-US" sz="1600" b="0">
                    <a:latin typeface="+mj-lt"/>
                  </a:rPr>
                  <a:t>Capability Relevance to Hazard</a:t>
                </a:r>
              </a:p>
            </c:rich>
          </c:tx>
          <c:overlay val="0"/>
        </c:title>
        <c:numFmt formatCode="General" sourceLinked="1"/>
        <c:majorTickMark val="out"/>
        <c:minorTickMark val="none"/>
        <c:tickLblPos val="nextTo"/>
        <c:spPr>
          <a:ln>
            <a:solidFill>
              <a:schemeClr val="tx1"/>
            </a:solidFill>
          </a:ln>
        </c:spPr>
        <c:crossAx val="194418560"/>
        <c:crosses val="autoZero"/>
        <c:crossBetween val="midCat"/>
        <c:majorUnit val="1"/>
        <c:minorUnit val="0.1"/>
      </c:valAx>
      <c:valAx>
        <c:axId val="194418560"/>
        <c:scaling>
          <c:orientation val="minMax"/>
          <c:max val="4.5"/>
          <c:min val="0"/>
        </c:scaling>
        <c:delete val="0"/>
        <c:axPos val="l"/>
        <c:majorGridlines/>
        <c:title>
          <c:tx>
            <c:rich>
              <a:bodyPr rot="-5400000" vert="horz"/>
              <a:lstStyle/>
              <a:p>
                <a:pPr>
                  <a:defRPr sz="1600" b="0">
                    <a:latin typeface="+mj-lt"/>
                  </a:defRPr>
                </a:pPr>
                <a:r>
                  <a:rPr lang="en-US" sz="1600" b="0">
                    <a:latin typeface="+mj-lt"/>
                  </a:rPr>
                  <a:t>Capability Status</a:t>
                </a:r>
              </a:p>
            </c:rich>
          </c:tx>
          <c:overlay val="0"/>
        </c:title>
        <c:numFmt formatCode="General" sourceLinked="1"/>
        <c:majorTickMark val="out"/>
        <c:minorTickMark val="none"/>
        <c:tickLblPos val="nextTo"/>
        <c:spPr>
          <a:ln>
            <a:solidFill>
              <a:schemeClr val="tx1"/>
            </a:solidFill>
          </a:ln>
        </c:spPr>
        <c:crossAx val="194416640"/>
        <c:crosses val="autoZero"/>
        <c:crossBetween val="midCat"/>
        <c:majorUnit val="1"/>
        <c:minorUnit val="0.1"/>
      </c:valAx>
      <c:spPr>
        <a:gradFill flip="none" rotWithShape="1">
          <a:gsLst>
            <a:gs pos="0">
              <a:srgbClr val="63BE7B"/>
            </a:gs>
            <a:gs pos="50000">
              <a:srgbClr val="FFEB84"/>
            </a:gs>
            <a:gs pos="100000">
              <a:srgbClr val="F8696B"/>
            </a:gs>
          </a:gsLst>
          <a:lin ang="27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b="0" u="sng">
                <a:latin typeface="+mj-lt"/>
              </a:defRPr>
            </a:pPr>
            <a:r>
              <a:rPr lang="en-US" b="0" u="sng">
                <a:latin typeface="+mj-lt"/>
              </a:rPr>
              <a:t>Severity</a:t>
            </a:r>
          </a:p>
        </c:rich>
      </c:tx>
      <c:layout>
        <c:manualLayout>
          <c:xMode val="edge"/>
          <c:yMode val="edge"/>
          <c:x val="0.46889233641333816"/>
          <c:y val="1.3244983721297133E-2"/>
        </c:manualLayout>
      </c:layout>
      <c:overlay val="0"/>
    </c:title>
    <c:autoTitleDeleted val="0"/>
    <c:plotArea>
      <c:layout/>
      <c:barChart>
        <c:barDir val="col"/>
        <c:grouping val="clustered"/>
        <c:varyColors val="0"/>
        <c:ser>
          <c:idx val="0"/>
          <c:order val="0"/>
          <c:tx>
            <c:v>Severity</c:v>
          </c:tx>
          <c:spPr>
            <a:solidFill>
              <a:schemeClr val="accent4">
                <a:lumMod val="60000"/>
                <a:lumOff val="40000"/>
              </a:schemeClr>
            </a:solidFill>
            <a:ln>
              <a:solidFill>
                <a:schemeClr val="accent4"/>
              </a:solidFill>
            </a:ln>
            <a:scene3d>
              <a:camera prst="orthographicFront"/>
              <a:lightRig rig="threePt" dir="t"/>
            </a:scene3d>
            <a:sp3d prstMaterial="matte">
              <a:bevelT/>
            </a:sp3d>
          </c:spPr>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('Active Shooter'!$G$22,'Active Shooter'!$G$137,'Active Shooter'!$G$265,'Active Shooter'!$G$425,'Active Shooter'!$G$543)</c:f>
              <c:strCache>
                <c:ptCount val="5"/>
                <c:pt idx="0">
                  <c:v>Human Impact</c:v>
                </c:pt>
                <c:pt idx="1">
                  <c:v>Healthcare Service Impact</c:v>
                </c:pt>
                <c:pt idx="2">
                  <c:v>Inpatient Healthcare Facility Infrastructure Impact</c:v>
                </c:pt>
                <c:pt idx="3">
                  <c:v>Community Impact</c:v>
                </c:pt>
                <c:pt idx="4">
                  <c:v>Public Health Service Impact</c:v>
                </c:pt>
              </c:strCache>
            </c:strRef>
          </c:cat>
          <c:val>
            <c:numRef>
              <c:f>('Civil Disturbance'!$J$133,'Civil Disturbance'!$J$261,'Civil Disturbance'!$J$421,'Civil Disturbance'!$J$539,'Civil Disturbance'!$J$681)</c:f>
              <c:numCache>
                <c:formatCode>0.00</c:formatCode>
                <c:ptCount val="5"/>
                <c:pt idx="0">
                  <c:v>0</c:v>
                </c:pt>
                <c:pt idx="1">
                  <c:v>0</c:v>
                </c:pt>
                <c:pt idx="2">
                  <c:v>1.625</c:v>
                </c:pt>
                <c:pt idx="3">
                  <c:v>1.0714285714285714</c:v>
                </c:pt>
                <c:pt idx="4">
                  <c:v>0</c:v>
                </c:pt>
              </c:numCache>
            </c:numRef>
          </c:val>
          <c:extLst>
            <c:ext xmlns:c16="http://schemas.microsoft.com/office/drawing/2014/chart" uri="{C3380CC4-5D6E-409C-BE32-E72D297353CC}">
              <c16:uniqueId val="{00000000-10A8-41F1-A4E3-B70F8B48F98B}"/>
            </c:ext>
          </c:extLst>
        </c:ser>
        <c:dLbls>
          <c:showLegendKey val="0"/>
          <c:showVal val="1"/>
          <c:showCatName val="0"/>
          <c:showSerName val="0"/>
          <c:showPercent val="0"/>
          <c:showBubbleSize val="0"/>
        </c:dLbls>
        <c:gapWidth val="150"/>
        <c:axId val="194471808"/>
        <c:axId val="194473984"/>
      </c:barChart>
      <c:catAx>
        <c:axId val="194471808"/>
        <c:scaling>
          <c:orientation val="minMax"/>
        </c:scaling>
        <c:delete val="0"/>
        <c:axPos val="b"/>
        <c:title>
          <c:tx>
            <c:rich>
              <a:bodyPr/>
              <a:lstStyle/>
              <a:p>
                <a:pPr>
                  <a:defRPr sz="1600" b="0">
                    <a:latin typeface="+mj-lt"/>
                  </a:defRPr>
                </a:pPr>
                <a:r>
                  <a:rPr lang="en-US" sz="1600" b="0">
                    <a:latin typeface="+mj-lt"/>
                  </a:rPr>
                  <a:t>Domain</a:t>
                </a:r>
              </a:p>
            </c:rich>
          </c:tx>
          <c:overlay val="0"/>
        </c:title>
        <c:numFmt formatCode="General" sourceLinked="1"/>
        <c:majorTickMark val="out"/>
        <c:minorTickMark val="none"/>
        <c:tickLblPos val="nextTo"/>
        <c:crossAx val="194473984"/>
        <c:crosses val="autoZero"/>
        <c:auto val="1"/>
        <c:lblAlgn val="ctr"/>
        <c:lblOffset val="100"/>
        <c:noMultiLvlLbl val="0"/>
      </c:catAx>
      <c:valAx>
        <c:axId val="194473984"/>
        <c:scaling>
          <c:orientation val="minMax"/>
          <c:max val="4"/>
        </c:scaling>
        <c:delete val="0"/>
        <c:axPos val="l"/>
        <c:majorGridlines/>
        <c:title>
          <c:tx>
            <c:rich>
              <a:bodyPr rot="-5400000" vert="horz"/>
              <a:lstStyle/>
              <a:p>
                <a:pPr>
                  <a:defRPr sz="1600" b="0">
                    <a:latin typeface="+mj-lt"/>
                  </a:defRPr>
                </a:pPr>
                <a:r>
                  <a:rPr lang="en-US" sz="1600" b="0">
                    <a:latin typeface="+mj-lt"/>
                  </a:rPr>
                  <a:t>Severity</a:t>
                </a:r>
                <a:r>
                  <a:rPr lang="en-US" sz="1600" b="0" baseline="0">
                    <a:latin typeface="+mj-lt"/>
                  </a:rPr>
                  <a:t> Score</a:t>
                </a:r>
                <a:endParaRPr lang="en-US" sz="1600" b="0">
                  <a:latin typeface="+mj-lt"/>
                </a:endParaRPr>
              </a:p>
            </c:rich>
          </c:tx>
          <c:overlay val="0"/>
        </c:title>
        <c:numFmt formatCode="0.00" sourceLinked="1"/>
        <c:majorTickMark val="out"/>
        <c:minorTickMark val="none"/>
        <c:tickLblPos val="nextTo"/>
        <c:crossAx val="194471808"/>
        <c:crosses val="autoZero"/>
        <c:crossBetween val="between"/>
      </c:valAx>
      <c:spPr>
        <a:gradFill flip="none" rotWithShape="1">
          <a:gsLst>
            <a:gs pos="0">
              <a:srgbClr val="63BE7B"/>
            </a:gs>
            <a:gs pos="50000">
              <a:srgbClr val="FFEB84"/>
            </a:gs>
            <a:gs pos="100000">
              <a:srgbClr val="F8696B"/>
            </a:gs>
          </a:gsLst>
          <a:lin ang="162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defRPr b="0" u="sng">
                <a:latin typeface="+mj-lt"/>
              </a:defRPr>
            </a:pPr>
            <a:r>
              <a:rPr lang="en-US" b="0" u="sng">
                <a:latin typeface="+mj-lt"/>
              </a:rPr>
              <a:t>Healthcare Preparedness</a:t>
            </a:r>
          </a:p>
        </c:rich>
      </c:tx>
      <c:layout>
        <c:manualLayout>
          <c:xMode val="edge"/>
          <c:yMode val="edge"/>
          <c:x val="0.30532356317913883"/>
          <c:y val="1.3244983721297133E-2"/>
        </c:manualLayout>
      </c:layout>
      <c:overlay val="0"/>
    </c:title>
    <c:autoTitleDeleted val="0"/>
    <c:plotArea>
      <c:layout/>
      <c:scatterChart>
        <c:scatterStyle val="lineMarker"/>
        <c:varyColors val="0"/>
        <c:ser>
          <c:idx val="0"/>
          <c:order val="0"/>
          <c:tx>
            <c:strRef>
              <c:f>'Civil Disturbance'!$C$903</c:f>
              <c:strCache>
                <c:ptCount val="1"/>
                <c:pt idx="0">
                  <c:v>HC System Prep</c:v>
                </c:pt>
              </c:strCache>
            </c:strRef>
          </c:tx>
          <c:spPr>
            <a:ln w="66675">
              <a:noFill/>
            </a:ln>
          </c:spPr>
          <c:dLbls>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'Civil Disturbance'!$J$904</c:f>
              <c:numCache>
                <c:formatCode>General</c:formatCode>
                <c:ptCount val="1"/>
                <c:pt idx="0">
                  <c:v>2</c:v>
                </c:pt>
              </c:numCache>
            </c:numRef>
          </c:xVal>
          <c:yVal>
            <c:numRef>
              <c:f>'Civil Disturbance'!$J$905</c:f>
              <c:numCache>
                <c:formatCode>General</c:formatCode>
                <c:ptCount val="1"/>
                <c:pt idx="0">
                  <c:v>0</c:v>
                </c:pt>
              </c:numCache>
            </c:numRef>
          </c:yVal>
          <c:smooth val="0"/>
          <c:extLst>
            <c:ext xmlns:c16="http://schemas.microsoft.com/office/drawing/2014/chart" uri="{C3380CC4-5D6E-409C-BE32-E72D297353CC}">
              <c16:uniqueId val="{00000000-7FEE-4485-A2AD-6927456C7D88}"/>
            </c:ext>
          </c:extLst>
        </c:ser>
        <c:ser>
          <c:idx val="1"/>
          <c:order val="1"/>
          <c:tx>
            <c:strRef>
              <c:f>'Civil Disturbance'!$C$907</c:f>
              <c:strCache>
                <c:ptCount val="1"/>
                <c:pt idx="0">
                  <c:v>HC System Recov</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'Civil Disturbance'!$J$908</c:f>
              <c:numCache>
                <c:formatCode>General</c:formatCode>
                <c:ptCount val="1"/>
                <c:pt idx="0">
                  <c:v>2</c:v>
                </c:pt>
              </c:numCache>
            </c:numRef>
          </c:xVal>
          <c:yVal>
            <c:numRef>
              <c:f>'Civil Disturbance'!$J$909</c:f>
              <c:numCache>
                <c:formatCode>General</c:formatCode>
                <c:ptCount val="1"/>
                <c:pt idx="0">
                  <c:v>0</c:v>
                </c:pt>
              </c:numCache>
            </c:numRef>
          </c:yVal>
          <c:smooth val="0"/>
          <c:extLst>
            <c:ext xmlns:c16="http://schemas.microsoft.com/office/drawing/2014/chart" uri="{C3380CC4-5D6E-409C-BE32-E72D297353CC}">
              <c16:uniqueId val="{00000001-7FEE-4485-A2AD-6927456C7D88}"/>
            </c:ext>
          </c:extLst>
        </c:ser>
        <c:ser>
          <c:idx val="2"/>
          <c:order val="2"/>
          <c:tx>
            <c:strRef>
              <c:f>'Civil Disturbance'!$C$911</c:f>
              <c:strCache>
                <c:ptCount val="1"/>
                <c:pt idx="0">
                  <c:v>Emerg Ops Coord</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'Civil Disturbance'!$J$912</c:f>
              <c:numCache>
                <c:formatCode>General</c:formatCode>
                <c:ptCount val="1"/>
                <c:pt idx="0">
                  <c:v>2</c:v>
                </c:pt>
              </c:numCache>
            </c:numRef>
          </c:xVal>
          <c:yVal>
            <c:numRef>
              <c:f>'Civil Disturbance'!$J$913</c:f>
              <c:numCache>
                <c:formatCode>General</c:formatCode>
                <c:ptCount val="1"/>
                <c:pt idx="0">
                  <c:v>0</c:v>
                </c:pt>
              </c:numCache>
            </c:numRef>
          </c:yVal>
          <c:smooth val="0"/>
          <c:extLst>
            <c:ext xmlns:c16="http://schemas.microsoft.com/office/drawing/2014/chart" uri="{C3380CC4-5D6E-409C-BE32-E72D297353CC}">
              <c16:uniqueId val="{00000002-7FEE-4485-A2AD-6927456C7D88}"/>
            </c:ext>
          </c:extLst>
        </c:ser>
        <c:ser>
          <c:idx val="3"/>
          <c:order val="3"/>
          <c:tx>
            <c:strRef>
              <c:f>'Civil Disturbance'!$C$915</c:f>
              <c:strCache>
                <c:ptCount val="1"/>
                <c:pt idx="0">
                  <c:v>Fatality Mgmt</c:v>
                </c:pt>
              </c:strCache>
            </c:strRef>
          </c:tx>
          <c:spPr>
            <a:ln w="66675">
              <a:noFill/>
            </a:ln>
          </c:spPr>
          <c:dLbls>
            <c:dLbl>
              <c:idx val="0"/>
              <c:layout>
                <c:manualLayout>
                  <c:x val="-1.5251807320996049E-17"/>
                  <c:y val="1.214329083181542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7FEE-4485-A2AD-6927456C7D88}"/>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'Civil Disturbance'!$J$916</c:f>
              <c:numCache>
                <c:formatCode>General</c:formatCode>
                <c:ptCount val="1"/>
                <c:pt idx="0">
                  <c:v>1</c:v>
                </c:pt>
              </c:numCache>
            </c:numRef>
          </c:xVal>
          <c:yVal>
            <c:numRef>
              <c:f>'Civil Disturbance'!$J$917</c:f>
              <c:numCache>
                <c:formatCode>General</c:formatCode>
                <c:ptCount val="1"/>
                <c:pt idx="0">
                  <c:v>0</c:v>
                </c:pt>
              </c:numCache>
            </c:numRef>
          </c:yVal>
          <c:smooth val="0"/>
          <c:extLst>
            <c:ext xmlns:c16="http://schemas.microsoft.com/office/drawing/2014/chart" uri="{C3380CC4-5D6E-409C-BE32-E72D297353CC}">
              <c16:uniqueId val="{00000004-7FEE-4485-A2AD-6927456C7D88}"/>
            </c:ext>
          </c:extLst>
        </c:ser>
        <c:ser>
          <c:idx val="4"/>
          <c:order val="4"/>
          <c:tx>
            <c:strRef>
              <c:f>'Civil Disturbance'!$C$919</c:f>
              <c:strCache>
                <c:ptCount val="1"/>
                <c:pt idx="0">
                  <c:v>Info Sharing</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'Civil Disturbance'!$J$920</c:f>
              <c:numCache>
                <c:formatCode>General</c:formatCode>
                <c:ptCount val="1"/>
                <c:pt idx="0">
                  <c:v>4</c:v>
                </c:pt>
              </c:numCache>
            </c:numRef>
          </c:xVal>
          <c:yVal>
            <c:numRef>
              <c:f>'Civil Disturbance'!$J$921</c:f>
              <c:numCache>
                <c:formatCode>General</c:formatCode>
                <c:ptCount val="1"/>
                <c:pt idx="0">
                  <c:v>0</c:v>
                </c:pt>
              </c:numCache>
            </c:numRef>
          </c:yVal>
          <c:smooth val="0"/>
          <c:extLst>
            <c:ext xmlns:c16="http://schemas.microsoft.com/office/drawing/2014/chart" uri="{C3380CC4-5D6E-409C-BE32-E72D297353CC}">
              <c16:uniqueId val="{00000005-7FEE-4485-A2AD-6927456C7D88}"/>
            </c:ext>
          </c:extLst>
        </c:ser>
        <c:ser>
          <c:idx val="5"/>
          <c:order val="5"/>
          <c:tx>
            <c:strRef>
              <c:f>'Civil Disturbance'!$C$923</c:f>
              <c:strCache>
                <c:ptCount val="1"/>
                <c:pt idx="0">
                  <c:v>Medical Surge</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'Civil Disturbance'!$J$924</c:f>
              <c:numCache>
                <c:formatCode>General</c:formatCode>
                <c:ptCount val="1"/>
                <c:pt idx="0">
                  <c:v>2</c:v>
                </c:pt>
              </c:numCache>
            </c:numRef>
          </c:xVal>
          <c:yVal>
            <c:numRef>
              <c:f>'Civil Disturbance'!$J$925</c:f>
              <c:numCache>
                <c:formatCode>General</c:formatCode>
                <c:ptCount val="1"/>
                <c:pt idx="0">
                  <c:v>0</c:v>
                </c:pt>
              </c:numCache>
            </c:numRef>
          </c:yVal>
          <c:smooth val="0"/>
          <c:extLst>
            <c:ext xmlns:c16="http://schemas.microsoft.com/office/drawing/2014/chart" uri="{C3380CC4-5D6E-409C-BE32-E72D297353CC}">
              <c16:uniqueId val="{00000006-7FEE-4485-A2AD-6927456C7D88}"/>
            </c:ext>
          </c:extLst>
        </c:ser>
        <c:ser>
          <c:idx val="6"/>
          <c:order val="6"/>
          <c:tx>
            <c:strRef>
              <c:f>'Civil Disturbance'!$C$927</c:f>
              <c:strCache>
                <c:ptCount val="1"/>
                <c:pt idx="0">
                  <c:v>Responder Safety</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'Civil Disturbance'!$J$928</c:f>
              <c:numCache>
                <c:formatCode>General</c:formatCode>
                <c:ptCount val="1"/>
                <c:pt idx="0">
                  <c:v>1</c:v>
                </c:pt>
              </c:numCache>
            </c:numRef>
          </c:xVal>
          <c:yVal>
            <c:numRef>
              <c:f>'Civil Disturbance'!$J$929</c:f>
              <c:numCache>
                <c:formatCode>General</c:formatCode>
                <c:ptCount val="1"/>
                <c:pt idx="0">
                  <c:v>0</c:v>
                </c:pt>
              </c:numCache>
            </c:numRef>
          </c:yVal>
          <c:smooth val="0"/>
          <c:extLst>
            <c:ext xmlns:c16="http://schemas.microsoft.com/office/drawing/2014/chart" uri="{C3380CC4-5D6E-409C-BE32-E72D297353CC}">
              <c16:uniqueId val="{00000007-7FEE-4485-A2AD-6927456C7D88}"/>
            </c:ext>
          </c:extLst>
        </c:ser>
        <c:ser>
          <c:idx val="7"/>
          <c:order val="7"/>
          <c:tx>
            <c:strRef>
              <c:f>'Civil Disturbance'!$C$931</c:f>
              <c:strCache>
                <c:ptCount val="1"/>
                <c:pt idx="0">
                  <c:v>Volunteer Mgmt</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'Civil Disturbance'!$J$932</c:f>
              <c:numCache>
                <c:formatCode>General</c:formatCode>
                <c:ptCount val="1"/>
                <c:pt idx="0">
                  <c:v>0</c:v>
                </c:pt>
              </c:numCache>
            </c:numRef>
          </c:xVal>
          <c:yVal>
            <c:numRef>
              <c:f>'Civil Disturbance'!$J$933</c:f>
              <c:numCache>
                <c:formatCode>General</c:formatCode>
                <c:ptCount val="1"/>
                <c:pt idx="0">
                  <c:v>0</c:v>
                </c:pt>
              </c:numCache>
            </c:numRef>
          </c:yVal>
          <c:smooth val="0"/>
          <c:extLst>
            <c:ext xmlns:c16="http://schemas.microsoft.com/office/drawing/2014/chart" uri="{C3380CC4-5D6E-409C-BE32-E72D297353CC}">
              <c16:uniqueId val="{00000008-7FEE-4485-A2AD-6927456C7D88}"/>
            </c:ext>
          </c:extLst>
        </c:ser>
        <c:ser>
          <c:idx val="14"/>
          <c:order val="8"/>
          <c:tx>
            <c:strRef>
              <c:f>'Civil Disturbance'!$C$964</c:f>
              <c:strCache>
                <c:ptCount val="1"/>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'Civil Disturbance'!$J$965</c:f>
            </c:numRef>
          </c:xVal>
          <c:yVal>
            <c:numRef>
              <c:f>'Civil Disturbance'!$J$966</c:f>
            </c:numRef>
          </c:yVal>
          <c:smooth val="0"/>
          <c:extLst>
            <c:ext xmlns:c16="http://schemas.microsoft.com/office/drawing/2014/chart" uri="{C3380CC4-5D6E-409C-BE32-E72D297353CC}">
              <c16:uniqueId val="{00000009-7FEE-4485-A2AD-6927456C7D88}"/>
            </c:ext>
          </c:extLst>
        </c:ser>
        <c:dLbls>
          <c:showLegendKey val="0"/>
          <c:showVal val="1"/>
          <c:showCatName val="0"/>
          <c:showSerName val="0"/>
          <c:showPercent val="0"/>
          <c:showBubbleSize val="0"/>
        </c:dLbls>
        <c:axId val="194513536"/>
        <c:axId val="194519808"/>
      </c:scatterChart>
      <c:valAx>
        <c:axId val="194513536"/>
        <c:scaling>
          <c:orientation val="minMax"/>
          <c:max val="4.5"/>
          <c:min val="0"/>
        </c:scaling>
        <c:delete val="0"/>
        <c:axPos val="b"/>
        <c:majorGridlines/>
        <c:title>
          <c:tx>
            <c:rich>
              <a:bodyPr/>
              <a:lstStyle/>
              <a:p>
                <a:pPr>
                  <a:defRPr b="0">
                    <a:latin typeface="+mj-lt"/>
                  </a:defRPr>
                </a:pPr>
                <a:r>
                  <a:rPr lang="en-US" sz="1600" b="0">
                    <a:latin typeface="+mj-lt"/>
                  </a:rPr>
                  <a:t>Capability Relevance to Hazard</a:t>
                </a:r>
              </a:p>
            </c:rich>
          </c:tx>
          <c:overlay val="0"/>
        </c:title>
        <c:numFmt formatCode="General" sourceLinked="1"/>
        <c:majorTickMark val="out"/>
        <c:minorTickMark val="none"/>
        <c:tickLblPos val="nextTo"/>
        <c:spPr>
          <a:ln>
            <a:solidFill>
              <a:schemeClr val="tx1"/>
            </a:solidFill>
          </a:ln>
        </c:spPr>
        <c:crossAx val="194519808"/>
        <c:crosses val="autoZero"/>
        <c:crossBetween val="midCat"/>
        <c:majorUnit val="1"/>
        <c:minorUnit val="0.1"/>
      </c:valAx>
      <c:valAx>
        <c:axId val="194519808"/>
        <c:scaling>
          <c:orientation val="minMax"/>
          <c:max val="4.5"/>
          <c:min val="0"/>
        </c:scaling>
        <c:delete val="0"/>
        <c:axPos val="l"/>
        <c:majorGridlines/>
        <c:title>
          <c:tx>
            <c:rich>
              <a:bodyPr rot="-5400000" vert="horz"/>
              <a:lstStyle/>
              <a:p>
                <a:pPr>
                  <a:defRPr sz="1600" b="0">
                    <a:latin typeface="+mj-lt"/>
                  </a:defRPr>
                </a:pPr>
                <a:r>
                  <a:rPr lang="en-US" sz="1600" b="0">
                    <a:latin typeface="+mj-lt"/>
                  </a:rPr>
                  <a:t>Capability Status</a:t>
                </a:r>
              </a:p>
            </c:rich>
          </c:tx>
          <c:overlay val="0"/>
        </c:title>
        <c:numFmt formatCode="General" sourceLinked="1"/>
        <c:majorTickMark val="out"/>
        <c:minorTickMark val="none"/>
        <c:tickLblPos val="nextTo"/>
        <c:spPr>
          <a:ln>
            <a:solidFill>
              <a:schemeClr val="tx1"/>
            </a:solidFill>
          </a:ln>
        </c:spPr>
        <c:crossAx val="194513536"/>
        <c:crosses val="autoZero"/>
        <c:crossBetween val="midCat"/>
        <c:majorUnit val="1"/>
        <c:minorUnit val="0.1"/>
      </c:valAx>
      <c:spPr>
        <a:gradFill flip="none" rotWithShape="1">
          <a:gsLst>
            <a:gs pos="0">
              <a:srgbClr val="63BE7B"/>
            </a:gs>
            <a:gs pos="50000">
              <a:srgbClr val="FFEB84"/>
            </a:gs>
            <a:gs pos="100000">
              <a:srgbClr val="F8696B"/>
            </a:gs>
          </a:gsLst>
          <a:lin ang="27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b="0" u="sng">
                <a:latin typeface="+mj-lt"/>
              </a:defRPr>
            </a:pPr>
            <a:r>
              <a:rPr lang="en-US" b="0" u="sng">
                <a:latin typeface="+mj-lt"/>
              </a:rPr>
              <a:t>Severity</a:t>
            </a:r>
          </a:p>
        </c:rich>
      </c:tx>
      <c:layout>
        <c:manualLayout>
          <c:xMode val="edge"/>
          <c:yMode val="edge"/>
          <c:x val="0.46889233641333816"/>
          <c:y val="1.3244983721297133E-2"/>
        </c:manualLayout>
      </c:layout>
      <c:overlay val="0"/>
    </c:title>
    <c:autoTitleDeleted val="0"/>
    <c:plotArea>
      <c:layout/>
      <c:barChart>
        <c:barDir val="col"/>
        <c:grouping val="clustered"/>
        <c:varyColors val="0"/>
        <c:ser>
          <c:idx val="0"/>
          <c:order val="0"/>
          <c:tx>
            <c:v>Severity</c:v>
          </c:tx>
          <c:spPr>
            <a:solidFill>
              <a:schemeClr val="accent4">
                <a:lumMod val="60000"/>
                <a:lumOff val="40000"/>
              </a:schemeClr>
            </a:solidFill>
            <a:ln>
              <a:solidFill>
                <a:schemeClr val="accent4"/>
              </a:solidFill>
            </a:ln>
            <a:scene3d>
              <a:camera prst="orthographicFront"/>
              <a:lightRig rig="threePt" dir="t"/>
            </a:scene3d>
            <a:sp3d prstMaterial="matte">
              <a:bevelT w="63500" h="50800"/>
            </a:sp3d>
          </c:spPr>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('Active Shooter'!$G$22,'Active Shooter'!$G$137,'Active Shooter'!$G$265,'Active Shooter'!$G$425,'Active Shooter'!$G$543)</c:f>
              <c:strCache>
                <c:ptCount val="5"/>
                <c:pt idx="0">
                  <c:v>Human Impact</c:v>
                </c:pt>
                <c:pt idx="1">
                  <c:v>Healthcare Service Impact</c:v>
                </c:pt>
                <c:pt idx="2">
                  <c:v>Inpatient Healthcare Facility Infrastructure Impact</c:v>
                </c:pt>
                <c:pt idx="3">
                  <c:v>Community Impact</c:v>
                </c:pt>
                <c:pt idx="4">
                  <c:v>Public Health Service Impact</c:v>
                </c:pt>
              </c:strCache>
            </c:strRef>
          </c:cat>
          <c:val>
            <c:numRef>
              <c:f>('Coastal Storm'!$J$133,'Coastal Storm'!$J$261,'Coastal Storm'!$J$421,'Coastal Storm'!$J$539,'Coastal Storm'!$J$681)</c:f>
              <c:numCache>
                <c:formatCode>0.00</c:formatCode>
                <c:ptCount val="5"/>
                <c:pt idx="0">
                  <c:v>0</c:v>
                </c:pt>
                <c:pt idx="1">
                  <c:v>0</c:v>
                </c:pt>
                <c:pt idx="2">
                  <c:v>1.5</c:v>
                </c:pt>
                <c:pt idx="3">
                  <c:v>0</c:v>
                </c:pt>
                <c:pt idx="4">
                  <c:v>0</c:v>
                </c:pt>
              </c:numCache>
            </c:numRef>
          </c:val>
          <c:extLst>
            <c:ext xmlns:c16="http://schemas.microsoft.com/office/drawing/2014/chart" uri="{C3380CC4-5D6E-409C-BE32-E72D297353CC}">
              <c16:uniqueId val="{00000000-224C-43CE-9C43-251BD2DF0264}"/>
            </c:ext>
          </c:extLst>
        </c:ser>
        <c:dLbls>
          <c:showLegendKey val="0"/>
          <c:showVal val="1"/>
          <c:showCatName val="0"/>
          <c:showSerName val="0"/>
          <c:showPercent val="0"/>
          <c:showBubbleSize val="0"/>
        </c:dLbls>
        <c:gapWidth val="150"/>
        <c:axId val="194654208"/>
        <c:axId val="194656128"/>
      </c:barChart>
      <c:catAx>
        <c:axId val="194654208"/>
        <c:scaling>
          <c:orientation val="minMax"/>
        </c:scaling>
        <c:delete val="0"/>
        <c:axPos val="b"/>
        <c:title>
          <c:tx>
            <c:rich>
              <a:bodyPr/>
              <a:lstStyle/>
              <a:p>
                <a:pPr>
                  <a:defRPr sz="1600" b="0">
                    <a:latin typeface="+mj-lt"/>
                  </a:defRPr>
                </a:pPr>
                <a:r>
                  <a:rPr lang="en-US" sz="1600" b="0">
                    <a:latin typeface="+mj-lt"/>
                  </a:rPr>
                  <a:t>Domain</a:t>
                </a:r>
              </a:p>
            </c:rich>
          </c:tx>
          <c:overlay val="0"/>
        </c:title>
        <c:numFmt formatCode="General" sourceLinked="1"/>
        <c:majorTickMark val="out"/>
        <c:minorTickMark val="none"/>
        <c:tickLblPos val="nextTo"/>
        <c:crossAx val="194656128"/>
        <c:crosses val="autoZero"/>
        <c:auto val="1"/>
        <c:lblAlgn val="ctr"/>
        <c:lblOffset val="100"/>
        <c:noMultiLvlLbl val="0"/>
      </c:catAx>
      <c:valAx>
        <c:axId val="194656128"/>
        <c:scaling>
          <c:orientation val="minMax"/>
          <c:max val="4"/>
        </c:scaling>
        <c:delete val="0"/>
        <c:axPos val="l"/>
        <c:majorGridlines/>
        <c:title>
          <c:tx>
            <c:rich>
              <a:bodyPr rot="-5400000" vert="horz"/>
              <a:lstStyle/>
              <a:p>
                <a:pPr>
                  <a:defRPr sz="1600" b="0">
                    <a:latin typeface="+mj-lt"/>
                  </a:defRPr>
                </a:pPr>
                <a:r>
                  <a:rPr lang="en-US" sz="1600" b="0">
                    <a:latin typeface="+mj-lt"/>
                  </a:rPr>
                  <a:t>Severity</a:t>
                </a:r>
                <a:r>
                  <a:rPr lang="en-US" sz="1600" b="0" baseline="0">
                    <a:latin typeface="+mj-lt"/>
                  </a:rPr>
                  <a:t> Score</a:t>
                </a:r>
                <a:endParaRPr lang="en-US" sz="1600" b="0">
                  <a:latin typeface="+mj-lt"/>
                </a:endParaRPr>
              </a:p>
            </c:rich>
          </c:tx>
          <c:overlay val="0"/>
        </c:title>
        <c:numFmt formatCode="0.00" sourceLinked="1"/>
        <c:majorTickMark val="out"/>
        <c:minorTickMark val="none"/>
        <c:tickLblPos val="nextTo"/>
        <c:crossAx val="194654208"/>
        <c:crosses val="autoZero"/>
        <c:crossBetween val="between"/>
      </c:valAx>
      <c:spPr>
        <a:gradFill flip="none" rotWithShape="1">
          <a:gsLst>
            <a:gs pos="0">
              <a:srgbClr val="63BE7B"/>
            </a:gs>
            <a:gs pos="50000">
              <a:srgbClr val="FFEB84"/>
            </a:gs>
            <a:gs pos="100000">
              <a:srgbClr val="F8696B"/>
            </a:gs>
          </a:gsLst>
          <a:lin ang="162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b="0" u="sng">
                <a:latin typeface="+mj-lt"/>
              </a:defRPr>
            </a:pPr>
            <a:r>
              <a:rPr lang="en-US" b="0" u="sng">
                <a:latin typeface="+mj-lt"/>
              </a:rPr>
              <a:t>At-Risk Populations</a:t>
            </a:r>
          </a:p>
        </c:rich>
      </c:tx>
      <c:layout>
        <c:manualLayout>
          <c:xMode val="edge"/>
          <c:yMode val="edge"/>
          <c:x val="0.37636858589702443"/>
          <c:y val="1.3244983721297133E-2"/>
        </c:manualLayout>
      </c:layout>
      <c:overlay val="0"/>
    </c:title>
    <c:autoTitleDeleted val="0"/>
    <c:plotArea>
      <c:layout/>
      <c:scatterChart>
        <c:scatterStyle val="lineMarker"/>
        <c:varyColors val="0"/>
        <c:ser>
          <c:idx val="0"/>
          <c:order val="0"/>
          <c:tx>
            <c:strRef>
              <c:f>'Coastal Storm'!$C$793</c:f>
              <c:strCache>
                <c:ptCount val="1"/>
                <c:pt idx="0">
                  <c:v>Poverty</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'Coastal Storm'!$J$795</c:f>
              <c:numCache>
                <c:formatCode>General</c:formatCode>
                <c:ptCount val="1"/>
                <c:pt idx="0">
                  <c:v>3</c:v>
                </c:pt>
              </c:numCache>
            </c:numRef>
          </c:xVal>
          <c:yVal>
            <c:numRef>
              <c:f>'Coastal Storm'!$J$794</c:f>
              <c:numCache>
                <c:formatCode>General</c:formatCode>
                <c:ptCount val="1"/>
                <c:pt idx="0">
                  <c:v>0</c:v>
                </c:pt>
              </c:numCache>
            </c:numRef>
          </c:yVal>
          <c:smooth val="0"/>
          <c:extLst>
            <c:ext xmlns:c16="http://schemas.microsoft.com/office/drawing/2014/chart" uri="{C3380CC4-5D6E-409C-BE32-E72D297353CC}">
              <c16:uniqueId val="{00000000-4706-4729-B231-751085EB0FA4}"/>
            </c:ext>
          </c:extLst>
        </c:ser>
        <c:ser>
          <c:idx val="1"/>
          <c:order val="1"/>
          <c:tx>
            <c:strRef>
              <c:f>'Coastal Storm'!$C$797</c:f>
              <c:strCache>
                <c:ptCount val="1"/>
                <c:pt idx="0">
                  <c:v>Chronic Diseases (Diabetes)</c:v>
                </c:pt>
              </c:strCache>
            </c:strRef>
          </c:tx>
          <c:spPr>
            <a:ln w="66675">
              <a:noFill/>
            </a:ln>
          </c:spPr>
          <c:dLbls>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'Coastal Storm'!$J$799</c:f>
              <c:numCache>
                <c:formatCode>General</c:formatCode>
                <c:ptCount val="1"/>
                <c:pt idx="0">
                  <c:v>3</c:v>
                </c:pt>
              </c:numCache>
            </c:numRef>
          </c:xVal>
          <c:yVal>
            <c:numRef>
              <c:f>'Coastal Storm'!$J$798</c:f>
              <c:numCache>
                <c:formatCode>General</c:formatCode>
                <c:ptCount val="1"/>
                <c:pt idx="0">
                  <c:v>0</c:v>
                </c:pt>
              </c:numCache>
            </c:numRef>
          </c:yVal>
          <c:smooth val="0"/>
          <c:extLst>
            <c:ext xmlns:c16="http://schemas.microsoft.com/office/drawing/2014/chart" uri="{C3380CC4-5D6E-409C-BE32-E72D297353CC}">
              <c16:uniqueId val="{00000001-4706-4729-B231-751085EB0FA4}"/>
            </c:ext>
          </c:extLst>
        </c:ser>
        <c:ser>
          <c:idx val="2"/>
          <c:order val="2"/>
          <c:tx>
            <c:strRef>
              <c:f>'Coastal Storm'!$C$801</c:f>
              <c:strCache>
                <c:ptCount val="1"/>
                <c:pt idx="0">
                  <c:v>Children 18 and under</c:v>
                </c:pt>
              </c:strCache>
            </c:strRef>
          </c:tx>
          <c:spPr>
            <a:ln w="66675">
              <a:noFill/>
            </a:ln>
          </c:spPr>
          <c:dLbls>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'Coastal Storm'!$J$803</c:f>
              <c:numCache>
                <c:formatCode>General</c:formatCode>
                <c:ptCount val="1"/>
                <c:pt idx="0">
                  <c:v>4</c:v>
                </c:pt>
              </c:numCache>
            </c:numRef>
          </c:xVal>
          <c:yVal>
            <c:numRef>
              <c:f>'Coastal Storm'!$J$802</c:f>
              <c:numCache>
                <c:formatCode>General</c:formatCode>
                <c:ptCount val="1"/>
                <c:pt idx="0">
                  <c:v>0</c:v>
                </c:pt>
              </c:numCache>
            </c:numRef>
          </c:yVal>
          <c:smooth val="0"/>
          <c:extLst>
            <c:ext xmlns:c16="http://schemas.microsoft.com/office/drawing/2014/chart" uri="{C3380CC4-5D6E-409C-BE32-E72D297353CC}">
              <c16:uniqueId val="{00000002-4706-4729-B231-751085EB0FA4}"/>
            </c:ext>
          </c:extLst>
        </c:ser>
        <c:ser>
          <c:idx val="3"/>
          <c:order val="3"/>
          <c:tx>
            <c:strRef>
              <c:f>'Coastal Storm'!$C$805</c:f>
              <c:strCache>
                <c:ptCount val="1"/>
                <c:pt idx="0">
                  <c:v>Elderly 65 and older</c:v>
                </c:pt>
              </c:strCache>
            </c:strRef>
          </c:tx>
          <c:spPr>
            <a:ln w="66675">
              <a:noFill/>
            </a:ln>
          </c:spPr>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4706-4729-B231-751085EB0FA4}"/>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'Coastal Storm'!$J$807</c:f>
              <c:numCache>
                <c:formatCode>General</c:formatCode>
                <c:ptCount val="1"/>
                <c:pt idx="0">
                  <c:v>3</c:v>
                </c:pt>
              </c:numCache>
            </c:numRef>
          </c:xVal>
          <c:yVal>
            <c:numRef>
              <c:f>'Coastal Storm'!$J$806</c:f>
              <c:numCache>
                <c:formatCode>General</c:formatCode>
                <c:ptCount val="1"/>
                <c:pt idx="0">
                  <c:v>0</c:v>
                </c:pt>
              </c:numCache>
            </c:numRef>
          </c:yVal>
          <c:smooth val="0"/>
          <c:extLst>
            <c:ext xmlns:c16="http://schemas.microsoft.com/office/drawing/2014/chart" uri="{C3380CC4-5D6E-409C-BE32-E72D297353CC}">
              <c16:uniqueId val="{00000004-4706-4729-B231-751085EB0FA4}"/>
            </c:ext>
          </c:extLst>
        </c:ser>
        <c:ser>
          <c:idx val="4"/>
          <c:order val="4"/>
          <c:tx>
            <c:strRef>
              <c:f>'Coastal Storm'!$C$773</c:f>
              <c:strCache>
                <c:ptCount val="1"/>
                <c:pt idx="0">
                  <c:v>Hearing Disability</c:v>
                </c:pt>
              </c:strCache>
            </c:strRef>
          </c:tx>
          <c:spPr>
            <a:ln w="66675">
              <a:noFill/>
            </a:ln>
          </c:spPr>
          <c:dLbls>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'Coastal Storm'!$J$775</c:f>
              <c:numCache>
                <c:formatCode>General</c:formatCode>
                <c:ptCount val="1"/>
                <c:pt idx="0">
                  <c:v>3</c:v>
                </c:pt>
              </c:numCache>
            </c:numRef>
          </c:xVal>
          <c:yVal>
            <c:numRef>
              <c:f>'Coastal Storm'!$J$774</c:f>
              <c:numCache>
                <c:formatCode>General</c:formatCode>
                <c:ptCount val="1"/>
                <c:pt idx="0">
                  <c:v>0</c:v>
                </c:pt>
              </c:numCache>
            </c:numRef>
          </c:yVal>
          <c:smooth val="0"/>
          <c:extLst>
            <c:ext xmlns:c16="http://schemas.microsoft.com/office/drawing/2014/chart" uri="{C3380CC4-5D6E-409C-BE32-E72D297353CC}">
              <c16:uniqueId val="{00000005-4706-4729-B231-751085EB0FA4}"/>
            </c:ext>
          </c:extLst>
        </c:ser>
        <c:ser>
          <c:idx val="5"/>
          <c:order val="5"/>
          <c:tx>
            <c:strRef>
              <c:f>'Coastal Storm'!$C$777</c:f>
              <c:strCache>
                <c:ptCount val="1"/>
                <c:pt idx="0">
                  <c:v>Vision Disability</c:v>
                </c:pt>
              </c:strCache>
            </c:strRef>
          </c:tx>
          <c:spPr>
            <a:ln w="66675">
              <a:noFill/>
            </a:ln>
          </c:spPr>
          <c:dLbls>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'Coastal Storm'!$J$779</c:f>
              <c:numCache>
                <c:formatCode>General</c:formatCode>
                <c:ptCount val="1"/>
                <c:pt idx="0">
                  <c:v>4</c:v>
                </c:pt>
              </c:numCache>
            </c:numRef>
          </c:xVal>
          <c:yVal>
            <c:numRef>
              <c:f>'Coastal Storm'!$J$778</c:f>
              <c:numCache>
                <c:formatCode>General</c:formatCode>
                <c:ptCount val="1"/>
                <c:pt idx="0">
                  <c:v>0</c:v>
                </c:pt>
              </c:numCache>
            </c:numRef>
          </c:yVal>
          <c:smooth val="0"/>
          <c:extLst>
            <c:ext xmlns:c16="http://schemas.microsoft.com/office/drawing/2014/chart" uri="{C3380CC4-5D6E-409C-BE32-E72D297353CC}">
              <c16:uniqueId val="{00000006-4706-4729-B231-751085EB0FA4}"/>
            </c:ext>
          </c:extLst>
        </c:ser>
        <c:ser>
          <c:idx val="6"/>
          <c:order val="6"/>
          <c:tx>
            <c:strRef>
              <c:f>'Coastal Storm'!$C$781</c:f>
              <c:strCache>
                <c:ptCount val="1"/>
                <c:pt idx="0">
                  <c:v>Ambulatory Disability</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'Coastal Storm'!$J$783</c:f>
              <c:numCache>
                <c:formatCode>General</c:formatCode>
                <c:ptCount val="1"/>
                <c:pt idx="0">
                  <c:v>3</c:v>
                </c:pt>
              </c:numCache>
            </c:numRef>
          </c:xVal>
          <c:yVal>
            <c:numRef>
              <c:f>'Coastal Storm'!$J$782</c:f>
              <c:numCache>
                <c:formatCode>General</c:formatCode>
                <c:ptCount val="1"/>
                <c:pt idx="0">
                  <c:v>0</c:v>
                </c:pt>
              </c:numCache>
            </c:numRef>
          </c:yVal>
          <c:smooth val="0"/>
          <c:extLst>
            <c:ext xmlns:c16="http://schemas.microsoft.com/office/drawing/2014/chart" uri="{C3380CC4-5D6E-409C-BE32-E72D297353CC}">
              <c16:uniqueId val="{00000007-4706-4729-B231-751085EB0FA4}"/>
            </c:ext>
          </c:extLst>
        </c:ser>
        <c:ser>
          <c:idx val="7"/>
          <c:order val="7"/>
          <c:tx>
            <c:strRef>
              <c:f>'Coastal Storm'!$C$785</c:f>
              <c:strCache>
                <c:ptCount val="1"/>
                <c:pt idx="0">
                  <c:v>Cognitive Disability</c:v>
                </c:pt>
              </c:strCache>
            </c:strRef>
          </c:tx>
          <c:spPr>
            <a:ln w="66675">
              <a:noFill/>
            </a:ln>
          </c:spPr>
          <c:dLbls>
            <c:dLbl>
              <c:idx val="0"/>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4706-4729-B231-751085EB0FA4}"/>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'Coastal Storm'!$J$787</c:f>
              <c:numCache>
                <c:formatCode>General</c:formatCode>
                <c:ptCount val="1"/>
                <c:pt idx="0">
                  <c:v>4</c:v>
                </c:pt>
              </c:numCache>
            </c:numRef>
          </c:xVal>
          <c:yVal>
            <c:numRef>
              <c:f>'Coastal Storm'!$J$786</c:f>
              <c:numCache>
                <c:formatCode>General</c:formatCode>
                <c:ptCount val="1"/>
                <c:pt idx="0">
                  <c:v>0</c:v>
                </c:pt>
              </c:numCache>
            </c:numRef>
          </c:yVal>
          <c:smooth val="0"/>
          <c:extLst>
            <c:ext xmlns:c16="http://schemas.microsoft.com/office/drawing/2014/chart" uri="{C3380CC4-5D6E-409C-BE32-E72D297353CC}">
              <c16:uniqueId val="{00000009-4706-4729-B231-751085EB0FA4}"/>
            </c:ext>
          </c:extLst>
        </c:ser>
        <c:ser>
          <c:idx val="8"/>
          <c:order val="8"/>
          <c:tx>
            <c:strRef>
              <c:f>'Coastal Storm'!$C$789</c:f>
              <c:strCache>
                <c:ptCount val="1"/>
                <c:pt idx="0">
                  <c:v>Limited English Proficiency</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'Coastal Storm'!$J$791</c:f>
              <c:numCache>
                <c:formatCode>General</c:formatCode>
                <c:ptCount val="1"/>
                <c:pt idx="0">
                  <c:v>3</c:v>
                </c:pt>
              </c:numCache>
            </c:numRef>
          </c:xVal>
          <c:yVal>
            <c:numRef>
              <c:f>'Coastal Storm'!$J$790</c:f>
              <c:numCache>
                <c:formatCode>General</c:formatCode>
                <c:ptCount val="1"/>
                <c:pt idx="0">
                  <c:v>0</c:v>
                </c:pt>
              </c:numCache>
            </c:numRef>
          </c:yVal>
          <c:smooth val="0"/>
          <c:extLst>
            <c:ext xmlns:c16="http://schemas.microsoft.com/office/drawing/2014/chart" uri="{C3380CC4-5D6E-409C-BE32-E72D297353CC}">
              <c16:uniqueId val="{0000000A-4706-4729-B231-751085EB0FA4}"/>
            </c:ext>
          </c:extLst>
        </c:ser>
        <c:dLbls>
          <c:showLegendKey val="0"/>
          <c:showVal val="1"/>
          <c:showCatName val="0"/>
          <c:showSerName val="0"/>
          <c:showPercent val="0"/>
          <c:showBubbleSize val="0"/>
        </c:dLbls>
        <c:axId val="194874752"/>
        <c:axId val="194893312"/>
      </c:scatterChart>
      <c:valAx>
        <c:axId val="194874752"/>
        <c:scaling>
          <c:orientation val="minMax"/>
          <c:max val="4.5"/>
          <c:min val="0"/>
        </c:scaling>
        <c:delete val="0"/>
        <c:axPos val="b"/>
        <c:majorGridlines/>
        <c:title>
          <c:tx>
            <c:rich>
              <a:bodyPr/>
              <a:lstStyle/>
              <a:p>
                <a:pPr>
                  <a:defRPr b="0">
                    <a:latin typeface="+mj-lt"/>
                  </a:defRPr>
                </a:pPr>
                <a:r>
                  <a:rPr lang="en-US" sz="1600" b="0">
                    <a:latin typeface="+mj-lt"/>
                  </a:rPr>
                  <a:t>Access Planning Score</a:t>
                </a:r>
              </a:p>
            </c:rich>
          </c:tx>
          <c:overlay val="0"/>
        </c:title>
        <c:numFmt formatCode="General" sourceLinked="1"/>
        <c:majorTickMark val="out"/>
        <c:minorTickMark val="none"/>
        <c:tickLblPos val="nextTo"/>
        <c:spPr>
          <a:ln>
            <a:solidFill>
              <a:schemeClr val="tx1"/>
            </a:solidFill>
          </a:ln>
        </c:spPr>
        <c:crossAx val="194893312"/>
        <c:crosses val="autoZero"/>
        <c:crossBetween val="midCat"/>
        <c:majorUnit val="1"/>
        <c:minorUnit val="0.1"/>
      </c:valAx>
      <c:valAx>
        <c:axId val="194893312"/>
        <c:scaling>
          <c:orientation val="minMax"/>
          <c:max val="4.5"/>
          <c:min val="0"/>
        </c:scaling>
        <c:delete val="0"/>
        <c:axPos val="l"/>
        <c:majorGridlines/>
        <c:title>
          <c:tx>
            <c:rich>
              <a:bodyPr rot="-5400000" vert="horz"/>
              <a:lstStyle/>
              <a:p>
                <a:pPr>
                  <a:defRPr sz="1600" b="0">
                    <a:latin typeface="+mj-lt"/>
                  </a:defRPr>
                </a:pPr>
                <a:r>
                  <a:rPr lang="en-US" sz="1600" b="0">
                    <a:latin typeface="+mj-lt"/>
                  </a:rPr>
                  <a:t>Population Size Score</a:t>
                </a:r>
              </a:p>
            </c:rich>
          </c:tx>
          <c:overlay val="0"/>
        </c:title>
        <c:numFmt formatCode="General" sourceLinked="1"/>
        <c:majorTickMark val="out"/>
        <c:minorTickMark val="none"/>
        <c:tickLblPos val="nextTo"/>
        <c:spPr>
          <a:ln>
            <a:solidFill>
              <a:schemeClr val="tx1"/>
            </a:solidFill>
          </a:ln>
        </c:spPr>
        <c:crossAx val="194874752"/>
        <c:crosses val="autoZero"/>
        <c:crossBetween val="midCat"/>
        <c:majorUnit val="1"/>
        <c:minorUnit val="0.1"/>
      </c:valAx>
      <c:spPr>
        <a:gradFill flip="none" rotWithShape="1">
          <a:gsLst>
            <a:gs pos="0">
              <a:srgbClr val="63BE7B"/>
            </a:gs>
            <a:gs pos="50000">
              <a:srgbClr val="FFEB84"/>
            </a:gs>
            <a:gs pos="100000">
              <a:srgbClr val="F8696B"/>
            </a:gs>
          </a:gsLst>
          <a:lin ang="189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defRPr b="0" u="sng">
                <a:latin typeface="+mj-lt"/>
              </a:defRPr>
            </a:pPr>
            <a:r>
              <a:rPr lang="en-US" b="0" u="sng">
                <a:latin typeface="+mj-lt"/>
              </a:rPr>
              <a:t>Public Health Preparedness</a:t>
            </a:r>
          </a:p>
        </c:rich>
      </c:tx>
      <c:layout>
        <c:manualLayout>
          <c:xMode val="edge"/>
          <c:yMode val="edge"/>
          <c:x val="0.30532356317913883"/>
          <c:y val="1.3244983721297133E-2"/>
        </c:manualLayout>
      </c:layout>
      <c:overlay val="0"/>
    </c:title>
    <c:autoTitleDeleted val="0"/>
    <c:plotArea>
      <c:layout/>
      <c:scatterChart>
        <c:scatterStyle val="lineMarker"/>
        <c:varyColors val="0"/>
        <c:ser>
          <c:idx val="0"/>
          <c:order val="0"/>
          <c:tx>
            <c:strRef>
              <c:f>'Coastal Storm'!$C$853</c:f>
              <c:strCache>
                <c:ptCount val="1"/>
                <c:pt idx="0">
                  <c:v>Info Sharing</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'Coastal Storm'!$J$854</c:f>
              <c:numCache>
                <c:formatCode>General</c:formatCode>
                <c:ptCount val="1"/>
                <c:pt idx="0">
                  <c:v>4</c:v>
                </c:pt>
              </c:numCache>
            </c:numRef>
          </c:xVal>
          <c:yVal>
            <c:numRef>
              <c:f>'Coastal Storm'!$J$855</c:f>
              <c:numCache>
                <c:formatCode>General</c:formatCode>
                <c:ptCount val="1"/>
                <c:pt idx="0">
                  <c:v>0</c:v>
                </c:pt>
              </c:numCache>
            </c:numRef>
          </c:yVal>
          <c:smooth val="0"/>
          <c:extLst>
            <c:ext xmlns:c16="http://schemas.microsoft.com/office/drawing/2014/chart" uri="{C3380CC4-5D6E-409C-BE32-E72D297353CC}">
              <c16:uniqueId val="{00000000-F451-4FC7-838E-8F1B4FEA146D}"/>
            </c:ext>
          </c:extLst>
        </c:ser>
        <c:ser>
          <c:idx val="1"/>
          <c:order val="1"/>
          <c:tx>
            <c:strRef>
              <c:f>'Coastal Storm'!$C$857</c:f>
              <c:strCache>
                <c:ptCount val="1"/>
                <c:pt idx="0">
                  <c:v>Mass Care</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'Coastal Storm'!$J$858</c:f>
              <c:numCache>
                <c:formatCode>General</c:formatCode>
                <c:ptCount val="1"/>
                <c:pt idx="0">
                  <c:v>3</c:v>
                </c:pt>
              </c:numCache>
            </c:numRef>
          </c:xVal>
          <c:yVal>
            <c:numRef>
              <c:f>'Coastal Storm'!$J$859</c:f>
              <c:numCache>
                <c:formatCode>General</c:formatCode>
                <c:ptCount val="1"/>
                <c:pt idx="0">
                  <c:v>0</c:v>
                </c:pt>
              </c:numCache>
            </c:numRef>
          </c:yVal>
          <c:smooth val="0"/>
          <c:extLst>
            <c:ext xmlns:c16="http://schemas.microsoft.com/office/drawing/2014/chart" uri="{C3380CC4-5D6E-409C-BE32-E72D297353CC}">
              <c16:uniqueId val="{00000001-F451-4FC7-838E-8F1B4FEA146D}"/>
            </c:ext>
          </c:extLst>
        </c:ser>
        <c:ser>
          <c:idx val="2"/>
          <c:order val="2"/>
          <c:tx>
            <c:strRef>
              <c:f>'Coastal Storm'!$C$861</c:f>
              <c:strCache>
                <c:ptCount val="1"/>
                <c:pt idx="0">
                  <c:v>MCM Dispens</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'Coastal Storm'!$J$862</c:f>
              <c:numCache>
                <c:formatCode>General</c:formatCode>
                <c:ptCount val="1"/>
                <c:pt idx="0">
                  <c:v>0</c:v>
                </c:pt>
              </c:numCache>
            </c:numRef>
          </c:xVal>
          <c:yVal>
            <c:numRef>
              <c:f>'Coastal Storm'!$J$863</c:f>
              <c:numCache>
                <c:formatCode>General</c:formatCode>
                <c:ptCount val="1"/>
                <c:pt idx="0">
                  <c:v>0</c:v>
                </c:pt>
              </c:numCache>
            </c:numRef>
          </c:yVal>
          <c:smooth val="0"/>
          <c:extLst>
            <c:ext xmlns:c16="http://schemas.microsoft.com/office/drawing/2014/chart" uri="{C3380CC4-5D6E-409C-BE32-E72D297353CC}">
              <c16:uniqueId val="{00000002-F451-4FC7-838E-8F1B4FEA146D}"/>
            </c:ext>
          </c:extLst>
        </c:ser>
        <c:ser>
          <c:idx val="3"/>
          <c:order val="3"/>
          <c:tx>
            <c:strRef>
              <c:f>'Coastal Storm'!$C$865</c:f>
              <c:strCache>
                <c:ptCount val="1"/>
                <c:pt idx="0">
                  <c:v>Med Materiel Mgmt</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'Coastal Storm'!$J$866</c:f>
              <c:numCache>
                <c:formatCode>General</c:formatCode>
                <c:ptCount val="1"/>
                <c:pt idx="0">
                  <c:v>2</c:v>
                </c:pt>
              </c:numCache>
            </c:numRef>
          </c:xVal>
          <c:yVal>
            <c:numRef>
              <c:f>'Coastal Storm'!$J$867</c:f>
              <c:numCache>
                <c:formatCode>General</c:formatCode>
                <c:ptCount val="1"/>
                <c:pt idx="0">
                  <c:v>0</c:v>
                </c:pt>
              </c:numCache>
            </c:numRef>
          </c:yVal>
          <c:smooth val="0"/>
          <c:extLst>
            <c:ext xmlns:c16="http://schemas.microsoft.com/office/drawing/2014/chart" uri="{C3380CC4-5D6E-409C-BE32-E72D297353CC}">
              <c16:uniqueId val="{00000003-F451-4FC7-838E-8F1B4FEA146D}"/>
            </c:ext>
          </c:extLst>
        </c:ser>
        <c:ser>
          <c:idx val="4"/>
          <c:order val="4"/>
          <c:tx>
            <c:strRef>
              <c:f>'Coastal Storm'!$C$869</c:f>
              <c:strCache>
                <c:ptCount val="1"/>
                <c:pt idx="0">
                  <c:v>Medical Surge</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'Coastal Storm'!$J$870</c:f>
              <c:numCache>
                <c:formatCode>General</c:formatCode>
                <c:ptCount val="1"/>
                <c:pt idx="0">
                  <c:v>2</c:v>
                </c:pt>
              </c:numCache>
            </c:numRef>
          </c:xVal>
          <c:yVal>
            <c:numRef>
              <c:f>'Coastal Storm'!$J$871</c:f>
              <c:numCache>
                <c:formatCode>General</c:formatCode>
                <c:ptCount val="1"/>
                <c:pt idx="0">
                  <c:v>0</c:v>
                </c:pt>
              </c:numCache>
            </c:numRef>
          </c:yVal>
          <c:smooth val="0"/>
          <c:extLst>
            <c:ext xmlns:c16="http://schemas.microsoft.com/office/drawing/2014/chart" uri="{C3380CC4-5D6E-409C-BE32-E72D297353CC}">
              <c16:uniqueId val="{00000004-F451-4FC7-838E-8F1B4FEA146D}"/>
            </c:ext>
          </c:extLst>
        </c:ser>
        <c:ser>
          <c:idx val="5"/>
          <c:order val="5"/>
          <c:tx>
            <c:strRef>
              <c:f>'Coastal Storm'!$C$873</c:f>
              <c:strCache>
                <c:ptCount val="1"/>
                <c:pt idx="0">
                  <c:v>Non-Pharm Interv</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'Coastal Storm'!$J$874</c:f>
              <c:numCache>
                <c:formatCode>General</c:formatCode>
                <c:ptCount val="1"/>
                <c:pt idx="0">
                  <c:v>0</c:v>
                </c:pt>
              </c:numCache>
            </c:numRef>
          </c:xVal>
          <c:yVal>
            <c:numRef>
              <c:f>'Coastal Storm'!$J$875</c:f>
              <c:numCache>
                <c:formatCode>General</c:formatCode>
                <c:ptCount val="1"/>
                <c:pt idx="0">
                  <c:v>0</c:v>
                </c:pt>
              </c:numCache>
            </c:numRef>
          </c:yVal>
          <c:smooth val="0"/>
          <c:extLst>
            <c:ext xmlns:c16="http://schemas.microsoft.com/office/drawing/2014/chart" uri="{C3380CC4-5D6E-409C-BE32-E72D297353CC}">
              <c16:uniqueId val="{00000005-F451-4FC7-838E-8F1B4FEA146D}"/>
            </c:ext>
          </c:extLst>
        </c:ser>
        <c:ser>
          <c:idx val="6"/>
          <c:order val="6"/>
          <c:tx>
            <c:strRef>
              <c:f>'Coastal Storm'!$C$877</c:f>
              <c:strCache>
                <c:ptCount val="1"/>
                <c:pt idx="0">
                  <c:v>PH Lab Testing</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'Coastal Storm'!$J$878</c:f>
              <c:numCache>
                <c:formatCode>General</c:formatCode>
                <c:ptCount val="1"/>
                <c:pt idx="0">
                  <c:v>1</c:v>
                </c:pt>
              </c:numCache>
            </c:numRef>
          </c:xVal>
          <c:yVal>
            <c:numRef>
              <c:f>'Coastal Storm'!$J$879</c:f>
              <c:numCache>
                <c:formatCode>General</c:formatCode>
                <c:ptCount val="1"/>
                <c:pt idx="0">
                  <c:v>0</c:v>
                </c:pt>
              </c:numCache>
            </c:numRef>
          </c:yVal>
          <c:smooth val="0"/>
          <c:extLst>
            <c:ext xmlns:c16="http://schemas.microsoft.com/office/drawing/2014/chart" uri="{C3380CC4-5D6E-409C-BE32-E72D297353CC}">
              <c16:uniqueId val="{00000006-F451-4FC7-838E-8F1B4FEA146D}"/>
            </c:ext>
          </c:extLst>
        </c:ser>
        <c:ser>
          <c:idx val="7"/>
          <c:order val="7"/>
          <c:tx>
            <c:strRef>
              <c:f>'Coastal Storm'!$C$881</c:f>
              <c:strCache>
                <c:ptCount val="1"/>
                <c:pt idx="0">
                  <c:v>PH Surv &amp; Epi</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'Coastal Storm'!$J$882</c:f>
              <c:numCache>
                <c:formatCode>General</c:formatCode>
                <c:ptCount val="1"/>
                <c:pt idx="0">
                  <c:v>2</c:v>
                </c:pt>
              </c:numCache>
            </c:numRef>
          </c:xVal>
          <c:yVal>
            <c:numRef>
              <c:f>'Coastal Storm'!$J$883</c:f>
              <c:numCache>
                <c:formatCode>General</c:formatCode>
                <c:ptCount val="1"/>
                <c:pt idx="0">
                  <c:v>0</c:v>
                </c:pt>
              </c:numCache>
            </c:numRef>
          </c:yVal>
          <c:smooth val="0"/>
          <c:extLst>
            <c:ext xmlns:c16="http://schemas.microsoft.com/office/drawing/2014/chart" uri="{C3380CC4-5D6E-409C-BE32-E72D297353CC}">
              <c16:uniqueId val="{00000007-F451-4FC7-838E-8F1B4FEA146D}"/>
            </c:ext>
          </c:extLst>
        </c:ser>
        <c:ser>
          <c:idx val="8"/>
          <c:order val="8"/>
          <c:tx>
            <c:strRef>
              <c:f>'Coastal Storm'!$C$885</c:f>
              <c:strCache>
                <c:ptCount val="1"/>
                <c:pt idx="0">
                  <c:v>Responder Safety</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'Coastal Storm'!$J$886</c:f>
              <c:numCache>
                <c:formatCode>General</c:formatCode>
                <c:ptCount val="1"/>
                <c:pt idx="0">
                  <c:v>2</c:v>
                </c:pt>
              </c:numCache>
            </c:numRef>
          </c:xVal>
          <c:yVal>
            <c:numRef>
              <c:f>'Coastal Storm'!$J$887</c:f>
              <c:numCache>
                <c:formatCode>General</c:formatCode>
                <c:ptCount val="1"/>
                <c:pt idx="0">
                  <c:v>0</c:v>
                </c:pt>
              </c:numCache>
            </c:numRef>
          </c:yVal>
          <c:smooth val="0"/>
          <c:extLst>
            <c:ext xmlns:c16="http://schemas.microsoft.com/office/drawing/2014/chart" uri="{C3380CC4-5D6E-409C-BE32-E72D297353CC}">
              <c16:uniqueId val="{00000008-F451-4FC7-838E-8F1B4FEA146D}"/>
            </c:ext>
          </c:extLst>
        </c:ser>
        <c:ser>
          <c:idx val="9"/>
          <c:order val="9"/>
          <c:tx>
            <c:strRef>
              <c:f>'Coastal Storm'!$C$889</c:f>
              <c:strCache>
                <c:ptCount val="1"/>
                <c:pt idx="0">
                  <c:v>Volunteer Mgmt</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'Coastal Storm'!$J$890</c:f>
              <c:numCache>
                <c:formatCode>General</c:formatCode>
                <c:ptCount val="1"/>
                <c:pt idx="0">
                  <c:v>3</c:v>
                </c:pt>
              </c:numCache>
            </c:numRef>
          </c:xVal>
          <c:yVal>
            <c:numRef>
              <c:f>'Coastal Storm'!$J$891</c:f>
              <c:numCache>
                <c:formatCode>General</c:formatCode>
                <c:ptCount val="1"/>
                <c:pt idx="0">
                  <c:v>0</c:v>
                </c:pt>
              </c:numCache>
            </c:numRef>
          </c:yVal>
          <c:smooth val="0"/>
          <c:extLst>
            <c:ext xmlns:c16="http://schemas.microsoft.com/office/drawing/2014/chart" uri="{C3380CC4-5D6E-409C-BE32-E72D297353CC}">
              <c16:uniqueId val="{00000009-F451-4FC7-838E-8F1B4FEA146D}"/>
            </c:ext>
          </c:extLst>
        </c:ser>
        <c:ser>
          <c:idx val="10"/>
          <c:order val="10"/>
          <c:tx>
            <c:strRef>
              <c:f>'Coastal Storm'!$C$833</c:f>
              <c:strCache>
                <c:ptCount val="1"/>
                <c:pt idx="0">
                  <c:v>Community Prep</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'Coastal Storm'!$J$834</c:f>
              <c:numCache>
                <c:formatCode>General</c:formatCode>
                <c:ptCount val="1"/>
                <c:pt idx="0">
                  <c:v>4</c:v>
                </c:pt>
              </c:numCache>
            </c:numRef>
          </c:xVal>
          <c:yVal>
            <c:numRef>
              <c:f>'Coastal Storm'!$J$835</c:f>
              <c:numCache>
                <c:formatCode>General</c:formatCode>
                <c:ptCount val="1"/>
                <c:pt idx="0">
                  <c:v>0</c:v>
                </c:pt>
              </c:numCache>
            </c:numRef>
          </c:yVal>
          <c:smooth val="0"/>
          <c:extLst>
            <c:ext xmlns:c16="http://schemas.microsoft.com/office/drawing/2014/chart" uri="{C3380CC4-5D6E-409C-BE32-E72D297353CC}">
              <c16:uniqueId val="{0000000A-F451-4FC7-838E-8F1B4FEA146D}"/>
            </c:ext>
          </c:extLst>
        </c:ser>
        <c:ser>
          <c:idx val="11"/>
          <c:order val="11"/>
          <c:tx>
            <c:strRef>
              <c:f>'Coastal Storm'!$C$837</c:f>
              <c:strCache>
                <c:ptCount val="1"/>
                <c:pt idx="0">
                  <c:v>Community Recov</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'Coastal Storm'!$J$838</c:f>
              <c:numCache>
                <c:formatCode>General</c:formatCode>
                <c:ptCount val="1"/>
                <c:pt idx="0">
                  <c:v>4</c:v>
                </c:pt>
              </c:numCache>
            </c:numRef>
          </c:xVal>
          <c:yVal>
            <c:numRef>
              <c:f>'Coastal Storm'!$J$839</c:f>
              <c:numCache>
                <c:formatCode>General</c:formatCode>
                <c:ptCount val="1"/>
                <c:pt idx="0">
                  <c:v>0</c:v>
                </c:pt>
              </c:numCache>
            </c:numRef>
          </c:yVal>
          <c:smooth val="0"/>
          <c:extLst>
            <c:ext xmlns:c16="http://schemas.microsoft.com/office/drawing/2014/chart" uri="{C3380CC4-5D6E-409C-BE32-E72D297353CC}">
              <c16:uniqueId val="{0000000B-F451-4FC7-838E-8F1B4FEA146D}"/>
            </c:ext>
          </c:extLst>
        </c:ser>
        <c:ser>
          <c:idx val="12"/>
          <c:order val="12"/>
          <c:tx>
            <c:strRef>
              <c:f>'Coastal Storm'!$C$841</c:f>
              <c:strCache>
                <c:ptCount val="1"/>
                <c:pt idx="0">
                  <c:v>Emerg Ops Coord</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'Coastal Storm'!$J$842</c:f>
              <c:numCache>
                <c:formatCode>General</c:formatCode>
                <c:ptCount val="1"/>
                <c:pt idx="0">
                  <c:v>4</c:v>
                </c:pt>
              </c:numCache>
            </c:numRef>
          </c:xVal>
          <c:yVal>
            <c:numRef>
              <c:f>'Coastal Storm'!$J$843</c:f>
              <c:numCache>
                <c:formatCode>General</c:formatCode>
                <c:ptCount val="1"/>
                <c:pt idx="0">
                  <c:v>0</c:v>
                </c:pt>
              </c:numCache>
            </c:numRef>
          </c:yVal>
          <c:smooth val="0"/>
          <c:extLst>
            <c:ext xmlns:c16="http://schemas.microsoft.com/office/drawing/2014/chart" uri="{C3380CC4-5D6E-409C-BE32-E72D297353CC}">
              <c16:uniqueId val="{0000000C-F451-4FC7-838E-8F1B4FEA146D}"/>
            </c:ext>
          </c:extLst>
        </c:ser>
        <c:ser>
          <c:idx val="13"/>
          <c:order val="13"/>
          <c:tx>
            <c:strRef>
              <c:f>'Coastal Storm'!$C$845</c:f>
              <c:strCache>
                <c:ptCount val="1"/>
                <c:pt idx="0">
                  <c:v>Emerg Public Info</c:v>
                </c:pt>
              </c:strCache>
            </c:strRef>
          </c:tx>
          <c:spPr>
            <a:ln w="66675">
              <a:noFill/>
            </a:ln>
          </c:spPr>
          <c:dLbls>
            <c:spPr>
              <a:noFill/>
              <a:ln>
                <a:noFill/>
              </a:ln>
              <a:effectLst/>
            </c:sp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'Coastal Storm'!$J$846</c:f>
              <c:numCache>
                <c:formatCode>General</c:formatCode>
                <c:ptCount val="1"/>
                <c:pt idx="0">
                  <c:v>4</c:v>
                </c:pt>
              </c:numCache>
            </c:numRef>
          </c:xVal>
          <c:yVal>
            <c:numRef>
              <c:f>'Coastal Storm'!$J$847</c:f>
              <c:numCache>
                <c:formatCode>General</c:formatCode>
                <c:ptCount val="1"/>
                <c:pt idx="0">
                  <c:v>0</c:v>
                </c:pt>
              </c:numCache>
            </c:numRef>
          </c:yVal>
          <c:smooth val="0"/>
          <c:extLst>
            <c:ext xmlns:c16="http://schemas.microsoft.com/office/drawing/2014/chart" uri="{C3380CC4-5D6E-409C-BE32-E72D297353CC}">
              <c16:uniqueId val="{0000000D-F451-4FC7-838E-8F1B4FEA146D}"/>
            </c:ext>
          </c:extLst>
        </c:ser>
        <c:ser>
          <c:idx val="14"/>
          <c:order val="14"/>
          <c:tx>
            <c:strRef>
              <c:f>'Coastal Storm'!$C$964</c:f>
              <c:strCache>
                <c:ptCount val="1"/>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'Coastal Storm'!$J$965</c:f>
            </c:numRef>
          </c:xVal>
          <c:yVal>
            <c:numRef>
              <c:f>'Coastal Storm'!$J$966</c:f>
            </c:numRef>
          </c:yVal>
          <c:smooth val="0"/>
          <c:extLst>
            <c:ext xmlns:c16="http://schemas.microsoft.com/office/drawing/2014/chart" uri="{C3380CC4-5D6E-409C-BE32-E72D297353CC}">
              <c16:uniqueId val="{0000000E-F451-4FC7-838E-8F1B4FEA146D}"/>
            </c:ext>
          </c:extLst>
        </c:ser>
        <c:ser>
          <c:idx val="15"/>
          <c:order val="15"/>
          <c:tx>
            <c:strRef>
              <c:f>'Coastal Storm'!$C$849</c:f>
              <c:strCache>
                <c:ptCount val="1"/>
                <c:pt idx="0">
                  <c:v>Fatality Mgmt</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'Coastal Storm'!$J$850</c:f>
              <c:numCache>
                <c:formatCode>General</c:formatCode>
                <c:ptCount val="1"/>
                <c:pt idx="0">
                  <c:v>1</c:v>
                </c:pt>
              </c:numCache>
            </c:numRef>
          </c:xVal>
          <c:yVal>
            <c:numRef>
              <c:f>'Coastal Storm'!$J$851</c:f>
              <c:numCache>
                <c:formatCode>General</c:formatCode>
                <c:ptCount val="1"/>
                <c:pt idx="0">
                  <c:v>0</c:v>
                </c:pt>
              </c:numCache>
            </c:numRef>
          </c:yVal>
          <c:smooth val="0"/>
          <c:extLst>
            <c:ext xmlns:c16="http://schemas.microsoft.com/office/drawing/2014/chart" uri="{C3380CC4-5D6E-409C-BE32-E72D297353CC}">
              <c16:uniqueId val="{0000000F-F451-4FC7-838E-8F1B4FEA146D}"/>
            </c:ext>
          </c:extLst>
        </c:ser>
        <c:dLbls>
          <c:showLegendKey val="0"/>
          <c:showVal val="1"/>
          <c:showCatName val="0"/>
          <c:showSerName val="0"/>
          <c:showPercent val="0"/>
          <c:showBubbleSize val="0"/>
        </c:dLbls>
        <c:axId val="5512576"/>
        <c:axId val="5527040"/>
      </c:scatterChart>
      <c:valAx>
        <c:axId val="5512576"/>
        <c:scaling>
          <c:orientation val="minMax"/>
          <c:max val="4.5"/>
          <c:min val="0"/>
        </c:scaling>
        <c:delete val="0"/>
        <c:axPos val="b"/>
        <c:majorGridlines/>
        <c:title>
          <c:tx>
            <c:rich>
              <a:bodyPr/>
              <a:lstStyle/>
              <a:p>
                <a:pPr>
                  <a:defRPr b="0">
                    <a:latin typeface="+mj-lt"/>
                  </a:defRPr>
                </a:pPr>
                <a:r>
                  <a:rPr lang="en-US" sz="1600" b="0">
                    <a:latin typeface="+mj-lt"/>
                  </a:rPr>
                  <a:t>Capability Relevance to Hazard</a:t>
                </a:r>
              </a:p>
            </c:rich>
          </c:tx>
          <c:overlay val="0"/>
        </c:title>
        <c:numFmt formatCode="General" sourceLinked="1"/>
        <c:majorTickMark val="out"/>
        <c:minorTickMark val="none"/>
        <c:tickLblPos val="nextTo"/>
        <c:spPr>
          <a:ln>
            <a:solidFill>
              <a:schemeClr val="tx1"/>
            </a:solidFill>
          </a:ln>
        </c:spPr>
        <c:crossAx val="5527040"/>
        <c:crosses val="autoZero"/>
        <c:crossBetween val="midCat"/>
        <c:majorUnit val="1"/>
        <c:minorUnit val="0.1"/>
      </c:valAx>
      <c:valAx>
        <c:axId val="5527040"/>
        <c:scaling>
          <c:orientation val="minMax"/>
          <c:max val="4.5"/>
          <c:min val="0"/>
        </c:scaling>
        <c:delete val="0"/>
        <c:axPos val="l"/>
        <c:majorGridlines/>
        <c:title>
          <c:tx>
            <c:rich>
              <a:bodyPr rot="-5400000" vert="horz"/>
              <a:lstStyle/>
              <a:p>
                <a:pPr>
                  <a:defRPr sz="1600" b="0">
                    <a:latin typeface="+mj-lt"/>
                  </a:defRPr>
                </a:pPr>
                <a:r>
                  <a:rPr lang="en-US" sz="1600" b="0">
                    <a:latin typeface="+mj-lt"/>
                  </a:rPr>
                  <a:t>Capability Status</a:t>
                </a:r>
              </a:p>
            </c:rich>
          </c:tx>
          <c:overlay val="0"/>
        </c:title>
        <c:numFmt formatCode="General" sourceLinked="1"/>
        <c:majorTickMark val="out"/>
        <c:minorTickMark val="none"/>
        <c:tickLblPos val="nextTo"/>
        <c:spPr>
          <a:ln>
            <a:solidFill>
              <a:schemeClr val="tx1"/>
            </a:solidFill>
          </a:ln>
        </c:spPr>
        <c:crossAx val="5512576"/>
        <c:crosses val="autoZero"/>
        <c:crossBetween val="midCat"/>
        <c:majorUnit val="1"/>
        <c:minorUnit val="0.1"/>
      </c:valAx>
      <c:spPr>
        <a:gradFill flip="none" rotWithShape="1">
          <a:gsLst>
            <a:gs pos="0">
              <a:srgbClr val="63BE7B"/>
            </a:gs>
            <a:gs pos="50000">
              <a:srgbClr val="FFEB84"/>
            </a:gs>
            <a:gs pos="100000">
              <a:srgbClr val="F8696B"/>
            </a:gs>
          </a:gsLst>
          <a:lin ang="27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defRPr b="0" u="sng">
                <a:latin typeface="+mj-lt"/>
              </a:defRPr>
            </a:pPr>
            <a:r>
              <a:rPr lang="en-US" b="0" u="sng">
                <a:latin typeface="+mj-lt"/>
              </a:rPr>
              <a:t>Healthcare Preparedness</a:t>
            </a:r>
          </a:p>
        </c:rich>
      </c:tx>
      <c:layout>
        <c:manualLayout>
          <c:xMode val="edge"/>
          <c:yMode val="edge"/>
          <c:x val="0.38186075596298069"/>
          <c:y val="1.3244983721297133E-2"/>
        </c:manualLayout>
      </c:layout>
      <c:overlay val="0"/>
    </c:title>
    <c:autoTitleDeleted val="0"/>
    <c:plotArea>
      <c:layout/>
      <c:scatterChart>
        <c:scatterStyle val="lineMarker"/>
        <c:varyColors val="0"/>
        <c:ser>
          <c:idx val="0"/>
          <c:order val="0"/>
          <c:tx>
            <c:strRef>
              <c:f>'Coastal Storm'!$C$903</c:f>
              <c:strCache>
                <c:ptCount val="1"/>
                <c:pt idx="0">
                  <c:v>HC System Prep</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'Coastal Storm'!$J$904</c:f>
              <c:numCache>
                <c:formatCode>General</c:formatCode>
                <c:ptCount val="1"/>
                <c:pt idx="0">
                  <c:v>4</c:v>
                </c:pt>
              </c:numCache>
            </c:numRef>
          </c:xVal>
          <c:yVal>
            <c:numRef>
              <c:f>'Coastal Storm'!$J$905</c:f>
              <c:numCache>
                <c:formatCode>General</c:formatCode>
                <c:ptCount val="1"/>
                <c:pt idx="0">
                  <c:v>0</c:v>
                </c:pt>
              </c:numCache>
            </c:numRef>
          </c:yVal>
          <c:smooth val="0"/>
          <c:extLst>
            <c:ext xmlns:c16="http://schemas.microsoft.com/office/drawing/2014/chart" uri="{C3380CC4-5D6E-409C-BE32-E72D297353CC}">
              <c16:uniqueId val="{00000000-B8E7-4366-9644-242865B0A22D}"/>
            </c:ext>
          </c:extLst>
        </c:ser>
        <c:ser>
          <c:idx val="1"/>
          <c:order val="1"/>
          <c:tx>
            <c:strRef>
              <c:f>'Coastal Storm'!$C$907</c:f>
              <c:strCache>
                <c:ptCount val="1"/>
                <c:pt idx="0">
                  <c:v>HC System Recov</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'Coastal Storm'!$J$908</c:f>
              <c:numCache>
                <c:formatCode>General</c:formatCode>
                <c:ptCount val="1"/>
                <c:pt idx="0">
                  <c:v>4</c:v>
                </c:pt>
              </c:numCache>
            </c:numRef>
          </c:xVal>
          <c:yVal>
            <c:numRef>
              <c:f>'Coastal Storm'!$J$909</c:f>
              <c:numCache>
                <c:formatCode>General</c:formatCode>
                <c:ptCount val="1"/>
                <c:pt idx="0">
                  <c:v>0</c:v>
                </c:pt>
              </c:numCache>
            </c:numRef>
          </c:yVal>
          <c:smooth val="0"/>
          <c:extLst>
            <c:ext xmlns:c16="http://schemas.microsoft.com/office/drawing/2014/chart" uri="{C3380CC4-5D6E-409C-BE32-E72D297353CC}">
              <c16:uniqueId val="{00000001-B8E7-4366-9644-242865B0A22D}"/>
            </c:ext>
          </c:extLst>
        </c:ser>
        <c:ser>
          <c:idx val="2"/>
          <c:order val="2"/>
          <c:tx>
            <c:strRef>
              <c:f>'Coastal Storm'!$C$911</c:f>
              <c:strCache>
                <c:ptCount val="1"/>
                <c:pt idx="0">
                  <c:v>Emerg Ops Coord</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'Coastal Storm'!$J$912</c:f>
              <c:numCache>
                <c:formatCode>General</c:formatCode>
                <c:ptCount val="1"/>
                <c:pt idx="0">
                  <c:v>4</c:v>
                </c:pt>
              </c:numCache>
            </c:numRef>
          </c:xVal>
          <c:yVal>
            <c:numRef>
              <c:f>'Coastal Storm'!$J$913</c:f>
              <c:numCache>
                <c:formatCode>General</c:formatCode>
                <c:ptCount val="1"/>
                <c:pt idx="0">
                  <c:v>0</c:v>
                </c:pt>
              </c:numCache>
            </c:numRef>
          </c:yVal>
          <c:smooth val="0"/>
          <c:extLst>
            <c:ext xmlns:c16="http://schemas.microsoft.com/office/drawing/2014/chart" uri="{C3380CC4-5D6E-409C-BE32-E72D297353CC}">
              <c16:uniqueId val="{00000002-B8E7-4366-9644-242865B0A22D}"/>
            </c:ext>
          </c:extLst>
        </c:ser>
        <c:ser>
          <c:idx val="3"/>
          <c:order val="3"/>
          <c:tx>
            <c:strRef>
              <c:f>'Coastal Storm'!$C$915</c:f>
              <c:strCache>
                <c:ptCount val="1"/>
                <c:pt idx="0">
                  <c:v>Fatality Mgmt</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'Coastal Storm'!$J$916</c:f>
              <c:numCache>
                <c:formatCode>General</c:formatCode>
                <c:ptCount val="1"/>
                <c:pt idx="0">
                  <c:v>1</c:v>
                </c:pt>
              </c:numCache>
            </c:numRef>
          </c:xVal>
          <c:yVal>
            <c:numRef>
              <c:f>'Coastal Storm'!$J$917</c:f>
              <c:numCache>
                <c:formatCode>General</c:formatCode>
                <c:ptCount val="1"/>
                <c:pt idx="0">
                  <c:v>0</c:v>
                </c:pt>
              </c:numCache>
            </c:numRef>
          </c:yVal>
          <c:smooth val="0"/>
          <c:extLst>
            <c:ext xmlns:c16="http://schemas.microsoft.com/office/drawing/2014/chart" uri="{C3380CC4-5D6E-409C-BE32-E72D297353CC}">
              <c16:uniqueId val="{00000003-B8E7-4366-9644-242865B0A22D}"/>
            </c:ext>
          </c:extLst>
        </c:ser>
        <c:ser>
          <c:idx val="4"/>
          <c:order val="4"/>
          <c:tx>
            <c:strRef>
              <c:f>'Coastal Storm'!$C$919</c:f>
              <c:strCache>
                <c:ptCount val="1"/>
                <c:pt idx="0">
                  <c:v>Info Sharing</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'Coastal Storm'!$J$920</c:f>
              <c:numCache>
                <c:formatCode>General</c:formatCode>
                <c:ptCount val="1"/>
                <c:pt idx="0">
                  <c:v>4</c:v>
                </c:pt>
              </c:numCache>
            </c:numRef>
          </c:xVal>
          <c:yVal>
            <c:numRef>
              <c:f>'Coastal Storm'!$J$921</c:f>
              <c:numCache>
                <c:formatCode>General</c:formatCode>
                <c:ptCount val="1"/>
                <c:pt idx="0">
                  <c:v>0</c:v>
                </c:pt>
              </c:numCache>
            </c:numRef>
          </c:yVal>
          <c:smooth val="0"/>
          <c:extLst>
            <c:ext xmlns:c16="http://schemas.microsoft.com/office/drawing/2014/chart" uri="{C3380CC4-5D6E-409C-BE32-E72D297353CC}">
              <c16:uniqueId val="{00000004-B8E7-4366-9644-242865B0A22D}"/>
            </c:ext>
          </c:extLst>
        </c:ser>
        <c:ser>
          <c:idx val="5"/>
          <c:order val="5"/>
          <c:tx>
            <c:strRef>
              <c:f>'Coastal Storm'!$C$923</c:f>
              <c:strCache>
                <c:ptCount val="1"/>
                <c:pt idx="0">
                  <c:v>Medical Surge</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'Coastal Storm'!$J$924</c:f>
              <c:numCache>
                <c:formatCode>General</c:formatCode>
                <c:ptCount val="1"/>
                <c:pt idx="0">
                  <c:v>2</c:v>
                </c:pt>
              </c:numCache>
            </c:numRef>
          </c:xVal>
          <c:yVal>
            <c:numRef>
              <c:f>'Coastal Storm'!$J$925</c:f>
              <c:numCache>
                <c:formatCode>General</c:formatCode>
                <c:ptCount val="1"/>
                <c:pt idx="0">
                  <c:v>0</c:v>
                </c:pt>
              </c:numCache>
            </c:numRef>
          </c:yVal>
          <c:smooth val="0"/>
          <c:extLst>
            <c:ext xmlns:c16="http://schemas.microsoft.com/office/drawing/2014/chart" uri="{C3380CC4-5D6E-409C-BE32-E72D297353CC}">
              <c16:uniqueId val="{00000005-B8E7-4366-9644-242865B0A22D}"/>
            </c:ext>
          </c:extLst>
        </c:ser>
        <c:ser>
          <c:idx val="6"/>
          <c:order val="6"/>
          <c:tx>
            <c:strRef>
              <c:f>'Coastal Storm'!$C$927</c:f>
              <c:strCache>
                <c:ptCount val="1"/>
                <c:pt idx="0">
                  <c:v>Responder Safety</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'Coastal Storm'!$J$928</c:f>
              <c:numCache>
                <c:formatCode>General</c:formatCode>
                <c:ptCount val="1"/>
                <c:pt idx="0">
                  <c:v>2</c:v>
                </c:pt>
              </c:numCache>
            </c:numRef>
          </c:xVal>
          <c:yVal>
            <c:numRef>
              <c:f>'Coastal Storm'!$J$929</c:f>
              <c:numCache>
                <c:formatCode>General</c:formatCode>
                <c:ptCount val="1"/>
                <c:pt idx="0">
                  <c:v>0</c:v>
                </c:pt>
              </c:numCache>
            </c:numRef>
          </c:yVal>
          <c:smooth val="0"/>
          <c:extLst>
            <c:ext xmlns:c16="http://schemas.microsoft.com/office/drawing/2014/chart" uri="{C3380CC4-5D6E-409C-BE32-E72D297353CC}">
              <c16:uniqueId val="{00000006-B8E7-4366-9644-242865B0A22D}"/>
            </c:ext>
          </c:extLst>
        </c:ser>
        <c:ser>
          <c:idx val="7"/>
          <c:order val="7"/>
          <c:tx>
            <c:strRef>
              <c:f>'Coastal Storm'!$C$931</c:f>
              <c:strCache>
                <c:ptCount val="1"/>
                <c:pt idx="0">
                  <c:v>Volunteer Mgmt</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'Coastal Storm'!$J$932</c:f>
              <c:numCache>
                <c:formatCode>General</c:formatCode>
                <c:ptCount val="1"/>
                <c:pt idx="0">
                  <c:v>3</c:v>
                </c:pt>
              </c:numCache>
            </c:numRef>
          </c:xVal>
          <c:yVal>
            <c:numRef>
              <c:f>'Coastal Storm'!$J$933</c:f>
              <c:numCache>
                <c:formatCode>General</c:formatCode>
                <c:ptCount val="1"/>
                <c:pt idx="0">
                  <c:v>0</c:v>
                </c:pt>
              </c:numCache>
            </c:numRef>
          </c:yVal>
          <c:smooth val="0"/>
          <c:extLst>
            <c:ext xmlns:c16="http://schemas.microsoft.com/office/drawing/2014/chart" uri="{C3380CC4-5D6E-409C-BE32-E72D297353CC}">
              <c16:uniqueId val="{00000007-B8E7-4366-9644-242865B0A22D}"/>
            </c:ext>
          </c:extLst>
        </c:ser>
        <c:ser>
          <c:idx val="14"/>
          <c:order val="8"/>
          <c:tx>
            <c:strRef>
              <c:f>'Coastal Storm'!$C$964</c:f>
              <c:strCache>
                <c:ptCount val="1"/>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'Coastal Storm'!$J$965</c:f>
            </c:numRef>
          </c:xVal>
          <c:yVal>
            <c:numRef>
              <c:f>'Coastal Storm'!$J$966</c:f>
            </c:numRef>
          </c:yVal>
          <c:smooth val="0"/>
          <c:extLst>
            <c:ext xmlns:c16="http://schemas.microsoft.com/office/drawing/2014/chart" uri="{C3380CC4-5D6E-409C-BE32-E72D297353CC}">
              <c16:uniqueId val="{00000008-B8E7-4366-9644-242865B0A22D}"/>
            </c:ext>
          </c:extLst>
        </c:ser>
        <c:dLbls>
          <c:showLegendKey val="0"/>
          <c:showVal val="1"/>
          <c:showCatName val="0"/>
          <c:showSerName val="0"/>
          <c:showPercent val="0"/>
          <c:showBubbleSize val="0"/>
        </c:dLbls>
        <c:axId val="195174784"/>
        <c:axId val="195176704"/>
      </c:scatterChart>
      <c:valAx>
        <c:axId val="195174784"/>
        <c:scaling>
          <c:orientation val="minMax"/>
          <c:max val="4.5"/>
          <c:min val="0"/>
        </c:scaling>
        <c:delete val="0"/>
        <c:axPos val="b"/>
        <c:majorGridlines/>
        <c:title>
          <c:tx>
            <c:rich>
              <a:bodyPr/>
              <a:lstStyle/>
              <a:p>
                <a:pPr>
                  <a:defRPr b="0">
                    <a:latin typeface="+mj-lt"/>
                  </a:defRPr>
                </a:pPr>
                <a:r>
                  <a:rPr lang="en-US" sz="1600" b="0">
                    <a:latin typeface="+mj-lt"/>
                  </a:rPr>
                  <a:t>Capability Relevance to Hazard</a:t>
                </a:r>
              </a:p>
            </c:rich>
          </c:tx>
          <c:overlay val="0"/>
        </c:title>
        <c:numFmt formatCode="General" sourceLinked="1"/>
        <c:majorTickMark val="out"/>
        <c:minorTickMark val="none"/>
        <c:tickLblPos val="nextTo"/>
        <c:spPr>
          <a:ln>
            <a:solidFill>
              <a:schemeClr val="tx1"/>
            </a:solidFill>
          </a:ln>
        </c:spPr>
        <c:crossAx val="195176704"/>
        <c:crosses val="autoZero"/>
        <c:crossBetween val="midCat"/>
        <c:majorUnit val="1"/>
        <c:minorUnit val="0.1"/>
      </c:valAx>
      <c:valAx>
        <c:axId val="195176704"/>
        <c:scaling>
          <c:orientation val="minMax"/>
          <c:max val="4.5"/>
          <c:min val="0"/>
        </c:scaling>
        <c:delete val="0"/>
        <c:axPos val="l"/>
        <c:majorGridlines/>
        <c:title>
          <c:tx>
            <c:rich>
              <a:bodyPr rot="-5400000" vert="horz"/>
              <a:lstStyle/>
              <a:p>
                <a:pPr>
                  <a:defRPr sz="1600" b="0">
                    <a:latin typeface="+mj-lt"/>
                  </a:defRPr>
                </a:pPr>
                <a:r>
                  <a:rPr lang="en-US" sz="1600" b="0">
                    <a:latin typeface="+mj-lt"/>
                  </a:rPr>
                  <a:t>Capability Status</a:t>
                </a:r>
              </a:p>
            </c:rich>
          </c:tx>
          <c:overlay val="0"/>
        </c:title>
        <c:numFmt formatCode="General" sourceLinked="1"/>
        <c:majorTickMark val="out"/>
        <c:minorTickMark val="none"/>
        <c:tickLblPos val="nextTo"/>
        <c:spPr>
          <a:ln>
            <a:solidFill>
              <a:schemeClr val="tx1"/>
            </a:solidFill>
          </a:ln>
        </c:spPr>
        <c:crossAx val="195174784"/>
        <c:crosses val="autoZero"/>
        <c:crossBetween val="midCat"/>
        <c:majorUnit val="1"/>
        <c:minorUnit val="0.1"/>
      </c:valAx>
      <c:spPr>
        <a:gradFill flip="none" rotWithShape="1">
          <a:gsLst>
            <a:gs pos="0">
              <a:srgbClr val="63BE7B"/>
            </a:gs>
            <a:gs pos="50000">
              <a:srgbClr val="FFEB84"/>
            </a:gs>
            <a:gs pos="100000">
              <a:srgbClr val="F8696B"/>
            </a:gs>
          </a:gsLst>
          <a:lin ang="27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b="0" u="sng">
                <a:latin typeface="+mj-lt"/>
              </a:defRPr>
            </a:pPr>
            <a:r>
              <a:rPr lang="en-US" b="0" u="sng">
                <a:latin typeface="+mj-lt"/>
              </a:rPr>
              <a:t>Severity</a:t>
            </a:r>
          </a:p>
        </c:rich>
      </c:tx>
      <c:layout>
        <c:manualLayout>
          <c:xMode val="edge"/>
          <c:yMode val="edge"/>
          <c:x val="0.46889233641333816"/>
          <c:y val="1.3244983721297133E-2"/>
        </c:manualLayout>
      </c:layout>
      <c:overlay val="0"/>
    </c:title>
    <c:autoTitleDeleted val="0"/>
    <c:plotArea>
      <c:layout/>
      <c:barChart>
        <c:barDir val="col"/>
        <c:grouping val="clustered"/>
        <c:varyColors val="0"/>
        <c:ser>
          <c:idx val="0"/>
          <c:order val="0"/>
          <c:tx>
            <c:v>Severity</c:v>
          </c:tx>
          <c:spPr>
            <a:solidFill>
              <a:schemeClr val="accent4">
                <a:lumMod val="60000"/>
                <a:lumOff val="40000"/>
              </a:schemeClr>
            </a:solidFill>
            <a:ln>
              <a:solidFill>
                <a:schemeClr val="accent4"/>
              </a:solidFill>
            </a:ln>
            <a:scene3d>
              <a:camera prst="orthographicFront"/>
              <a:lightRig rig="threePt" dir="t"/>
            </a:scene3d>
            <a:sp3d prstMaterial="matte">
              <a:bevelT w="63500" h="50800"/>
            </a:sp3d>
          </c:spPr>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('Active Shooter'!$G$22,'Active Shooter'!$G$137,'Active Shooter'!$G$265,'Active Shooter'!$G$425,'Active Shooter'!$G$543)</c:f>
              <c:strCache>
                <c:ptCount val="5"/>
                <c:pt idx="0">
                  <c:v>Human Impact</c:v>
                </c:pt>
                <c:pt idx="1">
                  <c:v>Healthcare Service Impact</c:v>
                </c:pt>
                <c:pt idx="2">
                  <c:v>Inpatient Healthcare Facility Infrastructure Impact</c:v>
                </c:pt>
                <c:pt idx="3">
                  <c:v>Community Impact</c:v>
                </c:pt>
                <c:pt idx="4">
                  <c:v>Public Health Service Impact</c:v>
                </c:pt>
              </c:strCache>
            </c:strRef>
          </c:cat>
          <c:val>
            <c:numRef>
              <c:f>('Conventional Explosive'!$J$133,'Conventional Explosive'!$J$261,'Conventional Explosive'!$J$421,'Conventional Explosive'!$J$539,'Conventional Explosive'!$J$681)</c:f>
              <c:numCache>
                <c:formatCode>0.00</c:formatCode>
                <c:ptCount val="5"/>
                <c:pt idx="0">
                  <c:v>0</c:v>
                </c:pt>
                <c:pt idx="1">
                  <c:v>0</c:v>
                </c:pt>
                <c:pt idx="2">
                  <c:v>1.6875</c:v>
                </c:pt>
                <c:pt idx="3">
                  <c:v>0.7857142857142857</c:v>
                </c:pt>
                <c:pt idx="4">
                  <c:v>0</c:v>
                </c:pt>
              </c:numCache>
            </c:numRef>
          </c:val>
          <c:extLst>
            <c:ext xmlns:c16="http://schemas.microsoft.com/office/drawing/2014/chart" uri="{C3380CC4-5D6E-409C-BE32-E72D297353CC}">
              <c16:uniqueId val="{00000000-561F-4484-8081-A75565268350}"/>
            </c:ext>
          </c:extLst>
        </c:ser>
        <c:dLbls>
          <c:showLegendKey val="0"/>
          <c:showVal val="1"/>
          <c:showCatName val="0"/>
          <c:showSerName val="0"/>
          <c:showPercent val="0"/>
          <c:showBubbleSize val="0"/>
        </c:dLbls>
        <c:gapWidth val="150"/>
        <c:axId val="195225472"/>
        <c:axId val="195239936"/>
      </c:barChart>
      <c:catAx>
        <c:axId val="195225472"/>
        <c:scaling>
          <c:orientation val="minMax"/>
        </c:scaling>
        <c:delete val="0"/>
        <c:axPos val="b"/>
        <c:title>
          <c:tx>
            <c:rich>
              <a:bodyPr/>
              <a:lstStyle/>
              <a:p>
                <a:pPr>
                  <a:defRPr sz="1600" b="0">
                    <a:latin typeface="+mj-lt"/>
                  </a:defRPr>
                </a:pPr>
                <a:r>
                  <a:rPr lang="en-US" sz="1600" b="0">
                    <a:latin typeface="+mj-lt"/>
                  </a:rPr>
                  <a:t>Domain</a:t>
                </a:r>
              </a:p>
            </c:rich>
          </c:tx>
          <c:overlay val="0"/>
        </c:title>
        <c:numFmt formatCode="General" sourceLinked="1"/>
        <c:majorTickMark val="out"/>
        <c:minorTickMark val="none"/>
        <c:tickLblPos val="nextTo"/>
        <c:crossAx val="195239936"/>
        <c:crosses val="autoZero"/>
        <c:auto val="1"/>
        <c:lblAlgn val="ctr"/>
        <c:lblOffset val="100"/>
        <c:noMultiLvlLbl val="0"/>
      </c:catAx>
      <c:valAx>
        <c:axId val="195239936"/>
        <c:scaling>
          <c:orientation val="minMax"/>
          <c:max val="4"/>
        </c:scaling>
        <c:delete val="0"/>
        <c:axPos val="l"/>
        <c:majorGridlines/>
        <c:title>
          <c:tx>
            <c:rich>
              <a:bodyPr rot="-5400000" vert="horz"/>
              <a:lstStyle/>
              <a:p>
                <a:pPr>
                  <a:defRPr sz="1600" b="0">
                    <a:latin typeface="+mj-lt"/>
                  </a:defRPr>
                </a:pPr>
                <a:r>
                  <a:rPr lang="en-US" sz="1600" b="0">
                    <a:latin typeface="+mj-lt"/>
                  </a:rPr>
                  <a:t>Severity</a:t>
                </a:r>
                <a:r>
                  <a:rPr lang="en-US" sz="1600" b="0" baseline="0">
                    <a:latin typeface="+mj-lt"/>
                  </a:rPr>
                  <a:t> Score</a:t>
                </a:r>
                <a:endParaRPr lang="en-US" sz="1600" b="0">
                  <a:latin typeface="+mj-lt"/>
                </a:endParaRPr>
              </a:p>
            </c:rich>
          </c:tx>
          <c:overlay val="0"/>
        </c:title>
        <c:numFmt formatCode="0.00" sourceLinked="1"/>
        <c:majorTickMark val="out"/>
        <c:minorTickMark val="none"/>
        <c:tickLblPos val="nextTo"/>
        <c:crossAx val="195225472"/>
        <c:crosses val="autoZero"/>
        <c:crossBetween val="between"/>
      </c:valAx>
      <c:spPr>
        <a:gradFill flip="none" rotWithShape="1">
          <a:gsLst>
            <a:gs pos="0">
              <a:srgbClr val="63BE7B"/>
            </a:gs>
            <a:gs pos="50000">
              <a:srgbClr val="FFEB84"/>
            </a:gs>
            <a:gs pos="100000">
              <a:srgbClr val="F8696B"/>
            </a:gs>
          </a:gsLst>
          <a:lin ang="162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b="0" u="sng">
                <a:latin typeface="+mj-lt"/>
              </a:defRPr>
            </a:pPr>
            <a:r>
              <a:rPr lang="en-US" b="0" u="sng">
                <a:latin typeface="+mj-lt"/>
              </a:rPr>
              <a:t>At-Risk Populations</a:t>
            </a:r>
          </a:p>
        </c:rich>
      </c:tx>
      <c:layout>
        <c:manualLayout>
          <c:xMode val="edge"/>
          <c:yMode val="edge"/>
          <c:x val="0.37636858589702443"/>
          <c:y val="1.3244983721297133E-2"/>
        </c:manualLayout>
      </c:layout>
      <c:overlay val="0"/>
    </c:title>
    <c:autoTitleDeleted val="0"/>
    <c:plotArea>
      <c:layout/>
      <c:scatterChart>
        <c:scatterStyle val="lineMarker"/>
        <c:varyColors val="0"/>
        <c:ser>
          <c:idx val="0"/>
          <c:order val="0"/>
          <c:tx>
            <c:strRef>
              <c:f>'Conventional Explosive'!$C$793</c:f>
              <c:strCache>
                <c:ptCount val="1"/>
                <c:pt idx="0">
                  <c:v>Poverty</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'Conventional Explosive'!$J$795</c:f>
              <c:numCache>
                <c:formatCode>General</c:formatCode>
                <c:ptCount val="1"/>
                <c:pt idx="0">
                  <c:v>3</c:v>
                </c:pt>
              </c:numCache>
            </c:numRef>
          </c:xVal>
          <c:yVal>
            <c:numRef>
              <c:f>'Conventional Explosive'!$J$794</c:f>
              <c:numCache>
                <c:formatCode>General</c:formatCode>
                <c:ptCount val="1"/>
                <c:pt idx="0">
                  <c:v>0</c:v>
                </c:pt>
              </c:numCache>
            </c:numRef>
          </c:yVal>
          <c:smooth val="0"/>
          <c:extLst>
            <c:ext xmlns:c16="http://schemas.microsoft.com/office/drawing/2014/chart" uri="{C3380CC4-5D6E-409C-BE32-E72D297353CC}">
              <c16:uniqueId val="{00000000-4026-4DE0-AC8D-2500F98502C2}"/>
            </c:ext>
          </c:extLst>
        </c:ser>
        <c:ser>
          <c:idx val="1"/>
          <c:order val="1"/>
          <c:tx>
            <c:strRef>
              <c:f>'Active Shooter'!$C$777</c:f>
              <c:strCache>
                <c:ptCount val="1"/>
                <c:pt idx="0">
                  <c:v>Vision Disability</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'Conventional Explosive'!$J$799</c:f>
              <c:numCache>
                <c:formatCode>General</c:formatCode>
                <c:ptCount val="1"/>
                <c:pt idx="0">
                  <c:v>3</c:v>
                </c:pt>
              </c:numCache>
            </c:numRef>
          </c:xVal>
          <c:yVal>
            <c:numRef>
              <c:f>'Conventional Explosive'!$J$798</c:f>
              <c:numCache>
                <c:formatCode>General</c:formatCode>
                <c:ptCount val="1"/>
                <c:pt idx="0">
                  <c:v>0</c:v>
                </c:pt>
              </c:numCache>
            </c:numRef>
          </c:yVal>
          <c:smooth val="0"/>
          <c:extLst>
            <c:ext xmlns:c16="http://schemas.microsoft.com/office/drawing/2014/chart" uri="{C3380CC4-5D6E-409C-BE32-E72D297353CC}">
              <c16:uniqueId val="{00000001-4026-4DE0-AC8D-2500F98502C2}"/>
            </c:ext>
          </c:extLst>
        </c:ser>
        <c:ser>
          <c:idx val="2"/>
          <c:order val="2"/>
          <c:tx>
            <c:strRef>
              <c:f>'Conventional Explosive'!$C$801</c:f>
              <c:strCache>
                <c:ptCount val="1"/>
                <c:pt idx="0">
                  <c:v>Children 18 and under</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'Conventional Explosive'!$J$803</c:f>
              <c:numCache>
                <c:formatCode>General</c:formatCode>
                <c:ptCount val="1"/>
                <c:pt idx="0">
                  <c:v>4</c:v>
                </c:pt>
              </c:numCache>
            </c:numRef>
          </c:xVal>
          <c:yVal>
            <c:numRef>
              <c:f>'Conventional Explosive'!$J$802</c:f>
              <c:numCache>
                <c:formatCode>General</c:formatCode>
                <c:ptCount val="1"/>
                <c:pt idx="0">
                  <c:v>0</c:v>
                </c:pt>
              </c:numCache>
            </c:numRef>
          </c:yVal>
          <c:smooth val="0"/>
          <c:extLst>
            <c:ext xmlns:c16="http://schemas.microsoft.com/office/drawing/2014/chart" uri="{C3380CC4-5D6E-409C-BE32-E72D297353CC}">
              <c16:uniqueId val="{00000002-4026-4DE0-AC8D-2500F98502C2}"/>
            </c:ext>
          </c:extLst>
        </c:ser>
        <c:ser>
          <c:idx val="3"/>
          <c:order val="3"/>
          <c:tx>
            <c:strRef>
              <c:f>'Conventional Explosive'!$C$805</c:f>
              <c:strCache>
                <c:ptCount val="1"/>
                <c:pt idx="0">
                  <c:v>Elderly 65 and older</c:v>
                </c:pt>
              </c:strCache>
            </c:strRef>
          </c:tx>
          <c:spPr>
            <a:ln w="66675">
              <a:noFill/>
            </a:ln>
          </c:spPr>
          <c:dLbls>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'Conventional Explosive'!$J$807</c:f>
              <c:numCache>
                <c:formatCode>General</c:formatCode>
                <c:ptCount val="1"/>
                <c:pt idx="0">
                  <c:v>3</c:v>
                </c:pt>
              </c:numCache>
            </c:numRef>
          </c:xVal>
          <c:yVal>
            <c:numRef>
              <c:f>'Conventional Explosive'!$J$806</c:f>
              <c:numCache>
                <c:formatCode>General</c:formatCode>
                <c:ptCount val="1"/>
                <c:pt idx="0">
                  <c:v>0</c:v>
                </c:pt>
              </c:numCache>
            </c:numRef>
          </c:yVal>
          <c:smooth val="0"/>
          <c:extLst>
            <c:ext xmlns:c16="http://schemas.microsoft.com/office/drawing/2014/chart" uri="{C3380CC4-5D6E-409C-BE32-E72D297353CC}">
              <c16:uniqueId val="{00000003-4026-4DE0-AC8D-2500F98502C2}"/>
            </c:ext>
          </c:extLst>
        </c:ser>
        <c:ser>
          <c:idx val="4"/>
          <c:order val="4"/>
          <c:tx>
            <c:strRef>
              <c:f>'Conventional Explosive'!$C$773</c:f>
              <c:strCache>
                <c:ptCount val="1"/>
                <c:pt idx="0">
                  <c:v>Hearing Disability</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'Conventional Explosive'!$J$775</c:f>
              <c:numCache>
                <c:formatCode>General</c:formatCode>
                <c:ptCount val="1"/>
                <c:pt idx="0">
                  <c:v>3</c:v>
                </c:pt>
              </c:numCache>
            </c:numRef>
          </c:xVal>
          <c:yVal>
            <c:numRef>
              <c:f>'Conventional Explosive'!$J$774</c:f>
              <c:numCache>
                <c:formatCode>General</c:formatCode>
                <c:ptCount val="1"/>
                <c:pt idx="0">
                  <c:v>0</c:v>
                </c:pt>
              </c:numCache>
            </c:numRef>
          </c:yVal>
          <c:smooth val="0"/>
          <c:extLst>
            <c:ext xmlns:c16="http://schemas.microsoft.com/office/drawing/2014/chart" uri="{C3380CC4-5D6E-409C-BE32-E72D297353CC}">
              <c16:uniqueId val="{00000004-4026-4DE0-AC8D-2500F98502C2}"/>
            </c:ext>
          </c:extLst>
        </c:ser>
        <c:ser>
          <c:idx val="5"/>
          <c:order val="5"/>
          <c:tx>
            <c:strRef>
              <c:f>'Conventional Explosive'!$C$777</c:f>
              <c:strCache>
                <c:ptCount val="1"/>
                <c:pt idx="0">
                  <c:v>Vision Disability</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'Conventional Explosive'!$J$779</c:f>
              <c:numCache>
                <c:formatCode>General</c:formatCode>
                <c:ptCount val="1"/>
                <c:pt idx="0">
                  <c:v>4</c:v>
                </c:pt>
              </c:numCache>
            </c:numRef>
          </c:xVal>
          <c:yVal>
            <c:numRef>
              <c:f>'Conventional Explosive'!$J$778</c:f>
              <c:numCache>
                <c:formatCode>General</c:formatCode>
                <c:ptCount val="1"/>
                <c:pt idx="0">
                  <c:v>0</c:v>
                </c:pt>
              </c:numCache>
            </c:numRef>
          </c:yVal>
          <c:smooth val="0"/>
          <c:extLst>
            <c:ext xmlns:c16="http://schemas.microsoft.com/office/drawing/2014/chart" uri="{C3380CC4-5D6E-409C-BE32-E72D297353CC}">
              <c16:uniqueId val="{00000005-4026-4DE0-AC8D-2500F98502C2}"/>
            </c:ext>
          </c:extLst>
        </c:ser>
        <c:ser>
          <c:idx val="6"/>
          <c:order val="6"/>
          <c:tx>
            <c:strRef>
              <c:f>'Conventional Explosive'!$C$781</c:f>
              <c:strCache>
                <c:ptCount val="1"/>
                <c:pt idx="0">
                  <c:v>Ambulatory Disability</c:v>
                </c:pt>
              </c:strCache>
            </c:strRef>
          </c:tx>
          <c:spPr>
            <a:ln w="66675">
              <a:noFill/>
            </a:ln>
          </c:spPr>
          <c:dLbls>
            <c:spPr>
              <a:noFill/>
              <a:ln>
                <a:noFill/>
              </a:ln>
              <a:effectLst/>
            </c:sp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'Conventional Explosive'!$J$783</c:f>
              <c:numCache>
                <c:formatCode>General</c:formatCode>
                <c:ptCount val="1"/>
                <c:pt idx="0">
                  <c:v>4</c:v>
                </c:pt>
              </c:numCache>
            </c:numRef>
          </c:xVal>
          <c:yVal>
            <c:numRef>
              <c:f>'Conventional Explosive'!$J$782</c:f>
              <c:numCache>
                <c:formatCode>General</c:formatCode>
                <c:ptCount val="1"/>
                <c:pt idx="0">
                  <c:v>0</c:v>
                </c:pt>
              </c:numCache>
            </c:numRef>
          </c:yVal>
          <c:smooth val="0"/>
          <c:extLst>
            <c:ext xmlns:c16="http://schemas.microsoft.com/office/drawing/2014/chart" uri="{C3380CC4-5D6E-409C-BE32-E72D297353CC}">
              <c16:uniqueId val="{00000006-4026-4DE0-AC8D-2500F98502C2}"/>
            </c:ext>
          </c:extLst>
        </c:ser>
        <c:ser>
          <c:idx val="7"/>
          <c:order val="7"/>
          <c:tx>
            <c:strRef>
              <c:f>'Conventional Explosive'!$C$785</c:f>
              <c:strCache>
                <c:ptCount val="1"/>
                <c:pt idx="0">
                  <c:v>Cognitive Disability</c:v>
                </c:pt>
              </c:strCache>
            </c:strRef>
          </c:tx>
          <c:spPr>
            <a:ln w="66675">
              <a:noFill/>
            </a:ln>
          </c:spPr>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4026-4DE0-AC8D-2500F98502C2}"/>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'Conventional Explosive'!$J$787</c:f>
              <c:numCache>
                <c:formatCode>General</c:formatCode>
                <c:ptCount val="1"/>
                <c:pt idx="0">
                  <c:v>4</c:v>
                </c:pt>
              </c:numCache>
            </c:numRef>
          </c:xVal>
          <c:yVal>
            <c:numRef>
              <c:f>'Conventional Explosive'!$J$786</c:f>
              <c:numCache>
                <c:formatCode>General</c:formatCode>
                <c:ptCount val="1"/>
                <c:pt idx="0">
                  <c:v>0</c:v>
                </c:pt>
              </c:numCache>
            </c:numRef>
          </c:yVal>
          <c:smooth val="0"/>
          <c:extLst>
            <c:ext xmlns:c16="http://schemas.microsoft.com/office/drawing/2014/chart" uri="{C3380CC4-5D6E-409C-BE32-E72D297353CC}">
              <c16:uniqueId val="{00000008-4026-4DE0-AC8D-2500F98502C2}"/>
            </c:ext>
          </c:extLst>
        </c:ser>
        <c:ser>
          <c:idx val="8"/>
          <c:order val="8"/>
          <c:tx>
            <c:strRef>
              <c:f>'Conventional Explosive'!$C$789</c:f>
              <c:strCache>
                <c:ptCount val="1"/>
                <c:pt idx="0">
                  <c:v>Limited English Proficiency</c:v>
                </c:pt>
              </c:strCache>
            </c:strRef>
          </c:tx>
          <c:spPr>
            <a:ln w="66675">
              <a:noFill/>
            </a:ln>
          </c:spPr>
          <c:dLbls>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'Conventional Explosive'!$J$791</c:f>
              <c:numCache>
                <c:formatCode>General</c:formatCode>
                <c:ptCount val="1"/>
                <c:pt idx="0">
                  <c:v>3</c:v>
                </c:pt>
              </c:numCache>
            </c:numRef>
          </c:xVal>
          <c:yVal>
            <c:numRef>
              <c:f>'Conventional Explosive'!$J$790</c:f>
              <c:numCache>
                <c:formatCode>General</c:formatCode>
                <c:ptCount val="1"/>
                <c:pt idx="0">
                  <c:v>0</c:v>
                </c:pt>
              </c:numCache>
            </c:numRef>
          </c:yVal>
          <c:smooth val="0"/>
          <c:extLst>
            <c:ext xmlns:c16="http://schemas.microsoft.com/office/drawing/2014/chart" uri="{C3380CC4-5D6E-409C-BE32-E72D297353CC}">
              <c16:uniqueId val="{00000009-4026-4DE0-AC8D-2500F98502C2}"/>
            </c:ext>
          </c:extLst>
        </c:ser>
        <c:dLbls>
          <c:showLegendKey val="0"/>
          <c:showVal val="1"/>
          <c:showCatName val="0"/>
          <c:showSerName val="0"/>
          <c:showPercent val="0"/>
          <c:showBubbleSize val="0"/>
        </c:dLbls>
        <c:axId val="195327104"/>
        <c:axId val="195329024"/>
      </c:scatterChart>
      <c:valAx>
        <c:axId val="195327104"/>
        <c:scaling>
          <c:orientation val="minMax"/>
          <c:max val="4.5"/>
          <c:min val="0"/>
        </c:scaling>
        <c:delete val="0"/>
        <c:axPos val="b"/>
        <c:majorGridlines/>
        <c:title>
          <c:tx>
            <c:rich>
              <a:bodyPr/>
              <a:lstStyle/>
              <a:p>
                <a:pPr>
                  <a:defRPr b="0">
                    <a:latin typeface="+mj-lt"/>
                  </a:defRPr>
                </a:pPr>
                <a:r>
                  <a:rPr lang="en-US" sz="1600" b="0">
                    <a:latin typeface="+mj-lt"/>
                  </a:rPr>
                  <a:t>Access Planning Score</a:t>
                </a:r>
              </a:p>
            </c:rich>
          </c:tx>
          <c:overlay val="0"/>
        </c:title>
        <c:numFmt formatCode="General" sourceLinked="1"/>
        <c:majorTickMark val="out"/>
        <c:minorTickMark val="none"/>
        <c:tickLblPos val="nextTo"/>
        <c:spPr>
          <a:ln>
            <a:solidFill>
              <a:schemeClr val="tx1"/>
            </a:solidFill>
          </a:ln>
        </c:spPr>
        <c:crossAx val="195329024"/>
        <c:crosses val="autoZero"/>
        <c:crossBetween val="midCat"/>
        <c:majorUnit val="1"/>
        <c:minorUnit val="0.1"/>
      </c:valAx>
      <c:valAx>
        <c:axId val="195329024"/>
        <c:scaling>
          <c:orientation val="minMax"/>
          <c:max val="4.5"/>
          <c:min val="0"/>
        </c:scaling>
        <c:delete val="0"/>
        <c:axPos val="l"/>
        <c:majorGridlines/>
        <c:title>
          <c:tx>
            <c:rich>
              <a:bodyPr rot="-5400000" vert="horz"/>
              <a:lstStyle/>
              <a:p>
                <a:pPr>
                  <a:defRPr sz="1600" b="0">
                    <a:latin typeface="+mj-lt"/>
                  </a:defRPr>
                </a:pPr>
                <a:r>
                  <a:rPr lang="en-US" sz="1600" b="0">
                    <a:latin typeface="+mj-lt"/>
                  </a:rPr>
                  <a:t>Population Size Score</a:t>
                </a:r>
              </a:p>
            </c:rich>
          </c:tx>
          <c:overlay val="0"/>
        </c:title>
        <c:numFmt formatCode="General" sourceLinked="1"/>
        <c:majorTickMark val="out"/>
        <c:minorTickMark val="none"/>
        <c:tickLblPos val="nextTo"/>
        <c:spPr>
          <a:ln>
            <a:solidFill>
              <a:schemeClr val="tx1"/>
            </a:solidFill>
          </a:ln>
        </c:spPr>
        <c:crossAx val="195327104"/>
        <c:crosses val="autoZero"/>
        <c:crossBetween val="midCat"/>
        <c:majorUnit val="1"/>
        <c:minorUnit val="0.1"/>
      </c:valAx>
      <c:spPr>
        <a:gradFill flip="none" rotWithShape="1">
          <a:gsLst>
            <a:gs pos="0">
              <a:srgbClr val="63BE7B"/>
            </a:gs>
            <a:gs pos="50000">
              <a:srgbClr val="FFEB84"/>
            </a:gs>
            <a:gs pos="100000">
              <a:srgbClr val="F8696B"/>
            </a:gs>
          </a:gsLst>
          <a:lin ang="189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b="0" u="sng">
                <a:latin typeface="+mj-lt"/>
              </a:defRPr>
            </a:pPr>
            <a:r>
              <a:rPr lang="en-US" b="0" u="sng">
                <a:latin typeface="+mj-lt"/>
              </a:rPr>
              <a:t>Community</a:t>
            </a:r>
            <a:r>
              <a:rPr lang="en-US" b="0" u="sng" baseline="0">
                <a:latin typeface="+mj-lt"/>
              </a:rPr>
              <a:t> I</a:t>
            </a:r>
            <a:r>
              <a:rPr lang="en-US" b="0" u="sng">
                <a:latin typeface="+mj-lt"/>
              </a:rPr>
              <a:t>mpact</a:t>
            </a:r>
          </a:p>
        </c:rich>
      </c:tx>
      <c:layout>
        <c:manualLayout>
          <c:xMode val="edge"/>
          <c:yMode val="edge"/>
          <c:x val="0.3804297614296886"/>
          <c:y val="1.8102300054023301E-2"/>
        </c:manualLayout>
      </c:layout>
      <c:overlay val="0"/>
    </c:title>
    <c:autoTitleDeleted val="0"/>
    <c:plotArea>
      <c:layout/>
      <c:barChart>
        <c:barDir val="col"/>
        <c:grouping val="clustered"/>
        <c:varyColors val="0"/>
        <c:ser>
          <c:idx val="3"/>
          <c:order val="0"/>
          <c:tx>
            <c:strRef>
              <c:f>Severity!$V$151</c:f>
              <c:strCache>
                <c:ptCount val="1"/>
                <c:pt idx="0">
                  <c:v>Community Impact</c:v>
                </c:pt>
              </c:strCache>
            </c:strRef>
          </c:tx>
          <c:spPr>
            <a:scene3d>
              <a:camera prst="orthographicFront"/>
              <a:lightRig rig="threePt" dir="t"/>
            </a:scene3d>
            <a:sp3d prstMaterial="dkEdge">
              <a:bevelT w="63500" h="50800"/>
            </a:sp3d>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Severity!$R$152:$R$181</c:f>
              <c:strCache>
                <c:ptCount val="20"/>
                <c:pt idx="0">
                  <c:v>Active Shooter</c:v>
                </c:pt>
                <c:pt idx="1">
                  <c:v>Biological Terrorism</c:v>
                </c:pt>
                <c:pt idx="2">
                  <c:v>Chemical Terrorism</c:v>
                </c:pt>
                <c:pt idx="3">
                  <c:v>Civil Disturbance</c:v>
                </c:pt>
                <c:pt idx="4">
                  <c:v>Coastal Storm</c:v>
                </c:pt>
                <c:pt idx="5">
                  <c:v>Conventional Explosive</c:v>
                </c:pt>
                <c:pt idx="6">
                  <c:v>Cyber Terrorism</c:v>
                </c:pt>
                <c:pt idx="7">
                  <c:v>Drought</c:v>
                </c:pt>
                <c:pt idx="8">
                  <c:v>Earthquake</c:v>
                </c:pt>
                <c:pt idx="9">
                  <c:v>Flood</c:v>
                </c:pt>
                <c:pt idx="10">
                  <c:v>Hazardous Materials Release</c:v>
                </c:pt>
                <c:pt idx="11">
                  <c:v>Localized Infectious Disease</c:v>
                </c:pt>
                <c:pt idx="12">
                  <c:v>Nuclear Facility Accident</c:v>
                </c:pt>
                <c:pt idx="13">
                  <c:v>Pandemic</c:v>
                </c:pt>
                <c:pt idx="14">
                  <c:v>Radiation Dispersal Device</c:v>
                </c:pt>
                <c:pt idx="15">
                  <c:v>Temperature Extremes</c:v>
                </c:pt>
                <c:pt idx="16">
                  <c:v>Tornado</c:v>
                </c:pt>
                <c:pt idx="17">
                  <c:v>Utility Interruption</c:v>
                </c:pt>
                <c:pt idx="18">
                  <c:v>Wildfire</c:v>
                </c:pt>
                <c:pt idx="19">
                  <c:v>Winter Storm</c:v>
                </c:pt>
              </c:strCache>
            </c:strRef>
          </c:cat>
          <c:val>
            <c:numRef>
              <c:f>Severity!$V$152:$V$181</c:f>
              <c:numCache>
                <c:formatCode>0.00</c:formatCode>
                <c:ptCount val="20"/>
                <c:pt idx="0">
                  <c:v>7.1428571428571425E-2</c:v>
                </c:pt>
                <c:pt idx="1">
                  <c:v>2.0714285714285716</c:v>
                </c:pt>
                <c:pt idx="2">
                  <c:v>0.7857142857142857</c:v>
                </c:pt>
                <c:pt idx="3">
                  <c:v>1.0714285714285714</c:v>
                </c:pt>
                <c:pt idx="4">
                  <c:v>0</c:v>
                </c:pt>
                <c:pt idx="5">
                  <c:v>0.7857142857142857</c:v>
                </c:pt>
                <c:pt idx="6">
                  <c:v>0</c:v>
                </c:pt>
                <c:pt idx="7">
                  <c:v>1</c:v>
                </c:pt>
                <c:pt idx="8">
                  <c:v>0.2857142857142857</c:v>
                </c:pt>
                <c:pt idx="9">
                  <c:v>1.6428571428571428</c:v>
                </c:pt>
                <c:pt idx="10">
                  <c:v>1.2857142857142858</c:v>
                </c:pt>
                <c:pt idx="11">
                  <c:v>0.2857142857142857</c:v>
                </c:pt>
                <c:pt idx="12">
                  <c:v>0.5714285714285714</c:v>
                </c:pt>
                <c:pt idx="13">
                  <c:v>1.6428571428571428</c:v>
                </c:pt>
                <c:pt idx="14">
                  <c:v>1.7142857142857142</c:v>
                </c:pt>
                <c:pt idx="15">
                  <c:v>0.7142857142857143</c:v>
                </c:pt>
                <c:pt idx="16">
                  <c:v>2.6428571428571428</c:v>
                </c:pt>
                <c:pt idx="17">
                  <c:v>1.9285714285714286</c:v>
                </c:pt>
                <c:pt idx="18">
                  <c:v>0</c:v>
                </c:pt>
                <c:pt idx="19">
                  <c:v>1.2142857142857142</c:v>
                </c:pt>
              </c:numCache>
            </c:numRef>
          </c:val>
          <c:extLst>
            <c:ext xmlns:c16="http://schemas.microsoft.com/office/drawing/2014/chart" uri="{C3380CC4-5D6E-409C-BE32-E72D297353CC}">
              <c16:uniqueId val="{00000000-2B9D-4B57-BC8C-5B0C830BD328}"/>
            </c:ext>
          </c:extLst>
        </c:ser>
        <c:dLbls>
          <c:showLegendKey val="0"/>
          <c:showVal val="1"/>
          <c:showCatName val="0"/>
          <c:showSerName val="0"/>
          <c:showPercent val="0"/>
          <c:showBubbleSize val="0"/>
        </c:dLbls>
        <c:gapWidth val="150"/>
        <c:axId val="149183488"/>
        <c:axId val="149193856"/>
      </c:barChart>
      <c:catAx>
        <c:axId val="149183488"/>
        <c:scaling>
          <c:orientation val="minMax"/>
        </c:scaling>
        <c:delete val="0"/>
        <c:axPos val="b"/>
        <c:title>
          <c:tx>
            <c:rich>
              <a:bodyPr/>
              <a:lstStyle/>
              <a:p>
                <a:pPr>
                  <a:defRPr b="0">
                    <a:latin typeface="+mj-lt"/>
                  </a:defRPr>
                </a:pPr>
                <a:r>
                  <a:rPr lang="en-US" sz="1600" b="0">
                    <a:latin typeface="+mj-lt"/>
                  </a:rPr>
                  <a:t>Hazard</a:t>
                </a:r>
              </a:p>
            </c:rich>
          </c:tx>
          <c:layout>
            <c:manualLayout>
              <c:xMode val="edge"/>
              <c:yMode val="edge"/>
              <c:x val="0.43549307562041467"/>
              <c:y val="0.92043715846994456"/>
            </c:manualLayout>
          </c:layout>
          <c:overlay val="0"/>
        </c:title>
        <c:numFmt formatCode="General" sourceLinked="1"/>
        <c:majorTickMark val="out"/>
        <c:minorTickMark val="none"/>
        <c:tickLblPos val="nextTo"/>
        <c:spPr>
          <a:ln>
            <a:solidFill>
              <a:schemeClr val="tx1"/>
            </a:solidFill>
          </a:ln>
        </c:spPr>
        <c:crossAx val="149193856"/>
        <c:crosses val="autoZero"/>
        <c:auto val="1"/>
        <c:lblAlgn val="ctr"/>
        <c:lblOffset val="100"/>
        <c:noMultiLvlLbl val="0"/>
      </c:catAx>
      <c:valAx>
        <c:axId val="149193856"/>
        <c:scaling>
          <c:orientation val="minMax"/>
        </c:scaling>
        <c:delete val="0"/>
        <c:axPos val="l"/>
        <c:majorGridlines/>
        <c:title>
          <c:tx>
            <c:rich>
              <a:bodyPr rot="-5400000" vert="horz"/>
              <a:lstStyle/>
              <a:p>
                <a:pPr>
                  <a:defRPr sz="1600" b="0">
                    <a:latin typeface="+mj-lt"/>
                  </a:defRPr>
                </a:pPr>
                <a:r>
                  <a:rPr lang="en-US" sz="1600" b="0">
                    <a:latin typeface="+mj-lt"/>
                  </a:rPr>
                  <a:t>Severity</a:t>
                </a:r>
              </a:p>
            </c:rich>
          </c:tx>
          <c:layout>
            <c:manualLayout>
              <c:xMode val="edge"/>
              <c:yMode val="edge"/>
              <c:x val="1.1646970752609181E-2"/>
              <c:y val="0.28418895725466126"/>
            </c:manualLayout>
          </c:layout>
          <c:overlay val="0"/>
        </c:title>
        <c:numFmt formatCode="#,##0.00" sourceLinked="0"/>
        <c:majorTickMark val="out"/>
        <c:minorTickMark val="none"/>
        <c:tickLblPos val="nextTo"/>
        <c:spPr>
          <a:ln>
            <a:solidFill>
              <a:schemeClr val="tx1"/>
            </a:solidFill>
          </a:ln>
        </c:spPr>
        <c:crossAx val="149183488"/>
        <c:crosses val="autoZero"/>
        <c:crossBetween val="between"/>
      </c:valAx>
      <c:spPr>
        <a:gradFill flip="none" rotWithShape="1">
          <a:gsLst>
            <a:gs pos="0">
              <a:srgbClr val="63BE7B"/>
            </a:gs>
            <a:gs pos="50000">
              <a:srgbClr val="FFEB84"/>
            </a:gs>
            <a:gs pos="100000">
              <a:srgbClr val="F8696B"/>
            </a:gs>
          </a:gsLst>
          <a:lin ang="162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defRPr b="0" u="sng">
                <a:latin typeface="+mj-lt"/>
              </a:defRPr>
            </a:pPr>
            <a:r>
              <a:rPr lang="en-US" b="0" u="sng">
                <a:latin typeface="+mj-lt"/>
              </a:rPr>
              <a:t>Public Health Preparedness</a:t>
            </a:r>
          </a:p>
        </c:rich>
      </c:tx>
      <c:layout>
        <c:manualLayout>
          <c:xMode val="edge"/>
          <c:yMode val="edge"/>
          <c:x val="0.30532356317913883"/>
          <c:y val="1.3244983721297133E-2"/>
        </c:manualLayout>
      </c:layout>
      <c:overlay val="0"/>
    </c:title>
    <c:autoTitleDeleted val="0"/>
    <c:plotArea>
      <c:layout/>
      <c:scatterChart>
        <c:scatterStyle val="lineMarker"/>
        <c:varyColors val="0"/>
        <c:ser>
          <c:idx val="0"/>
          <c:order val="0"/>
          <c:tx>
            <c:strRef>
              <c:f>'Conventional Explosive'!$C$833</c:f>
              <c:strCache>
                <c:ptCount val="1"/>
                <c:pt idx="0">
                  <c:v>Community Prep</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'Conventional Explosive'!$J$834</c:f>
              <c:numCache>
                <c:formatCode>General</c:formatCode>
                <c:ptCount val="1"/>
                <c:pt idx="0">
                  <c:v>4</c:v>
                </c:pt>
              </c:numCache>
            </c:numRef>
          </c:xVal>
          <c:yVal>
            <c:numRef>
              <c:f>'Conventional Explosive'!$J$835</c:f>
              <c:numCache>
                <c:formatCode>General</c:formatCode>
                <c:ptCount val="1"/>
                <c:pt idx="0">
                  <c:v>0</c:v>
                </c:pt>
              </c:numCache>
            </c:numRef>
          </c:yVal>
          <c:smooth val="0"/>
          <c:extLst>
            <c:ext xmlns:c16="http://schemas.microsoft.com/office/drawing/2014/chart" uri="{C3380CC4-5D6E-409C-BE32-E72D297353CC}">
              <c16:uniqueId val="{00000000-5DBC-4517-BED3-E72F6AE708A8}"/>
            </c:ext>
          </c:extLst>
        </c:ser>
        <c:ser>
          <c:idx val="1"/>
          <c:order val="1"/>
          <c:tx>
            <c:strRef>
              <c:f>'Conventional Explosive'!$C$837</c:f>
              <c:strCache>
                <c:ptCount val="1"/>
                <c:pt idx="0">
                  <c:v>Community Recov</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'Conventional Explosive'!$J$838</c:f>
              <c:numCache>
                <c:formatCode>General</c:formatCode>
                <c:ptCount val="1"/>
                <c:pt idx="0">
                  <c:v>4</c:v>
                </c:pt>
              </c:numCache>
            </c:numRef>
          </c:xVal>
          <c:yVal>
            <c:numRef>
              <c:f>'Conventional Explosive'!$J$839</c:f>
              <c:numCache>
                <c:formatCode>General</c:formatCode>
                <c:ptCount val="1"/>
                <c:pt idx="0">
                  <c:v>0</c:v>
                </c:pt>
              </c:numCache>
            </c:numRef>
          </c:yVal>
          <c:smooth val="0"/>
          <c:extLst>
            <c:ext xmlns:c16="http://schemas.microsoft.com/office/drawing/2014/chart" uri="{C3380CC4-5D6E-409C-BE32-E72D297353CC}">
              <c16:uniqueId val="{00000001-5DBC-4517-BED3-E72F6AE708A8}"/>
            </c:ext>
          </c:extLst>
        </c:ser>
        <c:ser>
          <c:idx val="2"/>
          <c:order val="2"/>
          <c:tx>
            <c:strRef>
              <c:f>'Conventional Explosive'!$C$841</c:f>
              <c:strCache>
                <c:ptCount val="1"/>
                <c:pt idx="0">
                  <c:v>Emerg Ops Coord</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'Conventional Explosive'!$J$842</c:f>
              <c:numCache>
                <c:formatCode>General</c:formatCode>
                <c:ptCount val="1"/>
                <c:pt idx="0">
                  <c:v>2</c:v>
                </c:pt>
              </c:numCache>
            </c:numRef>
          </c:xVal>
          <c:yVal>
            <c:numRef>
              <c:f>'Conventional Explosive'!$J$843</c:f>
              <c:numCache>
                <c:formatCode>General</c:formatCode>
                <c:ptCount val="1"/>
                <c:pt idx="0">
                  <c:v>0</c:v>
                </c:pt>
              </c:numCache>
            </c:numRef>
          </c:yVal>
          <c:smooth val="0"/>
          <c:extLst>
            <c:ext xmlns:c16="http://schemas.microsoft.com/office/drawing/2014/chart" uri="{C3380CC4-5D6E-409C-BE32-E72D297353CC}">
              <c16:uniqueId val="{00000002-5DBC-4517-BED3-E72F6AE708A8}"/>
            </c:ext>
          </c:extLst>
        </c:ser>
        <c:ser>
          <c:idx val="3"/>
          <c:order val="3"/>
          <c:tx>
            <c:strRef>
              <c:f>'Conventional Explosive'!$C$845</c:f>
              <c:strCache>
                <c:ptCount val="1"/>
                <c:pt idx="0">
                  <c:v>Emerg Public Info</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'Conventional Explosive'!$J$846</c:f>
              <c:numCache>
                <c:formatCode>General</c:formatCode>
                <c:ptCount val="1"/>
                <c:pt idx="0">
                  <c:v>4</c:v>
                </c:pt>
              </c:numCache>
            </c:numRef>
          </c:xVal>
          <c:yVal>
            <c:numRef>
              <c:f>'Conventional Explosive'!$J$847</c:f>
              <c:numCache>
                <c:formatCode>General</c:formatCode>
                <c:ptCount val="1"/>
                <c:pt idx="0">
                  <c:v>0</c:v>
                </c:pt>
              </c:numCache>
            </c:numRef>
          </c:yVal>
          <c:smooth val="0"/>
          <c:extLst>
            <c:ext xmlns:c16="http://schemas.microsoft.com/office/drawing/2014/chart" uri="{C3380CC4-5D6E-409C-BE32-E72D297353CC}">
              <c16:uniqueId val="{00000003-5DBC-4517-BED3-E72F6AE708A8}"/>
            </c:ext>
          </c:extLst>
        </c:ser>
        <c:ser>
          <c:idx val="4"/>
          <c:order val="4"/>
          <c:tx>
            <c:strRef>
              <c:f>'Conventional Explosive'!$C$849</c:f>
              <c:strCache>
                <c:ptCount val="1"/>
                <c:pt idx="0">
                  <c:v>Fatality Mgmt</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'Conventional Explosive'!$J$850</c:f>
              <c:numCache>
                <c:formatCode>General</c:formatCode>
                <c:ptCount val="1"/>
                <c:pt idx="0">
                  <c:v>4</c:v>
                </c:pt>
              </c:numCache>
            </c:numRef>
          </c:xVal>
          <c:yVal>
            <c:numRef>
              <c:f>'Conventional Explosive'!$J$851</c:f>
              <c:numCache>
                <c:formatCode>General</c:formatCode>
                <c:ptCount val="1"/>
                <c:pt idx="0">
                  <c:v>0</c:v>
                </c:pt>
              </c:numCache>
            </c:numRef>
          </c:yVal>
          <c:smooth val="0"/>
          <c:extLst>
            <c:ext xmlns:c16="http://schemas.microsoft.com/office/drawing/2014/chart" uri="{C3380CC4-5D6E-409C-BE32-E72D297353CC}">
              <c16:uniqueId val="{00000004-5DBC-4517-BED3-E72F6AE708A8}"/>
            </c:ext>
          </c:extLst>
        </c:ser>
        <c:ser>
          <c:idx val="5"/>
          <c:order val="5"/>
          <c:tx>
            <c:strRef>
              <c:f>'Conventional Explosive'!$C$853</c:f>
              <c:strCache>
                <c:ptCount val="1"/>
                <c:pt idx="0">
                  <c:v>Info Sharing</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'Conventional Explosive'!$J$854</c:f>
              <c:numCache>
                <c:formatCode>General</c:formatCode>
                <c:ptCount val="1"/>
                <c:pt idx="0">
                  <c:v>4</c:v>
                </c:pt>
              </c:numCache>
            </c:numRef>
          </c:xVal>
          <c:yVal>
            <c:numRef>
              <c:f>'Conventional Explosive'!$J$855</c:f>
              <c:numCache>
                <c:formatCode>General</c:formatCode>
                <c:ptCount val="1"/>
                <c:pt idx="0">
                  <c:v>0</c:v>
                </c:pt>
              </c:numCache>
            </c:numRef>
          </c:yVal>
          <c:smooth val="0"/>
          <c:extLst>
            <c:ext xmlns:c16="http://schemas.microsoft.com/office/drawing/2014/chart" uri="{C3380CC4-5D6E-409C-BE32-E72D297353CC}">
              <c16:uniqueId val="{00000005-5DBC-4517-BED3-E72F6AE708A8}"/>
            </c:ext>
          </c:extLst>
        </c:ser>
        <c:ser>
          <c:idx val="6"/>
          <c:order val="6"/>
          <c:tx>
            <c:strRef>
              <c:f>'Conventional Explosive'!$C$857</c:f>
              <c:strCache>
                <c:ptCount val="1"/>
                <c:pt idx="0">
                  <c:v>Mass Care</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'Conventional Explosive'!$J$858</c:f>
              <c:numCache>
                <c:formatCode>General</c:formatCode>
                <c:ptCount val="1"/>
                <c:pt idx="0">
                  <c:v>1</c:v>
                </c:pt>
              </c:numCache>
            </c:numRef>
          </c:xVal>
          <c:yVal>
            <c:numRef>
              <c:f>'Conventional Explosive'!$J$859</c:f>
              <c:numCache>
                <c:formatCode>General</c:formatCode>
                <c:ptCount val="1"/>
                <c:pt idx="0">
                  <c:v>0</c:v>
                </c:pt>
              </c:numCache>
            </c:numRef>
          </c:yVal>
          <c:smooth val="0"/>
          <c:extLst>
            <c:ext xmlns:c16="http://schemas.microsoft.com/office/drawing/2014/chart" uri="{C3380CC4-5D6E-409C-BE32-E72D297353CC}">
              <c16:uniqueId val="{00000006-5DBC-4517-BED3-E72F6AE708A8}"/>
            </c:ext>
          </c:extLst>
        </c:ser>
        <c:ser>
          <c:idx val="7"/>
          <c:order val="7"/>
          <c:tx>
            <c:strRef>
              <c:f>'Conventional Explosive'!$C$861</c:f>
              <c:strCache>
                <c:ptCount val="1"/>
                <c:pt idx="0">
                  <c:v>MCM Dispens</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'Conventional Explosive'!$J$862</c:f>
              <c:numCache>
                <c:formatCode>General</c:formatCode>
                <c:ptCount val="1"/>
                <c:pt idx="0">
                  <c:v>0</c:v>
                </c:pt>
              </c:numCache>
            </c:numRef>
          </c:xVal>
          <c:yVal>
            <c:numRef>
              <c:f>'Conventional Explosive'!$J$863</c:f>
              <c:numCache>
                <c:formatCode>General</c:formatCode>
                <c:ptCount val="1"/>
                <c:pt idx="0">
                  <c:v>0</c:v>
                </c:pt>
              </c:numCache>
            </c:numRef>
          </c:yVal>
          <c:smooth val="0"/>
          <c:extLst>
            <c:ext xmlns:c16="http://schemas.microsoft.com/office/drawing/2014/chart" uri="{C3380CC4-5D6E-409C-BE32-E72D297353CC}">
              <c16:uniqueId val="{00000007-5DBC-4517-BED3-E72F6AE708A8}"/>
            </c:ext>
          </c:extLst>
        </c:ser>
        <c:ser>
          <c:idx val="8"/>
          <c:order val="8"/>
          <c:tx>
            <c:strRef>
              <c:f>'Conventional Explosive'!$C$865</c:f>
              <c:strCache>
                <c:ptCount val="1"/>
                <c:pt idx="0">
                  <c:v>Med Materiel Mgmt</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'Conventional Explosive'!$J$866</c:f>
              <c:numCache>
                <c:formatCode>General</c:formatCode>
                <c:ptCount val="1"/>
                <c:pt idx="0">
                  <c:v>2</c:v>
                </c:pt>
              </c:numCache>
            </c:numRef>
          </c:xVal>
          <c:yVal>
            <c:numRef>
              <c:f>'Conventional Explosive'!$J$867</c:f>
              <c:numCache>
                <c:formatCode>General</c:formatCode>
                <c:ptCount val="1"/>
                <c:pt idx="0">
                  <c:v>0</c:v>
                </c:pt>
              </c:numCache>
            </c:numRef>
          </c:yVal>
          <c:smooth val="0"/>
          <c:extLst>
            <c:ext xmlns:c16="http://schemas.microsoft.com/office/drawing/2014/chart" uri="{C3380CC4-5D6E-409C-BE32-E72D297353CC}">
              <c16:uniqueId val="{00000008-5DBC-4517-BED3-E72F6AE708A8}"/>
            </c:ext>
          </c:extLst>
        </c:ser>
        <c:ser>
          <c:idx val="9"/>
          <c:order val="9"/>
          <c:tx>
            <c:strRef>
              <c:f>'Conventional Explosive'!$C$869</c:f>
              <c:strCache>
                <c:ptCount val="1"/>
                <c:pt idx="0">
                  <c:v>Medical Surge</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'Conventional Explosive'!$J$870</c:f>
              <c:numCache>
                <c:formatCode>General</c:formatCode>
                <c:ptCount val="1"/>
                <c:pt idx="0">
                  <c:v>4</c:v>
                </c:pt>
              </c:numCache>
            </c:numRef>
          </c:xVal>
          <c:yVal>
            <c:numRef>
              <c:f>'Conventional Explosive'!$J$871</c:f>
              <c:numCache>
                <c:formatCode>General</c:formatCode>
                <c:ptCount val="1"/>
                <c:pt idx="0">
                  <c:v>0</c:v>
                </c:pt>
              </c:numCache>
            </c:numRef>
          </c:yVal>
          <c:smooth val="0"/>
          <c:extLst>
            <c:ext xmlns:c16="http://schemas.microsoft.com/office/drawing/2014/chart" uri="{C3380CC4-5D6E-409C-BE32-E72D297353CC}">
              <c16:uniqueId val="{00000009-5DBC-4517-BED3-E72F6AE708A8}"/>
            </c:ext>
          </c:extLst>
        </c:ser>
        <c:ser>
          <c:idx val="10"/>
          <c:order val="10"/>
          <c:tx>
            <c:strRef>
              <c:f>'Conventional Explosive'!$C$873</c:f>
              <c:strCache>
                <c:ptCount val="1"/>
                <c:pt idx="0">
                  <c:v>Non-Pharm Interv</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'Conventional Explosive'!$J$874</c:f>
              <c:numCache>
                <c:formatCode>General</c:formatCode>
                <c:ptCount val="1"/>
                <c:pt idx="0">
                  <c:v>0</c:v>
                </c:pt>
              </c:numCache>
            </c:numRef>
          </c:xVal>
          <c:yVal>
            <c:numRef>
              <c:f>'Conventional Explosive'!$J$875</c:f>
              <c:numCache>
                <c:formatCode>General</c:formatCode>
                <c:ptCount val="1"/>
                <c:pt idx="0">
                  <c:v>0</c:v>
                </c:pt>
              </c:numCache>
            </c:numRef>
          </c:yVal>
          <c:smooth val="0"/>
          <c:extLst>
            <c:ext xmlns:c16="http://schemas.microsoft.com/office/drawing/2014/chart" uri="{C3380CC4-5D6E-409C-BE32-E72D297353CC}">
              <c16:uniqueId val="{0000000A-5DBC-4517-BED3-E72F6AE708A8}"/>
            </c:ext>
          </c:extLst>
        </c:ser>
        <c:ser>
          <c:idx val="11"/>
          <c:order val="11"/>
          <c:tx>
            <c:strRef>
              <c:f>'Conventional Explosive'!$C$877</c:f>
              <c:strCache>
                <c:ptCount val="1"/>
                <c:pt idx="0">
                  <c:v>PH Lab Testing</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'Conventional Explosive'!$J$878</c:f>
              <c:numCache>
                <c:formatCode>General</c:formatCode>
                <c:ptCount val="1"/>
                <c:pt idx="0">
                  <c:v>1</c:v>
                </c:pt>
              </c:numCache>
            </c:numRef>
          </c:xVal>
          <c:yVal>
            <c:numRef>
              <c:f>'Conventional Explosive'!$J$879</c:f>
              <c:numCache>
                <c:formatCode>General</c:formatCode>
                <c:ptCount val="1"/>
                <c:pt idx="0">
                  <c:v>0</c:v>
                </c:pt>
              </c:numCache>
            </c:numRef>
          </c:yVal>
          <c:smooth val="0"/>
          <c:extLst>
            <c:ext xmlns:c16="http://schemas.microsoft.com/office/drawing/2014/chart" uri="{C3380CC4-5D6E-409C-BE32-E72D297353CC}">
              <c16:uniqueId val="{0000000B-5DBC-4517-BED3-E72F6AE708A8}"/>
            </c:ext>
          </c:extLst>
        </c:ser>
        <c:ser>
          <c:idx val="12"/>
          <c:order val="12"/>
          <c:tx>
            <c:strRef>
              <c:f>'Conventional Explosive'!$C$881</c:f>
              <c:strCache>
                <c:ptCount val="1"/>
                <c:pt idx="0">
                  <c:v>PH Surv &amp; Epi</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'Conventional Explosive'!$J$882</c:f>
              <c:numCache>
                <c:formatCode>General</c:formatCode>
                <c:ptCount val="1"/>
                <c:pt idx="0">
                  <c:v>4</c:v>
                </c:pt>
              </c:numCache>
            </c:numRef>
          </c:xVal>
          <c:yVal>
            <c:numRef>
              <c:f>'Conventional Explosive'!$J$883</c:f>
              <c:numCache>
                <c:formatCode>General</c:formatCode>
                <c:ptCount val="1"/>
                <c:pt idx="0">
                  <c:v>0</c:v>
                </c:pt>
              </c:numCache>
            </c:numRef>
          </c:yVal>
          <c:smooth val="0"/>
          <c:extLst>
            <c:ext xmlns:c16="http://schemas.microsoft.com/office/drawing/2014/chart" uri="{C3380CC4-5D6E-409C-BE32-E72D297353CC}">
              <c16:uniqueId val="{0000000C-5DBC-4517-BED3-E72F6AE708A8}"/>
            </c:ext>
          </c:extLst>
        </c:ser>
        <c:ser>
          <c:idx val="13"/>
          <c:order val="13"/>
          <c:tx>
            <c:strRef>
              <c:f>'Conventional Explosive'!$C$885</c:f>
              <c:strCache>
                <c:ptCount val="1"/>
                <c:pt idx="0">
                  <c:v>Responder Safety</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'Conventional Explosive'!$J$886</c:f>
              <c:numCache>
                <c:formatCode>General</c:formatCode>
                <c:ptCount val="1"/>
                <c:pt idx="0">
                  <c:v>3</c:v>
                </c:pt>
              </c:numCache>
            </c:numRef>
          </c:xVal>
          <c:yVal>
            <c:numRef>
              <c:f>'Conventional Explosive'!$J$887</c:f>
              <c:numCache>
                <c:formatCode>General</c:formatCode>
                <c:ptCount val="1"/>
                <c:pt idx="0">
                  <c:v>0</c:v>
                </c:pt>
              </c:numCache>
            </c:numRef>
          </c:yVal>
          <c:smooth val="0"/>
          <c:extLst>
            <c:ext xmlns:c16="http://schemas.microsoft.com/office/drawing/2014/chart" uri="{C3380CC4-5D6E-409C-BE32-E72D297353CC}">
              <c16:uniqueId val="{0000000D-5DBC-4517-BED3-E72F6AE708A8}"/>
            </c:ext>
          </c:extLst>
        </c:ser>
        <c:ser>
          <c:idx val="14"/>
          <c:order val="14"/>
          <c:tx>
            <c:strRef>
              <c:f>'Conventional Explosive'!$C$964</c:f>
              <c:strCache>
                <c:ptCount val="1"/>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'Conventional Explosive'!$J$965</c:f>
            </c:numRef>
          </c:xVal>
          <c:yVal>
            <c:numRef>
              <c:f>'Conventional Explosive'!$J$966</c:f>
            </c:numRef>
          </c:yVal>
          <c:smooth val="0"/>
          <c:extLst>
            <c:ext xmlns:c16="http://schemas.microsoft.com/office/drawing/2014/chart" uri="{C3380CC4-5D6E-409C-BE32-E72D297353CC}">
              <c16:uniqueId val="{0000000E-5DBC-4517-BED3-E72F6AE708A8}"/>
            </c:ext>
          </c:extLst>
        </c:ser>
        <c:ser>
          <c:idx val="15"/>
          <c:order val="15"/>
          <c:tx>
            <c:strRef>
              <c:f>'Conventional Explosive'!$C$889</c:f>
              <c:strCache>
                <c:ptCount val="1"/>
                <c:pt idx="0">
                  <c:v>Volunteer Mgmt</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'Conventional Explosive'!$J$890</c:f>
              <c:numCache>
                <c:formatCode>General</c:formatCode>
                <c:ptCount val="1"/>
                <c:pt idx="0">
                  <c:v>1</c:v>
                </c:pt>
              </c:numCache>
            </c:numRef>
          </c:xVal>
          <c:yVal>
            <c:numRef>
              <c:f>'Conventional Explosive'!$J$891</c:f>
              <c:numCache>
                <c:formatCode>General</c:formatCode>
                <c:ptCount val="1"/>
                <c:pt idx="0">
                  <c:v>0</c:v>
                </c:pt>
              </c:numCache>
            </c:numRef>
          </c:yVal>
          <c:smooth val="0"/>
          <c:extLst>
            <c:ext xmlns:c16="http://schemas.microsoft.com/office/drawing/2014/chart" uri="{C3380CC4-5D6E-409C-BE32-E72D297353CC}">
              <c16:uniqueId val="{0000000F-5DBC-4517-BED3-E72F6AE708A8}"/>
            </c:ext>
          </c:extLst>
        </c:ser>
        <c:dLbls>
          <c:showLegendKey val="0"/>
          <c:showVal val="1"/>
          <c:showCatName val="0"/>
          <c:showSerName val="0"/>
          <c:showPercent val="0"/>
          <c:showBubbleSize val="0"/>
        </c:dLbls>
        <c:axId val="195413120"/>
        <c:axId val="195415040"/>
      </c:scatterChart>
      <c:valAx>
        <c:axId val="195413120"/>
        <c:scaling>
          <c:orientation val="minMax"/>
          <c:max val="4.5"/>
          <c:min val="0"/>
        </c:scaling>
        <c:delete val="0"/>
        <c:axPos val="b"/>
        <c:majorGridlines/>
        <c:title>
          <c:tx>
            <c:rich>
              <a:bodyPr/>
              <a:lstStyle/>
              <a:p>
                <a:pPr>
                  <a:defRPr b="0">
                    <a:latin typeface="+mj-lt"/>
                  </a:defRPr>
                </a:pPr>
                <a:r>
                  <a:rPr lang="en-US" sz="1600" b="0">
                    <a:latin typeface="+mj-lt"/>
                  </a:rPr>
                  <a:t>Capability Relevance to Hazard</a:t>
                </a:r>
              </a:p>
            </c:rich>
          </c:tx>
          <c:overlay val="0"/>
        </c:title>
        <c:numFmt formatCode="General" sourceLinked="1"/>
        <c:majorTickMark val="out"/>
        <c:minorTickMark val="none"/>
        <c:tickLblPos val="nextTo"/>
        <c:spPr>
          <a:ln>
            <a:solidFill>
              <a:schemeClr val="tx1"/>
            </a:solidFill>
          </a:ln>
        </c:spPr>
        <c:crossAx val="195415040"/>
        <c:crosses val="autoZero"/>
        <c:crossBetween val="midCat"/>
        <c:majorUnit val="1"/>
        <c:minorUnit val="0.1"/>
      </c:valAx>
      <c:valAx>
        <c:axId val="195415040"/>
        <c:scaling>
          <c:orientation val="minMax"/>
          <c:max val="4.5"/>
          <c:min val="0"/>
        </c:scaling>
        <c:delete val="0"/>
        <c:axPos val="l"/>
        <c:majorGridlines/>
        <c:title>
          <c:tx>
            <c:rich>
              <a:bodyPr rot="-5400000" vert="horz"/>
              <a:lstStyle/>
              <a:p>
                <a:pPr>
                  <a:defRPr sz="1600" b="0">
                    <a:latin typeface="+mj-lt"/>
                  </a:defRPr>
                </a:pPr>
                <a:r>
                  <a:rPr lang="en-US" sz="1600" b="0">
                    <a:latin typeface="+mj-lt"/>
                  </a:rPr>
                  <a:t>Capability Status</a:t>
                </a:r>
              </a:p>
            </c:rich>
          </c:tx>
          <c:overlay val="0"/>
        </c:title>
        <c:numFmt formatCode="General" sourceLinked="1"/>
        <c:majorTickMark val="out"/>
        <c:minorTickMark val="none"/>
        <c:tickLblPos val="nextTo"/>
        <c:spPr>
          <a:ln>
            <a:solidFill>
              <a:schemeClr val="tx1"/>
            </a:solidFill>
          </a:ln>
        </c:spPr>
        <c:crossAx val="195413120"/>
        <c:crosses val="autoZero"/>
        <c:crossBetween val="midCat"/>
        <c:majorUnit val="1"/>
        <c:minorUnit val="0.1"/>
      </c:valAx>
      <c:spPr>
        <a:gradFill flip="none" rotWithShape="1">
          <a:gsLst>
            <a:gs pos="0">
              <a:srgbClr val="63BE7B"/>
            </a:gs>
            <a:gs pos="50000">
              <a:srgbClr val="FFEB84"/>
            </a:gs>
            <a:gs pos="100000">
              <a:srgbClr val="F8696B"/>
            </a:gs>
          </a:gsLst>
          <a:lin ang="27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defRPr b="0" u="sng">
                <a:latin typeface="+mj-lt"/>
              </a:defRPr>
            </a:pPr>
            <a:r>
              <a:rPr lang="en-US" b="0" u="sng">
                <a:latin typeface="+mj-lt"/>
              </a:rPr>
              <a:t>Healthcare Preparedness</a:t>
            </a:r>
          </a:p>
        </c:rich>
      </c:tx>
      <c:layout>
        <c:manualLayout>
          <c:xMode val="edge"/>
          <c:yMode val="edge"/>
          <c:x val="0.30532356317913883"/>
          <c:y val="1.3244983721297133E-2"/>
        </c:manualLayout>
      </c:layout>
      <c:overlay val="0"/>
    </c:title>
    <c:autoTitleDeleted val="0"/>
    <c:plotArea>
      <c:layout/>
      <c:scatterChart>
        <c:scatterStyle val="lineMarker"/>
        <c:varyColors val="0"/>
        <c:ser>
          <c:idx val="0"/>
          <c:order val="0"/>
          <c:tx>
            <c:strRef>
              <c:f>'Conventional Explosive'!$C$919</c:f>
              <c:strCache>
                <c:ptCount val="1"/>
                <c:pt idx="0">
                  <c:v>Info Sharing</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'Conventional Explosive'!$J$920</c:f>
              <c:numCache>
                <c:formatCode>General</c:formatCode>
                <c:ptCount val="1"/>
                <c:pt idx="0">
                  <c:v>4</c:v>
                </c:pt>
              </c:numCache>
            </c:numRef>
          </c:xVal>
          <c:yVal>
            <c:numRef>
              <c:f>'Conventional Explosive'!$J$921</c:f>
              <c:numCache>
                <c:formatCode>General</c:formatCode>
                <c:ptCount val="1"/>
                <c:pt idx="0">
                  <c:v>0</c:v>
                </c:pt>
              </c:numCache>
            </c:numRef>
          </c:yVal>
          <c:smooth val="0"/>
          <c:extLst>
            <c:ext xmlns:c16="http://schemas.microsoft.com/office/drawing/2014/chart" uri="{C3380CC4-5D6E-409C-BE32-E72D297353CC}">
              <c16:uniqueId val="{00000000-2763-4CF4-BD64-EC65E98D3B0D}"/>
            </c:ext>
          </c:extLst>
        </c:ser>
        <c:ser>
          <c:idx val="4"/>
          <c:order val="1"/>
          <c:tx>
            <c:strRef>
              <c:f>'Conventional Explosive'!$C$923</c:f>
              <c:strCache>
                <c:ptCount val="1"/>
                <c:pt idx="0">
                  <c:v>Medical Surge</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'Conventional Explosive'!$J$924</c:f>
              <c:numCache>
                <c:formatCode>General</c:formatCode>
                <c:ptCount val="1"/>
                <c:pt idx="0">
                  <c:v>4</c:v>
                </c:pt>
              </c:numCache>
            </c:numRef>
          </c:xVal>
          <c:yVal>
            <c:numRef>
              <c:f>'Conventional Explosive'!$J$925</c:f>
              <c:numCache>
                <c:formatCode>General</c:formatCode>
                <c:ptCount val="1"/>
                <c:pt idx="0">
                  <c:v>0</c:v>
                </c:pt>
              </c:numCache>
            </c:numRef>
          </c:yVal>
          <c:smooth val="0"/>
          <c:extLst>
            <c:ext xmlns:c16="http://schemas.microsoft.com/office/drawing/2014/chart" uri="{C3380CC4-5D6E-409C-BE32-E72D297353CC}">
              <c16:uniqueId val="{00000001-2763-4CF4-BD64-EC65E98D3B0D}"/>
            </c:ext>
          </c:extLst>
        </c:ser>
        <c:ser>
          <c:idx val="8"/>
          <c:order val="2"/>
          <c:tx>
            <c:strRef>
              <c:f>'Conventional Explosive'!$C$927</c:f>
              <c:strCache>
                <c:ptCount val="1"/>
                <c:pt idx="0">
                  <c:v>Responder Safety</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'Conventional Explosive'!$J$928</c:f>
              <c:numCache>
                <c:formatCode>General</c:formatCode>
                <c:ptCount val="1"/>
                <c:pt idx="0">
                  <c:v>3</c:v>
                </c:pt>
              </c:numCache>
            </c:numRef>
          </c:xVal>
          <c:yVal>
            <c:numRef>
              <c:f>'Conventional Explosive'!$J$929</c:f>
              <c:numCache>
                <c:formatCode>General</c:formatCode>
                <c:ptCount val="1"/>
                <c:pt idx="0">
                  <c:v>0</c:v>
                </c:pt>
              </c:numCache>
            </c:numRef>
          </c:yVal>
          <c:smooth val="0"/>
          <c:extLst>
            <c:ext xmlns:c16="http://schemas.microsoft.com/office/drawing/2014/chart" uri="{C3380CC4-5D6E-409C-BE32-E72D297353CC}">
              <c16:uniqueId val="{00000002-2763-4CF4-BD64-EC65E98D3B0D}"/>
            </c:ext>
          </c:extLst>
        </c:ser>
        <c:ser>
          <c:idx val="9"/>
          <c:order val="3"/>
          <c:tx>
            <c:strRef>
              <c:f>'Conventional Explosive'!$C$931</c:f>
              <c:strCache>
                <c:ptCount val="1"/>
                <c:pt idx="0">
                  <c:v>Volunteer Mgmt</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'Conventional Explosive'!$J$932</c:f>
              <c:numCache>
                <c:formatCode>General</c:formatCode>
                <c:ptCount val="1"/>
                <c:pt idx="0">
                  <c:v>1</c:v>
                </c:pt>
              </c:numCache>
            </c:numRef>
          </c:xVal>
          <c:yVal>
            <c:numRef>
              <c:f>'Conventional Explosive'!$J$933</c:f>
              <c:numCache>
                <c:formatCode>General</c:formatCode>
                <c:ptCount val="1"/>
                <c:pt idx="0">
                  <c:v>0</c:v>
                </c:pt>
              </c:numCache>
            </c:numRef>
          </c:yVal>
          <c:smooth val="0"/>
          <c:extLst>
            <c:ext xmlns:c16="http://schemas.microsoft.com/office/drawing/2014/chart" uri="{C3380CC4-5D6E-409C-BE32-E72D297353CC}">
              <c16:uniqueId val="{00000003-2763-4CF4-BD64-EC65E98D3B0D}"/>
            </c:ext>
          </c:extLst>
        </c:ser>
        <c:ser>
          <c:idx val="10"/>
          <c:order val="4"/>
          <c:tx>
            <c:strRef>
              <c:f>'Conventional Explosive'!$C$903</c:f>
              <c:strCache>
                <c:ptCount val="1"/>
                <c:pt idx="0">
                  <c:v>HC System Prep</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'Conventional Explosive'!$J$904</c:f>
              <c:numCache>
                <c:formatCode>General</c:formatCode>
                <c:ptCount val="1"/>
                <c:pt idx="0">
                  <c:v>4</c:v>
                </c:pt>
              </c:numCache>
            </c:numRef>
          </c:xVal>
          <c:yVal>
            <c:numRef>
              <c:f>'Conventional Explosive'!$J$905</c:f>
              <c:numCache>
                <c:formatCode>General</c:formatCode>
                <c:ptCount val="1"/>
                <c:pt idx="0">
                  <c:v>0</c:v>
                </c:pt>
              </c:numCache>
            </c:numRef>
          </c:yVal>
          <c:smooth val="0"/>
          <c:extLst>
            <c:ext xmlns:c16="http://schemas.microsoft.com/office/drawing/2014/chart" uri="{C3380CC4-5D6E-409C-BE32-E72D297353CC}">
              <c16:uniqueId val="{00000004-2763-4CF4-BD64-EC65E98D3B0D}"/>
            </c:ext>
          </c:extLst>
        </c:ser>
        <c:ser>
          <c:idx val="11"/>
          <c:order val="5"/>
          <c:tx>
            <c:strRef>
              <c:f>'Conventional Explosive'!$C$907</c:f>
              <c:strCache>
                <c:ptCount val="1"/>
                <c:pt idx="0">
                  <c:v>HC System Recov</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'Conventional Explosive'!$J$908</c:f>
              <c:numCache>
                <c:formatCode>General</c:formatCode>
                <c:ptCount val="1"/>
                <c:pt idx="0">
                  <c:v>4</c:v>
                </c:pt>
              </c:numCache>
            </c:numRef>
          </c:xVal>
          <c:yVal>
            <c:numRef>
              <c:f>'Conventional Explosive'!$J$909</c:f>
              <c:numCache>
                <c:formatCode>General</c:formatCode>
                <c:ptCount val="1"/>
                <c:pt idx="0">
                  <c:v>0</c:v>
                </c:pt>
              </c:numCache>
            </c:numRef>
          </c:yVal>
          <c:smooth val="0"/>
          <c:extLst>
            <c:ext xmlns:c16="http://schemas.microsoft.com/office/drawing/2014/chart" uri="{C3380CC4-5D6E-409C-BE32-E72D297353CC}">
              <c16:uniqueId val="{00000005-2763-4CF4-BD64-EC65E98D3B0D}"/>
            </c:ext>
          </c:extLst>
        </c:ser>
        <c:ser>
          <c:idx val="12"/>
          <c:order val="6"/>
          <c:tx>
            <c:strRef>
              <c:f>'Conventional Explosive'!$C$911</c:f>
              <c:strCache>
                <c:ptCount val="1"/>
                <c:pt idx="0">
                  <c:v>Emerg Ops Coord</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'Conventional Explosive'!$J$912</c:f>
              <c:numCache>
                <c:formatCode>General</c:formatCode>
                <c:ptCount val="1"/>
                <c:pt idx="0">
                  <c:v>2</c:v>
                </c:pt>
              </c:numCache>
            </c:numRef>
          </c:xVal>
          <c:yVal>
            <c:numRef>
              <c:f>'Conventional Explosive'!$J$913</c:f>
              <c:numCache>
                <c:formatCode>General</c:formatCode>
                <c:ptCount val="1"/>
                <c:pt idx="0">
                  <c:v>0</c:v>
                </c:pt>
              </c:numCache>
            </c:numRef>
          </c:yVal>
          <c:smooth val="0"/>
          <c:extLst>
            <c:ext xmlns:c16="http://schemas.microsoft.com/office/drawing/2014/chart" uri="{C3380CC4-5D6E-409C-BE32-E72D297353CC}">
              <c16:uniqueId val="{00000006-2763-4CF4-BD64-EC65E98D3B0D}"/>
            </c:ext>
          </c:extLst>
        </c:ser>
        <c:ser>
          <c:idx val="14"/>
          <c:order val="7"/>
          <c:tx>
            <c:strRef>
              <c:f>'Conventional Explosive'!$C$964</c:f>
              <c:strCache>
                <c:ptCount val="1"/>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'Conventional Explosive'!$J$965</c:f>
            </c:numRef>
          </c:xVal>
          <c:yVal>
            <c:numRef>
              <c:f>'Conventional Explosive'!$J$966</c:f>
            </c:numRef>
          </c:yVal>
          <c:smooth val="0"/>
          <c:extLst>
            <c:ext xmlns:c16="http://schemas.microsoft.com/office/drawing/2014/chart" uri="{C3380CC4-5D6E-409C-BE32-E72D297353CC}">
              <c16:uniqueId val="{00000007-2763-4CF4-BD64-EC65E98D3B0D}"/>
            </c:ext>
          </c:extLst>
        </c:ser>
        <c:dLbls>
          <c:showLegendKey val="0"/>
          <c:showVal val="1"/>
          <c:showCatName val="0"/>
          <c:showSerName val="0"/>
          <c:showPercent val="0"/>
          <c:showBubbleSize val="0"/>
        </c:dLbls>
        <c:axId val="195605248"/>
        <c:axId val="195607168"/>
      </c:scatterChart>
      <c:valAx>
        <c:axId val="195605248"/>
        <c:scaling>
          <c:orientation val="minMax"/>
          <c:max val="4.5"/>
          <c:min val="0"/>
        </c:scaling>
        <c:delete val="0"/>
        <c:axPos val="b"/>
        <c:majorGridlines/>
        <c:title>
          <c:tx>
            <c:rich>
              <a:bodyPr/>
              <a:lstStyle/>
              <a:p>
                <a:pPr>
                  <a:defRPr b="0">
                    <a:latin typeface="+mj-lt"/>
                  </a:defRPr>
                </a:pPr>
                <a:r>
                  <a:rPr lang="en-US" sz="1600" b="0">
                    <a:latin typeface="+mj-lt"/>
                  </a:rPr>
                  <a:t>Capability Relevance to Hazard</a:t>
                </a:r>
              </a:p>
            </c:rich>
          </c:tx>
          <c:overlay val="0"/>
        </c:title>
        <c:numFmt formatCode="General" sourceLinked="1"/>
        <c:majorTickMark val="out"/>
        <c:minorTickMark val="none"/>
        <c:tickLblPos val="nextTo"/>
        <c:spPr>
          <a:ln>
            <a:solidFill>
              <a:schemeClr val="tx1"/>
            </a:solidFill>
          </a:ln>
        </c:spPr>
        <c:crossAx val="195607168"/>
        <c:crosses val="autoZero"/>
        <c:crossBetween val="midCat"/>
        <c:majorUnit val="1"/>
        <c:minorUnit val="0.1"/>
      </c:valAx>
      <c:valAx>
        <c:axId val="195607168"/>
        <c:scaling>
          <c:orientation val="minMax"/>
          <c:max val="4.5"/>
          <c:min val="0"/>
        </c:scaling>
        <c:delete val="0"/>
        <c:axPos val="l"/>
        <c:majorGridlines/>
        <c:title>
          <c:tx>
            <c:rich>
              <a:bodyPr rot="-5400000" vert="horz"/>
              <a:lstStyle/>
              <a:p>
                <a:pPr>
                  <a:defRPr sz="1600" b="0">
                    <a:latin typeface="+mj-lt"/>
                  </a:defRPr>
                </a:pPr>
                <a:r>
                  <a:rPr lang="en-US" sz="1600" b="0">
                    <a:latin typeface="+mj-lt"/>
                  </a:rPr>
                  <a:t>Capability Status</a:t>
                </a:r>
              </a:p>
            </c:rich>
          </c:tx>
          <c:overlay val="0"/>
        </c:title>
        <c:numFmt formatCode="General" sourceLinked="1"/>
        <c:majorTickMark val="out"/>
        <c:minorTickMark val="none"/>
        <c:tickLblPos val="nextTo"/>
        <c:spPr>
          <a:ln>
            <a:solidFill>
              <a:schemeClr val="tx1"/>
            </a:solidFill>
          </a:ln>
        </c:spPr>
        <c:crossAx val="195605248"/>
        <c:crosses val="autoZero"/>
        <c:crossBetween val="midCat"/>
        <c:majorUnit val="1"/>
        <c:minorUnit val="0.1"/>
      </c:valAx>
      <c:spPr>
        <a:gradFill flip="none" rotWithShape="1">
          <a:gsLst>
            <a:gs pos="0">
              <a:srgbClr val="63BE7B"/>
            </a:gs>
            <a:gs pos="50000">
              <a:srgbClr val="FFEB84"/>
            </a:gs>
            <a:gs pos="100000">
              <a:srgbClr val="F8696B"/>
            </a:gs>
          </a:gsLst>
          <a:lin ang="27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b="0" u="sng">
                <a:latin typeface="+mj-lt"/>
              </a:defRPr>
            </a:pPr>
            <a:r>
              <a:rPr lang="en-US" b="0" u="sng">
                <a:latin typeface="+mj-lt"/>
              </a:rPr>
              <a:t>Severity</a:t>
            </a:r>
          </a:p>
        </c:rich>
      </c:tx>
      <c:layout>
        <c:manualLayout>
          <c:xMode val="edge"/>
          <c:yMode val="edge"/>
          <c:x val="0.46889233641333816"/>
          <c:y val="1.3244983721297133E-2"/>
        </c:manualLayout>
      </c:layout>
      <c:overlay val="0"/>
    </c:title>
    <c:autoTitleDeleted val="0"/>
    <c:plotArea>
      <c:layout/>
      <c:barChart>
        <c:barDir val="col"/>
        <c:grouping val="clustered"/>
        <c:varyColors val="0"/>
        <c:ser>
          <c:idx val="0"/>
          <c:order val="0"/>
          <c:tx>
            <c:v>Severity</c:v>
          </c:tx>
          <c:spPr>
            <a:solidFill>
              <a:schemeClr val="accent4">
                <a:lumMod val="60000"/>
                <a:lumOff val="40000"/>
              </a:schemeClr>
            </a:solidFill>
            <a:ln>
              <a:solidFill>
                <a:schemeClr val="accent4"/>
              </a:solidFill>
            </a:ln>
            <a:scene3d>
              <a:camera prst="orthographicFront"/>
              <a:lightRig rig="threePt" dir="t"/>
            </a:scene3d>
            <a:sp3d prstMaterial="matte">
              <a:bevelT w="63500" h="50800"/>
            </a:sp3d>
          </c:spPr>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('Active Shooter'!$G$22,'Active Shooter'!$G$137,'Active Shooter'!$G$265,'Active Shooter'!$G$425,'Active Shooter'!$G$543)</c:f>
              <c:strCache>
                <c:ptCount val="5"/>
                <c:pt idx="0">
                  <c:v>Human Impact</c:v>
                </c:pt>
                <c:pt idx="1">
                  <c:v>Healthcare Service Impact</c:v>
                </c:pt>
                <c:pt idx="2">
                  <c:v>Inpatient Healthcare Facility Infrastructure Impact</c:v>
                </c:pt>
                <c:pt idx="3">
                  <c:v>Community Impact</c:v>
                </c:pt>
                <c:pt idx="4">
                  <c:v>Public Health Service Impact</c:v>
                </c:pt>
              </c:strCache>
            </c:strRef>
          </c:cat>
          <c:val>
            <c:numRef>
              <c:f>('Cyber Terrorism'!$J$133,'Cyber Terrorism'!$J$261,'Cyber Terrorism'!$J$421,'Cyber Terrorism'!$J$539,'Cyber Terrorism'!$J$681)</c:f>
              <c:numCache>
                <c:formatCode>0.00</c:formatCode>
                <c:ptCount val="5"/>
                <c:pt idx="0">
                  <c:v>0</c:v>
                </c:pt>
                <c:pt idx="1">
                  <c:v>0</c:v>
                </c:pt>
                <c:pt idx="2">
                  <c:v>1.75</c:v>
                </c:pt>
                <c:pt idx="3">
                  <c:v>0</c:v>
                </c:pt>
                <c:pt idx="4">
                  <c:v>0</c:v>
                </c:pt>
              </c:numCache>
            </c:numRef>
          </c:val>
          <c:extLst>
            <c:ext xmlns:c16="http://schemas.microsoft.com/office/drawing/2014/chart" uri="{C3380CC4-5D6E-409C-BE32-E72D297353CC}">
              <c16:uniqueId val="{00000000-E027-430D-9C83-E8D50711F5E3}"/>
            </c:ext>
          </c:extLst>
        </c:ser>
        <c:dLbls>
          <c:showLegendKey val="0"/>
          <c:showVal val="1"/>
          <c:showCatName val="0"/>
          <c:showSerName val="0"/>
          <c:showPercent val="0"/>
          <c:showBubbleSize val="0"/>
        </c:dLbls>
        <c:gapWidth val="150"/>
        <c:axId val="195635072"/>
        <c:axId val="195694592"/>
      </c:barChart>
      <c:catAx>
        <c:axId val="195635072"/>
        <c:scaling>
          <c:orientation val="minMax"/>
        </c:scaling>
        <c:delete val="0"/>
        <c:axPos val="b"/>
        <c:title>
          <c:tx>
            <c:rich>
              <a:bodyPr/>
              <a:lstStyle/>
              <a:p>
                <a:pPr>
                  <a:defRPr sz="1600" b="0">
                    <a:latin typeface="+mj-lt"/>
                  </a:defRPr>
                </a:pPr>
                <a:r>
                  <a:rPr lang="en-US" sz="1600" b="0">
                    <a:latin typeface="+mj-lt"/>
                  </a:rPr>
                  <a:t>Domain</a:t>
                </a:r>
              </a:p>
            </c:rich>
          </c:tx>
          <c:overlay val="0"/>
        </c:title>
        <c:numFmt formatCode="General" sourceLinked="1"/>
        <c:majorTickMark val="out"/>
        <c:minorTickMark val="none"/>
        <c:tickLblPos val="nextTo"/>
        <c:crossAx val="195694592"/>
        <c:crosses val="autoZero"/>
        <c:auto val="1"/>
        <c:lblAlgn val="ctr"/>
        <c:lblOffset val="100"/>
        <c:noMultiLvlLbl val="0"/>
      </c:catAx>
      <c:valAx>
        <c:axId val="195694592"/>
        <c:scaling>
          <c:orientation val="minMax"/>
          <c:max val="4"/>
        </c:scaling>
        <c:delete val="0"/>
        <c:axPos val="l"/>
        <c:majorGridlines/>
        <c:title>
          <c:tx>
            <c:rich>
              <a:bodyPr rot="-5400000" vert="horz"/>
              <a:lstStyle/>
              <a:p>
                <a:pPr>
                  <a:defRPr sz="1600" b="0">
                    <a:latin typeface="+mj-lt"/>
                  </a:defRPr>
                </a:pPr>
                <a:r>
                  <a:rPr lang="en-US" sz="1600" b="0">
                    <a:latin typeface="+mj-lt"/>
                  </a:rPr>
                  <a:t>Severity</a:t>
                </a:r>
                <a:r>
                  <a:rPr lang="en-US" sz="1600" b="0" baseline="0">
                    <a:latin typeface="+mj-lt"/>
                  </a:rPr>
                  <a:t> Score</a:t>
                </a:r>
                <a:endParaRPr lang="en-US" sz="1600" b="0">
                  <a:latin typeface="+mj-lt"/>
                </a:endParaRPr>
              </a:p>
            </c:rich>
          </c:tx>
          <c:overlay val="0"/>
        </c:title>
        <c:numFmt formatCode="0.00" sourceLinked="1"/>
        <c:majorTickMark val="out"/>
        <c:minorTickMark val="none"/>
        <c:tickLblPos val="nextTo"/>
        <c:crossAx val="195635072"/>
        <c:crosses val="autoZero"/>
        <c:crossBetween val="between"/>
      </c:valAx>
      <c:spPr>
        <a:gradFill flip="none" rotWithShape="1">
          <a:gsLst>
            <a:gs pos="0">
              <a:srgbClr val="63BE7B"/>
            </a:gs>
            <a:gs pos="50000">
              <a:srgbClr val="FFEB84"/>
            </a:gs>
            <a:gs pos="100000">
              <a:srgbClr val="F8696B"/>
            </a:gs>
          </a:gsLst>
          <a:lin ang="162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b="0" u="sng">
                <a:latin typeface="+mj-lt"/>
              </a:defRPr>
            </a:pPr>
            <a:r>
              <a:rPr lang="en-US" b="0" u="sng">
                <a:latin typeface="+mj-lt"/>
              </a:rPr>
              <a:t>At-Risk Populations</a:t>
            </a:r>
          </a:p>
        </c:rich>
      </c:tx>
      <c:layout>
        <c:manualLayout>
          <c:xMode val="edge"/>
          <c:yMode val="edge"/>
          <c:x val="0.37636858589702443"/>
          <c:y val="1.3244983721297133E-2"/>
        </c:manualLayout>
      </c:layout>
      <c:overlay val="0"/>
    </c:title>
    <c:autoTitleDeleted val="0"/>
    <c:plotArea>
      <c:layout/>
      <c:scatterChart>
        <c:scatterStyle val="lineMarker"/>
        <c:varyColors val="0"/>
        <c:ser>
          <c:idx val="0"/>
          <c:order val="0"/>
          <c:tx>
            <c:strRef>
              <c:f>'Cyber Terrorism'!$C$793</c:f>
              <c:strCache>
                <c:ptCount val="1"/>
                <c:pt idx="0">
                  <c:v>Poverty</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'Cyber Terrorism'!$J$795</c:f>
              <c:numCache>
                <c:formatCode>General</c:formatCode>
                <c:ptCount val="1"/>
                <c:pt idx="0">
                  <c:v>1</c:v>
                </c:pt>
              </c:numCache>
            </c:numRef>
          </c:xVal>
          <c:yVal>
            <c:numRef>
              <c:f>'Cyber Terrorism'!$J$794</c:f>
              <c:numCache>
                <c:formatCode>General</c:formatCode>
                <c:ptCount val="1"/>
                <c:pt idx="0">
                  <c:v>0</c:v>
                </c:pt>
              </c:numCache>
            </c:numRef>
          </c:yVal>
          <c:smooth val="0"/>
          <c:extLst>
            <c:ext xmlns:c16="http://schemas.microsoft.com/office/drawing/2014/chart" uri="{C3380CC4-5D6E-409C-BE32-E72D297353CC}">
              <c16:uniqueId val="{00000000-43F1-486D-BEE2-36E6D1EEF366}"/>
            </c:ext>
          </c:extLst>
        </c:ser>
        <c:ser>
          <c:idx val="1"/>
          <c:order val="1"/>
          <c:tx>
            <c:strRef>
              <c:f>'Cyber Terrorism'!$C$797</c:f>
              <c:strCache>
                <c:ptCount val="1"/>
                <c:pt idx="0">
                  <c:v>Chronic Diseases (Diabetes)</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'Cyber Terrorism'!$J$799</c:f>
              <c:numCache>
                <c:formatCode>General</c:formatCode>
                <c:ptCount val="1"/>
                <c:pt idx="0">
                  <c:v>0</c:v>
                </c:pt>
              </c:numCache>
            </c:numRef>
          </c:xVal>
          <c:yVal>
            <c:numRef>
              <c:f>'Cyber Terrorism'!$J$798</c:f>
              <c:numCache>
                <c:formatCode>General</c:formatCode>
                <c:ptCount val="1"/>
                <c:pt idx="0">
                  <c:v>0</c:v>
                </c:pt>
              </c:numCache>
            </c:numRef>
          </c:yVal>
          <c:smooth val="0"/>
          <c:extLst>
            <c:ext xmlns:c16="http://schemas.microsoft.com/office/drawing/2014/chart" uri="{C3380CC4-5D6E-409C-BE32-E72D297353CC}">
              <c16:uniqueId val="{00000001-43F1-486D-BEE2-36E6D1EEF366}"/>
            </c:ext>
          </c:extLst>
        </c:ser>
        <c:ser>
          <c:idx val="2"/>
          <c:order val="2"/>
          <c:tx>
            <c:strRef>
              <c:f>'Cyber Terrorism'!$C$801</c:f>
              <c:strCache>
                <c:ptCount val="1"/>
                <c:pt idx="0">
                  <c:v>Children 18 and under</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'Cyber Terrorism'!$J$803</c:f>
              <c:numCache>
                <c:formatCode>General</c:formatCode>
                <c:ptCount val="1"/>
                <c:pt idx="0">
                  <c:v>1</c:v>
                </c:pt>
              </c:numCache>
            </c:numRef>
          </c:xVal>
          <c:yVal>
            <c:numRef>
              <c:f>'Cyber Terrorism'!$J$802</c:f>
              <c:numCache>
                <c:formatCode>General</c:formatCode>
                <c:ptCount val="1"/>
                <c:pt idx="0">
                  <c:v>0</c:v>
                </c:pt>
              </c:numCache>
            </c:numRef>
          </c:yVal>
          <c:smooth val="0"/>
          <c:extLst>
            <c:ext xmlns:c16="http://schemas.microsoft.com/office/drawing/2014/chart" uri="{C3380CC4-5D6E-409C-BE32-E72D297353CC}">
              <c16:uniqueId val="{00000002-43F1-486D-BEE2-36E6D1EEF366}"/>
            </c:ext>
          </c:extLst>
        </c:ser>
        <c:ser>
          <c:idx val="3"/>
          <c:order val="3"/>
          <c:tx>
            <c:strRef>
              <c:f>'Cyber Terrorism'!$C$805</c:f>
              <c:strCache>
                <c:ptCount val="1"/>
                <c:pt idx="0">
                  <c:v>Elderly 65 and older</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'Cyber Terrorism'!$J$807</c:f>
              <c:numCache>
                <c:formatCode>General</c:formatCode>
                <c:ptCount val="1"/>
                <c:pt idx="0">
                  <c:v>0</c:v>
                </c:pt>
              </c:numCache>
            </c:numRef>
          </c:xVal>
          <c:yVal>
            <c:numRef>
              <c:f>'Cyber Terrorism'!$J$806</c:f>
              <c:numCache>
                <c:formatCode>General</c:formatCode>
                <c:ptCount val="1"/>
                <c:pt idx="0">
                  <c:v>0</c:v>
                </c:pt>
              </c:numCache>
            </c:numRef>
          </c:yVal>
          <c:smooth val="0"/>
          <c:extLst>
            <c:ext xmlns:c16="http://schemas.microsoft.com/office/drawing/2014/chart" uri="{C3380CC4-5D6E-409C-BE32-E72D297353CC}">
              <c16:uniqueId val="{00000003-43F1-486D-BEE2-36E6D1EEF366}"/>
            </c:ext>
          </c:extLst>
        </c:ser>
        <c:ser>
          <c:idx val="4"/>
          <c:order val="4"/>
          <c:tx>
            <c:strRef>
              <c:f>'Cyber Terrorism'!$C$773</c:f>
              <c:strCache>
                <c:ptCount val="1"/>
                <c:pt idx="0">
                  <c:v>Hearing Disability</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'Cyber Terrorism'!$J$775</c:f>
              <c:numCache>
                <c:formatCode>General</c:formatCode>
                <c:ptCount val="1"/>
                <c:pt idx="0">
                  <c:v>1</c:v>
                </c:pt>
              </c:numCache>
            </c:numRef>
          </c:xVal>
          <c:yVal>
            <c:numRef>
              <c:f>'Cyber Terrorism'!$J$774</c:f>
              <c:numCache>
                <c:formatCode>General</c:formatCode>
                <c:ptCount val="1"/>
                <c:pt idx="0">
                  <c:v>0</c:v>
                </c:pt>
              </c:numCache>
            </c:numRef>
          </c:yVal>
          <c:smooth val="0"/>
          <c:extLst>
            <c:ext xmlns:c16="http://schemas.microsoft.com/office/drawing/2014/chart" uri="{C3380CC4-5D6E-409C-BE32-E72D297353CC}">
              <c16:uniqueId val="{00000004-43F1-486D-BEE2-36E6D1EEF366}"/>
            </c:ext>
          </c:extLst>
        </c:ser>
        <c:ser>
          <c:idx val="5"/>
          <c:order val="5"/>
          <c:tx>
            <c:strRef>
              <c:f>'Cyber Terrorism'!$C$777</c:f>
              <c:strCache>
                <c:ptCount val="1"/>
                <c:pt idx="0">
                  <c:v>Vision Disability</c:v>
                </c:pt>
              </c:strCache>
            </c:strRef>
          </c:tx>
          <c:spPr>
            <a:ln w="66675">
              <a:noFill/>
            </a:ln>
          </c:spPr>
          <c:dLbls>
            <c:spPr>
              <a:noFill/>
              <a:ln>
                <a:noFill/>
              </a:ln>
              <a:effectLst/>
            </c:sp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'Cyber Terrorism'!$J$779</c:f>
              <c:numCache>
                <c:formatCode>General</c:formatCode>
                <c:ptCount val="1"/>
                <c:pt idx="0">
                  <c:v>1</c:v>
                </c:pt>
              </c:numCache>
            </c:numRef>
          </c:xVal>
          <c:yVal>
            <c:numRef>
              <c:f>'Cyber Terrorism'!$J$778</c:f>
              <c:numCache>
                <c:formatCode>General</c:formatCode>
                <c:ptCount val="1"/>
                <c:pt idx="0">
                  <c:v>0</c:v>
                </c:pt>
              </c:numCache>
            </c:numRef>
          </c:yVal>
          <c:smooth val="0"/>
          <c:extLst>
            <c:ext xmlns:c16="http://schemas.microsoft.com/office/drawing/2014/chart" uri="{C3380CC4-5D6E-409C-BE32-E72D297353CC}">
              <c16:uniqueId val="{00000005-43F1-486D-BEE2-36E6D1EEF366}"/>
            </c:ext>
          </c:extLst>
        </c:ser>
        <c:ser>
          <c:idx val="6"/>
          <c:order val="6"/>
          <c:tx>
            <c:strRef>
              <c:f>'Cyber Terrorism'!$C$781</c:f>
              <c:strCache>
                <c:ptCount val="1"/>
                <c:pt idx="0">
                  <c:v>Ambulatory Disability</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'Cyber Terrorism'!$J$783</c:f>
              <c:numCache>
                <c:formatCode>General</c:formatCode>
                <c:ptCount val="1"/>
                <c:pt idx="0">
                  <c:v>0</c:v>
                </c:pt>
              </c:numCache>
            </c:numRef>
          </c:xVal>
          <c:yVal>
            <c:numRef>
              <c:f>'Cyber Terrorism'!$J$782</c:f>
              <c:numCache>
                <c:formatCode>General</c:formatCode>
                <c:ptCount val="1"/>
                <c:pt idx="0">
                  <c:v>0</c:v>
                </c:pt>
              </c:numCache>
            </c:numRef>
          </c:yVal>
          <c:smooth val="0"/>
          <c:extLst>
            <c:ext xmlns:c16="http://schemas.microsoft.com/office/drawing/2014/chart" uri="{C3380CC4-5D6E-409C-BE32-E72D297353CC}">
              <c16:uniqueId val="{00000006-43F1-486D-BEE2-36E6D1EEF366}"/>
            </c:ext>
          </c:extLst>
        </c:ser>
        <c:ser>
          <c:idx val="7"/>
          <c:order val="7"/>
          <c:tx>
            <c:strRef>
              <c:f>'Cyber Terrorism'!$C$785</c:f>
              <c:strCache>
                <c:ptCount val="1"/>
                <c:pt idx="0">
                  <c:v>Cognitive Disability</c:v>
                </c:pt>
              </c:strCache>
            </c:strRef>
          </c:tx>
          <c:spPr>
            <a:ln w="66675">
              <a:noFill/>
            </a:ln>
          </c:spPr>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43F1-486D-BEE2-36E6D1EEF36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'Cyber Terrorism'!$J$787</c:f>
              <c:numCache>
                <c:formatCode>General</c:formatCode>
                <c:ptCount val="1"/>
                <c:pt idx="0">
                  <c:v>1</c:v>
                </c:pt>
              </c:numCache>
            </c:numRef>
          </c:xVal>
          <c:yVal>
            <c:numRef>
              <c:f>'Cyber Terrorism'!$J$786</c:f>
              <c:numCache>
                <c:formatCode>General</c:formatCode>
                <c:ptCount val="1"/>
                <c:pt idx="0">
                  <c:v>0</c:v>
                </c:pt>
              </c:numCache>
            </c:numRef>
          </c:yVal>
          <c:smooth val="0"/>
          <c:extLst>
            <c:ext xmlns:c16="http://schemas.microsoft.com/office/drawing/2014/chart" uri="{C3380CC4-5D6E-409C-BE32-E72D297353CC}">
              <c16:uniqueId val="{00000008-43F1-486D-BEE2-36E6D1EEF366}"/>
            </c:ext>
          </c:extLst>
        </c:ser>
        <c:ser>
          <c:idx val="8"/>
          <c:order val="8"/>
          <c:tx>
            <c:strRef>
              <c:f>'Cyber Terrorism'!$C$789</c:f>
              <c:strCache>
                <c:ptCount val="1"/>
                <c:pt idx="0">
                  <c:v>Limited English Proficiency</c:v>
                </c:pt>
              </c:strCache>
            </c:strRef>
          </c:tx>
          <c:spPr>
            <a:ln w="66675">
              <a:noFill/>
            </a:ln>
          </c:spPr>
          <c:dLbls>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'Cyber Terrorism'!$J$791</c:f>
              <c:numCache>
                <c:formatCode>General</c:formatCode>
                <c:ptCount val="1"/>
                <c:pt idx="0">
                  <c:v>1</c:v>
                </c:pt>
              </c:numCache>
            </c:numRef>
          </c:xVal>
          <c:yVal>
            <c:numRef>
              <c:f>'Cyber Terrorism'!$J$790</c:f>
              <c:numCache>
                <c:formatCode>General</c:formatCode>
                <c:ptCount val="1"/>
                <c:pt idx="0">
                  <c:v>0</c:v>
                </c:pt>
              </c:numCache>
            </c:numRef>
          </c:yVal>
          <c:smooth val="0"/>
          <c:extLst>
            <c:ext xmlns:c16="http://schemas.microsoft.com/office/drawing/2014/chart" uri="{C3380CC4-5D6E-409C-BE32-E72D297353CC}">
              <c16:uniqueId val="{00000009-43F1-486D-BEE2-36E6D1EEF366}"/>
            </c:ext>
          </c:extLst>
        </c:ser>
        <c:dLbls>
          <c:showLegendKey val="0"/>
          <c:showVal val="1"/>
          <c:showCatName val="0"/>
          <c:showSerName val="0"/>
          <c:showPercent val="0"/>
          <c:showBubbleSize val="0"/>
        </c:dLbls>
        <c:axId val="195773952"/>
        <c:axId val="195775872"/>
      </c:scatterChart>
      <c:valAx>
        <c:axId val="195773952"/>
        <c:scaling>
          <c:orientation val="minMax"/>
          <c:max val="4.5"/>
          <c:min val="0"/>
        </c:scaling>
        <c:delete val="0"/>
        <c:axPos val="b"/>
        <c:majorGridlines/>
        <c:title>
          <c:tx>
            <c:rich>
              <a:bodyPr/>
              <a:lstStyle/>
              <a:p>
                <a:pPr>
                  <a:defRPr b="0">
                    <a:latin typeface="+mj-lt"/>
                  </a:defRPr>
                </a:pPr>
                <a:r>
                  <a:rPr lang="en-US" sz="1600" b="0">
                    <a:latin typeface="+mj-lt"/>
                  </a:rPr>
                  <a:t>Access Planning Score</a:t>
                </a:r>
              </a:p>
            </c:rich>
          </c:tx>
          <c:overlay val="0"/>
        </c:title>
        <c:numFmt formatCode="General" sourceLinked="1"/>
        <c:majorTickMark val="out"/>
        <c:minorTickMark val="none"/>
        <c:tickLblPos val="nextTo"/>
        <c:spPr>
          <a:ln>
            <a:solidFill>
              <a:schemeClr val="tx1"/>
            </a:solidFill>
          </a:ln>
        </c:spPr>
        <c:crossAx val="195775872"/>
        <c:crosses val="autoZero"/>
        <c:crossBetween val="midCat"/>
        <c:majorUnit val="1"/>
        <c:minorUnit val="0.1"/>
      </c:valAx>
      <c:valAx>
        <c:axId val="195775872"/>
        <c:scaling>
          <c:orientation val="minMax"/>
          <c:max val="4.5"/>
          <c:min val="0"/>
        </c:scaling>
        <c:delete val="0"/>
        <c:axPos val="l"/>
        <c:majorGridlines/>
        <c:title>
          <c:tx>
            <c:rich>
              <a:bodyPr rot="-5400000" vert="horz"/>
              <a:lstStyle/>
              <a:p>
                <a:pPr>
                  <a:defRPr sz="1600" b="0">
                    <a:latin typeface="+mj-lt"/>
                  </a:defRPr>
                </a:pPr>
                <a:r>
                  <a:rPr lang="en-US" sz="1600" b="0">
                    <a:latin typeface="+mj-lt"/>
                  </a:rPr>
                  <a:t>Population Size Score</a:t>
                </a:r>
              </a:p>
            </c:rich>
          </c:tx>
          <c:overlay val="0"/>
        </c:title>
        <c:numFmt formatCode="General" sourceLinked="1"/>
        <c:majorTickMark val="out"/>
        <c:minorTickMark val="none"/>
        <c:tickLblPos val="nextTo"/>
        <c:spPr>
          <a:ln>
            <a:solidFill>
              <a:schemeClr val="tx1"/>
            </a:solidFill>
          </a:ln>
        </c:spPr>
        <c:crossAx val="195773952"/>
        <c:crosses val="autoZero"/>
        <c:crossBetween val="midCat"/>
        <c:majorUnit val="1"/>
        <c:minorUnit val="0.1"/>
      </c:valAx>
      <c:spPr>
        <a:gradFill flip="none" rotWithShape="1">
          <a:gsLst>
            <a:gs pos="0">
              <a:srgbClr val="63BE7B"/>
            </a:gs>
            <a:gs pos="50000">
              <a:srgbClr val="FFEB84"/>
            </a:gs>
            <a:gs pos="100000">
              <a:srgbClr val="F8696B"/>
            </a:gs>
          </a:gsLst>
          <a:lin ang="189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defRPr b="0" u="sng">
                <a:latin typeface="+mj-lt"/>
              </a:defRPr>
            </a:pPr>
            <a:r>
              <a:rPr lang="en-US" b="0" u="sng">
                <a:latin typeface="+mj-lt"/>
              </a:rPr>
              <a:t>Public Health Preparedness</a:t>
            </a:r>
          </a:p>
        </c:rich>
      </c:tx>
      <c:layout>
        <c:manualLayout>
          <c:xMode val="edge"/>
          <c:yMode val="edge"/>
          <c:x val="0.30532356317913883"/>
          <c:y val="1.3244983721297133E-2"/>
        </c:manualLayout>
      </c:layout>
      <c:overlay val="0"/>
    </c:title>
    <c:autoTitleDeleted val="0"/>
    <c:plotArea>
      <c:layout/>
      <c:scatterChart>
        <c:scatterStyle val="lineMarker"/>
        <c:varyColors val="0"/>
        <c:ser>
          <c:idx val="0"/>
          <c:order val="0"/>
          <c:tx>
            <c:strRef>
              <c:f>'Cyber Terrorism'!$C$853</c:f>
              <c:strCache>
                <c:ptCount val="1"/>
                <c:pt idx="0">
                  <c:v>Info Sharing</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'Cyber Terrorism'!$J$854</c:f>
              <c:numCache>
                <c:formatCode>General</c:formatCode>
                <c:ptCount val="1"/>
                <c:pt idx="0">
                  <c:v>4</c:v>
                </c:pt>
              </c:numCache>
            </c:numRef>
          </c:xVal>
          <c:yVal>
            <c:numRef>
              <c:f>'Cyber Terrorism'!$J$855</c:f>
              <c:numCache>
                <c:formatCode>General</c:formatCode>
                <c:ptCount val="1"/>
                <c:pt idx="0">
                  <c:v>0</c:v>
                </c:pt>
              </c:numCache>
            </c:numRef>
          </c:yVal>
          <c:smooth val="0"/>
          <c:extLst>
            <c:ext xmlns:c16="http://schemas.microsoft.com/office/drawing/2014/chart" uri="{C3380CC4-5D6E-409C-BE32-E72D297353CC}">
              <c16:uniqueId val="{00000000-380B-445B-9869-534AEBADB4F7}"/>
            </c:ext>
          </c:extLst>
        </c:ser>
        <c:ser>
          <c:idx val="1"/>
          <c:order val="1"/>
          <c:tx>
            <c:strRef>
              <c:f>'Cyber Terrorism'!$C$857</c:f>
              <c:strCache>
                <c:ptCount val="1"/>
                <c:pt idx="0">
                  <c:v>Mass Care</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'Cyber Terrorism'!$J$858</c:f>
              <c:numCache>
                <c:formatCode>General</c:formatCode>
                <c:ptCount val="1"/>
                <c:pt idx="0">
                  <c:v>0</c:v>
                </c:pt>
              </c:numCache>
            </c:numRef>
          </c:xVal>
          <c:yVal>
            <c:numRef>
              <c:f>'Cyber Terrorism'!$J$859</c:f>
              <c:numCache>
                <c:formatCode>General</c:formatCode>
                <c:ptCount val="1"/>
                <c:pt idx="0">
                  <c:v>0</c:v>
                </c:pt>
              </c:numCache>
            </c:numRef>
          </c:yVal>
          <c:smooth val="0"/>
          <c:extLst>
            <c:ext xmlns:c16="http://schemas.microsoft.com/office/drawing/2014/chart" uri="{C3380CC4-5D6E-409C-BE32-E72D297353CC}">
              <c16:uniqueId val="{00000001-380B-445B-9869-534AEBADB4F7}"/>
            </c:ext>
          </c:extLst>
        </c:ser>
        <c:ser>
          <c:idx val="2"/>
          <c:order val="2"/>
          <c:tx>
            <c:strRef>
              <c:f>'Cyber Terrorism'!$C$861</c:f>
              <c:strCache>
                <c:ptCount val="1"/>
                <c:pt idx="0">
                  <c:v>MCM Dispens</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'Cyber Terrorism'!$J$862</c:f>
              <c:numCache>
                <c:formatCode>General</c:formatCode>
                <c:ptCount val="1"/>
                <c:pt idx="0">
                  <c:v>0</c:v>
                </c:pt>
              </c:numCache>
            </c:numRef>
          </c:xVal>
          <c:yVal>
            <c:numRef>
              <c:f>'Cyber Terrorism'!$J$863</c:f>
              <c:numCache>
                <c:formatCode>General</c:formatCode>
                <c:ptCount val="1"/>
                <c:pt idx="0">
                  <c:v>0</c:v>
                </c:pt>
              </c:numCache>
            </c:numRef>
          </c:yVal>
          <c:smooth val="0"/>
          <c:extLst>
            <c:ext xmlns:c16="http://schemas.microsoft.com/office/drawing/2014/chart" uri="{C3380CC4-5D6E-409C-BE32-E72D297353CC}">
              <c16:uniqueId val="{00000002-380B-445B-9869-534AEBADB4F7}"/>
            </c:ext>
          </c:extLst>
        </c:ser>
        <c:ser>
          <c:idx val="3"/>
          <c:order val="3"/>
          <c:tx>
            <c:strRef>
              <c:f>'Cyber Terrorism'!$C$865</c:f>
              <c:strCache>
                <c:ptCount val="1"/>
                <c:pt idx="0">
                  <c:v>Med Materiel Mgmt</c:v>
                </c:pt>
              </c:strCache>
            </c:strRef>
          </c:tx>
          <c:spPr>
            <a:ln w="66675">
              <a:noFill/>
            </a:ln>
          </c:spPr>
          <c:dLbls>
            <c:dLbl>
              <c:idx val="0"/>
              <c:layout>
                <c:manualLayout>
                  <c:x val="-1.5251807320996049E-17"/>
                  <c:y val="1.214329083181542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380B-445B-9869-534AEBADB4F7}"/>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'Cyber Terrorism'!$J$866</c:f>
              <c:numCache>
                <c:formatCode>General</c:formatCode>
                <c:ptCount val="1"/>
                <c:pt idx="0">
                  <c:v>0</c:v>
                </c:pt>
              </c:numCache>
            </c:numRef>
          </c:xVal>
          <c:yVal>
            <c:numRef>
              <c:f>'Cyber Terrorism'!$J$867</c:f>
              <c:numCache>
                <c:formatCode>General</c:formatCode>
                <c:ptCount val="1"/>
                <c:pt idx="0">
                  <c:v>0</c:v>
                </c:pt>
              </c:numCache>
            </c:numRef>
          </c:yVal>
          <c:smooth val="0"/>
          <c:extLst>
            <c:ext xmlns:c16="http://schemas.microsoft.com/office/drawing/2014/chart" uri="{C3380CC4-5D6E-409C-BE32-E72D297353CC}">
              <c16:uniqueId val="{00000004-380B-445B-9869-534AEBADB4F7}"/>
            </c:ext>
          </c:extLst>
        </c:ser>
        <c:ser>
          <c:idx val="4"/>
          <c:order val="4"/>
          <c:tx>
            <c:strRef>
              <c:f>'Cyber Terrorism'!$C$869</c:f>
              <c:strCache>
                <c:ptCount val="1"/>
                <c:pt idx="0">
                  <c:v>Medical Surge</c:v>
                </c:pt>
              </c:strCache>
            </c:strRef>
          </c:tx>
          <c:spPr>
            <a:ln w="66675">
              <a:noFill/>
            </a:ln>
          </c:spPr>
          <c:dLbls>
            <c:dLbl>
              <c:idx val="0"/>
              <c:layout>
                <c:manualLayout>
                  <c:x val="-3.3278365053747076E-3"/>
                  <c:y val="1.942926533090468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380B-445B-9869-534AEBADB4F7}"/>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'Cyber Terrorism'!$J$870</c:f>
              <c:numCache>
                <c:formatCode>General</c:formatCode>
                <c:ptCount val="1"/>
                <c:pt idx="0">
                  <c:v>0</c:v>
                </c:pt>
              </c:numCache>
            </c:numRef>
          </c:xVal>
          <c:yVal>
            <c:numRef>
              <c:f>'Cyber Terrorism'!$J$871</c:f>
              <c:numCache>
                <c:formatCode>General</c:formatCode>
                <c:ptCount val="1"/>
                <c:pt idx="0">
                  <c:v>0</c:v>
                </c:pt>
              </c:numCache>
            </c:numRef>
          </c:yVal>
          <c:smooth val="0"/>
          <c:extLst>
            <c:ext xmlns:c16="http://schemas.microsoft.com/office/drawing/2014/chart" uri="{C3380CC4-5D6E-409C-BE32-E72D297353CC}">
              <c16:uniqueId val="{00000006-380B-445B-9869-534AEBADB4F7}"/>
            </c:ext>
          </c:extLst>
        </c:ser>
        <c:ser>
          <c:idx val="5"/>
          <c:order val="5"/>
          <c:tx>
            <c:strRef>
              <c:f>'Cyber Terrorism'!$C$873</c:f>
              <c:strCache>
                <c:ptCount val="1"/>
                <c:pt idx="0">
                  <c:v>Non-Pharm Interv</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'Cyber Terrorism'!$J$874</c:f>
              <c:numCache>
                <c:formatCode>General</c:formatCode>
                <c:ptCount val="1"/>
                <c:pt idx="0">
                  <c:v>0</c:v>
                </c:pt>
              </c:numCache>
            </c:numRef>
          </c:xVal>
          <c:yVal>
            <c:numRef>
              <c:f>'Cyber Terrorism'!$J$875</c:f>
              <c:numCache>
                <c:formatCode>General</c:formatCode>
                <c:ptCount val="1"/>
                <c:pt idx="0">
                  <c:v>0</c:v>
                </c:pt>
              </c:numCache>
            </c:numRef>
          </c:yVal>
          <c:smooth val="0"/>
          <c:extLst>
            <c:ext xmlns:c16="http://schemas.microsoft.com/office/drawing/2014/chart" uri="{C3380CC4-5D6E-409C-BE32-E72D297353CC}">
              <c16:uniqueId val="{00000007-380B-445B-9869-534AEBADB4F7}"/>
            </c:ext>
          </c:extLst>
        </c:ser>
        <c:ser>
          <c:idx val="6"/>
          <c:order val="6"/>
          <c:tx>
            <c:strRef>
              <c:f>'Cyber Terrorism'!$C$877</c:f>
              <c:strCache>
                <c:ptCount val="1"/>
                <c:pt idx="0">
                  <c:v>PH Lab Testing</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'Cyber Terrorism'!$J$878</c:f>
              <c:numCache>
                <c:formatCode>General</c:formatCode>
                <c:ptCount val="1"/>
                <c:pt idx="0">
                  <c:v>0</c:v>
                </c:pt>
              </c:numCache>
            </c:numRef>
          </c:xVal>
          <c:yVal>
            <c:numRef>
              <c:f>'Cyber Terrorism'!$J$879</c:f>
              <c:numCache>
                <c:formatCode>General</c:formatCode>
                <c:ptCount val="1"/>
                <c:pt idx="0">
                  <c:v>0</c:v>
                </c:pt>
              </c:numCache>
            </c:numRef>
          </c:yVal>
          <c:smooth val="0"/>
          <c:extLst>
            <c:ext xmlns:c16="http://schemas.microsoft.com/office/drawing/2014/chart" uri="{C3380CC4-5D6E-409C-BE32-E72D297353CC}">
              <c16:uniqueId val="{00000008-380B-445B-9869-534AEBADB4F7}"/>
            </c:ext>
          </c:extLst>
        </c:ser>
        <c:ser>
          <c:idx val="7"/>
          <c:order val="7"/>
          <c:tx>
            <c:strRef>
              <c:f>'Cyber Terrorism'!$C$881</c:f>
              <c:strCache>
                <c:ptCount val="1"/>
                <c:pt idx="0">
                  <c:v>PH Surv &amp; Epi</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'Cyber Terrorism'!$J$882</c:f>
              <c:numCache>
                <c:formatCode>General</c:formatCode>
                <c:ptCount val="1"/>
                <c:pt idx="0">
                  <c:v>3</c:v>
                </c:pt>
              </c:numCache>
            </c:numRef>
          </c:xVal>
          <c:yVal>
            <c:numRef>
              <c:f>'Cyber Terrorism'!$J$883</c:f>
              <c:numCache>
                <c:formatCode>General</c:formatCode>
                <c:ptCount val="1"/>
                <c:pt idx="0">
                  <c:v>0</c:v>
                </c:pt>
              </c:numCache>
            </c:numRef>
          </c:yVal>
          <c:smooth val="0"/>
          <c:extLst>
            <c:ext xmlns:c16="http://schemas.microsoft.com/office/drawing/2014/chart" uri="{C3380CC4-5D6E-409C-BE32-E72D297353CC}">
              <c16:uniqueId val="{00000009-380B-445B-9869-534AEBADB4F7}"/>
            </c:ext>
          </c:extLst>
        </c:ser>
        <c:ser>
          <c:idx val="8"/>
          <c:order val="8"/>
          <c:tx>
            <c:strRef>
              <c:f>'Cyber Terrorism'!$C$885</c:f>
              <c:strCache>
                <c:ptCount val="1"/>
                <c:pt idx="0">
                  <c:v>Responder Safety</c:v>
                </c:pt>
              </c:strCache>
            </c:strRef>
          </c:tx>
          <c:spPr>
            <a:ln w="66675">
              <a:noFill/>
            </a:ln>
          </c:spPr>
          <c:dLbls>
            <c:dLbl>
              <c:idx val="0"/>
              <c:layout>
                <c:manualLayout>
                  <c:x val="-1.5251807320996049E-17"/>
                  <c:y val="-1.214329083181542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380B-445B-9869-534AEBADB4F7}"/>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'Cyber Terrorism'!$J$886</c:f>
              <c:numCache>
                <c:formatCode>General</c:formatCode>
                <c:ptCount val="1"/>
                <c:pt idx="0">
                  <c:v>0</c:v>
                </c:pt>
              </c:numCache>
            </c:numRef>
          </c:xVal>
          <c:yVal>
            <c:numRef>
              <c:f>'Cyber Terrorism'!$J$887</c:f>
              <c:numCache>
                <c:formatCode>General</c:formatCode>
                <c:ptCount val="1"/>
                <c:pt idx="0">
                  <c:v>0</c:v>
                </c:pt>
              </c:numCache>
            </c:numRef>
          </c:yVal>
          <c:smooth val="0"/>
          <c:extLst>
            <c:ext xmlns:c16="http://schemas.microsoft.com/office/drawing/2014/chart" uri="{C3380CC4-5D6E-409C-BE32-E72D297353CC}">
              <c16:uniqueId val="{0000000B-380B-445B-9869-534AEBADB4F7}"/>
            </c:ext>
          </c:extLst>
        </c:ser>
        <c:ser>
          <c:idx val="9"/>
          <c:order val="9"/>
          <c:tx>
            <c:strRef>
              <c:f>'Cyber Terrorism'!$C$889</c:f>
              <c:strCache>
                <c:ptCount val="1"/>
                <c:pt idx="0">
                  <c:v>Volunteer Mgmt</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'Cyber Terrorism'!$J$890</c:f>
              <c:numCache>
                <c:formatCode>General</c:formatCode>
                <c:ptCount val="1"/>
                <c:pt idx="0">
                  <c:v>2</c:v>
                </c:pt>
              </c:numCache>
            </c:numRef>
          </c:xVal>
          <c:yVal>
            <c:numRef>
              <c:f>'Cyber Terrorism'!$J$891</c:f>
              <c:numCache>
                <c:formatCode>General</c:formatCode>
                <c:ptCount val="1"/>
                <c:pt idx="0">
                  <c:v>0</c:v>
                </c:pt>
              </c:numCache>
            </c:numRef>
          </c:yVal>
          <c:smooth val="0"/>
          <c:extLst>
            <c:ext xmlns:c16="http://schemas.microsoft.com/office/drawing/2014/chart" uri="{C3380CC4-5D6E-409C-BE32-E72D297353CC}">
              <c16:uniqueId val="{0000000C-380B-445B-9869-534AEBADB4F7}"/>
            </c:ext>
          </c:extLst>
        </c:ser>
        <c:ser>
          <c:idx val="10"/>
          <c:order val="10"/>
          <c:tx>
            <c:strRef>
              <c:f>'Cyber Terrorism'!$C$833</c:f>
              <c:strCache>
                <c:ptCount val="1"/>
                <c:pt idx="0">
                  <c:v>Community Prep</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'Cyber Terrorism'!$J$834</c:f>
              <c:numCache>
                <c:formatCode>General</c:formatCode>
                <c:ptCount val="1"/>
                <c:pt idx="0">
                  <c:v>4</c:v>
                </c:pt>
              </c:numCache>
            </c:numRef>
          </c:xVal>
          <c:yVal>
            <c:numRef>
              <c:f>'Cyber Terrorism'!$J$835</c:f>
              <c:numCache>
                <c:formatCode>General</c:formatCode>
                <c:ptCount val="1"/>
                <c:pt idx="0">
                  <c:v>0</c:v>
                </c:pt>
              </c:numCache>
            </c:numRef>
          </c:yVal>
          <c:smooth val="0"/>
          <c:extLst>
            <c:ext xmlns:c16="http://schemas.microsoft.com/office/drawing/2014/chart" uri="{C3380CC4-5D6E-409C-BE32-E72D297353CC}">
              <c16:uniqueId val="{0000000D-380B-445B-9869-534AEBADB4F7}"/>
            </c:ext>
          </c:extLst>
        </c:ser>
        <c:ser>
          <c:idx val="11"/>
          <c:order val="11"/>
          <c:tx>
            <c:strRef>
              <c:f>'Cyber Terrorism'!$C$837</c:f>
              <c:strCache>
                <c:ptCount val="1"/>
                <c:pt idx="0">
                  <c:v>Community Recov</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'Cyber Terrorism'!$J$838</c:f>
              <c:numCache>
                <c:formatCode>General</c:formatCode>
                <c:ptCount val="1"/>
                <c:pt idx="0">
                  <c:v>4</c:v>
                </c:pt>
              </c:numCache>
            </c:numRef>
          </c:xVal>
          <c:yVal>
            <c:numRef>
              <c:f>'Cyber Terrorism'!$J$839</c:f>
              <c:numCache>
                <c:formatCode>General</c:formatCode>
                <c:ptCount val="1"/>
                <c:pt idx="0">
                  <c:v>0</c:v>
                </c:pt>
              </c:numCache>
            </c:numRef>
          </c:yVal>
          <c:smooth val="0"/>
          <c:extLst>
            <c:ext xmlns:c16="http://schemas.microsoft.com/office/drawing/2014/chart" uri="{C3380CC4-5D6E-409C-BE32-E72D297353CC}">
              <c16:uniqueId val="{0000000E-380B-445B-9869-534AEBADB4F7}"/>
            </c:ext>
          </c:extLst>
        </c:ser>
        <c:ser>
          <c:idx val="12"/>
          <c:order val="12"/>
          <c:tx>
            <c:strRef>
              <c:f>'Cyber Terrorism'!$C$841</c:f>
              <c:strCache>
                <c:ptCount val="1"/>
                <c:pt idx="0">
                  <c:v>Emerg Ops Coord</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'Cyber Terrorism'!$J$842</c:f>
              <c:numCache>
                <c:formatCode>General</c:formatCode>
                <c:ptCount val="1"/>
                <c:pt idx="0">
                  <c:v>3</c:v>
                </c:pt>
              </c:numCache>
            </c:numRef>
          </c:xVal>
          <c:yVal>
            <c:numRef>
              <c:f>'Cyber Terrorism'!$J$843</c:f>
              <c:numCache>
                <c:formatCode>General</c:formatCode>
                <c:ptCount val="1"/>
                <c:pt idx="0">
                  <c:v>0</c:v>
                </c:pt>
              </c:numCache>
            </c:numRef>
          </c:yVal>
          <c:smooth val="0"/>
          <c:extLst>
            <c:ext xmlns:c16="http://schemas.microsoft.com/office/drawing/2014/chart" uri="{C3380CC4-5D6E-409C-BE32-E72D297353CC}">
              <c16:uniqueId val="{0000000F-380B-445B-9869-534AEBADB4F7}"/>
            </c:ext>
          </c:extLst>
        </c:ser>
        <c:ser>
          <c:idx val="13"/>
          <c:order val="13"/>
          <c:tx>
            <c:strRef>
              <c:f>'Cyber Terrorism'!$C$845</c:f>
              <c:strCache>
                <c:ptCount val="1"/>
                <c:pt idx="0">
                  <c:v>Emerg Public Info</c:v>
                </c:pt>
              </c:strCache>
            </c:strRef>
          </c:tx>
          <c:spPr>
            <a:ln w="66675">
              <a:noFill/>
            </a:ln>
          </c:spPr>
          <c:dLbls>
            <c:spPr>
              <a:noFill/>
              <a:ln>
                <a:noFill/>
              </a:ln>
              <a:effectLst/>
            </c:sp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'Cyber Terrorism'!$J$846</c:f>
              <c:numCache>
                <c:formatCode>General</c:formatCode>
                <c:ptCount val="1"/>
                <c:pt idx="0">
                  <c:v>4</c:v>
                </c:pt>
              </c:numCache>
            </c:numRef>
          </c:xVal>
          <c:yVal>
            <c:numRef>
              <c:f>'Cyber Terrorism'!$J$847</c:f>
              <c:numCache>
                <c:formatCode>General</c:formatCode>
                <c:ptCount val="1"/>
                <c:pt idx="0">
                  <c:v>0</c:v>
                </c:pt>
              </c:numCache>
            </c:numRef>
          </c:yVal>
          <c:smooth val="0"/>
          <c:extLst>
            <c:ext xmlns:c16="http://schemas.microsoft.com/office/drawing/2014/chart" uri="{C3380CC4-5D6E-409C-BE32-E72D297353CC}">
              <c16:uniqueId val="{00000010-380B-445B-9869-534AEBADB4F7}"/>
            </c:ext>
          </c:extLst>
        </c:ser>
        <c:ser>
          <c:idx val="14"/>
          <c:order val="14"/>
          <c:tx>
            <c:strRef>
              <c:f>'Cyber Terrorism'!$C$964</c:f>
              <c:strCache>
                <c:ptCount val="1"/>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'Cyber Terrorism'!$J$965</c:f>
            </c:numRef>
          </c:xVal>
          <c:yVal>
            <c:numRef>
              <c:f>'Cyber Terrorism'!$J$966</c:f>
            </c:numRef>
          </c:yVal>
          <c:smooth val="0"/>
          <c:extLst>
            <c:ext xmlns:c16="http://schemas.microsoft.com/office/drawing/2014/chart" uri="{C3380CC4-5D6E-409C-BE32-E72D297353CC}">
              <c16:uniqueId val="{00000011-380B-445B-9869-534AEBADB4F7}"/>
            </c:ext>
          </c:extLst>
        </c:ser>
        <c:ser>
          <c:idx val="15"/>
          <c:order val="15"/>
          <c:tx>
            <c:strRef>
              <c:f>'Cyber Terrorism'!$C$849</c:f>
              <c:strCache>
                <c:ptCount val="1"/>
                <c:pt idx="0">
                  <c:v>Fatality Mgmt</c:v>
                </c:pt>
              </c:strCache>
            </c:strRef>
          </c:tx>
          <c:spPr>
            <a:ln w="66675">
              <a:noFill/>
            </a:ln>
          </c:spP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2-380B-445B-9869-534AEBADB4F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'Cyber Terrorism'!$J$850</c:f>
              <c:numCache>
                <c:formatCode>General</c:formatCode>
                <c:ptCount val="1"/>
                <c:pt idx="0">
                  <c:v>0</c:v>
                </c:pt>
              </c:numCache>
            </c:numRef>
          </c:xVal>
          <c:yVal>
            <c:numRef>
              <c:f>'Cyber Terrorism'!$J$851</c:f>
              <c:numCache>
                <c:formatCode>General</c:formatCode>
                <c:ptCount val="1"/>
                <c:pt idx="0">
                  <c:v>0</c:v>
                </c:pt>
              </c:numCache>
            </c:numRef>
          </c:yVal>
          <c:smooth val="0"/>
          <c:extLst>
            <c:ext xmlns:c16="http://schemas.microsoft.com/office/drawing/2014/chart" uri="{C3380CC4-5D6E-409C-BE32-E72D297353CC}">
              <c16:uniqueId val="{00000013-380B-445B-9869-534AEBADB4F7}"/>
            </c:ext>
          </c:extLst>
        </c:ser>
        <c:dLbls>
          <c:showLegendKey val="0"/>
          <c:showVal val="1"/>
          <c:showCatName val="0"/>
          <c:showSerName val="0"/>
          <c:showPercent val="0"/>
          <c:showBubbleSize val="0"/>
        </c:dLbls>
        <c:axId val="195855872"/>
        <c:axId val="195857792"/>
      </c:scatterChart>
      <c:valAx>
        <c:axId val="195855872"/>
        <c:scaling>
          <c:orientation val="minMax"/>
          <c:max val="4.5"/>
          <c:min val="0"/>
        </c:scaling>
        <c:delete val="0"/>
        <c:axPos val="b"/>
        <c:majorGridlines/>
        <c:title>
          <c:tx>
            <c:rich>
              <a:bodyPr/>
              <a:lstStyle/>
              <a:p>
                <a:pPr>
                  <a:defRPr b="0">
                    <a:latin typeface="+mj-lt"/>
                  </a:defRPr>
                </a:pPr>
                <a:r>
                  <a:rPr lang="en-US" sz="1600" b="0">
                    <a:latin typeface="+mj-lt"/>
                  </a:rPr>
                  <a:t>Capability Relevance to Hazard</a:t>
                </a:r>
              </a:p>
            </c:rich>
          </c:tx>
          <c:overlay val="0"/>
        </c:title>
        <c:numFmt formatCode="General" sourceLinked="1"/>
        <c:majorTickMark val="out"/>
        <c:minorTickMark val="none"/>
        <c:tickLblPos val="nextTo"/>
        <c:spPr>
          <a:ln>
            <a:solidFill>
              <a:schemeClr val="tx1"/>
            </a:solidFill>
          </a:ln>
        </c:spPr>
        <c:crossAx val="195857792"/>
        <c:crosses val="autoZero"/>
        <c:crossBetween val="midCat"/>
        <c:majorUnit val="1"/>
        <c:minorUnit val="0.1"/>
      </c:valAx>
      <c:valAx>
        <c:axId val="195857792"/>
        <c:scaling>
          <c:orientation val="minMax"/>
          <c:max val="4.5"/>
          <c:min val="0"/>
        </c:scaling>
        <c:delete val="0"/>
        <c:axPos val="l"/>
        <c:majorGridlines/>
        <c:title>
          <c:tx>
            <c:rich>
              <a:bodyPr rot="-5400000" vert="horz"/>
              <a:lstStyle/>
              <a:p>
                <a:pPr>
                  <a:defRPr sz="1600" b="0">
                    <a:latin typeface="+mj-lt"/>
                  </a:defRPr>
                </a:pPr>
                <a:r>
                  <a:rPr lang="en-US" sz="1600" b="0">
                    <a:latin typeface="+mj-lt"/>
                  </a:rPr>
                  <a:t>Capability Status</a:t>
                </a:r>
              </a:p>
            </c:rich>
          </c:tx>
          <c:overlay val="0"/>
        </c:title>
        <c:numFmt formatCode="General" sourceLinked="1"/>
        <c:majorTickMark val="out"/>
        <c:minorTickMark val="none"/>
        <c:tickLblPos val="nextTo"/>
        <c:spPr>
          <a:ln>
            <a:solidFill>
              <a:schemeClr val="tx1"/>
            </a:solidFill>
          </a:ln>
        </c:spPr>
        <c:crossAx val="195855872"/>
        <c:crosses val="autoZero"/>
        <c:crossBetween val="midCat"/>
        <c:majorUnit val="1"/>
        <c:minorUnit val="0.1"/>
      </c:valAx>
      <c:spPr>
        <a:gradFill flip="none" rotWithShape="1">
          <a:gsLst>
            <a:gs pos="0">
              <a:srgbClr val="63BE7B"/>
            </a:gs>
            <a:gs pos="50000">
              <a:srgbClr val="FFEB84"/>
            </a:gs>
            <a:gs pos="100000">
              <a:srgbClr val="F8696B"/>
            </a:gs>
          </a:gsLst>
          <a:lin ang="27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defRPr b="0" u="sng">
                <a:latin typeface="+mj-lt"/>
              </a:defRPr>
            </a:pPr>
            <a:r>
              <a:rPr lang="en-US" b="0" u="sng">
                <a:latin typeface="+mj-lt"/>
              </a:rPr>
              <a:t>Healthcare</a:t>
            </a:r>
            <a:r>
              <a:rPr lang="en-US" b="0" u="sng" baseline="0">
                <a:latin typeface="+mj-lt"/>
              </a:rPr>
              <a:t> </a:t>
            </a:r>
            <a:r>
              <a:rPr lang="en-US" b="0" u="sng">
                <a:latin typeface="+mj-lt"/>
              </a:rPr>
              <a:t>Preparedness</a:t>
            </a:r>
          </a:p>
        </c:rich>
      </c:tx>
      <c:layout>
        <c:manualLayout>
          <c:xMode val="edge"/>
          <c:yMode val="edge"/>
          <c:x val="0.30532356317913883"/>
          <c:y val="1.3244983721297133E-2"/>
        </c:manualLayout>
      </c:layout>
      <c:overlay val="0"/>
    </c:title>
    <c:autoTitleDeleted val="0"/>
    <c:plotArea>
      <c:layout/>
      <c:scatterChart>
        <c:scatterStyle val="lineMarker"/>
        <c:varyColors val="0"/>
        <c:ser>
          <c:idx val="0"/>
          <c:order val="0"/>
          <c:tx>
            <c:strRef>
              <c:f>'Cyber Terrorism'!$C$903</c:f>
              <c:strCache>
                <c:ptCount val="1"/>
                <c:pt idx="0">
                  <c:v>HC System Prep</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'Cyber Terrorism'!$J$904</c:f>
              <c:numCache>
                <c:formatCode>General</c:formatCode>
                <c:ptCount val="1"/>
                <c:pt idx="0">
                  <c:v>4</c:v>
                </c:pt>
              </c:numCache>
            </c:numRef>
          </c:xVal>
          <c:yVal>
            <c:numRef>
              <c:f>'Cyber Terrorism'!$J$905</c:f>
              <c:numCache>
                <c:formatCode>General</c:formatCode>
                <c:ptCount val="1"/>
                <c:pt idx="0">
                  <c:v>0</c:v>
                </c:pt>
              </c:numCache>
            </c:numRef>
          </c:yVal>
          <c:smooth val="0"/>
          <c:extLst>
            <c:ext xmlns:c16="http://schemas.microsoft.com/office/drawing/2014/chart" uri="{C3380CC4-5D6E-409C-BE32-E72D297353CC}">
              <c16:uniqueId val="{00000000-FE01-47FC-A584-54A0D6024972}"/>
            </c:ext>
          </c:extLst>
        </c:ser>
        <c:ser>
          <c:idx val="1"/>
          <c:order val="1"/>
          <c:tx>
            <c:strRef>
              <c:f>'Cyber Terrorism'!$C$907</c:f>
              <c:strCache>
                <c:ptCount val="1"/>
                <c:pt idx="0">
                  <c:v>HC System Recov</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'Cyber Terrorism'!$J$908</c:f>
              <c:numCache>
                <c:formatCode>General</c:formatCode>
                <c:ptCount val="1"/>
                <c:pt idx="0">
                  <c:v>4</c:v>
                </c:pt>
              </c:numCache>
            </c:numRef>
          </c:xVal>
          <c:yVal>
            <c:numRef>
              <c:f>'Cyber Terrorism'!$J$909</c:f>
              <c:numCache>
                <c:formatCode>General</c:formatCode>
                <c:ptCount val="1"/>
                <c:pt idx="0">
                  <c:v>0</c:v>
                </c:pt>
              </c:numCache>
            </c:numRef>
          </c:yVal>
          <c:smooth val="0"/>
          <c:extLst>
            <c:ext xmlns:c16="http://schemas.microsoft.com/office/drawing/2014/chart" uri="{C3380CC4-5D6E-409C-BE32-E72D297353CC}">
              <c16:uniqueId val="{00000001-FE01-47FC-A584-54A0D6024972}"/>
            </c:ext>
          </c:extLst>
        </c:ser>
        <c:ser>
          <c:idx val="2"/>
          <c:order val="2"/>
          <c:tx>
            <c:strRef>
              <c:f>'Cyber Terrorism'!$C$911</c:f>
              <c:strCache>
                <c:ptCount val="1"/>
                <c:pt idx="0">
                  <c:v>Emerg Ops Coord</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'Cyber Terrorism'!$J$912</c:f>
              <c:numCache>
                <c:formatCode>General</c:formatCode>
                <c:ptCount val="1"/>
                <c:pt idx="0">
                  <c:v>3</c:v>
                </c:pt>
              </c:numCache>
            </c:numRef>
          </c:xVal>
          <c:yVal>
            <c:numRef>
              <c:f>'Cyber Terrorism'!$J$913</c:f>
              <c:numCache>
                <c:formatCode>General</c:formatCode>
                <c:ptCount val="1"/>
                <c:pt idx="0">
                  <c:v>0</c:v>
                </c:pt>
              </c:numCache>
            </c:numRef>
          </c:yVal>
          <c:smooth val="0"/>
          <c:extLst>
            <c:ext xmlns:c16="http://schemas.microsoft.com/office/drawing/2014/chart" uri="{C3380CC4-5D6E-409C-BE32-E72D297353CC}">
              <c16:uniqueId val="{00000002-FE01-47FC-A584-54A0D6024972}"/>
            </c:ext>
          </c:extLst>
        </c:ser>
        <c:ser>
          <c:idx val="3"/>
          <c:order val="3"/>
          <c:tx>
            <c:strRef>
              <c:f>'Cyber Terrorism'!$C$915</c:f>
              <c:strCache>
                <c:ptCount val="1"/>
                <c:pt idx="0">
                  <c:v>Fatality Mgmt</c:v>
                </c:pt>
              </c:strCache>
            </c:strRef>
          </c:tx>
          <c:spPr>
            <a:ln w="66675">
              <a:noFill/>
            </a:ln>
          </c:spPr>
          <c:dLbls>
            <c:dLbl>
              <c:idx val="0"/>
              <c:layout>
                <c:manualLayout>
                  <c:x val="-1.5251807320996049E-17"/>
                  <c:y val="1.214329083181542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FE01-47FC-A584-54A0D6024972}"/>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'Cyber Terrorism'!$J$916</c:f>
              <c:numCache>
                <c:formatCode>General</c:formatCode>
                <c:ptCount val="1"/>
                <c:pt idx="0">
                  <c:v>0</c:v>
                </c:pt>
              </c:numCache>
            </c:numRef>
          </c:xVal>
          <c:yVal>
            <c:numRef>
              <c:f>'Cyber Terrorism'!$J$917</c:f>
              <c:numCache>
                <c:formatCode>General</c:formatCode>
                <c:ptCount val="1"/>
                <c:pt idx="0">
                  <c:v>0</c:v>
                </c:pt>
              </c:numCache>
            </c:numRef>
          </c:yVal>
          <c:smooth val="0"/>
          <c:extLst>
            <c:ext xmlns:c16="http://schemas.microsoft.com/office/drawing/2014/chart" uri="{C3380CC4-5D6E-409C-BE32-E72D297353CC}">
              <c16:uniqueId val="{00000004-FE01-47FC-A584-54A0D6024972}"/>
            </c:ext>
          </c:extLst>
        </c:ser>
        <c:ser>
          <c:idx val="4"/>
          <c:order val="4"/>
          <c:tx>
            <c:strRef>
              <c:f>'Cyber Terrorism'!$C$919</c:f>
              <c:strCache>
                <c:ptCount val="1"/>
                <c:pt idx="0">
                  <c:v>Info Sharing</c:v>
                </c:pt>
              </c:strCache>
            </c:strRef>
          </c:tx>
          <c:spPr>
            <a:ln w="66675">
              <a:noFill/>
            </a:ln>
          </c:spPr>
          <c:dLbls>
            <c:dLbl>
              <c:idx val="0"/>
              <c:layout>
                <c:manualLayout>
                  <c:x val="-3.3278365053747076E-3"/>
                  <c:y val="1.942926533090468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FE01-47FC-A584-54A0D6024972}"/>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'Cyber Terrorism'!$J$920</c:f>
              <c:numCache>
                <c:formatCode>General</c:formatCode>
                <c:ptCount val="1"/>
                <c:pt idx="0">
                  <c:v>4</c:v>
                </c:pt>
              </c:numCache>
            </c:numRef>
          </c:xVal>
          <c:yVal>
            <c:numRef>
              <c:f>'Cyber Terrorism'!$J$921</c:f>
              <c:numCache>
                <c:formatCode>General</c:formatCode>
                <c:ptCount val="1"/>
                <c:pt idx="0">
                  <c:v>0</c:v>
                </c:pt>
              </c:numCache>
            </c:numRef>
          </c:yVal>
          <c:smooth val="0"/>
          <c:extLst>
            <c:ext xmlns:c16="http://schemas.microsoft.com/office/drawing/2014/chart" uri="{C3380CC4-5D6E-409C-BE32-E72D297353CC}">
              <c16:uniqueId val="{00000006-FE01-47FC-A584-54A0D6024972}"/>
            </c:ext>
          </c:extLst>
        </c:ser>
        <c:ser>
          <c:idx val="5"/>
          <c:order val="5"/>
          <c:tx>
            <c:strRef>
              <c:f>'Cyber Terrorism'!$C$923</c:f>
              <c:strCache>
                <c:ptCount val="1"/>
                <c:pt idx="0">
                  <c:v>Medical Surge</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'Cyber Terrorism'!$J$924</c:f>
              <c:numCache>
                <c:formatCode>General</c:formatCode>
                <c:ptCount val="1"/>
                <c:pt idx="0">
                  <c:v>0</c:v>
                </c:pt>
              </c:numCache>
            </c:numRef>
          </c:xVal>
          <c:yVal>
            <c:numRef>
              <c:f>'Cyber Terrorism'!$J$925</c:f>
              <c:numCache>
                <c:formatCode>General</c:formatCode>
                <c:ptCount val="1"/>
                <c:pt idx="0">
                  <c:v>0</c:v>
                </c:pt>
              </c:numCache>
            </c:numRef>
          </c:yVal>
          <c:smooth val="0"/>
          <c:extLst>
            <c:ext xmlns:c16="http://schemas.microsoft.com/office/drawing/2014/chart" uri="{C3380CC4-5D6E-409C-BE32-E72D297353CC}">
              <c16:uniqueId val="{00000007-FE01-47FC-A584-54A0D6024972}"/>
            </c:ext>
          </c:extLst>
        </c:ser>
        <c:ser>
          <c:idx val="6"/>
          <c:order val="6"/>
          <c:tx>
            <c:strRef>
              <c:f>'Cyber Terrorism'!$C$927</c:f>
              <c:strCache>
                <c:ptCount val="1"/>
                <c:pt idx="0">
                  <c:v>Responder Safety</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'Cyber Terrorism'!$J$928</c:f>
              <c:numCache>
                <c:formatCode>General</c:formatCode>
                <c:ptCount val="1"/>
                <c:pt idx="0">
                  <c:v>0</c:v>
                </c:pt>
              </c:numCache>
            </c:numRef>
          </c:xVal>
          <c:yVal>
            <c:numRef>
              <c:f>'Cyber Terrorism'!$J$929</c:f>
              <c:numCache>
                <c:formatCode>General</c:formatCode>
                <c:ptCount val="1"/>
                <c:pt idx="0">
                  <c:v>0</c:v>
                </c:pt>
              </c:numCache>
            </c:numRef>
          </c:yVal>
          <c:smooth val="0"/>
          <c:extLst>
            <c:ext xmlns:c16="http://schemas.microsoft.com/office/drawing/2014/chart" uri="{C3380CC4-5D6E-409C-BE32-E72D297353CC}">
              <c16:uniqueId val="{00000008-FE01-47FC-A584-54A0D6024972}"/>
            </c:ext>
          </c:extLst>
        </c:ser>
        <c:ser>
          <c:idx val="7"/>
          <c:order val="7"/>
          <c:tx>
            <c:strRef>
              <c:f>'Cyber Terrorism'!$C$931</c:f>
              <c:strCache>
                <c:ptCount val="1"/>
                <c:pt idx="0">
                  <c:v>Volunteer Mgmt</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'Cyber Terrorism'!$J$932</c:f>
              <c:numCache>
                <c:formatCode>General</c:formatCode>
                <c:ptCount val="1"/>
                <c:pt idx="0">
                  <c:v>2</c:v>
                </c:pt>
              </c:numCache>
            </c:numRef>
          </c:xVal>
          <c:yVal>
            <c:numRef>
              <c:f>'Cyber Terrorism'!$J$933</c:f>
              <c:numCache>
                <c:formatCode>General</c:formatCode>
                <c:ptCount val="1"/>
                <c:pt idx="0">
                  <c:v>0</c:v>
                </c:pt>
              </c:numCache>
            </c:numRef>
          </c:yVal>
          <c:smooth val="0"/>
          <c:extLst>
            <c:ext xmlns:c16="http://schemas.microsoft.com/office/drawing/2014/chart" uri="{C3380CC4-5D6E-409C-BE32-E72D297353CC}">
              <c16:uniqueId val="{00000009-FE01-47FC-A584-54A0D6024972}"/>
            </c:ext>
          </c:extLst>
        </c:ser>
        <c:ser>
          <c:idx val="14"/>
          <c:order val="8"/>
          <c:tx>
            <c:strRef>
              <c:f>'Cyber Terrorism'!$C$964</c:f>
              <c:strCache>
                <c:ptCount val="1"/>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'Cyber Terrorism'!$J$965</c:f>
            </c:numRef>
          </c:xVal>
          <c:yVal>
            <c:numRef>
              <c:f>'Cyber Terrorism'!$J$966</c:f>
            </c:numRef>
          </c:yVal>
          <c:smooth val="0"/>
          <c:extLst>
            <c:ext xmlns:c16="http://schemas.microsoft.com/office/drawing/2014/chart" uri="{C3380CC4-5D6E-409C-BE32-E72D297353CC}">
              <c16:uniqueId val="{0000000A-FE01-47FC-A584-54A0D6024972}"/>
            </c:ext>
          </c:extLst>
        </c:ser>
        <c:dLbls>
          <c:showLegendKey val="0"/>
          <c:showVal val="1"/>
          <c:showCatName val="0"/>
          <c:showSerName val="0"/>
          <c:showPercent val="0"/>
          <c:showBubbleSize val="0"/>
        </c:dLbls>
        <c:axId val="196147456"/>
        <c:axId val="196026752"/>
      </c:scatterChart>
      <c:valAx>
        <c:axId val="196147456"/>
        <c:scaling>
          <c:orientation val="minMax"/>
          <c:max val="4.5"/>
          <c:min val="0"/>
        </c:scaling>
        <c:delete val="0"/>
        <c:axPos val="b"/>
        <c:majorGridlines/>
        <c:title>
          <c:tx>
            <c:rich>
              <a:bodyPr/>
              <a:lstStyle/>
              <a:p>
                <a:pPr>
                  <a:defRPr b="0">
                    <a:latin typeface="+mj-lt"/>
                  </a:defRPr>
                </a:pPr>
                <a:r>
                  <a:rPr lang="en-US" sz="1600" b="0">
                    <a:latin typeface="+mj-lt"/>
                  </a:rPr>
                  <a:t>Capability Relevance to Hazard</a:t>
                </a:r>
              </a:p>
            </c:rich>
          </c:tx>
          <c:overlay val="0"/>
        </c:title>
        <c:numFmt formatCode="General" sourceLinked="1"/>
        <c:majorTickMark val="out"/>
        <c:minorTickMark val="none"/>
        <c:tickLblPos val="nextTo"/>
        <c:spPr>
          <a:ln>
            <a:solidFill>
              <a:schemeClr val="tx1"/>
            </a:solidFill>
          </a:ln>
        </c:spPr>
        <c:crossAx val="196026752"/>
        <c:crosses val="autoZero"/>
        <c:crossBetween val="midCat"/>
        <c:majorUnit val="1"/>
        <c:minorUnit val="0.1"/>
      </c:valAx>
      <c:valAx>
        <c:axId val="196026752"/>
        <c:scaling>
          <c:orientation val="minMax"/>
          <c:max val="4.5"/>
          <c:min val="0"/>
        </c:scaling>
        <c:delete val="0"/>
        <c:axPos val="l"/>
        <c:majorGridlines/>
        <c:title>
          <c:tx>
            <c:rich>
              <a:bodyPr rot="-5400000" vert="horz"/>
              <a:lstStyle/>
              <a:p>
                <a:pPr>
                  <a:defRPr sz="1600" b="0">
                    <a:latin typeface="+mj-lt"/>
                  </a:defRPr>
                </a:pPr>
                <a:r>
                  <a:rPr lang="en-US" sz="1600" b="0">
                    <a:latin typeface="+mj-lt"/>
                  </a:rPr>
                  <a:t>Capability Status</a:t>
                </a:r>
              </a:p>
            </c:rich>
          </c:tx>
          <c:overlay val="0"/>
        </c:title>
        <c:numFmt formatCode="General" sourceLinked="1"/>
        <c:majorTickMark val="out"/>
        <c:minorTickMark val="none"/>
        <c:tickLblPos val="nextTo"/>
        <c:spPr>
          <a:ln>
            <a:solidFill>
              <a:schemeClr val="tx1"/>
            </a:solidFill>
          </a:ln>
        </c:spPr>
        <c:crossAx val="196147456"/>
        <c:crosses val="autoZero"/>
        <c:crossBetween val="midCat"/>
        <c:majorUnit val="1"/>
        <c:minorUnit val="0.1"/>
      </c:valAx>
      <c:spPr>
        <a:gradFill flip="none" rotWithShape="1">
          <a:gsLst>
            <a:gs pos="0">
              <a:srgbClr val="63BE7B"/>
            </a:gs>
            <a:gs pos="50000">
              <a:srgbClr val="FFEB84"/>
            </a:gs>
            <a:gs pos="100000">
              <a:srgbClr val="F8696B"/>
            </a:gs>
          </a:gsLst>
          <a:lin ang="27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b="0" u="sng">
                <a:latin typeface="+mj-lt"/>
              </a:defRPr>
            </a:pPr>
            <a:r>
              <a:rPr lang="en-US" b="0" u="sng">
                <a:latin typeface="+mj-lt"/>
              </a:rPr>
              <a:t>Severity</a:t>
            </a:r>
          </a:p>
        </c:rich>
      </c:tx>
      <c:layout>
        <c:manualLayout>
          <c:xMode val="edge"/>
          <c:yMode val="edge"/>
          <c:x val="0.46889233641333816"/>
          <c:y val="1.3244983721297133E-2"/>
        </c:manualLayout>
      </c:layout>
      <c:overlay val="0"/>
    </c:title>
    <c:autoTitleDeleted val="0"/>
    <c:plotArea>
      <c:layout/>
      <c:barChart>
        <c:barDir val="col"/>
        <c:grouping val="clustered"/>
        <c:varyColors val="0"/>
        <c:ser>
          <c:idx val="0"/>
          <c:order val="0"/>
          <c:tx>
            <c:v>Severity</c:v>
          </c:tx>
          <c:spPr>
            <a:solidFill>
              <a:schemeClr val="accent4">
                <a:lumMod val="60000"/>
                <a:lumOff val="40000"/>
              </a:schemeClr>
            </a:solidFill>
            <a:ln>
              <a:solidFill>
                <a:schemeClr val="accent4"/>
              </a:solidFill>
            </a:ln>
            <a:scene3d>
              <a:camera prst="orthographicFront"/>
              <a:lightRig rig="threePt" dir="t"/>
            </a:scene3d>
            <a:sp3d prstMaterial="matte">
              <a:bevelT w="63500" h="50800"/>
            </a:sp3d>
          </c:spPr>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('Active Shooter'!$G$22,'Active Shooter'!$G$137,'Active Shooter'!$G$265,'Active Shooter'!$G$425,'Active Shooter'!$G$543)</c:f>
              <c:strCache>
                <c:ptCount val="5"/>
                <c:pt idx="0">
                  <c:v>Human Impact</c:v>
                </c:pt>
                <c:pt idx="1">
                  <c:v>Healthcare Service Impact</c:v>
                </c:pt>
                <c:pt idx="2">
                  <c:v>Inpatient Healthcare Facility Infrastructure Impact</c:v>
                </c:pt>
                <c:pt idx="3">
                  <c:v>Community Impact</c:v>
                </c:pt>
                <c:pt idx="4">
                  <c:v>Public Health Service Impact</c:v>
                </c:pt>
              </c:strCache>
            </c:strRef>
          </c:cat>
          <c:val>
            <c:numRef>
              <c:f>(Drought!$J$133,Drought!$J$261,Drought!$J$421,Drought!$J$539,Drought!$J$681)</c:f>
              <c:numCache>
                <c:formatCode>0.00</c:formatCode>
                <c:ptCount val="5"/>
                <c:pt idx="0">
                  <c:v>0</c:v>
                </c:pt>
                <c:pt idx="1">
                  <c:v>0</c:v>
                </c:pt>
                <c:pt idx="2">
                  <c:v>1.5</c:v>
                </c:pt>
                <c:pt idx="3">
                  <c:v>1</c:v>
                </c:pt>
                <c:pt idx="4">
                  <c:v>0</c:v>
                </c:pt>
              </c:numCache>
            </c:numRef>
          </c:val>
          <c:extLst>
            <c:ext xmlns:c16="http://schemas.microsoft.com/office/drawing/2014/chart" uri="{C3380CC4-5D6E-409C-BE32-E72D297353CC}">
              <c16:uniqueId val="{00000000-DB1E-46F3-94EF-38D82E2A6121}"/>
            </c:ext>
          </c:extLst>
        </c:ser>
        <c:dLbls>
          <c:showLegendKey val="0"/>
          <c:showVal val="1"/>
          <c:showCatName val="0"/>
          <c:showSerName val="0"/>
          <c:showPercent val="0"/>
          <c:showBubbleSize val="0"/>
        </c:dLbls>
        <c:gapWidth val="150"/>
        <c:axId val="196042112"/>
        <c:axId val="196068864"/>
      </c:barChart>
      <c:catAx>
        <c:axId val="196042112"/>
        <c:scaling>
          <c:orientation val="minMax"/>
        </c:scaling>
        <c:delete val="0"/>
        <c:axPos val="b"/>
        <c:title>
          <c:tx>
            <c:rich>
              <a:bodyPr/>
              <a:lstStyle/>
              <a:p>
                <a:pPr>
                  <a:defRPr sz="1600" b="0">
                    <a:latin typeface="+mj-lt"/>
                  </a:defRPr>
                </a:pPr>
                <a:r>
                  <a:rPr lang="en-US" sz="1600" b="0">
                    <a:latin typeface="+mj-lt"/>
                  </a:rPr>
                  <a:t>Domain</a:t>
                </a:r>
              </a:p>
            </c:rich>
          </c:tx>
          <c:overlay val="0"/>
        </c:title>
        <c:numFmt formatCode="General" sourceLinked="1"/>
        <c:majorTickMark val="out"/>
        <c:minorTickMark val="none"/>
        <c:tickLblPos val="nextTo"/>
        <c:crossAx val="196068864"/>
        <c:crosses val="autoZero"/>
        <c:auto val="1"/>
        <c:lblAlgn val="ctr"/>
        <c:lblOffset val="100"/>
        <c:noMultiLvlLbl val="0"/>
      </c:catAx>
      <c:valAx>
        <c:axId val="196068864"/>
        <c:scaling>
          <c:orientation val="minMax"/>
          <c:max val="4"/>
        </c:scaling>
        <c:delete val="0"/>
        <c:axPos val="l"/>
        <c:majorGridlines/>
        <c:title>
          <c:tx>
            <c:rich>
              <a:bodyPr rot="-5400000" vert="horz"/>
              <a:lstStyle/>
              <a:p>
                <a:pPr>
                  <a:defRPr sz="1600" b="0">
                    <a:latin typeface="+mj-lt"/>
                  </a:defRPr>
                </a:pPr>
                <a:r>
                  <a:rPr lang="en-US" sz="1600" b="0">
                    <a:latin typeface="+mj-lt"/>
                  </a:rPr>
                  <a:t>Severity</a:t>
                </a:r>
                <a:r>
                  <a:rPr lang="en-US" sz="1600" b="0" baseline="0">
                    <a:latin typeface="+mj-lt"/>
                  </a:rPr>
                  <a:t> Score</a:t>
                </a:r>
                <a:endParaRPr lang="en-US" sz="1600" b="0">
                  <a:latin typeface="+mj-lt"/>
                </a:endParaRPr>
              </a:p>
            </c:rich>
          </c:tx>
          <c:overlay val="0"/>
        </c:title>
        <c:numFmt formatCode="0.00" sourceLinked="1"/>
        <c:majorTickMark val="out"/>
        <c:minorTickMark val="none"/>
        <c:tickLblPos val="nextTo"/>
        <c:crossAx val="196042112"/>
        <c:crosses val="autoZero"/>
        <c:crossBetween val="between"/>
      </c:valAx>
      <c:spPr>
        <a:gradFill flip="none" rotWithShape="1">
          <a:gsLst>
            <a:gs pos="0">
              <a:srgbClr val="63BE7B"/>
            </a:gs>
            <a:gs pos="50000">
              <a:srgbClr val="FFEB84"/>
            </a:gs>
            <a:gs pos="100000">
              <a:srgbClr val="F8696B"/>
            </a:gs>
          </a:gsLst>
          <a:lin ang="162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b="0" u="sng">
                <a:latin typeface="+mj-lt"/>
              </a:defRPr>
            </a:pPr>
            <a:r>
              <a:rPr lang="en-US" b="0" u="sng">
                <a:latin typeface="+mj-lt"/>
              </a:rPr>
              <a:t>At-Risk Populations</a:t>
            </a:r>
          </a:p>
        </c:rich>
      </c:tx>
      <c:layout>
        <c:manualLayout>
          <c:xMode val="edge"/>
          <c:yMode val="edge"/>
          <c:x val="0.37636858589702443"/>
          <c:y val="1.3244983721297133E-2"/>
        </c:manualLayout>
      </c:layout>
      <c:overlay val="0"/>
    </c:title>
    <c:autoTitleDeleted val="0"/>
    <c:plotArea>
      <c:layout/>
      <c:scatterChart>
        <c:scatterStyle val="lineMarker"/>
        <c:varyColors val="0"/>
        <c:ser>
          <c:idx val="0"/>
          <c:order val="0"/>
          <c:tx>
            <c:strRef>
              <c:f>Drought!$C$793</c:f>
              <c:strCache>
                <c:ptCount val="1"/>
                <c:pt idx="0">
                  <c:v>Poverty</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Drought!$J$795</c:f>
              <c:numCache>
                <c:formatCode>General</c:formatCode>
                <c:ptCount val="1"/>
                <c:pt idx="0">
                  <c:v>2</c:v>
                </c:pt>
              </c:numCache>
            </c:numRef>
          </c:xVal>
          <c:yVal>
            <c:numRef>
              <c:f>Drought!$J$794</c:f>
              <c:numCache>
                <c:formatCode>General</c:formatCode>
                <c:ptCount val="1"/>
                <c:pt idx="0">
                  <c:v>0</c:v>
                </c:pt>
              </c:numCache>
            </c:numRef>
          </c:yVal>
          <c:smooth val="0"/>
          <c:extLst>
            <c:ext xmlns:c16="http://schemas.microsoft.com/office/drawing/2014/chart" uri="{C3380CC4-5D6E-409C-BE32-E72D297353CC}">
              <c16:uniqueId val="{00000000-3FD9-4806-99F4-3B5257C5DF0A}"/>
            </c:ext>
          </c:extLst>
        </c:ser>
        <c:ser>
          <c:idx val="1"/>
          <c:order val="1"/>
          <c:tx>
            <c:strRef>
              <c:f>Drought!$C$797</c:f>
              <c:strCache>
                <c:ptCount val="1"/>
                <c:pt idx="0">
                  <c:v>Chronic Diseases (Diabetes)</c:v>
                </c:pt>
              </c:strCache>
            </c:strRef>
          </c:tx>
          <c:spPr>
            <a:ln w="66675">
              <a:noFill/>
            </a:ln>
          </c:spPr>
          <c:dLbls>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Drought!$J$799</c:f>
              <c:numCache>
                <c:formatCode>General</c:formatCode>
                <c:ptCount val="1"/>
                <c:pt idx="0">
                  <c:v>1</c:v>
                </c:pt>
              </c:numCache>
            </c:numRef>
          </c:xVal>
          <c:yVal>
            <c:numRef>
              <c:f>Drought!$J$798</c:f>
              <c:numCache>
                <c:formatCode>General</c:formatCode>
                <c:ptCount val="1"/>
                <c:pt idx="0">
                  <c:v>0</c:v>
                </c:pt>
              </c:numCache>
            </c:numRef>
          </c:yVal>
          <c:smooth val="0"/>
          <c:extLst>
            <c:ext xmlns:c16="http://schemas.microsoft.com/office/drawing/2014/chart" uri="{C3380CC4-5D6E-409C-BE32-E72D297353CC}">
              <c16:uniqueId val="{00000001-3FD9-4806-99F4-3B5257C5DF0A}"/>
            </c:ext>
          </c:extLst>
        </c:ser>
        <c:ser>
          <c:idx val="2"/>
          <c:order val="2"/>
          <c:tx>
            <c:strRef>
              <c:f>Drought!$C$801</c:f>
              <c:strCache>
                <c:ptCount val="1"/>
                <c:pt idx="0">
                  <c:v>Children 18 and under</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Drought!$J$803</c:f>
              <c:numCache>
                <c:formatCode>General</c:formatCode>
                <c:ptCount val="1"/>
                <c:pt idx="0">
                  <c:v>2</c:v>
                </c:pt>
              </c:numCache>
            </c:numRef>
          </c:xVal>
          <c:yVal>
            <c:numRef>
              <c:f>Drought!$J$802</c:f>
              <c:numCache>
                <c:formatCode>General</c:formatCode>
                <c:ptCount val="1"/>
                <c:pt idx="0">
                  <c:v>0</c:v>
                </c:pt>
              </c:numCache>
            </c:numRef>
          </c:yVal>
          <c:smooth val="0"/>
          <c:extLst>
            <c:ext xmlns:c16="http://schemas.microsoft.com/office/drawing/2014/chart" uri="{C3380CC4-5D6E-409C-BE32-E72D297353CC}">
              <c16:uniqueId val="{00000002-3FD9-4806-99F4-3B5257C5DF0A}"/>
            </c:ext>
          </c:extLst>
        </c:ser>
        <c:ser>
          <c:idx val="3"/>
          <c:order val="3"/>
          <c:tx>
            <c:strRef>
              <c:f>Drought!$C$805</c:f>
              <c:strCache>
                <c:ptCount val="1"/>
                <c:pt idx="0">
                  <c:v>Elderly 65 and older</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Drought!$J$807</c:f>
              <c:numCache>
                <c:formatCode>General</c:formatCode>
                <c:ptCount val="1"/>
                <c:pt idx="0">
                  <c:v>1</c:v>
                </c:pt>
              </c:numCache>
            </c:numRef>
          </c:xVal>
          <c:yVal>
            <c:numRef>
              <c:f>Drought!$J$806</c:f>
              <c:numCache>
                <c:formatCode>General</c:formatCode>
                <c:ptCount val="1"/>
                <c:pt idx="0">
                  <c:v>0</c:v>
                </c:pt>
              </c:numCache>
            </c:numRef>
          </c:yVal>
          <c:smooth val="0"/>
          <c:extLst>
            <c:ext xmlns:c16="http://schemas.microsoft.com/office/drawing/2014/chart" uri="{C3380CC4-5D6E-409C-BE32-E72D297353CC}">
              <c16:uniqueId val="{00000003-3FD9-4806-99F4-3B5257C5DF0A}"/>
            </c:ext>
          </c:extLst>
        </c:ser>
        <c:ser>
          <c:idx val="4"/>
          <c:order val="4"/>
          <c:tx>
            <c:strRef>
              <c:f>Drought!$C$773</c:f>
              <c:strCache>
                <c:ptCount val="1"/>
                <c:pt idx="0">
                  <c:v>Hearing Disability</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Drought!$J$775</c:f>
              <c:numCache>
                <c:formatCode>General</c:formatCode>
                <c:ptCount val="1"/>
                <c:pt idx="0">
                  <c:v>2</c:v>
                </c:pt>
              </c:numCache>
            </c:numRef>
          </c:xVal>
          <c:yVal>
            <c:numRef>
              <c:f>Drought!$J$774</c:f>
              <c:numCache>
                <c:formatCode>General</c:formatCode>
                <c:ptCount val="1"/>
                <c:pt idx="0">
                  <c:v>0</c:v>
                </c:pt>
              </c:numCache>
            </c:numRef>
          </c:yVal>
          <c:smooth val="0"/>
          <c:extLst>
            <c:ext xmlns:c16="http://schemas.microsoft.com/office/drawing/2014/chart" uri="{C3380CC4-5D6E-409C-BE32-E72D297353CC}">
              <c16:uniqueId val="{00000004-3FD9-4806-99F4-3B5257C5DF0A}"/>
            </c:ext>
          </c:extLst>
        </c:ser>
        <c:ser>
          <c:idx val="5"/>
          <c:order val="5"/>
          <c:tx>
            <c:strRef>
              <c:f>Drought!$C$777</c:f>
              <c:strCache>
                <c:ptCount val="1"/>
                <c:pt idx="0">
                  <c:v>Vision Disability</c:v>
                </c:pt>
              </c:strCache>
            </c:strRef>
          </c:tx>
          <c:spPr>
            <a:ln w="66675">
              <a:noFill/>
            </a:ln>
          </c:spPr>
          <c:dLbls>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Drought!$J$779</c:f>
              <c:numCache>
                <c:formatCode>General</c:formatCode>
                <c:ptCount val="1"/>
                <c:pt idx="0">
                  <c:v>2</c:v>
                </c:pt>
              </c:numCache>
            </c:numRef>
          </c:xVal>
          <c:yVal>
            <c:numRef>
              <c:f>Drought!$J$778</c:f>
              <c:numCache>
                <c:formatCode>General</c:formatCode>
                <c:ptCount val="1"/>
                <c:pt idx="0">
                  <c:v>0</c:v>
                </c:pt>
              </c:numCache>
            </c:numRef>
          </c:yVal>
          <c:smooth val="0"/>
          <c:extLst>
            <c:ext xmlns:c16="http://schemas.microsoft.com/office/drawing/2014/chart" uri="{C3380CC4-5D6E-409C-BE32-E72D297353CC}">
              <c16:uniqueId val="{00000005-3FD9-4806-99F4-3B5257C5DF0A}"/>
            </c:ext>
          </c:extLst>
        </c:ser>
        <c:ser>
          <c:idx val="6"/>
          <c:order val="6"/>
          <c:tx>
            <c:strRef>
              <c:f>Drought!$C$781</c:f>
              <c:strCache>
                <c:ptCount val="1"/>
                <c:pt idx="0">
                  <c:v>Ambulatory Disability</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Drought!$J$783</c:f>
              <c:numCache>
                <c:formatCode>General</c:formatCode>
                <c:ptCount val="1"/>
                <c:pt idx="0">
                  <c:v>1</c:v>
                </c:pt>
              </c:numCache>
            </c:numRef>
          </c:xVal>
          <c:yVal>
            <c:numRef>
              <c:f>Drought!$J$782</c:f>
              <c:numCache>
                <c:formatCode>General</c:formatCode>
                <c:ptCount val="1"/>
                <c:pt idx="0">
                  <c:v>0</c:v>
                </c:pt>
              </c:numCache>
            </c:numRef>
          </c:yVal>
          <c:smooth val="0"/>
          <c:extLst>
            <c:ext xmlns:c16="http://schemas.microsoft.com/office/drawing/2014/chart" uri="{C3380CC4-5D6E-409C-BE32-E72D297353CC}">
              <c16:uniqueId val="{00000006-3FD9-4806-99F4-3B5257C5DF0A}"/>
            </c:ext>
          </c:extLst>
        </c:ser>
        <c:ser>
          <c:idx val="7"/>
          <c:order val="7"/>
          <c:tx>
            <c:strRef>
              <c:f>Drought!$C$785</c:f>
              <c:strCache>
                <c:ptCount val="1"/>
                <c:pt idx="0">
                  <c:v>Cognitive Disability</c:v>
                </c:pt>
              </c:strCache>
            </c:strRef>
          </c:tx>
          <c:spPr>
            <a:ln w="66675">
              <a:noFill/>
            </a:ln>
          </c:spPr>
          <c:dLbls>
            <c:dLbl>
              <c:idx val="0"/>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3FD9-4806-99F4-3B5257C5DF0A}"/>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Drought!$J$787</c:f>
              <c:numCache>
                <c:formatCode>General</c:formatCode>
                <c:ptCount val="1"/>
                <c:pt idx="0">
                  <c:v>2</c:v>
                </c:pt>
              </c:numCache>
            </c:numRef>
          </c:xVal>
          <c:yVal>
            <c:numRef>
              <c:f>Drought!$J$786</c:f>
              <c:numCache>
                <c:formatCode>General</c:formatCode>
                <c:ptCount val="1"/>
                <c:pt idx="0">
                  <c:v>0</c:v>
                </c:pt>
              </c:numCache>
            </c:numRef>
          </c:yVal>
          <c:smooth val="0"/>
          <c:extLst>
            <c:ext xmlns:c16="http://schemas.microsoft.com/office/drawing/2014/chart" uri="{C3380CC4-5D6E-409C-BE32-E72D297353CC}">
              <c16:uniqueId val="{00000008-3FD9-4806-99F4-3B5257C5DF0A}"/>
            </c:ext>
          </c:extLst>
        </c:ser>
        <c:ser>
          <c:idx val="8"/>
          <c:order val="8"/>
          <c:tx>
            <c:strRef>
              <c:f>Drought!$C$789</c:f>
              <c:strCache>
                <c:ptCount val="1"/>
                <c:pt idx="0">
                  <c:v>Limited English Proficiency</c:v>
                </c:pt>
              </c:strCache>
            </c:strRef>
          </c:tx>
          <c:spPr>
            <a:ln w="66675">
              <a:noFill/>
            </a:ln>
          </c:spPr>
          <c:dLbls>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Drought!$J$791</c:f>
              <c:numCache>
                <c:formatCode>General</c:formatCode>
                <c:ptCount val="1"/>
                <c:pt idx="0">
                  <c:v>2</c:v>
                </c:pt>
              </c:numCache>
            </c:numRef>
          </c:xVal>
          <c:yVal>
            <c:numRef>
              <c:f>Drought!$J$790</c:f>
              <c:numCache>
                <c:formatCode>General</c:formatCode>
                <c:ptCount val="1"/>
                <c:pt idx="0">
                  <c:v>0</c:v>
                </c:pt>
              </c:numCache>
            </c:numRef>
          </c:yVal>
          <c:smooth val="0"/>
          <c:extLst>
            <c:ext xmlns:c16="http://schemas.microsoft.com/office/drawing/2014/chart" uri="{C3380CC4-5D6E-409C-BE32-E72D297353CC}">
              <c16:uniqueId val="{00000009-3FD9-4806-99F4-3B5257C5DF0A}"/>
            </c:ext>
          </c:extLst>
        </c:ser>
        <c:dLbls>
          <c:showLegendKey val="0"/>
          <c:showVal val="1"/>
          <c:showCatName val="0"/>
          <c:showSerName val="0"/>
          <c:showPercent val="0"/>
          <c:showBubbleSize val="0"/>
        </c:dLbls>
        <c:axId val="196267008"/>
        <c:axId val="196174976"/>
      </c:scatterChart>
      <c:valAx>
        <c:axId val="196267008"/>
        <c:scaling>
          <c:orientation val="minMax"/>
          <c:max val="4.5"/>
          <c:min val="0"/>
        </c:scaling>
        <c:delete val="0"/>
        <c:axPos val="b"/>
        <c:majorGridlines/>
        <c:title>
          <c:tx>
            <c:rich>
              <a:bodyPr/>
              <a:lstStyle/>
              <a:p>
                <a:pPr>
                  <a:defRPr b="0">
                    <a:latin typeface="+mj-lt"/>
                  </a:defRPr>
                </a:pPr>
                <a:r>
                  <a:rPr lang="en-US" sz="1600" b="0">
                    <a:latin typeface="+mj-lt"/>
                  </a:rPr>
                  <a:t>Access Planning Score</a:t>
                </a:r>
              </a:p>
            </c:rich>
          </c:tx>
          <c:overlay val="0"/>
        </c:title>
        <c:numFmt formatCode="General" sourceLinked="1"/>
        <c:majorTickMark val="out"/>
        <c:minorTickMark val="none"/>
        <c:tickLblPos val="nextTo"/>
        <c:spPr>
          <a:ln>
            <a:solidFill>
              <a:schemeClr val="tx1"/>
            </a:solidFill>
          </a:ln>
        </c:spPr>
        <c:crossAx val="196174976"/>
        <c:crosses val="autoZero"/>
        <c:crossBetween val="midCat"/>
        <c:majorUnit val="1"/>
        <c:minorUnit val="0.1"/>
      </c:valAx>
      <c:valAx>
        <c:axId val="196174976"/>
        <c:scaling>
          <c:orientation val="minMax"/>
          <c:max val="4.5"/>
          <c:min val="0"/>
        </c:scaling>
        <c:delete val="0"/>
        <c:axPos val="l"/>
        <c:majorGridlines/>
        <c:title>
          <c:tx>
            <c:rich>
              <a:bodyPr rot="-5400000" vert="horz"/>
              <a:lstStyle/>
              <a:p>
                <a:pPr>
                  <a:defRPr sz="1600" b="0">
                    <a:latin typeface="+mj-lt"/>
                  </a:defRPr>
                </a:pPr>
                <a:r>
                  <a:rPr lang="en-US" sz="1600" b="0">
                    <a:latin typeface="+mj-lt"/>
                  </a:rPr>
                  <a:t>Population Size Score</a:t>
                </a:r>
              </a:p>
            </c:rich>
          </c:tx>
          <c:overlay val="0"/>
        </c:title>
        <c:numFmt formatCode="General" sourceLinked="1"/>
        <c:majorTickMark val="out"/>
        <c:minorTickMark val="none"/>
        <c:tickLblPos val="nextTo"/>
        <c:spPr>
          <a:ln>
            <a:solidFill>
              <a:schemeClr val="tx1"/>
            </a:solidFill>
          </a:ln>
        </c:spPr>
        <c:crossAx val="196267008"/>
        <c:crosses val="autoZero"/>
        <c:crossBetween val="midCat"/>
        <c:majorUnit val="1"/>
        <c:minorUnit val="0.1"/>
      </c:valAx>
      <c:spPr>
        <a:gradFill flip="none" rotWithShape="1">
          <a:gsLst>
            <a:gs pos="0">
              <a:srgbClr val="63BE7B"/>
            </a:gs>
            <a:gs pos="50000">
              <a:srgbClr val="FFEB84"/>
            </a:gs>
            <a:gs pos="100000">
              <a:srgbClr val="F8696B"/>
            </a:gs>
          </a:gsLst>
          <a:lin ang="189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defRPr b="0" u="sng">
                <a:latin typeface="+mj-lt"/>
              </a:defRPr>
            </a:pPr>
            <a:r>
              <a:rPr lang="en-US" b="0" u="sng">
                <a:latin typeface="+mj-lt"/>
              </a:rPr>
              <a:t>Public Health Preparedness</a:t>
            </a:r>
          </a:p>
        </c:rich>
      </c:tx>
      <c:layout>
        <c:manualLayout>
          <c:xMode val="edge"/>
          <c:yMode val="edge"/>
          <c:x val="0.30532356317913883"/>
          <c:y val="1.3244983721297133E-2"/>
        </c:manualLayout>
      </c:layout>
      <c:overlay val="0"/>
    </c:title>
    <c:autoTitleDeleted val="0"/>
    <c:plotArea>
      <c:layout/>
      <c:scatterChart>
        <c:scatterStyle val="lineMarker"/>
        <c:varyColors val="0"/>
        <c:ser>
          <c:idx val="0"/>
          <c:order val="0"/>
          <c:tx>
            <c:strRef>
              <c:f>Drought!$C$853</c:f>
              <c:strCache>
                <c:ptCount val="1"/>
                <c:pt idx="0">
                  <c:v>Info Sharing</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Drought!$J$854</c:f>
              <c:numCache>
                <c:formatCode>General</c:formatCode>
                <c:ptCount val="1"/>
                <c:pt idx="0">
                  <c:v>3</c:v>
                </c:pt>
              </c:numCache>
            </c:numRef>
          </c:xVal>
          <c:yVal>
            <c:numRef>
              <c:f>Drought!$J$855</c:f>
              <c:numCache>
                <c:formatCode>General</c:formatCode>
                <c:ptCount val="1"/>
                <c:pt idx="0">
                  <c:v>0</c:v>
                </c:pt>
              </c:numCache>
            </c:numRef>
          </c:yVal>
          <c:smooth val="0"/>
          <c:extLst>
            <c:ext xmlns:c16="http://schemas.microsoft.com/office/drawing/2014/chart" uri="{C3380CC4-5D6E-409C-BE32-E72D297353CC}">
              <c16:uniqueId val="{00000000-505D-4717-B4C5-0CACE1FA5DFA}"/>
            </c:ext>
          </c:extLst>
        </c:ser>
        <c:ser>
          <c:idx val="1"/>
          <c:order val="1"/>
          <c:tx>
            <c:strRef>
              <c:f>Drought!$C$857</c:f>
              <c:strCache>
                <c:ptCount val="1"/>
                <c:pt idx="0">
                  <c:v>Mass Care</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Drought!$J$858</c:f>
              <c:numCache>
                <c:formatCode>General</c:formatCode>
                <c:ptCount val="1"/>
                <c:pt idx="0">
                  <c:v>0</c:v>
                </c:pt>
              </c:numCache>
            </c:numRef>
          </c:xVal>
          <c:yVal>
            <c:numRef>
              <c:f>Drought!$J$859</c:f>
              <c:numCache>
                <c:formatCode>General</c:formatCode>
                <c:ptCount val="1"/>
                <c:pt idx="0">
                  <c:v>0</c:v>
                </c:pt>
              </c:numCache>
            </c:numRef>
          </c:yVal>
          <c:smooth val="0"/>
          <c:extLst>
            <c:ext xmlns:c16="http://schemas.microsoft.com/office/drawing/2014/chart" uri="{C3380CC4-5D6E-409C-BE32-E72D297353CC}">
              <c16:uniqueId val="{00000001-505D-4717-B4C5-0CACE1FA5DFA}"/>
            </c:ext>
          </c:extLst>
        </c:ser>
        <c:ser>
          <c:idx val="2"/>
          <c:order val="2"/>
          <c:tx>
            <c:strRef>
              <c:f>Drought!$C$861</c:f>
              <c:strCache>
                <c:ptCount val="1"/>
                <c:pt idx="0">
                  <c:v>MCM Dispens</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Drought!$J$862</c:f>
              <c:numCache>
                <c:formatCode>General</c:formatCode>
                <c:ptCount val="1"/>
                <c:pt idx="0">
                  <c:v>0</c:v>
                </c:pt>
              </c:numCache>
            </c:numRef>
          </c:xVal>
          <c:yVal>
            <c:numRef>
              <c:f>Drought!$J$863</c:f>
              <c:numCache>
                <c:formatCode>General</c:formatCode>
                <c:ptCount val="1"/>
                <c:pt idx="0">
                  <c:v>0</c:v>
                </c:pt>
              </c:numCache>
            </c:numRef>
          </c:yVal>
          <c:smooth val="0"/>
          <c:extLst>
            <c:ext xmlns:c16="http://schemas.microsoft.com/office/drawing/2014/chart" uri="{C3380CC4-5D6E-409C-BE32-E72D297353CC}">
              <c16:uniqueId val="{00000002-505D-4717-B4C5-0CACE1FA5DFA}"/>
            </c:ext>
          </c:extLst>
        </c:ser>
        <c:ser>
          <c:idx val="3"/>
          <c:order val="3"/>
          <c:tx>
            <c:strRef>
              <c:f>Drought!$C$865</c:f>
              <c:strCache>
                <c:ptCount val="1"/>
                <c:pt idx="0">
                  <c:v>Med Materiel Mgmt</c:v>
                </c:pt>
              </c:strCache>
            </c:strRef>
          </c:tx>
          <c:spPr>
            <a:ln w="66675">
              <a:noFill/>
            </a:ln>
          </c:spPr>
          <c:dLbls>
            <c:dLbl>
              <c:idx val="0"/>
              <c:layout>
                <c:manualLayout>
                  <c:x val="-1.5251807320996049E-17"/>
                  <c:y val="-1.700060716454159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505D-4717-B4C5-0CACE1FA5DFA}"/>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Drought!$J$866</c:f>
              <c:numCache>
                <c:formatCode>General</c:formatCode>
                <c:ptCount val="1"/>
                <c:pt idx="0">
                  <c:v>0</c:v>
                </c:pt>
              </c:numCache>
            </c:numRef>
          </c:xVal>
          <c:yVal>
            <c:numRef>
              <c:f>Drought!$J$867</c:f>
              <c:numCache>
                <c:formatCode>General</c:formatCode>
                <c:ptCount val="1"/>
                <c:pt idx="0">
                  <c:v>0</c:v>
                </c:pt>
              </c:numCache>
            </c:numRef>
          </c:yVal>
          <c:smooth val="0"/>
          <c:extLst>
            <c:ext xmlns:c16="http://schemas.microsoft.com/office/drawing/2014/chart" uri="{C3380CC4-5D6E-409C-BE32-E72D297353CC}">
              <c16:uniqueId val="{00000004-505D-4717-B4C5-0CACE1FA5DFA}"/>
            </c:ext>
          </c:extLst>
        </c:ser>
        <c:ser>
          <c:idx val="4"/>
          <c:order val="4"/>
          <c:tx>
            <c:strRef>
              <c:f>Drought!$C$869</c:f>
              <c:strCache>
                <c:ptCount val="1"/>
                <c:pt idx="0">
                  <c:v>Medical Surge</c:v>
                </c:pt>
              </c:strCache>
            </c:strRef>
          </c:tx>
          <c:spPr>
            <a:ln w="66675">
              <a:noFill/>
            </a:ln>
          </c:spPr>
          <c:dLbls>
            <c:dLbl>
              <c:idx val="0"/>
              <c:layout>
                <c:manualLayout>
                  <c:x val="-1.3101202729714231E-7"/>
                  <c:y val="1.700060716454159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505D-4717-B4C5-0CACE1FA5DFA}"/>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Drought!$J$870</c:f>
              <c:numCache>
                <c:formatCode>General</c:formatCode>
                <c:ptCount val="1"/>
                <c:pt idx="0">
                  <c:v>0</c:v>
                </c:pt>
              </c:numCache>
            </c:numRef>
          </c:xVal>
          <c:yVal>
            <c:numRef>
              <c:f>Drought!$J$871</c:f>
              <c:numCache>
                <c:formatCode>General</c:formatCode>
                <c:ptCount val="1"/>
                <c:pt idx="0">
                  <c:v>0</c:v>
                </c:pt>
              </c:numCache>
            </c:numRef>
          </c:yVal>
          <c:smooth val="0"/>
          <c:extLst>
            <c:ext xmlns:c16="http://schemas.microsoft.com/office/drawing/2014/chart" uri="{C3380CC4-5D6E-409C-BE32-E72D297353CC}">
              <c16:uniqueId val="{00000006-505D-4717-B4C5-0CACE1FA5DFA}"/>
            </c:ext>
          </c:extLst>
        </c:ser>
        <c:ser>
          <c:idx val="5"/>
          <c:order val="5"/>
          <c:tx>
            <c:strRef>
              <c:f>Drought!$C$873</c:f>
              <c:strCache>
                <c:ptCount val="1"/>
                <c:pt idx="0">
                  <c:v>Non-Pharm Interv</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Drought!$J$874</c:f>
              <c:numCache>
                <c:formatCode>General</c:formatCode>
                <c:ptCount val="1"/>
                <c:pt idx="0">
                  <c:v>0</c:v>
                </c:pt>
              </c:numCache>
            </c:numRef>
          </c:xVal>
          <c:yVal>
            <c:numRef>
              <c:f>Drought!$J$875</c:f>
              <c:numCache>
                <c:formatCode>General</c:formatCode>
                <c:ptCount val="1"/>
                <c:pt idx="0">
                  <c:v>0</c:v>
                </c:pt>
              </c:numCache>
            </c:numRef>
          </c:yVal>
          <c:smooth val="0"/>
          <c:extLst>
            <c:ext xmlns:c16="http://schemas.microsoft.com/office/drawing/2014/chart" uri="{C3380CC4-5D6E-409C-BE32-E72D297353CC}">
              <c16:uniqueId val="{00000007-505D-4717-B4C5-0CACE1FA5DFA}"/>
            </c:ext>
          </c:extLst>
        </c:ser>
        <c:ser>
          <c:idx val="6"/>
          <c:order val="6"/>
          <c:tx>
            <c:strRef>
              <c:f>Drought!$C$877</c:f>
              <c:strCache>
                <c:ptCount val="1"/>
                <c:pt idx="0">
                  <c:v>PH Lab Testing</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Drought!$J$878</c:f>
              <c:numCache>
                <c:formatCode>General</c:formatCode>
                <c:ptCount val="1"/>
                <c:pt idx="0">
                  <c:v>0</c:v>
                </c:pt>
              </c:numCache>
            </c:numRef>
          </c:xVal>
          <c:yVal>
            <c:numRef>
              <c:f>Drought!$J$879</c:f>
              <c:numCache>
                <c:formatCode>General</c:formatCode>
                <c:ptCount val="1"/>
                <c:pt idx="0">
                  <c:v>0</c:v>
                </c:pt>
              </c:numCache>
            </c:numRef>
          </c:yVal>
          <c:smooth val="0"/>
          <c:extLst>
            <c:ext xmlns:c16="http://schemas.microsoft.com/office/drawing/2014/chart" uri="{C3380CC4-5D6E-409C-BE32-E72D297353CC}">
              <c16:uniqueId val="{00000008-505D-4717-B4C5-0CACE1FA5DFA}"/>
            </c:ext>
          </c:extLst>
        </c:ser>
        <c:ser>
          <c:idx val="7"/>
          <c:order val="7"/>
          <c:tx>
            <c:strRef>
              <c:f>Drought!$C$881</c:f>
              <c:strCache>
                <c:ptCount val="1"/>
                <c:pt idx="0">
                  <c:v>PH Surv &amp; Epi</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Drought!$J$882</c:f>
              <c:numCache>
                <c:formatCode>General</c:formatCode>
                <c:ptCount val="1"/>
                <c:pt idx="0">
                  <c:v>3</c:v>
                </c:pt>
              </c:numCache>
            </c:numRef>
          </c:xVal>
          <c:yVal>
            <c:numRef>
              <c:f>Drought!$J$883</c:f>
              <c:numCache>
                <c:formatCode>General</c:formatCode>
                <c:ptCount val="1"/>
                <c:pt idx="0">
                  <c:v>0</c:v>
                </c:pt>
              </c:numCache>
            </c:numRef>
          </c:yVal>
          <c:smooth val="0"/>
          <c:extLst>
            <c:ext xmlns:c16="http://schemas.microsoft.com/office/drawing/2014/chart" uri="{C3380CC4-5D6E-409C-BE32-E72D297353CC}">
              <c16:uniqueId val="{00000009-505D-4717-B4C5-0CACE1FA5DFA}"/>
            </c:ext>
          </c:extLst>
        </c:ser>
        <c:ser>
          <c:idx val="8"/>
          <c:order val="8"/>
          <c:tx>
            <c:strRef>
              <c:f>Drought!$C$885</c:f>
              <c:strCache>
                <c:ptCount val="1"/>
                <c:pt idx="0">
                  <c:v>Responder Safety</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Drought!$J$886</c:f>
              <c:numCache>
                <c:formatCode>General</c:formatCode>
                <c:ptCount val="1"/>
                <c:pt idx="0">
                  <c:v>0</c:v>
                </c:pt>
              </c:numCache>
            </c:numRef>
          </c:xVal>
          <c:yVal>
            <c:numRef>
              <c:f>Drought!$J$887</c:f>
              <c:numCache>
                <c:formatCode>General</c:formatCode>
                <c:ptCount val="1"/>
                <c:pt idx="0">
                  <c:v>0</c:v>
                </c:pt>
              </c:numCache>
            </c:numRef>
          </c:yVal>
          <c:smooth val="0"/>
          <c:extLst>
            <c:ext xmlns:c16="http://schemas.microsoft.com/office/drawing/2014/chart" uri="{C3380CC4-5D6E-409C-BE32-E72D297353CC}">
              <c16:uniqueId val="{0000000A-505D-4717-B4C5-0CACE1FA5DFA}"/>
            </c:ext>
          </c:extLst>
        </c:ser>
        <c:ser>
          <c:idx val="9"/>
          <c:order val="9"/>
          <c:tx>
            <c:strRef>
              <c:f>Drought!$C$889</c:f>
              <c:strCache>
                <c:ptCount val="1"/>
                <c:pt idx="0">
                  <c:v>Volunteer Mgmt</c:v>
                </c:pt>
              </c:strCache>
            </c:strRef>
          </c:tx>
          <c:spPr>
            <a:ln w="66675">
              <a:noFill/>
            </a:ln>
          </c:spPr>
          <c:dLbls>
            <c:dLbl>
              <c:idx val="0"/>
              <c:layout>
                <c:manualLayout>
                  <c:x val="-1.5251807320996049E-17"/>
                  <c:y val="1.700060716454159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B-505D-4717-B4C5-0CACE1FA5DFA}"/>
                </c:ext>
              </c:extLst>
            </c:dLbl>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Drought!$J$890</c:f>
              <c:numCache>
                <c:formatCode>General</c:formatCode>
                <c:ptCount val="1"/>
                <c:pt idx="0">
                  <c:v>0</c:v>
                </c:pt>
              </c:numCache>
            </c:numRef>
          </c:xVal>
          <c:yVal>
            <c:numRef>
              <c:f>Drought!$J$891</c:f>
              <c:numCache>
                <c:formatCode>General</c:formatCode>
                <c:ptCount val="1"/>
                <c:pt idx="0">
                  <c:v>0</c:v>
                </c:pt>
              </c:numCache>
            </c:numRef>
          </c:yVal>
          <c:smooth val="0"/>
          <c:extLst>
            <c:ext xmlns:c16="http://schemas.microsoft.com/office/drawing/2014/chart" uri="{C3380CC4-5D6E-409C-BE32-E72D297353CC}">
              <c16:uniqueId val="{0000000C-505D-4717-B4C5-0CACE1FA5DFA}"/>
            </c:ext>
          </c:extLst>
        </c:ser>
        <c:ser>
          <c:idx val="10"/>
          <c:order val="10"/>
          <c:tx>
            <c:strRef>
              <c:f>Drought!$C$833</c:f>
              <c:strCache>
                <c:ptCount val="1"/>
                <c:pt idx="0">
                  <c:v>Community Prep</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Drought!$J$834</c:f>
              <c:numCache>
                <c:formatCode>General</c:formatCode>
                <c:ptCount val="1"/>
                <c:pt idx="0">
                  <c:v>4</c:v>
                </c:pt>
              </c:numCache>
            </c:numRef>
          </c:xVal>
          <c:yVal>
            <c:numRef>
              <c:f>Drought!$J$835</c:f>
              <c:numCache>
                <c:formatCode>General</c:formatCode>
                <c:ptCount val="1"/>
                <c:pt idx="0">
                  <c:v>0</c:v>
                </c:pt>
              </c:numCache>
            </c:numRef>
          </c:yVal>
          <c:smooth val="0"/>
          <c:extLst>
            <c:ext xmlns:c16="http://schemas.microsoft.com/office/drawing/2014/chart" uri="{C3380CC4-5D6E-409C-BE32-E72D297353CC}">
              <c16:uniqueId val="{0000000D-505D-4717-B4C5-0CACE1FA5DFA}"/>
            </c:ext>
          </c:extLst>
        </c:ser>
        <c:ser>
          <c:idx val="11"/>
          <c:order val="11"/>
          <c:tx>
            <c:strRef>
              <c:f>Drought!$C$837</c:f>
              <c:strCache>
                <c:ptCount val="1"/>
                <c:pt idx="0">
                  <c:v>Community Recov</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Drought!$J$838</c:f>
              <c:numCache>
                <c:formatCode>General</c:formatCode>
                <c:ptCount val="1"/>
                <c:pt idx="0">
                  <c:v>4</c:v>
                </c:pt>
              </c:numCache>
            </c:numRef>
          </c:xVal>
          <c:yVal>
            <c:numRef>
              <c:f>Drought!$J$839</c:f>
              <c:numCache>
                <c:formatCode>General</c:formatCode>
                <c:ptCount val="1"/>
                <c:pt idx="0">
                  <c:v>0</c:v>
                </c:pt>
              </c:numCache>
            </c:numRef>
          </c:yVal>
          <c:smooth val="0"/>
          <c:extLst>
            <c:ext xmlns:c16="http://schemas.microsoft.com/office/drawing/2014/chart" uri="{C3380CC4-5D6E-409C-BE32-E72D297353CC}">
              <c16:uniqueId val="{0000000E-505D-4717-B4C5-0CACE1FA5DFA}"/>
            </c:ext>
          </c:extLst>
        </c:ser>
        <c:ser>
          <c:idx val="12"/>
          <c:order val="12"/>
          <c:tx>
            <c:strRef>
              <c:f>Drought!$C$841</c:f>
              <c:strCache>
                <c:ptCount val="1"/>
                <c:pt idx="0">
                  <c:v>Emerg Ops Coord</c:v>
                </c:pt>
              </c:strCache>
            </c:strRef>
          </c:tx>
          <c:spPr>
            <a:ln w="66675">
              <a:noFill/>
            </a:ln>
          </c:spPr>
          <c:dLbls>
            <c:dLbl>
              <c:idx val="0"/>
              <c:layout>
                <c:manualLayout>
                  <c:x val="-1.3101202729714231E-7"/>
                  <c:y val="-1.9429456563831181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F-505D-4717-B4C5-0CACE1FA5DFA}"/>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Drought!$J$842</c:f>
              <c:numCache>
                <c:formatCode>General</c:formatCode>
                <c:ptCount val="1"/>
                <c:pt idx="0">
                  <c:v>0</c:v>
                </c:pt>
              </c:numCache>
            </c:numRef>
          </c:xVal>
          <c:yVal>
            <c:numRef>
              <c:f>Drought!$J$843</c:f>
              <c:numCache>
                <c:formatCode>General</c:formatCode>
                <c:ptCount val="1"/>
                <c:pt idx="0">
                  <c:v>0</c:v>
                </c:pt>
              </c:numCache>
            </c:numRef>
          </c:yVal>
          <c:smooth val="0"/>
          <c:extLst>
            <c:ext xmlns:c16="http://schemas.microsoft.com/office/drawing/2014/chart" uri="{C3380CC4-5D6E-409C-BE32-E72D297353CC}">
              <c16:uniqueId val="{00000010-505D-4717-B4C5-0CACE1FA5DFA}"/>
            </c:ext>
          </c:extLst>
        </c:ser>
        <c:ser>
          <c:idx val="13"/>
          <c:order val="13"/>
          <c:tx>
            <c:strRef>
              <c:f>Drought!$C$845</c:f>
              <c:strCache>
                <c:ptCount val="1"/>
                <c:pt idx="0">
                  <c:v>Emerg Public Info</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Drought!$J$846</c:f>
              <c:numCache>
                <c:formatCode>General</c:formatCode>
                <c:ptCount val="1"/>
                <c:pt idx="0">
                  <c:v>3</c:v>
                </c:pt>
              </c:numCache>
            </c:numRef>
          </c:xVal>
          <c:yVal>
            <c:numRef>
              <c:f>Drought!$J$847</c:f>
              <c:numCache>
                <c:formatCode>General</c:formatCode>
                <c:ptCount val="1"/>
                <c:pt idx="0">
                  <c:v>0</c:v>
                </c:pt>
              </c:numCache>
            </c:numRef>
          </c:yVal>
          <c:smooth val="0"/>
          <c:extLst>
            <c:ext xmlns:c16="http://schemas.microsoft.com/office/drawing/2014/chart" uri="{C3380CC4-5D6E-409C-BE32-E72D297353CC}">
              <c16:uniqueId val="{00000011-505D-4717-B4C5-0CACE1FA5DFA}"/>
            </c:ext>
          </c:extLst>
        </c:ser>
        <c:ser>
          <c:idx val="14"/>
          <c:order val="14"/>
          <c:tx>
            <c:strRef>
              <c:f>Drought!$C$964</c:f>
              <c:strCache>
                <c:ptCount val="1"/>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Drought!$J$965</c:f>
            </c:numRef>
          </c:xVal>
          <c:yVal>
            <c:numRef>
              <c:f>Drought!$J$966</c:f>
            </c:numRef>
          </c:yVal>
          <c:smooth val="0"/>
          <c:extLst>
            <c:ext xmlns:c16="http://schemas.microsoft.com/office/drawing/2014/chart" uri="{C3380CC4-5D6E-409C-BE32-E72D297353CC}">
              <c16:uniqueId val="{00000012-505D-4717-B4C5-0CACE1FA5DFA}"/>
            </c:ext>
          </c:extLst>
        </c:ser>
        <c:ser>
          <c:idx val="15"/>
          <c:order val="15"/>
          <c:tx>
            <c:strRef>
              <c:f>Drought!$C$849</c:f>
              <c:strCache>
                <c:ptCount val="1"/>
                <c:pt idx="0">
                  <c:v>Fatality Mgmt</c:v>
                </c:pt>
              </c:strCache>
            </c:strRef>
          </c:tx>
          <c:spPr>
            <a:ln w="66675">
              <a:noFill/>
            </a:ln>
          </c:spP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3-505D-4717-B4C5-0CACE1FA5DF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Drought!$J$850</c:f>
              <c:numCache>
                <c:formatCode>General</c:formatCode>
                <c:ptCount val="1"/>
                <c:pt idx="0">
                  <c:v>0</c:v>
                </c:pt>
              </c:numCache>
            </c:numRef>
          </c:xVal>
          <c:yVal>
            <c:numRef>
              <c:f>Drought!$J$851</c:f>
              <c:numCache>
                <c:formatCode>General</c:formatCode>
                <c:ptCount val="1"/>
                <c:pt idx="0">
                  <c:v>0</c:v>
                </c:pt>
              </c:numCache>
            </c:numRef>
          </c:yVal>
          <c:smooth val="0"/>
          <c:extLst>
            <c:ext xmlns:c16="http://schemas.microsoft.com/office/drawing/2014/chart" uri="{C3380CC4-5D6E-409C-BE32-E72D297353CC}">
              <c16:uniqueId val="{00000014-505D-4717-B4C5-0CACE1FA5DFA}"/>
            </c:ext>
          </c:extLst>
        </c:ser>
        <c:dLbls>
          <c:showLegendKey val="0"/>
          <c:showVal val="1"/>
          <c:showCatName val="0"/>
          <c:showSerName val="0"/>
          <c:showPercent val="0"/>
          <c:showBubbleSize val="0"/>
        </c:dLbls>
        <c:axId val="196312064"/>
        <c:axId val="196326528"/>
      </c:scatterChart>
      <c:valAx>
        <c:axId val="196312064"/>
        <c:scaling>
          <c:orientation val="minMax"/>
          <c:max val="4.5"/>
          <c:min val="0"/>
        </c:scaling>
        <c:delete val="0"/>
        <c:axPos val="b"/>
        <c:majorGridlines/>
        <c:title>
          <c:tx>
            <c:rich>
              <a:bodyPr/>
              <a:lstStyle/>
              <a:p>
                <a:pPr>
                  <a:defRPr b="0">
                    <a:latin typeface="+mj-lt"/>
                  </a:defRPr>
                </a:pPr>
                <a:r>
                  <a:rPr lang="en-US" sz="1600" b="0">
                    <a:latin typeface="+mj-lt"/>
                  </a:rPr>
                  <a:t>Capability Relevance to Hazard</a:t>
                </a:r>
              </a:p>
            </c:rich>
          </c:tx>
          <c:overlay val="0"/>
        </c:title>
        <c:numFmt formatCode="General" sourceLinked="1"/>
        <c:majorTickMark val="out"/>
        <c:minorTickMark val="none"/>
        <c:tickLblPos val="nextTo"/>
        <c:spPr>
          <a:ln>
            <a:solidFill>
              <a:schemeClr val="tx1"/>
            </a:solidFill>
          </a:ln>
        </c:spPr>
        <c:crossAx val="196326528"/>
        <c:crosses val="autoZero"/>
        <c:crossBetween val="midCat"/>
        <c:majorUnit val="1"/>
        <c:minorUnit val="0.1"/>
      </c:valAx>
      <c:valAx>
        <c:axId val="196326528"/>
        <c:scaling>
          <c:orientation val="minMax"/>
          <c:max val="4.5"/>
          <c:min val="0"/>
        </c:scaling>
        <c:delete val="0"/>
        <c:axPos val="l"/>
        <c:majorGridlines/>
        <c:title>
          <c:tx>
            <c:rich>
              <a:bodyPr rot="-5400000" vert="horz"/>
              <a:lstStyle/>
              <a:p>
                <a:pPr>
                  <a:defRPr sz="1600" b="0">
                    <a:latin typeface="+mj-lt"/>
                  </a:defRPr>
                </a:pPr>
                <a:r>
                  <a:rPr lang="en-US" sz="1600" b="0">
                    <a:latin typeface="+mj-lt"/>
                  </a:rPr>
                  <a:t>Capability Status</a:t>
                </a:r>
              </a:p>
            </c:rich>
          </c:tx>
          <c:overlay val="0"/>
        </c:title>
        <c:numFmt formatCode="General" sourceLinked="1"/>
        <c:majorTickMark val="out"/>
        <c:minorTickMark val="none"/>
        <c:tickLblPos val="nextTo"/>
        <c:spPr>
          <a:ln>
            <a:solidFill>
              <a:schemeClr val="tx1"/>
            </a:solidFill>
          </a:ln>
        </c:spPr>
        <c:crossAx val="196312064"/>
        <c:crosses val="autoZero"/>
        <c:crossBetween val="midCat"/>
        <c:majorUnit val="1"/>
        <c:minorUnit val="0.1"/>
      </c:valAx>
      <c:spPr>
        <a:gradFill flip="none" rotWithShape="1">
          <a:gsLst>
            <a:gs pos="0">
              <a:srgbClr val="63BE7B"/>
            </a:gs>
            <a:gs pos="50000">
              <a:srgbClr val="FFEB84"/>
            </a:gs>
            <a:gs pos="100000">
              <a:srgbClr val="F8696B"/>
            </a:gs>
          </a:gsLst>
          <a:lin ang="27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defRPr b="0" u="sng">
                <a:latin typeface="+mj-lt"/>
              </a:defRPr>
            </a:pPr>
            <a:r>
              <a:rPr lang="en-US" b="0" u="sng">
                <a:latin typeface="+mj-lt"/>
              </a:rPr>
              <a:t>Healthcare</a:t>
            </a:r>
            <a:r>
              <a:rPr lang="en-US" b="0" u="sng" baseline="0">
                <a:latin typeface="+mj-lt"/>
              </a:rPr>
              <a:t> </a:t>
            </a:r>
            <a:r>
              <a:rPr lang="en-US" b="0" u="sng">
                <a:latin typeface="+mj-lt"/>
              </a:rPr>
              <a:t>Preparedness</a:t>
            </a:r>
          </a:p>
        </c:rich>
      </c:tx>
      <c:layout>
        <c:manualLayout>
          <c:xMode val="edge"/>
          <c:yMode val="edge"/>
          <c:x val="0.39517157793636992"/>
          <c:y val="1.3244983721297133E-2"/>
        </c:manualLayout>
      </c:layout>
      <c:overlay val="0"/>
    </c:title>
    <c:autoTitleDeleted val="0"/>
    <c:plotArea>
      <c:layout/>
      <c:scatterChart>
        <c:scatterStyle val="lineMarker"/>
        <c:varyColors val="0"/>
        <c:ser>
          <c:idx val="0"/>
          <c:order val="0"/>
          <c:tx>
            <c:strRef>
              <c:f>Drought!$C$903</c:f>
              <c:strCache>
                <c:ptCount val="1"/>
                <c:pt idx="0">
                  <c:v>HC System Prep</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Drought!$J$904</c:f>
              <c:numCache>
                <c:formatCode>General</c:formatCode>
                <c:ptCount val="1"/>
                <c:pt idx="0">
                  <c:v>4</c:v>
                </c:pt>
              </c:numCache>
            </c:numRef>
          </c:xVal>
          <c:yVal>
            <c:numRef>
              <c:f>Drought!$J$905</c:f>
              <c:numCache>
                <c:formatCode>General</c:formatCode>
                <c:ptCount val="1"/>
                <c:pt idx="0">
                  <c:v>0</c:v>
                </c:pt>
              </c:numCache>
            </c:numRef>
          </c:yVal>
          <c:smooth val="0"/>
          <c:extLst>
            <c:ext xmlns:c16="http://schemas.microsoft.com/office/drawing/2014/chart" uri="{C3380CC4-5D6E-409C-BE32-E72D297353CC}">
              <c16:uniqueId val="{00000000-8331-4B30-90C2-BE9A4592E35A}"/>
            </c:ext>
          </c:extLst>
        </c:ser>
        <c:ser>
          <c:idx val="1"/>
          <c:order val="1"/>
          <c:tx>
            <c:strRef>
              <c:f>Drought!$C$907</c:f>
              <c:strCache>
                <c:ptCount val="1"/>
                <c:pt idx="0">
                  <c:v>HC System Recov</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Drought!$J$908</c:f>
              <c:numCache>
                <c:formatCode>General</c:formatCode>
                <c:ptCount val="1"/>
                <c:pt idx="0">
                  <c:v>4</c:v>
                </c:pt>
              </c:numCache>
            </c:numRef>
          </c:xVal>
          <c:yVal>
            <c:numRef>
              <c:f>Drought!$J$909</c:f>
              <c:numCache>
                <c:formatCode>General</c:formatCode>
                <c:ptCount val="1"/>
                <c:pt idx="0">
                  <c:v>0</c:v>
                </c:pt>
              </c:numCache>
            </c:numRef>
          </c:yVal>
          <c:smooth val="0"/>
          <c:extLst>
            <c:ext xmlns:c16="http://schemas.microsoft.com/office/drawing/2014/chart" uri="{C3380CC4-5D6E-409C-BE32-E72D297353CC}">
              <c16:uniqueId val="{00000001-8331-4B30-90C2-BE9A4592E35A}"/>
            </c:ext>
          </c:extLst>
        </c:ser>
        <c:ser>
          <c:idx val="2"/>
          <c:order val="2"/>
          <c:tx>
            <c:strRef>
              <c:f>Drought!$C$911</c:f>
              <c:strCache>
                <c:ptCount val="1"/>
                <c:pt idx="0">
                  <c:v>Emerg Ops Coord</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Drought!$J$912</c:f>
              <c:numCache>
                <c:formatCode>General</c:formatCode>
                <c:ptCount val="1"/>
                <c:pt idx="0">
                  <c:v>0</c:v>
                </c:pt>
              </c:numCache>
            </c:numRef>
          </c:xVal>
          <c:yVal>
            <c:numRef>
              <c:f>Drought!$J$913</c:f>
              <c:numCache>
                <c:formatCode>General</c:formatCode>
                <c:ptCount val="1"/>
                <c:pt idx="0">
                  <c:v>0</c:v>
                </c:pt>
              </c:numCache>
            </c:numRef>
          </c:yVal>
          <c:smooth val="0"/>
          <c:extLst>
            <c:ext xmlns:c16="http://schemas.microsoft.com/office/drawing/2014/chart" uri="{C3380CC4-5D6E-409C-BE32-E72D297353CC}">
              <c16:uniqueId val="{00000002-8331-4B30-90C2-BE9A4592E35A}"/>
            </c:ext>
          </c:extLst>
        </c:ser>
        <c:ser>
          <c:idx val="3"/>
          <c:order val="3"/>
          <c:tx>
            <c:strRef>
              <c:f>Drought!$C$915</c:f>
              <c:strCache>
                <c:ptCount val="1"/>
                <c:pt idx="0">
                  <c:v>Fatality Mgmt</c:v>
                </c:pt>
              </c:strCache>
            </c:strRef>
          </c:tx>
          <c:spPr>
            <a:ln w="66675">
              <a:noFill/>
            </a:ln>
          </c:spPr>
          <c:dLbls>
            <c:dLbl>
              <c:idx val="0"/>
              <c:layout>
                <c:manualLayout>
                  <c:x val="-1.5251807320996049E-17"/>
                  <c:y val="-1.700060716454159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8331-4B30-90C2-BE9A4592E35A}"/>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Drought!$J$916</c:f>
              <c:numCache>
                <c:formatCode>General</c:formatCode>
                <c:ptCount val="1"/>
                <c:pt idx="0">
                  <c:v>0</c:v>
                </c:pt>
              </c:numCache>
            </c:numRef>
          </c:xVal>
          <c:yVal>
            <c:numRef>
              <c:f>Drought!$J$917</c:f>
              <c:numCache>
                <c:formatCode>General</c:formatCode>
                <c:ptCount val="1"/>
                <c:pt idx="0">
                  <c:v>0</c:v>
                </c:pt>
              </c:numCache>
            </c:numRef>
          </c:yVal>
          <c:smooth val="0"/>
          <c:extLst>
            <c:ext xmlns:c16="http://schemas.microsoft.com/office/drawing/2014/chart" uri="{C3380CC4-5D6E-409C-BE32-E72D297353CC}">
              <c16:uniqueId val="{00000004-8331-4B30-90C2-BE9A4592E35A}"/>
            </c:ext>
          </c:extLst>
        </c:ser>
        <c:ser>
          <c:idx val="4"/>
          <c:order val="4"/>
          <c:tx>
            <c:strRef>
              <c:f>Drought!$C$919</c:f>
              <c:strCache>
                <c:ptCount val="1"/>
                <c:pt idx="0">
                  <c:v>Info Sharing</c:v>
                </c:pt>
              </c:strCache>
            </c:strRef>
          </c:tx>
          <c:spPr>
            <a:ln w="66675">
              <a:noFill/>
            </a:ln>
          </c:spPr>
          <c:dLbls>
            <c:dLbl>
              <c:idx val="0"/>
              <c:layout>
                <c:manualLayout>
                  <c:x val="-1.3101202729714231E-7"/>
                  <c:y val="1.700060716454159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8331-4B30-90C2-BE9A4592E35A}"/>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Drought!$J$920</c:f>
              <c:numCache>
                <c:formatCode>General</c:formatCode>
                <c:ptCount val="1"/>
                <c:pt idx="0">
                  <c:v>3</c:v>
                </c:pt>
              </c:numCache>
            </c:numRef>
          </c:xVal>
          <c:yVal>
            <c:numRef>
              <c:f>Drought!$J$921</c:f>
              <c:numCache>
                <c:formatCode>General</c:formatCode>
                <c:ptCount val="1"/>
                <c:pt idx="0">
                  <c:v>0</c:v>
                </c:pt>
              </c:numCache>
            </c:numRef>
          </c:yVal>
          <c:smooth val="0"/>
          <c:extLst>
            <c:ext xmlns:c16="http://schemas.microsoft.com/office/drawing/2014/chart" uri="{C3380CC4-5D6E-409C-BE32-E72D297353CC}">
              <c16:uniqueId val="{00000006-8331-4B30-90C2-BE9A4592E35A}"/>
            </c:ext>
          </c:extLst>
        </c:ser>
        <c:ser>
          <c:idx val="5"/>
          <c:order val="5"/>
          <c:tx>
            <c:strRef>
              <c:f>Drought!$C$923</c:f>
              <c:strCache>
                <c:ptCount val="1"/>
                <c:pt idx="0">
                  <c:v>Medical Surge</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Drought!$J$924</c:f>
              <c:numCache>
                <c:formatCode>General</c:formatCode>
                <c:ptCount val="1"/>
                <c:pt idx="0">
                  <c:v>0</c:v>
                </c:pt>
              </c:numCache>
            </c:numRef>
          </c:xVal>
          <c:yVal>
            <c:numRef>
              <c:f>Drought!$J$925</c:f>
              <c:numCache>
                <c:formatCode>General</c:formatCode>
                <c:ptCount val="1"/>
                <c:pt idx="0">
                  <c:v>0</c:v>
                </c:pt>
              </c:numCache>
            </c:numRef>
          </c:yVal>
          <c:smooth val="0"/>
          <c:extLst>
            <c:ext xmlns:c16="http://schemas.microsoft.com/office/drawing/2014/chart" uri="{C3380CC4-5D6E-409C-BE32-E72D297353CC}">
              <c16:uniqueId val="{00000007-8331-4B30-90C2-BE9A4592E35A}"/>
            </c:ext>
          </c:extLst>
        </c:ser>
        <c:ser>
          <c:idx val="6"/>
          <c:order val="6"/>
          <c:tx>
            <c:strRef>
              <c:f>Drought!$C$927</c:f>
              <c:strCache>
                <c:ptCount val="1"/>
                <c:pt idx="0">
                  <c:v>Responder Safety</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Drought!$J$928</c:f>
              <c:numCache>
                <c:formatCode>General</c:formatCode>
                <c:ptCount val="1"/>
                <c:pt idx="0">
                  <c:v>0</c:v>
                </c:pt>
              </c:numCache>
            </c:numRef>
          </c:xVal>
          <c:yVal>
            <c:numRef>
              <c:f>Drought!$J$929</c:f>
              <c:numCache>
                <c:formatCode>General</c:formatCode>
                <c:ptCount val="1"/>
                <c:pt idx="0">
                  <c:v>0</c:v>
                </c:pt>
              </c:numCache>
            </c:numRef>
          </c:yVal>
          <c:smooth val="0"/>
          <c:extLst>
            <c:ext xmlns:c16="http://schemas.microsoft.com/office/drawing/2014/chart" uri="{C3380CC4-5D6E-409C-BE32-E72D297353CC}">
              <c16:uniqueId val="{00000008-8331-4B30-90C2-BE9A4592E35A}"/>
            </c:ext>
          </c:extLst>
        </c:ser>
        <c:ser>
          <c:idx val="7"/>
          <c:order val="7"/>
          <c:tx>
            <c:strRef>
              <c:f>Drought!$C$931</c:f>
              <c:strCache>
                <c:ptCount val="1"/>
                <c:pt idx="0">
                  <c:v>Volunteer Mgmt</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Drought!$J$932</c:f>
              <c:numCache>
                <c:formatCode>General</c:formatCode>
                <c:ptCount val="1"/>
                <c:pt idx="0">
                  <c:v>0</c:v>
                </c:pt>
              </c:numCache>
            </c:numRef>
          </c:xVal>
          <c:yVal>
            <c:numRef>
              <c:f>Drought!$J$933</c:f>
              <c:numCache>
                <c:formatCode>General</c:formatCode>
                <c:ptCount val="1"/>
                <c:pt idx="0">
                  <c:v>0</c:v>
                </c:pt>
              </c:numCache>
            </c:numRef>
          </c:yVal>
          <c:smooth val="0"/>
          <c:extLst>
            <c:ext xmlns:c16="http://schemas.microsoft.com/office/drawing/2014/chart" uri="{C3380CC4-5D6E-409C-BE32-E72D297353CC}">
              <c16:uniqueId val="{00000009-8331-4B30-90C2-BE9A4592E35A}"/>
            </c:ext>
          </c:extLst>
        </c:ser>
        <c:ser>
          <c:idx val="14"/>
          <c:order val="8"/>
          <c:tx>
            <c:strRef>
              <c:f>Drought!$C$964</c:f>
              <c:strCache>
                <c:ptCount val="1"/>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Drought!$J$965</c:f>
            </c:numRef>
          </c:xVal>
          <c:yVal>
            <c:numRef>
              <c:f>Drought!$J$966</c:f>
            </c:numRef>
          </c:yVal>
          <c:smooth val="0"/>
          <c:extLst>
            <c:ext xmlns:c16="http://schemas.microsoft.com/office/drawing/2014/chart" uri="{C3380CC4-5D6E-409C-BE32-E72D297353CC}">
              <c16:uniqueId val="{0000000A-8331-4B30-90C2-BE9A4592E35A}"/>
            </c:ext>
          </c:extLst>
        </c:ser>
        <c:dLbls>
          <c:showLegendKey val="0"/>
          <c:showVal val="1"/>
          <c:showCatName val="0"/>
          <c:showSerName val="0"/>
          <c:showPercent val="0"/>
          <c:showBubbleSize val="0"/>
        </c:dLbls>
        <c:axId val="196530176"/>
        <c:axId val="196532096"/>
      </c:scatterChart>
      <c:valAx>
        <c:axId val="196530176"/>
        <c:scaling>
          <c:orientation val="minMax"/>
          <c:max val="4.5"/>
          <c:min val="0"/>
        </c:scaling>
        <c:delete val="0"/>
        <c:axPos val="b"/>
        <c:majorGridlines/>
        <c:title>
          <c:tx>
            <c:rich>
              <a:bodyPr/>
              <a:lstStyle/>
              <a:p>
                <a:pPr>
                  <a:defRPr b="0">
                    <a:latin typeface="+mj-lt"/>
                  </a:defRPr>
                </a:pPr>
                <a:r>
                  <a:rPr lang="en-US" sz="1600" b="0">
                    <a:latin typeface="+mj-lt"/>
                  </a:rPr>
                  <a:t>Capability Relevance to Hazard</a:t>
                </a:r>
              </a:p>
            </c:rich>
          </c:tx>
          <c:overlay val="0"/>
        </c:title>
        <c:numFmt formatCode="General" sourceLinked="1"/>
        <c:majorTickMark val="out"/>
        <c:minorTickMark val="none"/>
        <c:tickLblPos val="nextTo"/>
        <c:spPr>
          <a:ln>
            <a:solidFill>
              <a:schemeClr val="tx1"/>
            </a:solidFill>
          </a:ln>
        </c:spPr>
        <c:crossAx val="196532096"/>
        <c:crosses val="autoZero"/>
        <c:crossBetween val="midCat"/>
        <c:majorUnit val="1"/>
        <c:minorUnit val="0.1"/>
      </c:valAx>
      <c:valAx>
        <c:axId val="196532096"/>
        <c:scaling>
          <c:orientation val="minMax"/>
          <c:max val="4.5"/>
          <c:min val="0"/>
        </c:scaling>
        <c:delete val="0"/>
        <c:axPos val="l"/>
        <c:majorGridlines/>
        <c:title>
          <c:tx>
            <c:rich>
              <a:bodyPr rot="-5400000" vert="horz"/>
              <a:lstStyle/>
              <a:p>
                <a:pPr>
                  <a:defRPr sz="1600" b="0">
                    <a:latin typeface="+mj-lt"/>
                  </a:defRPr>
                </a:pPr>
                <a:r>
                  <a:rPr lang="en-US" sz="1600" b="0">
                    <a:latin typeface="+mj-lt"/>
                  </a:rPr>
                  <a:t>Capability Status</a:t>
                </a:r>
              </a:p>
            </c:rich>
          </c:tx>
          <c:overlay val="0"/>
        </c:title>
        <c:numFmt formatCode="General" sourceLinked="1"/>
        <c:majorTickMark val="out"/>
        <c:minorTickMark val="none"/>
        <c:tickLblPos val="nextTo"/>
        <c:spPr>
          <a:ln>
            <a:solidFill>
              <a:schemeClr val="tx1"/>
            </a:solidFill>
          </a:ln>
        </c:spPr>
        <c:crossAx val="196530176"/>
        <c:crosses val="autoZero"/>
        <c:crossBetween val="midCat"/>
        <c:majorUnit val="1"/>
        <c:minorUnit val="0.1"/>
      </c:valAx>
      <c:spPr>
        <a:gradFill flip="none" rotWithShape="1">
          <a:gsLst>
            <a:gs pos="0">
              <a:srgbClr val="63BE7B"/>
            </a:gs>
            <a:gs pos="50000">
              <a:srgbClr val="FFEB84"/>
            </a:gs>
            <a:gs pos="100000">
              <a:srgbClr val="F8696B"/>
            </a:gs>
          </a:gsLst>
          <a:lin ang="27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b="0" u="sng">
                <a:latin typeface="+mj-lt"/>
              </a:defRPr>
            </a:pPr>
            <a:r>
              <a:rPr lang="en-US" b="0" u="sng">
                <a:latin typeface="+mj-lt"/>
              </a:rPr>
              <a:t>Public Health Service Impact</a:t>
            </a:r>
          </a:p>
        </c:rich>
      </c:tx>
      <c:layout>
        <c:manualLayout>
          <c:xMode val="edge"/>
          <c:yMode val="edge"/>
          <c:x val="0.31221178987869136"/>
          <c:y val="1.8102300054023301E-2"/>
        </c:manualLayout>
      </c:layout>
      <c:overlay val="0"/>
    </c:title>
    <c:autoTitleDeleted val="0"/>
    <c:plotArea>
      <c:layout/>
      <c:barChart>
        <c:barDir val="col"/>
        <c:grouping val="clustered"/>
        <c:varyColors val="0"/>
        <c:ser>
          <c:idx val="3"/>
          <c:order val="0"/>
          <c:tx>
            <c:strRef>
              <c:f>Severity!$W$151</c:f>
              <c:strCache>
                <c:ptCount val="1"/>
                <c:pt idx="0">
                  <c:v>Public Health Service Imact</c:v>
                </c:pt>
              </c:strCache>
            </c:strRef>
          </c:tx>
          <c:spPr>
            <a:scene3d>
              <a:camera prst="orthographicFront"/>
              <a:lightRig rig="threePt" dir="t"/>
            </a:scene3d>
            <a:sp3d prstMaterial="dkEdge">
              <a:bevelT w="63500" h="50800"/>
            </a:sp3d>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Severity!$R$152:$R$181</c:f>
              <c:strCache>
                <c:ptCount val="20"/>
                <c:pt idx="0">
                  <c:v>Active Shooter</c:v>
                </c:pt>
                <c:pt idx="1">
                  <c:v>Biological Terrorism</c:v>
                </c:pt>
                <c:pt idx="2">
                  <c:v>Chemical Terrorism</c:v>
                </c:pt>
                <c:pt idx="3">
                  <c:v>Civil Disturbance</c:v>
                </c:pt>
                <c:pt idx="4">
                  <c:v>Coastal Storm</c:v>
                </c:pt>
                <c:pt idx="5">
                  <c:v>Conventional Explosive</c:v>
                </c:pt>
                <c:pt idx="6">
                  <c:v>Cyber Terrorism</c:v>
                </c:pt>
                <c:pt idx="7">
                  <c:v>Drought</c:v>
                </c:pt>
                <c:pt idx="8">
                  <c:v>Earthquake</c:v>
                </c:pt>
                <c:pt idx="9">
                  <c:v>Flood</c:v>
                </c:pt>
                <c:pt idx="10">
                  <c:v>Hazardous Materials Release</c:v>
                </c:pt>
                <c:pt idx="11">
                  <c:v>Localized Infectious Disease</c:v>
                </c:pt>
                <c:pt idx="12">
                  <c:v>Nuclear Facility Accident</c:v>
                </c:pt>
                <c:pt idx="13">
                  <c:v>Pandemic</c:v>
                </c:pt>
                <c:pt idx="14">
                  <c:v>Radiation Dispersal Device</c:v>
                </c:pt>
                <c:pt idx="15">
                  <c:v>Temperature Extremes</c:v>
                </c:pt>
                <c:pt idx="16">
                  <c:v>Tornado</c:v>
                </c:pt>
                <c:pt idx="17">
                  <c:v>Utility Interruption</c:v>
                </c:pt>
                <c:pt idx="18">
                  <c:v>Wildfire</c:v>
                </c:pt>
                <c:pt idx="19">
                  <c:v>Winter Storm</c:v>
                </c:pt>
              </c:strCache>
            </c:strRef>
          </c:cat>
          <c:val>
            <c:numRef>
              <c:f>Severity!$W$152:$W$181</c:f>
              <c:numCache>
                <c:formatCode>0.00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0-5CC9-4F12-976D-54514B302281}"/>
            </c:ext>
          </c:extLst>
        </c:ser>
        <c:dLbls>
          <c:showLegendKey val="0"/>
          <c:showVal val="1"/>
          <c:showCatName val="0"/>
          <c:showSerName val="0"/>
          <c:showPercent val="0"/>
          <c:showBubbleSize val="0"/>
        </c:dLbls>
        <c:gapWidth val="150"/>
        <c:axId val="149218432"/>
        <c:axId val="149220352"/>
      </c:barChart>
      <c:catAx>
        <c:axId val="149218432"/>
        <c:scaling>
          <c:orientation val="minMax"/>
        </c:scaling>
        <c:delete val="0"/>
        <c:axPos val="b"/>
        <c:title>
          <c:tx>
            <c:rich>
              <a:bodyPr/>
              <a:lstStyle/>
              <a:p>
                <a:pPr>
                  <a:defRPr b="0">
                    <a:latin typeface="+mj-lt"/>
                  </a:defRPr>
                </a:pPr>
                <a:r>
                  <a:rPr lang="en-US" sz="1600" b="0">
                    <a:latin typeface="+mj-lt"/>
                  </a:rPr>
                  <a:t>Hazard</a:t>
                </a:r>
              </a:p>
            </c:rich>
          </c:tx>
          <c:layout>
            <c:manualLayout>
              <c:xMode val="edge"/>
              <c:yMode val="edge"/>
              <c:x val="0.43549307562041467"/>
              <c:y val="0.92043715846994456"/>
            </c:manualLayout>
          </c:layout>
          <c:overlay val="0"/>
        </c:title>
        <c:numFmt formatCode="General" sourceLinked="1"/>
        <c:majorTickMark val="out"/>
        <c:minorTickMark val="none"/>
        <c:tickLblPos val="nextTo"/>
        <c:spPr>
          <a:ln>
            <a:solidFill>
              <a:schemeClr val="tx1"/>
            </a:solidFill>
          </a:ln>
        </c:spPr>
        <c:crossAx val="149220352"/>
        <c:crosses val="autoZero"/>
        <c:auto val="1"/>
        <c:lblAlgn val="ctr"/>
        <c:lblOffset val="100"/>
        <c:noMultiLvlLbl val="0"/>
      </c:catAx>
      <c:valAx>
        <c:axId val="149220352"/>
        <c:scaling>
          <c:orientation val="minMax"/>
        </c:scaling>
        <c:delete val="0"/>
        <c:axPos val="l"/>
        <c:majorGridlines/>
        <c:title>
          <c:tx>
            <c:rich>
              <a:bodyPr rot="-5400000" vert="horz"/>
              <a:lstStyle/>
              <a:p>
                <a:pPr>
                  <a:defRPr sz="1600" b="0">
                    <a:latin typeface="+mj-lt"/>
                  </a:defRPr>
                </a:pPr>
                <a:r>
                  <a:rPr lang="en-US" sz="1600" b="0">
                    <a:latin typeface="+mj-lt"/>
                  </a:rPr>
                  <a:t>Severity</a:t>
                </a:r>
              </a:p>
            </c:rich>
          </c:tx>
          <c:layout>
            <c:manualLayout>
              <c:xMode val="edge"/>
              <c:yMode val="edge"/>
              <c:x val="1.1646970752609181E-2"/>
              <c:y val="0.28418895725466126"/>
            </c:manualLayout>
          </c:layout>
          <c:overlay val="0"/>
        </c:title>
        <c:numFmt formatCode="#,##0.00" sourceLinked="0"/>
        <c:majorTickMark val="out"/>
        <c:minorTickMark val="none"/>
        <c:tickLblPos val="nextTo"/>
        <c:spPr>
          <a:ln>
            <a:solidFill>
              <a:schemeClr val="tx1"/>
            </a:solidFill>
          </a:ln>
        </c:spPr>
        <c:crossAx val="149218432"/>
        <c:crosses val="autoZero"/>
        <c:crossBetween val="between"/>
      </c:valAx>
      <c:spPr>
        <a:gradFill flip="none" rotWithShape="1">
          <a:gsLst>
            <a:gs pos="0">
              <a:srgbClr val="63BE7B"/>
            </a:gs>
            <a:gs pos="50000">
              <a:srgbClr val="FFEB84"/>
            </a:gs>
            <a:gs pos="100000">
              <a:srgbClr val="F8696B"/>
            </a:gs>
          </a:gsLst>
          <a:lin ang="162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b="0" u="sng">
                <a:latin typeface="+mj-lt"/>
              </a:defRPr>
            </a:pPr>
            <a:r>
              <a:rPr lang="en-US" b="0" u="sng">
                <a:latin typeface="+mj-lt"/>
              </a:rPr>
              <a:t>Severity</a:t>
            </a:r>
          </a:p>
        </c:rich>
      </c:tx>
      <c:layout>
        <c:manualLayout>
          <c:xMode val="edge"/>
          <c:yMode val="edge"/>
          <c:x val="0.46889233641333816"/>
          <c:y val="1.3244983721297133E-2"/>
        </c:manualLayout>
      </c:layout>
      <c:overlay val="0"/>
    </c:title>
    <c:autoTitleDeleted val="0"/>
    <c:plotArea>
      <c:layout/>
      <c:barChart>
        <c:barDir val="col"/>
        <c:grouping val="clustered"/>
        <c:varyColors val="0"/>
        <c:ser>
          <c:idx val="0"/>
          <c:order val="0"/>
          <c:tx>
            <c:v>Severity</c:v>
          </c:tx>
          <c:spPr>
            <a:solidFill>
              <a:schemeClr val="accent4">
                <a:lumMod val="60000"/>
                <a:lumOff val="40000"/>
              </a:schemeClr>
            </a:solidFill>
            <a:ln>
              <a:solidFill>
                <a:schemeClr val="accent4"/>
              </a:solidFill>
            </a:ln>
            <a:scene3d>
              <a:camera prst="orthographicFront"/>
              <a:lightRig rig="threePt" dir="t"/>
            </a:scene3d>
            <a:sp3d prstMaterial="matte">
              <a:bevelT w="63500" h="50800"/>
            </a:sp3d>
          </c:spPr>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('Active Shooter'!$G$22,'Active Shooter'!$G$137,'Active Shooter'!$G$265,'Active Shooter'!$G$425,'Active Shooter'!$G$543)</c:f>
              <c:strCache>
                <c:ptCount val="5"/>
                <c:pt idx="0">
                  <c:v>Human Impact</c:v>
                </c:pt>
                <c:pt idx="1">
                  <c:v>Healthcare Service Impact</c:v>
                </c:pt>
                <c:pt idx="2">
                  <c:v>Inpatient Healthcare Facility Infrastructure Impact</c:v>
                </c:pt>
                <c:pt idx="3">
                  <c:v>Community Impact</c:v>
                </c:pt>
                <c:pt idx="4">
                  <c:v>Public Health Service Impact</c:v>
                </c:pt>
              </c:strCache>
            </c:strRef>
          </c:cat>
          <c:val>
            <c:numRef>
              <c:f>(Earthquake!$J$133,Earthquake!$J$261,Earthquake!$J$421,Earthquake!$J$539,Earthquake!$J$681)</c:f>
              <c:numCache>
                <c:formatCode>0.00</c:formatCode>
                <c:ptCount val="5"/>
                <c:pt idx="0">
                  <c:v>0</c:v>
                </c:pt>
                <c:pt idx="1">
                  <c:v>0</c:v>
                </c:pt>
                <c:pt idx="2">
                  <c:v>1.5</c:v>
                </c:pt>
                <c:pt idx="3">
                  <c:v>0.2857142857142857</c:v>
                </c:pt>
                <c:pt idx="4">
                  <c:v>0</c:v>
                </c:pt>
              </c:numCache>
            </c:numRef>
          </c:val>
          <c:extLst>
            <c:ext xmlns:c16="http://schemas.microsoft.com/office/drawing/2014/chart" uri="{C3380CC4-5D6E-409C-BE32-E72D297353CC}">
              <c16:uniqueId val="{00000000-B2B3-4827-8792-97E336919A1F}"/>
            </c:ext>
          </c:extLst>
        </c:ser>
        <c:dLbls>
          <c:showLegendKey val="0"/>
          <c:showVal val="1"/>
          <c:showCatName val="0"/>
          <c:showSerName val="0"/>
          <c:showPercent val="0"/>
          <c:showBubbleSize val="0"/>
        </c:dLbls>
        <c:gapWidth val="150"/>
        <c:axId val="196600960"/>
        <c:axId val="196602880"/>
      </c:barChart>
      <c:catAx>
        <c:axId val="196600960"/>
        <c:scaling>
          <c:orientation val="minMax"/>
        </c:scaling>
        <c:delete val="0"/>
        <c:axPos val="b"/>
        <c:title>
          <c:tx>
            <c:rich>
              <a:bodyPr/>
              <a:lstStyle/>
              <a:p>
                <a:pPr>
                  <a:defRPr sz="1600" b="0">
                    <a:latin typeface="+mj-lt"/>
                  </a:defRPr>
                </a:pPr>
                <a:r>
                  <a:rPr lang="en-US" sz="1600" b="0">
                    <a:latin typeface="+mj-lt"/>
                  </a:rPr>
                  <a:t>Domain</a:t>
                </a:r>
              </a:p>
            </c:rich>
          </c:tx>
          <c:overlay val="0"/>
        </c:title>
        <c:numFmt formatCode="General" sourceLinked="1"/>
        <c:majorTickMark val="out"/>
        <c:minorTickMark val="none"/>
        <c:tickLblPos val="nextTo"/>
        <c:crossAx val="196602880"/>
        <c:crosses val="autoZero"/>
        <c:auto val="1"/>
        <c:lblAlgn val="ctr"/>
        <c:lblOffset val="100"/>
        <c:noMultiLvlLbl val="0"/>
      </c:catAx>
      <c:valAx>
        <c:axId val="196602880"/>
        <c:scaling>
          <c:orientation val="minMax"/>
          <c:max val="4"/>
        </c:scaling>
        <c:delete val="0"/>
        <c:axPos val="l"/>
        <c:majorGridlines/>
        <c:title>
          <c:tx>
            <c:rich>
              <a:bodyPr rot="-5400000" vert="horz"/>
              <a:lstStyle/>
              <a:p>
                <a:pPr>
                  <a:defRPr sz="1600" b="0">
                    <a:latin typeface="+mj-lt"/>
                  </a:defRPr>
                </a:pPr>
                <a:r>
                  <a:rPr lang="en-US" sz="1600" b="0">
                    <a:latin typeface="+mj-lt"/>
                  </a:rPr>
                  <a:t>Severity</a:t>
                </a:r>
                <a:r>
                  <a:rPr lang="en-US" sz="1600" b="0" baseline="0">
                    <a:latin typeface="+mj-lt"/>
                  </a:rPr>
                  <a:t> Score</a:t>
                </a:r>
                <a:endParaRPr lang="en-US" sz="1600" b="0">
                  <a:latin typeface="+mj-lt"/>
                </a:endParaRPr>
              </a:p>
            </c:rich>
          </c:tx>
          <c:overlay val="0"/>
        </c:title>
        <c:numFmt formatCode="0.00" sourceLinked="1"/>
        <c:majorTickMark val="out"/>
        <c:minorTickMark val="none"/>
        <c:tickLblPos val="nextTo"/>
        <c:crossAx val="196600960"/>
        <c:crosses val="autoZero"/>
        <c:crossBetween val="between"/>
      </c:valAx>
      <c:spPr>
        <a:gradFill flip="none" rotWithShape="1">
          <a:gsLst>
            <a:gs pos="0">
              <a:srgbClr val="63BE7B"/>
            </a:gs>
            <a:gs pos="50000">
              <a:srgbClr val="FFEB84"/>
            </a:gs>
            <a:gs pos="100000">
              <a:srgbClr val="F8696B"/>
            </a:gs>
          </a:gsLst>
          <a:lin ang="162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b="0" u="sng">
                <a:latin typeface="+mj-lt"/>
              </a:defRPr>
            </a:pPr>
            <a:r>
              <a:rPr lang="en-US" b="0" u="sng">
                <a:latin typeface="+mj-lt"/>
              </a:rPr>
              <a:t>At-Risk Populations</a:t>
            </a:r>
          </a:p>
        </c:rich>
      </c:tx>
      <c:layout>
        <c:manualLayout>
          <c:xMode val="edge"/>
          <c:yMode val="edge"/>
          <c:x val="0.37636858589702443"/>
          <c:y val="1.3244983721297133E-2"/>
        </c:manualLayout>
      </c:layout>
      <c:overlay val="0"/>
    </c:title>
    <c:autoTitleDeleted val="0"/>
    <c:plotArea>
      <c:layout/>
      <c:scatterChart>
        <c:scatterStyle val="lineMarker"/>
        <c:varyColors val="0"/>
        <c:ser>
          <c:idx val="0"/>
          <c:order val="0"/>
          <c:tx>
            <c:strRef>
              <c:f>Earthquake!$C$793</c:f>
              <c:strCache>
                <c:ptCount val="1"/>
                <c:pt idx="0">
                  <c:v>Poverty</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Earthquake!$J$795</c:f>
              <c:numCache>
                <c:formatCode>General</c:formatCode>
                <c:ptCount val="1"/>
                <c:pt idx="0">
                  <c:v>1</c:v>
                </c:pt>
              </c:numCache>
            </c:numRef>
          </c:xVal>
          <c:yVal>
            <c:numRef>
              <c:f>Earthquake!$J$794</c:f>
              <c:numCache>
                <c:formatCode>General</c:formatCode>
                <c:ptCount val="1"/>
                <c:pt idx="0">
                  <c:v>0</c:v>
                </c:pt>
              </c:numCache>
            </c:numRef>
          </c:yVal>
          <c:smooth val="0"/>
          <c:extLst>
            <c:ext xmlns:c16="http://schemas.microsoft.com/office/drawing/2014/chart" uri="{C3380CC4-5D6E-409C-BE32-E72D297353CC}">
              <c16:uniqueId val="{00000000-A36C-44F8-B990-B30877A405DE}"/>
            </c:ext>
          </c:extLst>
        </c:ser>
        <c:ser>
          <c:idx val="1"/>
          <c:order val="1"/>
          <c:tx>
            <c:strRef>
              <c:f>Earthquake!$C$797</c:f>
              <c:strCache>
                <c:ptCount val="1"/>
                <c:pt idx="0">
                  <c:v>Chronic Diseases (Diabetes)</c:v>
                </c:pt>
              </c:strCache>
            </c:strRef>
          </c:tx>
          <c:spPr>
            <a:ln w="66675">
              <a:noFill/>
            </a:ln>
          </c:spPr>
          <c:dLbls>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Earthquake!$J$799</c:f>
              <c:numCache>
                <c:formatCode>General</c:formatCode>
                <c:ptCount val="1"/>
                <c:pt idx="0">
                  <c:v>0</c:v>
                </c:pt>
              </c:numCache>
            </c:numRef>
          </c:xVal>
          <c:yVal>
            <c:numRef>
              <c:f>Earthquake!$J$798</c:f>
              <c:numCache>
                <c:formatCode>General</c:formatCode>
                <c:ptCount val="1"/>
                <c:pt idx="0">
                  <c:v>0</c:v>
                </c:pt>
              </c:numCache>
            </c:numRef>
          </c:yVal>
          <c:smooth val="0"/>
          <c:extLst>
            <c:ext xmlns:c16="http://schemas.microsoft.com/office/drawing/2014/chart" uri="{C3380CC4-5D6E-409C-BE32-E72D297353CC}">
              <c16:uniqueId val="{00000001-A36C-44F8-B990-B30877A405DE}"/>
            </c:ext>
          </c:extLst>
        </c:ser>
        <c:ser>
          <c:idx val="2"/>
          <c:order val="2"/>
          <c:tx>
            <c:strRef>
              <c:f>Earthquake!$C$801</c:f>
              <c:strCache>
                <c:ptCount val="1"/>
                <c:pt idx="0">
                  <c:v>Children 18 and under</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Earthquake!$J$803</c:f>
              <c:numCache>
                <c:formatCode>General</c:formatCode>
                <c:ptCount val="1"/>
                <c:pt idx="0">
                  <c:v>1</c:v>
                </c:pt>
              </c:numCache>
            </c:numRef>
          </c:xVal>
          <c:yVal>
            <c:numRef>
              <c:f>Earthquake!$J$802</c:f>
              <c:numCache>
                <c:formatCode>General</c:formatCode>
                <c:ptCount val="1"/>
                <c:pt idx="0">
                  <c:v>0</c:v>
                </c:pt>
              </c:numCache>
            </c:numRef>
          </c:yVal>
          <c:smooth val="0"/>
          <c:extLst>
            <c:ext xmlns:c16="http://schemas.microsoft.com/office/drawing/2014/chart" uri="{C3380CC4-5D6E-409C-BE32-E72D297353CC}">
              <c16:uniqueId val="{00000002-A36C-44F8-B990-B30877A405DE}"/>
            </c:ext>
          </c:extLst>
        </c:ser>
        <c:ser>
          <c:idx val="3"/>
          <c:order val="3"/>
          <c:tx>
            <c:strRef>
              <c:f>Earthquake!$C$805</c:f>
              <c:strCache>
                <c:ptCount val="1"/>
                <c:pt idx="0">
                  <c:v>Elderly 65 and older</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Earthquake!$J$807</c:f>
              <c:numCache>
                <c:formatCode>General</c:formatCode>
                <c:ptCount val="1"/>
                <c:pt idx="0">
                  <c:v>0</c:v>
                </c:pt>
              </c:numCache>
            </c:numRef>
          </c:xVal>
          <c:yVal>
            <c:numRef>
              <c:f>Earthquake!$J$806</c:f>
              <c:numCache>
                <c:formatCode>General</c:formatCode>
                <c:ptCount val="1"/>
                <c:pt idx="0">
                  <c:v>0</c:v>
                </c:pt>
              </c:numCache>
            </c:numRef>
          </c:yVal>
          <c:smooth val="0"/>
          <c:extLst>
            <c:ext xmlns:c16="http://schemas.microsoft.com/office/drawing/2014/chart" uri="{C3380CC4-5D6E-409C-BE32-E72D297353CC}">
              <c16:uniqueId val="{00000003-A36C-44F8-B990-B30877A405DE}"/>
            </c:ext>
          </c:extLst>
        </c:ser>
        <c:ser>
          <c:idx val="4"/>
          <c:order val="4"/>
          <c:tx>
            <c:strRef>
              <c:f>Earthquake!$C$773</c:f>
              <c:strCache>
                <c:ptCount val="1"/>
                <c:pt idx="0">
                  <c:v>Hearing Disability</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Earthquake!$J$775</c:f>
              <c:numCache>
                <c:formatCode>General</c:formatCode>
                <c:ptCount val="1"/>
                <c:pt idx="0">
                  <c:v>1</c:v>
                </c:pt>
              </c:numCache>
            </c:numRef>
          </c:xVal>
          <c:yVal>
            <c:numRef>
              <c:f>Earthquake!$J$774</c:f>
              <c:numCache>
                <c:formatCode>General</c:formatCode>
                <c:ptCount val="1"/>
                <c:pt idx="0">
                  <c:v>0</c:v>
                </c:pt>
              </c:numCache>
            </c:numRef>
          </c:yVal>
          <c:smooth val="0"/>
          <c:extLst>
            <c:ext xmlns:c16="http://schemas.microsoft.com/office/drawing/2014/chart" uri="{C3380CC4-5D6E-409C-BE32-E72D297353CC}">
              <c16:uniqueId val="{00000004-A36C-44F8-B990-B30877A405DE}"/>
            </c:ext>
          </c:extLst>
        </c:ser>
        <c:ser>
          <c:idx val="5"/>
          <c:order val="5"/>
          <c:tx>
            <c:strRef>
              <c:f>Earthquake!$C$777</c:f>
              <c:strCache>
                <c:ptCount val="1"/>
                <c:pt idx="0">
                  <c:v>Vision Disability</c:v>
                </c:pt>
              </c:strCache>
            </c:strRef>
          </c:tx>
          <c:spPr>
            <a:ln w="66675">
              <a:noFill/>
            </a:ln>
          </c:spPr>
          <c:dLbls>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Earthquake!$J$779</c:f>
              <c:numCache>
                <c:formatCode>General</c:formatCode>
                <c:ptCount val="1"/>
                <c:pt idx="0">
                  <c:v>1</c:v>
                </c:pt>
              </c:numCache>
            </c:numRef>
          </c:xVal>
          <c:yVal>
            <c:numRef>
              <c:f>Earthquake!$J$778</c:f>
              <c:numCache>
                <c:formatCode>General</c:formatCode>
                <c:ptCount val="1"/>
                <c:pt idx="0">
                  <c:v>0</c:v>
                </c:pt>
              </c:numCache>
            </c:numRef>
          </c:yVal>
          <c:smooth val="0"/>
          <c:extLst>
            <c:ext xmlns:c16="http://schemas.microsoft.com/office/drawing/2014/chart" uri="{C3380CC4-5D6E-409C-BE32-E72D297353CC}">
              <c16:uniqueId val="{00000005-A36C-44F8-B990-B30877A405DE}"/>
            </c:ext>
          </c:extLst>
        </c:ser>
        <c:ser>
          <c:idx val="6"/>
          <c:order val="6"/>
          <c:tx>
            <c:strRef>
              <c:f>Earthquake!$C$781</c:f>
              <c:strCache>
                <c:ptCount val="1"/>
                <c:pt idx="0">
                  <c:v>Ambulatory Disability</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Earthquake!$J$783</c:f>
              <c:numCache>
                <c:formatCode>General</c:formatCode>
                <c:ptCount val="1"/>
                <c:pt idx="0">
                  <c:v>0</c:v>
                </c:pt>
              </c:numCache>
            </c:numRef>
          </c:xVal>
          <c:yVal>
            <c:numRef>
              <c:f>Earthquake!$J$782</c:f>
              <c:numCache>
                <c:formatCode>General</c:formatCode>
                <c:ptCount val="1"/>
                <c:pt idx="0">
                  <c:v>0</c:v>
                </c:pt>
              </c:numCache>
            </c:numRef>
          </c:yVal>
          <c:smooth val="0"/>
          <c:extLst>
            <c:ext xmlns:c16="http://schemas.microsoft.com/office/drawing/2014/chart" uri="{C3380CC4-5D6E-409C-BE32-E72D297353CC}">
              <c16:uniqueId val="{00000006-A36C-44F8-B990-B30877A405DE}"/>
            </c:ext>
          </c:extLst>
        </c:ser>
        <c:ser>
          <c:idx val="7"/>
          <c:order val="7"/>
          <c:tx>
            <c:strRef>
              <c:f>Earthquake!$C$785</c:f>
              <c:strCache>
                <c:ptCount val="1"/>
                <c:pt idx="0">
                  <c:v>Cognitive Disability</c:v>
                </c:pt>
              </c:strCache>
            </c:strRef>
          </c:tx>
          <c:spPr>
            <a:ln w="66675">
              <a:noFill/>
            </a:ln>
          </c:spPr>
          <c:dLbls>
            <c:dLbl>
              <c:idx val="0"/>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A36C-44F8-B990-B30877A405DE}"/>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Earthquake!$J$787</c:f>
              <c:numCache>
                <c:formatCode>General</c:formatCode>
                <c:ptCount val="1"/>
                <c:pt idx="0">
                  <c:v>1</c:v>
                </c:pt>
              </c:numCache>
            </c:numRef>
          </c:xVal>
          <c:yVal>
            <c:numRef>
              <c:f>Earthquake!$J$786</c:f>
              <c:numCache>
                <c:formatCode>General</c:formatCode>
                <c:ptCount val="1"/>
                <c:pt idx="0">
                  <c:v>0</c:v>
                </c:pt>
              </c:numCache>
            </c:numRef>
          </c:yVal>
          <c:smooth val="0"/>
          <c:extLst>
            <c:ext xmlns:c16="http://schemas.microsoft.com/office/drawing/2014/chart" uri="{C3380CC4-5D6E-409C-BE32-E72D297353CC}">
              <c16:uniqueId val="{00000008-A36C-44F8-B990-B30877A405DE}"/>
            </c:ext>
          </c:extLst>
        </c:ser>
        <c:ser>
          <c:idx val="8"/>
          <c:order val="8"/>
          <c:tx>
            <c:strRef>
              <c:f>Earthquake!$C$789</c:f>
              <c:strCache>
                <c:ptCount val="1"/>
                <c:pt idx="0">
                  <c:v>Limited English Proficiency</c:v>
                </c:pt>
              </c:strCache>
            </c:strRef>
          </c:tx>
          <c:spPr>
            <a:ln w="66675">
              <a:noFill/>
            </a:ln>
          </c:spPr>
          <c:dLbls>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Earthquake!$J$791</c:f>
              <c:numCache>
                <c:formatCode>General</c:formatCode>
                <c:ptCount val="1"/>
                <c:pt idx="0">
                  <c:v>1</c:v>
                </c:pt>
              </c:numCache>
            </c:numRef>
          </c:xVal>
          <c:yVal>
            <c:numRef>
              <c:f>Earthquake!$J$790</c:f>
              <c:numCache>
                <c:formatCode>General</c:formatCode>
                <c:ptCount val="1"/>
                <c:pt idx="0">
                  <c:v>0</c:v>
                </c:pt>
              </c:numCache>
            </c:numRef>
          </c:yVal>
          <c:smooth val="0"/>
          <c:extLst>
            <c:ext xmlns:c16="http://schemas.microsoft.com/office/drawing/2014/chart" uri="{C3380CC4-5D6E-409C-BE32-E72D297353CC}">
              <c16:uniqueId val="{00000009-A36C-44F8-B990-B30877A405DE}"/>
            </c:ext>
          </c:extLst>
        </c:ser>
        <c:dLbls>
          <c:showLegendKey val="0"/>
          <c:showVal val="1"/>
          <c:showCatName val="0"/>
          <c:showSerName val="0"/>
          <c:showPercent val="0"/>
          <c:showBubbleSize val="0"/>
        </c:dLbls>
        <c:axId val="196756224"/>
        <c:axId val="196758144"/>
      </c:scatterChart>
      <c:valAx>
        <c:axId val="196756224"/>
        <c:scaling>
          <c:orientation val="minMax"/>
          <c:max val="4.5"/>
          <c:min val="0"/>
        </c:scaling>
        <c:delete val="0"/>
        <c:axPos val="b"/>
        <c:majorGridlines/>
        <c:title>
          <c:tx>
            <c:rich>
              <a:bodyPr/>
              <a:lstStyle/>
              <a:p>
                <a:pPr>
                  <a:defRPr b="0">
                    <a:latin typeface="+mj-lt"/>
                  </a:defRPr>
                </a:pPr>
                <a:r>
                  <a:rPr lang="en-US" sz="1600" b="0">
                    <a:latin typeface="+mj-lt"/>
                  </a:rPr>
                  <a:t>Access Planning Score</a:t>
                </a:r>
              </a:p>
            </c:rich>
          </c:tx>
          <c:overlay val="0"/>
        </c:title>
        <c:numFmt formatCode="General" sourceLinked="1"/>
        <c:majorTickMark val="out"/>
        <c:minorTickMark val="none"/>
        <c:tickLblPos val="nextTo"/>
        <c:spPr>
          <a:ln>
            <a:solidFill>
              <a:schemeClr val="tx1"/>
            </a:solidFill>
          </a:ln>
        </c:spPr>
        <c:crossAx val="196758144"/>
        <c:crosses val="autoZero"/>
        <c:crossBetween val="midCat"/>
        <c:majorUnit val="1"/>
        <c:minorUnit val="0.1"/>
      </c:valAx>
      <c:valAx>
        <c:axId val="196758144"/>
        <c:scaling>
          <c:orientation val="minMax"/>
          <c:max val="4.5"/>
          <c:min val="0"/>
        </c:scaling>
        <c:delete val="0"/>
        <c:axPos val="l"/>
        <c:majorGridlines/>
        <c:title>
          <c:tx>
            <c:rich>
              <a:bodyPr rot="-5400000" vert="horz"/>
              <a:lstStyle/>
              <a:p>
                <a:pPr>
                  <a:defRPr sz="1600" b="0">
                    <a:latin typeface="+mj-lt"/>
                  </a:defRPr>
                </a:pPr>
                <a:r>
                  <a:rPr lang="en-US" sz="1600" b="0">
                    <a:latin typeface="+mj-lt"/>
                  </a:rPr>
                  <a:t>Population Size Score</a:t>
                </a:r>
              </a:p>
            </c:rich>
          </c:tx>
          <c:overlay val="0"/>
        </c:title>
        <c:numFmt formatCode="General" sourceLinked="1"/>
        <c:majorTickMark val="out"/>
        <c:minorTickMark val="none"/>
        <c:tickLblPos val="nextTo"/>
        <c:spPr>
          <a:ln>
            <a:solidFill>
              <a:schemeClr val="tx1"/>
            </a:solidFill>
          </a:ln>
        </c:spPr>
        <c:crossAx val="196756224"/>
        <c:crosses val="autoZero"/>
        <c:crossBetween val="midCat"/>
        <c:majorUnit val="1"/>
        <c:minorUnit val="0.1"/>
      </c:valAx>
      <c:spPr>
        <a:gradFill flip="none" rotWithShape="1">
          <a:gsLst>
            <a:gs pos="0">
              <a:srgbClr val="63BE7B"/>
            </a:gs>
            <a:gs pos="50000">
              <a:srgbClr val="FFEB84"/>
            </a:gs>
            <a:gs pos="100000">
              <a:srgbClr val="F8696B"/>
            </a:gs>
          </a:gsLst>
          <a:lin ang="189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defRPr b="0" u="sng">
                <a:latin typeface="+mj-lt"/>
              </a:defRPr>
            </a:pPr>
            <a:r>
              <a:rPr lang="en-US" b="0" u="sng">
                <a:latin typeface="+mj-lt"/>
              </a:rPr>
              <a:t>Public Health Preparedness</a:t>
            </a:r>
          </a:p>
        </c:rich>
      </c:tx>
      <c:layout>
        <c:manualLayout>
          <c:xMode val="edge"/>
          <c:yMode val="edge"/>
          <c:x val="0.30532356317913883"/>
          <c:y val="1.3244983721297133E-2"/>
        </c:manualLayout>
      </c:layout>
      <c:overlay val="0"/>
    </c:title>
    <c:autoTitleDeleted val="0"/>
    <c:plotArea>
      <c:layout/>
      <c:scatterChart>
        <c:scatterStyle val="lineMarker"/>
        <c:varyColors val="0"/>
        <c:ser>
          <c:idx val="0"/>
          <c:order val="0"/>
          <c:tx>
            <c:strRef>
              <c:f>Earthquake!$C$853</c:f>
              <c:strCache>
                <c:ptCount val="1"/>
                <c:pt idx="0">
                  <c:v>Info Sharing</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Earthquake!$J$854</c:f>
              <c:numCache>
                <c:formatCode>General</c:formatCode>
                <c:ptCount val="1"/>
                <c:pt idx="0">
                  <c:v>4</c:v>
                </c:pt>
              </c:numCache>
            </c:numRef>
          </c:xVal>
          <c:yVal>
            <c:numRef>
              <c:f>Earthquake!$J$855</c:f>
              <c:numCache>
                <c:formatCode>General</c:formatCode>
                <c:ptCount val="1"/>
                <c:pt idx="0">
                  <c:v>0</c:v>
                </c:pt>
              </c:numCache>
            </c:numRef>
          </c:yVal>
          <c:smooth val="0"/>
          <c:extLst>
            <c:ext xmlns:c16="http://schemas.microsoft.com/office/drawing/2014/chart" uri="{C3380CC4-5D6E-409C-BE32-E72D297353CC}">
              <c16:uniqueId val="{00000000-F24A-4AED-A9E0-B4A7B3A2B047}"/>
            </c:ext>
          </c:extLst>
        </c:ser>
        <c:ser>
          <c:idx val="1"/>
          <c:order val="1"/>
          <c:tx>
            <c:strRef>
              <c:f>Earthquake!$C$857</c:f>
              <c:strCache>
                <c:ptCount val="1"/>
                <c:pt idx="0">
                  <c:v>Mass Care</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Earthquake!$J$858</c:f>
              <c:numCache>
                <c:formatCode>General</c:formatCode>
                <c:ptCount val="1"/>
                <c:pt idx="0">
                  <c:v>0</c:v>
                </c:pt>
              </c:numCache>
            </c:numRef>
          </c:xVal>
          <c:yVal>
            <c:numRef>
              <c:f>Earthquake!$J$859</c:f>
              <c:numCache>
                <c:formatCode>General</c:formatCode>
                <c:ptCount val="1"/>
                <c:pt idx="0">
                  <c:v>0</c:v>
                </c:pt>
              </c:numCache>
            </c:numRef>
          </c:yVal>
          <c:smooth val="0"/>
          <c:extLst>
            <c:ext xmlns:c16="http://schemas.microsoft.com/office/drawing/2014/chart" uri="{C3380CC4-5D6E-409C-BE32-E72D297353CC}">
              <c16:uniqueId val="{00000001-F24A-4AED-A9E0-B4A7B3A2B047}"/>
            </c:ext>
          </c:extLst>
        </c:ser>
        <c:ser>
          <c:idx val="2"/>
          <c:order val="2"/>
          <c:tx>
            <c:strRef>
              <c:f>Earthquake!$C$861</c:f>
              <c:strCache>
                <c:ptCount val="1"/>
                <c:pt idx="0">
                  <c:v>MCM Dispens</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Earthquake!$J$862</c:f>
              <c:numCache>
                <c:formatCode>General</c:formatCode>
                <c:ptCount val="1"/>
                <c:pt idx="0">
                  <c:v>0</c:v>
                </c:pt>
              </c:numCache>
            </c:numRef>
          </c:xVal>
          <c:yVal>
            <c:numRef>
              <c:f>Earthquake!$J$863</c:f>
              <c:numCache>
                <c:formatCode>General</c:formatCode>
                <c:ptCount val="1"/>
                <c:pt idx="0">
                  <c:v>0</c:v>
                </c:pt>
              </c:numCache>
            </c:numRef>
          </c:yVal>
          <c:smooth val="0"/>
          <c:extLst>
            <c:ext xmlns:c16="http://schemas.microsoft.com/office/drawing/2014/chart" uri="{C3380CC4-5D6E-409C-BE32-E72D297353CC}">
              <c16:uniqueId val="{00000002-F24A-4AED-A9E0-B4A7B3A2B047}"/>
            </c:ext>
          </c:extLst>
        </c:ser>
        <c:ser>
          <c:idx val="3"/>
          <c:order val="3"/>
          <c:tx>
            <c:strRef>
              <c:f>Earthquake!$C$865</c:f>
              <c:strCache>
                <c:ptCount val="1"/>
                <c:pt idx="0">
                  <c:v>Med Materiel Mgmt</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Earthquake!$J$866</c:f>
              <c:numCache>
                <c:formatCode>General</c:formatCode>
                <c:ptCount val="1"/>
                <c:pt idx="0">
                  <c:v>0</c:v>
                </c:pt>
              </c:numCache>
            </c:numRef>
          </c:xVal>
          <c:yVal>
            <c:numRef>
              <c:f>Earthquake!$J$867</c:f>
              <c:numCache>
                <c:formatCode>General</c:formatCode>
                <c:ptCount val="1"/>
                <c:pt idx="0">
                  <c:v>0</c:v>
                </c:pt>
              </c:numCache>
            </c:numRef>
          </c:yVal>
          <c:smooth val="0"/>
          <c:extLst>
            <c:ext xmlns:c16="http://schemas.microsoft.com/office/drawing/2014/chart" uri="{C3380CC4-5D6E-409C-BE32-E72D297353CC}">
              <c16:uniqueId val="{00000003-F24A-4AED-A9E0-B4A7B3A2B047}"/>
            </c:ext>
          </c:extLst>
        </c:ser>
        <c:ser>
          <c:idx val="4"/>
          <c:order val="4"/>
          <c:tx>
            <c:strRef>
              <c:f>Earthquake!$C$869</c:f>
              <c:strCache>
                <c:ptCount val="1"/>
                <c:pt idx="0">
                  <c:v>Medical Surge</c:v>
                </c:pt>
              </c:strCache>
            </c:strRef>
          </c:tx>
          <c:spPr>
            <a:ln w="66675">
              <a:noFill/>
            </a:ln>
          </c:spPr>
          <c:dLbls>
            <c:dLbl>
              <c:idx val="0"/>
              <c:layout>
                <c:manualLayout>
                  <c:x val="-3.3278365053747076E-3"/>
                  <c:y val="2.1857923497267812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F24A-4AED-A9E0-B4A7B3A2B047}"/>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Earthquake!$J$870</c:f>
              <c:numCache>
                <c:formatCode>General</c:formatCode>
                <c:ptCount val="1"/>
                <c:pt idx="0">
                  <c:v>0</c:v>
                </c:pt>
              </c:numCache>
            </c:numRef>
          </c:xVal>
          <c:yVal>
            <c:numRef>
              <c:f>Earthquake!$J$871</c:f>
              <c:numCache>
                <c:formatCode>General</c:formatCode>
                <c:ptCount val="1"/>
                <c:pt idx="0">
                  <c:v>0</c:v>
                </c:pt>
              </c:numCache>
            </c:numRef>
          </c:yVal>
          <c:smooth val="0"/>
          <c:extLst>
            <c:ext xmlns:c16="http://schemas.microsoft.com/office/drawing/2014/chart" uri="{C3380CC4-5D6E-409C-BE32-E72D297353CC}">
              <c16:uniqueId val="{00000005-F24A-4AED-A9E0-B4A7B3A2B047}"/>
            </c:ext>
          </c:extLst>
        </c:ser>
        <c:ser>
          <c:idx val="5"/>
          <c:order val="5"/>
          <c:tx>
            <c:strRef>
              <c:f>Earthquake!$C$873</c:f>
              <c:strCache>
                <c:ptCount val="1"/>
                <c:pt idx="0">
                  <c:v>Non-Pharm Interv</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Earthquake!$J$874</c:f>
              <c:numCache>
                <c:formatCode>General</c:formatCode>
                <c:ptCount val="1"/>
                <c:pt idx="0">
                  <c:v>0</c:v>
                </c:pt>
              </c:numCache>
            </c:numRef>
          </c:xVal>
          <c:yVal>
            <c:numRef>
              <c:f>Earthquake!$J$875</c:f>
              <c:numCache>
                <c:formatCode>General</c:formatCode>
                <c:ptCount val="1"/>
                <c:pt idx="0">
                  <c:v>0</c:v>
                </c:pt>
              </c:numCache>
            </c:numRef>
          </c:yVal>
          <c:smooth val="0"/>
          <c:extLst>
            <c:ext xmlns:c16="http://schemas.microsoft.com/office/drawing/2014/chart" uri="{C3380CC4-5D6E-409C-BE32-E72D297353CC}">
              <c16:uniqueId val="{00000006-F24A-4AED-A9E0-B4A7B3A2B047}"/>
            </c:ext>
          </c:extLst>
        </c:ser>
        <c:ser>
          <c:idx val="6"/>
          <c:order val="6"/>
          <c:tx>
            <c:strRef>
              <c:f>Earthquake!$C$877</c:f>
              <c:strCache>
                <c:ptCount val="1"/>
                <c:pt idx="0">
                  <c:v>PH Lab Testing</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Earthquake!$J$878</c:f>
              <c:numCache>
                <c:formatCode>General</c:formatCode>
                <c:ptCount val="1"/>
                <c:pt idx="0">
                  <c:v>2</c:v>
                </c:pt>
              </c:numCache>
            </c:numRef>
          </c:xVal>
          <c:yVal>
            <c:numRef>
              <c:f>Earthquake!$J$879</c:f>
              <c:numCache>
                <c:formatCode>General</c:formatCode>
                <c:ptCount val="1"/>
                <c:pt idx="0">
                  <c:v>0</c:v>
                </c:pt>
              </c:numCache>
            </c:numRef>
          </c:yVal>
          <c:smooth val="0"/>
          <c:extLst>
            <c:ext xmlns:c16="http://schemas.microsoft.com/office/drawing/2014/chart" uri="{C3380CC4-5D6E-409C-BE32-E72D297353CC}">
              <c16:uniqueId val="{00000007-F24A-4AED-A9E0-B4A7B3A2B047}"/>
            </c:ext>
          </c:extLst>
        </c:ser>
        <c:ser>
          <c:idx val="7"/>
          <c:order val="7"/>
          <c:tx>
            <c:strRef>
              <c:f>Earthquake!$C$881</c:f>
              <c:strCache>
                <c:ptCount val="1"/>
                <c:pt idx="0">
                  <c:v>PH Surv &amp; Epi</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Earthquake!$J$882</c:f>
              <c:numCache>
                <c:formatCode>General</c:formatCode>
                <c:ptCount val="1"/>
                <c:pt idx="0">
                  <c:v>2</c:v>
                </c:pt>
              </c:numCache>
            </c:numRef>
          </c:xVal>
          <c:yVal>
            <c:numRef>
              <c:f>Earthquake!$J$883</c:f>
              <c:numCache>
                <c:formatCode>General</c:formatCode>
                <c:ptCount val="1"/>
                <c:pt idx="0">
                  <c:v>0</c:v>
                </c:pt>
              </c:numCache>
            </c:numRef>
          </c:yVal>
          <c:smooth val="0"/>
          <c:extLst>
            <c:ext xmlns:c16="http://schemas.microsoft.com/office/drawing/2014/chart" uri="{C3380CC4-5D6E-409C-BE32-E72D297353CC}">
              <c16:uniqueId val="{00000008-F24A-4AED-A9E0-B4A7B3A2B047}"/>
            </c:ext>
          </c:extLst>
        </c:ser>
        <c:ser>
          <c:idx val="8"/>
          <c:order val="8"/>
          <c:tx>
            <c:strRef>
              <c:f>Earthquake!$C$885</c:f>
              <c:strCache>
                <c:ptCount val="1"/>
                <c:pt idx="0">
                  <c:v>Responder Safety</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Earthquake!$J$886</c:f>
              <c:numCache>
                <c:formatCode>General</c:formatCode>
                <c:ptCount val="1"/>
                <c:pt idx="0">
                  <c:v>2</c:v>
                </c:pt>
              </c:numCache>
            </c:numRef>
          </c:xVal>
          <c:yVal>
            <c:numRef>
              <c:f>Earthquake!$J$887</c:f>
              <c:numCache>
                <c:formatCode>General</c:formatCode>
                <c:ptCount val="1"/>
                <c:pt idx="0">
                  <c:v>0</c:v>
                </c:pt>
              </c:numCache>
            </c:numRef>
          </c:yVal>
          <c:smooth val="0"/>
          <c:extLst>
            <c:ext xmlns:c16="http://schemas.microsoft.com/office/drawing/2014/chart" uri="{C3380CC4-5D6E-409C-BE32-E72D297353CC}">
              <c16:uniqueId val="{00000009-F24A-4AED-A9E0-B4A7B3A2B047}"/>
            </c:ext>
          </c:extLst>
        </c:ser>
        <c:ser>
          <c:idx val="9"/>
          <c:order val="9"/>
          <c:tx>
            <c:strRef>
              <c:f>Earthquake!$C$889</c:f>
              <c:strCache>
                <c:ptCount val="1"/>
                <c:pt idx="0">
                  <c:v>Volunteer Mgmt</c:v>
                </c:pt>
              </c:strCache>
            </c:strRef>
          </c:tx>
          <c:spPr>
            <a:ln w="66675">
              <a:noFill/>
            </a:ln>
          </c:spPr>
          <c:dLbls>
            <c:dLbl>
              <c:idx val="0"/>
              <c:layout>
                <c:manualLayout>
                  <c:x val="-1.5251807320996049E-17"/>
                  <c:y val="1.700060716454159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F24A-4AED-A9E0-B4A7B3A2B047}"/>
                </c:ext>
              </c:extLst>
            </c:dLbl>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Earthquake!$J$890</c:f>
              <c:numCache>
                <c:formatCode>General</c:formatCode>
                <c:ptCount val="1"/>
                <c:pt idx="0">
                  <c:v>0</c:v>
                </c:pt>
              </c:numCache>
            </c:numRef>
          </c:xVal>
          <c:yVal>
            <c:numRef>
              <c:f>Earthquake!$J$891</c:f>
              <c:numCache>
                <c:formatCode>General</c:formatCode>
                <c:ptCount val="1"/>
                <c:pt idx="0">
                  <c:v>0</c:v>
                </c:pt>
              </c:numCache>
            </c:numRef>
          </c:yVal>
          <c:smooth val="0"/>
          <c:extLst>
            <c:ext xmlns:c16="http://schemas.microsoft.com/office/drawing/2014/chart" uri="{C3380CC4-5D6E-409C-BE32-E72D297353CC}">
              <c16:uniqueId val="{0000000B-F24A-4AED-A9E0-B4A7B3A2B047}"/>
            </c:ext>
          </c:extLst>
        </c:ser>
        <c:ser>
          <c:idx val="10"/>
          <c:order val="10"/>
          <c:tx>
            <c:strRef>
              <c:f>Earthquake!$C$833</c:f>
              <c:strCache>
                <c:ptCount val="1"/>
                <c:pt idx="0">
                  <c:v>Community Prep</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Earthquake!$J$834</c:f>
              <c:numCache>
                <c:formatCode>General</c:formatCode>
                <c:ptCount val="1"/>
                <c:pt idx="0">
                  <c:v>4</c:v>
                </c:pt>
              </c:numCache>
            </c:numRef>
          </c:xVal>
          <c:yVal>
            <c:numRef>
              <c:f>Earthquake!$J$835</c:f>
              <c:numCache>
                <c:formatCode>General</c:formatCode>
                <c:ptCount val="1"/>
                <c:pt idx="0">
                  <c:v>0</c:v>
                </c:pt>
              </c:numCache>
            </c:numRef>
          </c:yVal>
          <c:smooth val="0"/>
          <c:extLst>
            <c:ext xmlns:c16="http://schemas.microsoft.com/office/drawing/2014/chart" uri="{C3380CC4-5D6E-409C-BE32-E72D297353CC}">
              <c16:uniqueId val="{0000000C-F24A-4AED-A9E0-B4A7B3A2B047}"/>
            </c:ext>
          </c:extLst>
        </c:ser>
        <c:ser>
          <c:idx val="11"/>
          <c:order val="11"/>
          <c:tx>
            <c:strRef>
              <c:f>Earthquake!$C$837</c:f>
              <c:strCache>
                <c:ptCount val="1"/>
                <c:pt idx="0">
                  <c:v>Community Recov</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Earthquake!$J$838</c:f>
              <c:numCache>
                <c:formatCode>General</c:formatCode>
                <c:ptCount val="1"/>
                <c:pt idx="0">
                  <c:v>4</c:v>
                </c:pt>
              </c:numCache>
            </c:numRef>
          </c:xVal>
          <c:yVal>
            <c:numRef>
              <c:f>Earthquake!$J$839</c:f>
              <c:numCache>
                <c:formatCode>General</c:formatCode>
                <c:ptCount val="1"/>
                <c:pt idx="0">
                  <c:v>0</c:v>
                </c:pt>
              </c:numCache>
            </c:numRef>
          </c:yVal>
          <c:smooth val="0"/>
          <c:extLst>
            <c:ext xmlns:c16="http://schemas.microsoft.com/office/drawing/2014/chart" uri="{C3380CC4-5D6E-409C-BE32-E72D297353CC}">
              <c16:uniqueId val="{0000000D-F24A-4AED-A9E0-B4A7B3A2B047}"/>
            </c:ext>
          </c:extLst>
        </c:ser>
        <c:ser>
          <c:idx val="12"/>
          <c:order val="12"/>
          <c:tx>
            <c:strRef>
              <c:f>Earthquake!$C$841</c:f>
              <c:strCache>
                <c:ptCount val="1"/>
                <c:pt idx="0">
                  <c:v>Emerg Ops Coord</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Earthquake!$J$842</c:f>
              <c:numCache>
                <c:formatCode>General</c:formatCode>
                <c:ptCount val="1"/>
                <c:pt idx="0">
                  <c:v>1</c:v>
                </c:pt>
              </c:numCache>
            </c:numRef>
          </c:xVal>
          <c:yVal>
            <c:numRef>
              <c:f>Earthquake!$J$843</c:f>
              <c:numCache>
                <c:formatCode>General</c:formatCode>
                <c:ptCount val="1"/>
                <c:pt idx="0">
                  <c:v>0</c:v>
                </c:pt>
              </c:numCache>
            </c:numRef>
          </c:yVal>
          <c:smooth val="0"/>
          <c:extLst>
            <c:ext xmlns:c16="http://schemas.microsoft.com/office/drawing/2014/chart" uri="{C3380CC4-5D6E-409C-BE32-E72D297353CC}">
              <c16:uniqueId val="{0000000E-F24A-4AED-A9E0-B4A7B3A2B047}"/>
            </c:ext>
          </c:extLst>
        </c:ser>
        <c:ser>
          <c:idx val="13"/>
          <c:order val="13"/>
          <c:tx>
            <c:strRef>
              <c:f>Earthquake!$C$845</c:f>
              <c:strCache>
                <c:ptCount val="1"/>
                <c:pt idx="0">
                  <c:v>Emerg Public Info</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Earthquake!$J$846</c:f>
              <c:numCache>
                <c:formatCode>General</c:formatCode>
                <c:ptCount val="1"/>
                <c:pt idx="0">
                  <c:v>4</c:v>
                </c:pt>
              </c:numCache>
            </c:numRef>
          </c:xVal>
          <c:yVal>
            <c:numRef>
              <c:f>Earthquake!$J$847</c:f>
              <c:numCache>
                <c:formatCode>General</c:formatCode>
                <c:ptCount val="1"/>
                <c:pt idx="0">
                  <c:v>0</c:v>
                </c:pt>
              </c:numCache>
            </c:numRef>
          </c:yVal>
          <c:smooth val="0"/>
          <c:extLst>
            <c:ext xmlns:c16="http://schemas.microsoft.com/office/drawing/2014/chart" uri="{C3380CC4-5D6E-409C-BE32-E72D297353CC}">
              <c16:uniqueId val="{0000000F-F24A-4AED-A9E0-B4A7B3A2B047}"/>
            </c:ext>
          </c:extLst>
        </c:ser>
        <c:ser>
          <c:idx val="14"/>
          <c:order val="14"/>
          <c:tx>
            <c:strRef>
              <c:f>Earthquake!$C$964</c:f>
              <c:strCache>
                <c:ptCount val="1"/>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Earthquake!$J$965</c:f>
            </c:numRef>
          </c:xVal>
          <c:yVal>
            <c:numRef>
              <c:f>Earthquake!$J$966</c:f>
            </c:numRef>
          </c:yVal>
          <c:smooth val="0"/>
          <c:extLst>
            <c:ext xmlns:c16="http://schemas.microsoft.com/office/drawing/2014/chart" uri="{C3380CC4-5D6E-409C-BE32-E72D297353CC}">
              <c16:uniqueId val="{00000010-F24A-4AED-A9E0-B4A7B3A2B047}"/>
            </c:ext>
          </c:extLst>
        </c:ser>
        <c:ser>
          <c:idx val="15"/>
          <c:order val="15"/>
          <c:tx>
            <c:strRef>
              <c:f>Earthquake!$C$849</c:f>
              <c:strCache>
                <c:ptCount val="1"/>
                <c:pt idx="0">
                  <c:v>Fatality Mgmt</c:v>
                </c:pt>
              </c:strCache>
            </c:strRef>
          </c:tx>
          <c:spPr>
            <a:ln w="66675">
              <a:noFill/>
            </a:ln>
          </c:spP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1-F24A-4AED-A9E0-B4A7B3A2B04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Earthquake!$J$850</c:f>
              <c:numCache>
                <c:formatCode>General</c:formatCode>
                <c:ptCount val="1"/>
                <c:pt idx="0">
                  <c:v>0</c:v>
                </c:pt>
              </c:numCache>
            </c:numRef>
          </c:xVal>
          <c:yVal>
            <c:numRef>
              <c:f>Earthquake!$J$851</c:f>
              <c:numCache>
                <c:formatCode>General</c:formatCode>
                <c:ptCount val="1"/>
                <c:pt idx="0">
                  <c:v>0</c:v>
                </c:pt>
              </c:numCache>
            </c:numRef>
          </c:yVal>
          <c:smooth val="0"/>
          <c:extLst>
            <c:ext xmlns:c16="http://schemas.microsoft.com/office/drawing/2014/chart" uri="{C3380CC4-5D6E-409C-BE32-E72D297353CC}">
              <c16:uniqueId val="{00000012-F24A-4AED-A9E0-B4A7B3A2B047}"/>
            </c:ext>
          </c:extLst>
        </c:ser>
        <c:dLbls>
          <c:showLegendKey val="0"/>
          <c:showVal val="1"/>
          <c:showCatName val="0"/>
          <c:showSerName val="0"/>
          <c:showPercent val="0"/>
          <c:showBubbleSize val="0"/>
        </c:dLbls>
        <c:axId val="196981504"/>
        <c:axId val="196983424"/>
      </c:scatterChart>
      <c:valAx>
        <c:axId val="196981504"/>
        <c:scaling>
          <c:orientation val="minMax"/>
          <c:max val="4.5"/>
          <c:min val="0"/>
        </c:scaling>
        <c:delete val="0"/>
        <c:axPos val="b"/>
        <c:majorGridlines/>
        <c:title>
          <c:tx>
            <c:rich>
              <a:bodyPr/>
              <a:lstStyle/>
              <a:p>
                <a:pPr>
                  <a:defRPr b="0">
                    <a:latin typeface="+mj-lt"/>
                  </a:defRPr>
                </a:pPr>
                <a:r>
                  <a:rPr lang="en-US" sz="1600" b="0">
                    <a:latin typeface="+mj-lt"/>
                  </a:rPr>
                  <a:t>Capability Relevance to Hazard</a:t>
                </a:r>
              </a:p>
            </c:rich>
          </c:tx>
          <c:overlay val="0"/>
        </c:title>
        <c:numFmt formatCode="General" sourceLinked="1"/>
        <c:majorTickMark val="out"/>
        <c:minorTickMark val="none"/>
        <c:tickLblPos val="nextTo"/>
        <c:spPr>
          <a:ln>
            <a:solidFill>
              <a:schemeClr val="tx1"/>
            </a:solidFill>
          </a:ln>
        </c:spPr>
        <c:crossAx val="196983424"/>
        <c:crosses val="autoZero"/>
        <c:crossBetween val="midCat"/>
        <c:majorUnit val="1"/>
        <c:minorUnit val="0.1"/>
      </c:valAx>
      <c:valAx>
        <c:axId val="196983424"/>
        <c:scaling>
          <c:orientation val="minMax"/>
          <c:max val="4.5"/>
          <c:min val="0"/>
        </c:scaling>
        <c:delete val="0"/>
        <c:axPos val="l"/>
        <c:majorGridlines/>
        <c:title>
          <c:tx>
            <c:rich>
              <a:bodyPr rot="-5400000" vert="horz"/>
              <a:lstStyle/>
              <a:p>
                <a:pPr>
                  <a:defRPr sz="1600" b="0">
                    <a:latin typeface="+mj-lt"/>
                  </a:defRPr>
                </a:pPr>
                <a:r>
                  <a:rPr lang="en-US" sz="1600" b="0">
                    <a:latin typeface="+mj-lt"/>
                  </a:rPr>
                  <a:t>Capability Status</a:t>
                </a:r>
              </a:p>
            </c:rich>
          </c:tx>
          <c:overlay val="0"/>
        </c:title>
        <c:numFmt formatCode="General" sourceLinked="1"/>
        <c:majorTickMark val="out"/>
        <c:minorTickMark val="none"/>
        <c:tickLblPos val="nextTo"/>
        <c:spPr>
          <a:ln>
            <a:solidFill>
              <a:schemeClr val="tx1"/>
            </a:solidFill>
          </a:ln>
        </c:spPr>
        <c:crossAx val="196981504"/>
        <c:crosses val="autoZero"/>
        <c:crossBetween val="midCat"/>
        <c:majorUnit val="1"/>
        <c:minorUnit val="0.1"/>
      </c:valAx>
      <c:spPr>
        <a:gradFill flip="none" rotWithShape="1">
          <a:gsLst>
            <a:gs pos="0">
              <a:srgbClr val="63BE7B"/>
            </a:gs>
            <a:gs pos="50000">
              <a:srgbClr val="FFEB84"/>
            </a:gs>
            <a:gs pos="100000">
              <a:srgbClr val="F8696B"/>
            </a:gs>
          </a:gsLst>
          <a:lin ang="27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defRPr b="0" u="sng">
                <a:latin typeface="+mj-lt"/>
              </a:defRPr>
            </a:pPr>
            <a:r>
              <a:rPr lang="en-US" b="0" u="sng">
                <a:latin typeface="+mj-lt"/>
              </a:rPr>
              <a:t>Healthcare Preparedness</a:t>
            </a:r>
          </a:p>
        </c:rich>
      </c:tx>
      <c:layout>
        <c:manualLayout>
          <c:xMode val="edge"/>
          <c:yMode val="edge"/>
          <c:x val="0.40182698892306512"/>
          <c:y val="1.3244983721297133E-2"/>
        </c:manualLayout>
      </c:layout>
      <c:overlay val="0"/>
    </c:title>
    <c:autoTitleDeleted val="0"/>
    <c:plotArea>
      <c:layout/>
      <c:scatterChart>
        <c:scatterStyle val="lineMarker"/>
        <c:varyColors val="0"/>
        <c:ser>
          <c:idx val="0"/>
          <c:order val="0"/>
          <c:tx>
            <c:strRef>
              <c:f>Earthquake!$C$903</c:f>
              <c:strCache>
                <c:ptCount val="1"/>
                <c:pt idx="0">
                  <c:v>HC System Prep</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Earthquake!$J$904</c:f>
              <c:numCache>
                <c:formatCode>General</c:formatCode>
                <c:ptCount val="1"/>
                <c:pt idx="0">
                  <c:v>4</c:v>
                </c:pt>
              </c:numCache>
            </c:numRef>
          </c:xVal>
          <c:yVal>
            <c:numRef>
              <c:f>Earthquake!$J$905</c:f>
              <c:numCache>
                <c:formatCode>General</c:formatCode>
                <c:ptCount val="1"/>
                <c:pt idx="0">
                  <c:v>0</c:v>
                </c:pt>
              </c:numCache>
            </c:numRef>
          </c:yVal>
          <c:smooth val="0"/>
          <c:extLst>
            <c:ext xmlns:c16="http://schemas.microsoft.com/office/drawing/2014/chart" uri="{C3380CC4-5D6E-409C-BE32-E72D297353CC}">
              <c16:uniqueId val="{00000000-C9C1-4B8A-8260-E8728C28186F}"/>
            </c:ext>
          </c:extLst>
        </c:ser>
        <c:ser>
          <c:idx val="1"/>
          <c:order val="1"/>
          <c:tx>
            <c:strRef>
              <c:f>Earthquake!$C$907</c:f>
              <c:strCache>
                <c:ptCount val="1"/>
                <c:pt idx="0">
                  <c:v>HC System Recov</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Earthquake!$J$908</c:f>
              <c:numCache>
                <c:formatCode>General</c:formatCode>
                <c:ptCount val="1"/>
                <c:pt idx="0">
                  <c:v>4</c:v>
                </c:pt>
              </c:numCache>
            </c:numRef>
          </c:xVal>
          <c:yVal>
            <c:numRef>
              <c:f>Earthquake!$J$909</c:f>
              <c:numCache>
                <c:formatCode>General</c:formatCode>
                <c:ptCount val="1"/>
                <c:pt idx="0">
                  <c:v>0</c:v>
                </c:pt>
              </c:numCache>
            </c:numRef>
          </c:yVal>
          <c:smooth val="0"/>
          <c:extLst>
            <c:ext xmlns:c16="http://schemas.microsoft.com/office/drawing/2014/chart" uri="{C3380CC4-5D6E-409C-BE32-E72D297353CC}">
              <c16:uniqueId val="{00000001-C9C1-4B8A-8260-E8728C28186F}"/>
            </c:ext>
          </c:extLst>
        </c:ser>
        <c:ser>
          <c:idx val="2"/>
          <c:order val="2"/>
          <c:tx>
            <c:strRef>
              <c:f>Earthquake!$C$911</c:f>
              <c:strCache>
                <c:ptCount val="1"/>
                <c:pt idx="0">
                  <c:v>Emerg Ops Coord</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Earthquake!$J$912</c:f>
              <c:numCache>
                <c:formatCode>General</c:formatCode>
                <c:ptCount val="1"/>
                <c:pt idx="0">
                  <c:v>1</c:v>
                </c:pt>
              </c:numCache>
            </c:numRef>
          </c:xVal>
          <c:yVal>
            <c:numRef>
              <c:f>Earthquake!$J$913</c:f>
              <c:numCache>
                <c:formatCode>General</c:formatCode>
                <c:ptCount val="1"/>
                <c:pt idx="0">
                  <c:v>0</c:v>
                </c:pt>
              </c:numCache>
            </c:numRef>
          </c:yVal>
          <c:smooth val="0"/>
          <c:extLst>
            <c:ext xmlns:c16="http://schemas.microsoft.com/office/drawing/2014/chart" uri="{C3380CC4-5D6E-409C-BE32-E72D297353CC}">
              <c16:uniqueId val="{00000002-C9C1-4B8A-8260-E8728C28186F}"/>
            </c:ext>
          </c:extLst>
        </c:ser>
        <c:ser>
          <c:idx val="3"/>
          <c:order val="3"/>
          <c:tx>
            <c:strRef>
              <c:f>Earthquake!$C$915</c:f>
              <c:strCache>
                <c:ptCount val="1"/>
                <c:pt idx="0">
                  <c:v>Fatality Mgmt</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Earthquake!$J$916</c:f>
              <c:numCache>
                <c:formatCode>General</c:formatCode>
                <c:ptCount val="1"/>
                <c:pt idx="0">
                  <c:v>0</c:v>
                </c:pt>
              </c:numCache>
            </c:numRef>
          </c:xVal>
          <c:yVal>
            <c:numRef>
              <c:f>Earthquake!$J$917</c:f>
              <c:numCache>
                <c:formatCode>General</c:formatCode>
                <c:ptCount val="1"/>
                <c:pt idx="0">
                  <c:v>0</c:v>
                </c:pt>
              </c:numCache>
            </c:numRef>
          </c:yVal>
          <c:smooth val="0"/>
          <c:extLst>
            <c:ext xmlns:c16="http://schemas.microsoft.com/office/drawing/2014/chart" uri="{C3380CC4-5D6E-409C-BE32-E72D297353CC}">
              <c16:uniqueId val="{00000003-C9C1-4B8A-8260-E8728C28186F}"/>
            </c:ext>
          </c:extLst>
        </c:ser>
        <c:ser>
          <c:idx val="4"/>
          <c:order val="4"/>
          <c:tx>
            <c:strRef>
              <c:f>Earthquake!$C$919</c:f>
              <c:strCache>
                <c:ptCount val="1"/>
                <c:pt idx="0">
                  <c:v>Info Sharing</c:v>
                </c:pt>
              </c:strCache>
            </c:strRef>
          </c:tx>
          <c:spPr>
            <a:ln w="66675">
              <a:noFill/>
            </a:ln>
          </c:spPr>
          <c:dLbls>
            <c:dLbl>
              <c:idx val="0"/>
              <c:layout>
                <c:manualLayout>
                  <c:x val="-3.3278365053747076E-3"/>
                  <c:y val="2.1857923497267812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C9C1-4B8A-8260-E8728C28186F}"/>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Earthquake!$J$920</c:f>
              <c:numCache>
                <c:formatCode>General</c:formatCode>
                <c:ptCount val="1"/>
                <c:pt idx="0">
                  <c:v>4</c:v>
                </c:pt>
              </c:numCache>
            </c:numRef>
          </c:xVal>
          <c:yVal>
            <c:numRef>
              <c:f>Earthquake!$J$921</c:f>
              <c:numCache>
                <c:formatCode>General</c:formatCode>
                <c:ptCount val="1"/>
                <c:pt idx="0">
                  <c:v>0</c:v>
                </c:pt>
              </c:numCache>
            </c:numRef>
          </c:yVal>
          <c:smooth val="0"/>
          <c:extLst>
            <c:ext xmlns:c16="http://schemas.microsoft.com/office/drawing/2014/chart" uri="{C3380CC4-5D6E-409C-BE32-E72D297353CC}">
              <c16:uniqueId val="{00000005-C9C1-4B8A-8260-E8728C28186F}"/>
            </c:ext>
          </c:extLst>
        </c:ser>
        <c:ser>
          <c:idx val="5"/>
          <c:order val="5"/>
          <c:tx>
            <c:strRef>
              <c:f>Earthquake!$C$923</c:f>
              <c:strCache>
                <c:ptCount val="1"/>
                <c:pt idx="0">
                  <c:v>Medical Surge</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Earthquake!$J$924</c:f>
              <c:numCache>
                <c:formatCode>General</c:formatCode>
                <c:ptCount val="1"/>
                <c:pt idx="0">
                  <c:v>0</c:v>
                </c:pt>
              </c:numCache>
            </c:numRef>
          </c:xVal>
          <c:yVal>
            <c:numRef>
              <c:f>Earthquake!$J$925</c:f>
              <c:numCache>
                <c:formatCode>General</c:formatCode>
                <c:ptCount val="1"/>
                <c:pt idx="0">
                  <c:v>0</c:v>
                </c:pt>
              </c:numCache>
            </c:numRef>
          </c:yVal>
          <c:smooth val="0"/>
          <c:extLst>
            <c:ext xmlns:c16="http://schemas.microsoft.com/office/drawing/2014/chart" uri="{C3380CC4-5D6E-409C-BE32-E72D297353CC}">
              <c16:uniqueId val="{00000006-C9C1-4B8A-8260-E8728C28186F}"/>
            </c:ext>
          </c:extLst>
        </c:ser>
        <c:ser>
          <c:idx val="6"/>
          <c:order val="6"/>
          <c:tx>
            <c:strRef>
              <c:f>Earthquake!$C$927</c:f>
              <c:strCache>
                <c:ptCount val="1"/>
                <c:pt idx="0">
                  <c:v>Responder Safety</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Earthquake!$J$928</c:f>
              <c:numCache>
                <c:formatCode>General</c:formatCode>
                <c:ptCount val="1"/>
                <c:pt idx="0">
                  <c:v>2</c:v>
                </c:pt>
              </c:numCache>
            </c:numRef>
          </c:xVal>
          <c:yVal>
            <c:numRef>
              <c:f>Earthquake!$J$929</c:f>
              <c:numCache>
                <c:formatCode>General</c:formatCode>
                <c:ptCount val="1"/>
                <c:pt idx="0">
                  <c:v>0</c:v>
                </c:pt>
              </c:numCache>
            </c:numRef>
          </c:yVal>
          <c:smooth val="0"/>
          <c:extLst>
            <c:ext xmlns:c16="http://schemas.microsoft.com/office/drawing/2014/chart" uri="{C3380CC4-5D6E-409C-BE32-E72D297353CC}">
              <c16:uniqueId val="{00000007-C9C1-4B8A-8260-E8728C28186F}"/>
            </c:ext>
          </c:extLst>
        </c:ser>
        <c:ser>
          <c:idx val="7"/>
          <c:order val="7"/>
          <c:tx>
            <c:strRef>
              <c:f>Earthquake!$C$931</c:f>
              <c:strCache>
                <c:ptCount val="1"/>
                <c:pt idx="0">
                  <c:v>Volunteer Mgmt</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Earthquake!$J$932</c:f>
              <c:numCache>
                <c:formatCode>General</c:formatCode>
                <c:ptCount val="1"/>
                <c:pt idx="0">
                  <c:v>0</c:v>
                </c:pt>
              </c:numCache>
            </c:numRef>
          </c:xVal>
          <c:yVal>
            <c:numRef>
              <c:f>Earthquake!$J$933</c:f>
              <c:numCache>
                <c:formatCode>General</c:formatCode>
                <c:ptCount val="1"/>
                <c:pt idx="0">
                  <c:v>0</c:v>
                </c:pt>
              </c:numCache>
            </c:numRef>
          </c:yVal>
          <c:smooth val="0"/>
          <c:extLst>
            <c:ext xmlns:c16="http://schemas.microsoft.com/office/drawing/2014/chart" uri="{C3380CC4-5D6E-409C-BE32-E72D297353CC}">
              <c16:uniqueId val="{00000008-C9C1-4B8A-8260-E8728C28186F}"/>
            </c:ext>
          </c:extLst>
        </c:ser>
        <c:ser>
          <c:idx val="14"/>
          <c:order val="8"/>
          <c:tx>
            <c:strRef>
              <c:f>Earthquake!$C$964</c:f>
              <c:strCache>
                <c:ptCount val="1"/>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Earthquake!$J$965</c:f>
            </c:numRef>
          </c:xVal>
          <c:yVal>
            <c:numRef>
              <c:f>Earthquake!$J$966</c:f>
            </c:numRef>
          </c:yVal>
          <c:smooth val="0"/>
          <c:extLst>
            <c:ext xmlns:c16="http://schemas.microsoft.com/office/drawing/2014/chart" uri="{C3380CC4-5D6E-409C-BE32-E72D297353CC}">
              <c16:uniqueId val="{00000009-C9C1-4B8A-8260-E8728C28186F}"/>
            </c:ext>
          </c:extLst>
        </c:ser>
        <c:dLbls>
          <c:showLegendKey val="0"/>
          <c:showVal val="1"/>
          <c:showCatName val="0"/>
          <c:showSerName val="0"/>
          <c:showPercent val="0"/>
          <c:showBubbleSize val="0"/>
        </c:dLbls>
        <c:axId val="197109248"/>
        <c:axId val="197111168"/>
      </c:scatterChart>
      <c:valAx>
        <c:axId val="197109248"/>
        <c:scaling>
          <c:orientation val="minMax"/>
          <c:max val="4.5"/>
          <c:min val="0"/>
        </c:scaling>
        <c:delete val="0"/>
        <c:axPos val="b"/>
        <c:majorGridlines/>
        <c:title>
          <c:tx>
            <c:rich>
              <a:bodyPr/>
              <a:lstStyle/>
              <a:p>
                <a:pPr>
                  <a:defRPr b="0">
                    <a:latin typeface="+mj-lt"/>
                  </a:defRPr>
                </a:pPr>
                <a:r>
                  <a:rPr lang="en-US" sz="1600" b="0">
                    <a:latin typeface="+mj-lt"/>
                  </a:rPr>
                  <a:t>Capability Relevance to Hazard</a:t>
                </a:r>
              </a:p>
            </c:rich>
          </c:tx>
          <c:overlay val="0"/>
        </c:title>
        <c:numFmt formatCode="General" sourceLinked="1"/>
        <c:majorTickMark val="out"/>
        <c:minorTickMark val="none"/>
        <c:tickLblPos val="nextTo"/>
        <c:spPr>
          <a:ln>
            <a:solidFill>
              <a:schemeClr val="tx1"/>
            </a:solidFill>
          </a:ln>
        </c:spPr>
        <c:crossAx val="197111168"/>
        <c:crosses val="autoZero"/>
        <c:crossBetween val="midCat"/>
        <c:majorUnit val="1"/>
        <c:minorUnit val="0.1"/>
      </c:valAx>
      <c:valAx>
        <c:axId val="197111168"/>
        <c:scaling>
          <c:orientation val="minMax"/>
          <c:max val="4.5"/>
          <c:min val="0"/>
        </c:scaling>
        <c:delete val="0"/>
        <c:axPos val="l"/>
        <c:majorGridlines/>
        <c:title>
          <c:tx>
            <c:rich>
              <a:bodyPr rot="-5400000" vert="horz"/>
              <a:lstStyle/>
              <a:p>
                <a:pPr>
                  <a:defRPr sz="1600" b="0">
                    <a:latin typeface="+mj-lt"/>
                  </a:defRPr>
                </a:pPr>
                <a:r>
                  <a:rPr lang="en-US" sz="1600" b="0">
                    <a:latin typeface="+mj-lt"/>
                  </a:rPr>
                  <a:t>Capability Status</a:t>
                </a:r>
              </a:p>
            </c:rich>
          </c:tx>
          <c:overlay val="0"/>
        </c:title>
        <c:numFmt formatCode="General" sourceLinked="1"/>
        <c:majorTickMark val="out"/>
        <c:minorTickMark val="none"/>
        <c:tickLblPos val="nextTo"/>
        <c:spPr>
          <a:ln>
            <a:solidFill>
              <a:schemeClr val="tx1"/>
            </a:solidFill>
          </a:ln>
        </c:spPr>
        <c:crossAx val="197109248"/>
        <c:crosses val="autoZero"/>
        <c:crossBetween val="midCat"/>
        <c:majorUnit val="1"/>
        <c:minorUnit val="0.1"/>
      </c:valAx>
      <c:spPr>
        <a:gradFill flip="none" rotWithShape="1">
          <a:gsLst>
            <a:gs pos="0">
              <a:srgbClr val="63BE7B"/>
            </a:gs>
            <a:gs pos="50000">
              <a:srgbClr val="FFEB84"/>
            </a:gs>
            <a:gs pos="100000">
              <a:srgbClr val="F8696B"/>
            </a:gs>
          </a:gsLst>
          <a:lin ang="27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b="0" u="sng">
                <a:latin typeface="+mj-lt"/>
              </a:defRPr>
            </a:pPr>
            <a:r>
              <a:rPr lang="en-US" b="0" u="sng">
                <a:latin typeface="+mj-lt"/>
              </a:rPr>
              <a:t>Severity</a:t>
            </a:r>
          </a:p>
        </c:rich>
      </c:tx>
      <c:layout>
        <c:manualLayout>
          <c:xMode val="edge"/>
          <c:yMode val="edge"/>
          <c:x val="0.46889233641333816"/>
          <c:y val="1.3244983721297133E-2"/>
        </c:manualLayout>
      </c:layout>
      <c:overlay val="0"/>
    </c:title>
    <c:autoTitleDeleted val="0"/>
    <c:plotArea>
      <c:layout/>
      <c:barChart>
        <c:barDir val="col"/>
        <c:grouping val="clustered"/>
        <c:varyColors val="0"/>
        <c:ser>
          <c:idx val="0"/>
          <c:order val="0"/>
          <c:tx>
            <c:v>Severity</c:v>
          </c:tx>
          <c:spPr>
            <a:solidFill>
              <a:schemeClr val="accent4">
                <a:lumMod val="60000"/>
                <a:lumOff val="40000"/>
              </a:schemeClr>
            </a:solidFill>
            <a:ln>
              <a:solidFill>
                <a:schemeClr val="accent4"/>
              </a:solidFill>
            </a:ln>
            <a:scene3d>
              <a:camera prst="orthographicFront"/>
              <a:lightRig rig="threePt" dir="t"/>
            </a:scene3d>
            <a:sp3d prstMaterial="matte">
              <a:bevelT w="63500" h="50800"/>
            </a:sp3d>
          </c:spPr>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('Active Shooter'!$G$22,'Active Shooter'!$G$137,'Active Shooter'!$G$265,'Active Shooter'!$G$425,'Active Shooter'!$G$543)</c:f>
              <c:strCache>
                <c:ptCount val="5"/>
                <c:pt idx="0">
                  <c:v>Human Impact</c:v>
                </c:pt>
                <c:pt idx="1">
                  <c:v>Healthcare Service Impact</c:v>
                </c:pt>
                <c:pt idx="2">
                  <c:v>Inpatient Healthcare Facility Infrastructure Impact</c:v>
                </c:pt>
                <c:pt idx="3">
                  <c:v>Community Impact</c:v>
                </c:pt>
                <c:pt idx="4">
                  <c:v>Public Health Service Impact</c:v>
                </c:pt>
              </c:strCache>
            </c:strRef>
          </c:cat>
          <c:val>
            <c:numRef>
              <c:f>(Wildfire!$J$133,Wildfire!$J$261,Wildfire!$J$421,Wildfire!$J$539,Wildfire!$J$681)</c:f>
              <c:numCache>
                <c:formatCode>0.00</c:formatCode>
                <c:ptCount val="5"/>
                <c:pt idx="0">
                  <c:v>0</c:v>
                </c:pt>
                <c:pt idx="1">
                  <c:v>0</c:v>
                </c:pt>
                <c:pt idx="2">
                  <c:v>1.5</c:v>
                </c:pt>
                <c:pt idx="3">
                  <c:v>0</c:v>
                </c:pt>
                <c:pt idx="4">
                  <c:v>0</c:v>
                </c:pt>
              </c:numCache>
            </c:numRef>
          </c:val>
          <c:extLst>
            <c:ext xmlns:c16="http://schemas.microsoft.com/office/drawing/2014/chart" uri="{C3380CC4-5D6E-409C-BE32-E72D297353CC}">
              <c16:uniqueId val="{00000000-30BE-4F68-A1CE-2256D01924F6}"/>
            </c:ext>
          </c:extLst>
        </c:ser>
        <c:dLbls>
          <c:showLegendKey val="0"/>
          <c:showVal val="1"/>
          <c:showCatName val="0"/>
          <c:showSerName val="0"/>
          <c:showPercent val="0"/>
          <c:showBubbleSize val="0"/>
        </c:dLbls>
        <c:gapWidth val="150"/>
        <c:axId val="197151360"/>
        <c:axId val="197178112"/>
      </c:barChart>
      <c:catAx>
        <c:axId val="197151360"/>
        <c:scaling>
          <c:orientation val="minMax"/>
        </c:scaling>
        <c:delete val="0"/>
        <c:axPos val="b"/>
        <c:title>
          <c:tx>
            <c:rich>
              <a:bodyPr/>
              <a:lstStyle/>
              <a:p>
                <a:pPr>
                  <a:defRPr sz="1600" b="0">
                    <a:latin typeface="+mj-lt"/>
                  </a:defRPr>
                </a:pPr>
                <a:r>
                  <a:rPr lang="en-US" sz="1600" b="0">
                    <a:latin typeface="+mj-lt"/>
                  </a:rPr>
                  <a:t>Domain</a:t>
                </a:r>
              </a:p>
            </c:rich>
          </c:tx>
          <c:overlay val="0"/>
        </c:title>
        <c:numFmt formatCode="General" sourceLinked="1"/>
        <c:majorTickMark val="out"/>
        <c:minorTickMark val="none"/>
        <c:tickLblPos val="nextTo"/>
        <c:crossAx val="197178112"/>
        <c:crosses val="autoZero"/>
        <c:auto val="1"/>
        <c:lblAlgn val="ctr"/>
        <c:lblOffset val="100"/>
        <c:noMultiLvlLbl val="0"/>
      </c:catAx>
      <c:valAx>
        <c:axId val="197178112"/>
        <c:scaling>
          <c:orientation val="minMax"/>
          <c:max val="4"/>
        </c:scaling>
        <c:delete val="0"/>
        <c:axPos val="l"/>
        <c:majorGridlines/>
        <c:title>
          <c:tx>
            <c:rich>
              <a:bodyPr rot="-5400000" vert="horz"/>
              <a:lstStyle/>
              <a:p>
                <a:pPr>
                  <a:defRPr sz="1600" b="0">
                    <a:latin typeface="+mj-lt"/>
                  </a:defRPr>
                </a:pPr>
                <a:r>
                  <a:rPr lang="en-US" sz="1600" b="0">
                    <a:latin typeface="+mj-lt"/>
                  </a:rPr>
                  <a:t>Severity</a:t>
                </a:r>
                <a:r>
                  <a:rPr lang="en-US" sz="1600" b="0" baseline="0">
                    <a:latin typeface="+mj-lt"/>
                  </a:rPr>
                  <a:t> Score</a:t>
                </a:r>
                <a:endParaRPr lang="en-US" sz="1600" b="0">
                  <a:latin typeface="+mj-lt"/>
                </a:endParaRPr>
              </a:p>
            </c:rich>
          </c:tx>
          <c:overlay val="0"/>
        </c:title>
        <c:numFmt formatCode="0.00" sourceLinked="1"/>
        <c:majorTickMark val="out"/>
        <c:minorTickMark val="none"/>
        <c:tickLblPos val="nextTo"/>
        <c:crossAx val="197151360"/>
        <c:crosses val="autoZero"/>
        <c:crossBetween val="between"/>
      </c:valAx>
      <c:spPr>
        <a:gradFill flip="none" rotWithShape="1">
          <a:gsLst>
            <a:gs pos="0">
              <a:srgbClr val="63BE7B"/>
            </a:gs>
            <a:gs pos="50000">
              <a:srgbClr val="FFEB84"/>
            </a:gs>
            <a:gs pos="100000">
              <a:srgbClr val="F8696B"/>
            </a:gs>
          </a:gsLst>
          <a:lin ang="162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b="0" u="sng">
                <a:latin typeface="+mj-lt"/>
              </a:defRPr>
            </a:pPr>
            <a:r>
              <a:rPr lang="en-US" b="0" u="sng">
                <a:latin typeface="+mj-lt"/>
              </a:rPr>
              <a:t>At-Risk Populations</a:t>
            </a:r>
          </a:p>
        </c:rich>
      </c:tx>
      <c:layout>
        <c:manualLayout>
          <c:xMode val="edge"/>
          <c:yMode val="edge"/>
          <c:x val="0.37636858589702443"/>
          <c:y val="1.3244983721297133E-2"/>
        </c:manualLayout>
      </c:layout>
      <c:overlay val="0"/>
    </c:title>
    <c:autoTitleDeleted val="0"/>
    <c:plotArea>
      <c:layout/>
      <c:scatterChart>
        <c:scatterStyle val="lineMarker"/>
        <c:varyColors val="0"/>
        <c:ser>
          <c:idx val="0"/>
          <c:order val="0"/>
          <c:tx>
            <c:strRef>
              <c:f>Wildfire!$C$793</c:f>
              <c:strCache>
                <c:ptCount val="1"/>
                <c:pt idx="0">
                  <c:v>Poverty</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Wildfire!$J$795</c:f>
              <c:numCache>
                <c:formatCode>General</c:formatCode>
                <c:ptCount val="1"/>
                <c:pt idx="0">
                  <c:v>3</c:v>
                </c:pt>
              </c:numCache>
            </c:numRef>
          </c:xVal>
          <c:yVal>
            <c:numRef>
              <c:f>Wildfire!$J$794</c:f>
              <c:numCache>
                <c:formatCode>General</c:formatCode>
                <c:ptCount val="1"/>
                <c:pt idx="0">
                  <c:v>0</c:v>
                </c:pt>
              </c:numCache>
            </c:numRef>
          </c:yVal>
          <c:smooth val="0"/>
          <c:extLst>
            <c:ext xmlns:c16="http://schemas.microsoft.com/office/drawing/2014/chart" uri="{C3380CC4-5D6E-409C-BE32-E72D297353CC}">
              <c16:uniqueId val="{00000000-00FC-4C29-A1E2-BC4CC3ABAC81}"/>
            </c:ext>
          </c:extLst>
        </c:ser>
        <c:ser>
          <c:idx val="1"/>
          <c:order val="1"/>
          <c:tx>
            <c:strRef>
              <c:f>Wildfire!$C$797</c:f>
              <c:strCache>
                <c:ptCount val="1"/>
                <c:pt idx="0">
                  <c:v>Chronic Diseases (Diabetes)</c:v>
                </c:pt>
              </c:strCache>
            </c:strRef>
          </c:tx>
          <c:spPr>
            <a:ln w="66675">
              <a:noFill/>
            </a:ln>
          </c:spPr>
          <c:dLbls>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Wildfire!$J$799</c:f>
              <c:numCache>
                <c:formatCode>General</c:formatCode>
                <c:ptCount val="1"/>
                <c:pt idx="0">
                  <c:v>3</c:v>
                </c:pt>
              </c:numCache>
            </c:numRef>
          </c:xVal>
          <c:yVal>
            <c:numRef>
              <c:f>Wildfire!$J$798</c:f>
              <c:numCache>
                <c:formatCode>General</c:formatCode>
                <c:ptCount val="1"/>
                <c:pt idx="0">
                  <c:v>0</c:v>
                </c:pt>
              </c:numCache>
            </c:numRef>
          </c:yVal>
          <c:smooth val="0"/>
          <c:extLst>
            <c:ext xmlns:c16="http://schemas.microsoft.com/office/drawing/2014/chart" uri="{C3380CC4-5D6E-409C-BE32-E72D297353CC}">
              <c16:uniqueId val="{00000001-00FC-4C29-A1E2-BC4CC3ABAC81}"/>
            </c:ext>
          </c:extLst>
        </c:ser>
        <c:ser>
          <c:idx val="2"/>
          <c:order val="2"/>
          <c:tx>
            <c:strRef>
              <c:f>Wildfire!$C$801</c:f>
              <c:strCache>
                <c:ptCount val="1"/>
                <c:pt idx="0">
                  <c:v>Children 18 and under</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Wildfire!$J$803</c:f>
              <c:numCache>
                <c:formatCode>General</c:formatCode>
                <c:ptCount val="1"/>
                <c:pt idx="0">
                  <c:v>4</c:v>
                </c:pt>
              </c:numCache>
            </c:numRef>
          </c:xVal>
          <c:yVal>
            <c:numRef>
              <c:f>Wildfire!$J$802</c:f>
              <c:numCache>
                <c:formatCode>General</c:formatCode>
                <c:ptCount val="1"/>
                <c:pt idx="0">
                  <c:v>0</c:v>
                </c:pt>
              </c:numCache>
            </c:numRef>
          </c:yVal>
          <c:smooth val="0"/>
          <c:extLst>
            <c:ext xmlns:c16="http://schemas.microsoft.com/office/drawing/2014/chart" uri="{C3380CC4-5D6E-409C-BE32-E72D297353CC}">
              <c16:uniqueId val="{00000002-00FC-4C29-A1E2-BC4CC3ABAC81}"/>
            </c:ext>
          </c:extLst>
        </c:ser>
        <c:ser>
          <c:idx val="3"/>
          <c:order val="3"/>
          <c:tx>
            <c:strRef>
              <c:f>Wildfire!$C$805</c:f>
              <c:strCache>
                <c:ptCount val="1"/>
                <c:pt idx="0">
                  <c:v>Elderly 65 and older</c:v>
                </c:pt>
              </c:strCache>
            </c:strRef>
          </c:tx>
          <c:spPr>
            <a:ln w="66675">
              <a:noFill/>
            </a:ln>
          </c:spPr>
          <c:dLbls>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Wildfire!$J$807</c:f>
              <c:numCache>
                <c:formatCode>General</c:formatCode>
                <c:ptCount val="1"/>
                <c:pt idx="0">
                  <c:v>3</c:v>
                </c:pt>
              </c:numCache>
            </c:numRef>
          </c:xVal>
          <c:yVal>
            <c:numRef>
              <c:f>Wildfire!$J$806</c:f>
              <c:numCache>
                <c:formatCode>General</c:formatCode>
                <c:ptCount val="1"/>
                <c:pt idx="0">
                  <c:v>0</c:v>
                </c:pt>
              </c:numCache>
            </c:numRef>
          </c:yVal>
          <c:smooth val="0"/>
          <c:extLst>
            <c:ext xmlns:c16="http://schemas.microsoft.com/office/drawing/2014/chart" uri="{C3380CC4-5D6E-409C-BE32-E72D297353CC}">
              <c16:uniqueId val="{00000003-00FC-4C29-A1E2-BC4CC3ABAC81}"/>
            </c:ext>
          </c:extLst>
        </c:ser>
        <c:ser>
          <c:idx val="4"/>
          <c:order val="4"/>
          <c:tx>
            <c:strRef>
              <c:f>Wildfire!$C$773</c:f>
              <c:strCache>
                <c:ptCount val="1"/>
                <c:pt idx="0">
                  <c:v>Hearing Disability</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Wildfire!$J$775</c:f>
              <c:numCache>
                <c:formatCode>General</c:formatCode>
                <c:ptCount val="1"/>
                <c:pt idx="0">
                  <c:v>3</c:v>
                </c:pt>
              </c:numCache>
            </c:numRef>
          </c:xVal>
          <c:yVal>
            <c:numRef>
              <c:f>Wildfire!$J$774</c:f>
              <c:numCache>
                <c:formatCode>General</c:formatCode>
                <c:ptCount val="1"/>
                <c:pt idx="0">
                  <c:v>0</c:v>
                </c:pt>
              </c:numCache>
            </c:numRef>
          </c:yVal>
          <c:smooth val="0"/>
          <c:extLst>
            <c:ext xmlns:c16="http://schemas.microsoft.com/office/drawing/2014/chart" uri="{C3380CC4-5D6E-409C-BE32-E72D297353CC}">
              <c16:uniqueId val="{00000004-00FC-4C29-A1E2-BC4CC3ABAC81}"/>
            </c:ext>
          </c:extLst>
        </c:ser>
        <c:ser>
          <c:idx val="5"/>
          <c:order val="5"/>
          <c:tx>
            <c:strRef>
              <c:f>Wildfire!$C$777</c:f>
              <c:strCache>
                <c:ptCount val="1"/>
                <c:pt idx="0">
                  <c:v>Vision Disability</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Wildfire!$J$779</c:f>
              <c:numCache>
                <c:formatCode>General</c:formatCode>
                <c:ptCount val="1"/>
                <c:pt idx="0">
                  <c:v>4</c:v>
                </c:pt>
              </c:numCache>
            </c:numRef>
          </c:xVal>
          <c:yVal>
            <c:numRef>
              <c:f>Wildfire!$J$778</c:f>
              <c:numCache>
                <c:formatCode>General</c:formatCode>
                <c:ptCount val="1"/>
                <c:pt idx="0">
                  <c:v>0</c:v>
                </c:pt>
              </c:numCache>
            </c:numRef>
          </c:yVal>
          <c:smooth val="0"/>
          <c:extLst>
            <c:ext xmlns:c16="http://schemas.microsoft.com/office/drawing/2014/chart" uri="{C3380CC4-5D6E-409C-BE32-E72D297353CC}">
              <c16:uniqueId val="{00000005-00FC-4C29-A1E2-BC4CC3ABAC81}"/>
            </c:ext>
          </c:extLst>
        </c:ser>
        <c:ser>
          <c:idx val="6"/>
          <c:order val="6"/>
          <c:tx>
            <c:strRef>
              <c:f>Wildfire!$C$781</c:f>
              <c:strCache>
                <c:ptCount val="1"/>
                <c:pt idx="0">
                  <c:v>Ambulatory Disability</c:v>
                </c:pt>
              </c:strCache>
            </c:strRef>
          </c:tx>
          <c:spPr>
            <a:ln w="66675">
              <a:noFill/>
            </a:ln>
          </c:spPr>
          <c:dLbls>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Wildfire!$J$783</c:f>
              <c:numCache>
                <c:formatCode>General</c:formatCode>
                <c:ptCount val="1"/>
                <c:pt idx="0">
                  <c:v>3</c:v>
                </c:pt>
              </c:numCache>
            </c:numRef>
          </c:xVal>
          <c:yVal>
            <c:numRef>
              <c:f>Wildfire!$J$782</c:f>
              <c:numCache>
                <c:formatCode>General</c:formatCode>
                <c:ptCount val="1"/>
                <c:pt idx="0">
                  <c:v>0</c:v>
                </c:pt>
              </c:numCache>
            </c:numRef>
          </c:yVal>
          <c:smooth val="0"/>
          <c:extLst>
            <c:ext xmlns:c16="http://schemas.microsoft.com/office/drawing/2014/chart" uri="{C3380CC4-5D6E-409C-BE32-E72D297353CC}">
              <c16:uniqueId val="{00000006-00FC-4C29-A1E2-BC4CC3ABAC81}"/>
            </c:ext>
          </c:extLst>
        </c:ser>
        <c:ser>
          <c:idx val="7"/>
          <c:order val="7"/>
          <c:tx>
            <c:strRef>
              <c:f>Wildfire!$C$785</c:f>
              <c:strCache>
                <c:ptCount val="1"/>
                <c:pt idx="0">
                  <c:v>Cognitive Disability</c:v>
                </c:pt>
              </c:strCache>
            </c:strRef>
          </c:tx>
          <c:spPr>
            <a:ln w="66675">
              <a:noFill/>
            </a:ln>
          </c:spPr>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00FC-4C29-A1E2-BC4CC3ABAC81}"/>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Wildfire!$J$787</c:f>
              <c:numCache>
                <c:formatCode>General</c:formatCode>
                <c:ptCount val="1"/>
                <c:pt idx="0">
                  <c:v>4</c:v>
                </c:pt>
              </c:numCache>
            </c:numRef>
          </c:xVal>
          <c:yVal>
            <c:numRef>
              <c:f>Wildfire!$J$786</c:f>
              <c:numCache>
                <c:formatCode>General</c:formatCode>
                <c:ptCount val="1"/>
                <c:pt idx="0">
                  <c:v>0</c:v>
                </c:pt>
              </c:numCache>
            </c:numRef>
          </c:yVal>
          <c:smooth val="0"/>
          <c:extLst>
            <c:ext xmlns:c16="http://schemas.microsoft.com/office/drawing/2014/chart" uri="{C3380CC4-5D6E-409C-BE32-E72D297353CC}">
              <c16:uniqueId val="{00000008-00FC-4C29-A1E2-BC4CC3ABAC81}"/>
            </c:ext>
          </c:extLst>
        </c:ser>
        <c:ser>
          <c:idx val="8"/>
          <c:order val="8"/>
          <c:tx>
            <c:strRef>
              <c:f>Wildfire!$C$789</c:f>
              <c:strCache>
                <c:ptCount val="1"/>
                <c:pt idx="0">
                  <c:v>Limited English Proficiency</c:v>
                </c:pt>
              </c:strCache>
            </c:strRef>
          </c:tx>
          <c:spPr>
            <a:ln w="66675">
              <a:noFill/>
            </a:ln>
          </c:spPr>
          <c:dLbls>
            <c:dLbl>
              <c:idx val="0"/>
              <c:dLblPos val="l"/>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9-00FC-4C29-A1E2-BC4CC3ABAC81}"/>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Wildfire!$J$791</c:f>
              <c:numCache>
                <c:formatCode>General</c:formatCode>
                <c:ptCount val="1"/>
                <c:pt idx="0">
                  <c:v>3</c:v>
                </c:pt>
              </c:numCache>
            </c:numRef>
          </c:xVal>
          <c:yVal>
            <c:numRef>
              <c:f>Wildfire!$J$790</c:f>
              <c:numCache>
                <c:formatCode>General</c:formatCode>
                <c:ptCount val="1"/>
                <c:pt idx="0">
                  <c:v>0</c:v>
                </c:pt>
              </c:numCache>
            </c:numRef>
          </c:yVal>
          <c:smooth val="0"/>
          <c:extLst>
            <c:ext xmlns:c16="http://schemas.microsoft.com/office/drawing/2014/chart" uri="{C3380CC4-5D6E-409C-BE32-E72D297353CC}">
              <c16:uniqueId val="{0000000A-00FC-4C29-A1E2-BC4CC3ABAC81}"/>
            </c:ext>
          </c:extLst>
        </c:ser>
        <c:dLbls>
          <c:showLegendKey val="0"/>
          <c:showVal val="1"/>
          <c:showCatName val="0"/>
          <c:showSerName val="0"/>
          <c:showPercent val="0"/>
          <c:showBubbleSize val="0"/>
        </c:dLbls>
        <c:axId val="192661760"/>
        <c:axId val="192672128"/>
      </c:scatterChart>
      <c:valAx>
        <c:axId val="192661760"/>
        <c:scaling>
          <c:orientation val="minMax"/>
          <c:max val="4.5"/>
          <c:min val="0"/>
        </c:scaling>
        <c:delete val="0"/>
        <c:axPos val="b"/>
        <c:majorGridlines/>
        <c:title>
          <c:tx>
            <c:rich>
              <a:bodyPr/>
              <a:lstStyle/>
              <a:p>
                <a:pPr>
                  <a:defRPr b="0">
                    <a:latin typeface="+mj-lt"/>
                  </a:defRPr>
                </a:pPr>
                <a:r>
                  <a:rPr lang="en-US" sz="1600" b="0">
                    <a:latin typeface="+mj-lt"/>
                  </a:rPr>
                  <a:t>Access Planning Score</a:t>
                </a:r>
              </a:p>
            </c:rich>
          </c:tx>
          <c:overlay val="0"/>
        </c:title>
        <c:numFmt formatCode="General" sourceLinked="1"/>
        <c:majorTickMark val="out"/>
        <c:minorTickMark val="none"/>
        <c:tickLblPos val="nextTo"/>
        <c:spPr>
          <a:ln>
            <a:solidFill>
              <a:schemeClr val="tx1"/>
            </a:solidFill>
          </a:ln>
        </c:spPr>
        <c:crossAx val="192672128"/>
        <c:crosses val="autoZero"/>
        <c:crossBetween val="midCat"/>
        <c:majorUnit val="1"/>
        <c:minorUnit val="0.1"/>
      </c:valAx>
      <c:valAx>
        <c:axId val="192672128"/>
        <c:scaling>
          <c:orientation val="minMax"/>
          <c:max val="4.5"/>
          <c:min val="0"/>
        </c:scaling>
        <c:delete val="0"/>
        <c:axPos val="l"/>
        <c:majorGridlines/>
        <c:title>
          <c:tx>
            <c:rich>
              <a:bodyPr rot="-5400000" vert="horz"/>
              <a:lstStyle/>
              <a:p>
                <a:pPr>
                  <a:defRPr sz="1600" b="0">
                    <a:latin typeface="+mj-lt"/>
                  </a:defRPr>
                </a:pPr>
                <a:r>
                  <a:rPr lang="en-US" sz="1600" b="0">
                    <a:latin typeface="+mj-lt"/>
                  </a:rPr>
                  <a:t>Population Size Score</a:t>
                </a:r>
              </a:p>
            </c:rich>
          </c:tx>
          <c:overlay val="0"/>
        </c:title>
        <c:numFmt formatCode="General" sourceLinked="1"/>
        <c:majorTickMark val="out"/>
        <c:minorTickMark val="none"/>
        <c:tickLblPos val="nextTo"/>
        <c:spPr>
          <a:ln>
            <a:solidFill>
              <a:schemeClr val="tx1"/>
            </a:solidFill>
          </a:ln>
        </c:spPr>
        <c:crossAx val="192661760"/>
        <c:crosses val="autoZero"/>
        <c:crossBetween val="midCat"/>
        <c:majorUnit val="1"/>
        <c:minorUnit val="0.1"/>
      </c:valAx>
      <c:spPr>
        <a:gradFill flip="none" rotWithShape="1">
          <a:gsLst>
            <a:gs pos="0">
              <a:srgbClr val="63BE7B"/>
            </a:gs>
            <a:gs pos="50000">
              <a:srgbClr val="FFEB84"/>
            </a:gs>
            <a:gs pos="100000">
              <a:srgbClr val="F8696B"/>
            </a:gs>
          </a:gsLst>
          <a:lin ang="189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defRPr b="0" u="sng">
                <a:latin typeface="+mj-lt"/>
              </a:defRPr>
            </a:pPr>
            <a:r>
              <a:rPr lang="en-US" b="0" u="sng">
                <a:latin typeface="+mj-lt"/>
              </a:rPr>
              <a:t>Public Health Preparedness</a:t>
            </a:r>
          </a:p>
        </c:rich>
      </c:tx>
      <c:layout>
        <c:manualLayout>
          <c:xMode val="edge"/>
          <c:yMode val="edge"/>
          <c:x val="0.30532356317913883"/>
          <c:y val="1.3244983721297133E-2"/>
        </c:manualLayout>
      </c:layout>
      <c:overlay val="0"/>
    </c:title>
    <c:autoTitleDeleted val="0"/>
    <c:plotArea>
      <c:layout/>
      <c:scatterChart>
        <c:scatterStyle val="lineMarker"/>
        <c:varyColors val="0"/>
        <c:ser>
          <c:idx val="0"/>
          <c:order val="0"/>
          <c:tx>
            <c:strRef>
              <c:f>Wildfire!$C$853</c:f>
              <c:strCache>
                <c:ptCount val="1"/>
                <c:pt idx="0">
                  <c:v>Info Sharing</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Wildfire!$J$854</c:f>
              <c:numCache>
                <c:formatCode>General</c:formatCode>
                <c:ptCount val="1"/>
                <c:pt idx="0">
                  <c:v>4</c:v>
                </c:pt>
              </c:numCache>
            </c:numRef>
          </c:xVal>
          <c:yVal>
            <c:numRef>
              <c:f>Wildfire!$J$855</c:f>
              <c:numCache>
                <c:formatCode>General</c:formatCode>
                <c:ptCount val="1"/>
                <c:pt idx="0">
                  <c:v>0</c:v>
                </c:pt>
              </c:numCache>
            </c:numRef>
          </c:yVal>
          <c:smooth val="0"/>
          <c:extLst>
            <c:ext xmlns:c16="http://schemas.microsoft.com/office/drawing/2014/chart" uri="{C3380CC4-5D6E-409C-BE32-E72D297353CC}">
              <c16:uniqueId val="{00000000-5687-47C6-A002-FA8CBA993E43}"/>
            </c:ext>
          </c:extLst>
        </c:ser>
        <c:ser>
          <c:idx val="1"/>
          <c:order val="1"/>
          <c:tx>
            <c:strRef>
              <c:f>Wildfire!$C$857</c:f>
              <c:strCache>
                <c:ptCount val="1"/>
                <c:pt idx="0">
                  <c:v>Mass Care</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Wildfire!$J$858</c:f>
              <c:numCache>
                <c:formatCode>General</c:formatCode>
                <c:ptCount val="1"/>
                <c:pt idx="0">
                  <c:v>3</c:v>
                </c:pt>
              </c:numCache>
            </c:numRef>
          </c:xVal>
          <c:yVal>
            <c:numRef>
              <c:f>Wildfire!$J$859</c:f>
              <c:numCache>
                <c:formatCode>General</c:formatCode>
                <c:ptCount val="1"/>
                <c:pt idx="0">
                  <c:v>0</c:v>
                </c:pt>
              </c:numCache>
            </c:numRef>
          </c:yVal>
          <c:smooth val="0"/>
          <c:extLst>
            <c:ext xmlns:c16="http://schemas.microsoft.com/office/drawing/2014/chart" uri="{C3380CC4-5D6E-409C-BE32-E72D297353CC}">
              <c16:uniqueId val="{00000001-5687-47C6-A002-FA8CBA993E43}"/>
            </c:ext>
          </c:extLst>
        </c:ser>
        <c:ser>
          <c:idx val="2"/>
          <c:order val="2"/>
          <c:tx>
            <c:strRef>
              <c:f>Wildfire!$C$861</c:f>
              <c:strCache>
                <c:ptCount val="1"/>
                <c:pt idx="0">
                  <c:v>MCM Dispens</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Wildfire!$J$862</c:f>
              <c:numCache>
                <c:formatCode>General</c:formatCode>
                <c:ptCount val="1"/>
                <c:pt idx="0">
                  <c:v>0</c:v>
                </c:pt>
              </c:numCache>
            </c:numRef>
          </c:xVal>
          <c:yVal>
            <c:numRef>
              <c:f>Wildfire!$J$863</c:f>
              <c:numCache>
                <c:formatCode>General</c:formatCode>
                <c:ptCount val="1"/>
                <c:pt idx="0">
                  <c:v>0</c:v>
                </c:pt>
              </c:numCache>
            </c:numRef>
          </c:yVal>
          <c:smooth val="0"/>
          <c:extLst>
            <c:ext xmlns:c16="http://schemas.microsoft.com/office/drawing/2014/chart" uri="{C3380CC4-5D6E-409C-BE32-E72D297353CC}">
              <c16:uniqueId val="{00000002-5687-47C6-A002-FA8CBA993E43}"/>
            </c:ext>
          </c:extLst>
        </c:ser>
        <c:ser>
          <c:idx val="3"/>
          <c:order val="3"/>
          <c:tx>
            <c:strRef>
              <c:f>Wildfire!$C$865</c:f>
              <c:strCache>
                <c:ptCount val="1"/>
                <c:pt idx="0">
                  <c:v>Med Materiel Mgmt</c:v>
                </c:pt>
              </c:strCache>
            </c:strRef>
          </c:tx>
          <c:spPr>
            <a:ln w="66675">
              <a:noFill/>
            </a:ln>
          </c:spPr>
          <c:dLbls>
            <c:spPr>
              <a:noFill/>
              <a:ln>
                <a:noFill/>
              </a:ln>
              <a:effectLst/>
            </c:sp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Wildfire!$J$866</c:f>
              <c:numCache>
                <c:formatCode>General</c:formatCode>
                <c:ptCount val="1"/>
                <c:pt idx="0">
                  <c:v>2</c:v>
                </c:pt>
              </c:numCache>
            </c:numRef>
          </c:xVal>
          <c:yVal>
            <c:numRef>
              <c:f>Wildfire!$J$867</c:f>
              <c:numCache>
                <c:formatCode>General</c:formatCode>
                <c:ptCount val="1"/>
                <c:pt idx="0">
                  <c:v>0</c:v>
                </c:pt>
              </c:numCache>
            </c:numRef>
          </c:yVal>
          <c:smooth val="0"/>
          <c:extLst>
            <c:ext xmlns:c16="http://schemas.microsoft.com/office/drawing/2014/chart" uri="{C3380CC4-5D6E-409C-BE32-E72D297353CC}">
              <c16:uniqueId val="{00000003-5687-47C6-A002-FA8CBA993E43}"/>
            </c:ext>
          </c:extLst>
        </c:ser>
        <c:ser>
          <c:idx val="4"/>
          <c:order val="4"/>
          <c:tx>
            <c:strRef>
              <c:f>Wildfire!$C$869</c:f>
              <c:strCache>
                <c:ptCount val="1"/>
                <c:pt idx="0">
                  <c:v>Medical Surge</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Wildfire!$J$870</c:f>
              <c:numCache>
                <c:formatCode>General</c:formatCode>
                <c:ptCount val="1"/>
                <c:pt idx="0">
                  <c:v>0</c:v>
                </c:pt>
              </c:numCache>
            </c:numRef>
          </c:xVal>
          <c:yVal>
            <c:numRef>
              <c:f>Wildfire!$J$871</c:f>
              <c:numCache>
                <c:formatCode>General</c:formatCode>
                <c:ptCount val="1"/>
                <c:pt idx="0">
                  <c:v>0</c:v>
                </c:pt>
              </c:numCache>
            </c:numRef>
          </c:yVal>
          <c:smooth val="0"/>
          <c:extLst>
            <c:ext xmlns:c16="http://schemas.microsoft.com/office/drawing/2014/chart" uri="{C3380CC4-5D6E-409C-BE32-E72D297353CC}">
              <c16:uniqueId val="{00000004-5687-47C6-A002-FA8CBA993E43}"/>
            </c:ext>
          </c:extLst>
        </c:ser>
        <c:ser>
          <c:idx val="5"/>
          <c:order val="5"/>
          <c:tx>
            <c:strRef>
              <c:f>Wildfire!$C$873</c:f>
              <c:strCache>
                <c:ptCount val="1"/>
                <c:pt idx="0">
                  <c:v>Non-Pharm Interv</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Wildfire!$J$874</c:f>
              <c:numCache>
                <c:formatCode>General</c:formatCode>
                <c:ptCount val="1"/>
                <c:pt idx="0">
                  <c:v>0</c:v>
                </c:pt>
              </c:numCache>
            </c:numRef>
          </c:xVal>
          <c:yVal>
            <c:numRef>
              <c:f>Wildfire!$J$875</c:f>
              <c:numCache>
                <c:formatCode>General</c:formatCode>
                <c:ptCount val="1"/>
                <c:pt idx="0">
                  <c:v>0</c:v>
                </c:pt>
              </c:numCache>
            </c:numRef>
          </c:yVal>
          <c:smooth val="0"/>
          <c:extLst>
            <c:ext xmlns:c16="http://schemas.microsoft.com/office/drawing/2014/chart" uri="{C3380CC4-5D6E-409C-BE32-E72D297353CC}">
              <c16:uniqueId val="{00000005-5687-47C6-A002-FA8CBA993E43}"/>
            </c:ext>
          </c:extLst>
        </c:ser>
        <c:ser>
          <c:idx val="6"/>
          <c:order val="6"/>
          <c:tx>
            <c:strRef>
              <c:f>Wildfire!$C$877</c:f>
              <c:strCache>
                <c:ptCount val="1"/>
                <c:pt idx="0">
                  <c:v>PH Lab Testing</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Wildfire!$J$878</c:f>
              <c:numCache>
                <c:formatCode>General</c:formatCode>
                <c:ptCount val="1"/>
                <c:pt idx="0">
                  <c:v>0</c:v>
                </c:pt>
              </c:numCache>
            </c:numRef>
          </c:xVal>
          <c:yVal>
            <c:numRef>
              <c:f>Wildfire!$J$879</c:f>
              <c:numCache>
                <c:formatCode>General</c:formatCode>
                <c:ptCount val="1"/>
                <c:pt idx="0">
                  <c:v>0</c:v>
                </c:pt>
              </c:numCache>
            </c:numRef>
          </c:yVal>
          <c:smooth val="0"/>
          <c:extLst>
            <c:ext xmlns:c16="http://schemas.microsoft.com/office/drawing/2014/chart" uri="{C3380CC4-5D6E-409C-BE32-E72D297353CC}">
              <c16:uniqueId val="{00000006-5687-47C6-A002-FA8CBA993E43}"/>
            </c:ext>
          </c:extLst>
        </c:ser>
        <c:ser>
          <c:idx val="7"/>
          <c:order val="7"/>
          <c:tx>
            <c:strRef>
              <c:f>Wildfire!$C$881</c:f>
              <c:strCache>
                <c:ptCount val="1"/>
                <c:pt idx="0">
                  <c:v>PH Surv &amp; Epi</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Wildfire!$J$882</c:f>
              <c:numCache>
                <c:formatCode>General</c:formatCode>
                <c:ptCount val="1"/>
                <c:pt idx="0">
                  <c:v>2</c:v>
                </c:pt>
              </c:numCache>
            </c:numRef>
          </c:xVal>
          <c:yVal>
            <c:numRef>
              <c:f>Wildfire!$J$883</c:f>
              <c:numCache>
                <c:formatCode>General</c:formatCode>
                <c:ptCount val="1"/>
                <c:pt idx="0">
                  <c:v>0</c:v>
                </c:pt>
              </c:numCache>
            </c:numRef>
          </c:yVal>
          <c:smooth val="0"/>
          <c:extLst>
            <c:ext xmlns:c16="http://schemas.microsoft.com/office/drawing/2014/chart" uri="{C3380CC4-5D6E-409C-BE32-E72D297353CC}">
              <c16:uniqueId val="{00000007-5687-47C6-A002-FA8CBA993E43}"/>
            </c:ext>
          </c:extLst>
        </c:ser>
        <c:ser>
          <c:idx val="8"/>
          <c:order val="8"/>
          <c:tx>
            <c:strRef>
              <c:f>Wildfire!$C$885</c:f>
              <c:strCache>
                <c:ptCount val="1"/>
                <c:pt idx="0">
                  <c:v>Responder Safety</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Wildfire!$J$886</c:f>
              <c:numCache>
                <c:formatCode>General</c:formatCode>
                <c:ptCount val="1"/>
                <c:pt idx="0">
                  <c:v>0</c:v>
                </c:pt>
              </c:numCache>
            </c:numRef>
          </c:xVal>
          <c:yVal>
            <c:numRef>
              <c:f>Wildfire!$J$887</c:f>
              <c:numCache>
                <c:formatCode>General</c:formatCode>
                <c:ptCount val="1"/>
                <c:pt idx="0">
                  <c:v>0</c:v>
                </c:pt>
              </c:numCache>
            </c:numRef>
          </c:yVal>
          <c:smooth val="0"/>
          <c:extLst>
            <c:ext xmlns:c16="http://schemas.microsoft.com/office/drawing/2014/chart" uri="{C3380CC4-5D6E-409C-BE32-E72D297353CC}">
              <c16:uniqueId val="{00000008-5687-47C6-A002-FA8CBA993E43}"/>
            </c:ext>
          </c:extLst>
        </c:ser>
        <c:ser>
          <c:idx val="9"/>
          <c:order val="9"/>
          <c:tx>
            <c:strRef>
              <c:f>Wildfire!$C$889</c:f>
              <c:strCache>
                <c:ptCount val="1"/>
                <c:pt idx="0">
                  <c:v>Volunteer Mgmt</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Wildfire!$J$890</c:f>
              <c:numCache>
                <c:formatCode>General</c:formatCode>
                <c:ptCount val="1"/>
                <c:pt idx="0">
                  <c:v>2</c:v>
                </c:pt>
              </c:numCache>
            </c:numRef>
          </c:xVal>
          <c:yVal>
            <c:numRef>
              <c:f>Wildfire!$J$891</c:f>
              <c:numCache>
                <c:formatCode>General</c:formatCode>
                <c:ptCount val="1"/>
                <c:pt idx="0">
                  <c:v>0</c:v>
                </c:pt>
              </c:numCache>
            </c:numRef>
          </c:yVal>
          <c:smooth val="0"/>
          <c:extLst>
            <c:ext xmlns:c16="http://schemas.microsoft.com/office/drawing/2014/chart" uri="{C3380CC4-5D6E-409C-BE32-E72D297353CC}">
              <c16:uniqueId val="{00000009-5687-47C6-A002-FA8CBA993E43}"/>
            </c:ext>
          </c:extLst>
        </c:ser>
        <c:ser>
          <c:idx val="10"/>
          <c:order val="10"/>
          <c:tx>
            <c:strRef>
              <c:f>Wildfire!$C$833</c:f>
              <c:strCache>
                <c:ptCount val="1"/>
                <c:pt idx="0">
                  <c:v>Community Prep</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Wildfire!$J$834</c:f>
              <c:numCache>
                <c:formatCode>General</c:formatCode>
                <c:ptCount val="1"/>
                <c:pt idx="0">
                  <c:v>4</c:v>
                </c:pt>
              </c:numCache>
            </c:numRef>
          </c:xVal>
          <c:yVal>
            <c:numRef>
              <c:f>Wildfire!$J$835</c:f>
              <c:numCache>
                <c:formatCode>General</c:formatCode>
                <c:ptCount val="1"/>
                <c:pt idx="0">
                  <c:v>0</c:v>
                </c:pt>
              </c:numCache>
            </c:numRef>
          </c:yVal>
          <c:smooth val="0"/>
          <c:extLst>
            <c:ext xmlns:c16="http://schemas.microsoft.com/office/drawing/2014/chart" uri="{C3380CC4-5D6E-409C-BE32-E72D297353CC}">
              <c16:uniqueId val="{0000000A-5687-47C6-A002-FA8CBA993E43}"/>
            </c:ext>
          </c:extLst>
        </c:ser>
        <c:ser>
          <c:idx val="11"/>
          <c:order val="11"/>
          <c:tx>
            <c:strRef>
              <c:f>Wildfire!$C$837</c:f>
              <c:strCache>
                <c:ptCount val="1"/>
                <c:pt idx="0">
                  <c:v>Community Recov</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Wildfire!$J$838</c:f>
              <c:numCache>
                <c:formatCode>General</c:formatCode>
                <c:ptCount val="1"/>
                <c:pt idx="0">
                  <c:v>4</c:v>
                </c:pt>
              </c:numCache>
            </c:numRef>
          </c:xVal>
          <c:yVal>
            <c:numRef>
              <c:f>Wildfire!$J$839</c:f>
              <c:numCache>
                <c:formatCode>General</c:formatCode>
                <c:ptCount val="1"/>
                <c:pt idx="0">
                  <c:v>0</c:v>
                </c:pt>
              </c:numCache>
            </c:numRef>
          </c:yVal>
          <c:smooth val="0"/>
          <c:extLst>
            <c:ext xmlns:c16="http://schemas.microsoft.com/office/drawing/2014/chart" uri="{C3380CC4-5D6E-409C-BE32-E72D297353CC}">
              <c16:uniqueId val="{0000000B-5687-47C6-A002-FA8CBA993E43}"/>
            </c:ext>
          </c:extLst>
        </c:ser>
        <c:ser>
          <c:idx val="12"/>
          <c:order val="12"/>
          <c:tx>
            <c:strRef>
              <c:f>Wildfire!$C$841</c:f>
              <c:strCache>
                <c:ptCount val="1"/>
                <c:pt idx="0">
                  <c:v>Emerg Ops Coord</c:v>
                </c:pt>
              </c:strCache>
            </c:strRef>
          </c:tx>
          <c:spPr>
            <a:ln w="66675">
              <a:noFill/>
            </a:ln>
          </c:spPr>
          <c:dLbls>
            <c:spPr>
              <a:noFill/>
              <a:ln>
                <a:noFill/>
              </a:ln>
              <a:effectLst/>
            </c:sp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Wildfire!$J$842</c:f>
              <c:numCache>
                <c:formatCode>General</c:formatCode>
                <c:ptCount val="1"/>
                <c:pt idx="0">
                  <c:v>4</c:v>
                </c:pt>
              </c:numCache>
            </c:numRef>
          </c:xVal>
          <c:yVal>
            <c:numRef>
              <c:f>Wildfire!$J$843</c:f>
              <c:numCache>
                <c:formatCode>General</c:formatCode>
                <c:ptCount val="1"/>
                <c:pt idx="0">
                  <c:v>0</c:v>
                </c:pt>
              </c:numCache>
            </c:numRef>
          </c:yVal>
          <c:smooth val="0"/>
          <c:extLst>
            <c:ext xmlns:c16="http://schemas.microsoft.com/office/drawing/2014/chart" uri="{C3380CC4-5D6E-409C-BE32-E72D297353CC}">
              <c16:uniqueId val="{0000000C-5687-47C6-A002-FA8CBA993E43}"/>
            </c:ext>
          </c:extLst>
        </c:ser>
        <c:ser>
          <c:idx val="13"/>
          <c:order val="13"/>
          <c:tx>
            <c:strRef>
              <c:f>Wildfire!$C$845</c:f>
              <c:strCache>
                <c:ptCount val="1"/>
                <c:pt idx="0">
                  <c:v>Emerg Public Info</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Wildfire!$J$846</c:f>
              <c:numCache>
                <c:formatCode>General</c:formatCode>
                <c:ptCount val="1"/>
                <c:pt idx="0">
                  <c:v>4</c:v>
                </c:pt>
              </c:numCache>
            </c:numRef>
          </c:xVal>
          <c:yVal>
            <c:numRef>
              <c:f>Wildfire!$J$847</c:f>
              <c:numCache>
                <c:formatCode>General</c:formatCode>
                <c:ptCount val="1"/>
                <c:pt idx="0">
                  <c:v>0</c:v>
                </c:pt>
              </c:numCache>
            </c:numRef>
          </c:yVal>
          <c:smooth val="0"/>
          <c:extLst>
            <c:ext xmlns:c16="http://schemas.microsoft.com/office/drawing/2014/chart" uri="{C3380CC4-5D6E-409C-BE32-E72D297353CC}">
              <c16:uniqueId val="{0000000D-5687-47C6-A002-FA8CBA993E43}"/>
            </c:ext>
          </c:extLst>
        </c:ser>
        <c:ser>
          <c:idx val="14"/>
          <c:order val="14"/>
          <c:tx>
            <c:strRef>
              <c:f>Wildfire!$C$964</c:f>
              <c:strCache>
                <c:ptCount val="1"/>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Wildfire!$J$965</c:f>
            </c:numRef>
          </c:xVal>
          <c:yVal>
            <c:numRef>
              <c:f>Wildfire!$J$966</c:f>
            </c:numRef>
          </c:yVal>
          <c:smooth val="0"/>
          <c:extLst>
            <c:ext xmlns:c16="http://schemas.microsoft.com/office/drawing/2014/chart" uri="{C3380CC4-5D6E-409C-BE32-E72D297353CC}">
              <c16:uniqueId val="{0000000E-5687-47C6-A002-FA8CBA993E43}"/>
            </c:ext>
          </c:extLst>
        </c:ser>
        <c:ser>
          <c:idx val="15"/>
          <c:order val="15"/>
          <c:tx>
            <c:strRef>
              <c:f>Wildfire!$C$849</c:f>
              <c:strCache>
                <c:ptCount val="1"/>
                <c:pt idx="0">
                  <c:v>Fatality Mgmt</c:v>
                </c:pt>
              </c:strCache>
            </c:strRef>
          </c:tx>
          <c:spPr>
            <a:ln w="66675">
              <a:noFill/>
            </a:ln>
          </c:spP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F-5687-47C6-A002-FA8CBA993E4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Wildfire!$J$850</c:f>
              <c:numCache>
                <c:formatCode>General</c:formatCode>
                <c:ptCount val="1"/>
                <c:pt idx="0">
                  <c:v>0</c:v>
                </c:pt>
              </c:numCache>
            </c:numRef>
          </c:xVal>
          <c:yVal>
            <c:numRef>
              <c:f>Wildfire!$J$851</c:f>
              <c:numCache>
                <c:formatCode>General</c:formatCode>
                <c:ptCount val="1"/>
                <c:pt idx="0">
                  <c:v>0</c:v>
                </c:pt>
              </c:numCache>
            </c:numRef>
          </c:yVal>
          <c:smooth val="0"/>
          <c:extLst>
            <c:ext xmlns:c16="http://schemas.microsoft.com/office/drawing/2014/chart" uri="{C3380CC4-5D6E-409C-BE32-E72D297353CC}">
              <c16:uniqueId val="{00000010-5687-47C6-A002-FA8CBA993E43}"/>
            </c:ext>
          </c:extLst>
        </c:ser>
        <c:dLbls>
          <c:showLegendKey val="0"/>
          <c:showVal val="1"/>
          <c:showCatName val="0"/>
          <c:showSerName val="0"/>
          <c:showPercent val="0"/>
          <c:showBubbleSize val="0"/>
        </c:dLbls>
        <c:axId val="197466368"/>
        <c:axId val="197489024"/>
      </c:scatterChart>
      <c:valAx>
        <c:axId val="197466368"/>
        <c:scaling>
          <c:orientation val="minMax"/>
          <c:max val="4.5"/>
          <c:min val="0"/>
        </c:scaling>
        <c:delete val="0"/>
        <c:axPos val="b"/>
        <c:majorGridlines/>
        <c:title>
          <c:tx>
            <c:rich>
              <a:bodyPr/>
              <a:lstStyle/>
              <a:p>
                <a:pPr>
                  <a:defRPr b="0">
                    <a:latin typeface="+mj-lt"/>
                  </a:defRPr>
                </a:pPr>
                <a:r>
                  <a:rPr lang="en-US" sz="1600" b="0">
                    <a:latin typeface="+mj-lt"/>
                  </a:rPr>
                  <a:t>Capability Relevance to Hazard</a:t>
                </a:r>
              </a:p>
            </c:rich>
          </c:tx>
          <c:overlay val="0"/>
        </c:title>
        <c:numFmt formatCode="General" sourceLinked="1"/>
        <c:majorTickMark val="out"/>
        <c:minorTickMark val="none"/>
        <c:tickLblPos val="nextTo"/>
        <c:spPr>
          <a:ln>
            <a:solidFill>
              <a:schemeClr val="tx1"/>
            </a:solidFill>
          </a:ln>
        </c:spPr>
        <c:crossAx val="197489024"/>
        <c:crosses val="autoZero"/>
        <c:crossBetween val="midCat"/>
        <c:majorUnit val="1"/>
        <c:minorUnit val="0.1"/>
      </c:valAx>
      <c:valAx>
        <c:axId val="197489024"/>
        <c:scaling>
          <c:orientation val="minMax"/>
          <c:max val="4.5"/>
          <c:min val="0"/>
        </c:scaling>
        <c:delete val="0"/>
        <c:axPos val="l"/>
        <c:majorGridlines/>
        <c:title>
          <c:tx>
            <c:rich>
              <a:bodyPr rot="-5400000" vert="horz"/>
              <a:lstStyle/>
              <a:p>
                <a:pPr>
                  <a:defRPr sz="1600" b="0">
                    <a:latin typeface="+mj-lt"/>
                  </a:defRPr>
                </a:pPr>
                <a:r>
                  <a:rPr lang="en-US" sz="1600" b="0">
                    <a:latin typeface="+mj-lt"/>
                  </a:rPr>
                  <a:t>Capability Status</a:t>
                </a:r>
              </a:p>
            </c:rich>
          </c:tx>
          <c:overlay val="0"/>
        </c:title>
        <c:numFmt formatCode="General" sourceLinked="1"/>
        <c:majorTickMark val="out"/>
        <c:minorTickMark val="none"/>
        <c:tickLblPos val="nextTo"/>
        <c:spPr>
          <a:ln>
            <a:solidFill>
              <a:schemeClr val="tx1"/>
            </a:solidFill>
          </a:ln>
        </c:spPr>
        <c:crossAx val="197466368"/>
        <c:crosses val="autoZero"/>
        <c:crossBetween val="midCat"/>
        <c:majorUnit val="1"/>
        <c:minorUnit val="0.1"/>
      </c:valAx>
      <c:spPr>
        <a:gradFill flip="none" rotWithShape="1">
          <a:gsLst>
            <a:gs pos="0">
              <a:srgbClr val="63BE7B"/>
            </a:gs>
            <a:gs pos="50000">
              <a:srgbClr val="FFEB84"/>
            </a:gs>
            <a:gs pos="100000">
              <a:srgbClr val="F8696B"/>
            </a:gs>
          </a:gsLst>
          <a:lin ang="27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defRPr b="0" u="sng">
                <a:latin typeface="+mj-lt"/>
              </a:defRPr>
            </a:pPr>
            <a:r>
              <a:rPr lang="en-US" b="0" u="sng">
                <a:latin typeface="+mj-lt"/>
              </a:rPr>
              <a:t>Healthcare Preparedness</a:t>
            </a:r>
          </a:p>
        </c:rich>
      </c:tx>
      <c:layout>
        <c:manualLayout>
          <c:xMode val="edge"/>
          <c:yMode val="edge"/>
          <c:x val="0.39018001969634875"/>
          <c:y val="1.3244983721297133E-2"/>
        </c:manualLayout>
      </c:layout>
      <c:overlay val="0"/>
    </c:title>
    <c:autoTitleDeleted val="0"/>
    <c:plotArea>
      <c:layout/>
      <c:scatterChart>
        <c:scatterStyle val="lineMarker"/>
        <c:varyColors val="0"/>
        <c:ser>
          <c:idx val="0"/>
          <c:order val="0"/>
          <c:tx>
            <c:strRef>
              <c:f>Wildfire!$C$903</c:f>
              <c:strCache>
                <c:ptCount val="1"/>
                <c:pt idx="0">
                  <c:v>HC System Prep</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Wildfire!$J$904</c:f>
              <c:numCache>
                <c:formatCode>General</c:formatCode>
                <c:ptCount val="1"/>
                <c:pt idx="0">
                  <c:v>4</c:v>
                </c:pt>
              </c:numCache>
            </c:numRef>
          </c:xVal>
          <c:yVal>
            <c:numRef>
              <c:f>Wildfire!$J$905</c:f>
              <c:numCache>
                <c:formatCode>General</c:formatCode>
                <c:ptCount val="1"/>
                <c:pt idx="0">
                  <c:v>0</c:v>
                </c:pt>
              </c:numCache>
            </c:numRef>
          </c:yVal>
          <c:smooth val="0"/>
          <c:extLst>
            <c:ext xmlns:c16="http://schemas.microsoft.com/office/drawing/2014/chart" uri="{C3380CC4-5D6E-409C-BE32-E72D297353CC}">
              <c16:uniqueId val="{00000000-8720-46D2-9748-5057A5BA1C08}"/>
            </c:ext>
          </c:extLst>
        </c:ser>
        <c:ser>
          <c:idx val="1"/>
          <c:order val="1"/>
          <c:tx>
            <c:strRef>
              <c:f>Wildfire!$C$907</c:f>
              <c:strCache>
                <c:ptCount val="1"/>
                <c:pt idx="0">
                  <c:v>HC System Recov</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Wildfire!$J$908</c:f>
              <c:numCache>
                <c:formatCode>General</c:formatCode>
                <c:ptCount val="1"/>
                <c:pt idx="0">
                  <c:v>4</c:v>
                </c:pt>
              </c:numCache>
            </c:numRef>
          </c:xVal>
          <c:yVal>
            <c:numRef>
              <c:f>Wildfire!$J$909</c:f>
              <c:numCache>
                <c:formatCode>General</c:formatCode>
                <c:ptCount val="1"/>
                <c:pt idx="0">
                  <c:v>0</c:v>
                </c:pt>
              </c:numCache>
            </c:numRef>
          </c:yVal>
          <c:smooth val="0"/>
          <c:extLst>
            <c:ext xmlns:c16="http://schemas.microsoft.com/office/drawing/2014/chart" uri="{C3380CC4-5D6E-409C-BE32-E72D297353CC}">
              <c16:uniqueId val="{00000001-8720-46D2-9748-5057A5BA1C08}"/>
            </c:ext>
          </c:extLst>
        </c:ser>
        <c:ser>
          <c:idx val="2"/>
          <c:order val="2"/>
          <c:tx>
            <c:strRef>
              <c:f>Wildfire!$C$911</c:f>
              <c:strCache>
                <c:ptCount val="1"/>
                <c:pt idx="0">
                  <c:v>Emerg Ops Coord</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Wildfire!$J$912</c:f>
              <c:numCache>
                <c:formatCode>General</c:formatCode>
                <c:ptCount val="1"/>
                <c:pt idx="0">
                  <c:v>4</c:v>
                </c:pt>
              </c:numCache>
            </c:numRef>
          </c:xVal>
          <c:yVal>
            <c:numRef>
              <c:f>Wildfire!$J$913</c:f>
              <c:numCache>
                <c:formatCode>General</c:formatCode>
                <c:ptCount val="1"/>
                <c:pt idx="0">
                  <c:v>0</c:v>
                </c:pt>
              </c:numCache>
            </c:numRef>
          </c:yVal>
          <c:smooth val="0"/>
          <c:extLst>
            <c:ext xmlns:c16="http://schemas.microsoft.com/office/drawing/2014/chart" uri="{C3380CC4-5D6E-409C-BE32-E72D297353CC}">
              <c16:uniqueId val="{00000002-8720-46D2-9748-5057A5BA1C08}"/>
            </c:ext>
          </c:extLst>
        </c:ser>
        <c:ser>
          <c:idx val="3"/>
          <c:order val="3"/>
          <c:tx>
            <c:strRef>
              <c:f>Wildfire!$C$915</c:f>
              <c:strCache>
                <c:ptCount val="1"/>
                <c:pt idx="0">
                  <c:v>Fatality Mgmt</c:v>
                </c:pt>
              </c:strCache>
            </c:strRef>
          </c:tx>
          <c:spPr>
            <a:ln w="66675">
              <a:noFill/>
            </a:ln>
          </c:spPr>
          <c:dLbls>
            <c:spPr>
              <a:noFill/>
              <a:ln>
                <a:noFill/>
              </a:ln>
              <a:effectLst/>
            </c:sp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Wildfire!$J$916</c:f>
              <c:numCache>
                <c:formatCode>General</c:formatCode>
                <c:ptCount val="1"/>
                <c:pt idx="0">
                  <c:v>0</c:v>
                </c:pt>
              </c:numCache>
            </c:numRef>
          </c:xVal>
          <c:yVal>
            <c:numRef>
              <c:f>Wildfire!$J$917</c:f>
              <c:numCache>
                <c:formatCode>General</c:formatCode>
                <c:ptCount val="1"/>
                <c:pt idx="0">
                  <c:v>0</c:v>
                </c:pt>
              </c:numCache>
            </c:numRef>
          </c:yVal>
          <c:smooth val="0"/>
          <c:extLst>
            <c:ext xmlns:c16="http://schemas.microsoft.com/office/drawing/2014/chart" uri="{C3380CC4-5D6E-409C-BE32-E72D297353CC}">
              <c16:uniqueId val="{00000003-8720-46D2-9748-5057A5BA1C08}"/>
            </c:ext>
          </c:extLst>
        </c:ser>
        <c:ser>
          <c:idx val="4"/>
          <c:order val="4"/>
          <c:tx>
            <c:strRef>
              <c:f>Wildfire!$C$919</c:f>
              <c:strCache>
                <c:ptCount val="1"/>
                <c:pt idx="0">
                  <c:v>Info Sharing</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Wildfire!$J$920</c:f>
              <c:numCache>
                <c:formatCode>General</c:formatCode>
                <c:ptCount val="1"/>
                <c:pt idx="0">
                  <c:v>4</c:v>
                </c:pt>
              </c:numCache>
            </c:numRef>
          </c:xVal>
          <c:yVal>
            <c:numRef>
              <c:f>Wildfire!$J$921</c:f>
              <c:numCache>
                <c:formatCode>General</c:formatCode>
                <c:ptCount val="1"/>
                <c:pt idx="0">
                  <c:v>0</c:v>
                </c:pt>
              </c:numCache>
            </c:numRef>
          </c:yVal>
          <c:smooth val="0"/>
          <c:extLst>
            <c:ext xmlns:c16="http://schemas.microsoft.com/office/drawing/2014/chart" uri="{C3380CC4-5D6E-409C-BE32-E72D297353CC}">
              <c16:uniqueId val="{00000004-8720-46D2-9748-5057A5BA1C08}"/>
            </c:ext>
          </c:extLst>
        </c:ser>
        <c:ser>
          <c:idx val="5"/>
          <c:order val="5"/>
          <c:tx>
            <c:strRef>
              <c:f>Wildfire!$C$923</c:f>
              <c:strCache>
                <c:ptCount val="1"/>
                <c:pt idx="0">
                  <c:v>Medical Surge</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Wildfire!$J$924</c:f>
              <c:numCache>
                <c:formatCode>General</c:formatCode>
                <c:ptCount val="1"/>
                <c:pt idx="0">
                  <c:v>0</c:v>
                </c:pt>
              </c:numCache>
            </c:numRef>
          </c:xVal>
          <c:yVal>
            <c:numRef>
              <c:f>Wildfire!$J$925</c:f>
              <c:numCache>
                <c:formatCode>General</c:formatCode>
                <c:ptCount val="1"/>
                <c:pt idx="0">
                  <c:v>0</c:v>
                </c:pt>
              </c:numCache>
            </c:numRef>
          </c:yVal>
          <c:smooth val="0"/>
          <c:extLst>
            <c:ext xmlns:c16="http://schemas.microsoft.com/office/drawing/2014/chart" uri="{C3380CC4-5D6E-409C-BE32-E72D297353CC}">
              <c16:uniqueId val="{00000005-8720-46D2-9748-5057A5BA1C08}"/>
            </c:ext>
          </c:extLst>
        </c:ser>
        <c:ser>
          <c:idx val="6"/>
          <c:order val="6"/>
          <c:tx>
            <c:strRef>
              <c:f>Wildfire!$C$927</c:f>
              <c:strCache>
                <c:ptCount val="1"/>
                <c:pt idx="0">
                  <c:v>Responder Safety</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Wildfire!$J$928</c:f>
              <c:numCache>
                <c:formatCode>General</c:formatCode>
                <c:ptCount val="1"/>
                <c:pt idx="0">
                  <c:v>0</c:v>
                </c:pt>
              </c:numCache>
            </c:numRef>
          </c:xVal>
          <c:yVal>
            <c:numRef>
              <c:f>Wildfire!$J$929</c:f>
              <c:numCache>
                <c:formatCode>General</c:formatCode>
                <c:ptCount val="1"/>
                <c:pt idx="0">
                  <c:v>0</c:v>
                </c:pt>
              </c:numCache>
            </c:numRef>
          </c:yVal>
          <c:smooth val="0"/>
          <c:extLst>
            <c:ext xmlns:c16="http://schemas.microsoft.com/office/drawing/2014/chart" uri="{C3380CC4-5D6E-409C-BE32-E72D297353CC}">
              <c16:uniqueId val="{00000006-8720-46D2-9748-5057A5BA1C08}"/>
            </c:ext>
          </c:extLst>
        </c:ser>
        <c:ser>
          <c:idx val="7"/>
          <c:order val="7"/>
          <c:tx>
            <c:strRef>
              <c:f>Wildfire!$C$931</c:f>
              <c:strCache>
                <c:ptCount val="1"/>
                <c:pt idx="0">
                  <c:v>Volunteer Mgmt</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Wildfire!$J$932</c:f>
              <c:numCache>
                <c:formatCode>General</c:formatCode>
                <c:ptCount val="1"/>
                <c:pt idx="0">
                  <c:v>2</c:v>
                </c:pt>
              </c:numCache>
            </c:numRef>
          </c:xVal>
          <c:yVal>
            <c:numRef>
              <c:f>Wildfire!$J$933</c:f>
              <c:numCache>
                <c:formatCode>General</c:formatCode>
                <c:ptCount val="1"/>
                <c:pt idx="0">
                  <c:v>0</c:v>
                </c:pt>
              </c:numCache>
            </c:numRef>
          </c:yVal>
          <c:smooth val="0"/>
          <c:extLst>
            <c:ext xmlns:c16="http://schemas.microsoft.com/office/drawing/2014/chart" uri="{C3380CC4-5D6E-409C-BE32-E72D297353CC}">
              <c16:uniqueId val="{00000007-8720-46D2-9748-5057A5BA1C08}"/>
            </c:ext>
          </c:extLst>
        </c:ser>
        <c:ser>
          <c:idx val="14"/>
          <c:order val="8"/>
          <c:tx>
            <c:strRef>
              <c:f>Wildfire!$C$964</c:f>
              <c:strCache>
                <c:ptCount val="1"/>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Wildfire!$J$965</c:f>
            </c:numRef>
          </c:xVal>
          <c:yVal>
            <c:numRef>
              <c:f>Wildfire!$J$966</c:f>
            </c:numRef>
          </c:yVal>
          <c:smooth val="0"/>
          <c:extLst>
            <c:ext xmlns:c16="http://schemas.microsoft.com/office/drawing/2014/chart" uri="{C3380CC4-5D6E-409C-BE32-E72D297353CC}">
              <c16:uniqueId val="{00000008-8720-46D2-9748-5057A5BA1C08}"/>
            </c:ext>
          </c:extLst>
        </c:ser>
        <c:dLbls>
          <c:showLegendKey val="0"/>
          <c:showVal val="1"/>
          <c:showCatName val="0"/>
          <c:showSerName val="0"/>
          <c:showPercent val="0"/>
          <c:showBubbleSize val="0"/>
        </c:dLbls>
        <c:axId val="197602304"/>
        <c:axId val="197612672"/>
      </c:scatterChart>
      <c:valAx>
        <c:axId val="197602304"/>
        <c:scaling>
          <c:orientation val="minMax"/>
          <c:max val="4.5"/>
          <c:min val="0"/>
        </c:scaling>
        <c:delete val="0"/>
        <c:axPos val="b"/>
        <c:majorGridlines/>
        <c:title>
          <c:tx>
            <c:rich>
              <a:bodyPr/>
              <a:lstStyle/>
              <a:p>
                <a:pPr>
                  <a:defRPr b="0">
                    <a:latin typeface="+mj-lt"/>
                  </a:defRPr>
                </a:pPr>
                <a:r>
                  <a:rPr lang="en-US" sz="1600" b="0">
                    <a:latin typeface="+mj-lt"/>
                  </a:rPr>
                  <a:t>Capability Relevance to Hazard</a:t>
                </a:r>
              </a:p>
            </c:rich>
          </c:tx>
          <c:overlay val="0"/>
        </c:title>
        <c:numFmt formatCode="General" sourceLinked="1"/>
        <c:majorTickMark val="out"/>
        <c:minorTickMark val="none"/>
        <c:tickLblPos val="nextTo"/>
        <c:spPr>
          <a:ln>
            <a:solidFill>
              <a:schemeClr val="tx1"/>
            </a:solidFill>
          </a:ln>
        </c:spPr>
        <c:crossAx val="197612672"/>
        <c:crosses val="autoZero"/>
        <c:crossBetween val="midCat"/>
        <c:majorUnit val="1"/>
        <c:minorUnit val="0.1"/>
      </c:valAx>
      <c:valAx>
        <c:axId val="197612672"/>
        <c:scaling>
          <c:orientation val="minMax"/>
          <c:max val="4.5"/>
          <c:min val="0"/>
        </c:scaling>
        <c:delete val="0"/>
        <c:axPos val="l"/>
        <c:majorGridlines/>
        <c:title>
          <c:tx>
            <c:rich>
              <a:bodyPr rot="-5400000" vert="horz"/>
              <a:lstStyle/>
              <a:p>
                <a:pPr>
                  <a:defRPr sz="1600" b="0">
                    <a:latin typeface="+mj-lt"/>
                  </a:defRPr>
                </a:pPr>
                <a:r>
                  <a:rPr lang="en-US" sz="1600" b="0">
                    <a:latin typeface="+mj-lt"/>
                  </a:rPr>
                  <a:t>Capability Status</a:t>
                </a:r>
              </a:p>
            </c:rich>
          </c:tx>
          <c:overlay val="0"/>
        </c:title>
        <c:numFmt formatCode="General" sourceLinked="1"/>
        <c:majorTickMark val="out"/>
        <c:minorTickMark val="none"/>
        <c:tickLblPos val="nextTo"/>
        <c:spPr>
          <a:ln>
            <a:solidFill>
              <a:schemeClr val="tx1"/>
            </a:solidFill>
          </a:ln>
        </c:spPr>
        <c:crossAx val="197602304"/>
        <c:crosses val="autoZero"/>
        <c:crossBetween val="midCat"/>
        <c:majorUnit val="1"/>
        <c:minorUnit val="0.1"/>
      </c:valAx>
      <c:spPr>
        <a:gradFill flip="none" rotWithShape="1">
          <a:gsLst>
            <a:gs pos="0">
              <a:srgbClr val="63BE7B"/>
            </a:gs>
            <a:gs pos="50000">
              <a:srgbClr val="FFEB84"/>
            </a:gs>
            <a:gs pos="100000">
              <a:srgbClr val="F8696B"/>
            </a:gs>
          </a:gsLst>
          <a:lin ang="27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b="0" u="sng">
                <a:latin typeface="+mj-lt"/>
              </a:defRPr>
            </a:pPr>
            <a:r>
              <a:rPr lang="en-US" b="0" u="sng">
                <a:latin typeface="+mj-lt"/>
              </a:rPr>
              <a:t>Severity</a:t>
            </a:r>
          </a:p>
        </c:rich>
      </c:tx>
      <c:layout>
        <c:manualLayout>
          <c:xMode val="edge"/>
          <c:yMode val="edge"/>
          <c:x val="0.46889233641333816"/>
          <c:y val="1.3244983721297133E-2"/>
        </c:manualLayout>
      </c:layout>
      <c:overlay val="0"/>
    </c:title>
    <c:autoTitleDeleted val="0"/>
    <c:plotArea>
      <c:layout/>
      <c:barChart>
        <c:barDir val="col"/>
        <c:grouping val="clustered"/>
        <c:varyColors val="0"/>
        <c:ser>
          <c:idx val="0"/>
          <c:order val="0"/>
          <c:tx>
            <c:v>Severity</c:v>
          </c:tx>
          <c:spPr>
            <a:solidFill>
              <a:schemeClr val="accent4">
                <a:lumMod val="60000"/>
                <a:lumOff val="40000"/>
              </a:schemeClr>
            </a:solidFill>
            <a:ln>
              <a:solidFill>
                <a:schemeClr val="accent4"/>
              </a:solidFill>
            </a:ln>
            <a:scene3d>
              <a:camera prst="orthographicFront"/>
              <a:lightRig rig="threePt" dir="t"/>
            </a:scene3d>
            <a:sp3d prstMaterial="matte">
              <a:bevelT w="63500" h="50800"/>
            </a:sp3d>
          </c:spPr>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('Active Shooter'!$G$22,'Active Shooter'!$G$137,'Active Shooter'!$G$265,'Active Shooter'!$G$425,'Active Shooter'!$G$543)</c:f>
              <c:strCache>
                <c:ptCount val="5"/>
                <c:pt idx="0">
                  <c:v>Human Impact</c:v>
                </c:pt>
                <c:pt idx="1">
                  <c:v>Healthcare Service Impact</c:v>
                </c:pt>
                <c:pt idx="2">
                  <c:v>Inpatient Healthcare Facility Infrastructure Impact</c:v>
                </c:pt>
                <c:pt idx="3">
                  <c:v>Community Impact</c:v>
                </c:pt>
                <c:pt idx="4">
                  <c:v>Public Health Service Impact</c:v>
                </c:pt>
              </c:strCache>
            </c:strRef>
          </c:cat>
          <c:val>
            <c:numRef>
              <c:f>(Flood!$J$133,Flood!$J$261,Flood!$J$421,Flood!$J$539,Flood!$J$681)</c:f>
              <c:numCache>
                <c:formatCode>0.00</c:formatCode>
                <c:ptCount val="5"/>
                <c:pt idx="0">
                  <c:v>0</c:v>
                </c:pt>
                <c:pt idx="1">
                  <c:v>0</c:v>
                </c:pt>
                <c:pt idx="2">
                  <c:v>1.625</c:v>
                </c:pt>
                <c:pt idx="3">
                  <c:v>1.6428571428571428</c:v>
                </c:pt>
                <c:pt idx="4">
                  <c:v>0</c:v>
                </c:pt>
              </c:numCache>
            </c:numRef>
          </c:val>
          <c:extLst>
            <c:ext xmlns:c16="http://schemas.microsoft.com/office/drawing/2014/chart" uri="{C3380CC4-5D6E-409C-BE32-E72D297353CC}">
              <c16:uniqueId val="{00000000-E3FF-40E7-AA87-ADDEFCD1894B}"/>
            </c:ext>
          </c:extLst>
        </c:ser>
        <c:dLbls>
          <c:showLegendKey val="0"/>
          <c:showVal val="1"/>
          <c:showCatName val="0"/>
          <c:showSerName val="0"/>
          <c:showPercent val="0"/>
          <c:showBubbleSize val="0"/>
        </c:dLbls>
        <c:gapWidth val="150"/>
        <c:axId val="197702016"/>
        <c:axId val="197703936"/>
      </c:barChart>
      <c:catAx>
        <c:axId val="197702016"/>
        <c:scaling>
          <c:orientation val="minMax"/>
        </c:scaling>
        <c:delete val="0"/>
        <c:axPos val="b"/>
        <c:title>
          <c:tx>
            <c:rich>
              <a:bodyPr/>
              <a:lstStyle/>
              <a:p>
                <a:pPr>
                  <a:defRPr sz="1600" b="0">
                    <a:latin typeface="+mj-lt"/>
                  </a:defRPr>
                </a:pPr>
                <a:r>
                  <a:rPr lang="en-US" sz="1600" b="0">
                    <a:latin typeface="+mj-lt"/>
                  </a:rPr>
                  <a:t>Domain</a:t>
                </a:r>
              </a:p>
            </c:rich>
          </c:tx>
          <c:overlay val="0"/>
        </c:title>
        <c:numFmt formatCode="General" sourceLinked="1"/>
        <c:majorTickMark val="out"/>
        <c:minorTickMark val="none"/>
        <c:tickLblPos val="nextTo"/>
        <c:crossAx val="197703936"/>
        <c:crosses val="autoZero"/>
        <c:auto val="1"/>
        <c:lblAlgn val="ctr"/>
        <c:lblOffset val="100"/>
        <c:noMultiLvlLbl val="0"/>
      </c:catAx>
      <c:valAx>
        <c:axId val="197703936"/>
        <c:scaling>
          <c:orientation val="minMax"/>
          <c:max val="4"/>
        </c:scaling>
        <c:delete val="0"/>
        <c:axPos val="l"/>
        <c:majorGridlines/>
        <c:title>
          <c:tx>
            <c:rich>
              <a:bodyPr rot="-5400000" vert="horz"/>
              <a:lstStyle/>
              <a:p>
                <a:pPr>
                  <a:defRPr sz="1600" b="0">
                    <a:latin typeface="+mj-lt"/>
                  </a:defRPr>
                </a:pPr>
                <a:r>
                  <a:rPr lang="en-US" sz="1600" b="0">
                    <a:latin typeface="+mj-lt"/>
                  </a:rPr>
                  <a:t>Severity</a:t>
                </a:r>
                <a:r>
                  <a:rPr lang="en-US" sz="1600" b="0" baseline="0">
                    <a:latin typeface="+mj-lt"/>
                  </a:rPr>
                  <a:t> Score</a:t>
                </a:r>
                <a:endParaRPr lang="en-US" sz="1600" b="0">
                  <a:latin typeface="+mj-lt"/>
                </a:endParaRPr>
              </a:p>
            </c:rich>
          </c:tx>
          <c:overlay val="0"/>
        </c:title>
        <c:numFmt formatCode="0.00" sourceLinked="1"/>
        <c:majorTickMark val="out"/>
        <c:minorTickMark val="none"/>
        <c:tickLblPos val="nextTo"/>
        <c:crossAx val="197702016"/>
        <c:crosses val="autoZero"/>
        <c:crossBetween val="between"/>
      </c:valAx>
      <c:spPr>
        <a:gradFill flip="none" rotWithShape="1">
          <a:gsLst>
            <a:gs pos="0">
              <a:srgbClr val="63BE7B"/>
            </a:gs>
            <a:gs pos="50000">
              <a:srgbClr val="FFEB84"/>
            </a:gs>
            <a:gs pos="100000">
              <a:srgbClr val="F8696B"/>
            </a:gs>
          </a:gsLst>
          <a:lin ang="162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b="0" u="sng">
                <a:latin typeface="+mj-lt"/>
              </a:defRPr>
            </a:pPr>
            <a:r>
              <a:rPr lang="en-US" b="0" u="sng">
                <a:latin typeface="+mj-lt"/>
              </a:rPr>
              <a:t>At-Risk Populations</a:t>
            </a:r>
          </a:p>
        </c:rich>
      </c:tx>
      <c:layout>
        <c:manualLayout>
          <c:xMode val="edge"/>
          <c:yMode val="edge"/>
          <c:x val="0.37636858589702443"/>
          <c:y val="1.3244983721297133E-2"/>
        </c:manualLayout>
      </c:layout>
      <c:overlay val="0"/>
    </c:title>
    <c:autoTitleDeleted val="0"/>
    <c:plotArea>
      <c:layout/>
      <c:scatterChart>
        <c:scatterStyle val="lineMarker"/>
        <c:varyColors val="0"/>
        <c:ser>
          <c:idx val="0"/>
          <c:order val="0"/>
          <c:tx>
            <c:strRef>
              <c:f>Flood!$C$793</c:f>
              <c:strCache>
                <c:ptCount val="1"/>
                <c:pt idx="0">
                  <c:v>Poverty</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Flood!$J$795</c:f>
              <c:numCache>
                <c:formatCode>General</c:formatCode>
                <c:ptCount val="1"/>
                <c:pt idx="0">
                  <c:v>3</c:v>
                </c:pt>
              </c:numCache>
            </c:numRef>
          </c:xVal>
          <c:yVal>
            <c:numRef>
              <c:f>Flood!$J$794</c:f>
              <c:numCache>
                <c:formatCode>General</c:formatCode>
                <c:ptCount val="1"/>
                <c:pt idx="0">
                  <c:v>0</c:v>
                </c:pt>
              </c:numCache>
            </c:numRef>
          </c:yVal>
          <c:smooth val="0"/>
          <c:extLst>
            <c:ext xmlns:c16="http://schemas.microsoft.com/office/drawing/2014/chart" uri="{C3380CC4-5D6E-409C-BE32-E72D297353CC}">
              <c16:uniqueId val="{00000000-3778-48B5-B18E-FBEEE01F5589}"/>
            </c:ext>
          </c:extLst>
        </c:ser>
        <c:ser>
          <c:idx val="1"/>
          <c:order val="1"/>
          <c:tx>
            <c:strRef>
              <c:f>Flood!$C$797</c:f>
              <c:strCache>
                <c:ptCount val="1"/>
                <c:pt idx="0">
                  <c:v>Chronic Diseases (Diabetes)</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Flood!$J$799</c:f>
              <c:numCache>
                <c:formatCode>General</c:formatCode>
                <c:ptCount val="1"/>
                <c:pt idx="0">
                  <c:v>3</c:v>
                </c:pt>
              </c:numCache>
            </c:numRef>
          </c:xVal>
          <c:yVal>
            <c:numRef>
              <c:f>Flood!$J$798</c:f>
              <c:numCache>
                <c:formatCode>General</c:formatCode>
                <c:ptCount val="1"/>
                <c:pt idx="0">
                  <c:v>0</c:v>
                </c:pt>
              </c:numCache>
            </c:numRef>
          </c:yVal>
          <c:smooth val="0"/>
          <c:extLst>
            <c:ext xmlns:c16="http://schemas.microsoft.com/office/drawing/2014/chart" uri="{C3380CC4-5D6E-409C-BE32-E72D297353CC}">
              <c16:uniqueId val="{00000001-3778-48B5-B18E-FBEEE01F5589}"/>
            </c:ext>
          </c:extLst>
        </c:ser>
        <c:ser>
          <c:idx val="2"/>
          <c:order val="2"/>
          <c:tx>
            <c:strRef>
              <c:f>Flood!$C$801</c:f>
              <c:strCache>
                <c:ptCount val="1"/>
                <c:pt idx="0">
                  <c:v>Children 18 and under</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Flood!$J$803</c:f>
              <c:numCache>
                <c:formatCode>General</c:formatCode>
                <c:ptCount val="1"/>
                <c:pt idx="0">
                  <c:v>4</c:v>
                </c:pt>
              </c:numCache>
            </c:numRef>
          </c:xVal>
          <c:yVal>
            <c:numRef>
              <c:f>Flood!$J$802</c:f>
              <c:numCache>
                <c:formatCode>General</c:formatCode>
                <c:ptCount val="1"/>
                <c:pt idx="0">
                  <c:v>0</c:v>
                </c:pt>
              </c:numCache>
            </c:numRef>
          </c:yVal>
          <c:smooth val="0"/>
          <c:extLst>
            <c:ext xmlns:c16="http://schemas.microsoft.com/office/drawing/2014/chart" uri="{C3380CC4-5D6E-409C-BE32-E72D297353CC}">
              <c16:uniqueId val="{00000002-3778-48B5-B18E-FBEEE01F5589}"/>
            </c:ext>
          </c:extLst>
        </c:ser>
        <c:ser>
          <c:idx val="3"/>
          <c:order val="3"/>
          <c:tx>
            <c:strRef>
              <c:f>Flood!$C$805</c:f>
              <c:strCache>
                <c:ptCount val="1"/>
                <c:pt idx="0">
                  <c:v>Elderly 65 and older</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Flood!$J$807</c:f>
              <c:numCache>
                <c:formatCode>General</c:formatCode>
                <c:ptCount val="1"/>
                <c:pt idx="0">
                  <c:v>3</c:v>
                </c:pt>
              </c:numCache>
            </c:numRef>
          </c:xVal>
          <c:yVal>
            <c:numRef>
              <c:f>Flood!$J$806</c:f>
              <c:numCache>
                <c:formatCode>General</c:formatCode>
                <c:ptCount val="1"/>
                <c:pt idx="0">
                  <c:v>0</c:v>
                </c:pt>
              </c:numCache>
            </c:numRef>
          </c:yVal>
          <c:smooth val="0"/>
          <c:extLst>
            <c:ext xmlns:c16="http://schemas.microsoft.com/office/drawing/2014/chart" uri="{C3380CC4-5D6E-409C-BE32-E72D297353CC}">
              <c16:uniqueId val="{00000003-3778-48B5-B18E-FBEEE01F5589}"/>
            </c:ext>
          </c:extLst>
        </c:ser>
        <c:ser>
          <c:idx val="4"/>
          <c:order val="4"/>
          <c:tx>
            <c:strRef>
              <c:f>Flood!$C$773</c:f>
              <c:strCache>
                <c:ptCount val="1"/>
                <c:pt idx="0">
                  <c:v>Hearing Disability</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Flood!$J$775</c:f>
              <c:numCache>
                <c:formatCode>General</c:formatCode>
                <c:ptCount val="1"/>
                <c:pt idx="0">
                  <c:v>3</c:v>
                </c:pt>
              </c:numCache>
            </c:numRef>
          </c:xVal>
          <c:yVal>
            <c:numRef>
              <c:f>Flood!$J$774</c:f>
              <c:numCache>
                <c:formatCode>General</c:formatCode>
                <c:ptCount val="1"/>
                <c:pt idx="0">
                  <c:v>0</c:v>
                </c:pt>
              </c:numCache>
            </c:numRef>
          </c:yVal>
          <c:smooth val="0"/>
          <c:extLst>
            <c:ext xmlns:c16="http://schemas.microsoft.com/office/drawing/2014/chart" uri="{C3380CC4-5D6E-409C-BE32-E72D297353CC}">
              <c16:uniqueId val="{00000004-3778-48B5-B18E-FBEEE01F5589}"/>
            </c:ext>
          </c:extLst>
        </c:ser>
        <c:ser>
          <c:idx val="5"/>
          <c:order val="5"/>
          <c:tx>
            <c:strRef>
              <c:f>Flood!$C$777</c:f>
              <c:strCache>
                <c:ptCount val="1"/>
                <c:pt idx="0">
                  <c:v>Vision Disability</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Flood!$J$779</c:f>
              <c:numCache>
                <c:formatCode>General</c:formatCode>
                <c:ptCount val="1"/>
                <c:pt idx="0">
                  <c:v>4</c:v>
                </c:pt>
              </c:numCache>
            </c:numRef>
          </c:xVal>
          <c:yVal>
            <c:numRef>
              <c:f>Flood!$J$778</c:f>
              <c:numCache>
                <c:formatCode>General</c:formatCode>
                <c:ptCount val="1"/>
                <c:pt idx="0">
                  <c:v>0</c:v>
                </c:pt>
              </c:numCache>
            </c:numRef>
          </c:yVal>
          <c:smooth val="0"/>
          <c:extLst>
            <c:ext xmlns:c16="http://schemas.microsoft.com/office/drawing/2014/chart" uri="{C3380CC4-5D6E-409C-BE32-E72D297353CC}">
              <c16:uniqueId val="{00000005-3778-48B5-B18E-FBEEE01F5589}"/>
            </c:ext>
          </c:extLst>
        </c:ser>
        <c:ser>
          <c:idx val="6"/>
          <c:order val="6"/>
          <c:tx>
            <c:strRef>
              <c:f>Flood!$C$781</c:f>
              <c:strCache>
                <c:ptCount val="1"/>
                <c:pt idx="0">
                  <c:v>Ambulatory Disability</c:v>
                </c:pt>
              </c:strCache>
            </c:strRef>
          </c:tx>
          <c:spPr>
            <a:ln w="66675">
              <a:noFill/>
            </a:ln>
          </c:spPr>
          <c:dLbls>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Flood!$J$783</c:f>
              <c:numCache>
                <c:formatCode>General</c:formatCode>
                <c:ptCount val="1"/>
                <c:pt idx="0">
                  <c:v>3</c:v>
                </c:pt>
              </c:numCache>
            </c:numRef>
          </c:xVal>
          <c:yVal>
            <c:numRef>
              <c:f>Flood!$J$782</c:f>
              <c:numCache>
                <c:formatCode>General</c:formatCode>
                <c:ptCount val="1"/>
                <c:pt idx="0">
                  <c:v>0</c:v>
                </c:pt>
              </c:numCache>
            </c:numRef>
          </c:yVal>
          <c:smooth val="0"/>
          <c:extLst>
            <c:ext xmlns:c16="http://schemas.microsoft.com/office/drawing/2014/chart" uri="{C3380CC4-5D6E-409C-BE32-E72D297353CC}">
              <c16:uniqueId val="{00000006-3778-48B5-B18E-FBEEE01F5589}"/>
            </c:ext>
          </c:extLst>
        </c:ser>
        <c:ser>
          <c:idx val="7"/>
          <c:order val="7"/>
          <c:tx>
            <c:strRef>
              <c:f>Flood!$C$785</c:f>
              <c:strCache>
                <c:ptCount val="1"/>
                <c:pt idx="0">
                  <c:v>Cognitive Disability</c:v>
                </c:pt>
              </c:strCache>
            </c:strRef>
          </c:tx>
          <c:spPr>
            <a:ln w="66675">
              <a:noFill/>
            </a:ln>
          </c:spPr>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3778-48B5-B18E-FBEEE01F5589}"/>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Flood!$J$787</c:f>
              <c:numCache>
                <c:formatCode>General</c:formatCode>
                <c:ptCount val="1"/>
                <c:pt idx="0">
                  <c:v>4</c:v>
                </c:pt>
              </c:numCache>
            </c:numRef>
          </c:xVal>
          <c:yVal>
            <c:numRef>
              <c:f>Flood!$J$786</c:f>
              <c:numCache>
                <c:formatCode>General</c:formatCode>
                <c:ptCount val="1"/>
                <c:pt idx="0">
                  <c:v>0</c:v>
                </c:pt>
              </c:numCache>
            </c:numRef>
          </c:yVal>
          <c:smooth val="0"/>
          <c:extLst>
            <c:ext xmlns:c16="http://schemas.microsoft.com/office/drawing/2014/chart" uri="{C3380CC4-5D6E-409C-BE32-E72D297353CC}">
              <c16:uniqueId val="{00000008-3778-48B5-B18E-FBEEE01F5589}"/>
            </c:ext>
          </c:extLst>
        </c:ser>
        <c:ser>
          <c:idx val="8"/>
          <c:order val="8"/>
          <c:tx>
            <c:strRef>
              <c:f>Flood!$C$789</c:f>
              <c:strCache>
                <c:ptCount val="1"/>
                <c:pt idx="0">
                  <c:v>Limited English Proficiency</c:v>
                </c:pt>
              </c:strCache>
            </c:strRef>
          </c:tx>
          <c:spPr>
            <a:ln w="66675">
              <a:noFill/>
            </a:ln>
          </c:spPr>
          <c:dLbls>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Flood!$J$791</c:f>
              <c:numCache>
                <c:formatCode>General</c:formatCode>
                <c:ptCount val="1"/>
                <c:pt idx="0">
                  <c:v>3</c:v>
                </c:pt>
              </c:numCache>
            </c:numRef>
          </c:xVal>
          <c:yVal>
            <c:numRef>
              <c:f>Flood!$J$790</c:f>
              <c:numCache>
                <c:formatCode>General</c:formatCode>
                <c:ptCount val="1"/>
                <c:pt idx="0">
                  <c:v>0</c:v>
                </c:pt>
              </c:numCache>
            </c:numRef>
          </c:yVal>
          <c:smooth val="0"/>
          <c:extLst>
            <c:ext xmlns:c16="http://schemas.microsoft.com/office/drawing/2014/chart" uri="{C3380CC4-5D6E-409C-BE32-E72D297353CC}">
              <c16:uniqueId val="{00000009-3778-48B5-B18E-FBEEE01F5589}"/>
            </c:ext>
          </c:extLst>
        </c:ser>
        <c:dLbls>
          <c:showLegendKey val="0"/>
          <c:showVal val="1"/>
          <c:showCatName val="0"/>
          <c:showSerName val="0"/>
          <c:showPercent val="0"/>
          <c:showBubbleSize val="0"/>
        </c:dLbls>
        <c:axId val="197730304"/>
        <c:axId val="197732224"/>
      </c:scatterChart>
      <c:valAx>
        <c:axId val="197730304"/>
        <c:scaling>
          <c:orientation val="minMax"/>
          <c:max val="4.5"/>
          <c:min val="0"/>
        </c:scaling>
        <c:delete val="0"/>
        <c:axPos val="b"/>
        <c:majorGridlines/>
        <c:title>
          <c:tx>
            <c:rich>
              <a:bodyPr/>
              <a:lstStyle/>
              <a:p>
                <a:pPr>
                  <a:defRPr b="0">
                    <a:latin typeface="+mj-lt"/>
                  </a:defRPr>
                </a:pPr>
                <a:r>
                  <a:rPr lang="en-US" sz="1600" b="0">
                    <a:latin typeface="+mj-lt"/>
                  </a:rPr>
                  <a:t>Access Planning Score</a:t>
                </a:r>
              </a:p>
            </c:rich>
          </c:tx>
          <c:overlay val="0"/>
        </c:title>
        <c:numFmt formatCode="General" sourceLinked="1"/>
        <c:majorTickMark val="out"/>
        <c:minorTickMark val="none"/>
        <c:tickLblPos val="nextTo"/>
        <c:spPr>
          <a:ln>
            <a:solidFill>
              <a:schemeClr val="tx1"/>
            </a:solidFill>
          </a:ln>
        </c:spPr>
        <c:crossAx val="197732224"/>
        <c:crosses val="autoZero"/>
        <c:crossBetween val="midCat"/>
        <c:majorUnit val="1"/>
        <c:minorUnit val="0.1"/>
      </c:valAx>
      <c:valAx>
        <c:axId val="197732224"/>
        <c:scaling>
          <c:orientation val="minMax"/>
          <c:max val="4.5"/>
          <c:min val="0"/>
        </c:scaling>
        <c:delete val="0"/>
        <c:axPos val="l"/>
        <c:majorGridlines/>
        <c:title>
          <c:tx>
            <c:rich>
              <a:bodyPr rot="-5400000" vert="horz"/>
              <a:lstStyle/>
              <a:p>
                <a:pPr>
                  <a:defRPr sz="1600" b="0">
                    <a:latin typeface="+mj-lt"/>
                  </a:defRPr>
                </a:pPr>
                <a:r>
                  <a:rPr lang="en-US" sz="1600" b="0">
                    <a:latin typeface="+mj-lt"/>
                  </a:rPr>
                  <a:t>Population Size Score</a:t>
                </a:r>
              </a:p>
            </c:rich>
          </c:tx>
          <c:overlay val="0"/>
        </c:title>
        <c:numFmt formatCode="General" sourceLinked="1"/>
        <c:majorTickMark val="out"/>
        <c:minorTickMark val="none"/>
        <c:tickLblPos val="nextTo"/>
        <c:spPr>
          <a:ln>
            <a:solidFill>
              <a:schemeClr val="tx1"/>
            </a:solidFill>
          </a:ln>
        </c:spPr>
        <c:crossAx val="197730304"/>
        <c:crosses val="autoZero"/>
        <c:crossBetween val="midCat"/>
        <c:majorUnit val="1"/>
        <c:minorUnit val="0.1"/>
      </c:valAx>
      <c:spPr>
        <a:gradFill flip="none" rotWithShape="1">
          <a:gsLst>
            <a:gs pos="0">
              <a:srgbClr val="63BE7B"/>
            </a:gs>
            <a:gs pos="50000">
              <a:srgbClr val="FFEB84"/>
            </a:gs>
            <a:gs pos="100000">
              <a:srgbClr val="F8696B"/>
            </a:gs>
          </a:gsLst>
          <a:lin ang="189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b="0" u="sng">
                <a:latin typeface="+mj-lt"/>
              </a:defRPr>
            </a:pPr>
            <a:r>
              <a:rPr lang="en-US" b="0" u="sng">
                <a:latin typeface="+mj-lt"/>
              </a:rPr>
              <a:t>Severity</a:t>
            </a:r>
          </a:p>
        </c:rich>
      </c:tx>
      <c:layout>
        <c:manualLayout>
          <c:xMode val="edge"/>
          <c:yMode val="edge"/>
          <c:x val="0.44698388001602535"/>
          <c:y val="1.3244983721297133E-2"/>
        </c:manualLayout>
      </c:layout>
      <c:overlay val="0"/>
    </c:title>
    <c:autoTitleDeleted val="0"/>
    <c:plotArea>
      <c:layout/>
      <c:barChart>
        <c:barDir val="col"/>
        <c:grouping val="clustered"/>
        <c:varyColors val="0"/>
        <c:ser>
          <c:idx val="0"/>
          <c:order val="0"/>
          <c:tx>
            <c:v>Public Health System Severity</c:v>
          </c:tx>
          <c:invertIfNegative val="0"/>
          <c:dLbls>
            <c:delete val="1"/>
          </c:dLbls>
          <c:cat>
            <c:strRef>
              <c:f>'Summary of Scores'!$B$8:$B$37</c:f>
              <c:strCache>
                <c:ptCount val="20"/>
                <c:pt idx="0">
                  <c:v>Active Shooter</c:v>
                </c:pt>
                <c:pt idx="1">
                  <c:v>Bio Terrorism</c:v>
                </c:pt>
                <c:pt idx="2">
                  <c:v>Chem Terrorism</c:v>
                </c:pt>
                <c:pt idx="3">
                  <c:v>Civil Disturbance</c:v>
                </c:pt>
                <c:pt idx="4">
                  <c:v>Coastal Storm</c:v>
                </c:pt>
                <c:pt idx="5">
                  <c:v>Conv Explosive</c:v>
                </c:pt>
                <c:pt idx="6">
                  <c:v>Cyber Terrorism</c:v>
                </c:pt>
                <c:pt idx="7">
                  <c:v>Drought</c:v>
                </c:pt>
                <c:pt idx="8">
                  <c:v>Earthquake</c:v>
                </c:pt>
                <c:pt idx="9">
                  <c:v>Flood</c:v>
                </c:pt>
                <c:pt idx="10">
                  <c:v>HazMat Release</c:v>
                </c:pt>
                <c:pt idx="11">
                  <c:v>Localized ID</c:v>
                </c:pt>
                <c:pt idx="12">
                  <c:v>Nuclear Facility</c:v>
                </c:pt>
                <c:pt idx="13">
                  <c:v>Pandemic</c:v>
                </c:pt>
                <c:pt idx="14">
                  <c:v>RDD</c:v>
                </c:pt>
                <c:pt idx="15">
                  <c:v>Temp Extremes</c:v>
                </c:pt>
                <c:pt idx="16">
                  <c:v>Tornado</c:v>
                </c:pt>
                <c:pt idx="17">
                  <c:v>Utility Interr</c:v>
                </c:pt>
                <c:pt idx="18">
                  <c:v>Wildfire</c:v>
                </c:pt>
                <c:pt idx="19">
                  <c:v>Winter Storm</c:v>
                </c:pt>
              </c:strCache>
            </c:strRef>
          </c:cat>
          <c:val>
            <c:numRef>
              <c:f>'Summary of Scores'!$D$8:$D$37</c:f>
              <c:numCache>
                <c:formatCode>#,##0.00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0-C224-46AC-897C-B15F7D77BAC6}"/>
            </c:ext>
          </c:extLst>
        </c:ser>
        <c:ser>
          <c:idx val="1"/>
          <c:order val="1"/>
          <c:tx>
            <c:v>Healthcare System Severity</c:v>
          </c:tx>
          <c:invertIfNegative val="0"/>
          <c:dLbls>
            <c:delete val="1"/>
          </c:dLbls>
          <c:cat>
            <c:strRef>
              <c:f>'Summary of Scores'!$B$8:$B$37</c:f>
              <c:strCache>
                <c:ptCount val="20"/>
                <c:pt idx="0">
                  <c:v>Active Shooter</c:v>
                </c:pt>
                <c:pt idx="1">
                  <c:v>Bio Terrorism</c:v>
                </c:pt>
                <c:pt idx="2">
                  <c:v>Chem Terrorism</c:v>
                </c:pt>
                <c:pt idx="3">
                  <c:v>Civil Disturbance</c:v>
                </c:pt>
                <c:pt idx="4">
                  <c:v>Coastal Storm</c:v>
                </c:pt>
                <c:pt idx="5">
                  <c:v>Conv Explosive</c:v>
                </c:pt>
                <c:pt idx="6">
                  <c:v>Cyber Terrorism</c:v>
                </c:pt>
                <c:pt idx="7">
                  <c:v>Drought</c:v>
                </c:pt>
                <c:pt idx="8">
                  <c:v>Earthquake</c:v>
                </c:pt>
                <c:pt idx="9">
                  <c:v>Flood</c:v>
                </c:pt>
                <c:pt idx="10">
                  <c:v>HazMat Release</c:v>
                </c:pt>
                <c:pt idx="11">
                  <c:v>Localized ID</c:v>
                </c:pt>
                <c:pt idx="12">
                  <c:v>Nuclear Facility</c:v>
                </c:pt>
                <c:pt idx="13">
                  <c:v>Pandemic</c:v>
                </c:pt>
                <c:pt idx="14">
                  <c:v>RDD</c:v>
                </c:pt>
                <c:pt idx="15">
                  <c:v>Temp Extremes</c:v>
                </c:pt>
                <c:pt idx="16">
                  <c:v>Tornado</c:v>
                </c:pt>
                <c:pt idx="17">
                  <c:v>Utility Interr</c:v>
                </c:pt>
                <c:pt idx="18">
                  <c:v>Wildfire</c:v>
                </c:pt>
                <c:pt idx="19">
                  <c:v>Winter Storm</c:v>
                </c:pt>
              </c:strCache>
            </c:strRef>
          </c:cat>
          <c:val>
            <c:numRef>
              <c:f>'Summary of Scores'!$E$8:$E$37</c:f>
              <c:numCache>
                <c:formatCode>#,##0.00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1-C224-46AC-897C-B15F7D77BAC6}"/>
            </c:ext>
          </c:extLst>
        </c:ser>
        <c:dLbls>
          <c:showLegendKey val="0"/>
          <c:showVal val="1"/>
          <c:showCatName val="0"/>
          <c:showSerName val="0"/>
          <c:showPercent val="0"/>
          <c:showBubbleSize val="0"/>
        </c:dLbls>
        <c:gapWidth val="150"/>
        <c:axId val="149574016"/>
        <c:axId val="149575936"/>
      </c:barChart>
      <c:catAx>
        <c:axId val="149574016"/>
        <c:scaling>
          <c:orientation val="minMax"/>
        </c:scaling>
        <c:delete val="0"/>
        <c:axPos val="b"/>
        <c:title>
          <c:tx>
            <c:rich>
              <a:bodyPr/>
              <a:lstStyle/>
              <a:p>
                <a:pPr>
                  <a:defRPr b="0">
                    <a:latin typeface="+mj-lt"/>
                  </a:defRPr>
                </a:pPr>
                <a:r>
                  <a:rPr lang="en-US" sz="1600" b="0">
                    <a:latin typeface="+mj-lt"/>
                  </a:rPr>
                  <a:t>Hazard</a:t>
                </a:r>
              </a:p>
            </c:rich>
          </c:tx>
          <c:overlay val="0"/>
        </c:title>
        <c:numFmt formatCode="General" sourceLinked="1"/>
        <c:majorTickMark val="out"/>
        <c:minorTickMark val="none"/>
        <c:tickLblPos val="nextTo"/>
        <c:spPr>
          <a:ln>
            <a:solidFill>
              <a:schemeClr val="tx1"/>
            </a:solidFill>
          </a:ln>
        </c:spPr>
        <c:crossAx val="149575936"/>
        <c:crosses val="autoZero"/>
        <c:auto val="1"/>
        <c:lblAlgn val="ctr"/>
        <c:lblOffset val="100"/>
        <c:noMultiLvlLbl val="0"/>
      </c:catAx>
      <c:valAx>
        <c:axId val="149575936"/>
        <c:scaling>
          <c:orientation val="minMax"/>
          <c:max val="4.5"/>
          <c:min val="0"/>
        </c:scaling>
        <c:delete val="0"/>
        <c:axPos val="l"/>
        <c:majorGridlines/>
        <c:title>
          <c:tx>
            <c:rich>
              <a:bodyPr rot="-5400000" vert="horz"/>
              <a:lstStyle/>
              <a:p>
                <a:pPr>
                  <a:defRPr sz="1600" b="0">
                    <a:latin typeface="+mj-lt"/>
                  </a:defRPr>
                </a:pPr>
                <a:r>
                  <a:rPr lang="en-US" sz="1600" b="0">
                    <a:latin typeface="+mj-lt"/>
                  </a:rPr>
                  <a:t>Severity</a:t>
                </a:r>
              </a:p>
            </c:rich>
          </c:tx>
          <c:overlay val="0"/>
        </c:title>
        <c:numFmt formatCode="#,##0" sourceLinked="0"/>
        <c:majorTickMark val="out"/>
        <c:minorTickMark val="none"/>
        <c:tickLblPos val="nextTo"/>
        <c:spPr>
          <a:ln>
            <a:solidFill>
              <a:schemeClr val="tx1"/>
            </a:solidFill>
          </a:ln>
        </c:spPr>
        <c:crossAx val="149574016"/>
        <c:crosses val="autoZero"/>
        <c:crossBetween val="between"/>
        <c:majorUnit val="1"/>
        <c:minorUnit val="0.1"/>
      </c:valAx>
      <c:spPr>
        <a:gradFill flip="none" rotWithShape="1">
          <a:gsLst>
            <a:gs pos="0">
              <a:srgbClr val="63BE7B"/>
            </a:gs>
            <a:gs pos="50000">
              <a:srgbClr val="FFEB84"/>
            </a:gs>
            <a:gs pos="100000">
              <a:srgbClr val="F8696B"/>
            </a:gs>
          </a:gsLst>
          <a:lin ang="16200000" scaled="1"/>
          <a:tileRect/>
        </a:gradFill>
        <a:ln>
          <a:solidFill>
            <a:schemeClr val="tx1"/>
          </a:solidFill>
        </a:ln>
      </c:spPr>
    </c:plotArea>
    <c:legend>
      <c:legendPos val="r"/>
      <c:layout>
        <c:manualLayout>
          <c:xMode val="edge"/>
          <c:yMode val="edge"/>
          <c:x val="0.12878981816314303"/>
          <c:y val="0.1258121423346672"/>
          <c:w val="0.23062679044335258"/>
          <c:h val="0.13175164579837356"/>
        </c:manualLayout>
      </c:layout>
      <c:overlay val="1"/>
      <c:spPr>
        <a:solidFill>
          <a:schemeClr val="bg1"/>
        </a:solidFill>
        <a:ln>
          <a:solidFill>
            <a:schemeClr val="tx1"/>
          </a:solidFill>
        </a:ln>
      </c:spPr>
    </c:legend>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defRPr b="0" u="sng">
                <a:latin typeface="+mj-lt"/>
              </a:defRPr>
            </a:pPr>
            <a:r>
              <a:rPr lang="en-US" b="0" u="sng">
                <a:latin typeface="+mj-lt"/>
              </a:rPr>
              <a:t>Public Health Preparedness</a:t>
            </a:r>
          </a:p>
        </c:rich>
      </c:tx>
      <c:layout>
        <c:manualLayout>
          <c:xMode val="edge"/>
          <c:yMode val="edge"/>
          <c:x val="0.30532356317913883"/>
          <c:y val="1.3244983721297133E-2"/>
        </c:manualLayout>
      </c:layout>
      <c:overlay val="0"/>
    </c:title>
    <c:autoTitleDeleted val="0"/>
    <c:plotArea>
      <c:layout/>
      <c:scatterChart>
        <c:scatterStyle val="lineMarker"/>
        <c:varyColors val="0"/>
        <c:ser>
          <c:idx val="0"/>
          <c:order val="0"/>
          <c:tx>
            <c:strRef>
              <c:f>Flood!$C$853</c:f>
              <c:strCache>
                <c:ptCount val="1"/>
                <c:pt idx="0">
                  <c:v>Info Sharing</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Flood!$J$854</c:f>
              <c:numCache>
                <c:formatCode>General</c:formatCode>
                <c:ptCount val="1"/>
                <c:pt idx="0">
                  <c:v>4</c:v>
                </c:pt>
              </c:numCache>
            </c:numRef>
          </c:xVal>
          <c:yVal>
            <c:numRef>
              <c:f>Flood!$J$855</c:f>
              <c:numCache>
                <c:formatCode>General</c:formatCode>
                <c:ptCount val="1"/>
                <c:pt idx="0">
                  <c:v>0</c:v>
                </c:pt>
              </c:numCache>
            </c:numRef>
          </c:yVal>
          <c:smooth val="0"/>
          <c:extLst>
            <c:ext xmlns:c16="http://schemas.microsoft.com/office/drawing/2014/chart" uri="{C3380CC4-5D6E-409C-BE32-E72D297353CC}">
              <c16:uniqueId val="{00000000-8B5F-4505-98BD-FA2C711C9178}"/>
            </c:ext>
          </c:extLst>
        </c:ser>
        <c:ser>
          <c:idx val="1"/>
          <c:order val="1"/>
          <c:tx>
            <c:strRef>
              <c:f>Flood!$C$857</c:f>
              <c:strCache>
                <c:ptCount val="1"/>
                <c:pt idx="0">
                  <c:v>Mass Care</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Flood!$J$858</c:f>
              <c:numCache>
                <c:formatCode>General</c:formatCode>
                <c:ptCount val="1"/>
                <c:pt idx="0">
                  <c:v>3</c:v>
                </c:pt>
              </c:numCache>
            </c:numRef>
          </c:xVal>
          <c:yVal>
            <c:numRef>
              <c:f>Flood!$J$859</c:f>
              <c:numCache>
                <c:formatCode>General</c:formatCode>
                <c:ptCount val="1"/>
                <c:pt idx="0">
                  <c:v>0</c:v>
                </c:pt>
              </c:numCache>
            </c:numRef>
          </c:yVal>
          <c:smooth val="0"/>
          <c:extLst>
            <c:ext xmlns:c16="http://schemas.microsoft.com/office/drawing/2014/chart" uri="{C3380CC4-5D6E-409C-BE32-E72D297353CC}">
              <c16:uniqueId val="{00000001-8B5F-4505-98BD-FA2C711C9178}"/>
            </c:ext>
          </c:extLst>
        </c:ser>
        <c:ser>
          <c:idx val="2"/>
          <c:order val="2"/>
          <c:tx>
            <c:strRef>
              <c:f>Flood!$C$861</c:f>
              <c:strCache>
                <c:ptCount val="1"/>
                <c:pt idx="0">
                  <c:v>MCM Dispens</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Flood!$J$862</c:f>
              <c:numCache>
                <c:formatCode>General</c:formatCode>
                <c:ptCount val="1"/>
                <c:pt idx="0">
                  <c:v>0</c:v>
                </c:pt>
              </c:numCache>
            </c:numRef>
          </c:xVal>
          <c:yVal>
            <c:numRef>
              <c:f>Flood!$J$863</c:f>
              <c:numCache>
                <c:formatCode>General</c:formatCode>
                <c:ptCount val="1"/>
                <c:pt idx="0">
                  <c:v>0</c:v>
                </c:pt>
              </c:numCache>
            </c:numRef>
          </c:yVal>
          <c:smooth val="0"/>
          <c:extLst>
            <c:ext xmlns:c16="http://schemas.microsoft.com/office/drawing/2014/chart" uri="{C3380CC4-5D6E-409C-BE32-E72D297353CC}">
              <c16:uniqueId val="{00000002-8B5F-4505-98BD-FA2C711C9178}"/>
            </c:ext>
          </c:extLst>
        </c:ser>
        <c:ser>
          <c:idx val="3"/>
          <c:order val="3"/>
          <c:tx>
            <c:strRef>
              <c:f>Flood!$C$865</c:f>
              <c:strCache>
                <c:ptCount val="1"/>
                <c:pt idx="0">
                  <c:v>Med Materiel Mgmt</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Flood!$J$866</c:f>
              <c:numCache>
                <c:formatCode>General</c:formatCode>
                <c:ptCount val="1"/>
                <c:pt idx="0">
                  <c:v>2</c:v>
                </c:pt>
              </c:numCache>
            </c:numRef>
          </c:xVal>
          <c:yVal>
            <c:numRef>
              <c:f>Flood!$J$867</c:f>
              <c:numCache>
                <c:formatCode>General</c:formatCode>
                <c:ptCount val="1"/>
                <c:pt idx="0">
                  <c:v>0</c:v>
                </c:pt>
              </c:numCache>
            </c:numRef>
          </c:yVal>
          <c:smooth val="0"/>
          <c:extLst>
            <c:ext xmlns:c16="http://schemas.microsoft.com/office/drawing/2014/chart" uri="{C3380CC4-5D6E-409C-BE32-E72D297353CC}">
              <c16:uniqueId val="{00000003-8B5F-4505-98BD-FA2C711C9178}"/>
            </c:ext>
          </c:extLst>
        </c:ser>
        <c:ser>
          <c:idx val="4"/>
          <c:order val="4"/>
          <c:tx>
            <c:strRef>
              <c:f>Flood!$C$869</c:f>
              <c:strCache>
                <c:ptCount val="1"/>
                <c:pt idx="0">
                  <c:v>Medical Surge</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Flood!$J$870</c:f>
              <c:numCache>
                <c:formatCode>General</c:formatCode>
                <c:ptCount val="1"/>
                <c:pt idx="0">
                  <c:v>2</c:v>
                </c:pt>
              </c:numCache>
            </c:numRef>
          </c:xVal>
          <c:yVal>
            <c:numRef>
              <c:f>Flood!$J$871</c:f>
              <c:numCache>
                <c:formatCode>General</c:formatCode>
                <c:ptCount val="1"/>
                <c:pt idx="0">
                  <c:v>0</c:v>
                </c:pt>
              </c:numCache>
            </c:numRef>
          </c:yVal>
          <c:smooth val="0"/>
          <c:extLst>
            <c:ext xmlns:c16="http://schemas.microsoft.com/office/drawing/2014/chart" uri="{C3380CC4-5D6E-409C-BE32-E72D297353CC}">
              <c16:uniqueId val="{00000004-8B5F-4505-98BD-FA2C711C9178}"/>
            </c:ext>
          </c:extLst>
        </c:ser>
        <c:ser>
          <c:idx val="5"/>
          <c:order val="5"/>
          <c:tx>
            <c:strRef>
              <c:f>Flood!$C$873</c:f>
              <c:strCache>
                <c:ptCount val="1"/>
                <c:pt idx="0">
                  <c:v>Non-Pharm Interv</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Flood!$J$874</c:f>
              <c:numCache>
                <c:formatCode>General</c:formatCode>
                <c:ptCount val="1"/>
                <c:pt idx="0">
                  <c:v>0</c:v>
                </c:pt>
              </c:numCache>
            </c:numRef>
          </c:xVal>
          <c:yVal>
            <c:numRef>
              <c:f>Flood!$J$875</c:f>
              <c:numCache>
                <c:formatCode>General</c:formatCode>
                <c:ptCount val="1"/>
                <c:pt idx="0">
                  <c:v>0</c:v>
                </c:pt>
              </c:numCache>
            </c:numRef>
          </c:yVal>
          <c:smooth val="0"/>
          <c:extLst>
            <c:ext xmlns:c16="http://schemas.microsoft.com/office/drawing/2014/chart" uri="{C3380CC4-5D6E-409C-BE32-E72D297353CC}">
              <c16:uniqueId val="{00000005-8B5F-4505-98BD-FA2C711C9178}"/>
            </c:ext>
          </c:extLst>
        </c:ser>
        <c:ser>
          <c:idx val="6"/>
          <c:order val="6"/>
          <c:tx>
            <c:strRef>
              <c:f>Flood!$C$877</c:f>
              <c:strCache>
                <c:ptCount val="1"/>
                <c:pt idx="0">
                  <c:v>PH Lab Testing</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Flood!$J$878</c:f>
              <c:numCache>
                <c:formatCode>General</c:formatCode>
                <c:ptCount val="1"/>
                <c:pt idx="0">
                  <c:v>1</c:v>
                </c:pt>
              </c:numCache>
            </c:numRef>
          </c:xVal>
          <c:yVal>
            <c:numRef>
              <c:f>Flood!$J$879</c:f>
              <c:numCache>
                <c:formatCode>General</c:formatCode>
                <c:ptCount val="1"/>
                <c:pt idx="0">
                  <c:v>0</c:v>
                </c:pt>
              </c:numCache>
            </c:numRef>
          </c:yVal>
          <c:smooth val="0"/>
          <c:extLst>
            <c:ext xmlns:c16="http://schemas.microsoft.com/office/drawing/2014/chart" uri="{C3380CC4-5D6E-409C-BE32-E72D297353CC}">
              <c16:uniqueId val="{00000006-8B5F-4505-98BD-FA2C711C9178}"/>
            </c:ext>
          </c:extLst>
        </c:ser>
        <c:ser>
          <c:idx val="7"/>
          <c:order val="7"/>
          <c:tx>
            <c:strRef>
              <c:f>Flood!$C$881</c:f>
              <c:strCache>
                <c:ptCount val="1"/>
                <c:pt idx="0">
                  <c:v>PH Surv &amp; Epi</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Flood!$J$882</c:f>
              <c:numCache>
                <c:formatCode>General</c:formatCode>
                <c:ptCount val="1"/>
                <c:pt idx="0">
                  <c:v>2</c:v>
                </c:pt>
              </c:numCache>
            </c:numRef>
          </c:xVal>
          <c:yVal>
            <c:numRef>
              <c:f>Flood!$J$883</c:f>
              <c:numCache>
                <c:formatCode>General</c:formatCode>
                <c:ptCount val="1"/>
                <c:pt idx="0">
                  <c:v>0</c:v>
                </c:pt>
              </c:numCache>
            </c:numRef>
          </c:yVal>
          <c:smooth val="0"/>
          <c:extLst>
            <c:ext xmlns:c16="http://schemas.microsoft.com/office/drawing/2014/chart" uri="{C3380CC4-5D6E-409C-BE32-E72D297353CC}">
              <c16:uniqueId val="{00000007-8B5F-4505-98BD-FA2C711C9178}"/>
            </c:ext>
          </c:extLst>
        </c:ser>
        <c:ser>
          <c:idx val="8"/>
          <c:order val="8"/>
          <c:tx>
            <c:strRef>
              <c:f>Flood!$C$885</c:f>
              <c:strCache>
                <c:ptCount val="1"/>
                <c:pt idx="0">
                  <c:v>Responder Safety</c:v>
                </c:pt>
              </c:strCache>
            </c:strRef>
          </c:tx>
          <c:spPr>
            <a:ln w="66675">
              <a:noFill/>
            </a:ln>
          </c:spPr>
          <c:dLbls>
            <c:spPr>
              <a:noFill/>
              <a:ln>
                <a:noFill/>
              </a:ln>
              <a:effectLst/>
            </c:sp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Flood!$J$886</c:f>
              <c:numCache>
                <c:formatCode>General</c:formatCode>
                <c:ptCount val="1"/>
                <c:pt idx="0">
                  <c:v>2</c:v>
                </c:pt>
              </c:numCache>
            </c:numRef>
          </c:xVal>
          <c:yVal>
            <c:numRef>
              <c:f>Flood!$J$887</c:f>
              <c:numCache>
                <c:formatCode>General</c:formatCode>
                <c:ptCount val="1"/>
                <c:pt idx="0">
                  <c:v>0</c:v>
                </c:pt>
              </c:numCache>
            </c:numRef>
          </c:yVal>
          <c:smooth val="0"/>
          <c:extLst>
            <c:ext xmlns:c16="http://schemas.microsoft.com/office/drawing/2014/chart" uri="{C3380CC4-5D6E-409C-BE32-E72D297353CC}">
              <c16:uniqueId val="{00000008-8B5F-4505-98BD-FA2C711C9178}"/>
            </c:ext>
          </c:extLst>
        </c:ser>
        <c:ser>
          <c:idx val="9"/>
          <c:order val="9"/>
          <c:tx>
            <c:strRef>
              <c:f>Flood!$C$889</c:f>
              <c:strCache>
                <c:ptCount val="1"/>
                <c:pt idx="0">
                  <c:v>Volunteer Mgmt</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Flood!$J$890</c:f>
              <c:numCache>
                <c:formatCode>General</c:formatCode>
                <c:ptCount val="1"/>
                <c:pt idx="0">
                  <c:v>3</c:v>
                </c:pt>
              </c:numCache>
            </c:numRef>
          </c:xVal>
          <c:yVal>
            <c:numRef>
              <c:f>Flood!$J$891</c:f>
              <c:numCache>
                <c:formatCode>General</c:formatCode>
                <c:ptCount val="1"/>
                <c:pt idx="0">
                  <c:v>0</c:v>
                </c:pt>
              </c:numCache>
            </c:numRef>
          </c:yVal>
          <c:smooth val="0"/>
          <c:extLst>
            <c:ext xmlns:c16="http://schemas.microsoft.com/office/drawing/2014/chart" uri="{C3380CC4-5D6E-409C-BE32-E72D297353CC}">
              <c16:uniqueId val="{00000009-8B5F-4505-98BD-FA2C711C9178}"/>
            </c:ext>
          </c:extLst>
        </c:ser>
        <c:ser>
          <c:idx val="10"/>
          <c:order val="10"/>
          <c:tx>
            <c:strRef>
              <c:f>Flood!$C$833</c:f>
              <c:strCache>
                <c:ptCount val="1"/>
                <c:pt idx="0">
                  <c:v>Community Prep</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Flood!$J$834</c:f>
              <c:numCache>
                <c:formatCode>General</c:formatCode>
                <c:ptCount val="1"/>
                <c:pt idx="0">
                  <c:v>4</c:v>
                </c:pt>
              </c:numCache>
            </c:numRef>
          </c:xVal>
          <c:yVal>
            <c:numRef>
              <c:f>Flood!$J$835</c:f>
              <c:numCache>
                <c:formatCode>General</c:formatCode>
                <c:ptCount val="1"/>
                <c:pt idx="0">
                  <c:v>0</c:v>
                </c:pt>
              </c:numCache>
            </c:numRef>
          </c:yVal>
          <c:smooth val="0"/>
          <c:extLst>
            <c:ext xmlns:c16="http://schemas.microsoft.com/office/drawing/2014/chart" uri="{C3380CC4-5D6E-409C-BE32-E72D297353CC}">
              <c16:uniqueId val="{0000000A-8B5F-4505-98BD-FA2C711C9178}"/>
            </c:ext>
          </c:extLst>
        </c:ser>
        <c:ser>
          <c:idx val="11"/>
          <c:order val="11"/>
          <c:tx>
            <c:strRef>
              <c:f>Flood!$C$837</c:f>
              <c:strCache>
                <c:ptCount val="1"/>
                <c:pt idx="0">
                  <c:v>Community Recov</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Flood!$J$838</c:f>
              <c:numCache>
                <c:formatCode>General</c:formatCode>
                <c:ptCount val="1"/>
                <c:pt idx="0">
                  <c:v>4</c:v>
                </c:pt>
              </c:numCache>
            </c:numRef>
          </c:xVal>
          <c:yVal>
            <c:numRef>
              <c:f>Flood!$J$839</c:f>
              <c:numCache>
                <c:formatCode>General</c:formatCode>
                <c:ptCount val="1"/>
                <c:pt idx="0">
                  <c:v>0</c:v>
                </c:pt>
              </c:numCache>
            </c:numRef>
          </c:yVal>
          <c:smooth val="0"/>
          <c:extLst>
            <c:ext xmlns:c16="http://schemas.microsoft.com/office/drawing/2014/chart" uri="{C3380CC4-5D6E-409C-BE32-E72D297353CC}">
              <c16:uniqueId val="{0000000B-8B5F-4505-98BD-FA2C711C9178}"/>
            </c:ext>
          </c:extLst>
        </c:ser>
        <c:ser>
          <c:idx val="12"/>
          <c:order val="12"/>
          <c:tx>
            <c:strRef>
              <c:f>Flood!$C$841</c:f>
              <c:strCache>
                <c:ptCount val="1"/>
                <c:pt idx="0">
                  <c:v>Emerg Ops Coord</c:v>
                </c:pt>
              </c:strCache>
            </c:strRef>
          </c:tx>
          <c:spPr>
            <a:ln w="66675">
              <a:noFill/>
            </a:ln>
          </c:spPr>
          <c:dLbls>
            <c:spPr>
              <a:noFill/>
              <a:ln>
                <a:noFill/>
              </a:ln>
              <a:effectLst/>
            </c:sp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Flood!$J$842</c:f>
              <c:numCache>
                <c:formatCode>General</c:formatCode>
                <c:ptCount val="1"/>
                <c:pt idx="0">
                  <c:v>4</c:v>
                </c:pt>
              </c:numCache>
            </c:numRef>
          </c:xVal>
          <c:yVal>
            <c:numRef>
              <c:f>Flood!$J$843</c:f>
              <c:numCache>
                <c:formatCode>General</c:formatCode>
                <c:ptCount val="1"/>
                <c:pt idx="0">
                  <c:v>0</c:v>
                </c:pt>
              </c:numCache>
            </c:numRef>
          </c:yVal>
          <c:smooth val="0"/>
          <c:extLst>
            <c:ext xmlns:c16="http://schemas.microsoft.com/office/drawing/2014/chart" uri="{C3380CC4-5D6E-409C-BE32-E72D297353CC}">
              <c16:uniqueId val="{0000000C-8B5F-4505-98BD-FA2C711C9178}"/>
            </c:ext>
          </c:extLst>
        </c:ser>
        <c:ser>
          <c:idx val="13"/>
          <c:order val="13"/>
          <c:tx>
            <c:strRef>
              <c:f>Flood!$C$845</c:f>
              <c:strCache>
                <c:ptCount val="1"/>
                <c:pt idx="0">
                  <c:v>Emerg Public Info</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Flood!$J$846</c:f>
              <c:numCache>
                <c:formatCode>General</c:formatCode>
                <c:ptCount val="1"/>
                <c:pt idx="0">
                  <c:v>4</c:v>
                </c:pt>
              </c:numCache>
            </c:numRef>
          </c:xVal>
          <c:yVal>
            <c:numRef>
              <c:f>Flood!$J$847</c:f>
              <c:numCache>
                <c:formatCode>General</c:formatCode>
                <c:ptCount val="1"/>
                <c:pt idx="0">
                  <c:v>0</c:v>
                </c:pt>
              </c:numCache>
            </c:numRef>
          </c:yVal>
          <c:smooth val="0"/>
          <c:extLst>
            <c:ext xmlns:c16="http://schemas.microsoft.com/office/drawing/2014/chart" uri="{C3380CC4-5D6E-409C-BE32-E72D297353CC}">
              <c16:uniqueId val="{0000000D-8B5F-4505-98BD-FA2C711C9178}"/>
            </c:ext>
          </c:extLst>
        </c:ser>
        <c:ser>
          <c:idx val="14"/>
          <c:order val="14"/>
          <c:tx>
            <c:strRef>
              <c:f>Flood!$C$964</c:f>
              <c:strCache>
                <c:ptCount val="1"/>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Flood!$J$965</c:f>
            </c:numRef>
          </c:xVal>
          <c:yVal>
            <c:numRef>
              <c:f>Flood!$J$966</c:f>
            </c:numRef>
          </c:yVal>
          <c:smooth val="0"/>
          <c:extLst>
            <c:ext xmlns:c16="http://schemas.microsoft.com/office/drawing/2014/chart" uri="{C3380CC4-5D6E-409C-BE32-E72D297353CC}">
              <c16:uniqueId val="{0000000E-8B5F-4505-98BD-FA2C711C9178}"/>
            </c:ext>
          </c:extLst>
        </c:ser>
        <c:ser>
          <c:idx val="15"/>
          <c:order val="15"/>
          <c:tx>
            <c:strRef>
              <c:f>Flood!$C$849</c:f>
              <c:strCache>
                <c:ptCount val="1"/>
                <c:pt idx="0">
                  <c:v>Fatality Mgmt</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Flood!$J$850</c:f>
              <c:numCache>
                <c:formatCode>General</c:formatCode>
                <c:ptCount val="1"/>
                <c:pt idx="0">
                  <c:v>1</c:v>
                </c:pt>
              </c:numCache>
            </c:numRef>
          </c:xVal>
          <c:yVal>
            <c:numRef>
              <c:f>Flood!$J$851</c:f>
              <c:numCache>
                <c:formatCode>General</c:formatCode>
                <c:ptCount val="1"/>
                <c:pt idx="0">
                  <c:v>0</c:v>
                </c:pt>
              </c:numCache>
            </c:numRef>
          </c:yVal>
          <c:smooth val="0"/>
          <c:extLst>
            <c:ext xmlns:c16="http://schemas.microsoft.com/office/drawing/2014/chart" uri="{C3380CC4-5D6E-409C-BE32-E72D297353CC}">
              <c16:uniqueId val="{0000000F-8B5F-4505-98BD-FA2C711C9178}"/>
            </c:ext>
          </c:extLst>
        </c:ser>
        <c:dLbls>
          <c:showLegendKey val="0"/>
          <c:showVal val="1"/>
          <c:showCatName val="0"/>
          <c:showSerName val="0"/>
          <c:showPercent val="0"/>
          <c:showBubbleSize val="0"/>
        </c:dLbls>
        <c:axId val="197955584"/>
        <c:axId val="197957504"/>
      </c:scatterChart>
      <c:valAx>
        <c:axId val="197955584"/>
        <c:scaling>
          <c:orientation val="minMax"/>
          <c:max val="4.5"/>
          <c:min val="0"/>
        </c:scaling>
        <c:delete val="0"/>
        <c:axPos val="b"/>
        <c:majorGridlines/>
        <c:title>
          <c:tx>
            <c:rich>
              <a:bodyPr/>
              <a:lstStyle/>
              <a:p>
                <a:pPr>
                  <a:defRPr b="0">
                    <a:latin typeface="+mj-lt"/>
                  </a:defRPr>
                </a:pPr>
                <a:r>
                  <a:rPr lang="en-US" sz="1600" b="0">
                    <a:latin typeface="+mj-lt"/>
                  </a:rPr>
                  <a:t>Capability Relevance to Hazard</a:t>
                </a:r>
              </a:p>
            </c:rich>
          </c:tx>
          <c:overlay val="0"/>
        </c:title>
        <c:numFmt formatCode="General" sourceLinked="1"/>
        <c:majorTickMark val="out"/>
        <c:minorTickMark val="none"/>
        <c:tickLblPos val="nextTo"/>
        <c:spPr>
          <a:ln>
            <a:solidFill>
              <a:schemeClr val="tx1"/>
            </a:solidFill>
          </a:ln>
        </c:spPr>
        <c:crossAx val="197957504"/>
        <c:crosses val="autoZero"/>
        <c:crossBetween val="midCat"/>
        <c:majorUnit val="1"/>
        <c:minorUnit val="0.1"/>
      </c:valAx>
      <c:valAx>
        <c:axId val="197957504"/>
        <c:scaling>
          <c:orientation val="minMax"/>
          <c:max val="4.5"/>
          <c:min val="0"/>
        </c:scaling>
        <c:delete val="0"/>
        <c:axPos val="l"/>
        <c:majorGridlines/>
        <c:title>
          <c:tx>
            <c:rich>
              <a:bodyPr rot="-5400000" vert="horz"/>
              <a:lstStyle/>
              <a:p>
                <a:pPr>
                  <a:defRPr sz="1600" b="0">
                    <a:latin typeface="+mj-lt"/>
                  </a:defRPr>
                </a:pPr>
                <a:r>
                  <a:rPr lang="en-US" sz="1600" b="0">
                    <a:latin typeface="+mj-lt"/>
                  </a:rPr>
                  <a:t>Capability Status</a:t>
                </a:r>
              </a:p>
            </c:rich>
          </c:tx>
          <c:overlay val="0"/>
        </c:title>
        <c:numFmt formatCode="General" sourceLinked="1"/>
        <c:majorTickMark val="out"/>
        <c:minorTickMark val="none"/>
        <c:tickLblPos val="nextTo"/>
        <c:spPr>
          <a:ln>
            <a:solidFill>
              <a:schemeClr val="tx1"/>
            </a:solidFill>
          </a:ln>
        </c:spPr>
        <c:crossAx val="197955584"/>
        <c:crosses val="autoZero"/>
        <c:crossBetween val="midCat"/>
        <c:majorUnit val="1"/>
        <c:minorUnit val="0.1"/>
      </c:valAx>
      <c:spPr>
        <a:gradFill flip="none" rotWithShape="1">
          <a:gsLst>
            <a:gs pos="0">
              <a:srgbClr val="63BE7B"/>
            </a:gs>
            <a:gs pos="50000">
              <a:srgbClr val="FFEB84"/>
            </a:gs>
            <a:gs pos="100000">
              <a:srgbClr val="F8696B"/>
            </a:gs>
          </a:gsLst>
          <a:lin ang="27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defRPr b="0" u="sng">
                <a:latin typeface="+mj-lt"/>
              </a:defRPr>
            </a:pPr>
            <a:r>
              <a:rPr lang="en-US" b="0" u="sng">
                <a:latin typeface="+mj-lt"/>
              </a:rPr>
              <a:t>Healthcare Preparedness</a:t>
            </a:r>
          </a:p>
        </c:rich>
      </c:tx>
      <c:layout>
        <c:manualLayout>
          <c:xMode val="edge"/>
          <c:yMode val="edge"/>
          <c:x val="0.38186075596298069"/>
          <c:y val="1.3244983721297133E-2"/>
        </c:manualLayout>
      </c:layout>
      <c:overlay val="0"/>
    </c:title>
    <c:autoTitleDeleted val="0"/>
    <c:plotArea>
      <c:layout/>
      <c:scatterChart>
        <c:scatterStyle val="lineMarker"/>
        <c:varyColors val="0"/>
        <c:ser>
          <c:idx val="0"/>
          <c:order val="0"/>
          <c:tx>
            <c:strRef>
              <c:f>Flood!$C$903</c:f>
              <c:strCache>
                <c:ptCount val="1"/>
                <c:pt idx="0">
                  <c:v>HC System Prep</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Flood!$J$904</c:f>
              <c:numCache>
                <c:formatCode>General</c:formatCode>
                <c:ptCount val="1"/>
                <c:pt idx="0">
                  <c:v>4</c:v>
                </c:pt>
              </c:numCache>
            </c:numRef>
          </c:xVal>
          <c:yVal>
            <c:numRef>
              <c:f>Flood!$J$905</c:f>
              <c:numCache>
                <c:formatCode>General</c:formatCode>
                <c:ptCount val="1"/>
                <c:pt idx="0">
                  <c:v>0</c:v>
                </c:pt>
              </c:numCache>
            </c:numRef>
          </c:yVal>
          <c:smooth val="0"/>
          <c:extLst>
            <c:ext xmlns:c16="http://schemas.microsoft.com/office/drawing/2014/chart" uri="{C3380CC4-5D6E-409C-BE32-E72D297353CC}">
              <c16:uniqueId val="{00000000-8E90-4B35-98D3-6AAF08525FB1}"/>
            </c:ext>
          </c:extLst>
        </c:ser>
        <c:ser>
          <c:idx val="1"/>
          <c:order val="1"/>
          <c:tx>
            <c:strRef>
              <c:f>Flood!$C$907</c:f>
              <c:strCache>
                <c:ptCount val="1"/>
                <c:pt idx="0">
                  <c:v>HC System Recov</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Flood!$J$908</c:f>
              <c:numCache>
                <c:formatCode>General</c:formatCode>
                <c:ptCount val="1"/>
                <c:pt idx="0">
                  <c:v>4</c:v>
                </c:pt>
              </c:numCache>
            </c:numRef>
          </c:xVal>
          <c:yVal>
            <c:numRef>
              <c:f>Flood!$J$909</c:f>
              <c:numCache>
                <c:formatCode>General</c:formatCode>
                <c:ptCount val="1"/>
                <c:pt idx="0">
                  <c:v>0</c:v>
                </c:pt>
              </c:numCache>
            </c:numRef>
          </c:yVal>
          <c:smooth val="0"/>
          <c:extLst>
            <c:ext xmlns:c16="http://schemas.microsoft.com/office/drawing/2014/chart" uri="{C3380CC4-5D6E-409C-BE32-E72D297353CC}">
              <c16:uniqueId val="{00000001-8E90-4B35-98D3-6AAF08525FB1}"/>
            </c:ext>
          </c:extLst>
        </c:ser>
        <c:ser>
          <c:idx val="2"/>
          <c:order val="2"/>
          <c:tx>
            <c:strRef>
              <c:f>Flood!$C$911</c:f>
              <c:strCache>
                <c:ptCount val="1"/>
                <c:pt idx="0">
                  <c:v>Emerg Ops Coord</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Flood!$J$912</c:f>
              <c:numCache>
                <c:formatCode>General</c:formatCode>
                <c:ptCount val="1"/>
                <c:pt idx="0">
                  <c:v>4</c:v>
                </c:pt>
              </c:numCache>
            </c:numRef>
          </c:xVal>
          <c:yVal>
            <c:numRef>
              <c:f>Flood!$J$913</c:f>
              <c:numCache>
                <c:formatCode>General</c:formatCode>
                <c:ptCount val="1"/>
                <c:pt idx="0">
                  <c:v>0</c:v>
                </c:pt>
              </c:numCache>
            </c:numRef>
          </c:yVal>
          <c:smooth val="0"/>
          <c:extLst>
            <c:ext xmlns:c16="http://schemas.microsoft.com/office/drawing/2014/chart" uri="{C3380CC4-5D6E-409C-BE32-E72D297353CC}">
              <c16:uniqueId val="{00000002-8E90-4B35-98D3-6AAF08525FB1}"/>
            </c:ext>
          </c:extLst>
        </c:ser>
        <c:ser>
          <c:idx val="3"/>
          <c:order val="3"/>
          <c:tx>
            <c:strRef>
              <c:f>Flood!$C$915</c:f>
              <c:strCache>
                <c:ptCount val="1"/>
                <c:pt idx="0">
                  <c:v>Fatality Mgmt</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Flood!$J$916</c:f>
              <c:numCache>
                <c:formatCode>General</c:formatCode>
                <c:ptCount val="1"/>
                <c:pt idx="0">
                  <c:v>1</c:v>
                </c:pt>
              </c:numCache>
            </c:numRef>
          </c:xVal>
          <c:yVal>
            <c:numRef>
              <c:f>Flood!$J$917</c:f>
              <c:numCache>
                <c:formatCode>General</c:formatCode>
                <c:ptCount val="1"/>
                <c:pt idx="0">
                  <c:v>0</c:v>
                </c:pt>
              </c:numCache>
            </c:numRef>
          </c:yVal>
          <c:smooth val="0"/>
          <c:extLst>
            <c:ext xmlns:c16="http://schemas.microsoft.com/office/drawing/2014/chart" uri="{C3380CC4-5D6E-409C-BE32-E72D297353CC}">
              <c16:uniqueId val="{00000003-8E90-4B35-98D3-6AAF08525FB1}"/>
            </c:ext>
          </c:extLst>
        </c:ser>
        <c:ser>
          <c:idx val="4"/>
          <c:order val="4"/>
          <c:tx>
            <c:strRef>
              <c:f>Flood!$C$919</c:f>
              <c:strCache>
                <c:ptCount val="1"/>
                <c:pt idx="0">
                  <c:v>Info Sharing</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Flood!$J$920</c:f>
              <c:numCache>
                <c:formatCode>General</c:formatCode>
                <c:ptCount val="1"/>
                <c:pt idx="0">
                  <c:v>4</c:v>
                </c:pt>
              </c:numCache>
            </c:numRef>
          </c:xVal>
          <c:yVal>
            <c:numRef>
              <c:f>Flood!$J$921</c:f>
              <c:numCache>
                <c:formatCode>General</c:formatCode>
                <c:ptCount val="1"/>
                <c:pt idx="0">
                  <c:v>0</c:v>
                </c:pt>
              </c:numCache>
            </c:numRef>
          </c:yVal>
          <c:smooth val="0"/>
          <c:extLst>
            <c:ext xmlns:c16="http://schemas.microsoft.com/office/drawing/2014/chart" uri="{C3380CC4-5D6E-409C-BE32-E72D297353CC}">
              <c16:uniqueId val="{00000004-8E90-4B35-98D3-6AAF08525FB1}"/>
            </c:ext>
          </c:extLst>
        </c:ser>
        <c:ser>
          <c:idx val="5"/>
          <c:order val="5"/>
          <c:tx>
            <c:strRef>
              <c:f>Flood!$C$923</c:f>
              <c:strCache>
                <c:ptCount val="1"/>
                <c:pt idx="0">
                  <c:v>Medical Surge</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Flood!$J$924</c:f>
              <c:numCache>
                <c:formatCode>General</c:formatCode>
                <c:ptCount val="1"/>
                <c:pt idx="0">
                  <c:v>2</c:v>
                </c:pt>
              </c:numCache>
            </c:numRef>
          </c:xVal>
          <c:yVal>
            <c:numRef>
              <c:f>Flood!$J$925</c:f>
              <c:numCache>
                <c:formatCode>General</c:formatCode>
                <c:ptCount val="1"/>
                <c:pt idx="0">
                  <c:v>0</c:v>
                </c:pt>
              </c:numCache>
            </c:numRef>
          </c:yVal>
          <c:smooth val="0"/>
          <c:extLst>
            <c:ext xmlns:c16="http://schemas.microsoft.com/office/drawing/2014/chart" uri="{C3380CC4-5D6E-409C-BE32-E72D297353CC}">
              <c16:uniqueId val="{00000005-8E90-4B35-98D3-6AAF08525FB1}"/>
            </c:ext>
          </c:extLst>
        </c:ser>
        <c:ser>
          <c:idx val="6"/>
          <c:order val="6"/>
          <c:tx>
            <c:strRef>
              <c:f>Flood!$C$927</c:f>
              <c:strCache>
                <c:ptCount val="1"/>
                <c:pt idx="0">
                  <c:v>Responder Safety</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Flood!$J$928</c:f>
              <c:numCache>
                <c:formatCode>General</c:formatCode>
                <c:ptCount val="1"/>
                <c:pt idx="0">
                  <c:v>2</c:v>
                </c:pt>
              </c:numCache>
            </c:numRef>
          </c:xVal>
          <c:yVal>
            <c:numRef>
              <c:f>Flood!$J$929</c:f>
              <c:numCache>
                <c:formatCode>General</c:formatCode>
                <c:ptCount val="1"/>
                <c:pt idx="0">
                  <c:v>0</c:v>
                </c:pt>
              </c:numCache>
            </c:numRef>
          </c:yVal>
          <c:smooth val="0"/>
          <c:extLst>
            <c:ext xmlns:c16="http://schemas.microsoft.com/office/drawing/2014/chart" uri="{C3380CC4-5D6E-409C-BE32-E72D297353CC}">
              <c16:uniqueId val="{00000006-8E90-4B35-98D3-6AAF08525FB1}"/>
            </c:ext>
          </c:extLst>
        </c:ser>
        <c:ser>
          <c:idx val="7"/>
          <c:order val="7"/>
          <c:tx>
            <c:strRef>
              <c:f>Flood!$C$931</c:f>
              <c:strCache>
                <c:ptCount val="1"/>
                <c:pt idx="0">
                  <c:v>Volunteer Mgmt</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Flood!$J$932</c:f>
              <c:numCache>
                <c:formatCode>General</c:formatCode>
                <c:ptCount val="1"/>
                <c:pt idx="0">
                  <c:v>3</c:v>
                </c:pt>
              </c:numCache>
            </c:numRef>
          </c:xVal>
          <c:yVal>
            <c:numRef>
              <c:f>Flood!$J$933</c:f>
              <c:numCache>
                <c:formatCode>General</c:formatCode>
                <c:ptCount val="1"/>
                <c:pt idx="0">
                  <c:v>0</c:v>
                </c:pt>
              </c:numCache>
            </c:numRef>
          </c:yVal>
          <c:smooth val="0"/>
          <c:extLst>
            <c:ext xmlns:c16="http://schemas.microsoft.com/office/drawing/2014/chart" uri="{C3380CC4-5D6E-409C-BE32-E72D297353CC}">
              <c16:uniqueId val="{00000007-8E90-4B35-98D3-6AAF08525FB1}"/>
            </c:ext>
          </c:extLst>
        </c:ser>
        <c:ser>
          <c:idx val="14"/>
          <c:order val="8"/>
          <c:tx>
            <c:strRef>
              <c:f>Flood!$C$964</c:f>
              <c:strCache>
                <c:ptCount val="1"/>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Flood!$J$965</c:f>
            </c:numRef>
          </c:xVal>
          <c:yVal>
            <c:numRef>
              <c:f>Flood!$J$966</c:f>
            </c:numRef>
          </c:yVal>
          <c:smooth val="0"/>
          <c:extLst>
            <c:ext xmlns:c16="http://schemas.microsoft.com/office/drawing/2014/chart" uri="{C3380CC4-5D6E-409C-BE32-E72D297353CC}">
              <c16:uniqueId val="{00000008-8E90-4B35-98D3-6AAF08525FB1}"/>
            </c:ext>
          </c:extLst>
        </c:ser>
        <c:dLbls>
          <c:showLegendKey val="0"/>
          <c:showVal val="1"/>
          <c:showCatName val="0"/>
          <c:showSerName val="0"/>
          <c:showPercent val="0"/>
          <c:showBubbleSize val="0"/>
        </c:dLbls>
        <c:axId val="198144768"/>
        <c:axId val="198146688"/>
      </c:scatterChart>
      <c:valAx>
        <c:axId val="198144768"/>
        <c:scaling>
          <c:orientation val="minMax"/>
          <c:max val="4.5"/>
          <c:min val="0"/>
        </c:scaling>
        <c:delete val="0"/>
        <c:axPos val="b"/>
        <c:majorGridlines/>
        <c:title>
          <c:tx>
            <c:rich>
              <a:bodyPr/>
              <a:lstStyle/>
              <a:p>
                <a:pPr>
                  <a:defRPr b="0">
                    <a:latin typeface="+mj-lt"/>
                  </a:defRPr>
                </a:pPr>
                <a:r>
                  <a:rPr lang="en-US" sz="1600" b="0">
                    <a:latin typeface="+mj-lt"/>
                  </a:rPr>
                  <a:t>Capability Relevance to Hazard</a:t>
                </a:r>
              </a:p>
            </c:rich>
          </c:tx>
          <c:overlay val="0"/>
        </c:title>
        <c:numFmt formatCode="General" sourceLinked="1"/>
        <c:majorTickMark val="out"/>
        <c:minorTickMark val="none"/>
        <c:tickLblPos val="nextTo"/>
        <c:spPr>
          <a:ln>
            <a:solidFill>
              <a:schemeClr val="tx1"/>
            </a:solidFill>
          </a:ln>
        </c:spPr>
        <c:crossAx val="198146688"/>
        <c:crosses val="autoZero"/>
        <c:crossBetween val="midCat"/>
        <c:majorUnit val="1"/>
        <c:minorUnit val="0.1"/>
      </c:valAx>
      <c:valAx>
        <c:axId val="198146688"/>
        <c:scaling>
          <c:orientation val="minMax"/>
          <c:max val="4.5"/>
          <c:min val="0"/>
        </c:scaling>
        <c:delete val="0"/>
        <c:axPos val="l"/>
        <c:majorGridlines/>
        <c:title>
          <c:tx>
            <c:rich>
              <a:bodyPr rot="-5400000" vert="horz"/>
              <a:lstStyle/>
              <a:p>
                <a:pPr>
                  <a:defRPr sz="1600" b="0">
                    <a:latin typeface="+mj-lt"/>
                  </a:defRPr>
                </a:pPr>
                <a:r>
                  <a:rPr lang="en-US" sz="1600" b="0">
                    <a:latin typeface="+mj-lt"/>
                  </a:rPr>
                  <a:t>Capability Status</a:t>
                </a:r>
              </a:p>
            </c:rich>
          </c:tx>
          <c:overlay val="0"/>
        </c:title>
        <c:numFmt formatCode="General" sourceLinked="1"/>
        <c:majorTickMark val="out"/>
        <c:minorTickMark val="none"/>
        <c:tickLblPos val="nextTo"/>
        <c:spPr>
          <a:ln>
            <a:solidFill>
              <a:schemeClr val="tx1"/>
            </a:solidFill>
          </a:ln>
        </c:spPr>
        <c:crossAx val="198144768"/>
        <c:crosses val="autoZero"/>
        <c:crossBetween val="midCat"/>
        <c:majorUnit val="1"/>
        <c:minorUnit val="0.1"/>
      </c:valAx>
      <c:spPr>
        <a:gradFill flip="none" rotWithShape="1">
          <a:gsLst>
            <a:gs pos="0">
              <a:srgbClr val="63BE7B"/>
            </a:gs>
            <a:gs pos="50000">
              <a:srgbClr val="FFEB84"/>
            </a:gs>
            <a:gs pos="100000">
              <a:srgbClr val="F8696B"/>
            </a:gs>
          </a:gsLst>
          <a:lin ang="27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b="0" u="sng">
                <a:latin typeface="+mj-lt"/>
              </a:defRPr>
            </a:pPr>
            <a:r>
              <a:rPr lang="en-US" b="0" u="sng">
                <a:latin typeface="+mj-lt"/>
              </a:rPr>
              <a:t>Severity</a:t>
            </a:r>
          </a:p>
        </c:rich>
      </c:tx>
      <c:layout>
        <c:manualLayout>
          <c:xMode val="edge"/>
          <c:yMode val="edge"/>
          <c:x val="0.46889233641333816"/>
          <c:y val="1.3244983721297133E-2"/>
        </c:manualLayout>
      </c:layout>
      <c:overlay val="0"/>
    </c:title>
    <c:autoTitleDeleted val="0"/>
    <c:plotArea>
      <c:layout/>
      <c:barChart>
        <c:barDir val="col"/>
        <c:grouping val="clustered"/>
        <c:varyColors val="0"/>
        <c:ser>
          <c:idx val="0"/>
          <c:order val="0"/>
          <c:tx>
            <c:v>Severity</c:v>
          </c:tx>
          <c:spPr>
            <a:solidFill>
              <a:schemeClr val="accent4">
                <a:lumMod val="60000"/>
                <a:lumOff val="40000"/>
              </a:schemeClr>
            </a:solidFill>
            <a:ln>
              <a:solidFill>
                <a:schemeClr val="accent4"/>
              </a:solidFill>
            </a:ln>
            <a:scene3d>
              <a:camera prst="orthographicFront"/>
              <a:lightRig rig="threePt" dir="t"/>
            </a:scene3d>
            <a:sp3d prstMaterial="matte">
              <a:bevelT w="63500" h="50800"/>
            </a:sp3d>
          </c:spPr>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('Active Shooter'!$G$22,'Active Shooter'!$G$137,'Active Shooter'!$G$265,'Active Shooter'!$G$425,'Active Shooter'!$G$543)</c:f>
              <c:strCache>
                <c:ptCount val="5"/>
                <c:pt idx="0">
                  <c:v>Human Impact</c:v>
                </c:pt>
                <c:pt idx="1">
                  <c:v>Healthcare Service Impact</c:v>
                </c:pt>
                <c:pt idx="2">
                  <c:v>Inpatient Healthcare Facility Infrastructure Impact</c:v>
                </c:pt>
                <c:pt idx="3">
                  <c:v>Community Impact</c:v>
                </c:pt>
                <c:pt idx="4">
                  <c:v>Public Health Service Impact</c:v>
                </c:pt>
              </c:strCache>
            </c:strRef>
          </c:cat>
          <c:val>
            <c:numRef>
              <c:f>('Hazardous Materials Release'!$J$133,'Hazardous Materials Release'!$J$261,'Hazardous Materials Release'!$J$421,'Hazardous Materials Release'!$J$539,'Hazardous Materials Release'!$J$681)</c:f>
              <c:numCache>
                <c:formatCode>0.00</c:formatCode>
                <c:ptCount val="5"/>
                <c:pt idx="0">
                  <c:v>0</c:v>
                </c:pt>
                <c:pt idx="1">
                  <c:v>0</c:v>
                </c:pt>
                <c:pt idx="2">
                  <c:v>2.1875</c:v>
                </c:pt>
                <c:pt idx="3">
                  <c:v>1.2857142857142858</c:v>
                </c:pt>
                <c:pt idx="4">
                  <c:v>0</c:v>
                </c:pt>
              </c:numCache>
            </c:numRef>
          </c:val>
          <c:extLst>
            <c:ext xmlns:c16="http://schemas.microsoft.com/office/drawing/2014/chart" uri="{C3380CC4-5D6E-409C-BE32-E72D297353CC}">
              <c16:uniqueId val="{00000000-2E0A-4B91-B34E-9798A9E3587B}"/>
            </c:ext>
          </c:extLst>
        </c:ser>
        <c:dLbls>
          <c:showLegendKey val="0"/>
          <c:showVal val="1"/>
          <c:showCatName val="0"/>
          <c:showSerName val="0"/>
          <c:showPercent val="0"/>
          <c:showBubbleSize val="0"/>
        </c:dLbls>
        <c:gapWidth val="150"/>
        <c:axId val="198252800"/>
        <c:axId val="198254976"/>
      </c:barChart>
      <c:catAx>
        <c:axId val="198252800"/>
        <c:scaling>
          <c:orientation val="minMax"/>
        </c:scaling>
        <c:delete val="0"/>
        <c:axPos val="b"/>
        <c:title>
          <c:tx>
            <c:rich>
              <a:bodyPr/>
              <a:lstStyle/>
              <a:p>
                <a:pPr>
                  <a:defRPr sz="1600" b="0">
                    <a:latin typeface="+mj-lt"/>
                  </a:defRPr>
                </a:pPr>
                <a:r>
                  <a:rPr lang="en-US" sz="1600" b="0">
                    <a:latin typeface="+mj-lt"/>
                  </a:rPr>
                  <a:t>Domain</a:t>
                </a:r>
              </a:p>
            </c:rich>
          </c:tx>
          <c:overlay val="0"/>
        </c:title>
        <c:numFmt formatCode="General" sourceLinked="1"/>
        <c:majorTickMark val="out"/>
        <c:minorTickMark val="none"/>
        <c:tickLblPos val="nextTo"/>
        <c:crossAx val="198254976"/>
        <c:crosses val="autoZero"/>
        <c:auto val="1"/>
        <c:lblAlgn val="ctr"/>
        <c:lblOffset val="100"/>
        <c:noMultiLvlLbl val="0"/>
      </c:catAx>
      <c:valAx>
        <c:axId val="198254976"/>
        <c:scaling>
          <c:orientation val="minMax"/>
          <c:max val="4"/>
        </c:scaling>
        <c:delete val="0"/>
        <c:axPos val="l"/>
        <c:majorGridlines/>
        <c:title>
          <c:tx>
            <c:rich>
              <a:bodyPr rot="-5400000" vert="horz"/>
              <a:lstStyle/>
              <a:p>
                <a:pPr>
                  <a:defRPr sz="1600" b="0">
                    <a:latin typeface="+mj-lt"/>
                  </a:defRPr>
                </a:pPr>
                <a:r>
                  <a:rPr lang="en-US" sz="1600" b="0">
                    <a:latin typeface="+mj-lt"/>
                  </a:rPr>
                  <a:t>Severity</a:t>
                </a:r>
                <a:r>
                  <a:rPr lang="en-US" sz="1600" b="0" baseline="0">
                    <a:latin typeface="+mj-lt"/>
                  </a:rPr>
                  <a:t> Score</a:t>
                </a:r>
                <a:endParaRPr lang="en-US" sz="1600" b="0">
                  <a:latin typeface="+mj-lt"/>
                </a:endParaRPr>
              </a:p>
            </c:rich>
          </c:tx>
          <c:overlay val="0"/>
        </c:title>
        <c:numFmt formatCode="0.00" sourceLinked="1"/>
        <c:majorTickMark val="out"/>
        <c:minorTickMark val="none"/>
        <c:tickLblPos val="nextTo"/>
        <c:crossAx val="198252800"/>
        <c:crosses val="autoZero"/>
        <c:crossBetween val="between"/>
      </c:valAx>
      <c:spPr>
        <a:gradFill flip="none" rotWithShape="1">
          <a:gsLst>
            <a:gs pos="0">
              <a:srgbClr val="63BE7B"/>
            </a:gs>
            <a:gs pos="50000">
              <a:srgbClr val="FFEB84"/>
            </a:gs>
            <a:gs pos="100000">
              <a:srgbClr val="F8696B"/>
            </a:gs>
          </a:gsLst>
          <a:lin ang="162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b="0" u="sng">
                <a:latin typeface="+mj-lt"/>
              </a:defRPr>
            </a:pPr>
            <a:r>
              <a:rPr lang="en-US" b="0" u="sng">
                <a:latin typeface="+mj-lt"/>
              </a:rPr>
              <a:t>At-Risk Populations</a:t>
            </a:r>
          </a:p>
        </c:rich>
      </c:tx>
      <c:layout>
        <c:manualLayout>
          <c:xMode val="edge"/>
          <c:yMode val="edge"/>
          <c:x val="0.37636858589702443"/>
          <c:y val="1.3244983721297133E-2"/>
        </c:manualLayout>
      </c:layout>
      <c:overlay val="0"/>
    </c:title>
    <c:autoTitleDeleted val="0"/>
    <c:plotArea>
      <c:layout/>
      <c:scatterChart>
        <c:scatterStyle val="lineMarker"/>
        <c:varyColors val="0"/>
        <c:ser>
          <c:idx val="0"/>
          <c:order val="0"/>
          <c:tx>
            <c:strRef>
              <c:f>'Hazardous Materials Release'!$C$793</c:f>
              <c:strCache>
                <c:ptCount val="1"/>
                <c:pt idx="0">
                  <c:v>Poverty</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'Hazardous Materials Release'!$J$795</c:f>
              <c:numCache>
                <c:formatCode>General</c:formatCode>
                <c:ptCount val="1"/>
                <c:pt idx="0">
                  <c:v>3</c:v>
                </c:pt>
              </c:numCache>
            </c:numRef>
          </c:xVal>
          <c:yVal>
            <c:numRef>
              <c:f>'Hazardous Materials Release'!$J$794</c:f>
              <c:numCache>
                <c:formatCode>General</c:formatCode>
                <c:ptCount val="1"/>
                <c:pt idx="0">
                  <c:v>0</c:v>
                </c:pt>
              </c:numCache>
            </c:numRef>
          </c:yVal>
          <c:smooth val="0"/>
          <c:extLst>
            <c:ext xmlns:c16="http://schemas.microsoft.com/office/drawing/2014/chart" uri="{C3380CC4-5D6E-409C-BE32-E72D297353CC}">
              <c16:uniqueId val="{00000000-0E22-4D7D-B225-9B9404DB5927}"/>
            </c:ext>
          </c:extLst>
        </c:ser>
        <c:ser>
          <c:idx val="1"/>
          <c:order val="1"/>
          <c:tx>
            <c:strRef>
              <c:f>'Hazardous Materials Release'!$C$797</c:f>
              <c:strCache>
                <c:ptCount val="1"/>
                <c:pt idx="0">
                  <c:v>Chronic Diseases (Diabetes)</c:v>
                </c:pt>
              </c:strCache>
            </c:strRef>
          </c:tx>
          <c:spPr>
            <a:ln w="66675">
              <a:noFill/>
            </a:ln>
          </c:spPr>
          <c:dLbls>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'Hazardous Materials Release'!$J$799</c:f>
              <c:numCache>
                <c:formatCode>General</c:formatCode>
                <c:ptCount val="1"/>
                <c:pt idx="0">
                  <c:v>3</c:v>
                </c:pt>
              </c:numCache>
            </c:numRef>
          </c:xVal>
          <c:yVal>
            <c:numRef>
              <c:f>'Hazardous Materials Release'!$J$798</c:f>
              <c:numCache>
                <c:formatCode>General</c:formatCode>
                <c:ptCount val="1"/>
                <c:pt idx="0">
                  <c:v>0</c:v>
                </c:pt>
              </c:numCache>
            </c:numRef>
          </c:yVal>
          <c:smooth val="0"/>
          <c:extLst>
            <c:ext xmlns:c16="http://schemas.microsoft.com/office/drawing/2014/chart" uri="{C3380CC4-5D6E-409C-BE32-E72D297353CC}">
              <c16:uniqueId val="{00000001-0E22-4D7D-B225-9B9404DB5927}"/>
            </c:ext>
          </c:extLst>
        </c:ser>
        <c:ser>
          <c:idx val="2"/>
          <c:order val="2"/>
          <c:tx>
            <c:strRef>
              <c:f>'Hazardous Materials Release'!$C$801</c:f>
              <c:strCache>
                <c:ptCount val="1"/>
                <c:pt idx="0">
                  <c:v>Children 18 and under</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'Hazardous Materials Release'!$J$803</c:f>
              <c:numCache>
                <c:formatCode>General</c:formatCode>
                <c:ptCount val="1"/>
                <c:pt idx="0">
                  <c:v>4</c:v>
                </c:pt>
              </c:numCache>
            </c:numRef>
          </c:xVal>
          <c:yVal>
            <c:numRef>
              <c:f>'Hazardous Materials Release'!$J$802</c:f>
              <c:numCache>
                <c:formatCode>General</c:formatCode>
                <c:ptCount val="1"/>
                <c:pt idx="0">
                  <c:v>0</c:v>
                </c:pt>
              </c:numCache>
            </c:numRef>
          </c:yVal>
          <c:smooth val="0"/>
          <c:extLst>
            <c:ext xmlns:c16="http://schemas.microsoft.com/office/drawing/2014/chart" uri="{C3380CC4-5D6E-409C-BE32-E72D297353CC}">
              <c16:uniqueId val="{00000002-0E22-4D7D-B225-9B9404DB5927}"/>
            </c:ext>
          </c:extLst>
        </c:ser>
        <c:ser>
          <c:idx val="3"/>
          <c:order val="3"/>
          <c:tx>
            <c:strRef>
              <c:f>'Hazardous Materials Release'!$C$805</c:f>
              <c:strCache>
                <c:ptCount val="1"/>
                <c:pt idx="0">
                  <c:v>Elderly 65 and older</c:v>
                </c:pt>
              </c:strCache>
            </c:strRef>
          </c:tx>
          <c:spPr>
            <a:ln w="66675">
              <a:noFill/>
            </a:ln>
          </c:spPr>
          <c:dLbls>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'Hazardous Materials Release'!$J$807</c:f>
              <c:numCache>
                <c:formatCode>General</c:formatCode>
                <c:ptCount val="1"/>
                <c:pt idx="0">
                  <c:v>3</c:v>
                </c:pt>
              </c:numCache>
            </c:numRef>
          </c:xVal>
          <c:yVal>
            <c:numRef>
              <c:f>'Hazardous Materials Release'!$J$806</c:f>
              <c:numCache>
                <c:formatCode>General</c:formatCode>
                <c:ptCount val="1"/>
                <c:pt idx="0">
                  <c:v>0</c:v>
                </c:pt>
              </c:numCache>
            </c:numRef>
          </c:yVal>
          <c:smooth val="0"/>
          <c:extLst>
            <c:ext xmlns:c16="http://schemas.microsoft.com/office/drawing/2014/chart" uri="{C3380CC4-5D6E-409C-BE32-E72D297353CC}">
              <c16:uniqueId val="{00000003-0E22-4D7D-B225-9B9404DB5927}"/>
            </c:ext>
          </c:extLst>
        </c:ser>
        <c:ser>
          <c:idx val="4"/>
          <c:order val="4"/>
          <c:tx>
            <c:strRef>
              <c:f>'Hazardous Materials Release'!$C$773</c:f>
              <c:strCache>
                <c:ptCount val="1"/>
                <c:pt idx="0">
                  <c:v>Hearing Disability</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'Hazardous Materials Release'!$J$775</c:f>
              <c:numCache>
                <c:formatCode>General</c:formatCode>
                <c:ptCount val="1"/>
                <c:pt idx="0">
                  <c:v>3</c:v>
                </c:pt>
              </c:numCache>
            </c:numRef>
          </c:xVal>
          <c:yVal>
            <c:numRef>
              <c:f>'Hazardous Materials Release'!$J$774</c:f>
              <c:numCache>
                <c:formatCode>General</c:formatCode>
                <c:ptCount val="1"/>
                <c:pt idx="0">
                  <c:v>0</c:v>
                </c:pt>
              </c:numCache>
            </c:numRef>
          </c:yVal>
          <c:smooth val="0"/>
          <c:extLst>
            <c:ext xmlns:c16="http://schemas.microsoft.com/office/drawing/2014/chart" uri="{C3380CC4-5D6E-409C-BE32-E72D297353CC}">
              <c16:uniqueId val="{00000004-0E22-4D7D-B225-9B9404DB5927}"/>
            </c:ext>
          </c:extLst>
        </c:ser>
        <c:ser>
          <c:idx val="5"/>
          <c:order val="5"/>
          <c:tx>
            <c:strRef>
              <c:f>'Hazardous Materials Release'!$C$777</c:f>
              <c:strCache>
                <c:ptCount val="1"/>
                <c:pt idx="0">
                  <c:v>Vision Disability</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'Hazardous Materials Release'!$J$779</c:f>
              <c:numCache>
                <c:formatCode>General</c:formatCode>
                <c:ptCount val="1"/>
                <c:pt idx="0">
                  <c:v>4</c:v>
                </c:pt>
              </c:numCache>
            </c:numRef>
          </c:xVal>
          <c:yVal>
            <c:numRef>
              <c:f>'Hazardous Materials Release'!$J$778</c:f>
              <c:numCache>
                <c:formatCode>General</c:formatCode>
                <c:ptCount val="1"/>
                <c:pt idx="0">
                  <c:v>0</c:v>
                </c:pt>
              </c:numCache>
            </c:numRef>
          </c:yVal>
          <c:smooth val="0"/>
          <c:extLst>
            <c:ext xmlns:c16="http://schemas.microsoft.com/office/drawing/2014/chart" uri="{C3380CC4-5D6E-409C-BE32-E72D297353CC}">
              <c16:uniqueId val="{00000005-0E22-4D7D-B225-9B9404DB5927}"/>
            </c:ext>
          </c:extLst>
        </c:ser>
        <c:ser>
          <c:idx val="6"/>
          <c:order val="6"/>
          <c:tx>
            <c:strRef>
              <c:f>'Hazardous Materials Release'!$C$781</c:f>
              <c:strCache>
                <c:ptCount val="1"/>
                <c:pt idx="0">
                  <c:v>Ambulatory Disability</c:v>
                </c:pt>
              </c:strCache>
            </c:strRef>
          </c:tx>
          <c:spPr>
            <a:ln w="66675">
              <a:noFill/>
            </a:ln>
          </c:spPr>
          <c:dLbls>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'Hazardous Materials Release'!$J$783</c:f>
              <c:numCache>
                <c:formatCode>General</c:formatCode>
                <c:ptCount val="1"/>
                <c:pt idx="0">
                  <c:v>3</c:v>
                </c:pt>
              </c:numCache>
            </c:numRef>
          </c:xVal>
          <c:yVal>
            <c:numRef>
              <c:f>'Hazardous Materials Release'!$J$782</c:f>
              <c:numCache>
                <c:formatCode>General</c:formatCode>
                <c:ptCount val="1"/>
                <c:pt idx="0">
                  <c:v>0</c:v>
                </c:pt>
              </c:numCache>
            </c:numRef>
          </c:yVal>
          <c:smooth val="0"/>
          <c:extLst>
            <c:ext xmlns:c16="http://schemas.microsoft.com/office/drawing/2014/chart" uri="{C3380CC4-5D6E-409C-BE32-E72D297353CC}">
              <c16:uniqueId val="{00000006-0E22-4D7D-B225-9B9404DB5927}"/>
            </c:ext>
          </c:extLst>
        </c:ser>
        <c:ser>
          <c:idx val="7"/>
          <c:order val="7"/>
          <c:tx>
            <c:strRef>
              <c:f>'Hazardous Materials Release'!$C$785</c:f>
              <c:strCache>
                <c:ptCount val="1"/>
                <c:pt idx="0">
                  <c:v>Cognitive Disability</c:v>
                </c:pt>
              </c:strCache>
            </c:strRef>
          </c:tx>
          <c:spPr>
            <a:ln w="66675">
              <a:noFill/>
            </a:ln>
          </c:spPr>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0E22-4D7D-B225-9B9404DB5927}"/>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'Hazardous Materials Release'!$J$787</c:f>
              <c:numCache>
                <c:formatCode>General</c:formatCode>
                <c:ptCount val="1"/>
                <c:pt idx="0">
                  <c:v>4</c:v>
                </c:pt>
              </c:numCache>
            </c:numRef>
          </c:xVal>
          <c:yVal>
            <c:numRef>
              <c:f>'Hazardous Materials Release'!$J$786</c:f>
              <c:numCache>
                <c:formatCode>General</c:formatCode>
                <c:ptCount val="1"/>
                <c:pt idx="0">
                  <c:v>0</c:v>
                </c:pt>
              </c:numCache>
            </c:numRef>
          </c:yVal>
          <c:smooth val="0"/>
          <c:extLst>
            <c:ext xmlns:c16="http://schemas.microsoft.com/office/drawing/2014/chart" uri="{C3380CC4-5D6E-409C-BE32-E72D297353CC}">
              <c16:uniqueId val="{00000008-0E22-4D7D-B225-9B9404DB5927}"/>
            </c:ext>
          </c:extLst>
        </c:ser>
        <c:ser>
          <c:idx val="8"/>
          <c:order val="8"/>
          <c:tx>
            <c:strRef>
              <c:f>'Hazardous Materials Release'!$C$789</c:f>
              <c:strCache>
                <c:ptCount val="1"/>
                <c:pt idx="0">
                  <c:v>Limited English Proficiency</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'Hazardous Materials Release'!$J$791</c:f>
              <c:numCache>
                <c:formatCode>General</c:formatCode>
                <c:ptCount val="1"/>
                <c:pt idx="0">
                  <c:v>3</c:v>
                </c:pt>
              </c:numCache>
            </c:numRef>
          </c:xVal>
          <c:yVal>
            <c:numRef>
              <c:f>'Hazardous Materials Release'!$J$790</c:f>
              <c:numCache>
                <c:formatCode>General</c:formatCode>
                <c:ptCount val="1"/>
                <c:pt idx="0">
                  <c:v>0</c:v>
                </c:pt>
              </c:numCache>
            </c:numRef>
          </c:yVal>
          <c:smooth val="0"/>
          <c:extLst>
            <c:ext xmlns:c16="http://schemas.microsoft.com/office/drawing/2014/chart" uri="{C3380CC4-5D6E-409C-BE32-E72D297353CC}">
              <c16:uniqueId val="{00000009-0E22-4D7D-B225-9B9404DB5927}"/>
            </c:ext>
          </c:extLst>
        </c:ser>
        <c:dLbls>
          <c:showLegendKey val="0"/>
          <c:showVal val="1"/>
          <c:showCatName val="0"/>
          <c:showSerName val="0"/>
          <c:showPercent val="0"/>
          <c:showBubbleSize val="0"/>
        </c:dLbls>
        <c:axId val="198215168"/>
        <c:axId val="198217088"/>
      </c:scatterChart>
      <c:valAx>
        <c:axId val="198215168"/>
        <c:scaling>
          <c:orientation val="minMax"/>
          <c:max val="4.5"/>
          <c:min val="0"/>
        </c:scaling>
        <c:delete val="0"/>
        <c:axPos val="b"/>
        <c:majorGridlines/>
        <c:title>
          <c:tx>
            <c:rich>
              <a:bodyPr/>
              <a:lstStyle/>
              <a:p>
                <a:pPr>
                  <a:defRPr b="0">
                    <a:latin typeface="+mj-lt"/>
                  </a:defRPr>
                </a:pPr>
                <a:r>
                  <a:rPr lang="en-US" sz="1600" b="0">
                    <a:latin typeface="+mj-lt"/>
                  </a:rPr>
                  <a:t>Access Planning Score</a:t>
                </a:r>
              </a:p>
            </c:rich>
          </c:tx>
          <c:overlay val="0"/>
        </c:title>
        <c:numFmt formatCode="General" sourceLinked="1"/>
        <c:majorTickMark val="out"/>
        <c:minorTickMark val="none"/>
        <c:tickLblPos val="nextTo"/>
        <c:spPr>
          <a:ln>
            <a:solidFill>
              <a:schemeClr val="tx1"/>
            </a:solidFill>
          </a:ln>
        </c:spPr>
        <c:crossAx val="198217088"/>
        <c:crosses val="autoZero"/>
        <c:crossBetween val="midCat"/>
        <c:majorUnit val="1"/>
        <c:minorUnit val="0.1"/>
      </c:valAx>
      <c:valAx>
        <c:axId val="198217088"/>
        <c:scaling>
          <c:orientation val="minMax"/>
          <c:max val="4.5"/>
          <c:min val="0"/>
        </c:scaling>
        <c:delete val="0"/>
        <c:axPos val="l"/>
        <c:majorGridlines/>
        <c:title>
          <c:tx>
            <c:rich>
              <a:bodyPr rot="-5400000" vert="horz"/>
              <a:lstStyle/>
              <a:p>
                <a:pPr>
                  <a:defRPr sz="1600" b="0">
                    <a:latin typeface="+mj-lt"/>
                  </a:defRPr>
                </a:pPr>
                <a:r>
                  <a:rPr lang="en-US" sz="1600" b="0">
                    <a:latin typeface="+mj-lt"/>
                  </a:rPr>
                  <a:t>Population Size Score</a:t>
                </a:r>
              </a:p>
            </c:rich>
          </c:tx>
          <c:overlay val="0"/>
        </c:title>
        <c:numFmt formatCode="General" sourceLinked="1"/>
        <c:majorTickMark val="out"/>
        <c:minorTickMark val="none"/>
        <c:tickLblPos val="nextTo"/>
        <c:spPr>
          <a:ln>
            <a:solidFill>
              <a:schemeClr val="tx1"/>
            </a:solidFill>
          </a:ln>
        </c:spPr>
        <c:crossAx val="198215168"/>
        <c:crosses val="autoZero"/>
        <c:crossBetween val="midCat"/>
        <c:majorUnit val="1"/>
        <c:minorUnit val="0.1"/>
      </c:valAx>
      <c:spPr>
        <a:gradFill flip="none" rotWithShape="1">
          <a:gsLst>
            <a:gs pos="0">
              <a:srgbClr val="63BE7B"/>
            </a:gs>
            <a:gs pos="50000">
              <a:srgbClr val="FFEB84"/>
            </a:gs>
            <a:gs pos="100000">
              <a:srgbClr val="F8696B"/>
            </a:gs>
          </a:gsLst>
          <a:lin ang="189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defRPr b="0" u="sng">
                <a:latin typeface="+mj-lt"/>
              </a:defRPr>
            </a:pPr>
            <a:r>
              <a:rPr lang="en-US" b="0" u="sng">
                <a:latin typeface="+mj-lt"/>
              </a:rPr>
              <a:t>Public Health Preparedness</a:t>
            </a:r>
          </a:p>
        </c:rich>
      </c:tx>
      <c:layout>
        <c:manualLayout>
          <c:xMode val="edge"/>
          <c:yMode val="edge"/>
          <c:x val="0.30532356317913883"/>
          <c:y val="1.3244983721297133E-2"/>
        </c:manualLayout>
      </c:layout>
      <c:overlay val="0"/>
    </c:title>
    <c:autoTitleDeleted val="0"/>
    <c:plotArea>
      <c:layout/>
      <c:scatterChart>
        <c:scatterStyle val="lineMarker"/>
        <c:varyColors val="0"/>
        <c:ser>
          <c:idx val="0"/>
          <c:order val="0"/>
          <c:tx>
            <c:strRef>
              <c:f>'Hazardous Materials Release'!$C$853</c:f>
              <c:strCache>
                <c:ptCount val="1"/>
                <c:pt idx="0">
                  <c:v>Info Sharing</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'Hazardous Materials Release'!$J$854</c:f>
              <c:numCache>
                <c:formatCode>General</c:formatCode>
                <c:ptCount val="1"/>
                <c:pt idx="0">
                  <c:v>4</c:v>
                </c:pt>
              </c:numCache>
            </c:numRef>
          </c:xVal>
          <c:yVal>
            <c:numRef>
              <c:f>'Hazardous Materials Release'!$J$855</c:f>
              <c:numCache>
                <c:formatCode>General</c:formatCode>
                <c:ptCount val="1"/>
                <c:pt idx="0">
                  <c:v>0</c:v>
                </c:pt>
              </c:numCache>
            </c:numRef>
          </c:yVal>
          <c:smooth val="0"/>
          <c:extLst>
            <c:ext xmlns:c16="http://schemas.microsoft.com/office/drawing/2014/chart" uri="{C3380CC4-5D6E-409C-BE32-E72D297353CC}">
              <c16:uniqueId val="{00000000-490E-4288-9961-2ACC1ECAF58E}"/>
            </c:ext>
          </c:extLst>
        </c:ser>
        <c:ser>
          <c:idx val="1"/>
          <c:order val="1"/>
          <c:tx>
            <c:strRef>
              <c:f>'Hazardous Materials Release'!$C$857</c:f>
              <c:strCache>
                <c:ptCount val="1"/>
                <c:pt idx="0">
                  <c:v>Mass Care</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'Hazardous Materials Release'!$J$858</c:f>
              <c:numCache>
                <c:formatCode>General</c:formatCode>
                <c:ptCount val="1"/>
                <c:pt idx="0">
                  <c:v>3</c:v>
                </c:pt>
              </c:numCache>
            </c:numRef>
          </c:xVal>
          <c:yVal>
            <c:numRef>
              <c:f>'Hazardous Materials Release'!$J$859</c:f>
              <c:numCache>
                <c:formatCode>General</c:formatCode>
                <c:ptCount val="1"/>
                <c:pt idx="0">
                  <c:v>0</c:v>
                </c:pt>
              </c:numCache>
            </c:numRef>
          </c:yVal>
          <c:smooth val="0"/>
          <c:extLst>
            <c:ext xmlns:c16="http://schemas.microsoft.com/office/drawing/2014/chart" uri="{C3380CC4-5D6E-409C-BE32-E72D297353CC}">
              <c16:uniqueId val="{00000001-490E-4288-9961-2ACC1ECAF58E}"/>
            </c:ext>
          </c:extLst>
        </c:ser>
        <c:ser>
          <c:idx val="2"/>
          <c:order val="2"/>
          <c:tx>
            <c:strRef>
              <c:f>'Hazardous Materials Release'!$C$861</c:f>
              <c:strCache>
                <c:ptCount val="1"/>
                <c:pt idx="0">
                  <c:v>MCM Dispens</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'Hazardous Materials Release'!$J$862</c:f>
              <c:numCache>
                <c:formatCode>General</c:formatCode>
                <c:ptCount val="1"/>
                <c:pt idx="0">
                  <c:v>4</c:v>
                </c:pt>
              </c:numCache>
            </c:numRef>
          </c:xVal>
          <c:yVal>
            <c:numRef>
              <c:f>'Hazardous Materials Release'!$J$863</c:f>
              <c:numCache>
                <c:formatCode>General</c:formatCode>
                <c:ptCount val="1"/>
                <c:pt idx="0">
                  <c:v>0</c:v>
                </c:pt>
              </c:numCache>
            </c:numRef>
          </c:yVal>
          <c:smooth val="0"/>
          <c:extLst>
            <c:ext xmlns:c16="http://schemas.microsoft.com/office/drawing/2014/chart" uri="{C3380CC4-5D6E-409C-BE32-E72D297353CC}">
              <c16:uniqueId val="{00000002-490E-4288-9961-2ACC1ECAF58E}"/>
            </c:ext>
          </c:extLst>
        </c:ser>
        <c:ser>
          <c:idx val="3"/>
          <c:order val="3"/>
          <c:tx>
            <c:strRef>
              <c:f>'Hazardous Materials Release'!$C$865</c:f>
              <c:strCache>
                <c:ptCount val="1"/>
                <c:pt idx="0">
                  <c:v>Med Materiel Mgmt</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'Hazardous Materials Release'!$J$866</c:f>
              <c:numCache>
                <c:formatCode>General</c:formatCode>
                <c:ptCount val="1"/>
                <c:pt idx="0">
                  <c:v>4</c:v>
                </c:pt>
              </c:numCache>
            </c:numRef>
          </c:xVal>
          <c:yVal>
            <c:numRef>
              <c:f>'Hazardous Materials Release'!$J$867</c:f>
              <c:numCache>
                <c:formatCode>General</c:formatCode>
                <c:ptCount val="1"/>
                <c:pt idx="0">
                  <c:v>0</c:v>
                </c:pt>
              </c:numCache>
            </c:numRef>
          </c:yVal>
          <c:smooth val="0"/>
          <c:extLst>
            <c:ext xmlns:c16="http://schemas.microsoft.com/office/drawing/2014/chart" uri="{C3380CC4-5D6E-409C-BE32-E72D297353CC}">
              <c16:uniqueId val="{00000003-490E-4288-9961-2ACC1ECAF58E}"/>
            </c:ext>
          </c:extLst>
        </c:ser>
        <c:ser>
          <c:idx val="4"/>
          <c:order val="4"/>
          <c:tx>
            <c:strRef>
              <c:f>'Hazardous Materials Release'!$C$869</c:f>
              <c:strCache>
                <c:ptCount val="1"/>
                <c:pt idx="0">
                  <c:v>Medical Surge</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'Hazardous Materials Release'!$J$870</c:f>
              <c:numCache>
                <c:formatCode>General</c:formatCode>
                <c:ptCount val="1"/>
                <c:pt idx="0">
                  <c:v>4</c:v>
                </c:pt>
              </c:numCache>
            </c:numRef>
          </c:xVal>
          <c:yVal>
            <c:numRef>
              <c:f>'Hazardous Materials Release'!$J$871</c:f>
              <c:numCache>
                <c:formatCode>General</c:formatCode>
                <c:ptCount val="1"/>
                <c:pt idx="0">
                  <c:v>0</c:v>
                </c:pt>
              </c:numCache>
            </c:numRef>
          </c:yVal>
          <c:smooth val="0"/>
          <c:extLst>
            <c:ext xmlns:c16="http://schemas.microsoft.com/office/drawing/2014/chart" uri="{C3380CC4-5D6E-409C-BE32-E72D297353CC}">
              <c16:uniqueId val="{00000004-490E-4288-9961-2ACC1ECAF58E}"/>
            </c:ext>
          </c:extLst>
        </c:ser>
        <c:ser>
          <c:idx val="5"/>
          <c:order val="5"/>
          <c:tx>
            <c:strRef>
              <c:f>'Hazardous Materials Release'!$C$873</c:f>
              <c:strCache>
                <c:ptCount val="1"/>
                <c:pt idx="0">
                  <c:v>Non-Pharm Interv</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'Hazardous Materials Release'!$J$874</c:f>
              <c:numCache>
                <c:formatCode>General</c:formatCode>
                <c:ptCount val="1"/>
                <c:pt idx="0">
                  <c:v>3</c:v>
                </c:pt>
              </c:numCache>
            </c:numRef>
          </c:xVal>
          <c:yVal>
            <c:numRef>
              <c:f>'Hazardous Materials Release'!$J$875</c:f>
              <c:numCache>
                <c:formatCode>General</c:formatCode>
                <c:ptCount val="1"/>
                <c:pt idx="0">
                  <c:v>0</c:v>
                </c:pt>
              </c:numCache>
            </c:numRef>
          </c:yVal>
          <c:smooth val="0"/>
          <c:extLst>
            <c:ext xmlns:c16="http://schemas.microsoft.com/office/drawing/2014/chart" uri="{C3380CC4-5D6E-409C-BE32-E72D297353CC}">
              <c16:uniqueId val="{00000005-490E-4288-9961-2ACC1ECAF58E}"/>
            </c:ext>
          </c:extLst>
        </c:ser>
        <c:ser>
          <c:idx val="6"/>
          <c:order val="6"/>
          <c:tx>
            <c:strRef>
              <c:f>'Hazardous Materials Release'!$C$877</c:f>
              <c:strCache>
                <c:ptCount val="1"/>
                <c:pt idx="0">
                  <c:v>PH Lab Testing</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'Hazardous Materials Release'!$J$878</c:f>
              <c:numCache>
                <c:formatCode>General</c:formatCode>
                <c:ptCount val="1"/>
                <c:pt idx="0">
                  <c:v>4</c:v>
                </c:pt>
              </c:numCache>
            </c:numRef>
          </c:xVal>
          <c:yVal>
            <c:numRef>
              <c:f>'Hazardous Materials Release'!$J$879</c:f>
              <c:numCache>
                <c:formatCode>General</c:formatCode>
                <c:ptCount val="1"/>
                <c:pt idx="0">
                  <c:v>0</c:v>
                </c:pt>
              </c:numCache>
            </c:numRef>
          </c:yVal>
          <c:smooth val="0"/>
          <c:extLst>
            <c:ext xmlns:c16="http://schemas.microsoft.com/office/drawing/2014/chart" uri="{C3380CC4-5D6E-409C-BE32-E72D297353CC}">
              <c16:uniqueId val="{00000006-490E-4288-9961-2ACC1ECAF58E}"/>
            </c:ext>
          </c:extLst>
        </c:ser>
        <c:ser>
          <c:idx val="7"/>
          <c:order val="7"/>
          <c:tx>
            <c:strRef>
              <c:f>'Hazardous Materials Release'!$C$881</c:f>
              <c:strCache>
                <c:ptCount val="1"/>
                <c:pt idx="0">
                  <c:v>PH Surv &amp; Epi</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'Hazardous Materials Release'!$J$882</c:f>
              <c:numCache>
                <c:formatCode>General</c:formatCode>
                <c:ptCount val="1"/>
                <c:pt idx="0">
                  <c:v>3</c:v>
                </c:pt>
              </c:numCache>
            </c:numRef>
          </c:xVal>
          <c:yVal>
            <c:numRef>
              <c:f>'Hazardous Materials Release'!$J$883</c:f>
              <c:numCache>
                <c:formatCode>General</c:formatCode>
                <c:ptCount val="1"/>
                <c:pt idx="0">
                  <c:v>0</c:v>
                </c:pt>
              </c:numCache>
            </c:numRef>
          </c:yVal>
          <c:smooth val="0"/>
          <c:extLst>
            <c:ext xmlns:c16="http://schemas.microsoft.com/office/drawing/2014/chart" uri="{C3380CC4-5D6E-409C-BE32-E72D297353CC}">
              <c16:uniqueId val="{00000007-490E-4288-9961-2ACC1ECAF58E}"/>
            </c:ext>
          </c:extLst>
        </c:ser>
        <c:ser>
          <c:idx val="8"/>
          <c:order val="8"/>
          <c:tx>
            <c:strRef>
              <c:f>'Hazardous Materials Release'!$C$885</c:f>
              <c:strCache>
                <c:ptCount val="1"/>
                <c:pt idx="0">
                  <c:v>Responder Safety</c:v>
                </c:pt>
              </c:strCache>
            </c:strRef>
          </c:tx>
          <c:spPr>
            <a:ln w="66675">
              <a:noFill/>
            </a:ln>
          </c:spPr>
          <c:dLbls>
            <c:dLbl>
              <c:idx val="0"/>
              <c:layout>
                <c:manualLayout>
                  <c:x val="-0.13976363072059128"/>
                  <c:y val="-2.1857923497267812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490E-4288-9961-2ACC1ECAF58E}"/>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'Hazardous Materials Release'!$J$886</c:f>
              <c:numCache>
                <c:formatCode>General</c:formatCode>
                <c:ptCount val="1"/>
                <c:pt idx="0">
                  <c:v>4</c:v>
                </c:pt>
              </c:numCache>
            </c:numRef>
          </c:xVal>
          <c:yVal>
            <c:numRef>
              <c:f>'Hazardous Materials Release'!$J$887</c:f>
              <c:numCache>
                <c:formatCode>General</c:formatCode>
                <c:ptCount val="1"/>
                <c:pt idx="0">
                  <c:v>0</c:v>
                </c:pt>
              </c:numCache>
            </c:numRef>
          </c:yVal>
          <c:smooth val="0"/>
          <c:extLst>
            <c:ext xmlns:c16="http://schemas.microsoft.com/office/drawing/2014/chart" uri="{C3380CC4-5D6E-409C-BE32-E72D297353CC}">
              <c16:uniqueId val="{00000009-490E-4288-9961-2ACC1ECAF58E}"/>
            </c:ext>
          </c:extLst>
        </c:ser>
        <c:ser>
          <c:idx val="9"/>
          <c:order val="9"/>
          <c:tx>
            <c:strRef>
              <c:f>'Hazardous Materials Release'!$C$889</c:f>
              <c:strCache>
                <c:ptCount val="1"/>
                <c:pt idx="0">
                  <c:v>Volunteer Mgmt</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'Hazardous Materials Release'!$J$890</c:f>
              <c:numCache>
                <c:formatCode>General</c:formatCode>
                <c:ptCount val="1"/>
                <c:pt idx="0">
                  <c:v>3</c:v>
                </c:pt>
              </c:numCache>
            </c:numRef>
          </c:xVal>
          <c:yVal>
            <c:numRef>
              <c:f>'Hazardous Materials Release'!$J$891</c:f>
              <c:numCache>
                <c:formatCode>General</c:formatCode>
                <c:ptCount val="1"/>
                <c:pt idx="0">
                  <c:v>0</c:v>
                </c:pt>
              </c:numCache>
            </c:numRef>
          </c:yVal>
          <c:smooth val="0"/>
          <c:extLst>
            <c:ext xmlns:c16="http://schemas.microsoft.com/office/drawing/2014/chart" uri="{C3380CC4-5D6E-409C-BE32-E72D297353CC}">
              <c16:uniqueId val="{0000000A-490E-4288-9961-2ACC1ECAF58E}"/>
            </c:ext>
          </c:extLst>
        </c:ser>
        <c:ser>
          <c:idx val="10"/>
          <c:order val="10"/>
          <c:tx>
            <c:strRef>
              <c:f>'Hazardous Materials Release'!$C$833</c:f>
              <c:strCache>
                <c:ptCount val="1"/>
                <c:pt idx="0">
                  <c:v>Community Prep</c:v>
                </c:pt>
              </c:strCache>
            </c:strRef>
          </c:tx>
          <c:spPr>
            <a:ln w="66675">
              <a:noFill/>
            </a:ln>
          </c:spPr>
          <c:dLbls>
            <c:dLbl>
              <c:idx val="0"/>
              <c:layout>
                <c:manualLayout>
                  <c:x val="-0.13976363072059114"/>
                  <c:y val="-1.4572140231104992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B-490E-4288-9961-2ACC1ECAF58E}"/>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'Hazardous Materials Release'!$J$834</c:f>
              <c:numCache>
                <c:formatCode>General</c:formatCode>
                <c:ptCount val="1"/>
                <c:pt idx="0">
                  <c:v>4</c:v>
                </c:pt>
              </c:numCache>
            </c:numRef>
          </c:xVal>
          <c:yVal>
            <c:numRef>
              <c:f>'Hazardous Materials Release'!$J$835</c:f>
              <c:numCache>
                <c:formatCode>General</c:formatCode>
                <c:ptCount val="1"/>
                <c:pt idx="0">
                  <c:v>0</c:v>
                </c:pt>
              </c:numCache>
            </c:numRef>
          </c:yVal>
          <c:smooth val="0"/>
          <c:extLst>
            <c:ext xmlns:c16="http://schemas.microsoft.com/office/drawing/2014/chart" uri="{C3380CC4-5D6E-409C-BE32-E72D297353CC}">
              <c16:uniqueId val="{0000000C-490E-4288-9961-2ACC1ECAF58E}"/>
            </c:ext>
          </c:extLst>
        </c:ser>
        <c:ser>
          <c:idx val="11"/>
          <c:order val="11"/>
          <c:tx>
            <c:strRef>
              <c:f>'Hazardous Materials Release'!$C$837</c:f>
              <c:strCache>
                <c:ptCount val="1"/>
                <c:pt idx="0">
                  <c:v>Community Recov</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'Hazardous Materials Release'!$J$838</c:f>
              <c:numCache>
                <c:formatCode>General</c:formatCode>
                <c:ptCount val="1"/>
                <c:pt idx="0">
                  <c:v>4</c:v>
                </c:pt>
              </c:numCache>
            </c:numRef>
          </c:xVal>
          <c:yVal>
            <c:numRef>
              <c:f>'Hazardous Materials Release'!$J$839</c:f>
              <c:numCache>
                <c:formatCode>General</c:formatCode>
                <c:ptCount val="1"/>
                <c:pt idx="0">
                  <c:v>0</c:v>
                </c:pt>
              </c:numCache>
            </c:numRef>
          </c:yVal>
          <c:smooth val="0"/>
          <c:extLst>
            <c:ext xmlns:c16="http://schemas.microsoft.com/office/drawing/2014/chart" uri="{C3380CC4-5D6E-409C-BE32-E72D297353CC}">
              <c16:uniqueId val="{0000000D-490E-4288-9961-2ACC1ECAF58E}"/>
            </c:ext>
          </c:extLst>
        </c:ser>
        <c:ser>
          <c:idx val="12"/>
          <c:order val="12"/>
          <c:tx>
            <c:strRef>
              <c:f>'Hazardous Materials Release'!$C$841</c:f>
              <c:strCache>
                <c:ptCount val="1"/>
                <c:pt idx="0">
                  <c:v>Emerg Ops Coord</c:v>
                </c:pt>
              </c:strCache>
            </c:strRef>
          </c:tx>
          <c:spPr>
            <a:ln w="66675">
              <a:noFill/>
            </a:ln>
          </c:spPr>
          <c:dLbls>
            <c:dLbl>
              <c:idx val="0"/>
              <c:layout>
                <c:manualLayout>
                  <c:x val="-0.14216219891634721"/>
                  <c:y val="7.2857832661627694E-3"/>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490E-4288-9961-2ACC1ECAF58E}"/>
                </c:ext>
              </c:extLst>
            </c:dLbl>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'Hazardous Materials Release'!$J$842</c:f>
              <c:numCache>
                <c:formatCode>General</c:formatCode>
                <c:ptCount val="1"/>
                <c:pt idx="0">
                  <c:v>4</c:v>
                </c:pt>
              </c:numCache>
            </c:numRef>
          </c:xVal>
          <c:yVal>
            <c:numRef>
              <c:f>'Hazardous Materials Release'!$J$843</c:f>
              <c:numCache>
                <c:formatCode>General</c:formatCode>
                <c:ptCount val="1"/>
                <c:pt idx="0">
                  <c:v>0</c:v>
                </c:pt>
              </c:numCache>
            </c:numRef>
          </c:yVal>
          <c:smooth val="0"/>
          <c:extLst>
            <c:ext xmlns:c16="http://schemas.microsoft.com/office/drawing/2014/chart" uri="{C3380CC4-5D6E-409C-BE32-E72D297353CC}">
              <c16:uniqueId val="{0000000F-490E-4288-9961-2ACC1ECAF58E}"/>
            </c:ext>
          </c:extLst>
        </c:ser>
        <c:ser>
          <c:idx val="13"/>
          <c:order val="13"/>
          <c:tx>
            <c:strRef>
              <c:f>'Hazardous Materials Release'!$C$845</c:f>
              <c:strCache>
                <c:ptCount val="1"/>
                <c:pt idx="0">
                  <c:v>Emerg Public Info</c:v>
                </c:pt>
              </c:strCache>
            </c:strRef>
          </c:tx>
          <c:spPr>
            <a:ln w="66675">
              <a:noFill/>
            </a:ln>
          </c:spPr>
          <c:dLbls>
            <c:spPr>
              <a:noFill/>
              <a:ln>
                <a:noFill/>
              </a:ln>
              <a:effectLst/>
            </c:sp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'Hazardous Materials Release'!$J$846</c:f>
              <c:numCache>
                <c:formatCode>General</c:formatCode>
                <c:ptCount val="1"/>
                <c:pt idx="0">
                  <c:v>4</c:v>
                </c:pt>
              </c:numCache>
            </c:numRef>
          </c:xVal>
          <c:yVal>
            <c:numRef>
              <c:f>'Hazardous Materials Release'!$J$847</c:f>
              <c:numCache>
                <c:formatCode>General</c:formatCode>
                <c:ptCount val="1"/>
                <c:pt idx="0">
                  <c:v>0</c:v>
                </c:pt>
              </c:numCache>
            </c:numRef>
          </c:yVal>
          <c:smooth val="0"/>
          <c:extLst>
            <c:ext xmlns:c16="http://schemas.microsoft.com/office/drawing/2014/chart" uri="{C3380CC4-5D6E-409C-BE32-E72D297353CC}">
              <c16:uniqueId val="{00000010-490E-4288-9961-2ACC1ECAF58E}"/>
            </c:ext>
          </c:extLst>
        </c:ser>
        <c:ser>
          <c:idx val="14"/>
          <c:order val="14"/>
          <c:tx>
            <c:strRef>
              <c:f>'Hazardous Materials Release'!$C$964</c:f>
              <c:strCache>
                <c:ptCount val="1"/>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'Hazardous Materials Release'!$J$965</c:f>
            </c:numRef>
          </c:xVal>
          <c:yVal>
            <c:numRef>
              <c:f>'Hazardous Materials Release'!$J$966</c:f>
            </c:numRef>
          </c:yVal>
          <c:smooth val="0"/>
          <c:extLst>
            <c:ext xmlns:c16="http://schemas.microsoft.com/office/drawing/2014/chart" uri="{C3380CC4-5D6E-409C-BE32-E72D297353CC}">
              <c16:uniqueId val="{00000011-490E-4288-9961-2ACC1ECAF58E}"/>
            </c:ext>
          </c:extLst>
        </c:ser>
        <c:ser>
          <c:idx val="15"/>
          <c:order val="15"/>
          <c:tx>
            <c:strRef>
              <c:f>'Hazardous Materials Release'!$C$849</c:f>
              <c:strCache>
                <c:ptCount val="1"/>
                <c:pt idx="0">
                  <c:v>Fatality Mgmt</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'Hazardous Materials Release'!$J$850</c:f>
              <c:numCache>
                <c:formatCode>General</c:formatCode>
                <c:ptCount val="1"/>
                <c:pt idx="0">
                  <c:v>4</c:v>
                </c:pt>
              </c:numCache>
            </c:numRef>
          </c:xVal>
          <c:yVal>
            <c:numRef>
              <c:f>'Hazardous Materials Release'!$J$851</c:f>
              <c:numCache>
                <c:formatCode>General</c:formatCode>
                <c:ptCount val="1"/>
                <c:pt idx="0">
                  <c:v>0</c:v>
                </c:pt>
              </c:numCache>
            </c:numRef>
          </c:yVal>
          <c:smooth val="0"/>
          <c:extLst>
            <c:ext xmlns:c16="http://schemas.microsoft.com/office/drawing/2014/chart" uri="{C3380CC4-5D6E-409C-BE32-E72D297353CC}">
              <c16:uniqueId val="{00000012-490E-4288-9961-2ACC1ECAF58E}"/>
            </c:ext>
          </c:extLst>
        </c:ser>
        <c:dLbls>
          <c:showLegendKey val="0"/>
          <c:showVal val="1"/>
          <c:showCatName val="0"/>
          <c:showSerName val="0"/>
          <c:showPercent val="0"/>
          <c:showBubbleSize val="0"/>
        </c:dLbls>
        <c:axId val="198522368"/>
        <c:axId val="198524288"/>
      </c:scatterChart>
      <c:valAx>
        <c:axId val="198522368"/>
        <c:scaling>
          <c:orientation val="minMax"/>
          <c:max val="4.5"/>
          <c:min val="0"/>
        </c:scaling>
        <c:delete val="0"/>
        <c:axPos val="b"/>
        <c:majorGridlines/>
        <c:title>
          <c:tx>
            <c:rich>
              <a:bodyPr/>
              <a:lstStyle/>
              <a:p>
                <a:pPr>
                  <a:defRPr b="0">
                    <a:latin typeface="+mj-lt"/>
                  </a:defRPr>
                </a:pPr>
                <a:r>
                  <a:rPr lang="en-US" sz="1600" b="0">
                    <a:latin typeface="+mj-lt"/>
                  </a:rPr>
                  <a:t>Capability Relevance to Hazard</a:t>
                </a:r>
              </a:p>
            </c:rich>
          </c:tx>
          <c:overlay val="0"/>
        </c:title>
        <c:numFmt formatCode="General" sourceLinked="1"/>
        <c:majorTickMark val="out"/>
        <c:minorTickMark val="none"/>
        <c:tickLblPos val="nextTo"/>
        <c:spPr>
          <a:ln>
            <a:solidFill>
              <a:schemeClr val="tx1"/>
            </a:solidFill>
          </a:ln>
        </c:spPr>
        <c:crossAx val="198524288"/>
        <c:crosses val="autoZero"/>
        <c:crossBetween val="midCat"/>
        <c:majorUnit val="1"/>
        <c:minorUnit val="0.1"/>
      </c:valAx>
      <c:valAx>
        <c:axId val="198524288"/>
        <c:scaling>
          <c:orientation val="minMax"/>
          <c:max val="4.5"/>
          <c:min val="0"/>
        </c:scaling>
        <c:delete val="0"/>
        <c:axPos val="l"/>
        <c:majorGridlines/>
        <c:title>
          <c:tx>
            <c:rich>
              <a:bodyPr rot="-5400000" vert="horz"/>
              <a:lstStyle/>
              <a:p>
                <a:pPr>
                  <a:defRPr sz="1600" b="0">
                    <a:latin typeface="+mj-lt"/>
                  </a:defRPr>
                </a:pPr>
                <a:r>
                  <a:rPr lang="en-US" sz="1600" b="0">
                    <a:latin typeface="+mj-lt"/>
                  </a:rPr>
                  <a:t>Capability Status</a:t>
                </a:r>
              </a:p>
            </c:rich>
          </c:tx>
          <c:overlay val="0"/>
        </c:title>
        <c:numFmt formatCode="General" sourceLinked="1"/>
        <c:majorTickMark val="out"/>
        <c:minorTickMark val="none"/>
        <c:tickLblPos val="nextTo"/>
        <c:spPr>
          <a:ln>
            <a:solidFill>
              <a:schemeClr val="tx1"/>
            </a:solidFill>
          </a:ln>
        </c:spPr>
        <c:crossAx val="198522368"/>
        <c:crosses val="autoZero"/>
        <c:crossBetween val="midCat"/>
        <c:majorUnit val="1"/>
        <c:minorUnit val="0.1"/>
      </c:valAx>
      <c:spPr>
        <a:gradFill flip="none" rotWithShape="1">
          <a:gsLst>
            <a:gs pos="0">
              <a:srgbClr val="63BE7B"/>
            </a:gs>
            <a:gs pos="50000">
              <a:srgbClr val="FFEB84"/>
            </a:gs>
            <a:gs pos="100000">
              <a:srgbClr val="F8696B"/>
            </a:gs>
          </a:gsLst>
          <a:lin ang="27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defRPr b="0" u="sng">
                <a:latin typeface="+mj-lt"/>
              </a:defRPr>
            </a:pPr>
            <a:r>
              <a:rPr lang="en-US" b="0" u="sng">
                <a:latin typeface="+mj-lt"/>
              </a:rPr>
              <a:t>Healthcare Preparedness</a:t>
            </a:r>
          </a:p>
        </c:rich>
      </c:tx>
      <c:layout>
        <c:manualLayout>
          <c:xMode val="edge"/>
          <c:yMode val="edge"/>
          <c:x val="0.38019690321630645"/>
          <c:y val="1.3244983721297133E-2"/>
        </c:manualLayout>
      </c:layout>
      <c:overlay val="0"/>
    </c:title>
    <c:autoTitleDeleted val="0"/>
    <c:plotArea>
      <c:layout/>
      <c:scatterChart>
        <c:scatterStyle val="lineMarker"/>
        <c:varyColors val="0"/>
        <c:ser>
          <c:idx val="0"/>
          <c:order val="0"/>
          <c:tx>
            <c:strRef>
              <c:f>'Hazardous Materials Release'!$C$903</c:f>
              <c:strCache>
                <c:ptCount val="1"/>
                <c:pt idx="0">
                  <c:v>HC System Prep</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'Hazardous Materials Release'!$J$904</c:f>
              <c:numCache>
                <c:formatCode>General</c:formatCode>
                <c:ptCount val="1"/>
                <c:pt idx="0">
                  <c:v>4</c:v>
                </c:pt>
              </c:numCache>
            </c:numRef>
          </c:xVal>
          <c:yVal>
            <c:numRef>
              <c:f>'Hazardous Materials Release'!$J$905</c:f>
              <c:numCache>
                <c:formatCode>General</c:formatCode>
                <c:ptCount val="1"/>
                <c:pt idx="0">
                  <c:v>0</c:v>
                </c:pt>
              </c:numCache>
            </c:numRef>
          </c:yVal>
          <c:smooth val="0"/>
          <c:extLst>
            <c:ext xmlns:c16="http://schemas.microsoft.com/office/drawing/2014/chart" uri="{C3380CC4-5D6E-409C-BE32-E72D297353CC}">
              <c16:uniqueId val="{00000000-DACC-4E7D-9C0F-D52FE7C696F2}"/>
            </c:ext>
          </c:extLst>
        </c:ser>
        <c:ser>
          <c:idx val="1"/>
          <c:order val="1"/>
          <c:tx>
            <c:strRef>
              <c:f>'Hazardous Materials Release'!$C$907</c:f>
              <c:strCache>
                <c:ptCount val="1"/>
                <c:pt idx="0">
                  <c:v>HC System Recov</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'Hazardous Materials Release'!$J$908</c:f>
              <c:numCache>
                <c:formatCode>General</c:formatCode>
                <c:ptCount val="1"/>
                <c:pt idx="0">
                  <c:v>4</c:v>
                </c:pt>
              </c:numCache>
            </c:numRef>
          </c:xVal>
          <c:yVal>
            <c:numRef>
              <c:f>'Hazardous Materials Release'!$J$909</c:f>
              <c:numCache>
                <c:formatCode>General</c:formatCode>
                <c:ptCount val="1"/>
                <c:pt idx="0">
                  <c:v>0</c:v>
                </c:pt>
              </c:numCache>
            </c:numRef>
          </c:yVal>
          <c:smooth val="0"/>
          <c:extLst>
            <c:ext xmlns:c16="http://schemas.microsoft.com/office/drawing/2014/chart" uri="{C3380CC4-5D6E-409C-BE32-E72D297353CC}">
              <c16:uniqueId val="{00000001-DACC-4E7D-9C0F-D52FE7C696F2}"/>
            </c:ext>
          </c:extLst>
        </c:ser>
        <c:ser>
          <c:idx val="2"/>
          <c:order val="2"/>
          <c:tx>
            <c:strRef>
              <c:f>'Hazardous Materials Release'!$C$911</c:f>
              <c:strCache>
                <c:ptCount val="1"/>
                <c:pt idx="0">
                  <c:v>Emerg Ops Coord</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'Hazardous Materials Release'!$J$912</c:f>
              <c:numCache>
                <c:formatCode>General</c:formatCode>
                <c:ptCount val="1"/>
                <c:pt idx="0">
                  <c:v>4</c:v>
                </c:pt>
              </c:numCache>
            </c:numRef>
          </c:xVal>
          <c:yVal>
            <c:numRef>
              <c:f>'Hazardous Materials Release'!$J$913</c:f>
              <c:numCache>
                <c:formatCode>General</c:formatCode>
                <c:ptCount val="1"/>
                <c:pt idx="0">
                  <c:v>0</c:v>
                </c:pt>
              </c:numCache>
            </c:numRef>
          </c:yVal>
          <c:smooth val="0"/>
          <c:extLst>
            <c:ext xmlns:c16="http://schemas.microsoft.com/office/drawing/2014/chart" uri="{C3380CC4-5D6E-409C-BE32-E72D297353CC}">
              <c16:uniqueId val="{00000002-DACC-4E7D-9C0F-D52FE7C696F2}"/>
            </c:ext>
          </c:extLst>
        </c:ser>
        <c:ser>
          <c:idx val="3"/>
          <c:order val="3"/>
          <c:tx>
            <c:strRef>
              <c:f>'Hazardous Materials Release'!$C$915</c:f>
              <c:strCache>
                <c:ptCount val="1"/>
                <c:pt idx="0">
                  <c:v>Fatality Mgmt</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'Hazardous Materials Release'!$J$916</c:f>
              <c:numCache>
                <c:formatCode>General</c:formatCode>
                <c:ptCount val="1"/>
                <c:pt idx="0">
                  <c:v>4</c:v>
                </c:pt>
              </c:numCache>
            </c:numRef>
          </c:xVal>
          <c:yVal>
            <c:numRef>
              <c:f>'Hazardous Materials Release'!$J$917</c:f>
              <c:numCache>
                <c:formatCode>General</c:formatCode>
                <c:ptCount val="1"/>
                <c:pt idx="0">
                  <c:v>0</c:v>
                </c:pt>
              </c:numCache>
            </c:numRef>
          </c:yVal>
          <c:smooth val="0"/>
          <c:extLst>
            <c:ext xmlns:c16="http://schemas.microsoft.com/office/drawing/2014/chart" uri="{C3380CC4-5D6E-409C-BE32-E72D297353CC}">
              <c16:uniqueId val="{00000003-DACC-4E7D-9C0F-D52FE7C696F2}"/>
            </c:ext>
          </c:extLst>
        </c:ser>
        <c:ser>
          <c:idx val="4"/>
          <c:order val="4"/>
          <c:tx>
            <c:strRef>
              <c:f>'Hazardous Materials Release'!$C$919</c:f>
              <c:strCache>
                <c:ptCount val="1"/>
                <c:pt idx="0">
                  <c:v>Info Sharing</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'Hazardous Materials Release'!$J$920</c:f>
              <c:numCache>
                <c:formatCode>General</c:formatCode>
                <c:ptCount val="1"/>
                <c:pt idx="0">
                  <c:v>4</c:v>
                </c:pt>
              </c:numCache>
            </c:numRef>
          </c:xVal>
          <c:yVal>
            <c:numRef>
              <c:f>'Hazardous Materials Release'!$J$921</c:f>
              <c:numCache>
                <c:formatCode>General</c:formatCode>
                <c:ptCount val="1"/>
                <c:pt idx="0">
                  <c:v>0</c:v>
                </c:pt>
              </c:numCache>
            </c:numRef>
          </c:yVal>
          <c:smooth val="0"/>
          <c:extLst>
            <c:ext xmlns:c16="http://schemas.microsoft.com/office/drawing/2014/chart" uri="{C3380CC4-5D6E-409C-BE32-E72D297353CC}">
              <c16:uniqueId val="{00000004-DACC-4E7D-9C0F-D52FE7C696F2}"/>
            </c:ext>
          </c:extLst>
        </c:ser>
        <c:ser>
          <c:idx val="5"/>
          <c:order val="5"/>
          <c:tx>
            <c:strRef>
              <c:f>'Hazardous Materials Release'!$C$923</c:f>
              <c:strCache>
                <c:ptCount val="1"/>
                <c:pt idx="0">
                  <c:v>Medical Surge</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'Hazardous Materials Release'!$J$924</c:f>
              <c:numCache>
                <c:formatCode>General</c:formatCode>
                <c:ptCount val="1"/>
                <c:pt idx="0">
                  <c:v>4</c:v>
                </c:pt>
              </c:numCache>
            </c:numRef>
          </c:xVal>
          <c:yVal>
            <c:numRef>
              <c:f>'Hazardous Materials Release'!$J$925</c:f>
              <c:numCache>
                <c:formatCode>General</c:formatCode>
                <c:ptCount val="1"/>
                <c:pt idx="0">
                  <c:v>0</c:v>
                </c:pt>
              </c:numCache>
            </c:numRef>
          </c:yVal>
          <c:smooth val="0"/>
          <c:extLst>
            <c:ext xmlns:c16="http://schemas.microsoft.com/office/drawing/2014/chart" uri="{C3380CC4-5D6E-409C-BE32-E72D297353CC}">
              <c16:uniqueId val="{00000005-DACC-4E7D-9C0F-D52FE7C696F2}"/>
            </c:ext>
          </c:extLst>
        </c:ser>
        <c:ser>
          <c:idx val="6"/>
          <c:order val="6"/>
          <c:tx>
            <c:strRef>
              <c:f>'Hazardous Materials Release'!$C$927</c:f>
              <c:strCache>
                <c:ptCount val="1"/>
                <c:pt idx="0">
                  <c:v>Responder Safety</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'Hazardous Materials Release'!$J$928</c:f>
              <c:numCache>
                <c:formatCode>General</c:formatCode>
                <c:ptCount val="1"/>
                <c:pt idx="0">
                  <c:v>4</c:v>
                </c:pt>
              </c:numCache>
            </c:numRef>
          </c:xVal>
          <c:yVal>
            <c:numRef>
              <c:f>'Hazardous Materials Release'!$J$929</c:f>
              <c:numCache>
                <c:formatCode>General</c:formatCode>
                <c:ptCount val="1"/>
                <c:pt idx="0">
                  <c:v>0</c:v>
                </c:pt>
              </c:numCache>
            </c:numRef>
          </c:yVal>
          <c:smooth val="0"/>
          <c:extLst>
            <c:ext xmlns:c16="http://schemas.microsoft.com/office/drawing/2014/chart" uri="{C3380CC4-5D6E-409C-BE32-E72D297353CC}">
              <c16:uniqueId val="{00000006-DACC-4E7D-9C0F-D52FE7C696F2}"/>
            </c:ext>
          </c:extLst>
        </c:ser>
        <c:ser>
          <c:idx val="7"/>
          <c:order val="7"/>
          <c:tx>
            <c:strRef>
              <c:f>'Hazardous Materials Release'!$C$931</c:f>
              <c:strCache>
                <c:ptCount val="1"/>
                <c:pt idx="0">
                  <c:v>Volunteer Mgmt</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'Hazardous Materials Release'!$J$932</c:f>
              <c:numCache>
                <c:formatCode>General</c:formatCode>
                <c:ptCount val="1"/>
                <c:pt idx="0">
                  <c:v>3</c:v>
                </c:pt>
              </c:numCache>
            </c:numRef>
          </c:xVal>
          <c:yVal>
            <c:numRef>
              <c:f>'Hazardous Materials Release'!$J$933</c:f>
              <c:numCache>
                <c:formatCode>General</c:formatCode>
                <c:ptCount val="1"/>
                <c:pt idx="0">
                  <c:v>0</c:v>
                </c:pt>
              </c:numCache>
            </c:numRef>
          </c:yVal>
          <c:smooth val="0"/>
          <c:extLst>
            <c:ext xmlns:c16="http://schemas.microsoft.com/office/drawing/2014/chart" uri="{C3380CC4-5D6E-409C-BE32-E72D297353CC}">
              <c16:uniqueId val="{00000007-DACC-4E7D-9C0F-D52FE7C696F2}"/>
            </c:ext>
          </c:extLst>
        </c:ser>
        <c:ser>
          <c:idx val="14"/>
          <c:order val="8"/>
          <c:tx>
            <c:strRef>
              <c:f>'Hazardous Materials Release'!$C$964</c:f>
              <c:strCache>
                <c:ptCount val="1"/>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'Hazardous Materials Release'!$J$965</c:f>
            </c:numRef>
          </c:xVal>
          <c:yVal>
            <c:numRef>
              <c:f>'Hazardous Materials Release'!$J$966</c:f>
            </c:numRef>
          </c:yVal>
          <c:smooth val="0"/>
          <c:extLst>
            <c:ext xmlns:c16="http://schemas.microsoft.com/office/drawing/2014/chart" uri="{C3380CC4-5D6E-409C-BE32-E72D297353CC}">
              <c16:uniqueId val="{00000008-DACC-4E7D-9C0F-D52FE7C696F2}"/>
            </c:ext>
          </c:extLst>
        </c:ser>
        <c:dLbls>
          <c:showLegendKey val="0"/>
          <c:showVal val="1"/>
          <c:showCatName val="0"/>
          <c:showSerName val="0"/>
          <c:showPercent val="0"/>
          <c:showBubbleSize val="0"/>
        </c:dLbls>
        <c:axId val="198588672"/>
        <c:axId val="198599040"/>
      </c:scatterChart>
      <c:valAx>
        <c:axId val="198588672"/>
        <c:scaling>
          <c:orientation val="minMax"/>
          <c:max val="4.5"/>
          <c:min val="0"/>
        </c:scaling>
        <c:delete val="0"/>
        <c:axPos val="b"/>
        <c:majorGridlines/>
        <c:title>
          <c:tx>
            <c:rich>
              <a:bodyPr/>
              <a:lstStyle/>
              <a:p>
                <a:pPr>
                  <a:defRPr b="0">
                    <a:latin typeface="+mj-lt"/>
                  </a:defRPr>
                </a:pPr>
                <a:r>
                  <a:rPr lang="en-US" sz="1600" b="0">
                    <a:latin typeface="+mj-lt"/>
                  </a:rPr>
                  <a:t>Capability Relevance to Hazard</a:t>
                </a:r>
              </a:p>
            </c:rich>
          </c:tx>
          <c:overlay val="0"/>
        </c:title>
        <c:numFmt formatCode="General" sourceLinked="1"/>
        <c:majorTickMark val="out"/>
        <c:minorTickMark val="none"/>
        <c:tickLblPos val="nextTo"/>
        <c:spPr>
          <a:ln>
            <a:solidFill>
              <a:schemeClr val="tx1"/>
            </a:solidFill>
          </a:ln>
        </c:spPr>
        <c:crossAx val="198599040"/>
        <c:crosses val="autoZero"/>
        <c:crossBetween val="midCat"/>
        <c:majorUnit val="1"/>
        <c:minorUnit val="0.1"/>
      </c:valAx>
      <c:valAx>
        <c:axId val="198599040"/>
        <c:scaling>
          <c:orientation val="minMax"/>
          <c:max val="4.5"/>
          <c:min val="0"/>
        </c:scaling>
        <c:delete val="0"/>
        <c:axPos val="l"/>
        <c:majorGridlines/>
        <c:title>
          <c:tx>
            <c:rich>
              <a:bodyPr rot="-5400000" vert="horz"/>
              <a:lstStyle/>
              <a:p>
                <a:pPr>
                  <a:defRPr sz="1600" b="0">
                    <a:latin typeface="+mj-lt"/>
                  </a:defRPr>
                </a:pPr>
                <a:r>
                  <a:rPr lang="en-US" sz="1600" b="0">
                    <a:latin typeface="+mj-lt"/>
                  </a:rPr>
                  <a:t>Capability Status</a:t>
                </a:r>
              </a:p>
            </c:rich>
          </c:tx>
          <c:overlay val="0"/>
        </c:title>
        <c:numFmt formatCode="General" sourceLinked="1"/>
        <c:majorTickMark val="out"/>
        <c:minorTickMark val="none"/>
        <c:tickLblPos val="nextTo"/>
        <c:spPr>
          <a:ln>
            <a:solidFill>
              <a:schemeClr val="tx1"/>
            </a:solidFill>
          </a:ln>
        </c:spPr>
        <c:crossAx val="198588672"/>
        <c:crosses val="autoZero"/>
        <c:crossBetween val="midCat"/>
        <c:majorUnit val="1"/>
        <c:minorUnit val="0.1"/>
      </c:valAx>
      <c:spPr>
        <a:gradFill flip="none" rotWithShape="1">
          <a:gsLst>
            <a:gs pos="0">
              <a:srgbClr val="63BE7B"/>
            </a:gs>
            <a:gs pos="50000">
              <a:srgbClr val="FFEB84"/>
            </a:gs>
            <a:gs pos="100000">
              <a:srgbClr val="F8696B"/>
            </a:gs>
          </a:gsLst>
          <a:lin ang="27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b="0" u="sng">
                <a:latin typeface="+mj-lt"/>
              </a:defRPr>
            </a:pPr>
            <a:r>
              <a:rPr lang="en-US" b="0" u="sng">
                <a:latin typeface="+mj-lt"/>
              </a:rPr>
              <a:t>Severity</a:t>
            </a:r>
          </a:p>
        </c:rich>
      </c:tx>
      <c:layout>
        <c:manualLayout>
          <c:xMode val="edge"/>
          <c:yMode val="edge"/>
          <c:x val="0.46889233641333816"/>
          <c:y val="1.3244983721297133E-2"/>
        </c:manualLayout>
      </c:layout>
      <c:overlay val="0"/>
    </c:title>
    <c:autoTitleDeleted val="0"/>
    <c:plotArea>
      <c:layout/>
      <c:barChart>
        <c:barDir val="col"/>
        <c:grouping val="clustered"/>
        <c:varyColors val="0"/>
        <c:ser>
          <c:idx val="0"/>
          <c:order val="0"/>
          <c:tx>
            <c:v>Severity</c:v>
          </c:tx>
          <c:spPr>
            <a:solidFill>
              <a:schemeClr val="accent4">
                <a:lumMod val="60000"/>
                <a:lumOff val="40000"/>
              </a:schemeClr>
            </a:solidFill>
            <a:ln>
              <a:solidFill>
                <a:schemeClr val="accent4"/>
              </a:solidFill>
            </a:ln>
            <a:scene3d>
              <a:camera prst="orthographicFront"/>
              <a:lightRig rig="threePt" dir="t"/>
            </a:scene3d>
            <a:sp3d prstMaterial="matte">
              <a:bevelT w="63500" h="50800"/>
            </a:sp3d>
          </c:spPr>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('Active Shooter'!$G$22,'Active Shooter'!$G$137,'Active Shooter'!$G$265,'Active Shooter'!$G$425,'Active Shooter'!$G$543)</c:f>
              <c:strCache>
                <c:ptCount val="5"/>
                <c:pt idx="0">
                  <c:v>Human Impact</c:v>
                </c:pt>
                <c:pt idx="1">
                  <c:v>Healthcare Service Impact</c:v>
                </c:pt>
                <c:pt idx="2">
                  <c:v>Inpatient Healthcare Facility Infrastructure Impact</c:v>
                </c:pt>
                <c:pt idx="3">
                  <c:v>Community Impact</c:v>
                </c:pt>
                <c:pt idx="4">
                  <c:v>Public Health Service Impact</c:v>
                </c:pt>
              </c:strCache>
            </c:strRef>
          </c:cat>
          <c:val>
            <c:numRef>
              <c:f>('Localized Infectious Disease'!$J$133,'Localized Infectious Disease'!$J$261,'Localized Infectious Disease'!$J$421,'Localized Infectious Disease'!$J$539,'Localized Infectious Disease'!$J$681)</c:f>
              <c:numCache>
                <c:formatCode>0.00</c:formatCode>
                <c:ptCount val="5"/>
                <c:pt idx="0">
                  <c:v>0</c:v>
                </c:pt>
                <c:pt idx="1">
                  <c:v>0</c:v>
                </c:pt>
                <c:pt idx="2">
                  <c:v>1.75</c:v>
                </c:pt>
                <c:pt idx="3">
                  <c:v>0.2857142857142857</c:v>
                </c:pt>
                <c:pt idx="4">
                  <c:v>0</c:v>
                </c:pt>
              </c:numCache>
            </c:numRef>
          </c:val>
          <c:extLst>
            <c:ext xmlns:c16="http://schemas.microsoft.com/office/drawing/2014/chart" uri="{C3380CC4-5D6E-409C-BE32-E72D297353CC}">
              <c16:uniqueId val="{00000000-E6A4-4F52-BF0B-FFB50C60B3A2}"/>
            </c:ext>
          </c:extLst>
        </c:ser>
        <c:dLbls>
          <c:showLegendKey val="0"/>
          <c:showVal val="1"/>
          <c:showCatName val="0"/>
          <c:showSerName val="0"/>
          <c:showPercent val="0"/>
          <c:showBubbleSize val="0"/>
        </c:dLbls>
        <c:gapWidth val="150"/>
        <c:axId val="198742016"/>
        <c:axId val="198743936"/>
      </c:barChart>
      <c:catAx>
        <c:axId val="198742016"/>
        <c:scaling>
          <c:orientation val="minMax"/>
        </c:scaling>
        <c:delete val="0"/>
        <c:axPos val="b"/>
        <c:title>
          <c:tx>
            <c:rich>
              <a:bodyPr/>
              <a:lstStyle/>
              <a:p>
                <a:pPr>
                  <a:defRPr sz="1600" b="0">
                    <a:latin typeface="+mj-lt"/>
                  </a:defRPr>
                </a:pPr>
                <a:r>
                  <a:rPr lang="en-US" sz="1600" b="0">
                    <a:latin typeface="+mj-lt"/>
                  </a:rPr>
                  <a:t>Domain</a:t>
                </a:r>
              </a:p>
            </c:rich>
          </c:tx>
          <c:overlay val="0"/>
        </c:title>
        <c:numFmt formatCode="General" sourceLinked="1"/>
        <c:majorTickMark val="out"/>
        <c:minorTickMark val="none"/>
        <c:tickLblPos val="nextTo"/>
        <c:crossAx val="198743936"/>
        <c:crosses val="autoZero"/>
        <c:auto val="1"/>
        <c:lblAlgn val="ctr"/>
        <c:lblOffset val="100"/>
        <c:noMultiLvlLbl val="0"/>
      </c:catAx>
      <c:valAx>
        <c:axId val="198743936"/>
        <c:scaling>
          <c:orientation val="minMax"/>
          <c:max val="4"/>
        </c:scaling>
        <c:delete val="0"/>
        <c:axPos val="l"/>
        <c:majorGridlines/>
        <c:title>
          <c:tx>
            <c:rich>
              <a:bodyPr rot="-5400000" vert="horz"/>
              <a:lstStyle/>
              <a:p>
                <a:pPr>
                  <a:defRPr sz="1600" b="0">
                    <a:latin typeface="+mj-lt"/>
                  </a:defRPr>
                </a:pPr>
                <a:r>
                  <a:rPr lang="en-US" sz="1600" b="0">
                    <a:latin typeface="+mj-lt"/>
                  </a:rPr>
                  <a:t>Severity</a:t>
                </a:r>
                <a:r>
                  <a:rPr lang="en-US" sz="1600" b="0" baseline="0">
                    <a:latin typeface="+mj-lt"/>
                  </a:rPr>
                  <a:t> Score</a:t>
                </a:r>
                <a:endParaRPr lang="en-US" sz="1600" b="0">
                  <a:latin typeface="+mj-lt"/>
                </a:endParaRPr>
              </a:p>
            </c:rich>
          </c:tx>
          <c:overlay val="0"/>
        </c:title>
        <c:numFmt formatCode="0.00" sourceLinked="1"/>
        <c:majorTickMark val="out"/>
        <c:minorTickMark val="none"/>
        <c:tickLblPos val="nextTo"/>
        <c:crossAx val="198742016"/>
        <c:crosses val="autoZero"/>
        <c:crossBetween val="between"/>
      </c:valAx>
      <c:spPr>
        <a:gradFill flip="none" rotWithShape="1">
          <a:gsLst>
            <a:gs pos="0">
              <a:srgbClr val="63BE7B"/>
            </a:gs>
            <a:gs pos="50000">
              <a:srgbClr val="FFEB84"/>
            </a:gs>
            <a:gs pos="100000">
              <a:srgbClr val="F8696B"/>
            </a:gs>
          </a:gsLst>
          <a:lin ang="162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b="0" u="sng">
                <a:latin typeface="+mj-lt"/>
              </a:defRPr>
            </a:pPr>
            <a:r>
              <a:rPr lang="en-US" b="0" u="sng">
                <a:latin typeface="+mj-lt"/>
              </a:rPr>
              <a:t>At-Risk Populations</a:t>
            </a:r>
          </a:p>
        </c:rich>
      </c:tx>
      <c:layout>
        <c:manualLayout>
          <c:xMode val="edge"/>
          <c:yMode val="edge"/>
          <c:x val="0.37636858589702443"/>
          <c:y val="1.3244983721297133E-2"/>
        </c:manualLayout>
      </c:layout>
      <c:overlay val="0"/>
    </c:title>
    <c:autoTitleDeleted val="0"/>
    <c:plotArea>
      <c:layout/>
      <c:scatterChart>
        <c:scatterStyle val="lineMarker"/>
        <c:varyColors val="0"/>
        <c:ser>
          <c:idx val="0"/>
          <c:order val="0"/>
          <c:tx>
            <c:strRef>
              <c:f>'Localized Infectious Disease'!$C$793</c:f>
              <c:strCache>
                <c:ptCount val="1"/>
                <c:pt idx="0">
                  <c:v>Poverty</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'Localized Infectious Disease'!$J$795</c:f>
              <c:numCache>
                <c:formatCode>General</c:formatCode>
                <c:ptCount val="1"/>
                <c:pt idx="0">
                  <c:v>2</c:v>
                </c:pt>
              </c:numCache>
            </c:numRef>
          </c:xVal>
          <c:yVal>
            <c:numRef>
              <c:f>'Localized Infectious Disease'!$J$794</c:f>
              <c:numCache>
                <c:formatCode>General</c:formatCode>
                <c:ptCount val="1"/>
                <c:pt idx="0">
                  <c:v>0</c:v>
                </c:pt>
              </c:numCache>
            </c:numRef>
          </c:yVal>
          <c:smooth val="0"/>
          <c:extLst>
            <c:ext xmlns:c16="http://schemas.microsoft.com/office/drawing/2014/chart" uri="{C3380CC4-5D6E-409C-BE32-E72D297353CC}">
              <c16:uniqueId val="{00000000-27BF-4823-9E3D-DDCA878511BF}"/>
            </c:ext>
          </c:extLst>
        </c:ser>
        <c:ser>
          <c:idx val="1"/>
          <c:order val="1"/>
          <c:tx>
            <c:strRef>
              <c:f>'Localized Infectious Disease'!$C$797</c:f>
              <c:strCache>
                <c:ptCount val="1"/>
                <c:pt idx="0">
                  <c:v>Chronic Diseases (Diabetes)</c:v>
                </c:pt>
              </c:strCache>
            </c:strRef>
          </c:tx>
          <c:spPr>
            <a:ln w="66675">
              <a:noFill/>
            </a:ln>
          </c:spPr>
          <c:dLbls>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'Localized Infectious Disease'!$J$799</c:f>
              <c:numCache>
                <c:formatCode>General</c:formatCode>
                <c:ptCount val="1"/>
                <c:pt idx="0">
                  <c:v>2</c:v>
                </c:pt>
              </c:numCache>
            </c:numRef>
          </c:xVal>
          <c:yVal>
            <c:numRef>
              <c:f>'Localized Infectious Disease'!$J$798</c:f>
              <c:numCache>
                <c:formatCode>General</c:formatCode>
                <c:ptCount val="1"/>
                <c:pt idx="0">
                  <c:v>0</c:v>
                </c:pt>
              </c:numCache>
            </c:numRef>
          </c:yVal>
          <c:smooth val="0"/>
          <c:extLst>
            <c:ext xmlns:c16="http://schemas.microsoft.com/office/drawing/2014/chart" uri="{C3380CC4-5D6E-409C-BE32-E72D297353CC}">
              <c16:uniqueId val="{00000001-27BF-4823-9E3D-DDCA878511BF}"/>
            </c:ext>
          </c:extLst>
        </c:ser>
        <c:ser>
          <c:idx val="2"/>
          <c:order val="2"/>
          <c:tx>
            <c:strRef>
              <c:f>'Localized Infectious Disease'!$C$801</c:f>
              <c:strCache>
                <c:ptCount val="1"/>
                <c:pt idx="0">
                  <c:v>Children 18 and under</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'Localized Infectious Disease'!$J$803</c:f>
              <c:numCache>
                <c:formatCode>General</c:formatCode>
                <c:ptCount val="1"/>
                <c:pt idx="0">
                  <c:v>2</c:v>
                </c:pt>
              </c:numCache>
            </c:numRef>
          </c:xVal>
          <c:yVal>
            <c:numRef>
              <c:f>'Localized Infectious Disease'!$J$802</c:f>
              <c:numCache>
                <c:formatCode>General</c:formatCode>
                <c:ptCount val="1"/>
                <c:pt idx="0">
                  <c:v>0</c:v>
                </c:pt>
              </c:numCache>
            </c:numRef>
          </c:yVal>
          <c:smooth val="0"/>
          <c:extLst>
            <c:ext xmlns:c16="http://schemas.microsoft.com/office/drawing/2014/chart" uri="{C3380CC4-5D6E-409C-BE32-E72D297353CC}">
              <c16:uniqueId val="{00000002-27BF-4823-9E3D-DDCA878511BF}"/>
            </c:ext>
          </c:extLst>
        </c:ser>
        <c:ser>
          <c:idx val="3"/>
          <c:order val="3"/>
          <c:tx>
            <c:strRef>
              <c:f>'Localized Infectious Disease'!$C$805</c:f>
              <c:strCache>
                <c:ptCount val="1"/>
                <c:pt idx="0">
                  <c:v>Elderly 65 and older</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'Localized Infectious Disease'!$J$807</c:f>
              <c:numCache>
                <c:formatCode>General</c:formatCode>
                <c:ptCount val="1"/>
                <c:pt idx="0">
                  <c:v>1</c:v>
                </c:pt>
              </c:numCache>
            </c:numRef>
          </c:xVal>
          <c:yVal>
            <c:numRef>
              <c:f>'Localized Infectious Disease'!$J$806</c:f>
              <c:numCache>
                <c:formatCode>General</c:formatCode>
                <c:ptCount val="1"/>
                <c:pt idx="0">
                  <c:v>0</c:v>
                </c:pt>
              </c:numCache>
            </c:numRef>
          </c:yVal>
          <c:smooth val="0"/>
          <c:extLst>
            <c:ext xmlns:c16="http://schemas.microsoft.com/office/drawing/2014/chart" uri="{C3380CC4-5D6E-409C-BE32-E72D297353CC}">
              <c16:uniqueId val="{00000003-27BF-4823-9E3D-DDCA878511BF}"/>
            </c:ext>
          </c:extLst>
        </c:ser>
        <c:ser>
          <c:idx val="4"/>
          <c:order val="4"/>
          <c:tx>
            <c:strRef>
              <c:f>'Localized Infectious Disease'!$C$773</c:f>
              <c:strCache>
                <c:ptCount val="1"/>
                <c:pt idx="0">
                  <c:v>Hearing Disability</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'Localized Infectious Disease'!$J$775</c:f>
              <c:numCache>
                <c:formatCode>General</c:formatCode>
                <c:ptCount val="1"/>
                <c:pt idx="0">
                  <c:v>2</c:v>
                </c:pt>
              </c:numCache>
            </c:numRef>
          </c:xVal>
          <c:yVal>
            <c:numRef>
              <c:f>'Localized Infectious Disease'!$J$774</c:f>
              <c:numCache>
                <c:formatCode>General</c:formatCode>
                <c:ptCount val="1"/>
                <c:pt idx="0">
                  <c:v>0</c:v>
                </c:pt>
              </c:numCache>
            </c:numRef>
          </c:yVal>
          <c:smooth val="0"/>
          <c:extLst>
            <c:ext xmlns:c16="http://schemas.microsoft.com/office/drawing/2014/chart" uri="{C3380CC4-5D6E-409C-BE32-E72D297353CC}">
              <c16:uniqueId val="{00000004-27BF-4823-9E3D-DDCA878511BF}"/>
            </c:ext>
          </c:extLst>
        </c:ser>
        <c:ser>
          <c:idx val="5"/>
          <c:order val="5"/>
          <c:tx>
            <c:strRef>
              <c:f>'Localized Infectious Disease'!$C$777</c:f>
              <c:strCache>
                <c:ptCount val="1"/>
                <c:pt idx="0">
                  <c:v>Vision Disability</c:v>
                </c:pt>
              </c:strCache>
            </c:strRef>
          </c:tx>
          <c:spPr>
            <a:ln w="66675">
              <a:noFill/>
            </a:ln>
          </c:spPr>
          <c:dLbls>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'Localized Infectious Disease'!$J$779</c:f>
              <c:numCache>
                <c:formatCode>General</c:formatCode>
                <c:ptCount val="1"/>
                <c:pt idx="0">
                  <c:v>2</c:v>
                </c:pt>
              </c:numCache>
            </c:numRef>
          </c:xVal>
          <c:yVal>
            <c:numRef>
              <c:f>'Localized Infectious Disease'!$J$778</c:f>
              <c:numCache>
                <c:formatCode>General</c:formatCode>
                <c:ptCount val="1"/>
                <c:pt idx="0">
                  <c:v>0</c:v>
                </c:pt>
              </c:numCache>
            </c:numRef>
          </c:yVal>
          <c:smooth val="0"/>
          <c:extLst>
            <c:ext xmlns:c16="http://schemas.microsoft.com/office/drawing/2014/chart" uri="{C3380CC4-5D6E-409C-BE32-E72D297353CC}">
              <c16:uniqueId val="{00000005-27BF-4823-9E3D-DDCA878511BF}"/>
            </c:ext>
          </c:extLst>
        </c:ser>
        <c:ser>
          <c:idx val="6"/>
          <c:order val="6"/>
          <c:tx>
            <c:strRef>
              <c:f>'Localized Infectious Disease'!$C$781</c:f>
              <c:strCache>
                <c:ptCount val="1"/>
                <c:pt idx="0">
                  <c:v>Ambulatory Disability</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'Localized Infectious Disease'!$J$783</c:f>
              <c:numCache>
                <c:formatCode>General</c:formatCode>
                <c:ptCount val="1"/>
                <c:pt idx="0">
                  <c:v>1</c:v>
                </c:pt>
              </c:numCache>
            </c:numRef>
          </c:xVal>
          <c:yVal>
            <c:numRef>
              <c:f>'Localized Infectious Disease'!$J$782</c:f>
              <c:numCache>
                <c:formatCode>General</c:formatCode>
                <c:ptCount val="1"/>
                <c:pt idx="0">
                  <c:v>0</c:v>
                </c:pt>
              </c:numCache>
            </c:numRef>
          </c:yVal>
          <c:smooth val="0"/>
          <c:extLst>
            <c:ext xmlns:c16="http://schemas.microsoft.com/office/drawing/2014/chart" uri="{C3380CC4-5D6E-409C-BE32-E72D297353CC}">
              <c16:uniqueId val="{00000006-27BF-4823-9E3D-DDCA878511BF}"/>
            </c:ext>
          </c:extLst>
        </c:ser>
        <c:ser>
          <c:idx val="7"/>
          <c:order val="7"/>
          <c:tx>
            <c:strRef>
              <c:f>'Localized Infectious Disease'!$C$785</c:f>
              <c:strCache>
                <c:ptCount val="1"/>
                <c:pt idx="0">
                  <c:v>Cognitive Disability</c:v>
                </c:pt>
              </c:strCache>
            </c:strRef>
          </c:tx>
          <c:spPr>
            <a:ln w="66675">
              <a:noFill/>
            </a:ln>
          </c:spPr>
          <c:dLbls>
            <c:dLbl>
              <c:idx val="0"/>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27BF-4823-9E3D-DDCA878511BF}"/>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'Localized Infectious Disease'!$J$787</c:f>
              <c:numCache>
                <c:formatCode>General</c:formatCode>
                <c:ptCount val="1"/>
                <c:pt idx="0">
                  <c:v>2</c:v>
                </c:pt>
              </c:numCache>
            </c:numRef>
          </c:xVal>
          <c:yVal>
            <c:numRef>
              <c:f>'Localized Infectious Disease'!$J$786</c:f>
              <c:numCache>
                <c:formatCode>General</c:formatCode>
                <c:ptCount val="1"/>
                <c:pt idx="0">
                  <c:v>0</c:v>
                </c:pt>
              </c:numCache>
            </c:numRef>
          </c:yVal>
          <c:smooth val="0"/>
          <c:extLst>
            <c:ext xmlns:c16="http://schemas.microsoft.com/office/drawing/2014/chart" uri="{C3380CC4-5D6E-409C-BE32-E72D297353CC}">
              <c16:uniqueId val="{00000008-27BF-4823-9E3D-DDCA878511BF}"/>
            </c:ext>
          </c:extLst>
        </c:ser>
        <c:ser>
          <c:idx val="8"/>
          <c:order val="8"/>
          <c:tx>
            <c:strRef>
              <c:f>'Localized Infectious Disease'!$C$789</c:f>
              <c:strCache>
                <c:ptCount val="1"/>
                <c:pt idx="0">
                  <c:v>Limited English Proficiency</c:v>
                </c:pt>
              </c:strCache>
            </c:strRef>
          </c:tx>
          <c:spPr>
            <a:ln w="66675">
              <a:noFill/>
            </a:ln>
          </c:spPr>
          <c:dLbls>
            <c:spPr>
              <a:noFill/>
              <a:ln>
                <a:noFill/>
              </a:ln>
              <a:effectLst/>
            </c:sp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'Localized Infectious Disease'!$J$791</c:f>
              <c:numCache>
                <c:formatCode>General</c:formatCode>
                <c:ptCount val="1"/>
                <c:pt idx="0">
                  <c:v>2</c:v>
                </c:pt>
              </c:numCache>
            </c:numRef>
          </c:xVal>
          <c:yVal>
            <c:numRef>
              <c:f>'Localized Infectious Disease'!$J$790</c:f>
              <c:numCache>
                <c:formatCode>General</c:formatCode>
                <c:ptCount val="1"/>
                <c:pt idx="0">
                  <c:v>0</c:v>
                </c:pt>
              </c:numCache>
            </c:numRef>
          </c:yVal>
          <c:smooth val="0"/>
          <c:extLst>
            <c:ext xmlns:c16="http://schemas.microsoft.com/office/drawing/2014/chart" uri="{C3380CC4-5D6E-409C-BE32-E72D297353CC}">
              <c16:uniqueId val="{00000009-27BF-4823-9E3D-DDCA878511BF}"/>
            </c:ext>
          </c:extLst>
        </c:ser>
        <c:dLbls>
          <c:showLegendKey val="0"/>
          <c:showVal val="1"/>
          <c:showCatName val="0"/>
          <c:showSerName val="0"/>
          <c:showPercent val="0"/>
          <c:showBubbleSize val="0"/>
        </c:dLbls>
        <c:axId val="198780032"/>
        <c:axId val="198781952"/>
      </c:scatterChart>
      <c:valAx>
        <c:axId val="198780032"/>
        <c:scaling>
          <c:orientation val="minMax"/>
          <c:max val="4.5"/>
          <c:min val="0"/>
        </c:scaling>
        <c:delete val="0"/>
        <c:axPos val="b"/>
        <c:majorGridlines/>
        <c:title>
          <c:tx>
            <c:rich>
              <a:bodyPr/>
              <a:lstStyle/>
              <a:p>
                <a:pPr>
                  <a:defRPr b="0">
                    <a:latin typeface="+mj-lt"/>
                  </a:defRPr>
                </a:pPr>
                <a:r>
                  <a:rPr lang="en-US" sz="1600" b="0">
                    <a:latin typeface="+mj-lt"/>
                  </a:rPr>
                  <a:t>Access Planning Score</a:t>
                </a:r>
              </a:p>
            </c:rich>
          </c:tx>
          <c:overlay val="0"/>
        </c:title>
        <c:numFmt formatCode="General" sourceLinked="1"/>
        <c:majorTickMark val="out"/>
        <c:minorTickMark val="none"/>
        <c:tickLblPos val="nextTo"/>
        <c:spPr>
          <a:ln>
            <a:solidFill>
              <a:schemeClr val="tx1"/>
            </a:solidFill>
          </a:ln>
        </c:spPr>
        <c:crossAx val="198781952"/>
        <c:crosses val="autoZero"/>
        <c:crossBetween val="midCat"/>
        <c:majorUnit val="1"/>
        <c:minorUnit val="0.1"/>
      </c:valAx>
      <c:valAx>
        <c:axId val="198781952"/>
        <c:scaling>
          <c:orientation val="minMax"/>
          <c:max val="4.5"/>
          <c:min val="0"/>
        </c:scaling>
        <c:delete val="0"/>
        <c:axPos val="l"/>
        <c:majorGridlines/>
        <c:title>
          <c:tx>
            <c:rich>
              <a:bodyPr rot="-5400000" vert="horz"/>
              <a:lstStyle/>
              <a:p>
                <a:pPr>
                  <a:defRPr sz="1600" b="0">
                    <a:latin typeface="+mj-lt"/>
                  </a:defRPr>
                </a:pPr>
                <a:r>
                  <a:rPr lang="en-US" sz="1600" b="0">
                    <a:latin typeface="+mj-lt"/>
                  </a:rPr>
                  <a:t>Population Size Score</a:t>
                </a:r>
              </a:p>
            </c:rich>
          </c:tx>
          <c:overlay val="0"/>
        </c:title>
        <c:numFmt formatCode="General" sourceLinked="1"/>
        <c:majorTickMark val="out"/>
        <c:minorTickMark val="none"/>
        <c:tickLblPos val="nextTo"/>
        <c:spPr>
          <a:ln>
            <a:solidFill>
              <a:schemeClr val="tx1"/>
            </a:solidFill>
          </a:ln>
        </c:spPr>
        <c:crossAx val="198780032"/>
        <c:crosses val="autoZero"/>
        <c:crossBetween val="midCat"/>
        <c:majorUnit val="1"/>
        <c:minorUnit val="0.1"/>
      </c:valAx>
      <c:spPr>
        <a:gradFill flip="none" rotWithShape="1">
          <a:gsLst>
            <a:gs pos="0">
              <a:srgbClr val="63BE7B"/>
            </a:gs>
            <a:gs pos="50000">
              <a:srgbClr val="FFEB84"/>
            </a:gs>
            <a:gs pos="100000">
              <a:srgbClr val="F8696B"/>
            </a:gs>
          </a:gsLst>
          <a:lin ang="189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defRPr b="0" u="sng">
                <a:latin typeface="+mj-lt"/>
              </a:defRPr>
            </a:pPr>
            <a:r>
              <a:rPr lang="en-US" b="0" u="sng">
                <a:latin typeface="+mj-lt"/>
              </a:rPr>
              <a:t>Public Health Preparedness</a:t>
            </a:r>
          </a:p>
        </c:rich>
      </c:tx>
      <c:layout>
        <c:manualLayout>
          <c:xMode val="edge"/>
          <c:yMode val="edge"/>
          <c:x val="0.30532356317913883"/>
          <c:y val="1.3244983721297133E-2"/>
        </c:manualLayout>
      </c:layout>
      <c:overlay val="0"/>
    </c:title>
    <c:autoTitleDeleted val="0"/>
    <c:plotArea>
      <c:layout/>
      <c:scatterChart>
        <c:scatterStyle val="lineMarker"/>
        <c:varyColors val="0"/>
        <c:ser>
          <c:idx val="0"/>
          <c:order val="0"/>
          <c:tx>
            <c:strRef>
              <c:f>'Localized Infectious Disease'!$C$853</c:f>
              <c:strCache>
                <c:ptCount val="1"/>
                <c:pt idx="0">
                  <c:v>Info Sharing</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'Localized Infectious Disease'!$J$854</c:f>
              <c:numCache>
                <c:formatCode>General</c:formatCode>
                <c:ptCount val="1"/>
                <c:pt idx="0">
                  <c:v>4</c:v>
                </c:pt>
              </c:numCache>
            </c:numRef>
          </c:xVal>
          <c:yVal>
            <c:numRef>
              <c:f>'Localized Infectious Disease'!$J$855</c:f>
              <c:numCache>
                <c:formatCode>General</c:formatCode>
                <c:ptCount val="1"/>
                <c:pt idx="0">
                  <c:v>0</c:v>
                </c:pt>
              </c:numCache>
            </c:numRef>
          </c:yVal>
          <c:smooth val="0"/>
          <c:extLst>
            <c:ext xmlns:c16="http://schemas.microsoft.com/office/drawing/2014/chart" uri="{C3380CC4-5D6E-409C-BE32-E72D297353CC}">
              <c16:uniqueId val="{00000000-7836-4044-840E-1D5450A30591}"/>
            </c:ext>
          </c:extLst>
        </c:ser>
        <c:ser>
          <c:idx val="1"/>
          <c:order val="1"/>
          <c:tx>
            <c:strRef>
              <c:f>'Localized Infectious Disease'!$C$857</c:f>
              <c:strCache>
                <c:ptCount val="1"/>
                <c:pt idx="0">
                  <c:v>Mass Care</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'Localized Infectious Disease'!$J$858</c:f>
              <c:numCache>
                <c:formatCode>General</c:formatCode>
                <c:ptCount val="1"/>
                <c:pt idx="0">
                  <c:v>0</c:v>
                </c:pt>
              </c:numCache>
            </c:numRef>
          </c:xVal>
          <c:yVal>
            <c:numRef>
              <c:f>'Localized Infectious Disease'!$J$859</c:f>
              <c:numCache>
                <c:formatCode>General</c:formatCode>
                <c:ptCount val="1"/>
                <c:pt idx="0">
                  <c:v>0</c:v>
                </c:pt>
              </c:numCache>
            </c:numRef>
          </c:yVal>
          <c:smooth val="0"/>
          <c:extLst>
            <c:ext xmlns:c16="http://schemas.microsoft.com/office/drawing/2014/chart" uri="{C3380CC4-5D6E-409C-BE32-E72D297353CC}">
              <c16:uniqueId val="{00000001-7836-4044-840E-1D5450A30591}"/>
            </c:ext>
          </c:extLst>
        </c:ser>
        <c:ser>
          <c:idx val="2"/>
          <c:order val="2"/>
          <c:tx>
            <c:strRef>
              <c:f>'Localized Infectious Disease'!$C$861</c:f>
              <c:strCache>
                <c:ptCount val="1"/>
                <c:pt idx="0">
                  <c:v>MCM Dispens</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'Localized Infectious Disease'!$J$862</c:f>
              <c:numCache>
                <c:formatCode>General</c:formatCode>
                <c:ptCount val="1"/>
                <c:pt idx="0">
                  <c:v>4</c:v>
                </c:pt>
              </c:numCache>
            </c:numRef>
          </c:xVal>
          <c:yVal>
            <c:numRef>
              <c:f>'Localized Infectious Disease'!$J$863</c:f>
              <c:numCache>
                <c:formatCode>General</c:formatCode>
                <c:ptCount val="1"/>
                <c:pt idx="0">
                  <c:v>0</c:v>
                </c:pt>
              </c:numCache>
            </c:numRef>
          </c:yVal>
          <c:smooth val="0"/>
          <c:extLst>
            <c:ext xmlns:c16="http://schemas.microsoft.com/office/drawing/2014/chart" uri="{C3380CC4-5D6E-409C-BE32-E72D297353CC}">
              <c16:uniqueId val="{00000002-7836-4044-840E-1D5450A30591}"/>
            </c:ext>
          </c:extLst>
        </c:ser>
        <c:ser>
          <c:idx val="3"/>
          <c:order val="3"/>
          <c:tx>
            <c:strRef>
              <c:f>'Localized Infectious Disease'!$C$865</c:f>
              <c:strCache>
                <c:ptCount val="1"/>
                <c:pt idx="0">
                  <c:v>Med Materiel Mgmt</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'Localized Infectious Disease'!$J$866</c:f>
              <c:numCache>
                <c:formatCode>General</c:formatCode>
                <c:ptCount val="1"/>
                <c:pt idx="0">
                  <c:v>4</c:v>
                </c:pt>
              </c:numCache>
            </c:numRef>
          </c:xVal>
          <c:yVal>
            <c:numRef>
              <c:f>'Localized Infectious Disease'!$J$867</c:f>
              <c:numCache>
                <c:formatCode>General</c:formatCode>
                <c:ptCount val="1"/>
                <c:pt idx="0">
                  <c:v>0</c:v>
                </c:pt>
              </c:numCache>
            </c:numRef>
          </c:yVal>
          <c:smooth val="0"/>
          <c:extLst>
            <c:ext xmlns:c16="http://schemas.microsoft.com/office/drawing/2014/chart" uri="{C3380CC4-5D6E-409C-BE32-E72D297353CC}">
              <c16:uniqueId val="{00000003-7836-4044-840E-1D5450A30591}"/>
            </c:ext>
          </c:extLst>
        </c:ser>
        <c:ser>
          <c:idx val="4"/>
          <c:order val="4"/>
          <c:tx>
            <c:strRef>
              <c:f>'Localized Infectious Disease'!$C$869</c:f>
              <c:strCache>
                <c:ptCount val="1"/>
                <c:pt idx="0">
                  <c:v>Medical Surge</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'Localized Infectious Disease'!$J$870</c:f>
              <c:numCache>
                <c:formatCode>General</c:formatCode>
                <c:ptCount val="1"/>
                <c:pt idx="0">
                  <c:v>2</c:v>
                </c:pt>
              </c:numCache>
            </c:numRef>
          </c:xVal>
          <c:yVal>
            <c:numRef>
              <c:f>'Localized Infectious Disease'!$J$871</c:f>
              <c:numCache>
                <c:formatCode>General</c:formatCode>
                <c:ptCount val="1"/>
                <c:pt idx="0">
                  <c:v>0</c:v>
                </c:pt>
              </c:numCache>
            </c:numRef>
          </c:yVal>
          <c:smooth val="0"/>
          <c:extLst>
            <c:ext xmlns:c16="http://schemas.microsoft.com/office/drawing/2014/chart" uri="{C3380CC4-5D6E-409C-BE32-E72D297353CC}">
              <c16:uniqueId val="{00000004-7836-4044-840E-1D5450A30591}"/>
            </c:ext>
          </c:extLst>
        </c:ser>
        <c:ser>
          <c:idx val="5"/>
          <c:order val="5"/>
          <c:tx>
            <c:strRef>
              <c:f>'Localized Infectious Disease'!$C$873</c:f>
              <c:strCache>
                <c:ptCount val="1"/>
                <c:pt idx="0">
                  <c:v>Non-Pharm Interv</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'Localized Infectious Disease'!$J$874</c:f>
              <c:numCache>
                <c:formatCode>General</c:formatCode>
                <c:ptCount val="1"/>
                <c:pt idx="0">
                  <c:v>3</c:v>
                </c:pt>
              </c:numCache>
            </c:numRef>
          </c:xVal>
          <c:yVal>
            <c:numRef>
              <c:f>'Localized Infectious Disease'!$J$875</c:f>
              <c:numCache>
                <c:formatCode>General</c:formatCode>
                <c:ptCount val="1"/>
                <c:pt idx="0">
                  <c:v>0</c:v>
                </c:pt>
              </c:numCache>
            </c:numRef>
          </c:yVal>
          <c:smooth val="0"/>
          <c:extLst>
            <c:ext xmlns:c16="http://schemas.microsoft.com/office/drawing/2014/chart" uri="{C3380CC4-5D6E-409C-BE32-E72D297353CC}">
              <c16:uniqueId val="{00000005-7836-4044-840E-1D5450A30591}"/>
            </c:ext>
          </c:extLst>
        </c:ser>
        <c:ser>
          <c:idx val="6"/>
          <c:order val="6"/>
          <c:tx>
            <c:strRef>
              <c:f>'Localized Infectious Disease'!$C$877</c:f>
              <c:strCache>
                <c:ptCount val="1"/>
                <c:pt idx="0">
                  <c:v>PH Lab Testing</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'Localized Infectious Disease'!$J$878</c:f>
              <c:numCache>
                <c:formatCode>General</c:formatCode>
                <c:ptCount val="1"/>
                <c:pt idx="0">
                  <c:v>4</c:v>
                </c:pt>
              </c:numCache>
            </c:numRef>
          </c:xVal>
          <c:yVal>
            <c:numRef>
              <c:f>'Localized Infectious Disease'!$J$879</c:f>
              <c:numCache>
                <c:formatCode>General</c:formatCode>
                <c:ptCount val="1"/>
                <c:pt idx="0">
                  <c:v>0</c:v>
                </c:pt>
              </c:numCache>
            </c:numRef>
          </c:yVal>
          <c:smooth val="0"/>
          <c:extLst>
            <c:ext xmlns:c16="http://schemas.microsoft.com/office/drawing/2014/chart" uri="{C3380CC4-5D6E-409C-BE32-E72D297353CC}">
              <c16:uniqueId val="{00000006-7836-4044-840E-1D5450A30591}"/>
            </c:ext>
          </c:extLst>
        </c:ser>
        <c:ser>
          <c:idx val="7"/>
          <c:order val="7"/>
          <c:tx>
            <c:strRef>
              <c:f>'Localized Infectious Disease'!$C$881</c:f>
              <c:strCache>
                <c:ptCount val="1"/>
                <c:pt idx="0">
                  <c:v>PH Surv &amp; Epi</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'Localized Infectious Disease'!$J$882</c:f>
              <c:numCache>
                <c:formatCode>General</c:formatCode>
                <c:ptCount val="1"/>
                <c:pt idx="0">
                  <c:v>4</c:v>
                </c:pt>
              </c:numCache>
            </c:numRef>
          </c:xVal>
          <c:yVal>
            <c:numRef>
              <c:f>'Localized Infectious Disease'!$J$883</c:f>
              <c:numCache>
                <c:formatCode>General</c:formatCode>
                <c:ptCount val="1"/>
                <c:pt idx="0">
                  <c:v>0</c:v>
                </c:pt>
              </c:numCache>
            </c:numRef>
          </c:yVal>
          <c:smooth val="0"/>
          <c:extLst>
            <c:ext xmlns:c16="http://schemas.microsoft.com/office/drawing/2014/chart" uri="{C3380CC4-5D6E-409C-BE32-E72D297353CC}">
              <c16:uniqueId val="{00000007-7836-4044-840E-1D5450A30591}"/>
            </c:ext>
          </c:extLst>
        </c:ser>
        <c:ser>
          <c:idx val="8"/>
          <c:order val="8"/>
          <c:tx>
            <c:strRef>
              <c:f>'Localized Infectious Disease'!$C$885</c:f>
              <c:strCache>
                <c:ptCount val="1"/>
                <c:pt idx="0">
                  <c:v>Responder Safety</c:v>
                </c:pt>
              </c:strCache>
            </c:strRef>
          </c:tx>
          <c:spPr>
            <a:ln w="66675">
              <a:noFill/>
            </a:ln>
          </c:spPr>
          <c:dLbls>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'Localized Infectious Disease'!$J$886</c:f>
              <c:numCache>
                <c:formatCode>General</c:formatCode>
                <c:ptCount val="1"/>
                <c:pt idx="0">
                  <c:v>4</c:v>
                </c:pt>
              </c:numCache>
            </c:numRef>
          </c:xVal>
          <c:yVal>
            <c:numRef>
              <c:f>'Localized Infectious Disease'!$J$887</c:f>
              <c:numCache>
                <c:formatCode>General</c:formatCode>
                <c:ptCount val="1"/>
                <c:pt idx="0">
                  <c:v>0</c:v>
                </c:pt>
              </c:numCache>
            </c:numRef>
          </c:yVal>
          <c:smooth val="0"/>
          <c:extLst>
            <c:ext xmlns:c16="http://schemas.microsoft.com/office/drawing/2014/chart" uri="{C3380CC4-5D6E-409C-BE32-E72D297353CC}">
              <c16:uniqueId val="{00000008-7836-4044-840E-1D5450A30591}"/>
            </c:ext>
          </c:extLst>
        </c:ser>
        <c:ser>
          <c:idx val="9"/>
          <c:order val="9"/>
          <c:tx>
            <c:strRef>
              <c:f>'Localized Infectious Disease'!$C$889</c:f>
              <c:strCache>
                <c:ptCount val="1"/>
                <c:pt idx="0">
                  <c:v>Volunteer Mgmt</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'Localized Infectious Disease'!$J$890</c:f>
              <c:numCache>
                <c:formatCode>General</c:formatCode>
                <c:ptCount val="1"/>
                <c:pt idx="0">
                  <c:v>2</c:v>
                </c:pt>
              </c:numCache>
            </c:numRef>
          </c:xVal>
          <c:yVal>
            <c:numRef>
              <c:f>'Localized Infectious Disease'!$J$891</c:f>
              <c:numCache>
                <c:formatCode>General</c:formatCode>
                <c:ptCount val="1"/>
                <c:pt idx="0">
                  <c:v>0</c:v>
                </c:pt>
              </c:numCache>
            </c:numRef>
          </c:yVal>
          <c:smooth val="0"/>
          <c:extLst>
            <c:ext xmlns:c16="http://schemas.microsoft.com/office/drawing/2014/chart" uri="{C3380CC4-5D6E-409C-BE32-E72D297353CC}">
              <c16:uniqueId val="{00000009-7836-4044-840E-1D5450A30591}"/>
            </c:ext>
          </c:extLst>
        </c:ser>
        <c:ser>
          <c:idx val="10"/>
          <c:order val="10"/>
          <c:tx>
            <c:strRef>
              <c:f>'Localized Infectious Disease'!$C$833</c:f>
              <c:strCache>
                <c:ptCount val="1"/>
                <c:pt idx="0">
                  <c:v>Community Prep</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'Localized Infectious Disease'!$J$834</c:f>
              <c:numCache>
                <c:formatCode>General</c:formatCode>
                <c:ptCount val="1"/>
                <c:pt idx="0">
                  <c:v>4</c:v>
                </c:pt>
              </c:numCache>
            </c:numRef>
          </c:xVal>
          <c:yVal>
            <c:numRef>
              <c:f>'Localized Infectious Disease'!$J$835</c:f>
              <c:numCache>
                <c:formatCode>General</c:formatCode>
                <c:ptCount val="1"/>
                <c:pt idx="0">
                  <c:v>0</c:v>
                </c:pt>
              </c:numCache>
            </c:numRef>
          </c:yVal>
          <c:smooth val="0"/>
          <c:extLst>
            <c:ext xmlns:c16="http://schemas.microsoft.com/office/drawing/2014/chart" uri="{C3380CC4-5D6E-409C-BE32-E72D297353CC}">
              <c16:uniqueId val="{0000000A-7836-4044-840E-1D5450A30591}"/>
            </c:ext>
          </c:extLst>
        </c:ser>
        <c:ser>
          <c:idx val="11"/>
          <c:order val="11"/>
          <c:tx>
            <c:strRef>
              <c:f>'Localized Infectious Disease'!$C$837</c:f>
              <c:strCache>
                <c:ptCount val="1"/>
                <c:pt idx="0">
                  <c:v>Community Recov</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'Localized Infectious Disease'!$J$838</c:f>
              <c:numCache>
                <c:formatCode>General</c:formatCode>
                <c:ptCount val="1"/>
                <c:pt idx="0">
                  <c:v>2</c:v>
                </c:pt>
              </c:numCache>
            </c:numRef>
          </c:xVal>
          <c:yVal>
            <c:numRef>
              <c:f>'Localized Infectious Disease'!$J$839</c:f>
              <c:numCache>
                <c:formatCode>General</c:formatCode>
                <c:ptCount val="1"/>
                <c:pt idx="0">
                  <c:v>0</c:v>
                </c:pt>
              </c:numCache>
            </c:numRef>
          </c:yVal>
          <c:smooth val="0"/>
          <c:extLst>
            <c:ext xmlns:c16="http://schemas.microsoft.com/office/drawing/2014/chart" uri="{C3380CC4-5D6E-409C-BE32-E72D297353CC}">
              <c16:uniqueId val="{0000000B-7836-4044-840E-1D5450A30591}"/>
            </c:ext>
          </c:extLst>
        </c:ser>
        <c:ser>
          <c:idx val="12"/>
          <c:order val="12"/>
          <c:tx>
            <c:strRef>
              <c:f>'Localized Infectious Disease'!$C$841</c:f>
              <c:strCache>
                <c:ptCount val="1"/>
                <c:pt idx="0">
                  <c:v>Emerg Ops Coord</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'Localized Infectious Disease'!$J$842</c:f>
              <c:numCache>
                <c:formatCode>General</c:formatCode>
                <c:ptCount val="1"/>
                <c:pt idx="0">
                  <c:v>4</c:v>
                </c:pt>
              </c:numCache>
            </c:numRef>
          </c:xVal>
          <c:yVal>
            <c:numRef>
              <c:f>'Localized Infectious Disease'!$J$843</c:f>
              <c:numCache>
                <c:formatCode>General</c:formatCode>
                <c:ptCount val="1"/>
                <c:pt idx="0">
                  <c:v>0</c:v>
                </c:pt>
              </c:numCache>
            </c:numRef>
          </c:yVal>
          <c:smooth val="0"/>
          <c:extLst>
            <c:ext xmlns:c16="http://schemas.microsoft.com/office/drawing/2014/chart" uri="{C3380CC4-5D6E-409C-BE32-E72D297353CC}">
              <c16:uniqueId val="{0000000C-7836-4044-840E-1D5450A30591}"/>
            </c:ext>
          </c:extLst>
        </c:ser>
        <c:ser>
          <c:idx val="13"/>
          <c:order val="13"/>
          <c:tx>
            <c:strRef>
              <c:f>'Localized Infectious Disease'!$C$845</c:f>
              <c:strCache>
                <c:ptCount val="1"/>
                <c:pt idx="0">
                  <c:v>Emerg Public Info</c:v>
                </c:pt>
              </c:strCache>
            </c:strRef>
          </c:tx>
          <c:spPr>
            <a:ln w="66675">
              <a:noFill/>
            </a:ln>
          </c:spPr>
          <c:dLbls>
            <c:spPr>
              <a:noFill/>
              <a:ln>
                <a:noFill/>
              </a:ln>
              <a:effectLst/>
            </c:sp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'Localized Infectious Disease'!$J$846</c:f>
              <c:numCache>
                <c:formatCode>General</c:formatCode>
                <c:ptCount val="1"/>
                <c:pt idx="0">
                  <c:v>4</c:v>
                </c:pt>
              </c:numCache>
            </c:numRef>
          </c:xVal>
          <c:yVal>
            <c:numRef>
              <c:f>'Localized Infectious Disease'!$J$847</c:f>
              <c:numCache>
                <c:formatCode>General</c:formatCode>
                <c:ptCount val="1"/>
                <c:pt idx="0">
                  <c:v>0</c:v>
                </c:pt>
              </c:numCache>
            </c:numRef>
          </c:yVal>
          <c:smooth val="0"/>
          <c:extLst>
            <c:ext xmlns:c16="http://schemas.microsoft.com/office/drawing/2014/chart" uri="{C3380CC4-5D6E-409C-BE32-E72D297353CC}">
              <c16:uniqueId val="{0000000D-7836-4044-840E-1D5450A30591}"/>
            </c:ext>
          </c:extLst>
        </c:ser>
        <c:ser>
          <c:idx val="14"/>
          <c:order val="14"/>
          <c:tx>
            <c:strRef>
              <c:f>'Localized Infectious Disease'!$C$964</c:f>
              <c:strCache>
                <c:ptCount val="1"/>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'Localized Infectious Disease'!$J$965</c:f>
            </c:numRef>
          </c:xVal>
          <c:yVal>
            <c:numRef>
              <c:f>'Localized Infectious Disease'!$J$966</c:f>
            </c:numRef>
          </c:yVal>
          <c:smooth val="0"/>
          <c:extLst>
            <c:ext xmlns:c16="http://schemas.microsoft.com/office/drawing/2014/chart" uri="{C3380CC4-5D6E-409C-BE32-E72D297353CC}">
              <c16:uniqueId val="{0000000E-7836-4044-840E-1D5450A30591}"/>
            </c:ext>
          </c:extLst>
        </c:ser>
        <c:ser>
          <c:idx val="15"/>
          <c:order val="15"/>
          <c:tx>
            <c:strRef>
              <c:f>'Localized Infectious Disease'!$C$849</c:f>
              <c:strCache>
                <c:ptCount val="1"/>
                <c:pt idx="0">
                  <c:v>Fatality Mgmt</c:v>
                </c:pt>
              </c:strCache>
            </c:strRef>
          </c:tx>
          <c:spPr>
            <a:ln w="66675">
              <a:noFill/>
            </a:ln>
          </c:spP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F-7836-4044-840E-1D5450A3059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'Localized Infectious Disease'!$J$850</c:f>
              <c:numCache>
                <c:formatCode>General</c:formatCode>
                <c:ptCount val="1"/>
                <c:pt idx="0">
                  <c:v>2</c:v>
                </c:pt>
              </c:numCache>
            </c:numRef>
          </c:xVal>
          <c:yVal>
            <c:numRef>
              <c:f>'Localized Infectious Disease'!$J$851</c:f>
              <c:numCache>
                <c:formatCode>General</c:formatCode>
                <c:ptCount val="1"/>
                <c:pt idx="0">
                  <c:v>0</c:v>
                </c:pt>
              </c:numCache>
            </c:numRef>
          </c:yVal>
          <c:smooth val="0"/>
          <c:extLst>
            <c:ext xmlns:c16="http://schemas.microsoft.com/office/drawing/2014/chart" uri="{C3380CC4-5D6E-409C-BE32-E72D297353CC}">
              <c16:uniqueId val="{00000010-7836-4044-840E-1D5450A30591}"/>
            </c:ext>
          </c:extLst>
        </c:ser>
        <c:dLbls>
          <c:showLegendKey val="0"/>
          <c:showVal val="1"/>
          <c:showCatName val="0"/>
          <c:showSerName val="0"/>
          <c:showPercent val="0"/>
          <c:showBubbleSize val="0"/>
        </c:dLbls>
        <c:axId val="198939776"/>
        <c:axId val="198941696"/>
      </c:scatterChart>
      <c:valAx>
        <c:axId val="198939776"/>
        <c:scaling>
          <c:orientation val="minMax"/>
          <c:max val="4.5"/>
          <c:min val="0"/>
        </c:scaling>
        <c:delete val="0"/>
        <c:axPos val="b"/>
        <c:majorGridlines/>
        <c:title>
          <c:tx>
            <c:rich>
              <a:bodyPr/>
              <a:lstStyle/>
              <a:p>
                <a:pPr>
                  <a:defRPr b="0">
                    <a:latin typeface="+mj-lt"/>
                  </a:defRPr>
                </a:pPr>
                <a:r>
                  <a:rPr lang="en-US" sz="1600" b="0">
                    <a:latin typeface="+mj-lt"/>
                  </a:rPr>
                  <a:t>Capability Relevance to Hazard</a:t>
                </a:r>
              </a:p>
            </c:rich>
          </c:tx>
          <c:overlay val="0"/>
        </c:title>
        <c:numFmt formatCode="General" sourceLinked="1"/>
        <c:majorTickMark val="out"/>
        <c:minorTickMark val="none"/>
        <c:tickLblPos val="nextTo"/>
        <c:spPr>
          <a:ln>
            <a:solidFill>
              <a:schemeClr val="tx1"/>
            </a:solidFill>
          </a:ln>
        </c:spPr>
        <c:crossAx val="198941696"/>
        <c:crosses val="autoZero"/>
        <c:crossBetween val="midCat"/>
        <c:majorUnit val="1"/>
        <c:minorUnit val="0.1"/>
      </c:valAx>
      <c:valAx>
        <c:axId val="198941696"/>
        <c:scaling>
          <c:orientation val="minMax"/>
          <c:max val="4.5"/>
          <c:min val="0"/>
        </c:scaling>
        <c:delete val="0"/>
        <c:axPos val="l"/>
        <c:majorGridlines/>
        <c:title>
          <c:tx>
            <c:rich>
              <a:bodyPr rot="-5400000" vert="horz"/>
              <a:lstStyle/>
              <a:p>
                <a:pPr>
                  <a:defRPr sz="1600" b="0">
                    <a:latin typeface="+mj-lt"/>
                  </a:defRPr>
                </a:pPr>
                <a:r>
                  <a:rPr lang="en-US" sz="1600" b="0">
                    <a:latin typeface="+mj-lt"/>
                  </a:rPr>
                  <a:t>Capability Status</a:t>
                </a:r>
              </a:p>
            </c:rich>
          </c:tx>
          <c:overlay val="0"/>
        </c:title>
        <c:numFmt formatCode="General" sourceLinked="1"/>
        <c:majorTickMark val="out"/>
        <c:minorTickMark val="none"/>
        <c:tickLblPos val="nextTo"/>
        <c:spPr>
          <a:ln>
            <a:solidFill>
              <a:schemeClr val="tx1"/>
            </a:solidFill>
          </a:ln>
        </c:spPr>
        <c:crossAx val="198939776"/>
        <c:crosses val="autoZero"/>
        <c:crossBetween val="midCat"/>
        <c:majorUnit val="1"/>
        <c:minorUnit val="0.1"/>
      </c:valAx>
      <c:spPr>
        <a:gradFill flip="none" rotWithShape="1">
          <a:gsLst>
            <a:gs pos="0">
              <a:srgbClr val="63BE7B"/>
            </a:gs>
            <a:gs pos="50000">
              <a:srgbClr val="FFEB84"/>
            </a:gs>
            <a:gs pos="100000">
              <a:srgbClr val="F8696B"/>
            </a:gs>
          </a:gsLst>
          <a:lin ang="27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defRPr b="0" u="sng">
                <a:latin typeface="+mj-lt"/>
              </a:defRPr>
            </a:pPr>
            <a:r>
              <a:rPr lang="en-US" b="0" u="sng">
                <a:latin typeface="+mj-lt"/>
              </a:rPr>
              <a:t>Healthcare Preparedness</a:t>
            </a:r>
          </a:p>
        </c:rich>
      </c:tx>
      <c:layout>
        <c:manualLayout>
          <c:xMode val="edge"/>
          <c:yMode val="edge"/>
          <c:x val="0.38518846145632757"/>
          <c:y val="1.3244983721297133E-2"/>
        </c:manualLayout>
      </c:layout>
      <c:overlay val="0"/>
    </c:title>
    <c:autoTitleDeleted val="0"/>
    <c:plotArea>
      <c:layout/>
      <c:scatterChart>
        <c:scatterStyle val="lineMarker"/>
        <c:varyColors val="0"/>
        <c:ser>
          <c:idx val="0"/>
          <c:order val="0"/>
          <c:tx>
            <c:strRef>
              <c:f>'Localized Infectious Disease'!$C$903</c:f>
              <c:strCache>
                <c:ptCount val="1"/>
                <c:pt idx="0">
                  <c:v>HC System Prep</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'Localized Infectious Disease'!$J$904</c:f>
              <c:numCache>
                <c:formatCode>General</c:formatCode>
                <c:ptCount val="1"/>
                <c:pt idx="0">
                  <c:v>3</c:v>
                </c:pt>
              </c:numCache>
            </c:numRef>
          </c:xVal>
          <c:yVal>
            <c:numRef>
              <c:f>'Localized Infectious Disease'!$J$905</c:f>
              <c:numCache>
                <c:formatCode>General</c:formatCode>
                <c:ptCount val="1"/>
                <c:pt idx="0">
                  <c:v>0</c:v>
                </c:pt>
              </c:numCache>
            </c:numRef>
          </c:yVal>
          <c:smooth val="0"/>
          <c:extLst>
            <c:ext xmlns:c16="http://schemas.microsoft.com/office/drawing/2014/chart" uri="{C3380CC4-5D6E-409C-BE32-E72D297353CC}">
              <c16:uniqueId val="{00000000-DE7B-44DD-B3F7-1696E26FF976}"/>
            </c:ext>
          </c:extLst>
        </c:ser>
        <c:ser>
          <c:idx val="1"/>
          <c:order val="1"/>
          <c:tx>
            <c:strRef>
              <c:f>'Localized Infectious Disease'!$C$907</c:f>
              <c:strCache>
                <c:ptCount val="1"/>
                <c:pt idx="0">
                  <c:v>HC System Recov</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'Localized Infectious Disease'!$J$908</c:f>
              <c:numCache>
                <c:formatCode>General</c:formatCode>
                <c:ptCount val="1"/>
                <c:pt idx="0">
                  <c:v>2</c:v>
                </c:pt>
              </c:numCache>
            </c:numRef>
          </c:xVal>
          <c:yVal>
            <c:numRef>
              <c:f>'Localized Infectious Disease'!$J$909</c:f>
              <c:numCache>
                <c:formatCode>General</c:formatCode>
                <c:ptCount val="1"/>
                <c:pt idx="0">
                  <c:v>0</c:v>
                </c:pt>
              </c:numCache>
            </c:numRef>
          </c:yVal>
          <c:smooth val="0"/>
          <c:extLst>
            <c:ext xmlns:c16="http://schemas.microsoft.com/office/drawing/2014/chart" uri="{C3380CC4-5D6E-409C-BE32-E72D297353CC}">
              <c16:uniqueId val="{00000001-DE7B-44DD-B3F7-1696E26FF976}"/>
            </c:ext>
          </c:extLst>
        </c:ser>
        <c:ser>
          <c:idx val="2"/>
          <c:order val="2"/>
          <c:tx>
            <c:strRef>
              <c:f>'Localized Infectious Disease'!$C$911</c:f>
              <c:strCache>
                <c:ptCount val="1"/>
                <c:pt idx="0">
                  <c:v>Emerg Ops Coord</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'Localized Infectious Disease'!$J$912</c:f>
              <c:numCache>
                <c:formatCode>General</c:formatCode>
                <c:ptCount val="1"/>
                <c:pt idx="0">
                  <c:v>4</c:v>
                </c:pt>
              </c:numCache>
            </c:numRef>
          </c:xVal>
          <c:yVal>
            <c:numRef>
              <c:f>'Localized Infectious Disease'!$J$913</c:f>
              <c:numCache>
                <c:formatCode>General</c:formatCode>
                <c:ptCount val="1"/>
                <c:pt idx="0">
                  <c:v>0</c:v>
                </c:pt>
              </c:numCache>
            </c:numRef>
          </c:yVal>
          <c:smooth val="0"/>
          <c:extLst>
            <c:ext xmlns:c16="http://schemas.microsoft.com/office/drawing/2014/chart" uri="{C3380CC4-5D6E-409C-BE32-E72D297353CC}">
              <c16:uniqueId val="{00000002-DE7B-44DD-B3F7-1696E26FF976}"/>
            </c:ext>
          </c:extLst>
        </c:ser>
        <c:ser>
          <c:idx val="3"/>
          <c:order val="3"/>
          <c:tx>
            <c:strRef>
              <c:f>'Localized Infectious Disease'!$C$915</c:f>
              <c:strCache>
                <c:ptCount val="1"/>
                <c:pt idx="0">
                  <c:v>Fatality Mgmt</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'Localized Infectious Disease'!$J$916</c:f>
              <c:numCache>
                <c:formatCode>General</c:formatCode>
                <c:ptCount val="1"/>
                <c:pt idx="0">
                  <c:v>3</c:v>
                </c:pt>
              </c:numCache>
            </c:numRef>
          </c:xVal>
          <c:yVal>
            <c:numRef>
              <c:f>'Localized Infectious Disease'!$J$917</c:f>
              <c:numCache>
                <c:formatCode>General</c:formatCode>
                <c:ptCount val="1"/>
                <c:pt idx="0">
                  <c:v>0</c:v>
                </c:pt>
              </c:numCache>
            </c:numRef>
          </c:yVal>
          <c:smooth val="0"/>
          <c:extLst>
            <c:ext xmlns:c16="http://schemas.microsoft.com/office/drawing/2014/chart" uri="{C3380CC4-5D6E-409C-BE32-E72D297353CC}">
              <c16:uniqueId val="{00000003-DE7B-44DD-B3F7-1696E26FF976}"/>
            </c:ext>
          </c:extLst>
        </c:ser>
        <c:ser>
          <c:idx val="4"/>
          <c:order val="4"/>
          <c:tx>
            <c:strRef>
              <c:f>'Localized Infectious Disease'!$C$919</c:f>
              <c:strCache>
                <c:ptCount val="1"/>
                <c:pt idx="0">
                  <c:v>Info Sharing</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'Localized Infectious Disease'!$J$920</c:f>
              <c:numCache>
                <c:formatCode>General</c:formatCode>
                <c:ptCount val="1"/>
                <c:pt idx="0">
                  <c:v>4</c:v>
                </c:pt>
              </c:numCache>
            </c:numRef>
          </c:xVal>
          <c:yVal>
            <c:numRef>
              <c:f>'Localized Infectious Disease'!$J$921</c:f>
              <c:numCache>
                <c:formatCode>General</c:formatCode>
                <c:ptCount val="1"/>
                <c:pt idx="0">
                  <c:v>0</c:v>
                </c:pt>
              </c:numCache>
            </c:numRef>
          </c:yVal>
          <c:smooth val="0"/>
          <c:extLst>
            <c:ext xmlns:c16="http://schemas.microsoft.com/office/drawing/2014/chart" uri="{C3380CC4-5D6E-409C-BE32-E72D297353CC}">
              <c16:uniqueId val="{00000004-DE7B-44DD-B3F7-1696E26FF976}"/>
            </c:ext>
          </c:extLst>
        </c:ser>
        <c:ser>
          <c:idx val="5"/>
          <c:order val="5"/>
          <c:tx>
            <c:strRef>
              <c:f>'Localized Infectious Disease'!$C$923</c:f>
              <c:strCache>
                <c:ptCount val="1"/>
                <c:pt idx="0">
                  <c:v>Medical Surge</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'Localized Infectious Disease'!$J$924</c:f>
              <c:numCache>
                <c:formatCode>General</c:formatCode>
                <c:ptCount val="1"/>
                <c:pt idx="0">
                  <c:v>2</c:v>
                </c:pt>
              </c:numCache>
            </c:numRef>
          </c:xVal>
          <c:yVal>
            <c:numRef>
              <c:f>'Localized Infectious Disease'!$J$925</c:f>
              <c:numCache>
                <c:formatCode>General</c:formatCode>
                <c:ptCount val="1"/>
                <c:pt idx="0">
                  <c:v>0</c:v>
                </c:pt>
              </c:numCache>
            </c:numRef>
          </c:yVal>
          <c:smooth val="0"/>
          <c:extLst>
            <c:ext xmlns:c16="http://schemas.microsoft.com/office/drawing/2014/chart" uri="{C3380CC4-5D6E-409C-BE32-E72D297353CC}">
              <c16:uniqueId val="{00000005-DE7B-44DD-B3F7-1696E26FF976}"/>
            </c:ext>
          </c:extLst>
        </c:ser>
        <c:ser>
          <c:idx val="6"/>
          <c:order val="6"/>
          <c:tx>
            <c:strRef>
              <c:f>'Localized Infectious Disease'!$C$927</c:f>
              <c:strCache>
                <c:ptCount val="1"/>
                <c:pt idx="0">
                  <c:v>Responder Safety</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'Localized Infectious Disease'!$J$928</c:f>
              <c:numCache>
                <c:formatCode>General</c:formatCode>
                <c:ptCount val="1"/>
                <c:pt idx="0">
                  <c:v>4</c:v>
                </c:pt>
              </c:numCache>
            </c:numRef>
          </c:xVal>
          <c:yVal>
            <c:numRef>
              <c:f>'Localized Infectious Disease'!$J$929</c:f>
              <c:numCache>
                <c:formatCode>General</c:formatCode>
                <c:ptCount val="1"/>
                <c:pt idx="0">
                  <c:v>0</c:v>
                </c:pt>
              </c:numCache>
            </c:numRef>
          </c:yVal>
          <c:smooth val="0"/>
          <c:extLst>
            <c:ext xmlns:c16="http://schemas.microsoft.com/office/drawing/2014/chart" uri="{C3380CC4-5D6E-409C-BE32-E72D297353CC}">
              <c16:uniqueId val="{00000006-DE7B-44DD-B3F7-1696E26FF976}"/>
            </c:ext>
          </c:extLst>
        </c:ser>
        <c:ser>
          <c:idx val="7"/>
          <c:order val="7"/>
          <c:tx>
            <c:strRef>
              <c:f>'Localized Infectious Disease'!$C$931</c:f>
              <c:strCache>
                <c:ptCount val="1"/>
                <c:pt idx="0">
                  <c:v>Volunteer Mgmt</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'Localized Infectious Disease'!$J$932</c:f>
              <c:numCache>
                <c:formatCode>General</c:formatCode>
                <c:ptCount val="1"/>
                <c:pt idx="0">
                  <c:v>3</c:v>
                </c:pt>
              </c:numCache>
            </c:numRef>
          </c:xVal>
          <c:yVal>
            <c:numRef>
              <c:f>'Localized Infectious Disease'!$J$933</c:f>
              <c:numCache>
                <c:formatCode>General</c:formatCode>
                <c:ptCount val="1"/>
                <c:pt idx="0">
                  <c:v>0</c:v>
                </c:pt>
              </c:numCache>
            </c:numRef>
          </c:yVal>
          <c:smooth val="0"/>
          <c:extLst>
            <c:ext xmlns:c16="http://schemas.microsoft.com/office/drawing/2014/chart" uri="{C3380CC4-5D6E-409C-BE32-E72D297353CC}">
              <c16:uniqueId val="{00000007-DE7B-44DD-B3F7-1696E26FF976}"/>
            </c:ext>
          </c:extLst>
        </c:ser>
        <c:ser>
          <c:idx val="14"/>
          <c:order val="8"/>
          <c:tx>
            <c:strRef>
              <c:f>'Localized Infectious Disease'!$C$964</c:f>
              <c:strCache>
                <c:ptCount val="1"/>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'Localized Infectious Disease'!$J$965</c:f>
            </c:numRef>
          </c:xVal>
          <c:yVal>
            <c:numRef>
              <c:f>'Localized Infectious Disease'!$J$966</c:f>
            </c:numRef>
          </c:yVal>
          <c:smooth val="0"/>
          <c:extLst>
            <c:ext xmlns:c16="http://schemas.microsoft.com/office/drawing/2014/chart" uri="{C3380CC4-5D6E-409C-BE32-E72D297353CC}">
              <c16:uniqueId val="{00000008-DE7B-44DD-B3F7-1696E26FF976}"/>
            </c:ext>
          </c:extLst>
        </c:ser>
        <c:dLbls>
          <c:showLegendKey val="0"/>
          <c:showVal val="1"/>
          <c:showCatName val="0"/>
          <c:showSerName val="0"/>
          <c:showPercent val="0"/>
          <c:showBubbleSize val="0"/>
        </c:dLbls>
        <c:axId val="199235456"/>
        <c:axId val="199258112"/>
      </c:scatterChart>
      <c:valAx>
        <c:axId val="199235456"/>
        <c:scaling>
          <c:orientation val="minMax"/>
          <c:max val="4.5"/>
          <c:min val="0"/>
        </c:scaling>
        <c:delete val="0"/>
        <c:axPos val="b"/>
        <c:majorGridlines/>
        <c:title>
          <c:tx>
            <c:rich>
              <a:bodyPr/>
              <a:lstStyle/>
              <a:p>
                <a:pPr>
                  <a:defRPr b="0">
                    <a:latin typeface="+mj-lt"/>
                  </a:defRPr>
                </a:pPr>
                <a:r>
                  <a:rPr lang="en-US" sz="1600" b="0">
                    <a:latin typeface="+mj-lt"/>
                  </a:rPr>
                  <a:t>Capability Relevance to Hazard</a:t>
                </a:r>
              </a:p>
            </c:rich>
          </c:tx>
          <c:overlay val="0"/>
        </c:title>
        <c:numFmt formatCode="General" sourceLinked="1"/>
        <c:majorTickMark val="out"/>
        <c:minorTickMark val="none"/>
        <c:tickLblPos val="nextTo"/>
        <c:spPr>
          <a:ln>
            <a:solidFill>
              <a:schemeClr val="tx1"/>
            </a:solidFill>
          </a:ln>
        </c:spPr>
        <c:crossAx val="199258112"/>
        <c:crosses val="autoZero"/>
        <c:crossBetween val="midCat"/>
        <c:majorUnit val="1"/>
        <c:minorUnit val="0.1"/>
      </c:valAx>
      <c:valAx>
        <c:axId val="199258112"/>
        <c:scaling>
          <c:orientation val="minMax"/>
          <c:max val="4.5"/>
          <c:min val="0"/>
        </c:scaling>
        <c:delete val="0"/>
        <c:axPos val="l"/>
        <c:majorGridlines/>
        <c:title>
          <c:tx>
            <c:rich>
              <a:bodyPr rot="-5400000" vert="horz"/>
              <a:lstStyle/>
              <a:p>
                <a:pPr>
                  <a:defRPr sz="1600" b="0">
                    <a:latin typeface="+mj-lt"/>
                  </a:defRPr>
                </a:pPr>
                <a:r>
                  <a:rPr lang="en-US" sz="1600" b="0">
                    <a:latin typeface="+mj-lt"/>
                  </a:rPr>
                  <a:t>Capability Status</a:t>
                </a:r>
              </a:p>
            </c:rich>
          </c:tx>
          <c:overlay val="0"/>
        </c:title>
        <c:numFmt formatCode="General" sourceLinked="1"/>
        <c:majorTickMark val="out"/>
        <c:minorTickMark val="none"/>
        <c:tickLblPos val="nextTo"/>
        <c:spPr>
          <a:ln>
            <a:solidFill>
              <a:schemeClr val="tx1"/>
            </a:solidFill>
          </a:ln>
        </c:spPr>
        <c:crossAx val="199235456"/>
        <c:crosses val="autoZero"/>
        <c:crossBetween val="midCat"/>
        <c:majorUnit val="1"/>
        <c:minorUnit val="0.1"/>
      </c:valAx>
      <c:spPr>
        <a:gradFill flip="none" rotWithShape="1">
          <a:gsLst>
            <a:gs pos="0">
              <a:srgbClr val="63BE7B"/>
            </a:gs>
            <a:gs pos="50000">
              <a:srgbClr val="FFEB84"/>
            </a:gs>
            <a:gs pos="100000">
              <a:srgbClr val="F8696B"/>
            </a:gs>
          </a:gsLst>
          <a:lin ang="27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b="0" u="sng">
                <a:latin typeface="+mj-lt"/>
              </a:defRPr>
            </a:pPr>
            <a:r>
              <a:rPr lang="en-US" b="0" u="sng">
                <a:latin typeface="+mj-lt"/>
              </a:rPr>
              <a:t>Risk</a:t>
            </a:r>
          </a:p>
        </c:rich>
      </c:tx>
      <c:layout>
        <c:manualLayout>
          <c:xMode val="edge"/>
          <c:yMode val="edge"/>
          <c:x val="0.44698388001602535"/>
          <c:y val="1.3244983721297133E-2"/>
        </c:manualLayout>
      </c:layout>
      <c:overlay val="0"/>
    </c:title>
    <c:autoTitleDeleted val="0"/>
    <c:plotArea>
      <c:layout/>
      <c:barChart>
        <c:barDir val="col"/>
        <c:grouping val="clustered"/>
        <c:varyColors val="0"/>
        <c:ser>
          <c:idx val="0"/>
          <c:order val="0"/>
          <c:tx>
            <c:v>Public Health System Risk</c:v>
          </c:tx>
          <c:invertIfNegative val="0"/>
          <c:dLbls>
            <c:delete val="1"/>
          </c:dLbls>
          <c:cat>
            <c:strRef>
              <c:f>'Summary of Scores'!$B$8:$B$37</c:f>
              <c:strCache>
                <c:ptCount val="20"/>
                <c:pt idx="0">
                  <c:v>Active Shooter</c:v>
                </c:pt>
                <c:pt idx="1">
                  <c:v>Bio Terrorism</c:v>
                </c:pt>
                <c:pt idx="2">
                  <c:v>Chem Terrorism</c:v>
                </c:pt>
                <c:pt idx="3">
                  <c:v>Civil Disturbance</c:v>
                </c:pt>
                <c:pt idx="4">
                  <c:v>Coastal Storm</c:v>
                </c:pt>
                <c:pt idx="5">
                  <c:v>Conv Explosive</c:v>
                </c:pt>
                <c:pt idx="6">
                  <c:v>Cyber Terrorism</c:v>
                </c:pt>
                <c:pt idx="7">
                  <c:v>Drought</c:v>
                </c:pt>
                <c:pt idx="8">
                  <c:v>Earthquake</c:v>
                </c:pt>
                <c:pt idx="9">
                  <c:v>Flood</c:v>
                </c:pt>
                <c:pt idx="10">
                  <c:v>HazMat Release</c:v>
                </c:pt>
                <c:pt idx="11">
                  <c:v>Localized ID</c:v>
                </c:pt>
                <c:pt idx="12">
                  <c:v>Nuclear Facility</c:v>
                </c:pt>
                <c:pt idx="13">
                  <c:v>Pandemic</c:v>
                </c:pt>
                <c:pt idx="14">
                  <c:v>RDD</c:v>
                </c:pt>
                <c:pt idx="15">
                  <c:v>Temp Extremes</c:v>
                </c:pt>
                <c:pt idx="16">
                  <c:v>Tornado</c:v>
                </c:pt>
                <c:pt idx="17">
                  <c:v>Utility Interr</c:v>
                </c:pt>
                <c:pt idx="18">
                  <c:v>Wildfire</c:v>
                </c:pt>
                <c:pt idx="19">
                  <c:v>Winter Storm</c:v>
                </c:pt>
              </c:strCache>
            </c:strRef>
          </c:cat>
          <c:val>
            <c:numRef>
              <c:f>'Summary of Scores'!$G$8:$G$37</c:f>
              <c:numCache>
                <c:formatCode>#,##0.00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0-9C14-4007-BD0C-FDD4D708CF18}"/>
            </c:ext>
          </c:extLst>
        </c:ser>
        <c:ser>
          <c:idx val="1"/>
          <c:order val="1"/>
          <c:tx>
            <c:v>Healthcare System Risk</c:v>
          </c:tx>
          <c:invertIfNegative val="0"/>
          <c:dLbls>
            <c:delete val="1"/>
          </c:dLbls>
          <c:cat>
            <c:strRef>
              <c:f>'Summary of Scores'!$B$8:$B$37</c:f>
              <c:strCache>
                <c:ptCount val="20"/>
                <c:pt idx="0">
                  <c:v>Active Shooter</c:v>
                </c:pt>
                <c:pt idx="1">
                  <c:v>Bio Terrorism</c:v>
                </c:pt>
                <c:pt idx="2">
                  <c:v>Chem Terrorism</c:v>
                </c:pt>
                <c:pt idx="3">
                  <c:v>Civil Disturbance</c:v>
                </c:pt>
                <c:pt idx="4">
                  <c:v>Coastal Storm</c:v>
                </c:pt>
                <c:pt idx="5">
                  <c:v>Conv Explosive</c:v>
                </c:pt>
                <c:pt idx="6">
                  <c:v>Cyber Terrorism</c:v>
                </c:pt>
                <c:pt idx="7">
                  <c:v>Drought</c:v>
                </c:pt>
                <c:pt idx="8">
                  <c:v>Earthquake</c:v>
                </c:pt>
                <c:pt idx="9">
                  <c:v>Flood</c:v>
                </c:pt>
                <c:pt idx="10">
                  <c:v>HazMat Release</c:v>
                </c:pt>
                <c:pt idx="11">
                  <c:v>Localized ID</c:v>
                </c:pt>
                <c:pt idx="12">
                  <c:v>Nuclear Facility</c:v>
                </c:pt>
                <c:pt idx="13">
                  <c:v>Pandemic</c:v>
                </c:pt>
                <c:pt idx="14">
                  <c:v>RDD</c:v>
                </c:pt>
                <c:pt idx="15">
                  <c:v>Temp Extremes</c:v>
                </c:pt>
                <c:pt idx="16">
                  <c:v>Tornado</c:v>
                </c:pt>
                <c:pt idx="17">
                  <c:v>Utility Interr</c:v>
                </c:pt>
                <c:pt idx="18">
                  <c:v>Wildfire</c:v>
                </c:pt>
                <c:pt idx="19">
                  <c:v>Winter Storm</c:v>
                </c:pt>
              </c:strCache>
            </c:strRef>
          </c:cat>
          <c:val>
            <c:numRef>
              <c:f>'Summary of Scores'!$H$8:$H$37</c:f>
              <c:numCache>
                <c:formatCode>#,##0.00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1-9C14-4007-BD0C-FDD4D708CF18}"/>
            </c:ext>
          </c:extLst>
        </c:ser>
        <c:dLbls>
          <c:showLegendKey val="0"/>
          <c:showVal val="1"/>
          <c:showCatName val="0"/>
          <c:showSerName val="0"/>
          <c:showPercent val="0"/>
          <c:showBubbleSize val="0"/>
        </c:dLbls>
        <c:gapWidth val="150"/>
        <c:axId val="149709184"/>
        <c:axId val="149711104"/>
      </c:barChart>
      <c:catAx>
        <c:axId val="149709184"/>
        <c:scaling>
          <c:orientation val="minMax"/>
        </c:scaling>
        <c:delete val="0"/>
        <c:axPos val="b"/>
        <c:title>
          <c:tx>
            <c:rich>
              <a:bodyPr/>
              <a:lstStyle/>
              <a:p>
                <a:pPr>
                  <a:defRPr b="0">
                    <a:latin typeface="+mj-lt"/>
                  </a:defRPr>
                </a:pPr>
                <a:r>
                  <a:rPr lang="en-US" sz="1600" b="0">
                    <a:latin typeface="+mj-lt"/>
                  </a:rPr>
                  <a:t>Hazard</a:t>
                </a:r>
              </a:p>
            </c:rich>
          </c:tx>
          <c:overlay val="0"/>
        </c:title>
        <c:numFmt formatCode="General" sourceLinked="1"/>
        <c:majorTickMark val="out"/>
        <c:minorTickMark val="none"/>
        <c:tickLblPos val="nextTo"/>
        <c:spPr>
          <a:ln>
            <a:solidFill>
              <a:schemeClr val="tx1"/>
            </a:solidFill>
          </a:ln>
        </c:spPr>
        <c:crossAx val="149711104"/>
        <c:crosses val="autoZero"/>
        <c:auto val="1"/>
        <c:lblAlgn val="ctr"/>
        <c:lblOffset val="100"/>
        <c:noMultiLvlLbl val="0"/>
      </c:catAx>
      <c:valAx>
        <c:axId val="149711104"/>
        <c:scaling>
          <c:orientation val="minMax"/>
        </c:scaling>
        <c:delete val="0"/>
        <c:axPos val="l"/>
        <c:majorGridlines/>
        <c:title>
          <c:tx>
            <c:rich>
              <a:bodyPr rot="-5400000" vert="horz"/>
              <a:lstStyle/>
              <a:p>
                <a:pPr>
                  <a:defRPr sz="1600" b="0">
                    <a:latin typeface="+mj-lt"/>
                  </a:defRPr>
                </a:pPr>
                <a:r>
                  <a:rPr lang="en-US" sz="1600" b="0">
                    <a:latin typeface="+mj-lt"/>
                  </a:rPr>
                  <a:t>Risk</a:t>
                </a:r>
              </a:p>
            </c:rich>
          </c:tx>
          <c:overlay val="0"/>
        </c:title>
        <c:numFmt formatCode="#,##0" sourceLinked="0"/>
        <c:majorTickMark val="out"/>
        <c:minorTickMark val="none"/>
        <c:tickLblPos val="nextTo"/>
        <c:spPr>
          <a:ln>
            <a:solidFill>
              <a:schemeClr val="tx1"/>
            </a:solidFill>
          </a:ln>
        </c:spPr>
        <c:crossAx val="149709184"/>
        <c:crosses val="autoZero"/>
        <c:crossBetween val="between"/>
      </c:valAx>
      <c:spPr>
        <a:gradFill flip="none" rotWithShape="1">
          <a:gsLst>
            <a:gs pos="0">
              <a:srgbClr val="63BE7B"/>
            </a:gs>
            <a:gs pos="50000">
              <a:srgbClr val="FFEB84"/>
            </a:gs>
            <a:gs pos="100000">
              <a:srgbClr val="F8696B"/>
            </a:gs>
          </a:gsLst>
          <a:lin ang="16200000" scaled="1"/>
          <a:tileRect/>
        </a:gradFill>
        <a:ln>
          <a:solidFill>
            <a:schemeClr val="tx1"/>
          </a:solidFill>
        </a:ln>
      </c:spPr>
    </c:plotArea>
    <c:legend>
      <c:legendPos val="r"/>
      <c:layout>
        <c:manualLayout>
          <c:xMode val="edge"/>
          <c:yMode val="edge"/>
          <c:x val="0.1188067003751925"/>
          <c:y val="0.1258121423346672"/>
          <c:w val="0.22896293747869445"/>
          <c:h val="0.13175164579837356"/>
        </c:manualLayout>
      </c:layout>
      <c:overlay val="1"/>
      <c:spPr>
        <a:solidFill>
          <a:schemeClr val="bg1"/>
        </a:solidFill>
        <a:ln>
          <a:solidFill>
            <a:schemeClr val="tx1"/>
          </a:solidFill>
        </a:ln>
      </c:spPr>
    </c:legend>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b="0" u="sng">
                <a:latin typeface="+mj-lt"/>
              </a:defRPr>
            </a:pPr>
            <a:r>
              <a:rPr lang="en-US" b="0" u="sng">
                <a:latin typeface="+mj-lt"/>
              </a:rPr>
              <a:t>Severity</a:t>
            </a:r>
          </a:p>
        </c:rich>
      </c:tx>
      <c:layout>
        <c:manualLayout>
          <c:xMode val="edge"/>
          <c:yMode val="edge"/>
          <c:x val="0.46889233641333816"/>
          <c:y val="1.3244983721297133E-2"/>
        </c:manualLayout>
      </c:layout>
      <c:overlay val="0"/>
    </c:title>
    <c:autoTitleDeleted val="0"/>
    <c:plotArea>
      <c:layout/>
      <c:barChart>
        <c:barDir val="col"/>
        <c:grouping val="clustered"/>
        <c:varyColors val="0"/>
        <c:ser>
          <c:idx val="0"/>
          <c:order val="0"/>
          <c:tx>
            <c:v>Severity</c:v>
          </c:tx>
          <c:spPr>
            <a:solidFill>
              <a:schemeClr val="accent4">
                <a:lumMod val="60000"/>
                <a:lumOff val="40000"/>
              </a:schemeClr>
            </a:solidFill>
            <a:ln>
              <a:solidFill>
                <a:schemeClr val="accent4"/>
              </a:solidFill>
            </a:ln>
            <a:scene3d>
              <a:camera prst="orthographicFront"/>
              <a:lightRig rig="threePt" dir="t"/>
            </a:scene3d>
            <a:sp3d prstMaterial="matte">
              <a:bevelT w="63500" h="50800"/>
            </a:sp3d>
          </c:spPr>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('Active Shooter'!$G$22,'Active Shooter'!$G$137,'Active Shooter'!$G$265,'Active Shooter'!$G$425,'Active Shooter'!$G$543)</c:f>
              <c:strCache>
                <c:ptCount val="5"/>
                <c:pt idx="0">
                  <c:v>Human Impact</c:v>
                </c:pt>
                <c:pt idx="1">
                  <c:v>Healthcare Service Impact</c:v>
                </c:pt>
                <c:pt idx="2">
                  <c:v>Inpatient Healthcare Facility Infrastructure Impact</c:v>
                </c:pt>
                <c:pt idx="3">
                  <c:v>Community Impact</c:v>
                </c:pt>
                <c:pt idx="4">
                  <c:v>Public Health Service Impact</c:v>
                </c:pt>
              </c:strCache>
            </c:strRef>
          </c:cat>
          <c:val>
            <c:numRef>
              <c:f>('Nuclear Facility Accident'!$J$133,'Nuclear Facility Accident'!$J$261,'Nuclear Facility Accident'!$J$421,'Nuclear Facility Accident'!$J$539,'Nuclear Facility Accident'!$J$681)</c:f>
              <c:numCache>
                <c:formatCode>0.00</c:formatCode>
                <c:ptCount val="5"/>
                <c:pt idx="0">
                  <c:v>0</c:v>
                </c:pt>
                <c:pt idx="1">
                  <c:v>0</c:v>
                </c:pt>
                <c:pt idx="2">
                  <c:v>2</c:v>
                </c:pt>
                <c:pt idx="3">
                  <c:v>0.5714285714285714</c:v>
                </c:pt>
                <c:pt idx="4">
                  <c:v>0</c:v>
                </c:pt>
              </c:numCache>
            </c:numRef>
          </c:val>
          <c:extLst>
            <c:ext xmlns:c16="http://schemas.microsoft.com/office/drawing/2014/chart" uri="{C3380CC4-5D6E-409C-BE32-E72D297353CC}">
              <c16:uniqueId val="{00000000-7DC6-4DEE-9B48-988EB764FDBC}"/>
            </c:ext>
          </c:extLst>
        </c:ser>
        <c:dLbls>
          <c:showLegendKey val="0"/>
          <c:showVal val="1"/>
          <c:showCatName val="0"/>
          <c:showSerName val="0"/>
          <c:showPercent val="0"/>
          <c:showBubbleSize val="0"/>
        </c:dLbls>
        <c:gapWidth val="150"/>
        <c:axId val="199269760"/>
        <c:axId val="199374336"/>
      </c:barChart>
      <c:catAx>
        <c:axId val="199269760"/>
        <c:scaling>
          <c:orientation val="minMax"/>
        </c:scaling>
        <c:delete val="0"/>
        <c:axPos val="b"/>
        <c:title>
          <c:tx>
            <c:rich>
              <a:bodyPr/>
              <a:lstStyle/>
              <a:p>
                <a:pPr>
                  <a:defRPr sz="1600" b="0">
                    <a:latin typeface="+mj-lt"/>
                  </a:defRPr>
                </a:pPr>
                <a:r>
                  <a:rPr lang="en-US" sz="1600" b="0">
                    <a:latin typeface="+mj-lt"/>
                  </a:rPr>
                  <a:t>Domain</a:t>
                </a:r>
              </a:p>
            </c:rich>
          </c:tx>
          <c:overlay val="0"/>
        </c:title>
        <c:numFmt formatCode="General" sourceLinked="1"/>
        <c:majorTickMark val="out"/>
        <c:minorTickMark val="none"/>
        <c:tickLblPos val="nextTo"/>
        <c:crossAx val="199374336"/>
        <c:crosses val="autoZero"/>
        <c:auto val="1"/>
        <c:lblAlgn val="ctr"/>
        <c:lblOffset val="100"/>
        <c:noMultiLvlLbl val="0"/>
      </c:catAx>
      <c:valAx>
        <c:axId val="199374336"/>
        <c:scaling>
          <c:orientation val="minMax"/>
          <c:max val="4"/>
        </c:scaling>
        <c:delete val="0"/>
        <c:axPos val="l"/>
        <c:majorGridlines/>
        <c:title>
          <c:tx>
            <c:rich>
              <a:bodyPr rot="-5400000" vert="horz"/>
              <a:lstStyle/>
              <a:p>
                <a:pPr>
                  <a:defRPr sz="1600" b="0">
                    <a:latin typeface="+mj-lt"/>
                  </a:defRPr>
                </a:pPr>
                <a:r>
                  <a:rPr lang="en-US" sz="1600" b="0">
                    <a:latin typeface="+mj-lt"/>
                  </a:rPr>
                  <a:t>Severity</a:t>
                </a:r>
                <a:r>
                  <a:rPr lang="en-US" sz="1600" b="0" baseline="0">
                    <a:latin typeface="+mj-lt"/>
                  </a:rPr>
                  <a:t> Score</a:t>
                </a:r>
                <a:endParaRPr lang="en-US" sz="1600" b="0">
                  <a:latin typeface="+mj-lt"/>
                </a:endParaRPr>
              </a:p>
            </c:rich>
          </c:tx>
          <c:overlay val="0"/>
        </c:title>
        <c:numFmt formatCode="0.00" sourceLinked="1"/>
        <c:majorTickMark val="out"/>
        <c:minorTickMark val="none"/>
        <c:tickLblPos val="nextTo"/>
        <c:crossAx val="199269760"/>
        <c:crosses val="autoZero"/>
        <c:crossBetween val="between"/>
      </c:valAx>
      <c:spPr>
        <a:gradFill flip="none" rotWithShape="1">
          <a:gsLst>
            <a:gs pos="0">
              <a:srgbClr val="63BE7B"/>
            </a:gs>
            <a:gs pos="50000">
              <a:srgbClr val="FFEB84"/>
            </a:gs>
            <a:gs pos="100000">
              <a:srgbClr val="F8696B"/>
            </a:gs>
          </a:gsLst>
          <a:lin ang="162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defRPr b="0" u="sng">
                <a:latin typeface="+mj-lt"/>
              </a:defRPr>
            </a:pPr>
            <a:r>
              <a:rPr lang="en-US" b="0" u="sng">
                <a:latin typeface="+mj-lt"/>
              </a:rPr>
              <a:t>Public Health Preparedness</a:t>
            </a:r>
          </a:p>
        </c:rich>
      </c:tx>
      <c:layout>
        <c:manualLayout>
          <c:xMode val="edge"/>
          <c:yMode val="edge"/>
          <c:x val="0.30532356317913883"/>
          <c:y val="1.3244983721297133E-2"/>
        </c:manualLayout>
      </c:layout>
      <c:overlay val="0"/>
    </c:title>
    <c:autoTitleDeleted val="0"/>
    <c:plotArea>
      <c:layout>
        <c:manualLayout>
          <c:layoutTarget val="inner"/>
          <c:xMode val="edge"/>
          <c:yMode val="edge"/>
          <c:x val="8.2942364546439246E-2"/>
          <c:y val="9.7650416648738581E-2"/>
          <c:w val="0.87850741705614022"/>
          <c:h val="0.77165947152780956"/>
        </c:manualLayout>
      </c:layout>
      <c:scatterChart>
        <c:scatterStyle val="lineMarker"/>
        <c:varyColors val="0"/>
        <c:ser>
          <c:idx val="0"/>
          <c:order val="0"/>
          <c:tx>
            <c:strRef>
              <c:f>'Nuclear Facility Accident'!$C$853</c:f>
              <c:strCache>
                <c:ptCount val="1"/>
                <c:pt idx="0">
                  <c:v>Info Sharing</c:v>
                </c:pt>
              </c:strCache>
            </c:strRef>
          </c:tx>
          <c:spPr>
            <a:ln w="66675">
              <a:noFill/>
            </a:ln>
          </c:spPr>
          <c:dLbls>
            <c:dLbl>
              <c:idx val="0"/>
              <c:layout>
                <c:manualLayout>
                  <c:x val="-1.3101202717512806E-7"/>
                  <c:y val="1.214329083181542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AAAA-4E16-835C-D23BD6820C11}"/>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'Nuclear Facility Accident'!$J$854</c:f>
              <c:numCache>
                <c:formatCode>General</c:formatCode>
                <c:ptCount val="1"/>
                <c:pt idx="0">
                  <c:v>4</c:v>
                </c:pt>
              </c:numCache>
            </c:numRef>
          </c:xVal>
          <c:yVal>
            <c:numRef>
              <c:f>'Nuclear Facility Accident'!$J$855</c:f>
              <c:numCache>
                <c:formatCode>General</c:formatCode>
                <c:ptCount val="1"/>
                <c:pt idx="0">
                  <c:v>0</c:v>
                </c:pt>
              </c:numCache>
            </c:numRef>
          </c:yVal>
          <c:smooth val="0"/>
          <c:extLst>
            <c:ext xmlns:c16="http://schemas.microsoft.com/office/drawing/2014/chart" uri="{C3380CC4-5D6E-409C-BE32-E72D297353CC}">
              <c16:uniqueId val="{00000001-AAAA-4E16-835C-D23BD6820C11}"/>
            </c:ext>
          </c:extLst>
        </c:ser>
        <c:ser>
          <c:idx val="1"/>
          <c:order val="1"/>
          <c:tx>
            <c:strRef>
              <c:f>'Nuclear Facility Accident'!$C$857</c:f>
              <c:strCache>
                <c:ptCount val="1"/>
                <c:pt idx="0">
                  <c:v>Mass Care</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'Nuclear Facility Accident'!$J$858</c:f>
              <c:numCache>
                <c:formatCode>General</c:formatCode>
                <c:ptCount val="1"/>
                <c:pt idx="0">
                  <c:v>4</c:v>
                </c:pt>
              </c:numCache>
            </c:numRef>
          </c:xVal>
          <c:yVal>
            <c:numRef>
              <c:f>'Nuclear Facility Accident'!$J$859</c:f>
              <c:numCache>
                <c:formatCode>General</c:formatCode>
                <c:ptCount val="1"/>
                <c:pt idx="0">
                  <c:v>0</c:v>
                </c:pt>
              </c:numCache>
            </c:numRef>
          </c:yVal>
          <c:smooth val="0"/>
          <c:extLst>
            <c:ext xmlns:c16="http://schemas.microsoft.com/office/drawing/2014/chart" uri="{C3380CC4-5D6E-409C-BE32-E72D297353CC}">
              <c16:uniqueId val="{00000002-AAAA-4E16-835C-D23BD6820C11}"/>
            </c:ext>
          </c:extLst>
        </c:ser>
        <c:ser>
          <c:idx val="2"/>
          <c:order val="2"/>
          <c:tx>
            <c:strRef>
              <c:f>'Nuclear Facility Accident'!$C$861</c:f>
              <c:strCache>
                <c:ptCount val="1"/>
                <c:pt idx="0">
                  <c:v>MCM Dispens</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'Nuclear Facility Accident'!$J$862</c:f>
              <c:numCache>
                <c:formatCode>General</c:formatCode>
                <c:ptCount val="1"/>
                <c:pt idx="0">
                  <c:v>4</c:v>
                </c:pt>
              </c:numCache>
            </c:numRef>
          </c:xVal>
          <c:yVal>
            <c:numRef>
              <c:f>'Nuclear Facility Accident'!$J$863</c:f>
              <c:numCache>
                <c:formatCode>General</c:formatCode>
                <c:ptCount val="1"/>
                <c:pt idx="0">
                  <c:v>0</c:v>
                </c:pt>
              </c:numCache>
            </c:numRef>
          </c:yVal>
          <c:smooth val="0"/>
          <c:extLst>
            <c:ext xmlns:c16="http://schemas.microsoft.com/office/drawing/2014/chart" uri="{C3380CC4-5D6E-409C-BE32-E72D297353CC}">
              <c16:uniqueId val="{00000003-AAAA-4E16-835C-D23BD6820C11}"/>
            </c:ext>
          </c:extLst>
        </c:ser>
        <c:ser>
          <c:idx val="3"/>
          <c:order val="3"/>
          <c:tx>
            <c:strRef>
              <c:f>'Nuclear Facility Accident'!$C$865</c:f>
              <c:strCache>
                <c:ptCount val="1"/>
                <c:pt idx="0">
                  <c:v>Med Materiel Mgmt</c:v>
                </c:pt>
              </c:strCache>
            </c:strRef>
          </c:tx>
          <c:spPr>
            <a:ln w="66675">
              <a:noFill/>
            </a:ln>
          </c:spPr>
          <c:dLbls>
            <c:dLbl>
              <c:idx val="0"/>
              <c:layout>
                <c:manualLayout>
                  <c:x val="-0.15196871118359304"/>
                  <c:y val="-4.8573163327261691E-3"/>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AAAA-4E16-835C-D23BD6820C11}"/>
                </c:ext>
              </c:extLst>
            </c:dLbl>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'Nuclear Facility Accident'!$J$866</c:f>
              <c:numCache>
                <c:formatCode>General</c:formatCode>
                <c:ptCount val="1"/>
                <c:pt idx="0">
                  <c:v>4</c:v>
                </c:pt>
              </c:numCache>
            </c:numRef>
          </c:xVal>
          <c:yVal>
            <c:numRef>
              <c:f>'Nuclear Facility Accident'!$J$867</c:f>
              <c:numCache>
                <c:formatCode>General</c:formatCode>
                <c:ptCount val="1"/>
                <c:pt idx="0">
                  <c:v>0</c:v>
                </c:pt>
              </c:numCache>
            </c:numRef>
          </c:yVal>
          <c:smooth val="0"/>
          <c:extLst>
            <c:ext xmlns:c16="http://schemas.microsoft.com/office/drawing/2014/chart" uri="{C3380CC4-5D6E-409C-BE32-E72D297353CC}">
              <c16:uniqueId val="{00000005-AAAA-4E16-835C-D23BD6820C11}"/>
            </c:ext>
          </c:extLst>
        </c:ser>
        <c:ser>
          <c:idx val="4"/>
          <c:order val="4"/>
          <c:tx>
            <c:strRef>
              <c:f>'Nuclear Facility Accident'!$C$869</c:f>
              <c:strCache>
                <c:ptCount val="1"/>
                <c:pt idx="0">
                  <c:v>Medical Surge</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'Nuclear Facility Accident'!$J$870</c:f>
              <c:numCache>
                <c:formatCode>General</c:formatCode>
                <c:ptCount val="1"/>
                <c:pt idx="0">
                  <c:v>4</c:v>
                </c:pt>
              </c:numCache>
            </c:numRef>
          </c:xVal>
          <c:yVal>
            <c:numRef>
              <c:f>'Nuclear Facility Accident'!$J$871</c:f>
              <c:numCache>
                <c:formatCode>General</c:formatCode>
                <c:ptCount val="1"/>
                <c:pt idx="0">
                  <c:v>0</c:v>
                </c:pt>
              </c:numCache>
            </c:numRef>
          </c:yVal>
          <c:smooth val="0"/>
          <c:extLst>
            <c:ext xmlns:c16="http://schemas.microsoft.com/office/drawing/2014/chart" uri="{C3380CC4-5D6E-409C-BE32-E72D297353CC}">
              <c16:uniqueId val="{00000006-AAAA-4E16-835C-D23BD6820C11}"/>
            </c:ext>
          </c:extLst>
        </c:ser>
        <c:ser>
          <c:idx val="5"/>
          <c:order val="5"/>
          <c:tx>
            <c:strRef>
              <c:f>'Nuclear Facility Accident'!$C$873</c:f>
              <c:strCache>
                <c:ptCount val="1"/>
                <c:pt idx="0">
                  <c:v>Non-Pharm Interv</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'Nuclear Facility Accident'!$J$874</c:f>
              <c:numCache>
                <c:formatCode>General</c:formatCode>
                <c:ptCount val="1"/>
                <c:pt idx="0">
                  <c:v>4</c:v>
                </c:pt>
              </c:numCache>
            </c:numRef>
          </c:xVal>
          <c:yVal>
            <c:numRef>
              <c:f>'Nuclear Facility Accident'!$J$875</c:f>
              <c:numCache>
                <c:formatCode>General</c:formatCode>
                <c:ptCount val="1"/>
                <c:pt idx="0">
                  <c:v>0</c:v>
                </c:pt>
              </c:numCache>
            </c:numRef>
          </c:yVal>
          <c:smooth val="0"/>
          <c:extLst>
            <c:ext xmlns:c16="http://schemas.microsoft.com/office/drawing/2014/chart" uri="{C3380CC4-5D6E-409C-BE32-E72D297353CC}">
              <c16:uniqueId val="{00000007-AAAA-4E16-835C-D23BD6820C11}"/>
            </c:ext>
          </c:extLst>
        </c:ser>
        <c:ser>
          <c:idx val="6"/>
          <c:order val="6"/>
          <c:tx>
            <c:strRef>
              <c:f>'Nuclear Facility Accident'!$C$877</c:f>
              <c:strCache>
                <c:ptCount val="1"/>
                <c:pt idx="0">
                  <c:v>PH Lab Testing</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'Nuclear Facility Accident'!$J$878</c:f>
              <c:numCache>
                <c:formatCode>General</c:formatCode>
                <c:ptCount val="1"/>
                <c:pt idx="0">
                  <c:v>4</c:v>
                </c:pt>
              </c:numCache>
            </c:numRef>
          </c:xVal>
          <c:yVal>
            <c:numRef>
              <c:f>'Nuclear Facility Accident'!$J$879</c:f>
              <c:numCache>
                <c:formatCode>General</c:formatCode>
                <c:ptCount val="1"/>
                <c:pt idx="0">
                  <c:v>0</c:v>
                </c:pt>
              </c:numCache>
            </c:numRef>
          </c:yVal>
          <c:smooth val="0"/>
          <c:extLst>
            <c:ext xmlns:c16="http://schemas.microsoft.com/office/drawing/2014/chart" uri="{C3380CC4-5D6E-409C-BE32-E72D297353CC}">
              <c16:uniqueId val="{00000008-AAAA-4E16-835C-D23BD6820C11}"/>
            </c:ext>
          </c:extLst>
        </c:ser>
        <c:ser>
          <c:idx val="7"/>
          <c:order val="7"/>
          <c:tx>
            <c:strRef>
              <c:f>'Nuclear Facility Accident'!$C$881</c:f>
              <c:strCache>
                <c:ptCount val="1"/>
                <c:pt idx="0">
                  <c:v>PH Surv &amp; Epi</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'Nuclear Facility Accident'!$J$882</c:f>
              <c:numCache>
                <c:formatCode>General</c:formatCode>
                <c:ptCount val="1"/>
                <c:pt idx="0">
                  <c:v>4</c:v>
                </c:pt>
              </c:numCache>
            </c:numRef>
          </c:xVal>
          <c:yVal>
            <c:numRef>
              <c:f>'Nuclear Facility Accident'!$J$883</c:f>
              <c:numCache>
                <c:formatCode>General</c:formatCode>
                <c:ptCount val="1"/>
                <c:pt idx="0">
                  <c:v>0</c:v>
                </c:pt>
              </c:numCache>
            </c:numRef>
          </c:yVal>
          <c:smooth val="0"/>
          <c:extLst>
            <c:ext xmlns:c16="http://schemas.microsoft.com/office/drawing/2014/chart" uri="{C3380CC4-5D6E-409C-BE32-E72D297353CC}">
              <c16:uniqueId val="{00000009-AAAA-4E16-835C-D23BD6820C11}"/>
            </c:ext>
          </c:extLst>
        </c:ser>
        <c:ser>
          <c:idx val="8"/>
          <c:order val="8"/>
          <c:tx>
            <c:strRef>
              <c:f>'Nuclear Facility Accident'!$C$885</c:f>
              <c:strCache>
                <c:ptCount val="1"/>
                <c:pt idx="0">
                  <c:v>Responder Safety</c:v>
                </c:pt>
              </c:strCache>
            </c:strRef>
          </c:tx>
          <c:spPr>
            <a:ln w="66675">
              <a:noFill/>
            </a:ln>
          </c:spPr>
          <c:dLbls>
            <c:dLbl>
              <c:idx val="0"/>
              <c:layout>
                <c:manualLayout>
                  <c:x val="-0.15196871118359304"/>
                  <c:y val="1.700060716454159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AAAA-4E16-835C-D23BD6820C11}"/>
                </c:ext>
              </c:extLst>
            </c:dLbl>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'Nuclear Facility Accident'!$J$886</c:f>
              <c:numCache>
                <c:formatCode>General</c:formatCode>
                <c:ptCount val="1"/>
                <c:pt idx="0">
                  <c:v>4</c:v>
                </c:pt>
              </c:numCache>
            </c:numRef>
          </c:xVal>
          <c:yVal>
            <c:numRef>
              <c:f>'Nuclear Facility Accident'!$J$887</c:f>
              <c:numCache>
                <c:formatCode>General</c:formatCode>
                <c:ptCount val="1"/>
                <c:pt idx="0">
                  <c:v>0</c:v>
                </c:pt>
              </c:numCache>
            </c:numRef>
          </c:yVal>
          <c:smooth val="0"/>
          <c:extLst>
            <c:ext xmlns:c16="http://schemas.microsoft.com/office/drawing/2014/chart" uri="{C3380CC4-5D6E-409C-BE32-E72D297353CC}">
              <c16:uniqueId val="{0000000B-AAAA-4E16-835C-D23BD6820C11}"/>
            </c:ext>
          </c:extLst>
        </c:ser>
        <c:ser>
          <c:idx val="9"/>
          <c:order val="9"/>
          <c:tx>
            <c:strRef>
              <c:f>'Nuclear Facility Accident'!$C$889</c:f>
              <c:strCache>
                <c:ptCount val="1"/>
                <c:pt idx="0">
                  <c:v>Volunteer Mgmt</c:v>
                </c:pt>
              </c:strCache>
            </c:strRef>
          </c:tx>
          <c:spPr>
            <a:ln w="66675">
              <a:noFill/>
            </a:ln>
          </c:spPr>
          <c:dLbls>
            <c:dLbl>
              <c:idx val="0"/>
              <c:layout>
                <c:manualLayout>
                  <c:x val="-1.6638527466737076E-3"/>
                  <c:y val="-7.2859744990892532E-3"/>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C-AAAA-4E16-835C-D23BD6820C11}"/>
                </c:ext>
              </c:extLst>
            </c:dLbl>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'Nuclear Facility Accident'!$J$890</c:f>
              <c:numCache>
                <c:formatCode>General</c:formatCode>
                <c:ptCount val="1"/>
                <c:pt idx="0">
                  <c:v>4</c:v>
                </c:pt>
              </c:numCache>
            </c:numRef>
          </c:xVal>
          <c:yVal>
            <c:numRef>
              <c:f>'Nuclear Facility Accident'!$J$891</c:f>
              <c:numCache>
                <c:formatCode>General</c:formatCode>
                <c:ptCount val="1"/>
                <c:pt idx="0">
                  <c:v>0</c:v>
                </c:pt>
              </c:numCache>
            </c:numRef>
          </c:yVal>
          <c:smooth val="0"/>
          <c:extLst>
            <c:ext xmlns:c16="http://schemas.microsoft.com/office/drawing/2014/chart" uri="{C3380CC4-5D6E-409C-BE32-E72D297353CC}">
              <c16:uniqueId val="{0000000D-AAAA-4E16-835C-D23BD6820C11}"/>
            </c:ext>
          </c:extLst>
        </c:ser>
        <c:ser>
          <c:idx val="10"/>
          <c:order val="10"/>
          <c:tx>
            <c:strRef>
              <c:f>'Nuclear Facility Accident'!$C$833</c:f>
              <c:strCache>
                <c:ptCount val="1"/>
                <c:pt idx="0">
                  <c:v>Community Prep</c:v>
                </c:pt>
              </c:strCache>
            </c:strRef>
          </c:tx>
          <c:spPr>
            <a:ln w="66675">
              <a:noFill/>
            </a:ln>
          </c:spPr>
          <c:dLbls>
            <c:dLbl>
              <c:idx val="0"/>
              <c:layout>
                <c:manualLayout>
                  <c:x val="-0.15806601093400174"/>
                  <c:y val="-4.8573163327262055E-3"/>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AAAA-4E16-835C-D23BD6820C11}"/>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'Nuclear Facility Accident'!$J$834</c:f>
              <c:numCache>
                <c:formatCode>General</c:formatCode>
                <c:ptCount val="1"/>
                <c:pt idx="0">
                  <c:v>4</c:v>
                </c:pt>
              </c:numCache>
            </c:numRef>
          </c:xVal>
          <c:yVal>
            <c:numRef>
              <c:f>'Nuclear Facility Accident'!$J$835</c:f>
              <c:numCache>
                <c:formatCode>General</c:formatCode>
                <c:ptCount val="1"/>
                <c:pt idx="0">
                  <c:v>0</c:v>
                </c:pt>
              </c:numCache>
            </c:numRef>
          </c:yVal>
          <c:smooth val="0"/>
          <c:extLst>
            <c:ext xmlns:c16="http://schemas.microsoft.com/office/drawing/2014/chart" uri="{C3380CC4-5D6E-409C-BE32-E72D297353CC}">
              <c16:uniqueId val="{0000000F-AAAA-4E16-835C-D23BD6820C11}"/>
            </c:ext>
          </c:extLst>
        </c:ser>
        <c:ser>
          <c:idx val="11"/>
          <c:order val="11"/>
          <c:tx>
            <c:strRef>
              <c:f>'Nuclear Facility Accident'!$C$837</c:f>
              <c:strCache>
                <c:ptCount val="1"/>
                <c:pt idx="0">
                  <c:v>Community Recov</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'Nuclear Facility Accident'!$J$838</c:f>
              <c:numCache>
                <c:formatCode>General</c:formatCode>
                <c:ptCount val="1"/>
                <c:pt idx="0">
                  <c:v>4</c:v>
                </c:pt>
              </c:numCache>
            </c:numRef>
          </c:xVal>
          <c:yVal>
            <c:numRef>
              <c:f>'Nuclear Facility Accident'!$J$839</c:f>
              <c:numCache>
                <c:formatCode>General</c:formatCode>
                <c:ptCount val="1"/>
                <c:pt idx="0">
                  <c:v>0</c:v>
                </c:pt>
              </c:numCache>
            </c:numRef>
          </c:yVal>
          <c:smooth val="0"/>
          <c:extLst>
            <c:ext xmlns:c16="http://schemas.microsoft.com/office/drawing/2014/chart" uri="{C3380CC4-5D6E-409C-BE32-E72D297353CC}">
              <c16:uniqueId val="{00000010-AAAA-4E16-835C-D23BD6820C11}"/>
            </c:ext>
          </c:extLst>
        </c:ser>
        <c:ser>
          <c:idx val="12"/>
          <c:order val="12"/>
          <c:tx>
            <c:strRef>
              <c:f>'Nuclear Facility Accident'!$C$841</c:f>
              <c:strCache>
                <c:ptCount val="1"/>
                <c:pt idx="0">
                  <c:v>Emerg Ops Coord</c:v>
                </c:pt>
              </c:strCache>
            </c:strRef>
          </c:tx>
          <c:spPr>
            <a:ln w="66675">
              <a:noFill/>
            </a:ln>
          </c:spPr>
          <c:dLbls>
            <c:spPr>
              <a:noFill/>
              <a:ln>
                <a:noFill/>
              </a:ln>
              <a:effectLst/>
            </c:sp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'Nuclear Facility Accident'!$J$842</c:f>
              <c:numCache>
                <c:formatCode>General</c:formatCode>
                <c:ptCount val="1"/>
                <c:pt idx="0">
                  <c:v>4</c:v>
                </c:pt>
              </c:numCache>
            </c:numRef>
          </c:xVal>
          <c:yVal>
            <c:numRef>
              <c:f>'Nuclear Facility Accident'!$J$843</c:f>
              <c:numCache>
                <c:formatCode>General</c:formatCode>
                <c:ptCount val="1"/>
                <c:pt idx="0">
                  <c:v>0</c:v>
                </c:pt>
              </c:numCache>
            </c:numRef>
          </c:yVal>
          <c:smooth val="0"/>
          <c:extLst>
            <c:ext xmlns:c16="http://schemas.microsoft.com/office/drawing/2014/chart" uri="{C3380CC4-5D6E-409C-BE32-E72D297353CC}">
              <c16:uniqueId val="{00000011-AAAA-4E16-835C-D23BD6820C11}"/>
            </c:ext>
          </c:extLst>
        </c:ser>
        <c:ser>
          <c:idx val="13"/>
          <c:order val="13"/>
          <c:tx>
            <c:strRef>
              <c:f>'Nuclear Facility Accident'!$C$845</c:f>
              <c:strCache>
                <c:ptCount val="1"/>
                <c:pt idx="0">
                  <c:v>Emerg Public Info</c:v>
                </c:pt>
              </c:strCache>
            </c:strRef>
          </c:tx>
          <c:spPr>
            <a:ln w="66675">
              <a:noFill/>
            </a:ln>
          </c:spPr>
          <c:dLbls>
            <c:dLbl>
              <c:idx val="0"/>
              <c:layout>
                <c:manualLayout>
                  <c:x val="-0.15196871118359304"/>
                  <c:y val="1.4571948998178458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2-AAAA-4E16-835C-D23BD6820C11}"/>
                </c:ext>
              </c:extLst>
            </c:dLbl>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'Nuclear Facility Accident'!$J$846</c:f>
              <c:numCache>
                <c:formatCode>General</c:formatCode>
                <c:ptCount val="1"/>
                <c:pt idx="0">
                  <c:v>4</c:v>
                </c:pt>
              </c:numCache>
            </c:numRef>
          </c:xVal>
          <c:yVal>
            <c:numRef>
              <c:f>'Nuclear Facility Accident'!$J$847</c:f>
              <c:numCache>
                <c:formatCode>General</c:formatCode>
                <c:ptCount val="1"/>
                <c:pt idx="0">
                  <c:v>0</c:v>
                </c:pt>
              </c:numCache>
            </c:numRef>
          </c:yVal>
          <c:smooth val="0"/>
          <c:extLst>
            <c:ext xmlns:c16="http://schemas.microsoft.com/office/drawing/2014/chart" uri="{C3380CC4-5D6E-409C-BE32-E72D297353CC}">
              <c16:uniqueId val="{00000013-AAAA-4E16-835C-D23BD6820C11}"/>
            </c:ext>
          </c:extLst>
        </c:ser>
        <c:ser>
          <c:idx val="14"/>
          <c:order val="14"/>
          <c:tx>
            <c:strRef>
              <c:f>'Nuclear Facility Accident'!$C$964</c:f>
              <c:strCache>
                <c:ptCount val="1"/>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'Nuclear Facility Accident'!$J$965</c:f>
            </c:numRef>
          </c:xVal>
          <c:yVal>
            <c:numRef>
              <c:f>'Nuclear Facility Accident'!$J$966</c:f>
            </c:numRef>
          </c:yVal>
          <c:smooth val="0"/>
          <c:extLst>
            <c:ext xmlns:c16="http://schemas.microsoft.com/office/drawing/2014/chart" uri="{C3380CC4-5D6E-409C-BE32-E72D297353CC}">
              <c16:uniqueId val="{00000014-AAAA-4E16-835C-D23BD6820C11}"/>
            </c:ext>
          </c:extLst>
        </c:ser>
        <c:ser>
          <c:idx val="15"/>
          <c:order val="15"/>
          <c:tx>
            <c:strRef>
              <c:f>'Nuclear Facility Accident'!$C$849</c:f>
              <c:strCache>
                <c:ptCount val="1"/>
                <c:pt idx="0">
                  <c:v>Fatality Mgmt</c:v>
                </c:pt>
              </c:strCache>
            </c:strRef>
          </c:tx>
          <c:spPr>
            <a:ln w="66675">
              <a:noFill/>
            </a:ln>
          </c:spPr>
          <c:dLbls>
            <c:dLbl>
              <c:idx val="0"/>
              <c:dLblPos val="l"/>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5-AAAA-4E16-835C-D23BD6820C1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'Nuclear Facility Accident'!$J$850</c:f>
              <c:numCache>
                <c:formatCode>General</c:formatCode>
                <c:ptCount val="1"/>
                <c:pt idx="0">
                  <c:v>3</c:v>
                </c:pt>
              </c:numCache>
            </c:numRef>
          </c:xVal>
          <c:yVal>
            <c:numRef>
              <c:f>'Nuclear Facility Accident'!$J$851</c:f>
              <c:numCache>
                <c:formatCode>General</c:formatCode>
                <c:ptCount val="1"/>
                <c:pt idx="0">
                  <c:v>0</c:v>
                </c:pt>
              </c:numCache>
            </c:numRef>
          </c:yVal>
          <c:smooth val="0"/>
          <c:extLst>
            <c:ext xmlns:c16="http://schemas.microsoft.com/office/drawing/2014/chart" uri="{C3380CC4-5D6E-409C-BE32-E72D297353CC}">
              <c16:uniqueId val="{00000016-AAAA-4E16-835C-D23BD6820C11}"/>
            </c:ext>
          </c:extLst>
        </c:ser>
        <c:dLbls>
          <c:showLegendKey val="0"/>
          <c:showVal val="1"/>
          <c:showCatName val="0"/>
          <c:showSerName val="0"/>
          <c:showPercent val="0"/>
          <c:showBubbleSize val="0"/>
        </c:dLbls>
        <c:axId val="199445504"/>
        <c:axId val="199459968"/>
      </c:scatterChart>
      <c:valAx>
        <c:axId val="199445504"/>
        <c:scaling>
          <c:orientation val="minMax"/>
          <c:max val="4.5"/>
          <c:min val="0"/>
        </c:scaling>
        <c:delete val="0"/>
        <c:axPos val="b"/>
        <c:majorGridlines/>
        <c:title>
          <c:tx>
            <c:rich>
              <a:bodyPr/>
              <a:lstStyle/>
              <a:p>
                <a:pPr>
                  <a:defRPr b="0">
                    <a:latin typeface="+mj-lt"/>
                  </a:defRPr>
                </a:pPr>
                <a:r>
                  <a:rPr lang="en-US" sz="1600" b="0">
                    <a:latin typeface="+mj-lt"/>
                  </a:rPr>
                  <a:t>Capability Relevance to Hazard</a:t>
                </a:r>
              </a:p>
            </c:rich>
          </c:tx>
          <c:overlay val="0"/>
        </c:title>
        <c:numFmt formatCode="General" sourceLinked="1"/>
        <c:majorTickMark val="out"/>
        <c:minorTickMark val="none"/>
        <c:tickLblPos val="nextTo"/>
        <c:spPr>
          <a:ln>
            <a:solidFill>
              <a:schemeClr val="tx1"/>
            </a:solidFill>
          </a:ln>
        </c:spPr>
        <c:crossAx val="199459968"/>
        <c:crosses val="autoZero"/>
        <c:crossBetween val="midCat"/>
        <c:majorUnit val="1"/>
        <c:minorUnit val="0.1"/>
      </c:valAx>
      <c:valAx>
        <c:axId val="199459968"/>
        <c:scaling>
          <c:orientation val="minMax"/>
          <c:max val="4.5"/>
          <c:min val="0"/>
        </c:scaling>
        <c:delete val="0"/>
        <c:axPos val="l"/>
        <c:majorGridlines/>
        <c:title>
          <c:tx>
            <c:rich>
              <a:bodyPr rot="-5400000" vert="horz"/>
              <a:lstStyle/>
              <a:p>
                <a:pPr>
                  <a:defRPr sz="1600" b="0">
                    <a:latin typeface="+mj-lt"/>
                  </a:defRPr>
                </a:pPr>
                <a:r>
                  <a:rPr lang="en-US" sz="1600" b="0">
                    <a:latin typeface="+mj-lt"/>
                  </a:rPr>
                  <a:t>Capability Status</a:t>
                </a:r>
              </a:p>
            </c:rich>
          </c:tx>
          <c:overlay val="0"/>
        </c:title>
        <c:numFmt formatCode="General" sourceLinked="1"/>
        <c:majorTickMark val="out"/>
        <c:minorTickMark val="none"/>
        <c:tickLblPos val="nextTo"/>
        <c:spPr>
          <a:ln>
            <a:solidFill>
              <a:schemeClr val="tx1"/>
            </a:solidFill>
          </a:ln>
        </c:spPr>
        <c:crossAx val="199445504"/>
        <c:crosses val="autoZero"/>
        <c:crossBetween val="midCat"/>
        <c:majorUnit val="1"/>
        <c:minorUnit val="0.1"/>
      </c:valAx>
      <c:spPr>
        <a:gradFill flip="none" rotWithShape="1">
          <a:gsLst>
            <a:gs pos="0">
              <a:srgbClr val="63BE7B"/>
            </a:gs>
            <a:gs pos="50000">
              <a:srgbClr val="FFEB84"/>
            </a:gs>
            <a:gs pos="100000">
              <a:srgbClr val="F8696B"/>
            </a:gs>
          </a:gsLst>
          <a:lin ang="27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defRPr b="0" u="sng">
                <a:latin typeface="+mj-lt"/>
              </a:defRPr>
            </a:pPr>
            <a:r>
              <a:rPr lang="en-US" b="0" u="sng">
                <a:latin typeface="+mj-lt"/>
              </a:rPr>
              <a:t>Heatlhcare Preparedness</a:t>
            </a:r>
          </a:p>
        </c:rich>
      </c:tx>
      <c:layout>
        <c:manualLayout>
          <c:xMode val="edge"/>
          <c:yMode val="edge"/>
          <c:x val="0.30532356317913883"/>
          <c:y val="1.3244983721297133E-2"/>
        </c:manualLayout>
      </c:layout>
      <c:overlay val="0"/>
    </c:title>
    <c:autoTitleDeleted val="0"/>
    <c:plotArea>
      <c:layout>
        <c:manualLayout>
          <c:layoutTarget val="inner"/>
          <c:xMode val="edge"/>
          <c:yMode val="edge"/>
          <c:x val="8.2942364546439246E-2"/>
          <c:y val="9.7650416648738581E-2"/>
          <c:w val="0.87850741705614022"/>
          <c:h val="0.77165947152780956"/>
        </c:manualLayout>
      </c:layout>
      <c:scatterChart>
        <c:scatterStyle val="lineMarker"/>
        <c:varyColors val="0"/>
        <c:ser>
          <c:idx val="0"/>
          <c:order val="0"/>
          <c:tx>
            <c:strRef>
              <c:f>'Nuclear Facility Accident'!$C$903</c:f>
              <c:strCache>
                <c:ptCount val="1"/>
                <c:pt idx="0">
                  <c:v>HC System Prep</c:v>
                </c:pt>
              </c:strCache>
            </c:strRef>
          </c:tx>
          <c:spPr>
            <a:ln w="66675">
              <a:noFill/>
            </a:ln>
          </c:spPr>
          <c:dLbls>
            <c:dLbl>
              <c:idx val="0"/>
              <c:layout>
                <c:manualLayout>
                  <c:x val="-1.3101202717512806E-7"/>
                  <c:y val="1.214329083181542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7701-4AD3-AC1D-178A5A5806E8}"/>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'Nuclear Facility Accident'!$J$904</c:f>
              <c:numCache>
                <c:formatCode>General</c:formatCode>
                <c:ptCount val="1"/>
                <c:pt idx="0">
                  <c:v>4</c:v>
                </c:pt>
              </c:numCache>
            </c:numRef>
          </c:xVal>
          <c:yVal>
            <c:numRef>
              <c:f>'Nuclear Facility Accident'!$J$905</c:f>
              <c:numCache>
                <c:formatCode>General</c:formatCode>
                <c:ptCount val="1"/>
                <c:pt idx="0">
                  <c:v>0</c:v>
                </c:pt>
              </c:numCache>
            </c:numRef>
          </c:yVal>
          <c:smooth val="0"/>
          <c:extLst>
            <c:ext xmlns:c16="http://schemas.microsoft.com/office/drawing/2014/chart" uri="{C3380CC4-5D6E-409C-BE32-E72D297353CC}">
              <c16:uniqueId val="{00000001-7701-4AD3-AC1D-178A5A5806E8}"/>
            </c:ext>
          </c:extLst>
        </c:ser>
        <c:ser>
          <c:idx val="1"/>
          <c:order val="1"/>
          <c:tx>
            <c:strRef>
              <c:f>'Nuclear Facility Accident'!$C$907</c:f>
              <c:strCache>
                <c:ptCount val="1"/>
                <c:pt idx="0">
                  <c:v>HC System Recov</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'Nuclear Facility Accident'!$J$908</c:f>
              <c:numCache>
                <c:formatCode>General</c:formatCode>
                <c:ptCount val="1"/>
                <c:pt idx="0">
                  <c:v>4</c:v>
                </c:pt>
              </c:numCache>
            </c:numRef>
          </c:xVal>
          <c:yVal>
            <c:numRef>
              <c:f>'Nuclear Facility Accident'!$J$909</c:f>
              <c:numCache>
                <c:formatCode>General</c:formatCode>
                <c:ptCount val="1"/>
                <c:pt idx="0">
                  <c:v>0</c:v>
                </c:pt>
              </c:numCache>
            </c:numRef>
          </c:yVal>
          <c:smooth val="0"/>
          <c:extLst>
            <c:ext xmlns:c16="http://schemas.microsoft.com/office/drawing/2014/chart" uri="{C3380CC4-5D6E-409C-BE32-E72D297353CC}">
              <c16:uniqueId val="{00000002-7701-4AD3-AC1D-178A5A5806E8}"/>
            </c:ext>
          </c:extLst>
        </c:ser>
        <c:ser>
          <c:idx val="2"/>
          <c:order val="2"/>
          <c:tx>
            <c:strRef>
              <c:f>'Nuclear Facility Accident'!$C$911</c:f>
              <c:strCache>
                <c:ptCount val="1"/>
                <c:pt idx="0">
                  <c:v>Emerg Ops Coord</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'Nuclear Facility Accident'!$J$912</c:f>
              <c:numCache>
                <c:formatCode>General</c:formatCode>
                <c:ptCount val="1"/>
                <c:pt idx="0">
                  <c:v>4</c:v>
                </c:pt>
              </c:numCache>
            </c:numRef>
          </c:xVal>
          <c:yVal>
            <c:numRef>
              <c:f>'Nuclear Facility Accident'!$J$913</c:f>
              <c:numCache>
                <c:formatCode>General</c:formatCode>
                <c:ptCount val="1"/>
                <c:pt idx="0">
                  <c:v>0</c:v>
                </c:pt>
              </c:numCache>
            </c:numRef>
          </c:yVal>
          <c:smooth val="0"/>
          <c:extLst>
            <c:ext xmlns:c16="http://schemas.microsoft.com/office/drawing/2014/chart" uri="{C3380CC4-5D6E-409C-BE32-E72D297353CC}">
              <c16:uniqueId val="{00000003-7701-4AD3-AC1D-178A5A5806E8}"/>
            </c:ext>
          </c:extLst>
        </c:ser>
        <c:ser>
          <c:idx val="3"/>
          <c:order val="3"/>
          <c:tx>
            <c:strRef>
              <c:f>'Nuclear Facility Accident'!$C$915</c:f>
              <c:strCache>
                <c:ptCount val="1"/>
                <c:pt idx="0">
                  <c:v>Fatality Mgmt</c:v>
                </c:pt>
              </c:strCache>
            </c:strRef>
          </c:tx>
          <c:spPr>
            <a:ln w="66675">
              <a:noFill/>
            </a:ln>
          </c:spPr>
          <c:dLbls>
            <c:dLbl>
              <c:idx val="0"/>
              <c:layout>
                <c:manualLayout>
                  <c:x val="-0.15196871118359304"/>
                  <c:y val="-4.8573163327261691E-3"/>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7701-4AD3-AC1D-178A5A5806E8}"/>
                </c:ext>
              </c:extLst>
            </c:dLbl>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'Nuclear Facility Accident'!$J$916</c:f>
              <c:numCache>
                <c:formatCode>General</c:formatCode>
                <c:ptCount val="1"/>
                <c:pt idx="0">
                  <c:v>3</c:v>
                </c:pt>
              </c:numCache>
            </c:numRef>
          </c:xVal>
          <c:yVal>
            <c:numRef>
              <c:f>'Nuclear Facility Accident'!$J$917</c:f>
              <c:numCache>
                <c:formatCode>General</c:formatCode>
                <c:ptCount val="1"/>
                <c:pt idx="0">
                  <c:v>0</c:v>
                </c:pt>
              </c:numCache>
            </c:numRef>
          </c:yVal>
          <c:smooth val="0"/>
          <c:extLst>
            <c:ext xmlns:c16="http://schemas.microsoft.com/office/drawing/2014/chart" uri="{C3380CC4-5D6E-409C-BE32-E72D297353CC}">
              <c16:uniqueId val="{00000005-7701-4AD3-AC1D-178A5A5806E8}"/>
            </c:ext>
          </c:extLst>
        </c:ser>
        <c:ser>
          <c:idx val="4"/>
          <c:order val="4"/>
          <c:tx>
            <c:strRef>
              <c:f>'Nuclear Facility Accident'!$C$919</c:f>
              <c:strCache>
                <c:ptCount val="1"/>
                <c:pt idx="0">
                  <c:v>Info Sharing</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'Nuclear Facility Accident'!$J$920</c:f>
              <c:numCache>
                <c:formatCode>General</c:formatCode>
                <c:ptCount val="1"/>
                <c:pt idx="0">
                  <c:v>4</c:v>
                </c:pt>
              </c:numCache>
            </c:numRef>
          </c:xVal>
          <c:yVal>
            <c:numRef>
              <c:f>'Nuclear Facility Accident'!$J$921</c:f>
              <c:numCache>
                <c:formatCode>General</c:formatCode>
                <c:ptCount val="1"/>
                <c:pt idx="0">
                  <c:v>0</c:v>
                </c:pt>
              </c:numCache>
            </c:numRef>
          </c:yVal>
          <c:smooth val="0"/>
          <c:extLst>
            <c:ext xmlns:c16="http://schemas.microsoft.com/office/drawing/2014/chart" uri="{C3380CC4-5D6E-409C-BE32-E72D297353CC}">
              <c16:uniqueId val="{00000006-7701-4AD3-AC1D-178A5A5806E8}"/>
            </c:ext>
          </c:extLst>
        </c:ser>
        <c:ser>
          <c:idx val="5"/>
          <c:order val="5"/>
          <c:tx>
            <c:strRef>
              <c:f>'Nuclear Facility Accident'!$C$923</c:f>
              <c:strCache>
                <c:ptCount val="1"/>
                <c:pt idx="0">
                  <c:v>Medical Surge</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'Nuclear Facility Accident'!$J$924</c:f>
              <c:numCache>
                <c:formatCode>General</c:formatCode>
                <c:ptCount val="1"/>
                <c:pt idx="0">
                  <c:v>4</c:v>
                </c:pt>
              </c:numCache>
            </c:numRef>
          </c:xVal>
          <c:yVal>
            <c:numRef>
              <c:f>'Nuclear Facility Accident'!$J$925</c:f>
              <c:numCache>
                <c:formatCode>General</c:formatCode>
                <c:ptCount val="1"/>
                <c:pt idx="0">
                  <c:v>0</c:v>
                </c:pt>
              </c:numCache>
            </c:numRef>
          </c:yVal>
          <c:smooth val="0"/>
          <c:extLst>
            <c:ext xmlns:c16="http://schemas.microsoft.com/office/drawing/2014/chart" uri="{C3380CC4-5D6E-409C-BE32-E72D297353CC}">
              <c16:uniqueId val="{00000007-7701-4AD3-AC1D-178A5A5806E8}"/>
            </c:ext>
          </c:extLst>
        </c:ser>
        <c:ser>
          <c:idx val="6"/>
          <c:order val="6"/>
          <c:tx>
            <c:strRef>
              <c:f>'Nuclear Facility Accident'!$C$927</c:f>
              <c:strCache>
                <c:ptCount val="1"/>
                <c:pt idx="0">
                  <c:v>Responder Safety</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'Nuclear Facility Accident'!$J$928</c:f>
              <c:numCache>
                <c:formatCode>General</c:formatCode>
                <c:ptCount val="1"/>
                <c:pt idx="0">
                  <c:v>4</c:v>
                </c:pt>
              </c:numCache>
            </c:numRef>
          </c:xVal>
          <c:yVal>
            <c:numRef>
              <c:f>'Nuclear Facility Accident'!$J$929</c:f>
              <c:numCache>
                <c:formatCode>General</c:formatCode>
                <c:ptCount val="1"/>
                <c:pt idx="0">
                  <c:v>0</c:v>
                </c:pt>
              </c:numCache>
            </c:numRef>
          </c:yVal>
          <c:smooth val="0"/>
          <c:extLst>
            <c:ext xmlns:c16="http://schemas.microsoft.com/office/drawing/2014/chart" uri="{C3380CC4-5D6E-409C-BE32-E72D297353CC}">
              <c16:uniqueId val="{00000008-7701-4AD3-AC1D-178A5A5806E8}"/>
            </c:ext>
          </c:extLst>
        </c:ser>
        <c:ser>
          <c:idx val="7"/>
          <c:order val="7"/>
          <c:tx>
            <c:strRef>
              <c:f>'Nuclear Facility Accident'!$C$931</c:f>
              <c:strCache>
                <c:ptCount val="1"/>
                <c:pt idx="0">
                  <c:v>Volunteer Mgmt</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'Nuclear Facility Accident'!$J$932</c:f>
              <c:numCache>
                <c:formatCode>General</c:formatCode>
                <c:ptCount val="1"/>
                <c:pt idx="0">
                  <c:v>4</c:v>
                </c:pt>
              </c:numCache>
            </c:numRef>
          </c:xVal>
          <c:yVal>
            <c:numRef>
              <c:f>'Nuclear Facility Accident'!$J$933</c:f>
              <c:numCache>
                <c:formatCode>General</c:formatCode>
                <c:ptCount val="1"/>
                <c:pt idx="0">
                  <c:v>0</c:v>
                </c:pt>
              </c:numCache>
            </c:numRef>
          </c:yVal>
          <c:smooth val="0"/>
          <c:extLst>
            <c:ext xmlns:c16="http://schemas.microsoft.com/office/drawing/2014/chart" uri="{C3380CC4-5D6E-409C-BE32-E72D297353CC}">
              <c16:uniqueId val="{00000009-7701-4AD3-AC1D-178A5A5806E8}"/>
            </c:ext>
          </c:extLst>
        </c:ser>
        <c:ser>
          <c:idx val="14"/>
          <c:order val="8"/>
          <c:tx>
            <c:strRef>
              <c:f>'Nuclear Facility Accident'!$C$964</c:f>
              <c:strCache>
                <c:ptCount val="1"/>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'Nuclear Facility Accident'!$J$965</c:f>
            </c:numRef>
          </c:xVal>
          <c:yVal>
            <c:numRef>
              <c:f>'Nuclear Facility Accident'!$J$966</c:f>
            </c:numRef>
          </c:yVal>
          <c:smooth val="0"/>
          <c:extLst>
            <c:ext xmlns:c16="http://schemas.microsoft.com/office/drawing/2014/chart" uri="{C3380CC4-5D6E-409C-BE32-E72D297353CC}">
              <c16:uniqueId val="{0000000A-7701-4AD3-AC1D-178A5A5806E8}"/>
            </c:ext>
          </c:extLst>
        </c:ser>
        <c:dLbls>
          <c:showLegendKey val="0"/>
          <c:showVal val="1"/>
          <c:showCatName val="0"/>
          <c:showSerName val="0"/>
          <c:showPercent val="0"/>
          <c:showBubbleSize val="0"/>
        </c:dLbls>
        <c:axId val="199598080"/>
        <c:axId val="199600000"/>
      </c:scatterChart>
      <c:valAx>
        <c:axId val="199598080"/>
        <c:scaling>
          <c:orientation val="minMax"/>
          <c:max val="4.5"/>
          <c:min val="0"/>
        </c:scaling>
        <c:delete val="0"/>
        <c:axPos val="b"/>
        <c:majorGridlines/>
        <c:title>
          <c:tx>
            <c:rich>
              <a:bodyPr/>
              <a:lstStyle/>
              <a:p>
                <a:pPr>
                  <a:defRPr b="0">
                    <a:latin typeface="+mj-lt"/>
                  </a:defRPr>
                </a:pPr>
                <a:r>
                  <a:rPr lang="en-US" sz="1600" b="0">
                    <a:latin typeface="+mj-lt"/>
                  </a:rPr>
                  <a:t>Capability Relevance to Hazard</a:t>
                </a:r>
              </a:p>
            </c:rich>
          </c:tx>
          <c:overlay val="0"/>
        </c:title>
        <c:numFmt formatCode="General" sourceLinked="1"/>
        <c:majorTickMark val="out"/>
        <c:minorTickMark val="none"/>
        <c:tickLblPos val="nextTo"/>
        <c:spPr>
          <a:ln>
            <a:solidFill>
              <a:schemeClr val="tx1"/>
            </a:solidFill>
          </a:ln>
        </c:spPr>
        <c:crossAx val="199600000"/>
        <c:crosses val="autoZero"/>
        <c:crossBetween val="midCat"/>
        <c:majorUnit val="1"/>
        <c:minorUnit val="0.1"/>
      </c:valAx>
      <c:valAx>
        <c:axId val="199600000"/>
        <c:scaling>
          <c:orientation val="minMax"/>
          <c:max val="4.5"/>
          <c:min val="0"/>
        </c:scaling>
        <c:delete val="0"/>
        <c:axPos val="l"/>
        <c:majorGridlines/>
        <c:title>
          <c:tx>
            <c:rich>
              <a:bodyPr rot="-5400000" vert="horz"/>
              <a:lstStyle/>
              <a:p>
                <a:pPr>
                  <a:defRPr sz="1600" b="0">
                    <a:latin typeface="+mj-lt"/>
                  </a:defRPr>
                </a:pPr>
                <a:r>
                  <a:rPr lang="en-US" sz="1600" b="0">
                    <a:latin typeface="+mj-lt"/>
                  </a:rPr>
                  <a:t>Capability Status</a:t>
                </a:r>
              </a:p>
            </c:rich>
          </c:tx>
          <c:overlay val="0"/>
        </c:title>
        <c:numFmt formatCode="General" sourceLinked="1"/>
        <c:majorTickMark val="out"/>
        <c:minorTickMark val="none"/>
        <c:tickLblPos val="nextTo"/>
        <c:spPr>
          <a:ln>
            <a:solidFill>
              <a:schemeClr val="tx1"/>
            </a:solidFill>
          </a:ln>
        </c:spPr>
        <c:crossAx val="199598080"/>
        <c:crosses val="autoZero"/>
        <c:crossBetween val="midCat"/>
        <c:majorUnit val="1"/>
        <c:minorUnit val="0.1"/>
      </c:valAx>
      <c:spPr>
        <a:gradFill flip="none" rotWithShape="1">
          <a:gsLst>
            <a:gs pos="0">
              <a:srgbClr val="63BE7B"/>
            </a:gs>
            <a:gs pos="50000">
              <a:srgbClr val="FFEB84"/>
            </a:gs>
            <a:gs pos="100000">
              <a:srgbClr val="F8696B"/>
            </a:gs>
          </a:gsLst>
          <a:lin ang="27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b="0" u="sng">
                <a:latin typeface="+mj-lt"/>
              </a:defRPr>
            </a:pPr>
            <a:r>
              <a:rPr lang="en-US" b="0" u="sng">
                <a:latin typeface="+mj-lt"/>
              </a:rPr>
              <a:t>At-Risk Populations</a:t>
            </a:r>
          </a:p>
        </c:rich>
      </c:tx>
      <c:layout>
        <c:manualLayout>
          <c:xMode val="edge"/>
          <c:yMode val="edge"/>
          <c:x val="0.37636858589702443"/>
          <c:y val="1.3244983721297133E-2"/>
        </c:manualLayout>
      </c:layout>
      <c:overlay val="0"/>
    </c:title>
    <c:autoTitleDeleted val="0"/>
    <c:plotArea>
      <c:layout/>
      <c:scatterChart>
        <c:scatterStyle val="lineMarker"/>
        <c:varyColors val="0"/>
        <c:ser>
          <c:idx val="0"/>
          <c:order val="0"/>
          <c:tx>
            <c:strRef>
              <c:f>'Nuclear Facility Accident'!$C$793</c:f>
              <c:strCache>
                <c:ptCount val="1"/>
                <c:pt idx="0">
                  <c:v>Poverty</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'Nuclear Facility Accident'!$J$795</c:f>
              <c:numCache>
                <c:formatCode>General</c:formatCode>
                <c:ptCount val="1"/>
                <c:pt idx="0">
                  <c:v>3</c:v>
                </c:pt>
              </c:numCache>
            </c:numRef>
          </c:xVal>
          <c:yVal>
            <c:numRef>
              <c:f>'Nuclear Facility Accident'!$J$794</c:f>
              <c:numCache>
                <c:formatCode>General</c:formatCode>
                <c:ptCount val="1"/>
                <c:pt idx="0">
                  <c:v>0</c:v>
                </c:pt>
              </c:numCache>
            </c:numRef>
          </c:yVal>
          <c:smooth val="0"/>
          <c:extLst>
            <c:ext xmlns:c16="http://schemas.microsoft.com/office/drawing/2014/chart" uri="{C3380CC4-5D6E-409C-BE32-E72D297353CC}">
              <c16:uniqueId val="{00000000-056B-4C41-916A-BFFDA0C6B62E}"/>
            </c:ext>
          </c:extLst>
        </c:ser>
        <c:ser>
          <c:idx val="1"/>
          <c:order val="1"/>
          <c:tx>
            <c:strRef>
              <c:f>'Nuclear Facility Accident'!$C$797</c:f>
              <c:strCache>
                <c:ptCount val="1"/>
                <c:pt idx="0">
                  <c:v>Chronic Diseases (Diabetes)</c:v>
                </c:pt>
              </c:strCache>
            </c:strRef>
          </c:tx>
          <c:spPr>
            <a:ln w="66675">
              <a:noFill/>
            </a:ln>
          </c:spPr>
          <c:dLbls>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'Nuclear Facility Accident'!$J$799</c:f>
              <c:numCache>
                <c:formatCode>General</c:formatCode>
                <c:ptCount val="1"/>
                <c:pt idx="0">
                  <c:v>3</c:v>
                </c:pt>
              </c:numCache>
            </c:numRef>
          </c:xVal>
          <c:yVal>
            <c:numRef>
              <c:f>'Nuclear Facility Accident'!$J$798</c:f>
              <c:numCache>
                <c:formatCode>General</c:formatCode>
                <c:ptCount val="1"/>
                <c:pt idx="0">
                  <c:v>0</c:v>
                </c:pt>
              </c:numCache>
            </c:numRef>
          </c:yVal>
          <c:smooth val="0"/>
          <c:extLst>
            <c:ext xmlns:c16="http://schemas.microsoft.com/office/drawing/2014/chart" uri="{C3380CC4-5D6E-409C-BE32-E72D297353CC}">
              <c16:uniqueId val="{00000001-056B-4C41-916A-BFFDA0C6B62E}"/>
            </c:ext>
          </c:extLst>
        </c:ser>
        <c:ser>
          <c:idx val="2"/>
          <c:order val="2"/>
          <c:tx>
            <c:strRef>
              <c:f>'Nuclear Facility Accident'!$C$801</c:f>
              <c:strCache>
                <c:ptCount val="1"/>
                <c:pt idx="0">
                  <c:v>Children 18 and under</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'Nuclear Facility Accident'!$J$803</c:f>
              <c:numCache>
                <c:formatCode>General</c:formatCode>
                <c:ptCount val="1"/>
                <c:pt idx="0">
                  <c:v>4</c:v>
                </c:pt>
              </c:numCache>
            </c:numRef>
          </c:xVal>
          <c:yVal>
            <c:numRef>
              <c:f>'Nuclear Facility Accident'!$J$802</c:f>
              <c:numCache>
                <c:formatCode>General</c:formatCode>
                <c:ptCount val="1"/>
                <c:pt idx="0">
                  <c:v>0</c:v>
                </c:pt>
              </c:numCache>
            </c:numRef>
          </c:yVal>
          <c:smooth val="0"/>
          <c:extLst>
            <c:ext xmlns:c16="http://schemas.microsoft.com/office/drawing/2014/chart" uri="{C3380CC4-5D6E-409C-BE32-E72D297353CC}">
              <c16:uniqueId val="{00000002-056B-4C41-916A-BFFDA0C6B62E}"/>
            </c:ext>
          </c:extLst>
        </c:ser>
        <c:ser>
          <c:idx val="3"/>
          <c:order val="3"/>
          <c:tx>
            <c:strRef>
              <c:f>'Nuclear Facility Accident'!$C$805</c:f>
              <c:strCache>
                <c:ptCount val="1"/>
                <c:pt idx="0">
                  <c:v>Elderly 65 and older</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'Nuclear Facility Accident'!$J$807</c:f>
              <c:numCache>
                <c:formatCode>General</c:formatCode>
                <c:ptCount val="1"/>
                <c:pt idx="0">
                  <c:v>3</c:v>
                </c:pt>
              </c:numCache>
            </c:numRef>
          </c:xVal>
          <c:yVal>
            <c:numRef>
              <c:f>'Nuclear Facility Accident'!$J$806</c:f>
              <c:numCache>
                <c:formatCode>General</c:formatCode>
                <c:ptCount val="1"/>
                <c:pt idx="0">
                  <c:v>0</c:v>
                </c:pt>
              </c:numCache>
            </c:numRef>
          </c:yVal>
          <c:smooth val="0"/>
          <c:extLst>
            <c:ext xmlns:c16="http://schemas.microsoft.com/office/drawing/2014/chart" uri="{C3380CC4-5D6E-409C-BE32-E72D297353CC}">
              <c16:uniqueId val="{00000003-056B-4C41-916A-BFFDA0C6B62E}"/>
            </c:ext>
          </c:extLst>
        </c:ser>
        <c:ser>
          <c:idx val="4"/>
          <c:order val="4"/>
          <c:tx>
            <c:strRef>
              <c:f>'Nuclear Facility Accident'!$C$773</c:f>
              <c:strCache>
                <c:ptCount val="1"/>
                <c:pt idx="0">
                  <c:v>Hearing Disability</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'Nuclear Facility Accident'!$J$775</c:f>
              <c:numCache>
                <c:formatCode>General</c:formatCode>
                <c:ptCount val="1"/>
                <c:pt idx="0">
                  <c:v>3</c:v>
                </c:pt>
              </c:numCache>
            </c:numRef>
          </c:xVal>
          <c:yVal>
            <c:numRef>
              <c:f>'Nuclear Facility Accident'!$J$774</c:f>
              <c:numCache>
                <c:formatCode>General</c:formatCode>
                <c:ptCount val="1"/>
                <c:pt idx="0">
                  <c:v>0</c:v>
                </c:pt>
              </c:numCache>
            </c:numRef>
          </c:yVal>
          <c:smooth val="0"/>
          <c:extLst>
            <c:ext xmlns:c16="http://schemas.microsoft.com/office/drawing/2014/chart" uri="{C3380CC4-5D6E-409C-BE32-E72D297353CC}">
              <c16:uniqueId val="{00000004-056B-4C41-916A-BFFDA0C6B62E}"/>
            </c:ext>
          </c:extLst>
        </c:ser>
        <c:ser>
          <c:idx val="5"/>
          <c:order val="5"/>
          <c:tx>
            <c:strRef>
              <c:f>'Nuclear Facility Accident'!$C$777</c:f>
              <c:strCache>
                <c:ptCount val="1"/>
                <c:pt idx="0">
                  <c:v>Vision Disability</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'Nuclear Facility Accident'!$J$779</c:f>
              <c:numCache>
                <c:formatCode>General</c:formatCode>
                <c:ptCount val="1"/>
                <c:pt idx="0">
                  <c:v>4</c:v>
                </c:pt>
              </c:numCache>
            </c:numRef>
          </c:xVal>
          <c:yVal>
            <c:numRef>
              <c:f>'Nuclear Facility Accident'!$J$780</c:f>
              <c:numCache>
                <c:formatCode>General</c:formatCode>
                <c:ptCount val="1"/>
                <c:pt idx="0">
                  <c:v>2</c:v>
                </c:pt>
              </c:numCache>
            </c:numRef>
          </c:yVal>
          <c:smooth val="0"/>
          <c:extLst>
            <c:ext xmlns:c16="http://schemas.microsoft.com/office/drawing/2014/chart" uri="{C3380CC4-5D6E-409C-BE32-E72D297353CC}">
              <c16:uniqueId val="{00000005-056B-4C41-916A-BFFDA0C6B62E}"/>
            </c:ext>
          </c:extLst>
        </c:ser>
        <c:ser>
          <c:idx val="6"/>
          <c:order val="6"/>
          <c:tx>
            <c:strRef>
              <c:f>'Nuclear Facility Accident'!$C$781</c:f>
              <c:strCache>
                <c:ptCount val="1"/>
                <c:pt idx="0">
                  <c:v>Ambulatory Disability</c:v>
                </c:pt>
              </c:strCache>
            </c:strRef>
          </c:tx>
          <c:spPr>
            <a:ln w="66675">
              <a:noFill/>
            </a:ln>
          </c:spPr>
          <c:dLbls>
            <c:spPr>
              <a:noFill/>
              <a:ln>
                <a:noFill/>
              </a:ln>
              <a:effectLst/>
            </c:sp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'Nuclear Facility Accident'!$J$783</c:f>
              <c:numCache>
                <c:formatCode>General</c:formatCode>
                <c:ptCount val="1"/>
                <c:pt idx="0">
                  <c:v>3</c:v>
                </c:pt>
              </c:numCache>
            </c:numRef>
          </c:xVal>
          <c:yVal>
            <c:numRef>
              <c:f>'Nuclear Facility Accident'!$J$782</c:f>
              <c:numCache>
                <c:formatCode>General</c:formatCode>
                <c:ptCount val="1"/>
                <c:pt idx="0">
                  <c:v>0</c:v>
                </c:pt>
              </c:numCache>
            </c:numRef>
          </c:yVal>
          <c:smooth val="0"/>
          <c:extLst>
            <c:ext xmlns:c16="http://schemas.microsoft.com/office/drawing/2014/chart" uri="{C3380CC4-5D6E-409C-BE32-E72D297353CC}">
              <c16:uniqueId val="{00000006-056B-4C41-916A-BFFDA0C6B62E}"/>
            </c:ext>
          </c:extLst>
        </c:ser>
        <c:ser>
          <c:idx val="7"/>
          <c:order val="7"/>
          <c:tx>
            <c:strRef>
              <c:f>'Nuclear Facility Accident'!$C$785</c:f>
              <c:strCache>
                <c:ptCount val="1"/>
                <c:pt idx="0">
                  <c:v>Cognitive Disability</c:v>
                </c:pt>
              </c:strCache>
            </c:strRef>
          </c:tx>
          <c:spPr>
            <a:ln w="66675">
              <a:noFill/>
            </a:ln>
          </c:spP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056B-4C41-916A-BFFDA0C6B62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'Nuclear Facility Accident'!$J$787</c:f>
              <c:numCache>
                <c:formatCode>General</c:formatCode>
                <c:ptCount val="1"/>
                <c:pt idx="0">
                  <c:v>4</c:v>
                </c:pt>
              </c:numCache>
            </c:numRef>
          </c:xVal>
          <c:yVal>
            <c:numRef>
              <c:f>'Nuclear Facility Accident'!$J$786</c:f>
              <c:numCache>
                <c:formatCode>General</c:formatCode>
                <c:ptCount val="1"/>
                <c:pt idx="0">
                  <c:v>0</c:v>
                </c:pt>
              </c:numCache>
            </c:numRef>
          </c:yVal>
          <c:smooth val="0"/>
          <c:extLst>
            <c:ext xmlns:c16="http://schemas.microsoft.com/office/drawing/2014/chart" uri="{C3380CC4-5D6E-409C-BE32-E72D297353CC}">
              <c16:uniqueId val="{00000008-056B-4C41-916A-BFFDA0C6B62E}"/>
            </c:ext>
          </c:extLst>
        </c:ser>
        <c:ser>
          <c:idx val="8"/>
          <c:order val="8"/>
          <c:tx>
            <c:strRef>
              <c:f>'Nuclear Facility Accident'!$C$789</c:f>
              <c:strCache>
                <c:ptCount val="1"/>
                <c:pt idx="0">
                  <c:v>Limited English Proficiency</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'Nuclear Facility Accident'!$J$791</c:f>
              <c:numCache>
                <c:formatCode>General</c:formatCode>
                <c:ptCount val="1"/>
                <c:pt idx="0">
                  <c:v>3</c:v>
                </c:pt>
              </c:numCache>
            </c:numRef>
          </c:xVal>
          <c:yVal>
            <c:numRef>
              <c:f>'Nuclear Facility Accident'!$J$790</c:f>
              <c:numCache>
                <c:formatCode>General</c:formatCode>
                <c:ptCount val="1"/>
                <c:pt idx="0">
                  <c:v>0</c:v>
                </c:pt>
              </c:numCache>
            </c:numRef>
          </c:yVal>
          <c:smooth val="0"/>
          <c:extLst>
            <c:ext xmlns:c16="http://schemas.microsoft.com/office/drawing/2014/chart" uri="{C3380CC4-5D6E-409C-BE32-E72D297353CC}">
              <c16:uniqueId val="{00000009-056B-4C41-916A-BFFDA0C6B62E}"/>
            </c:ext>
          </c:extLst>
        </c:ser>
        <c:dLbls>
          <c:showLegendKey val="0"/>
          <c:showVal val="1"/>
          <c:showCatName val="0"/>
          <c:showSerName val="0"/>
          <c:showPercent val="0"/>
          <c:showBubbleSize val="0"/>
        </c:dLbls>
        <c:axId val="199691648"/>
        <c:axId val="199697920"/>
      </c:scatterChart>
      <c:valAx>
        <c:axId val="199691648"/>
        <c:scaling>
          <c:orientation val="minMax"/>
          <c:max val="4.5"/>
          <c:min val="0"/>
        </c:scaling>
        <c:delete val="0"/>
        <c:axPos val="b"/>
        <c:majorGridlines/>
        <c:title>
          <c:tx>
            <c:rich>
              <a:bodyPr/>
              <a:lstStyle/>
              <a:p>
                <a:pPr>
                  <a:defRPr b="0">
                    <a:latin typeface="+mj-lt"/>
                  </a:defRPr>
                </a:pPr>
                <a:r>
                  <a:rPr lang="en-US" sz="1600" b="0">
                    <a:latin typeface="+mj-lt"/>
                  </a:rPr>
                  <a:t>Access Planning Score</a:t>
                </a:r>
              </a:p>
            </c:rich>
          </c:tx>
          <c:overlay val="0"/>
        </c:title>
        <c:numFmt formatCode="General" sourceLinked="1"/>
        <c:majorTickMark val="out"/>
        <c:minorTickMark val="none"/>
        <c:tickLblPos val="nextTo"/>
        <c:spPr>
          <a:ln>
            <a:solidFill>
              <a:schemeClr val="tx1"/>
            </a:solidFill>
          </a:ln>
        </c:spPr>
        <c:crossAx val="199697920"/>
        <c:crosses val="autoZero"/>
        <c:crossBetween val="midCat"/>
        <c:majorUnit val="1"/>
        <c:minorUnit val="0.1"/>
      </c:valAx>
      <c:valAx>
        <c:axId val="199697920"/>
        <c:scaling>
          <c:orientation val="minMax"/>
          <c:max val="4.5"/>
          <c:min val="0"/>
        </c:scaling>
        <c:delete val="0"/>
        <c:axPos val="l"/>
        <c:majorGridlines/>
        <c:title>
          <c:tx>
            <c:rich>
              <a:bodyPr rot="-5400000" vert="horz"/>
              <a:lstStyle/>
              <a:p>
                <a:pPr>
                  <a:defRPr sz="1600" b="0">
                    <a:latin typeface="+mj-lt"/>
                  </a:defRPr>
                </a:pPr>
                <a:r>
                  <a:rPr lang="en-US" sz="1600" b="0">
                    <a:latin typeface="+mj-lt"/>
                  </a:rPr>
                  <a:t>Population Size Score</a:t>
                </a:r>
              </a:p>
            </c:rich>
          </c:tx>
          <c:overlay val="0"/>
        </c:title>
        <c:numFmt formatCode="General" sourceLinked="1"/>
        <c:majorTickMark val="out"/>
        <c:minorTickMark val="none"/>
        <c:tickLblPos val="nextTo"/>
        <c:spPr>
          <a:ln>
            <a:solidFill>
              <a:schemeClr val="tx1"/>
            </a:solidFill>
          </a:ln>
        </c:spPr>
        <c:crossAx val="199691648"/>
        <c:crosses val="autoZero"/>
        <c:crossBetween val="midCat"/>
        <c:majorUnit val="1"/>
        <c:minorUnit val="0.1"/>
      </c:valAx>
      <c:spPr>
        <a:gradFill flip="none" rotWithShape="1">
          <a:gsLst>
            <a:gs pos="0">
              <a:srgbClr val="63BE7B"/>
            </a:gs>
            <a:gs pos="50000">
              <a:srgbClr val="FFEB84"/>
            </a:gs>
            <a:gs pos="100000">
              <a:srgbClr val="F8696B"/>
            </a:gs>
          </a:gsLst>
          <a:lin ang="189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b="0" u="sng">
                <a:latin typeface="+mj-lt"/>
              </a:defRPr>
            </a:pPr>
            <a:r>
              <a:rPr lang="en-US" b="0" u="sng">
                <a:latin typeface="+mj-lt"/>
              </a:rPr>
              <a:t>Severity</a:t>
            </a:r>
          </a:p>
        </c:rich>
      </c:tx>
      <c:layout>
        <c:manualLayout>
          <c:xMode val="edge"/>
          <c:yMode val="edge"/>
          <c:x val="0.46889233641333816"/>
          <c:y val="1.3244983721297133E-2"/>
        </c:manualLayout>
      </c:layout>
      <c:overlay val="0"/>
    </c:title>
    <c:autoTitleDeleted val="0"/>
    <c:plotArea>
      <c:layout/>
      <c:barChart>
        <c:barDir val="col"/>
        <c:grouping val="clustered"/>
        <c:varyColors val="0"/>
        <c:ser>
          <c:idx val="0"/>
          <c:order val="0"/>
          <c:tx>
            <c:v>Severity</c:v>
          </c:tx>
          <c:spPr>
            <a:solidFill>
              <a:schemeClr val="accent4">
                <a:lumMod val="60000"/>
                <a:lumOff val="40000"/>
              </a:schemeClr>
            </a:solidFill>
            <a:ln>
              <a:solidFill>
                <a:schemeClr val="accent4"/>
              </a:solidFill>
            </a:ln>
            <a:scene3d>
              <a:camera prst="orthographicFront"/>
              <a:lightRig rig="threePt" dir="t"/>
            </a:scene3d>
            <a:sp3d prstMaterial="matte">
              <a:bevelT w="63500" h="50800"/>
            </a:sp3d>
          </c:spPr>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('Active Shooter'!$G$22,'Active Shooter'!$G$137,'Active Shooter'!$G$265,'Active Shooter'!$G$425,'Active Shooter'!$G$543)</c:f>
              <c:strCache>
                <c:ptCount val="5"/>
                <c:pt idx="0">
                  <c:v>Human Impact</c:v>
                </c:pt>
                <c:pt idx="1">
                  <c:v>Healthcare Service Impact</c:v>
                </c:pt>
                <c:pt idx="2">
                  <c:v>Inpatient Healthcare Facility Infrastructure Impact</c:v>
                </c:pt>
                <c:pt idx="3">
                  <c:v>Community Impact</c:v>
                </c:pt>
                <c:pt idx="4">
                  <c:v>Public Health Service Impact</c:v>
                </c:pt>
              </c:strCache>
            </c:strRef>
          </c:cat>
          <c:val>
            <c:numRef>
              <c:f>(Pandemic!$J$133,Pandemic!$J$261,Pandemic!$J$421,Pandemic!$J$539,Pandemic!$J$681)</c:f>
              <c:numCache>
                <c:formatCode>0.00</c:formatCode>
                <c:ptCount val="5"/>
                <c:pt idx="0">
                  <c:v>0</c:v>
                </c:pt>
                <c:pt idx="1">
                  <c:v>0</c:v>
                </c:pt>
                <c:pt idx="2">
                  <c:v>2</c:v>
                </c:pt>
                <c:pt idx="3">
                  <c:v>1.6428571428571428</c:v>
                </c:pt>
                <c:pt idx="4">
                  <c:v>0</c:v>
                </c:pt>
              </c:numCache>
            </c:numRef>
          </c:val>
          <c:extLst>
            <c:ext xmlns:c16="http://schemas.microsoft.com/office/drawing/2014/chart" uri="{C3380CC4-5D6E-409C-BE32-E72D297353CC}">
              <c16:uniqueId val="{00000000-F564-4F93-97C5-FA1F7A991FB2}"/>
            </c:ext>
          </c:extLst>
        </c:ser>
        <c:dLbls>
          <c:showLegendKey val="0"/>
          <c:showVal val="1"/>
          <c:showCatName val="0"/>
          <c:showSerName val="0"/>
          <c:showPercent val="0"/>
          <c:showBubbleSize val="0"/>
        </c:dLbls>
        <c:gapWidth val="150"/>
        <c:axId val="199708672"/>
        <c:axId val="199710976"/>
      </c:barChart>
      <c:catAx>
        <c:axId val="199708672"/>
        <c:scaling>
          <c:orientation val="minMax"/>
        </c:scaling>
        <c:delete val="0"/>
        <c:axPos val="b"/>
        <c:title>
          <c:tx>
            <c:rich>
              <a:bodyPr/>
              <a:lstStyle/>
              <a:p>
                <a:pPr>
                  <a:defRPr sz="1600" b="0">
                    <a:latin typeface="+mj-lt"/>
                  </a:defRPr>
                </a:pPr>
                <a:r>
                  <a:rPr lang="en-US" sz="1600" b="0">
                    <a:latin typeface="+mj-lt"/>
                  </a:rPr>
                  <a:t>Domain</a:t>
                </a:r>
              </a:p>
            </c:rich>
          </c:tx>
          <c:overlay val="0"/>
        </c:title>
        <c:numFmt formatCode="General" sourceLinked="1"/>
        <c:majorTickMark val="out"/>
        <c:minorTickMark val="none"/>
        <c:tickLblPos val="nextTo"/>
        <c:crossAx val="199710976"/>
        <c:crosses val="autoZero"/>
        <c:auto val="1"/>
        <c:lblAlgn val="ctr"/>
        <c:lblOffset val="100"/>
        <c:noMultiLvlLbl val="0"/>
      </c:catAx>
      <c:valAx>
        <c:axId val="199710976"/>
        <c:scaling>
          <c:orientation val="minMax"/>
          <c:max val="4"/>
        </c:scaling>
        <c:delete val="0"/>
        <c:axPos val="l"/>
        <c:majorGridlines/>
        <c:title>
          <c:tx>
            <c:rich>
              <a:bodyPr rot="-5400000" vert="horz"/>
              <a:lstStyle/>
              <a:p>
                <a:pPr>
                  <a:defRPr sz="1600" b="0">
                    <a:latin typeface="+mj-lt"/>
                  </a:defRPr>
                </a:pPr>
                <a:r>
                  <a:rPr lang="en-US" sz="1600" b="0">
                    <a:latin typeface="+mj-lt"/>
                  </a:rPr>
                  <a:t>Severity</a:t>
                </a:r>
                <a:r>
                  <a:rPr lang="en-US" sz="1600" b="0" baseline="0">
                    <a:latin typeface="+mj-lt"/>
                  </a:rPr>
                  <a:t> Score</a:t>
                </a:r>
                <a:endParaRPr lang="en-US" sz="1600" b="0">
                  <a:latin typeface="+mj-lt"/>
                </a:endParaRPr>
              </a:p>
            </c:rich>
          </c:tx>
          <c:overlay val="0"/>
        </c:title>
        <c:numFmt formatCode="0.00" sourceLinked="1"/>
        <c:majorTickMark val="out"/>
        <c:minorTickMark val="none"/>
        <c:tickLblPos val="nextTo"/>
        <c:crossAx val="199708672"/>
        <c:crosses val="autoZero"/>
        <c:crossBetween val="between"/>
      </c:valAx>
      <c:spPr>
        <a:gradFill flip="none" rotWithShape="1">
          <a:gsLst>
            <a:gs pos="0">
              <a:srgbClr val="63BE7B"/>
            </a:gs>
            <a:gs pos="50000">
              <a:srgbClr val="FFEB84"/>
            </a:gs>
            <a:gs pos="100000">
              <a:srgbClr val="F8696B"/>
            </a:gs>
          </a:gsLst>
          <a:lin ang="162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b="0" u="sng">
                <a:latin typeface="+mj-lt"/>
              </a:defRPr>
            </a:pPr>
            <a:r>
              <a:rPr lang="en-US" b="0" u="sng">
                <a:latin typeface="+mj-lt"/>
              </a:rPr>
              <a:t>At-Risk Populations</a:t>
            </a:r>
          </a:p>
        </c:rich>
      </c:tx>
      <c:layout>
        <c:manualLayout>
          <c:xMode val="edge"/>
          <c:yMode val="edge"/>
          <c:x val="0.37636858589702443"/>
          <c:y val="1.3244983721297133E-2"/>
        </c:manualLayout>
      </c:layout>
      <c:overlay val="0"/>
    </c:title>
    <c:autoTitleDeleted val="0"/>
    <c:plotArea>
      <c:layout>
        <c:manualLayout>
          <c:layoutTarget val="inner"/>
          <c:xMode val="edge"/>
          <c:yMode val="edge"/>
          <c:x val="9.2855623530330264E-2"/>
          <c:y val="8.7935783983286248E-2"/>
          <c:w val="0.87850741705614022"/>
          <c:h val="0.77165947152780956"/>
        </c:manualLayout>
      </c:layout>
      <c:scatterChart>
        <c:scatterStyle val="lineMarker"/>
        <c:varyColors val="0"/>
        <c:ser>
          <c:idx val="0"/>
          <c:order val="0"/>
          <c:tx>
            <c:strRef>
              <c:f>Pandemic!$C$793</c:f>
              <c:strCache>
                <c:ptCount val="1"/>
                <c:pt idx="0">
                  <c:v>Poverty</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Pandemic!$J$795</c:f>
              <c:numCache>
                <c:formatCode>General</c:formatCode>
                <c:ptCount val="1"/>
                <c:pt idx="0">
                  <c:v>2</c:v>
                </c:pt>
              </c:numCache>
            </c:numRef>
          </c:xVal>
          <c:yVal>
            <c:numRef>
              <c:f>Pandemic!$J$794</c:f>
              <c:numCache>
                <c:formatCode>General</c:formatCode>
                <c:ptCount val="1"/>
                <c:pt idx="0">
                  <c:v>0</c:v>
                </c:pt>
              </c:numCache>
            </c:numRef>
          </c:yVal>
          <c:smooth val="0"/>
          <c:extLst>
            <c:ext xmlns:c16="http://schemas.microsoft.com/office/drawing/2014/chart" uri="{C3380CC4-5D6E-409C-BE32-E72D297353CC}">
              <c16:uniqueId val="{00000000-085D-4392-ABE0-110F2799542E}"/>
            </c:ext>
          </c:extLst>
        </c:ser>
        <c:ser>
          <c:idx val="1"/>
          <c:order val="1"/>
          <c:tx>
            <c:strRef>
              <c:f>Pandemic!$C$797</c:f>
              <c:strCache>
                <c:ptCount val="1"/>
                <c:pt idx="0">
                  <c:v>Chronic Diseases (Diabetes)</c:v>
                </c:pt>
              </c:strCache>
            </c:strRef>
          </c:tx>
          <c:spPr>
            <a:ln w="66675">
              <a:noFill/>
            </a:ln>
          </c:spPr>
          <c:dLbls>
            <c:spPr>
              <a:noFill/>
              <a:ln>
                <a:noFill/>
              </a:ln>
              <a:effectLst/>
            </c:sp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Pandemic!$J$799</c:f>
              <c:numCache>
                <c:formatCode>General</c:formatCode>
                <c:ptCount val="1"/>
                <c:pt idx="0">
                  <c:v>2</c:v>
                </c:pt>
              </c:numCache>
            </c:numRef>
          </c:xVal>
          <c:yVal>
            <c:numRef>
              <c:f>Pandemic!$J$798</c:f>
              <c:numCache>
                <c:formatCode>General</c:formatCode>
                <c:ptCount val="1"/>
                <c:pt idx="0">
                  <c:v>0</c:v>
                </c:pt>
              </c:numCache>
            </c:numRef>
          </c:yVal>
          <c:smooth val="0"/>
          <c:extLst>
            <c:ext xmlns:c16="http://schemas.microsoft.com/office/drawing/2014/chart" uri="{C3380CC4-5D6E-409C-BE32-E72D297353CC}">
              <c16:uniqueId val="{00000001-085D-4392-ABE0-110F2799542E}"/>
            </c:ext>
          </c:extLst>
        </c:ser>
        <c:ser>
          <c:idx val="2"/>
          <c:order val="2"/>
          <c:tx>
            <c:strRef>
              <c:f>Pandemic!$C$801</c:f>
              <c:strCache>
                <c:ptCount val="1"/>
                <c:pt idx="0">
                  <c:v>Children 18 and under</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Pandemic!$J$803</c:f>
              <c:numCache>
                <c:formatCode>General</c:formatCode>
                <c:ptCount val="1"/>
                <c:pt idx="0">
                  <c:v>2</c:v>
                </c:pt>
              </c:numCache>
            </c:numRef>
          </c:xVal>
          <c:yVal>
            <c:numRef>
              <c:f>Pandemic!$J$802</c:f>
              <c:numCache>
                <c:formatCode>General</c:formatCode>
                <c:ptCount val="1"/>
                <c:pt idx="0">
                  <c:v>0</c:v>
                </c:pt>
              </c:numCache>
            </c:numRef>
          </c:yVal>
          <c:smooth val="0"/>
          <c:extLst>
            <c:ext xmlns:c16="http://schemas.microsoft.com/office/drawing/2014/chart" uri="{C3380CC4-5D6E-409C-BE32-E72D297353CC}">
              <c16:uniqueId val="{00000002-085D-4392-ABE0-110F2799542E}"/>
            </c:ext>
          </c:extLst>
        </c:ser>
        <c:ser>
          <c:idx val="3"/>
          <c:order val="3"/>
          <c:tx>
            <c:strRef>
              <c:f>Pandemic!$C$805</c:f>
              <c:strCache>
                <c:ptCount val="1"/>
                <c:pt idx="0">
                  <c:v>Elderly 65 and older</c:v>
                </c:pt>
              </c:strCache>
            </c:strRef>
          </c:tx>
          <c:spPr>
            <a:ln w="66675">
              <a:noFill/>
            </a:ln>
          </c:spPr>
          <c:dLbls>
            <c:spPr>
              <a:noFill/>
              <a:ln>
                <a:noFill/>
              </a:ln>
              <a:effectLst/>
            </c:sp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Pandemic!$J$807</c:f>
              <c:numCache>
                <c:formatCode>General</c:formatCode>
                <c:ptCount val="1"/>
                <c:pt idx="0">
                  <c:v>2</c:v>
                </c:pt>
              </c:numCache>
            </c:numRef>
          </c:xVal>
          <c:yVal>
            <c:numRef>
              <c:f>Pandemic!$J$806</c:f>
              <c:numCache>
                <c:formatCode>General</c:formatCode>
                <c:ptCount val="1"/>
                <c:pt idx="0">
                  <c:v>0</c:v>
                </c:pt>
              </c:numCache>
            </c:numRef>
          </c:yVal>
          <c:smooth val="0"/>
          <c:extLst>
            <c:ext xmlns:c16="http://schemas.microsoft.com/office/drawing/2014/chart" uri="{C3380CC4-5D6E-409C-BE32-E72D297353CC}">
              <c16:uniqueId val="{00000003-085D-4392-ABE0-110F2799542E}"/>
            </c:ext>
          </c:extLst>
        </c:ser>
        <c:ser>
          <c:idx val="4"/>
          <c:order val="4"/>
          <c:tx>
            <c:strRef>
              <c:f>Pandemic!$C$773</c:f>
              <c:strCache>
                <c:ptCount val="1"/>
                <c:pt idx="0">
                  <c:v>Hearing Disability</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Pandemic!$J$775</c:f>
              <c:numCache>
                <c:formatCode>General</c:formatCode>
                <c:ptCount val="1"/>
                <c:pt idx="0">
                  <c:v>2</c:v>
                </c:pt>
              </c:numCache>
            </c:numRef>
          </c:xVal>
          <c:yVal>
            <c:numRef>
              <c:f>Pandemic!$J$774</c:f>
              <c:numCache>
                <c:formatCode>General</c:formatCode>
                <c:ptCount val="1"/>
                <c:pt idx="0">
                  <c:v>0</c:v>
                </c:pt>
              </c:numCache>
            </c:numRef>
          </c:yVal>
          <c:smooth val="0"/>
          <c:extLst>
            <c:ext xmlns:c16="http://schemas.microsoft.com/office/drawing/2014/chart" uri="{C3380CC4-5D6E-409C-BE32-E72D297353CC}">
              <c16:uniqueId val="{00000004-085D-4392-ABE0-110F2799542E}"/>
            </c:ext>
          </c:extLst>
        </c:ser>
        <c:ser>
          <c:idx val="5"/>
          <c:order val="5"/>
          <c:tx>
            <c:strRef>
              <c:f>Pandemic!$C$777</c:f>
              <c:strCache>
                <c:ptCount val="1"/>
                <c:pt idx="0">
                  <c:v>Vision Disability</c:v>
                </c:pt>
              </c:strCache>
            </c:strRef>
          </c:tx>
          <c:spPr>
            <a:ln w="66675">
              <a:noFill/>
            </a:ln>
          </c:spPr>
          <c:dLbls>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Pandemic!$J$779</c:f>
              <c:numCache>
                <c:formatCode>General</c:formatCode>
                <c:ptCount val="1"/>
                <c:pt idx="0">
                  <c:v>2</c:v>
                </c:pt>
              </c:numCache>
            </c:numRef>
          </c:xVal>
          <c:yVal>
            <c:numRef>
              <c:f>Pandemic!$J$778</c:f>
              <c:numCache>
                <c:formatCode>General</c:formatCode>
                <c:ptCount val="1"/>
                <c:pt idx="0">
                  <c:v>0</c:v>
                </c:pt>
              </c:numCache>
            </c:numRef>
          </c:yVal>
          <c:smooth val="0"/>
          <c:extLst>
            <c:ext xmlns:c16="http://schemas.microsoft.com/office/drawing/2014/chart" uri="{C3380CC4-5D6E-409C-BE32-E72D297353CC}">
              <c16:uniqueId val="{00000005-085D-4392-ABE0-110F2799542E}"/>
            </c:ext>
          </c:extLst>
        </c:ser>
        <c:ser>
          <c:idx val="6"/>
          <c:order val="6"/>
          <c:tx>
            <c:strRef>
              <c:f>Pandemic!$C$781</c:f>
              <c:strCache>
                <c:ptCount val="1"/>
                <c:pt idx="0">
                  <c:v>Ambulatory Disability</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Pandemic!$J$783</c:f>
              <c:numCache>
                <c:formatCode>General</c:formatCode>
                <c:ptCount val="1"/>
                <c:pt idx="0">
                  <c:v>1</c:v>
                </c:pt>
              </c:numCache>
            </c:numRef>
          </c:xVal>
          <c:yVal>
            <c:numRef>
              <c:f>Pandemic!$J$782</c:f>
              <c:numCache>
                <c:formatCode>General</c:formatCode>
                <c:ptCount val="1"/>
                <c:pt idx="0">
                  <c:v>0</c:v>
                </c:pt>
              </c:numCache>
            </c:numRef>
          </c:yVal>
          <c:smooth val="0"/>
          <c:extLst>
            <c:ext xmlns:c16="http://schemas.microsoft.com/office/drawing/2014/chart" uri="{C3380CC4-5D6E-409C-BE32-E72D297353CC}">
              <c16:uniqueId val="{00000006-085D-4392-ABE0-110F2799542E}"/>
            </c:ext>
          </c:extLst>
        </c:ser>
        <c:ser>
          <c:idx val="7"/>
          <c:order val="7"/>
          <c:tx>
            <c:strRef>
              <c:f>Pandemic!$C$785</c:f>
              <c:strCache>
                <c:ptCount val="1"/>
                <c:pt idx="0">
                  <c:v>Cognitive Disability</c:v>
                </c:pt>
              </c:strCache>
            </c:strRef>
          </c:tx>
          <c:spPr>
            <a:ln w="66675">
              <a:noFill/>
            </a:ln>
          </c:spPr>
          <c:dLbls>
            <c:dLbl>
              <c:idx val="0"/>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085D-4392-ABE0-110F2799542E}"/>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Pandemic!$J$787</c:f>
              <c:numCache>
                <c:formatCode>General</c:formatCode>
                <c:ptCount val="1"/>
                <c:pt idx="0">
                  <c:v>2</c:v>
                </c:pt>
              </c:numCache>
            </c:numRef>
          </c:xVal>
          <c:yVal>
            <c:numRef>
              <c:f>Pandemic!$J$786</c:f>
              <c:numCache>
                <c:formatCode>General</c:formatCode>
                <c:ptCount val="1"/>
                <c:pt idx="0">
                  <c:v>0</c:v>
                </c:pt>
              </c:numCache>
            </c:numRef>
          </c:yVal>
          <c:smooth val="0"/>
          <c:extLst>
            <c:ext xmlns:c16="http://schemas.microsoft.com/office/drawing/2014/chart" uri="{C3380CC4-5D6E-409C-BE32-E72D297353CC}">
              <c16:uniqueId val="{00000008-085D-4392-ABE0-110F2799542E}"/>
            </c:ext>
          </c:extLst>
        </c:ser>
        <c:ser>
          <c:idx val="8"/>
          <c:order val="8"/>
          <c:tx>
            <c:strRef>
              <c:f>Pandemic!$C$789</c:f>
              <c:strCache>
                <c:ptCount val="1"/>
                <c:pt idx="0">
                  <c:v>Limited English Proficiency</c:v>
                </c:pt>
              </c:strCache>
            </c:strRef>
          </c:tx>
          <c:spPr>
            <a:ln w="66675">
              <a:noFill/>
            </a:ln>
          </c:spPr>
          <c:dLbls>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Pandemic!$J$791</c:f>
              <c:numCache>
                <c:formatCode>General</c:formatCode>
                <c:ptCount val="1"/>
                <c:pt idx="0">
                  <c:v>2</c:v>
                </c:pt>
              </c:numCache>
            </c:numRef>
          </c:xVal>
          <c:yVal>
            <c:numRef>
              <c:f>Pandemic!$J$790</c:f>
              <c:numCache>
                <c:formatCode>General</c:formatCode>
                <c:ptCount val="1"/>
                <c:pt idx="0">
                  <c:v>0</c:v>
                </c:pt>
              </c:numCache>
            </c:numRef>
          </c:yVal>
          <c:smooth val="0"/>
          <c:extLst>
            <c:ext xmlns:c16="http://schemas.microsoft.com/office/drawing/2014/chart" uri="{C3380CC4-5D6E-409C-BE32-E72D297353CC}">
              <c16:uniqueId val="{00000009-085D-4392-ABE0-110F2799542E}"/>
            </c:ext>
          </c:extLst>
        </c:ser>
        <c:dLbls>
          <c:showLegendKey val="0"/>
          <c:showVal val="1"/>
          <c:showCatName val="0"/>
          <c:showSerName val="0"/>
          <c:showPercent val="0"/>
          <c:showBubbleSize val="0"/>
        </c:dLbls>
        <c:axId val="197387008"/>
        <c:axId val="197388928"/>
      </c:scatterChart>
      <c:valAx>
        <c:axId val="197387008"/>
        <c:scaling>
          <c:orientation val="minMax"/>
          <c:max val="4.5"/>
          <c:min val="0"/>
        </c:scaling>
        <c:delete val="0"/>
        <c:axPos val="b"/>
        <c:majorGridlines/>
        <c:title>
          <c:tx>
            <c:rich>
              <a:bodyPr/>
              <a:lstStyle/>
              <a:p>
                <a:pPr>
                  <a:defRPr b="0">
                    <a:latin typeface="+mj-lt"/>
                  </a:defRPr>
                </a:pPr>
                <a:r>
                  <a:rPr lang="en-US" sz="1600" b="0">
                    <a:latin typeface="+mj-lt"/>
                  </a:rPr>
                  <a:t>Access Planning Score</a:t>
                </a:r>
              </a:p>
            </c:rich>
          </c:tx>
          <c:overlay val="0"/>
        </c:title>
        <c:numFmt formatCode="General" sourceLinked="1"/>
        <c:majorTickMark val="out"/>
        <c:minorTickMark val="none"/>
        <c:tickLblPos val="nextTo"/>
        <c:spPr>
          <a:ln>
            <a:solidFill>
              <a:schemeClr val="tx1"/>
            </a:solidFill>
          </a:ln>
        </c:spPr>
        <c:crossAx val="197388928"/>
        <c:crosses val="autoZero"/>
        <c:crossBetween val="midCat"/>
        <c:majorUnit val="1"/>
        <c:minorUnit val="0.1"/>
      </c:valAx>
      <c:valAx>
        <c:axId val="197388928"/>
        <c:scaling>
          <c:orientation val="minMax"/>
          <c:max val="4.5"/>
          <c:min val="0"/>
        </c:scaling>
        <c:delete val="0"/>
        <c:axPos val="l"/>
        <c:majorGridlines/>
        <c:title>
          <c:tx>
            <c:rich>
              <a:bodyPr rot="-5400000" vert="horz"/>
              <a:lstStyle/>
              <a:p>
                <a:pPr>
                  <a:defRPr sz="1600" b="0">
                    <a:latin typeface="+mj-lt"/>
                  </a:defRPr>
                </a:pPr>
                <a:r>
                  <a:rPr lang="en-US" sz="1600" b="0">
                    <a:latin typeface="+mj-lt"/>
                  </a:rPr>
                  <a:t>Population Size Score</a:t>
                </a:r>
              </a:p>
            </c:rich>
          </c:tx>
          <c:overlay val="0"/>
        </c:title>
        <c:numFmt formatCode="General" sourceLinked="1"/>
        <c:majorTickMark val="out"/>
        <c:minorTickMark val="none"/>
        <c:tickLblPos val="nextTo"/>
        <c:spPr>
          <a:ln>
            <a:solidFill>
              <a:schemeClr val="tx1"/>
            </a:solidFill>
          </a:ln>
        </c:spPr>
        <c:crossAx val="197387008"/>
        <c:crosses val="autoZero"/>
        <c:crossBetween val="midCat"/>
        <c:majorUnit val="1"/>
        <c:minorUnit val="0.1"/>
      </c:valAx>
      <c:spPr>
        <a:gradFill flip="none" rotWithShape="1">
          <a:gsLst>
            <a:gs pos="0">
              <a:srgbClr val="63BE7B"/>
            </a:gs>
            <a:gs pos="50000">
              <a:srgbClr val="FFEB84"/>
            </a:gs>
            <a:gs pos="100000">
              <a:srgbClr val="F8696B"/>
            </a:gs>
          </a:gsLst>
          <a:lin ang="189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defRPr b="0" u="sng">
                <a:latin typeface="+mj-lt"/>
              </a:defRPr>
            </a:pPr>
            <a:r>
              <a:rPr lang="en-US" b="0" u="sng">
                <a:latin typeface="+mj-lt"/>
              </a:rPr>
              <a:t>Public Health Preparedness</a:t>
            </a:r>
          </a:p>
        </c:rich>
      </c:tx>
      <c:layout>
        <c:manualLayout>
          <c:xMode val="edge"/>
          <c:yMode val="edge"/>
          <c:x val="0.30532356317913883"/>
          <c:y val="1.3244983721297133E-2"/>
        </c:manualLayout>
      </c:layout>
      <c:overlay val="0"/>
    </c:title>
    <c:autoTitleDeleted val="0"/>
    <c:plotArea>
      <c:layout/>
      <c:scatterChart>
        <c:scatterStyle val="lineMarker"/>
        <c:varyColors val="0"/>
        <c:ser>
          <c:idx val="0"/>
          <c:order val="0"/>
          <c:tx>
            <c:strRef>
              <c:f>Pandemic!$C$853</c:f>
              <c:strCache>
                <c:ptCount val="1"/>
                <c:pt idx="0">
                  <c:v>Info Sharing</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Pandemic!$J$854</c:f>
              <c:numCache>
                <c:formatCode>General</c:formatCode>
                <c:ptCount val="1"/>
                <c:pt idx="0">
                  <c:v>4</c:v>
                </c:pt>
              </c:numCache>
            </c:numRef>
          </c:xVal>
          <c:yVal>
            <c:numRef>
              <c:f>Pandemic!$J$855</c:f>
              <c:numCache>
                <c:formatCode>General</c:formatCode>
                <c:ptCount val="1"/>
                <c:pt idx="0">
                  <c:v>0</c:v>
                </c:pt>
              </c:numCache>
            </c:numRef>
          </c:yVal>
          <c:smooth val="0"/>
          <c:extLst>
            <c:ext xmlns:c16="http://schemas.microsoft.com/office/drawing/2014/chart" uri="{C3380CC4-5D6E-409C-BE32-E72D297353CC}">
              <c16:uniqueId val="{00000000-3502-4B14-96A2-1014F876AA54}"/>
            </c:ext>
          </c:extLst>
        </c:ser>
        <c:ser>
          <c:idx val="1"/>
          <c:order val="1"/>
          <c:tx>
            <c:strRef>
              <c:f>Pandemic!$C$857</c:f>
              <c:strCache>
                <c:ptCount val="1"/>
                <c:pt idx="0">
                  <c:v>Mass Care</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Pandemic!$J$858</c:f>
              <c:numCache>
                <c:formatCode>General</c:formatCode>
                <c:ptCount val="1"/>
                <c:pt idx="0">
                  <c:v>3</c:v>
                </c:pt>
              </c:numCache>
            </c:numRef>
          </c:xVal>
          <c:yVal>
            <c:numRef>
              <c:f>Pandemic!$J$859</c:f>
              <c:numCache>
                <c:formatCode>General</c:formatCode>
                <c:ptCount val="1"/>
                <c:pt idx="0">
                  <c:v>0</c:v>
                </c:pt>
              </c:numCache>
            </c:numRef>
          </c:yVal>
          <c:smooth val="0"/>
          <c:extLst>
            <c:ext xmlns:c16="http://schemas.microsoft.com/office/drawing/2014/chart" uri="{C3380CC4-5D6E-409C-BE32-E72D297353CC}">
              <c16:uniqueId val="{00000001-3502-4B14-96A2-1014F876AA54}"/>
            </c:ext>
          </c:extLst>
        </c:ser>
        <c:ser>
          <c:idx val="2"/>
          <c:order val="2"/>
          <c:tx>
            <c:strRef>
              <c:f>Pandemic!$C$861</c:f>
              <c:strCache>
                <c:ptCount val="1"/>
                <c:pt idx="0">
                  <c:v>MCM Dispens</c:v>
                </c:pt>
              </c:strCache>
            </c:strRef>
          </c:tx>
          <c:spPr>
            <a:ln w="66675">
              <a:noFill/>
            </a:ln>
          </c:spPr>
          <c:dLbls>
            <c:dLbl>
              <c:idx val="0"/>
              <c:layout>
                <c:manualLayout>
                  <c:x val="1.6638527466737076E-3"/>
                  <c:y val="7.2859744990892124E-3"/>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3502-4B14-96A2-1014F876AA54}"/>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Pandemic!$J$862</c:f>
              <c:numCache>
                <c:formatCode>General</c:formatCode>
                <c:ptCount val="1"/>
                <c:pt idx="0">
                  <c:v>4</c:v>
                </c:pt>
              </c:numCache>
            </c:numRef>
          </c:xVal>
          <c:yVal>
            <c:numRef>
              <c:f>Pandemic!$J$863</c:f>
              <c:numCache>
                <c:formatCode>General</c:formatCode>
                <c:ptCount val="1"/>
                <c:pt idx="0">
                  <c:v>0</c:v>
                </c:pt>
              </c:numCache>
            </c:numRef>
          </c:yVal>
          <c:smooth val="0"/>
          <c:extLst>
            <c:ext xmlns:c16="http://schemas.microsoft.com/office/drawing/2014/chart" uri="{C3380CC4-5D6E-409C-BE32-E72D297353CC}">
              <c16:uniqueId val="{00000003-3502-4B14-96A2-1014F876AA54}"/>
            </c:ext>
          </c:extLst>
        </c:ser>
        <c:ser>
          <c:idx val="3"/>
          <c:order val="3"/>
          <c:tx>
            <c:strRef>
              <c:f>Pandemic!$C$865</c:f>
              <c:strCache>
                <c:ptCount val="1"/>
                <c:pt idx="0">
                  <c:v>Med Materiel Mgmt</c:v>
                </c:pt>
              </c:strCache>
            </c:strRef>
          </c:tx>
          <c:spPr>
            <a:ln w="66675">
              <a:noFill/>
            </a:ln>
          </c:spPr>
          <c:dLbls>
            <c:dLbl>
              <c:idx val="0"/>
              <c:layout>
                <c:manualLayout>
                  <c:x val="-0.14216219891634721"/>
                  <c:y val="1.700060716454159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3502-4B14-96A2-1014F876AA54}"/>
                </c:ext>
              </c:extLst>
            </c:dLbl>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Pandemic!$J$866</c:f>
              <c:numCache>
                <c:formatCode>General</c:formatCode>
                <c:ptCount val="1"/>
                <c:pt idx="0">
                  <c:v>4</c:v>
                </c:pt>
              </c:numCache>
            </c:numRef>
          </c:xVal>
          <c:yVal>
            <c:numRef>
              <c:f>Pandemic!$J$867</c:f>
              <c:numCache>
                <c:formatCode>General</c:formatCode>
                <c:ptCount val="1"/>
                <c:pt idx="0">
                  <c:v>0</c:v>
                </c:pt>
              </c:numCache>
            </c:numRef>
          </c:yVal>
          <c:smooth val="0"/>
          <c:extLst>
            <c:ext xmlns:c16="http://schemas.microsoft.com/office/drawing/2014/chart" uri="{C3380CC4-5D6E-409C-BE32-E72D297353CC}">
              <c16:uniqueId val="{00000005-3502-4B14-96A2-1014F876AA54}"/>
            </c:ext>
          </c:extLst>
        </c:ser>
        <c:ser>
          <c:idx val="4"/>
          <c:order val="4"/>
          <c:tx>
            <c:strRef>
              <c:f>Pandemic!$C$869</c:f>
              <c:strCache>
                <c:ptCount val="1"/>
                <c:pt idx="0">
                  <c:v>Medical Surge</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Pandemic!$J$870</c:f>
              <c:numCache>
                <c:formatCode>General</c:formatCode>
                <c:ptCount val="1"/>
                <c:pt idx="0">
                  <c:v>4</c:v>
                </c:pt>
              </c:numCache>
            </c:numRef>
          </c:xVal>
          <c:yVal>
            <c:numRef>
              <c:f>Pandemic!$J$871</c:f>
              <c:numCache>
                <c:formatCode>General</c:formatCode>
                <c:ptCount val="1"/>
                <c:pt idx="0">
                  <c:v>0</c:v>
                </c:pt>
              </c:numCache>
            </c:numRef>
          </c:yVal>
          <c:smooth val="0"/>
          <c:extLst>
            <c:ext xmlns:c16="http://schemas.microsoft.com/office/drawing/2014/chart" uri="{C3380CC4-5D6E-409C-BE32-E72D297353CC}">
              <c16:uniqueId val="{00000006-3502-4B14-96A2-1014F876AA54}"/>
            </c:ext>
          </c:extLst>
        </c:ser>
        <c:ser>
          <c:idx val="5"/>
          <c:order val="5"/>
          <c:tx>
            <c:strRef>
              <c:f>Pandemic!$C$873</c:f>
              <c:strCache>
                <c:ptCount val="1"/>
                <c:pt idx="0">
                  <c:v>Non-Pharm Interv</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Pandemic!$J$874</c:f>
              <c:numCache>
                <c:formatCode>General</c:formatCode>
                <c:ptCount val="1"/>
                <c:pt idx="0">
                  <c:v>4</c:v>
                </c:pt>
              </c:numCache>
            </c:numRef>
          </c:xVal>
          <c:yVal>
            <c:numRef>
              <c:f>Pandemic!$J$875</c:f>
              <c:numCache>
                <c:formatCode>General</c:formatCode>
                <c:ptCount val="1"/>
                <c:pt idx="0">
                  <c:v>0</c:v>
                </c:pt>
              </c:numCache>
            </c:numRef>
          </c:yVal>
          <c:smooth val="0"/>
          <c:extLst>
            <c:ext xmlns:c16="http://schemas.microsoft.com/office/drawing/2014/chart" uri="{C3380CC4-5D6E-409C-BE32-E72D297353CC}">
              <c16:uniqueId val="{00000007-3502-4B14-96A2-1014F876AA54}"/>
            </c:ext>
          </c:extLst>
        </c:ser>
        <c:ser>
          <c:idx val="6"/>
          <c:order val="6"/>
          <c:tx>
            <c:strRef>
              <c:f>Pandemic!$C$877</c:f>
              <c:strCache>
                <c:ptCount val="1"/>
                <c:pt idx="0">
                  <c:v>PH Lab Testing</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Pandemic!$J$878</c:f>
              <c:numCache>
                <c:formatCode>General</c:formatCode>
                <c:ptCount val="1"/>
                <c:pt idx="0">
                  <c:v>4</c:v>
                </c:pt>
              </c:numCache>
            </c:numRef>
          </c:xVal>
          <c:yVal>
            <c:numRef>
              <c:f>Pandemic!$J$879</c:f>
              <c:numCache>
                <c:formatCode>General</c:formatCode>
                <c:ptCount val="1"/>
                <c:pt idx="0">
                  <c:v>0</c:v>
                </c:pt>
              </c:numCache>
            </c:numRef>
          </c:yVal>
          <c:smooth val="0"/>
          <c:extLst>
            <c:ext xmlns:c16="http://schemas.microsoft.com/office/drawing/2014/chart" uri="{C3380CC4-5D6E-409C-BE32-E72D297353CC}">
              <c16:uniqueId val="{00000008-3502-4B14-96A2-1014F876AA54}"/>
            </c:ext>
          </c:extLst>
        </c:ser>
        <c:ser>
          <c:idx val="7"/>
          <c:order val="7"/>
          <c:tx>
            <c:strRef>
              <c:f>Pandemic!$C$881</c:f>
              <c:strCache>
                <c:ptCount val="1"/>
                <c:pt idx="0">
                  <c:v>PH Surv &amp; Epi</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Pandemic!$J$882</c:f>
              <c:numCache>
                <c:formatCode>General</c:formatCode>
                <c:ptCount val="1"/>
                <c:pt idx="0">
                  <c:v>4</c:v>
                </c:pt>
              </c:numCache>
            </c:numRef>
          </c:xVal>
          <c:yVal>
            <c:numRef>
              <c:f>Pandemic!$J$883</c:f>
              <c:numCache>
                <c:formatCode>General</c:formatCode>
                <c:ptCount val="1"/>
                <c:pt idx="0">
                  <c:v>0</c:v>
                </c:pt>
              </c:numCache>
            </c:numRef>
          </c:yVal>
          <c:smooth val="0"/>
          <c:extLst>
            <c:ext xmlns:c16="http://schemas.microsoft.com/office/drawing/2014/chart" uri="{C3380CC4-5D6E-409C-BE32-E72D297353CC}">
              <c16:uniqueId val="{00000009-3502-4B14-96A2-1014F876AA54}"/>
            </c:ext>
          </c:extLst>
        </c:ser>
        <c:ser>
          <c:idx val="8"/>
          <c:order val="8"/>
          <c:tx>
            <c:strRef>
              <c:f>Pandemic!$C$885</c:f>
              <c:strCache>
                <c:ptCount val="1"/>
                <c:pt idx="0">
                  <c:v>Responder Safety</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Pandemic!$J$886</c:f>
              <c:numCache>
                <c:formatCode>General</c:formatCode>
                <c:ptCount val="1"/>
                <c:pt idx="0">
                  <c:v>4</c:v>
                </c:pt>
              </c:numCache>
            </c:numRef>
          </c:xVal>
          <c:yVal>
            <c:numRef>
              <c:f>Pandemic!$J$887</c:f>
              <c:numCache>
                <c:formatCode>General</c:formatCode>
                <c:ptCount val="1"/>
                <c:pt idx="0">
                  <c:v>0</c:v>
                </c:pt>
              </c:numCache>
            </c:numRef>
          </c:yVal>
          <c:smooth val="0"/>
          <c:extLst>
            <c:ext xmlns:c16="http://schemas.microsoft.com/office/drawing/2014/chart" uri="{C3380CC4-5D6E-409C-BE32-E72D297353CC}">
              <c16:uniqueId val="{0000000A-3502-4B14-96A2-1014F876AA54}"/>
            </c:ext>
          </c:extLst>
        </c:ser>
        <c:ser>
          <c:idx val="9"/>
          <c:order val="9"/>
          <c:tx>
            <c:strRef>
              <c:f>Pandemic!$C$889</c:f>
              <c:strCache>
                <c:ptCount val="1"/>
                <c:pt idx="0">
                  <c:v>Volunteer Mgmt</c:v>
                </c:pt>
              </c:strCache>
            </c:strRef>
          </c:tx>
          <c:spPr>
            <a:ln w="66675">
              <a:noFill/>
            </a:ln>
          </c:spPr>
          <c:dLbls>
            <c:dLbl>
              <c:idx val="0"/>
              <c:layout>
                <c:manualLayout>
                  <c:x val="-0.14216219891634721"/>
                  <c:y val="-4.8573163327261691E-3"/>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B-3502-4B14-96A2-1014F876AA54}"/>
                </c:ext>
              </c:extLst>
            </c:dLbl>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Pandemic!$J$890</c:f>
              <c:numCache>
                <c:formatCode>General</c:formatCode>
                <c:ptCount val="1"/>
                <c:pt idx="0">
                  <c:v>4</c:v>
                </c:pt>
              </c:numCache>
            </c:numRef>
          </c:xVal>
          <c:yVal>
            <c:numRef>
              <c:f>Pandemic!$J$891</c:f>
              <c:numCache>
                <c:formatCode>General</c:formatCode>
                <c:ptCount val="1"/>
                <c:pt idx="0">
                  <c:v>0</c:v>
                </c:pt>
              </c:numCache>
            </c:numRef>
          </c:yVal>
          <c:smooth val="0"/>
          <c:extLst>
            <c:ext xmlns:c16="http://schemas.microsoft.com/office/drawing/2014/chart" uri="{C3380CC4-5D6E-409C-BE32-E72D297353CC}">
              <c16:uniqueId val="{0000000C-3502-4B14-96A2-1014F876AA54}"/>
            </c:ext>
          </c:extLst>
        </c:ser>
        <c:ser>
          <c:idx val="10"/>
          <c:order val="10"/>
          <c:tx>
            <c:strRef>
              <c:f>Pandemic!$C$833</c:f>
              <c:strCache>
                <c:ptCount val="1"/>
                <c:pt idx="0">
                  <c:v>Community Prep</c:v>
                </c:pt>
              </c:strCache>
            </c:strRef>
          </c:tx>
          <c:spPr>
            <a:ln w="66675">
              <a:noFill/>
            </a:ln>
          </c:spPr>
          <c:dLbls>
            <c:dLbl>
              <c:idx val="0"/>
              <c:layout>
                <c:manualLayout>
                  <c:x val="0"/>
                  <c:y val="-1.2143290831815466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3502-4B14-96A2-1014F876AA54}"/>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Pandemic!$J$834</c:f>
              <c:numCache>
                <c:formatCode>General</c:formatCode>
                <c:ptCount val="1"/>
                <c:pt idx="0">
                  <c:v>4</c:v>
                </c:pt>
              </c:numCache>
            </c:numRef>
          </c:xVal>
          <c:yVal>
            <c:numRef>
              <c:f>Pandemic!$J$835</c:f>
              <c:numCache>
                <c:formatCode>General</c:formatCode>
                <c:ptCount val="1"/>
                <c:pt idx="0">
                  <c:v>0</c:v>
                </c:pt>
              </c:numCache>
            </c:numRef>
          </c:yVal>
          <c:smooth val="0"/>
          <c:extLst>
            <c:ext xmlns:c16="http://schemas.microsoft.com/office/drawing/2014/chart" uri="{C3380CC4-5D6E-409C-BE32-E72D297353CC}">
              <c16:uniqueId val="{0000000E-3502-4B14-96A2-1014F876AA54}"/>
            </c:ext>
          </c:extLst>
        </c:ser>
        <c:ser>
          <c:idx val="11"/>
          <c:order val="11"/>
          <c:tx>
            <c:strRef>
              <c:f>Pandemic!$C$837</c:f>
              <c:strCache>
                <c:ptCount val="1"/>
                <c:pt idx="0">
                  <c:v>Community Recov</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Pandemic!$J$838</c:f>
              <c:numCache>
                <c:formatCode>General</c:formatCode>
                <c:ptCount val="1"/>
                <c:pt idx="0">
                  <c:v>4</c:v>
                </c:pt>
              </c:numCache>
            </c:numRef>
          </c:xVal>
          <c:yVal>
            <c:numRef>
              <c:f>Pandemic!$J$839</c:f>
              <c:numCache>
                <c:formatCode>General</c:formatCode>
                <c:ptCount val="1"/>
                <c:pt idx="0">
                  <c:v>0</c:v>
                </c:pt>
              </c:numCache>
            </c:numRef>
          </c:yVal>
          <c:smooth val="0"/>
          <c:extLst>
            <c:ext xmlns:c16="http://schemas.microsoft.com/office/drawing/2014/chart" uri="{C3380CC4-5D6E-409C-BE32-E72D297353CC}">
              <c16:uniqueId val="{0000000F-3502-4B14-96A2-1014F876AA54}"/>
            </c:ext>
          </c:extLst>
        </c:ser>
        <c:ser>
          <c:idx val="12"/>
          <c:order val="12"/>
          <c:tx>
            <c:strRef>
              <c:f>Pandemic!$C$841</c:f>
              <c:strCache>
                <c:ptCount val="1"/>
                <c:pt idx="0">
                  <c:v>Emerg Ops Coord</c:v>
                </c:pt>
              </c:strCache>
            </c:strRef>
          </c:tx>
          <c:spPr>
            <a:ln w="66675">
              <a:noFill/>
            </a:ln>
          </c:spPr>
          <c:dLbls>
            <c:spPr>
              <a:noFill/>
              <a:ln>
                <a:noFill/>
              </a:ln>
              <a:effectLst/>
            </c:sp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Pandemic!$J$842</c:f>
              <c:numCache>
                <c:formatCode>General</c:formatCode>
                <c:ptCount val="1"/>
                <c:pt idx="0">
                  <c:v>4</c:v>
                </c:pt>
              </c:numCache>
            </c:numRef>
          </c:xVal>
          <c:yVal>
            <c:numRef>
              <c:f>Pandemic!$J$843</c:f>
              <c:numCache>
                <c:formatCode>General</c:formatCode>
                <c:ptCount val="1"/>
                <c:pt idx="0">
                  <c:v>0</c:v>
                </c:pt>
              </c:numCache>
            </c:numRef>
          </c:yVal>
          <c:smooth val="0"/>
          <c:extLst>
            <c:ext xmlns:c16="http://schemas.microsoft.com/office/drawing/2014/chart" uri="{C3380CC4-5D6E-409C-BE32-E72D297353CC}">
              <c16:uniqueId val="{00000010-3502-4B14-96A2-1014F876AA54}"/>
            </c:ext>
          </c:extLst>
        </c:ser>
        <c:ser>
          <c:idx val="13"/>
          <c:order val="13"/>
          <c:tx>
            <c:strRef>
              <c:f>Pandemic!$C$845</c:f>
              <c:strCache>
                <c:ptCount val="1"/>
                <c:pt idx="0">
                  <c:v>Emerg Public Info</c:v>
                </c:pt>
              </c:strCache>
            </c:strRef>
          </c:tx>
          <c:spPr>
            <a:ln w="66675">
              <a:noFill/>
            </a:ln>
          </c:spPr>
          <c:dLbls>
            <c:dLbl>
              <c:idx val="0"/>
              <c:dLblPos val="l"/>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1-3502-4B14-96A2-1014F876AA54}"/>
                </c:ext>
              </c:extLst>
            </c:dLbl>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Pandemic!$J$846</c:f>
              <c:numCache>
                <c:formatCode>General</c:formatCode>
                <c:ptCount val="1"/>
                <c:pt idx="0">
                  <c:v>4</c:v>
                </c:pt>
              </c:numCache>
            </c:numRef>
          </c:xVal>
          <c:yVal>
            <c:numRef>
              <c:f>Pandemic!$J$847</c:f>
              <c:numCache>
                <c:formatCode>General</c:formatCode>
                <c:ptCount val="1"/>
                <c:pt idx="0">
                  <c:v>0</c:v>
                </c:pt>
              </c:numCache>
            </c:numRef>
          </c:yVal>
          <c:smooth val="0"/>
          <c:extLst>
            <c:ext xmlns:c16="http://schemas.microsoft.com/office/drawing/2014/chart" uri="{C3380CC4-5D6E-409C-BE32-E72D297353CC}">
              <c16:uniqueId val="{00000012-3502-4B14-96A2-1014F876AA54}"/>
            </c:ext>
          </c:extLst>
        </c:ser>
        <c:ser>
          <c:idx val="14"/>
          <c:order val="14"/>
          <c:tx>
            <c:strRef>
              <c:f>Pandemic!$C$964</c:f>
              <c:strCache>
                <c:ptCount val="1"/>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Pandemic!$J$965</c:f>
              <c:numCache>
                <c:formatCode>General</c:formatCode>
                <c:ptCount val="1"/>
              </c:numCache>
            </c:numRef>
          </c:xVal>
          <c:yVal>
            <c:numRef>
              <c:f>Pandemic!$J$966</c:f>
            </c:numRef>
          </c:yVal>
          <c:smooth val="0"/>
          <c:extLst>
            <c:ext xmlns:c16="http://schemas.microsoft.com/office/drawing/2014/chart" uri="{C3380CC4-5D6E-409C-BE32-E72D297353CC}">
              <c16:uniqueId val="{00000013-3502-4B14-96A2-1014F876AA54}"/>
            </c:ext>
          </c:extLst>
        </c:ser>
        <c:ser>
          <c:idx val="15"/>
          <c:order val="15"/>
          <c:tx>
            <c:strRef>
              <c:f>Pandemic!$C$849</c:f>
              <c:strCache>
                <c:ptCount val="1"/>
                <c:pt idx="0">
                  <c:v>Fatality Mgmt</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Pandemic!$J$850</c:f>
              <c:numCache>
                <c:formatCode>General</c:formatCode>
                <c:ptCount val="1"/>
                <c:pt idx="0">
                  <c:v>4</c:v>
                </c:pt>
              </c:numCache>
            </c:numRef>
          </c:xVal>
          <c:yVal>
            <c:numRef>
              <c:f>Pandemic!$J$851</c:f>
              <c:numCache>
                <c:formatCode>General</c:formatCode>
                <c:ptCount val="1"/>
                <c:pt idx="0">
                  <c:v>0</c:v>
                </c:pt>
              </c:numCache>
            </c:numRef>
          </c:yVal>
          <c:smooth val="0"/>
          <c:extLst>
            <c:ext xmlns:c16="http://schemas.microsoft.com/office/drawing/2014/chart" uri="{C3380CC4-5D6E-409C-BE32-E72D297353CC}">
              <c16:uniqueId val="{00000014-3502-4B14-96A2-1014F876AA54}"/>
            </c:ext>
          </c:extLst>
        </c:ser>
        <c:dLbls>
          <c:showLegendKey val="0"/>
          <c:showVal val="1"/>
          <c:showCatName val="0"/>
          <c:showSerName val="0"/>
          <c:showPercent val="0"/>
          <c:showBubbleSize val="0"/>
        </c:dLbls>
        <c:axId val="200020736"/>
        <c:axId val="200022656"/>
      </c:scatterChart>
      <c:valAx>
        <c:axId val="200020736"/>
        <c:scaling>
          <c:orientation val="minMax"/>
          <c:max val="4.5"/>
          <c:min val="0"/>
        </c:scaling>
        <c:delete val="0"/>
        <c:axPos val="b"/>
        <c:majorGridlines/>
        <c:title>
          <c:tx>
            <c:rich>
              <a:bodyPr/>
              <a:lstStyle/>
              <a:p>
                <a:pPr>
                  <a:defRPr b="0">
                    <a:latin typeface="+mj-lt"/>
                  </a:defRPr>
                </a:pPr>
                <a:r>
                  <a:rPr lang="en-US" sz="1600" b="0">
                    <a:latin typeface="+mj-lt"/>
                  </a:rPr>
                  <a:t>Capability Relevance to Hazard</a:t>
                </a:r>
              </a:p>
            </c:rich>
          </c:tx>
          <c:overlay val="0"/>
        </c:title>
        <c:numFmt formatCode="General" sourceLinked="1"/>
        <c:majorTickMark val="out"/>
        <c:minorTickMark val="none"/>
        <c:tickLblPos val="nextTo"/>
        <c:spPr>
          <a:ln>
            <a:solidFill>
              <a:schemeClr val="tx1"/>
            </a:solidFill>
          </a:ln>
        </c:spPr>
        <c:crossAx val="200022656"/>
        <c:crosses val="autoZero"/>
        <c:crossBetween val="midCat"/>
        <c:majorUnit val="1"/>
        <c:minorUnit val="0.1"/>
      </c:valAx>
      <c:valAx>
        <c:axId val="200022656"/>
        <c:scaling>
          <c:orientation val="minMax"/>
          <c:max val="4.5"/>
          <c:min val="0"/>
        </c:scaling>
        <c:delete val="0"/>
        <c:axPos val="l"/>
        <c:majorGridlines/>
        <c:title>
          <c:tx>
            <c:rich>
              <a:bodyPr rot="-5400000" vert="horz"/>
              <a:lstStyle/>
              <a:p>
                <a:pPr>
                  <a:defRPr sz="1600" b="0">
                    <a:latin typeface="+mj-lt"/>
                  </a:defRPr>
                </a:pPr>
                <a:r>
                  <a:rPr lang="en-US" sz="1600" b="0">
                    <a:latin typeface="+mj-lt"/>
                  </a:rPr>
                  <a:t>Capability Status</a:t>
                </a:r>
              </a:p>
            </c:rich>
          </c:tx>
          <c:overlay val="0"/>
        </c:title>
        <c:numFmt formatCode="General" sourceLinked="1"/>
        <c:majorTickMark val="out"/>
        <c:minorTickMark val="none"/>
        <c:tickLblPos val="nextTo"/>
        <c:spPr>
          <a:ln>
            <a:solidFill>
              <a:schemeClr val="tx1"/>
            </a:solidFill>
          </a:ln>
        </c:spPr>
        <c:crossAx val="200020736"/>
        <c:crosses val="autoZero"/>
        <c:crossBetween val="midCat"/>
        <c:majorUnit val="1"/>
        <c:minorUnit val="0.1"/>
      </c:valAx>
      <c:spPr>
        <a:gradFill flip="none" rotWithShape="1">
          <a:gsLst>
            <a:gs pos="0">
              <a:srgbClr val="63BE7B"/>
            </a:gs>
            <a:gs pos="50000">
              <a:srgbClr val="FFEB84"/>
            </a:gs>
            <a:gs pos="100000">
              <a:srgbClr val="F8696B"/>
            </a:gs>
          </a:gsLst>
          <a:lin ang="27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defRPr b="0" u="sng">
                <a:latin typeface="+mj-lt"/>
              </a:defRPr>
            </a:pPr>
            <a:r>
              <a:rPr lang="en-US" b="0" u="sng">
                <a:latin typeface="+mj-lt"/>
              </a:rPr>
              <a:t>Healthcare Preparedness</a:t>
            </a:r>
          </a:p>
        </c:rich>
      </c:tx>
      <c:layout>
        <c:manualLayout>
          <c:xMode val="edge"/>
          <c:yMode val="edge"/>
          <c:x val="0.3835246087096546"/>
          <c:y val="1.3244983721297133E-2"/>
        </c:manualLayout>
      </c:layout>
      <c:overlay val="0"/>
    </c:title>
    <c:autoTitleDeleted val="0"/>
    <c:plotArea>
      <c:layout/>
      <c:scatterChart>
        <c:scatterStyle val="lineMarker"/>
        <c:varyColors val="0"/>
        <c:ser>
          <c:idx val="0"/>
          <c:order val="0"/>
          <c:tx>
            <c:strRef>
              <c:f>Pandemic!$C$903</c:f>
              <c:strCache>
                <c:ptCount val="1"/>
                <c:pt idx="0">
                  <c:v>HC System Prep</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Pandemic!$J$904</c:f>
              <c:numCache>
                <c:formatCode>General</c:formatCode>
                <c:ptCount val="1"/>
                <c:pt idx="0">
                  <c:v>4</c:v>
                </c:pt>
              </c:numCache>
            </c:numRef>
          </c:xVal>
          <c:yVal>
            <c:numRef>
              <c:f>Pandemic!$J$905</c:f>
              <c:numCache>
                <c:formatCode>General</c:formatCode>
                <c:ptCount val="1"/>
                <c:pt idx="0">
                  <c:v>0</c:v>
                </c:pt>
              </c:numCache>
            </c:numRef>
          </c:yVal>
          <c:smooth val="0"/>
          <c:extLst>
            <c:ext xmlns:c16="http://schemas.microsoft.com/office/drawing/2014/chart" uri="{C3380CC4-5D6E-409C-BE32-E72D297353CC}">
              <c16:uniqueId val="{00000000-4130-4D0A-98E5-90EB7959D2AB}"/>
            </c:ext>
          </c:extLst>
        </c:ser>
        <c:ser>
          <c:idx val="1"/>
          <c:order val="1"/>
          <c:tx>
            <c:strRef>
              <c:f>Pandemic!$C$907</c:f>
              <c:strCache>
                <c:ptCount val="1"/>
                <c:pt idx="0">
                  <c:v>HC System Recov</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Pandemic!$J$908</c:f>
              <c:numCache>
                <c:formatCode>General</c:formatCode>
                <c:ptCount val="1"/>
                <c:pt idx="0">
                  <c:v>4</c:v>
                </c:pt>
              </c:numCache>
            </c:numRef>
          </c:xVal>
          <c:yVal>
            <c:numRef>
              <c:f>Pandemic!$J$909</c:f>
              <c:numCache>
                <c:formatCode>General</c:formatCode>
                <c:ptCount val="1"/>
                <c:pt idx="0">
                  <c:v>0</c:v>
                </c:pt>
              </c:numCache>
            </c:numRef>
          </c:yVal>
          <c:smooth val="0"/>
          <c:extLst>
            <c:ext xmlns:c16="http://schemas.microsoft.com/office/drawing/2014/chart" uri="{C3380CC4-5D6E-409C-BE32-E72D297353CC}">
              <c16:uniqueId val="{00000001-4130-4D0A-98E5-90EB7959D2AB}"/>
            </c:ext>
          </c:extLst>
        </c:ser>
        <c:ser>
          <c:idx val="2"/>
          <c:order val="2"/>
          <c:tx>
            <c:strRef>
              <c:f>Pandemic!$C$911</c:f>
              <c:strCache>
                <c:ptCount val="1"/>
                <c:pt idx="0">
                  <c:v>Emerg Ops Coord</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Pandemic!$J$912</c:f>
              <c:numCache>
                <c:formatCode>General</c:formatCode>
                <c:ptCount val="1"/>
                <c:pt idx="0">
                  <c:v>4</c:v>
                </c:pt>
              </c:numCache>
            </c:numRef>
          </c:xVal>
          <c:yVal>
            <c:numRef>
              <c:f>Pandemic!$J$913</c:f>
              <c:numCache>
                <c:formatCode>General</c:formatCode>
                <c:ptCount val="1"/>
                <c:pt idx="0">
                  <c:v>0</c:v>
                </c:pt>
              </c:numCache>
            </c:numRef>
          </c:yVal>
          <c:smooth val="0"/>
          <c:extLst>
            <c:ext xmlns:c16="http://schemas.microsoft.com/office/drawing/2014/chart" uri="{C3380CC4-5D6E-409C-BE32-E72D297353CC}">
              <c16:uniqueId val="{00000002-4130-4D0A-98E5-90EB7959D2AB}"/>
            </c:ext>
          </c:extLst>
        </c:ser>
        <c:ser>
          <c:idx val="3"/>
          <c:order val="3"/>
          <c:tx>
            <c:strRef>
              <c:f>Pandemic!$C$915</c:f>
              <c:strCache>
                <c:ptCount val="1"/>
                <c:pt idx="0">
                  <c:v>Fatality Mgmt</c:v>
                </c:pt>
              </c:strCache>
            </c:strRef>
          </c:tx>
          <c:spPr>
            <a:ln w="66675">
              <a:noFill/>
            </a:ln>
          </c:spPr>
          <c:dLbls>
            <c:dLbl>
              <c:idx val="0"/>
              <c:layout>
                <c:manualLayout>
                  <c:x val="-0.14216219891634721"/>
                  <c:y val="1.700060716454159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4130-4D0A-98E5-90EB7959D2AB}"/>
                </c:ext>
              </c:extLst>
            </c:dLbl>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Pandemic!$J$916</c:f>
              <c:numCache>
                <c:formatCode>General</c:formatCode>
                <c:ptCount val="1"/>
                <c:pt idx="0">
                  <c:v>4</c:v>
                </c:pt>
              </c:numCache>
            </c:numRef>
          </c:xVal>
          <c:yVal>
            <c:numRef>
              <c:f>Pandemic!$J$917</c:f>
              <c:numCache>
                <c:formatCode>General</c:formatCode>
                <c:ptCount val="1"/>
                <c:pt idx="0">
                  <c:v>0</c:v>
                </c:pt>
              </c:numCache>
            </c:numRef>
          </c:yVal>
          <c:smooth val="0"/>
          <c:extLst>
            <c:ext xmlns:c16="http://schemas.microsoft.com/office/drawing/2014/chart" uri="{C3380CC4-5D6E-409C-BE32-E72D297353CC}">
              <c16:uniqueId val="{00000004-4130-4D0A-98E5-90EB7959D2AB}"/>
            </c:ext>
          </c:extLst>
        </c:ser>
        <c:ser>
          <c:idx val="4"/>
          <c:order val="4"/>
          <c:tx>
            <c:strRef>
              <c:f>Pandemic!$C$919</c:f>
              <c:strCache>
                <c:ptCount val="1"/>
                <c:pt idx="0">
                  <c:v>Info Sharing</c:v>
                </c:pt>
              </c:strCache>
            </c:strRef>
          </c:tx>
          <c:spPr>
            <a:ln w="66675">
              <a:noFill/>
            </a:ln>
          </c:spPr>
          <c:dLbls>
            <c:dLbl>
              <c:idx val="0"/>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4130-4D0A-98E5-90EB7959D2AB}"/>
                </c:ext>
              </c:extLst>
            </c:dLbl>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Pandemic!$J$920</c:f>
              <c:numCache>
                <c:formatCode>General</c:formatCode>
                <c:ptCount val="1"/>
                <c:pt idx="0">
                  <c:v>4</c:v>
                </c:pt>
              </c:numCache>
            </c:numRef>
          </c:xVal>
          <c:yVal>
            <c:numRef>
              <c:f>Pandemic!$J$921</c:f>
              <c:numCache>
                <c:formatCode>General</c:formatCode>
                <c:ptCount val="1"/>
                <c:pt idx="0">
                  <c:v>0</c:v>
                </c:pt>
              </c:numCache>
            </c:numRef>
          </c:yVal>
          <c:smooth val="0"/>
          <c:extLst>
            <c:ext xmlns:c16="http://schemas.microsoft.com/office/drawing/2014/chart" uri="{C3380CC4-5D6E-409C-BE32-E72D297353CC}">
              <c16:uniqueId val="{00000006-4130-4D0A-98E5-90EB7959D2AB}"/>
            </c:ext>
          </c:extLst>
        </c:ser>
        <c:ser>
          <c:idx val="5"/>
          <c:order val="5"/>
          <c:tx>
            <c:strRef>
              <c:f>Pandemic!$C$923</c:f>
              <c:strCache>
                <c:ptCount val="1"/>
                <c:pt idx="0">
                  <c:v>Medical Surge</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Pandemic!$J$924</c:f>
              <c:numCache>
                <c:formatCode>General</c:formatCode>
                <c:ptCount val="1"/>
                <c:pt idx="0">
                  <c:v>4</c:v>
                </c:pt>
              </c:numCache>
            </c:numRef>
          </c:xVal>
          <c:yVal>
            <c:numRef>
              <c:f>Pandemic!$J$925</c:f>
              <c:numCache>
                <c:formatCode>General</c:formatCode>
                <c:ptCount val="1"/>
                <c:pt idx="0">
                  <c:v>0</c:v>
                </c:pt>
              </c:numCache>
            </c:numRef>
          </c:yVal>
          <c:smooth val="0"/>
          <c:extLst>
            <c:ext xmlns:c16="http://schemas.microsoft.com/office/drawing/2014/chart" uri="{C3380CC4-5D6E-409C-BE32-E72D297353CC}">
              <c16:uniqueId val="{00000007-4130-4D0A-98E5-90EB7959D2AB}"/>
            </c:ext>
          </c:extLst>
        </c:ser>
        <c:ser>
          <c:idx val="6"/>
          <c:order val="6"/>
          <c:tx>
            <c:strRef>
              <c:f>Pandemic!$C$927</c:f>
              <c:strCache>
                <c:ptCount val="1"/>
                <c:pt idx="0">
                  <c:v>Responder Safety</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Pandemic!$J$928</c:f>
              <c:numCache>
                <c:formatCode>General</c:formatCode>
                <c:ptCount val="1"/>
                <c:pt idx="0">
                  <c:v>4</c:v>
                </c:pt>
              </c:numCache>
            </c:numRef>
          </c:xVal>
          <c:yVal>
            <c:numRef>
              <c:f>Pandemic!$J$929</c:f>
              <c:numCache>
                <c:formatCode>General</c:formatCode>
                <c:ptCount val="1"/>
                <c:pt idx="0">
                  <c:v>0</c:v>
                </c:pt>
              </c:numCache>
            </c:numRef>
          </c:yVal>
          <c:smooth val="0"/>
          <c:extLst>
            <c:ext xmlns:c16="http://schemas.microsoft.com/office/drawing/2014/chart" uri="{C3380CC4-5D6E-409C-BE32-E72D297353CC}">
              <c16:uniqueId val="{00000008-4130-4D0A-98E5-90EB7959D2AB}"/>
            </c:ext>
          </c:extLst>
        </c:ser>
        <c:ser>
          <c:idx val="7"/>
          <c:order val="7"/>
          <c:tx>
            <c:strRef>
              <c:f>Pandemic!$C$931</c:f>
              <c:strCache>
                <c:ptCount val="1"/>
                <c:pt idx="0">
                  <c:v>Volunteer Mgmt</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Pandemic!$J$932</c:f>
              <c:numCache>
                <c:formatCode>General</c:formatCode>
                <c:ptCount val="1"/>
                <c:pt idx="0">
                  <c:v>4</c:v>
                </c:pt>
              </c:numCache>
            </c:numRef>
          </c:xVal>
          <c:yVal>
            <c:numRef>
              <c:f>Pandemic!$J$933</c:f>
              <c:numCache>
                <c:formatCode>General</c:formatCode>
                <c:ptCount val="1"/>
                <c:pt idx="0">
                  <c:v>0</c:v>
                </c:pt>
              </c:numCache>
            </c:numRef>
          </c:yVal>
          <c:smooth val="0"/>
          <c:extLst>
            <c:ext xmlns:c16="http://schemas.microsoft.com/office/drawing/2014/chart" uri="{C3380CC4-5D6E-409C-BE32-E72D297353CC}">
              <c16:uniqueId val="{00000009-4130-4D0A-98E5-90EB7959D2AB}"/>
            </c:ext>
          </c:extLst>
        </c:ser>
        <c:ser>
          <c:idx val="14"/>
          <c:order val="8"/>
          <c:tx>
            <c:strRef>
              <c:f>Pandemic!$C$964</c:f>
              <c:strCache>
                <c:ptCount val="1"/>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Pandemic!$J$965</c:f>
              <c:numCache>
                <c:formatCode>General</c:formatCode>
                <c:ptCount val="1"/>
              </c:numCache>
            </c:numRef>
          </c:xVal>
          <c:yVal>
            <c:numRef>
              <c:f>Pandemic!$J$966</c:f>
            </c:numRef>
          </c:yVal>
          <c:smooth val="0"/>
          <c:extLst>
            <c:ext xmlns:c16="http://schemas.microsoft.com/office/drawing/2014/chart" uri="{C3380CC4-5D6E-409C-BE32-E72D297353CC}">
              <c16:uniqueId val="{0000000A-4130-4D0A-98E5-90EB7959D2AB}"/>
            </c:ext>
          </c:extLst>
        </c:ser>
        <c:dLbls>
          <c:showLegendKey val="0"/>
          <c:showVal val="1"/>
          <c:showCatName val="0"/>
          <c:showSerName val="0"/>
          <c:showPercent val="0"/>
          <c:showBubbleSize val="0"/>
        </c:dLbls>
        <c:axId val="200095232"/>
        <c:axId val="200097152"/>
      </c:scatterChart>
      <c:valAx>
        <c:axId val="200095232"/>
        <c:scaling>
          <c:orientation val="minMax"/>
          <c:max val="4.5"/>
          <c:min val="0"/>
        </c:scaling>
        <c:delete val="0"/>
        <c:axPos val="b"/>
        <c:majorGridlines/>
        <c:title>
          <c:tx>
            <c:rich>
              <a:bodyPr/>
              <a:lstStyle/>
              <a:p>
                <a:pPr>
                  <a:defRPr b="0">
                    <a:latin typeface="+mj-lt"/>
                  </a:defRPr>
                </a:pPr>
                <a:r>
                  <a:rPr lang="en-US" sz="1600" b="0">
                    <a:latin typeface="+mj-lt"/>
                  </a:rPr>
                  <a:t>Capability Relevance to Hazard</a:t>
                </a:r>
              </a:p>
            </c:rich>
          </c:tx>
          <c:overlay val="0"/>
        </c:title>
        <c:numFmt formatCode="General" sourceLinked="1"/>
        <c:majorTickMark val="out"/>
        <c:minorTickMark val="none"/>
        <c:tickLblPos val="nextTo"/>
        <c:spPr>
          <a:ln>
            <a:solidFill>
              <a:schemeClr val="tx1"/>
            </a:solidFill>
          </a:ln>
        </c:spPr>
        <c:crossAx val="200097152"/>
        <c:crosses val="autoZero"/>
        <c:crossBetween val="midCat"/>
        <c:majorUnit val="1"/>
        <c:minorUnit val="0.1"/>
      </c:valAx>
      <c:valAx>
        <c:axId val="200097152"/>
        <c:scaling>
          <c:orientation val="minMax"/>
          <c:max val="4.5"/>
          <c:min val="0"/>
        </c:scaling>
        <c:delete val="0"/>
        <c:axPos val="l"/>
        <c:majorGridlines/>
        <c:title>
          <c:tx>
            <c:rich>
              <a:bodyPr rot="-5400000" vert="horz"/>
              <a:lstStyle/>
              <a:p>
                <a:pPr>
                  <a:defRPr sz="1600" b="0">
                    <a:latin typeface="+mj-lt"/>
                  </a:defRPr>
                </a:pPr>
                <a:r>
                  <a:rPr lang="en-US" sz="1600" b="0">
                    <a:latin typeface="+mj-lt"/>
                  </a:rPr>
                  <a:t>Capability Status</a:t>
                </a:r>
              </a:p>
            </c:rich>
          </c:tx>
          <c:overlay val="0"/>
        </c:title>
        <c:numFmt formatCode="General" sourceLinked="1"/>
        <c:majorTickMark val="out"/>
        <c:minorTickMark val="none"/>
        <c:tickLblPos val="nextTo"/>
        <c:spPr>
          <a:ln>
            <a:solidFill>
              <a:schemeClr val="tx1"/>
            </a:solidFill>
          </a:ln>
        </c:spPr>
        <c:crossAx val="200095232"/>
        <c:crosses val="autoZero"/>
        <c:crossBetween val="midCat"/>
        <c:majorUnit val="1"/>
        <c:minorUnit val="0.1"/>
      </c:valAx>
      <c:spPr>
        <a:gradFill flip="none" rotWithShape="1">
          <a:gsLst>
            <a:gs pos="0">
              <a:srgbClr val="63BE7B"/>
            </a:gs>
            <a:gs pos="50000">
              <a:srgbClr val="FFEB84"/>
            </a:gs>
            <a:gs pos="100000">
              <a:srgbClr val="F8696B"/>
            </a:gs>
          </a:gsLst>
          <a:lin ang="27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b="0" u="sng">
                <a:latin typeface="+mj-lt"/>
              </a:defRPr>
            </a:pPr>
            <a:r>
              <a:rPr lang="en-US" b="0" u="sng">
                <a:latin typeface="+mj-lt"/>
              </a:rPr>
              <a:t>Severity</a:t>
            </a:r>
          </a:p>
        </c:rich>
      </c:tx>
      <c:layout>
        <c:manualLayout>
          <c:xMode val="edge"/>
          <c:yMode val="edge"/>
          <c:x val="0.46889233641333816"/>
          <c:y val="1.3244983721297133E-2"/>
        </c:manualLayout>
      </c:layout>
      <c:overlay val="0"/>
    </c:title>
    <c:autoTitleDeleted val="0"/>
    <c:plotArea>
      <c:layout/>
      <c:barChart>
        <c:barDir val="col"/>
        <c:grouping val="clustered"/>
        <c:varyColors val="0"/>
        <c:ser>
          <c:idx val="0"/>
          <c:order val="0"/>
          <c:tx>
            <c:v>Severity</c:v>
          </c:tx>
          <c:spPr>
            <a:solidFill>
              <a:schemeClr val="accent4">
                <a:lumMod val="60000"/>
                <a:lumOff val="40000"/>
              </a:schemeClr>
            </a:solidFill>
            <a:ln>
              <a:solidFill>
                <a:schemeClr val="accent4"/>
              </a:solidFill>
            </a:ln>
            <a:scene3d>
              <a:camera prst="orthographicFront"/>
              <a:lightRig rig="threePt" dir="t"/>
            </a:scene3d>
            <a:sp3d prstMaterial="matte">
              <a:bevelT w="63500" h="50800"/>
            </a:sp3d>
          </c:spPr>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('Active Shooter'!$G$22,'Active Shooter'!$G$137,'Active Shooter'!$G$265,'Active Shooter'!$G$425,'Active Shooter'!$G$543)</c:f>
              <c:strCache>
                <c:ptCount val="5"/>
                <c:pt idx="0">
                  <c:v>Human Impact</c:v>
                </c:pt>
                <c:pt idx="1">
                  <c:v>Healthcare Service Impact</c:v>
                </c:pt>
                <c:pt idx="2">
                  <c:v>Inpatient Healthcare Facility Infrastructure Impact</c:v>
                </c:pt>
                <c:pt idx="3">
                  <c:v>Community Impact</c:v>
                </c:pt>
                <c:pt idx="4">
                  <c:v>Public Health Service Impact</c:v>
                </c:pt>
              </c:strCache>
            </c:strRef>
          </c:cat>
          <c:val>
            <c:numRef>
              <c:f>('Radiation Dispersal Device'!$J$133,'Radiation Dispersal Device'!$J$261,'Radiation Dispersal Device'!$J$421,'Radiation Dispersal Device'!$J$539,'Radiation Dispersal Device'!$J$681)</c:f>
              <c:numCache>
                <c:formatCode>0.00</c:formatCode>
                <c:ptCount val="5"/>
                <c:pt idx="0">
                  <c:v>0</c:v>
                </c:pt>
                <c:pt idx="1">
                  <c:v>0</c:v>
                </c:pt>
                <c:pt idx="2">
                  <c:v>1.6875</c:v>
                </c:pt>
                <c:pt idx="3">
                  <c:v>1.7142857142857142</c:v>
                </c:pt>
                <c:pt idx="4">
                  <c:v>0</c:v>
                </c:pt>
              </c:numCache>
            </c:numRef>
          </c:val>
          <c:extLst>
            <c:ext xmlns:c16="http://schemas.microsoft.com/office/drawing/2014/chart" uri="{C3380CC4-5D6E-409C-BE32-E72D297353CC}">
              <c16:uniqueId val="{00000000-76DB-46E9-9286-B4223B9015EB}"/>
            </c:ext>
          </c:extLst>
        </c:ser>
        <c:dLbls>
          <c:showLegendKey val="0"/>
          <c:showVal val="1"/>
          <c:showCatName val="0"/>
          <c:showSerName val="0"/>
          <c:showPercent val="0"/>
          <c:showBubbleSize val="0"/>
        </c:dLbls>
        <c:gapWidth val="150"/>
        <c:axId val="200129536"/>
        <c:axId val="200230016"/>
      </c:barChart>
      <c:catAx>
        <c:axId val="200129536"/>
        <c:scaling>
          <c:orientation val="minMax"/>
        </c:scaling>
        <c:delete val="0"/>
        <c:axPos val="b"/>
        <c:title>
          <c:tx>
            <c:rich>
              <a:bodyPr/>
              <a:lstStyle/>
              <a:p>
                <a:pPr>
                  <a:defRPr sz="1600" b="0">
                    <a:latin typeface="+mj-lt"/>
                  </a:defRPr>
                </a:pPr>
                <a:r>
                  <a:rPr lang="en-US" sz="1600" b="0">
                    <a:latin typeface="+mj-lt"/>
                  </a:rPr>
                  <a:t>Domain</a:t>
                </a:r>
              </a:p>
            </c:rich>
          </c:tx>
          <c:overlay val="0"/>
        </c:title>
        <c:numFmt formatCode="General" sourceLinked="1"/>
        <c:majorTickMark val="out"/>
        <c:minorTickMark val="none"/>
        <c:tickLblPos val="nextTo"/>
        <c:crossAx val="200230016"/>
        <c:crosses val="autoZero"/>
        <c:auto val="1"/>
        <c:lblAlgn val="ctr"/>
        <c:lblOffset val="100"/>
        <c:noMultiLvlLbl val="0"/>
      </c:catAx>
      <c:valAx>
        <c:axId val="200230016"/>
        <c:scaling>
          <c:orientation val="minMax"/>
          <c:max val="4"/>
        </c:scaling>
        <c:delete val="0"/>
        <c:axPos val="l"/>
        <c:majorGridlines/>
        <c:title>
          <c:tx>
            <c:rich>
              <a:bodyPr rot="-5400000" vert="horz"/>
              <a:lstStyle/>
              <a:p>
                <a:pPr>
                  <a:defRPr sz="1600" b="0">
                    <a:latin typeface="+mj-lt"/>
                  </a:defRPr>
                </a:pPr>
                <a:r>
                  <a:rPr lang="en-US" sz="1600" b="0">
                    <a:latin typeface="+mj-lt"/>
                  </a:rPr>
                  <a:t>Severity</a:t>
                </a:r>
                <a:r>
                  <a:rPr lang="en-US" sz="1600" b="0" baseline="0">
                    <a:latin typeface="+mj-lt"/>
                  </a:rPr>
                  <a:t> Score</a:t>
                </a:r>
                <a:endParaRPr lang="en-US" sz="1600" b="0">
                  <a:latin typeface="+mj-lt"/>
                </a:endParaRPr>
              </a:p>
            </c:rich>
          </c:tx>
          <c:overlay val="0"/>
        </c:title>
        <c:numFmt formatCode="0.00" sourceLinked="1"/>
        <c:majorTickMark val="out"/>
        <c:minorTickMark val="none"/>
        <c:tickLblPos val="nextTo"/>
        <c:crossAx val="200129536"/>
        <c:crosses val="autoZero"/>
        <c:crossBetween val="between"/>
      </c:valAx>
      <c:spPr>
        <a:gradFill flip="none" rotWithShape="1">
          <a:gsLst>
            <a:gs pos="0">
              <a:srgbClr val="63BE7B"/>
            </a:gs>
            <a:gs pos="50000">
              <a:srgbClr val="FFEB84"/>
            </a:gs>
            <a:gs pos="100000">
              <a:srgbClr val="F8696B"/>
            </a:gs>
          </a:gsLst>
          <a:lin ang="162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b="0" u="sng">
                <a:latin typeface="+mj-lt"/>
              </a:defRPr>
            </a:pPr>
            <a:r>
              <a:rPr lang="en-US" b="0" u="sng">
                <a:latin typeface="+mj-lt"/>
              </a:rPr>
              <a:t>At-Risk Populations</a:t>
            </a:r>
          </a:p>
        </c:rich>
      </c:tx>
      <c:layout>
        <c:manualLayout>
          <c:xMode val="edge"/>
          <c:yMode val="edge"/>
          <c:x val="0.37636858589702443"/>
          <c:y val="1.3244983721297133E-2"/>
        </c:manualLayout>
      </c:layout>
      <c:overlay val="0"/>
    </c:title>
    <c:autoTitleDeleted val="0"/>
    <c:plotArea>
      <c:layout/>
      <c:scatterChart>
        <c:scatterStyle val="lineMarker"/>
        <c:varyColors val="0"/>
        <c:ser>
          <c:idx val="0"/>
          <c:order val="0"/>
          <c:tx>
            <c:strRef>
              <c:f>'Radiation Dispersal Device'!$C$793</c:f>
              <c:strCache>
                <c:ptCount val="1"/>
                <c:pt idx="0">
                  <c:v>Poverty</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'Radiation Dispersal Device'!$J$795</c:f>
              <c:numCache>
                <c:formatCode>General</c:formatCode>
                <c:ptCount val="1"/>
                <c:pt idx="0">
                  <c:v>3</c:v>
                </c:pt>
              </c:numCache>
            </c:numRef>
          </c:xVal>
          <c:yVal>
            <c:numRef>
              <c:f>'Radiation Dispersal Device'!$J$794</c:f>
              <c:numCache>
                <c:formatCode>General</c:formatCode>
                <c:ptCount val="1"/>
                <c:pt idx="0">
                  <c:v>0</c:v>
                </c:pt>
              </c:numCache>
            </c:numRef>
          </c:yVal>
          <c:smooth val="0"/>
          <c:extLst>
            <c:ext xmlns:c16="http://schemas.microsoft.com/office/drawing/2014/chart" uri="{C3380CC4-5D6E-409C-BE32-E72D297353CC}">
              <c16:uniqueId val="{00000000-803C-4596-8F41-8A35F6E3DAD4}"/>
            </c:ext>
          </c:extLst>
        </c:ser>
        <c:ser>
          <c:idx val="1"/>
          <c:order val="1"/>
          <c:tx>
            <c:strRef>
              <c:f>'Radiation Dispersal Device'!$C$797</c:f>
              <c:strCache>
                <c:ptCount val="1"/>
                <c:pt idx="0">
                  <c:v>Chronic Diseases (Diabetes)</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'Radiation Dispersal Device'!$J$799</c:f>
              <c:numCache>
                <c:formatCode>General</c:formatCode>
                <c:ptCount val="1"/>
                <c:pt idx="0">
                  <c:v>4</c:v>
                </c:pt>
              </c:numCache>
            </c:numRef>
          </c:xVal>
          <c:yVal>
            <c:numRef>
              <c:f>'Radiation Dispersal Device'!$J$798</c:f>
              <c:numCache>
                <c:formatCode>General</c:formatCode>
                <c:ptCount val="1"/>
                <c:pt idx="0">
                  <c:v>0</c:v>
                </c:pt>
              </c:numCache>
            </c:numRef>
          </c:yVal>
          <c:smooth val="0"/>
          <c:extLst>
            <c:ext xmlns:c16="http://schemas.microsoft.com/office/drawing/2014/chart" uri="{C3380CC4-5D6E-409C-BE32-E72D297353CC}">
              <c16:uniqueId val="{00000001-803C-4596-8F41-8A35F6E3DAD4}"/>
            </c:ext>
          </c:extLst>
        </c:ser>
        <c:ser>
          <c:idx val="2"/>
          <c:order val="2"/>
          <c:tx>
            <c:strRef>
              <c:f>'Radiation Dispersal Device'!$C$801</c:f>
              <c:strCache>
                <c:ptCount val="1"/>
                <c:pt idx="0">
                  <c:v>Children 18 and under</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'Radiation Dispersal Device'!$J$803</c:f>
              <c:numCache>
                <c:formatCode>General</c:formatCode>
                <c:ptCount val="1"/>
                <c:pt idx="0">
                  <c:v>4</c:v>
                </c:pt>
              </c:numCache>
            </c:numRef>
          </c:xVal>
          <c:yVal>
            <c:numRef>
              <c:f>'Radiation Dispersal Device'!$J$802</c:f>
              <c:numCache>
                <c:formatCode>General</c:formatCode>
                <c:ptCount val="1"/>
                <c:pt idx="0">
                  <c:v>0</c:v>
                </c:pt>
              </c:numCache>
            </c:numRef>
          </c:yVal>
          <c:smooth val="0"/>
          <c:extLst>
            <c:ext xmlns:c16="http://schemas.microsoft.com/office/drawing/2014/chart" uri="{C3380CC4-5D6E-409C-BE32-E72D297353CC}">
              <c16:uniqueId val="{00000002-803C-4596-8F41-8A35F6E3DAD4}"/>
            </c:ext>
          </c:extLst>
        </c:ser>
        <c:ser>
          <c:idx val="3"/>
          <c:order val="3"/>
          <c:tx>
            <c:strRef>
              <c:f>'Radiation Dispersal Device'!$C$805</c:f>
              <c:strCache>
                <c:ptCount val="1"/>
                <c:pt idx="0">
                  <c:v>Elderly 65 and older</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'Radiation Dispersal Device'!$J$807</c:f>
              <c:numCache>
                <c:formatCode>General</c:formatCode>
                <c:ptCount val="1"/>
                <c:pt idx="0">
                  <c:v>4</c:v>
                </c:pt>
              </c:numCache>
            </c:numRef>
          </c:xVal>
          <c:yVal>
            <c:numRef>
              <c:f>'Radiation Dispersal Device'!$J$806</c:f>
              <c:numCache>
                <c:formatCode>General</c:formatCode>
                <c:ptCount val="1"/>
                <c:pt idx="0">
                  <c:v>0</c:v>
                </c:pt>
              </c:numCache>
            </c:numRef>
          </c:yVal>
          <c:smooth val="0"/>
          <c:extLst>
            <c:ext xmlns:c16="http://schemas.microsoft.com/office/drawing/2014/chart" uri="{C3380CC4-5D6E-409C-BE32-E72D297353CC}">
              <c16:uniqueId val="{00000003-803C-4596-8F41-8A35F6E3DAD4}"/>
            </c:ext>
          </c:extLst>
        </c:ser>
        <c:ser>
          <c:idx val="4"/>
          <c:order val="4"/>
          <c:tx>
            <c:strRef>
              <c:f>'Radiation Dispersal Device'!$C$773</c:f>
              <c:strCache>
                <c:ptCount val="1"/>
                <c:pt idx="0">
                  <c:v>Hearing Disability</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'Radiation Dispersal Device'!$J$775</c:f>
              <c:numCache>
                <c:formatCode>General</c:formatCode>
                <c:ptCount val="1"/>
                <c:pt idx="0">
                  <c:v>3</c:v>
                </c:pt>
              </c:numCache>
            </c:numRef>
          </c:xVal>
          <c:yVal>
            <c:numRef>
              <c:f>'Radiation Dispersal Device'!$J$774</c:f>
              <c:numCache>
                <c:formatCode>General</c:formatCode>
                <c:ptCount val="1"/>
                <c:pt idx="0">
                  <c:v>0</c:v>
                </c:pt>
              </c:numCache>
            </c:numRef>
          </c:yVal>
          <c:smooth val="0"/>
          <c:extLst>
            <c:ext xmlns:c16="http://schemas.microsoft.com/office/drawing/2014/chart" uri="{C3380CC4-5D6E-409C-BE32-E72D297353CC}">
              <c16:uniqueId val="{00000004-803C-4596-8F41-8A35F6E3DAD4}"/>
            </c:ext>
          </c:extLst>
        </c:ser>
        <c:ser>
          <c:idx val="5"/>
          <c:order val="5"/>
          <c:tx>
            <c:strRef>
              <c:f>'Radiation Dispersal Device'!$C$777</c:f>
              <c:strCache>
                <c:ptCount val="1"/>
                <c:pt idx="0">
                  <c:v>Vision Disability</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'Radiation Dispersal Device'!$J$779</c:f>
              <c:numCache>
                <c:formatCode>General</c:formatCode>
                <c:ptCount val="1"/>
                <c:pt idx="0">
                  <c:v>4</c:v>
                </c:pt>
              </c:numCache>
            </c:numRef>
          </c:xVal>
          <c:yVal>
            <c:numRef>
              <c:f>'Radiation Dispersal Device'!$J$778</c:f>
              <c:numCache>
                <c:formatCode>General</c:formatCode>
                <c:ptCount val="1"/>
                <c:pt idx="0">
                  <c:v>0</c:v>
                </c:pt>
              </c:numCache>
            </c:numRef>
          </c:yVal>
          <c:smooth val="0"/>
          <c:extLst>
            <c:ext xmlns:c16="http://schemas.microsoft.com/office/drawing/2014/chart" uri="{C3380CC4-5D6E-409C-BE32-E72D297353CC}">
              <c16:uniqueId val="{00000005-803C-4596-8F41-8A35F6E3DAD4}"/>
            </c:ext>
          </c:extLst>
        </c:ser>
        <c:ser>
          <c:idx val="6"/>
          <c:order val="6"/>
          <c:tx>
            <c:strRef>
              <c:f>'Radiation Dispersal Device'!$C$781</c:f>
              <c:strCache>
                <c:ptCount val="1"/>
                <c:pt idx="0">
                  <c:v>Ambulatory Disability</c:v>
                </c:pt>
              </c:strCache>
            </c:strRef>
          </c:tx>
          <c:spPr>
            <a:ln w="66675">
              <a:noFill/>
            </a:ln>
          </c:spPr>
          <c:dLbls>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'Radiation Dispersal Device'!$J$783</c:f>
              <c:numCache>
                <c:formatCode>General</c:formatCode>
                <c:ptCount val="1"/>
                <c:pt idx="0">
                  <c:v>4</c:v>
                </c:pt>
              </c:numCache>
            </c:numRef>
          </c:xVal>
          <c:yVal>
            <c:numRef>
              <c:f>'Radiation Dispersal Device'!$J$782</c:f>
              <c:numCache>
                <c:formatCode>General</c:formatCode>
                <c:ptCount val="1"/>
                <c:pt idx="0">
                  <c:v>0</c:v>
                </c:pt>
              </c:numCache>
            </c:numRef>
          </c:yVal>
          <c:smooth val="0"/>
          <c:extLst>
            <c:ext xmlns:c16="http://schemas.microsoft.com/office/drawing/2014/chart" uri="{C3380CC4-5D6E-409C-BE32-E72D297353CC}">
              <c16:uniqueId val="{00000006-803C-4596-8F41-8A35F6E3DAD4}"/>
            </c:ext>
          </c:extLst>
        </c:ser>
        <c:ser>
          <c:idx val="7"/>
          <c:order val="7"/>
          <c:tx>
            <c:strRef>
              <c:f>'Radiation Dispersal Device'!$C$785</c:f>
              <c:strCache>
                <c:ptCount val="1"/>
                <c:pt idx="0">
                  <c:v>Cognitive Disability</c:v>
                </c:pt>
              </c:strCache>
            </c:strRef>
          </c:tx>
          <c:spPr>
            <a:ln w="66675">
              <a:noFill/>
            </a:ln>
          </c:spPr>
          <c:dLbls>
            <c:dLbl>
              <c:idx val="0"/>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803C-4596-8F41-8A35F6E3DAD4}"/>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'Radiation Dispersal Device'!$J$787</c:f>
              <c:numCache>
                <c:formatCode>General</c:formatCode>
                <c:ptCount val="1"/>
                <c:pt idx="0">
                  <c:v>4</c:v>
                </c:pt>
              </c:numCache>
            </c:numRef>
          </c:xVal>
          <c:yVal>
            <c:numRef>
              <c:f>'Radiation Dispersal Device'!$J$786</c:f>
              <c:numCache>
                <c:formatCode>General</c:formatCode>
                <c:ptCount val="1"/>
                <c:pt idx="0">
                  <c:v>0</c:v>
                </c:pt>
              </c:numCache>
            </c:numRef>
          </c:yVal>
          <c:smooth val="0"/>
          <c:extLst>
            <c:ext xmlns:c16="http://schemas.microsoft.com/office/drawing/2014/chart" uri="{C3380CC4-5D6E-409C-BE32-E72D297353CC}">
              <c16:uniqueId val="{00000008-803C-4596-8F41-8A35F6E3DAD4}"/>
            </c:ext>
          </c:extLst>
        </c:ser>
        <c:ser>
          <c:idx val="8"/>
          <c:order val="8"/>
          <c:tx>
            <c:strRef>
              <c:f>'Radiation Dispersal Device'!$C$789</c:f>
              <c:strCache>
                <c:ptCount val="1"/>
                <c:pt idx="0">
                  <c:v>Limited English Proficiency</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'Radiation Dispersal Device'!$J$791</c:f>
              <c:numCache>
                <c:formatCode>General</c:formatCode>
                <c:ptCount val="1"/>
                <c:pt idx="0">
                  <c:v>3</c:v>
                </c:pt>
              </c:numCache>
            </c:numRef>
          </c:xVal>
          <c:yVal>
            <c:numRef>
              <c:f>'Radiation Dispersal Device'!$J$790</c:f>
              <c:numCache>
                <c:formatCode>General</c:formatCode>
                <c:ptCount val="1"/>
                <c:pt idx="0">
                  <c:v>0</c:v>
                </c:pt>
              </c:numCache>
            </c:numRef>
          </c:yVal>
          <c:smooth val="0"/>
          <c:extLst>
            <c:ext xmlns:c16="http://schemas.microsoft.com/office/drawing/2014/chart" uri="{C3380CC4-5D6E-409C-BE32-E72D297353CC}">
              <c16:uniqueId val="{00000009-803C-4596-8F41-8A35F6E3DAD4}"/>
            </c:ext>
          </c:extLst>
        </c:ser>
        <c:dLbls>
          <c:showLegendKey val="0"/>
          <c:showVal val="1"/>
          <c:showCatName val="0"/>
          <c:showSerName val="0"/>
          <c:showPercent val="0"/>
          <c:showBubbleSize val="0"/>
        </c:dLbls>
        <c:axId val="200292608"/>
        <c:axId val="200331648"/>
      </c:scatterChart>
      <c:valAx>
        <c:axId val="200292608"/>
        <c:scaling>
          <c:orientation val="minMax"/>
          <c:max val="4.5"/>
          <c:min val="0"/>
        </c:scaling>
        <c:delete val="0"/>
        <c:axPos val="b"/>
        <c:majorGridlines/>
        <c:title>
          <c:tx>
            <c:rich>
              <a:bodyPr/>
              <a:lstStyle/>
              <a:p>
                <a:pPr>
                  <a:defRPr b="0">
                    <a:latin typeface="+mj-lt"/>
                  </a:defRPr>
                </a:pPr>
                <a:r>
                  <a:rPr lang="en-US" sz="1600" b="0">
                    <a:latin typeface="+mj-lt"/>
                  </a:rPr>
                  <a:t>Access Planning Score</a:t>
                </a:r>
              </a:p>
            </c:rich>
          </c:tx>
          <c:overlay val="0"/>
        </c:title>
        <c:numFmt formatCode="General" sourceLinked="1"/>
        <c:majorTickMark val="out"/>
        <c:minorTickMark val="none"/>
        <c:tickLblPos val="nextTo"/>
        <c:spPr>
          <a:ln>
            <a:solidFill>
              <a:schemeClr val="tx1"/>
            </a:solidFill>
          </a:ln>
        </c:spPr>
        <c:crossAx val="200331648"/>
        <c:crosses val="autoZero"/>
        <c:crossBetween val="midCat"/>
        <c:majorUnit val="1"/>
        <c:minorUnit val="0.1"/>
      </c:valAx>
      <c:valAx>
        <c:axId val="200331648"/>
        <c:scaling>
          <c:orientation val="minMax"/>
          <c:max val="4.5"/>
          <c:min val="0"/>
        </c:scaling>
        <c:delete val="0"/>
        <c:axPos val="l"/>
        <c:majorGridlines/>
        <c:title>
          <c:tx>
            <c:rich>
              <a:bodyPr rot="-5400000" vert="horz"/>
              <a:lstStyle/>
              <a:p>
                <a:pPr>
                  <a:defRPr sz="1600" b="0">
                    <a:latin typeface="+mj-lt"/>
                  </a:defRPr>
                </a:pPr>
                <a:r>
                  <a:rPr lang="en-US" sz="1600" b="0">
                    <a:latin typeface="+mj-lt"/>
                  </a:rPr>
                  <a:t>Population Size Score</a:t>
                </a:r>
              </a:p>
            </c:rich>
          </c:tx>
          <c:overlay val="0"/>
        </c:title>
        <c:numFmt formatCode="General" sourceLinked="1"/>
        <c:majorTickMark val="out"/>
        <c:minorTickMark val="none"/>
        <c:tickLblPos val="nextTo"/>
        <c:spPr>
          <a:ln>
            <a:solidFill>
              <a:schemeClr val="tx1"/>
            </a:solidFill>
          </a:ln>
        </c:spPr>
        <c:crossAx val="200292608"/>
        <c:crosses val="autoZero"/>
        <c:crossBetween val="midCat"/>
        <c:majorUnit val="1"/>
        <c:minorUnit val="0.1"/>
      </c:valAx>
      <c:spPr>
        <a:gradFill flip="none" rotWithShape="1">
          <a:gsLst>
            <a:gs pos="0">
              <a:srgbClr val="63BE7B"/>
            </a:gs>
            <a:gs pos="50000">
              <a:srgbClr val="FFEB84"/>
            </a:gs>
            <a:gs pos="100000">
              <a:srgbClr val="F8696B"/>
            </a:gs>
          </a:gsLst>
          <a:lin ang="189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b="0" u="sng">
                <a:latin typeface="+mj-lt"/>
              </a:defRPr>
            </a:pPr>
            <a:r>
              <a:rPr lang="en-US" b="0" u="sng">
                <a:latin typeface="+mj-lt"/>
              </a:rPr>
              <a:t>Adjusted Risk</a:t>
            </a:r>
          </a:p>
        </c:rich>
      </c:tx>
      <c:layout>
        <c:manualLayout>
          <c:xMode val="edge"/>
          <c:yMode val="edge"/>
          <c:x val="0.44698388001602535"/>
          <c:y val="1.3244983721297133E-2"/>
        </c:manualLayout>
      </c:layout>
      <c:overlay val="0"/>
    </c:title>
    <c:autoTitleDeleted val="0"/>
    <c:plotArea>
      <c:layout>
        <c:manualLayout>
          <c:layoutTarget val="inner"/>
          <c:xMode val="edge"/>
          <c:yMode val="edge"/>
          <c:x val="0.10439982989396145"/>
          <c:y val="0.10007907481510167"/>
          <c:w val="0.88395319935342931"/>
          <c:h val="0.66366603081718711"/>
        </c:manualLayout>
      </c:layout>
      <c:barChart>
        <c:barDir val="col"/>
        <c:grouping val="clustered"/>
        <c:varyColors val="0"/>
        <c:ser>
          <c:idx val="0"/>
          <c:order val="0"/>
          <c:tx>
            <c:v>Public Health System Adjusted Risk</c:v>
          </c:tx>
          <c:invertIfNegative val="0"/>
          <c:dLbls>
            <c:delete val="1"/>
          </c:dLbls>
          <c:cat>
            <c:strRef>
              <c:f>'Summary of Scores'!$B$8:$B$37</c:f>
              <c:strCache>
                <c:ptCount val="20"/>
                <c:pt idx="0">
                  <c:v>Active Shooter</c:v>
                </c:pt>
                <c:pt idx="1">
                  <c:v>Bio Terrorism</c:v>
                </c:pt>
                <c:pt idx="2">
                  <c:v>Chem Terrorism</c:v>
                </c:pt>
                <c:pt idx="3">
                  <c:v>Civil Disturbance</c:v>
                </c:pt>
                <c:pt idx="4">
                  <c:v>Coastal Storm</c:v>
                </c:pt>
                <c:pt idx="5">
                  <c:v>Conv Explosive</c:v>
                </c:pt>
                <c:pt idx="6">
                  <c:v>Cyber Terrorism</c:v>
                </c:pt>
                <c:pt idx="7">
                  <c:v>Drought</c:v>
                </c:pt>
                <c:pt idx="8">
                  <c:v>Earthquake</c:v>
                </c:pt>
                <c:pt idx="9">
                  <c:v>Flood</c:v>
                </c:pt>
                <c:pt idx="10">
                  <c:v>HazMat Release</c:v>
                </c:pt>
                <c:pt idx="11">
                  <c:v>Localized ID</c:v>
                </c:pt>
                <c:pt idx="12">
                  <c:v>Nuclear Facility</c:v>
                </c:pt>
                <c:pt idx="13">
                  <c:v>Pandemic</c:v>
                </c:pt>
                <c:pt idx="14">
                  <c:v>RDD</c:v>
                </c:pt>
                <c:pt idx="15">
                  <c:v>Temp Extremes</c:v>
                </c:pt>
                <c:pt idx="16">
                  <c:v>Tornado</c:v>
                </c:pt>
                <c:pt idx="17">
                  <c:v>Utility Interr</c:v>
                </c:pt>
                <c:pt idx="18">
                  <c:v>Wildfire</c:v>
                </c:pt>
                <c:pt idx="19">
                  <c:v>Winter Storm</c:v>
                </c:pt>
              </c:strCache>
            </c:strRef>
          </c:cat>
          <c:val>
            <c:numRef>
              <c:f>'Summary of Scores'!$K$8:$K$37</c:f>
              <c:numCache>
                <c:formatCode>#,##0.00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0-44E2-4D57-A279-7C1426A9F377}"/>
            </c:ext>
          </c:extLst>
        </c:ser>
        <c:ser>
          <c:idx val="1"/>
          <c:order val="1"/>
          <c:tx>
            <c:v>Healthcare System Adjusted Risk</c:v>
          </c:tx>
          <c:invertIfNegative val="0"/>
          <c:dLbls>
            <c:delete val="1"/>
          </c:dLbls>
          <c:cat>
            <c:strRef>
              <c:f>'Summary of Scores'!$B$8:$B$37</c:f>
              <c:strCache>
                <c:ptCount val="20"/>
                <c:pt idx="0">
                  <c:v>Active Shooter</c:v>
                </c:pt>
                <c:pt idx="1">
                  <c:v>Bio Terrorism</c:v>
                </c:pt>
                <c:pt idx="2">
                  <c:v>Chem Terrorism</c:v>
                </c:pt>
                <c:pt idx="3">
                  <c:v>Civil Disturbance</c:v>
                </c:pt>
                <c:pt idx="4">
                  <c:v>Coastal Storm</c:v>
                </c:pt>
                <c:pt idx="5">
                  <c:v>Conv Explosive</c:v>
                </c:pt>
                <c:pt idx="6">
                  <c:v>Cyber Terrorism</c:v>
                </c:pt>
                <c:pt idx="7">
                  <c:v>Drought</c:v>
                </c:pt>
                <c:pt idx="8">
                  <c:v>Earthquake</c:v>
                </c:pt>
                <c:pt idx="9">
                  <c:v>Flood</c:v>
                </c:pt>
                <c:pt idx="10">
                  <c:v>HazMat Release</c:v>
                </c:pt>
                <c:pt idx="11">
                  <c:v>Localized ID</c:v>
                </c:pt>
                <c:pt idx="12">
                  <c:v>Nuclear Facility</c:v>
                </c:pt>
                <c:pt idx="13">
                  <c:v>Pandemic</c:v>
                </c:pt>
                <c:pt idx="14">
                  <c:v>RDD</c:v>
                </c:pt>
                <c:pt idx="15">
                  <c:v>Temp Extremes</c:v>
                </c:pt>
                <c:pt idx="16">
                  <c:v>Tornado</c:v>
                </c:pt>
                <c:pt idx="17">
                  <c:v>Utility Interr</c:v>
                </c:pt>
                <c:pt idx="18">
                  <c:v>Wildfire</c:v>
                </c:pt>
                <c:pt idx="19">
                  <c:v>Winter Storm</c:v>
                </c:pt>
              </c:strCache>
            </c:strRef>
          </c:cat>
          <c:val>
            <c:numRef>
              <c:f>'Summary of Scores'!$L$8:$L$37</c:f>
              <c:numCache>
                <c:formatCode>#,##0.00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1-44E2-4D57-A279-7C1426A9F377}"/>
            </c:ext>
          </c:extLst>
        </c:ser>
        <c:dLbls>
          <c:showLegendKey val="0"/>
          <c:showVal val="1"/>
          <c:showCatName val="0"/>
          <c:showSerName val="0"/>
          <c:showPercent val="0"/>
          <c:showBubbleSize val="0"/>
        </c:dLbls>
        <c:gapWidth val="150"/>
        <c:axId val="149765120"/>
        <c:axId val="149771392"/>
      </c:barChart>
      <c:catAx>
        <c:axId val="149765120"/>
        <c:scaling>
          <c:orientation val="minMax"/>
        </c:scaling>
        <c:delete val="0"/>
        <c:axPos val="b"/>
        <c:title>
          <c:tx>
            <c:rich>
              <a:bodyPr/>
              <a:lstStyle/>
              <a:p>
                <a:pPr>
                  <a:defRPr b="0">
                    <a:latin typeface="+mj-lt"/>
                  </a:defRPr>
                </a:pPr>
                <a:r>
                  <a:rPr lang="en-US" sz="1600" b="0">
                    <a:latin typeface="+mj-lt"/>
                  </a:rPr>
                  <a:t>Hazard</a:t>
                </a:r>
              </a:p>
            </c:rich>
          </c:tx>
          <c:overlay val="0"/>
        </c:title>
        <c:numFmt formatCode="General" sourceLinked="1"/>
        <c:majorTickMark val="out"/>
        <c:minorTickMark val="none"/>
        <c:tickLblPos val="nextTo"/>
        <c:spPr>
          <a:ln>
            <a:solidFill>
              <a:schemeClr val="tx1"/>
            </a:solidFill>
          </a:ln>
        </c:spPr>
        <c:crossAx val="149771392"/>
        <c:crosses val="autoZero"/>
        <c:auto val="1"/>
        <c:lblAlgn val="ctr"/>
        <c:lblOffset val="100"/>
        <c:noMultiLvlLbl val="0"/>
      </c:catAx>
      <c:valAx>
        <c:axId val="149771392"/>
        <c:scaling>
          <c:orientation val="minMax"/>
        </c:scaling>
        <c:delete val="0"/>
        <c:axPos val="l"/>
        <c:majorGridlines/>
        <c:title>
          <c:tx>
            <c:rich>
              <a:bodyPr rot="-5400000" vert="horz"/>
              <a:lstStyle/>
              <a:p>
                <a:pPr>
                  <a:defRPr sz="1600" b="0">
                    <a:latin typeface="+mj-lt"/>
                  </a:defRPr>
                </a:pPr>
                <a:r>
                  <a:rPr lang="en-US" sz="1600" b="0">
                    <a:latin typeface="+mj-lt"/>
                  </a:rPr>
                  <a:t>Adjusted Risk</a:t>
                </a:r>
              </a:p>
            </c:rich>
          </c:tx>
          <c:layout>
            <c:manualLayout>
              <c:xMode val="edge"/>
              <c:yMode val="edge"/>
              <c:x val="2.329394150521838E-2"/>
              <c:y val="0.3934785747409999"/>
            </c:manualLayout>
          </c:layout>
          <c:overlay val="0"/>
        </c:title>
        <c:numFmt formatCode="#,##0" sourceLinked="0"/>
        <c:majorTickMark val="out"/>
        <c:minorTickMark val="none"/>
        <c:tickLblPos val="nextTo"/>
        <c:spPr>
          <a:ln>
            <a:solidFill>
              <a:schemeClr val="tx1"/>
            </a:solidFill>
          </a:ln>
        </c:spPr>
        <c:crossAx val="149765120"/>
        <c:crosses val="autoZero"/>
        <c:crossBetween val="between"/>
      </c:valAx>
      <c:spPr>
        <a:gradFill flip="none" rotWithShape="1">
          <a:gsLst>
            <a:gs pos="0">
              <a:srgbClr val="63BE7B"/>
            </a:gs>
            <a:gs pos="50000">
              <a:srgbClr val="FFEB84"/>
            </a:gs>
            <a:gs pos="100000">
              <a:srgbClr val="F8696B"/>
            </a:gs>
          </a:gsLst>
          <a:lin ang="16200000" scaled="1"/>
          <a:tileRect/>
        </a:gradFill>
        <a:ln>
          <a:solidFill>
            <a:schemeClr val="tx1"/>
          </a:solidFill>
        </a:ln>
      </c:spPr>
    </c:plotArea>
    <c:legend>
      <c:legendPos val="r"/>
      <c:layout>
        <c:manualLayout>
          <c:xMode val="edge"/>
          <c:yMode val="edge"/>
          <c:x val="0.11381514148121694"/>
          <c:y val="0.11366885150285179"/>
          <c:w val="0.36207117465137045"/>
          <c:h val="9.7750431469290369E-2"/>
        </c:manualLayout>
      </c:layout>
      <c:overlay val="1"/>
      <c:spPr>
        <a:solidFill>
          <a:schemeClr val="bg1"/>
        </a:solidFill>
        <a:ln>
          <a:solidFill>
            <a:schemeClr val="tx1"/>
          </a:solidFill>
        </a:ln>
      </c:spPr>
    </c:legend>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defRPr b="0" u="sng">
                <a:latin typeface="+mj-lt"/>
              </a:defRPr>
            </a:pPr>
            <a:r>
              <a:rPr lang="en-US" b="0" u="sng">
                <a:latin typeface="+mj-lt"/>
              </a:rPr>
              <a:t>Public Health Preparedness</a:t>
            </a:r>
          </a:p>
        </c:rich>
      </c:tx>
      <c:layout>
        <c:manualLayout>
          <c:xMode val="edge"/>
          <c:yMode val="edge"/>
          <c:x val="0.30532356317913883"/>
          <c:y val="1.3244983721297133E-2"/>
        </c:manualLayout>
      </c:layout>
      <c:overlay val="0"/>
    </c:title>
    <c:autoTitleDeleted val="0"/>
    <c:plotArea>
      <c:layout/>
      <c:scatterChart>
        <c:scatterStyle val="lineMarker"/>
        <c:varyColors val="0"/>
        <c:ser>
          <c:idx val="0"/>
          <c:order val="0"/>
          <c:tx>
            <c:strRef>
              <c:f>'Radiation Dispersal Device'!$C$853</c:f>
              <c:strCache>
                <c:ptCount val="1"/>
                <c:pt idx="0">
                  <c:v>Info Sharing</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'Radiation Dispersal Device'!$J$854</c:f>
              <c:numCache>
                <c:formatCode>General</c:formatCode>
                <c:ptCount val="1"/>
                <c:pt idx="0">
                  <c:v>4</c:v>
                </c:pt>
              </c:numCache>
            </c:numRef>
          </c:xVal>
          <c:yVal>
            <c:numRef>
              <c:f>'Radiation Dispersal Device'!$J$855</c:f>
              <c:numCache>
                <c:formatCode>General</c:formatCode>
                <c:ptCount val="1"/>
                <c:pt idx="0">
                  <c:v>0</c:v>
                </c:pt>
              </c:numCache>
            </c:numRef>
          </c:yVal>
          <c:smooth val="0"/>
          <c:extLst>
            <c:ext xmlns:c16="http://schemas.microsoft.com/office/drawing/2014/chart" uri="{C3380CC4-5D6E-409C-BE32-E72D297353CC}">
              <c16:uniqueId val="{00000000-1DC0-41C3-A88D-6F0D186BD5EB}"/>
            </c:ext>
          </c:extLst>
        </c:ser>
        <c:ser>
          <c:idx val="1"/>
          <c:order val="1"/>
          <c:tx>
            <c:strRef>
              <c:f>'Radiation Dispersal Device'!$C$857</c:f>
              <c:strCache>
                <c:ptCount val="1"/>
                <c:pt idx="0">
                  <c:v>Mass Care</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'Radiation Dispersal Device'!$J$858</c:f>
              <c:numCache>
                <c:formatCode>General</c:formatCode>
                <c:ptCount val="1"/>
                <c:pt idx="0">
                  <c:v>3</c:v>
                </c:pt>
              </c:numCache>
            </c:numRef>
          </c:xVal>
          <c:yVal>
            <c:numRef>
              <c:f>'Radiation Dispersal Device'!$J$859</c:f>
              <c:numCache>
                <c:formatCode>General</c:formatCode>
                <c:ptCount val="1"/>
                <c:pt idx="0">
                  <c:v>0</c:v>
                </c:pt>
              </c:numCache>
            </c:numRef>
          </c:yVal>
          <c:smooth val="0"/>
          <c:extLst>
            <c:ext xmlns:c16="http://schemas.microsoft.com/office/drawing/2014/chart" uri="{C3380CC4-5D6E-409C-BE32-E72D297353CC}">
              <c16:uniqueId val="{00000001-1DC0-41C3-A88D-6F0D186BD5EB}"/>
            </c:ext>
          </c:extLst>
        </c:ser>
        <c:ser>
          <c:idx val="2"/>
          <c:order val="2"/>
          <c:tx>
            <c:strRef>
              <c:f>'Radiation Dispersal Device'!$C$861</c:f>
              <c:strCache>
                <c:ptCount val="1"/>
                <c:pt idx="0">
                  <c:v>MCM Dispens</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'Radiation Dispersal Device'!$J$862</c:f>
              <c:numCache>
                <c:formatCode>General</c:formatCode>
                <c:ptCount val="1"/>
                <c:pt idx="0">
                  <c:v>4</c:v>
                </c:pt>
              </c:numCache>
            </c:numRef>
          </c:xVal>
          <c:yVal>
            <c:numRef>
              <c:f>'Radiation Dispersal Device'!$J$863</c:f>
              <c:numCache>
                <c:formatCode>General</c:formatCode>
                <c:ptCount val="1"/>
                <c:pt idx="0">
                  <c:v>0</c:v>
                </c:pt>
              </c:numCache>
            </c:numRef>
          </c:yVal>
          <c:smooth val="0"/>
          <c:extLst>
            <c:ext xmlns:c16="http://schemas.microsoft.com/office/drawing/2014/chart" uri="{C3380CC4-5D6E-409C-BE32-E72D297353CC}">
              <c16:uniqueId val="{00000002-1DC0-41C3-A88D-6F0D186BD5EB}"/>
            </c:ext>
          </c:extLst>
        </c:ser>
        <c:ser>
          <c:idx val="3"/>
          <c:order val="3"/>
          <c:tx>
            <c:strRef>
              <c:f>'Radiation Dispersal Device'!$C$865</c:f>
              <c:strCache>
                <c:ptCount val="1"/>
                <c:pt idx="0">
                  <c:v>Med Materiel Mgmt</c:v>
                </c:pt>
              </c:strCache>
            </c:strRef>
          </c:tx>
          <c:spPr>
            <a:ln w="66675">
              <a:noFill/>
            </a:ln>
          </c:spPr>
          <c:dLbls>
            <c:dLbl>
              <c:idx val="0"/>
              <c:layout>
                <c:manualLayout>
                  <c:x val="-0.14216219891634721"/>
                  <c:y val="2.4286581663630808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1DC0-41C3-A88D-6F0D186BD5EB}"/>
                </c:ext>
              </c:extLst>
            </c:dLbl>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'Radiation Dispersal Device'!$J$866</c:f>
              <c:numCache>
                <c:formatCode>General</c:formatCode>
                <c:ptCount val="1"/>
                <c:pt idx="0">
                  <c:v>4</c:v>
                </c:pt>
              </c:numCache>
            </c:numRef>
          </c:xVal>
          <c:yVal>
            <c:numRef>
              <c:f>'Radiation Dispersal Device'!$J$867</c:f>
              <c:numCache>
                <c:formatCode>General</c:formatCode>
                <c:ptCount val="1"/>
                <c:pt idx="0">
                  <c:v>0</c:v>
                </c:pt>
              </c:numCache>
            </c:numRef>
          </c:yVal>
          <c:smooth val="0"/>
          <c:extLst>
            <c:ext xmlns:c16="http://schemas.microsoft.com/office/drawing/2014/chart" uri="{C3380CC4-5D6E-409C-BE32-E72D297353CC}">
              <c16:uniqueId val="{00000004-1DC0-41C3-A88D-6F0D186BD5EB}"/>
            </c:ext>
          </c:extLst>
        </c:ser>
        <c:ser>
          <c:idx val="4"/>
          <c:order val="4"/>
          <c:tx>
            <c:strRef>
              <c:f>'Radiation Dispersal Device'!$C$869</c:f>
              <c:strCache>
                <c:ptCount val="1"/>
                <c:pt idx="0">
                  <c:v>Medical Surge</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'Radiation Dispersal Device'!$J$870</c:f>
              <c:numCache>
                <c:formatCode>General</c:formatCode>
                <c:ptCount val="1"/>
                <c:pt idx="0">
                  <c:v>4</c:v>
                </c:pt>
              </c:numCache>
            </c:numRef>
          </c:xVal>
          <c:yVal>
            <c:numRef>
              <c:f>'Radiation Dispersal Device'!$J$871</c:f>
              <c:numCache>
                <c:formatCode>General</c:formatCode>
                <c:ptCount val="1"/>
                <c:pt idx="0">
                  <c:v>0</c:v>
                </c:pt>
              </c:numCache>
            </c:numRef>
          </c:yVal>
          <c:smooth val="0"/>
          <c:extLst>
            <c:ext xmlns:c16="http://schemas.microsoft.com/office/drawing/2014/chart" uri="{C3380CC4-5D6E-409C-BE32-E72D297353CC}">
              <c16:uniqueId val="{00000005-1DC0-41C3-A88D-6F0D186BD5EB}"/>
            </c:ext>
          </c:extLst>
        </c:ser>
        <c:ser>
          <c:idx val="5"/>
          <c:order val="5"/>
          <c:tx>
            <c:strRef>
              <c:f>'Radiation Dispersal Device'!$C$873</c:f>
              <c:strCache>
                <c:ptCount val="1"/>
                <c:pt idx="0">
                  <c:v>Non-Pharm Interv</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'Radiation Dispersal Device'!$J$874</c:f>
              <c:numCache>
                <c:formatCode>General</c:formatCode>
                <c:ptCount val="1"/>
                <c:pt idx="0">
                  <c:v>4</c:v>
                </c:pt>
              </c:numCache>
            </c:numRef>
          </c:xVal>
          <c:yVal>
            <c:numRef>
              <c:f>'Radiation Dispersal Device'!$J$875</c:f>
              <c:numCache>
                <c:formatCode>General</c:formatCode>
                <c:ptCount val="1"/>
                <c:pt idx="0">
                  <c:v>0</c:v>
                </c:pt>
              </c:numCache>
            </c:numRef>
          </c:yVal>
          <c:smooth val="0"/>
          <c:extLst>
            <c:ext xmlns:c16="http://schemas.microsoft.com/office/drawing/2014/chart" uri="{C3380CC4-5D6E-409C-BE32-E72D297353CC}">
              <c16:uniqueId val="{00000006-1DC0-41C3-A88D-6F0D186BD5EB}"/>
            </c:ext>
          </c:extLst>
        </c:ser>
        <c:ser>
          <c:idx val="6"/>
          <c:order val="6"/>
          <c:tx>
            <c:strRef>
              <c:f>'Radiation Dispersal Device'!$C$877</c:f>
              <c:strCache>
                <c:ptCount val="1"/>
                <c:pt idx="0">
                  <c:v>PH Lab Testing</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'Radiation Dispersal Device'!$J$878</c:f>
              <c:numCache>
                <c:formatCode>General</c:formatCode>
                <c:ptCount val="1"/>
                <c:pt idx="0">
                  <c:v>4</c:v>
                </c:pt>
              </c:numCache>
            </c:numRef>
          </c:xVal>
          <c:yVal>
            <c:numRef>
              <c:f>'Radiation Dispersal Device'!$J$879</c:f>
              <c:numCache>
                <c:formatCode>General</c:formatCode>
                <c:ptCount val="1"/>
                <c:pt idx="0">
                  <c:v>0</c:v>
                </c:pt>
              </c:numCache>
            </c:numRef>
          </c:yVal>
          <c:smooth val="0"/>
          <c:extLst>
            <c:ext xmlns:c16="http://schemas.microsoft.com/office/drawing/2014/chart" uri="{C3380CC4-5D6E-409C-BE32-E72D297353CC}">
              <c16:uniqueId val="{00000007-1DC0-41C3-A88D-6F0D186BD5EB}"/>
            </c:ext>
          </c:extLst>
        </c:ser>
        <c:ser>
          <c:idx val="7"/>
          <c:order val="7"/>
          <c:tx>
            <c:strRef>
              <c:f>'Radiation Dispersal Device'!$C$881</c:f>
              <c:strCache>
                <c:ptCount val="1"/>
                <c:pt idx="0">
                  <c:v>PH Surv &amp; Epi</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'Radiation Dispersal Device'!$J$882</c:f>
              <c:numCache>
                <c:formatCode>General</c:formatCode>
                <c:ptCount val="1"/>
                <c:pt idx="0">
                  <c:v>4</c:v>
                </c:pt>
              </c:numCache>
            </c:numRef>
          </c:xVal>
          <c:yVal>
            <c:numRef>
              <c:f>'Radiation Dispersal Device'!$J$883</c:f>
              <c:numCache>
                <c:formatCode>General</c:formatCode>
                <c:ptCount val="1"/>
                <c:pt idx="0">
                  <c:v>0</c:v>
                </c:pt>
              </c:numCache>
            </c:numRef>
          </c:yVal>
          <c:smooth val="0"/>
          <c:extLst>
            <c:ext xmlns:c16="http://schemas.microsoft.com/office/drawing/2014/chart" uri="{C3380CC4-5D6E-409C-BE32-E72D297353CC}">
              <c16:uniqueId val="{00000008-1DC0-41C3-A88D-6F0D186BD5EB}"/>
            </c:ext>
          </c:extLst>
        </c:ser>
        <c:ser>
          <c:idx val="8"/>
          <c:order val="8"/>
          <c:tx>
            <c:strRef>
              <c:f>'Radiation Dispersal Device'!$C$885</c:f>
              <c:strCache>
                <c:ptCount val="1"/>
                <c:pt idx="0">
                  <c:v>Responder Safety</c:v>
                </c:pt>
              </c:strCache>
            </c:strRef>
          </c:tx>
          <c:spPr>
            <a:ln w="66675">
              <a:noFill/>
            </a:ln>
          </c:spPr>
          <c:dLbls>
            <c:dLbl>
              <c:idx val="0"/>
              <c:layout>
                <c:manualLayout>
                  <c:x val="0"/>
                  <c:y val="1.700060716454159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9-1DC0-41C3-A88D-6F0D186BD5EB}"/>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'Radiation Dispersal Device'!$J$886</c:f>
              <c:numCache>
                <c:formatCode>General</c:formatCode>
                <c:ptCount val="1"/>
                <c:pt idx="0">
                  <c:v>4</c:v>
                </c:pt>
              </c:numCache>
            </c:numRef>
          </c:xVal>
          <c:yVal>
            <c:numRef>
              <c:f>'Radiation Dispersal Device'!$J$887</c:f>
              <c:numCache>
                <c:formatCode>General</c:formatCode>
                <c:ptCount val="1"/>
                <c:pt idx="0">
                  <c:v>0</c:v>
                </c:pt>
              </c:numCache>
            </c:numRef>
          </c:yVal>
          <c:smooth val="0"/>
          <c:extLst>
            <c:ext xmlns:c16="http://schemas.microsoft.com/office/drawing/2014/chart" uri="{C3380CC4-5D6E-409C-BE32-E72D297353CC}">
              <c16:uniqueId val="{0000000A-1DC0-41C3-A88D-6F0D186BD5EB}"/>
            </c:ext>
          </c:extLst>
        </c:ser>
        <c:ser>
          <c:idx val="9"/>
          <c:order val="9"/>
          <c:tx>
            <c:strRef>
              <c:f>'Radiation Dispersal Device'!$C$889</c:f>
              <c:strCache>
                <c:ptCount val="1"/>
                <c:pt idx="0">
                  <c:v>Volunteer Mgmt</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'Radiation Dispersal Device'!$J$890</c:f>
              <c:numCache>
                <c:formatCode>General</c:formatCode>
                <c:ptCount val="1"/>
                <c:pt idx="0">
                  <c:v>4</c:v>
                </c:pt>
              </c:numCache>
            </c:numRef>
          </c:xVal>
          <c:yVal>
            <c:numRef>
              <c:f>'Radiation Dispersal Device'!$J$891</c:f>
              <c:numCache>
                <c:formatCode>General</c:formatCode>
                <c:ptCount val="1"/>
                <c:pt idx="0">
                  <c:v>0</c:v>
                </c:pt>
              </c:numCache>
            </c:numRef>
          </c:yVal>
          <c:smooth val="0"/>
          <c:extLst>
            <c:ext xmlns:c16="http://schemas.microsoft.com/office/drawing/2014/chart" uri="{C3380CC4-5D6E-409C-BE32-E72D297353CC}">
              <c16:uniqueId val="{0000000B-1DC0-41C3-A88D-6F0D186BD5EB}"/>
            </c:ext>
          </c:extLst>
        </c:ser>
        <c:ser>
          <c:idx val="10"/>
          <c:order val="10"/>
          <c:tx>
            <c:strRef>
              <c:f>'Radiation Dispersal Device'!$C$833</c:f>
              <c:strCache>
                <c:ptCount val="1"/>
                <c:pt idx="0">
                  <c:v>Community Prep</c:v>
                </c:pt>
              </c:strCache>
            </c:strRef>
          </c:tx>
          <c:spPr>
            <a:ln w="66675">
              <a:noFill/>
            </a:ln>
          </c:spPr>
          <c:dLbls>
            <c:dLbl>
              <c:idx val="0"/>
              <c:layout>
                <c:manualLayout>
                  <c:x val="0"/>
                  <c:y val="-1.7000607164541635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C-1DC0-41C3-A88D-6F0D186BD5EB}"/>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'Radiation Dispersal Device'!$J$834</c:f>
              <c:numCache>
                <c:formatCode>General</c:formatCode>
                <c:ptCount val="1"/>
                <c:pt idx="0">
                  <c:v>4</c:v>
                </c:pt>
              </c:numCache>
            </c:numRef>
          </c:xVal>
          <c:yVal>
            <c:numRef>
              <c:f>'Radiation Dispersal Device'!$J$835</c:f>
              <c:numCache>
                <c:formatCode>General</c:formatCode>
                <c:ptCount val="1"/>
                <c:pt idx="0">
                  <c:v>0</c:v>
                </c:pt>
              </c:numCache>
            </c:numRef>
          </c:yVal>
          <c:smooth val="0"/>
          <c:extLst>
            <c:ext xmlns:c16="http://schemas.microsoft.com/office/drawing/2014/chart" uri="{C3380CC4-5D6E-409C-BE32-E72D297353CC}">
              <c16:uniqueId val="{0000000D-1DC0-41C3-A88D-6F0D186BD5EB}"/>
            </c:ext>
          </c:extLst>
        </c:ser>
        <c:ser>
          <c:idx val="11"/>
          <c:order val="11"/>
          <c:tx>
            <c:strRef>
              <c:f>'Radiation Dispersal Device'!$C$837</c:f>
              <c:strCache>
                <c:ptCount val="1"/>
                <c:pt idx="0">
                  <c:v>Community Recov</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'Radiation Dispersal Device'!$J$838</c:f>
              <c:numCache>
                <c:formatCode>General</c:formatCode>
                <c:ptCount val="1"/>
                <c:pt idx="0">
                  <c:v>4</c:v>
                </c:pt>
              </c:numCache>
            </c:numRef>
          </c:xVal>
          <c:yVal>
            <c:numRef>
              <c:f>'Radiation Dispersal Device'!$J$839</c:f>
              <c:numCache>
                <c:formatCode>General</c:formatCode>
                <c:ptCount val="1"/>
                <c:pt idx="0">
                  <c:v>0</c:v>
                </c:pt>
              </c:numCache>
            </c:numRef>
          </c:yVal>
          <c:smooth val="0"/>
          <c:extLst>
            <c:ext xmlns:c16="http://schemas.microsoft.com/office/drawing/2014/chart" uri="{C3380CC4-5D6E-409C-BE32-E72D297353CC}">
              <c16:uniqueId val="{0000000E-1DC0-41C3-A88D-6F0D186BD5EB}"/>
            </c:ext>
          </c:extLst>
        </c:ser>
        <c:ser>
          <c:idx val="12"/>
          <c:order val="12"/>
          <c:tx>
            <c:strRef>
              <c:f>'Radiation Dispersal Device'!$C$841</c:f>
              <c:strCache>
                <c:ptCount val="1"/>
                <c:pt idx="0">
                  <c:v>Emerg Ops Coord</c:v>
                </c:pt>
              </c:strCache>
            </c:strRef>
          </c:tx>
          <c:spPr>
            <a:ln w="66675">
              <a:noFill/>
            </a:ln>
          </c:spPr>
          <c:dLbls>
            <c:spPr>
              <a:noFill/>
              <a:ln>
                <a:noFill/>
              </a:ln>
              <a:effectLst/>
            </c:sp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'Radiation Dispersal Device'!$J$842</c:f>
              <c:numCache>
                <c:formatCode>General</c:formatCode>
                <c:ptCount val="1"/>
                <c:pt idx="0">
                  <c:v>4</c:v>
                </c:pt>
              </c:numCache>
            </c:numRef>
          </c:xVal>
          <c:yVal>
            <c:numRef>
              <c:f>'Radiation Dispersal Device'!$J$843</c:f>
              <c:numCache>
                <c:formatCode>General</c:formatCode>
                <c:ptCount val="1"/>
                <c:pt idx="0">
                  <c:v>0</c:v>
                </c:pt>
              </c:numCache>
            </c:numRef>
          </c:yVal>
          <c:smooth val="0"/>
          <c:extLst>
            <c:ext xmlns:c16="http://schemas.microsoft.com/office/drawing/2014/chart" uri="{C3380CC4-5D6E-409C-BE32-E72D297353CC}">
              <c16:uniqueId val="{0000000F-1DC0-41C3-A88D-6F0D186BD5EB}"/>
            </c:ext>
          </c:extLst>
        </c:ser>
        <c:ser>
          <c:idx val="13"/>
          <c:order val="13"/>
          <c:tx>
            <c:strRef>
              <c:f>'Radiation Dispersal Device'!$C$845</c:f>
              <c:strCache>
                <c:ptCount val="1"/>
                <c:pt idx="0">
                  <c:v>Emerg Public Info</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'Radiation Dispersal Device'!$J$846</c:f>
              <c:numCache>
                <c:formatCode>General</c:formatCode>
                <c:ptCount val="1"/>
                <c:pt idx="0">
                  <c:v>4</c:v>
                </c:pt>
              </c:numCache>
            </c:numRef>
          </c:xVal>
          <c:yVal>
            <c:numRef>
              <c:f>'Radiation Dispersal Device'!$J$847</c:f>
              <c:numCache>
                <c:formatCode>General</c:formatCode>
                <c:ptCount val="1"/>
                <c:pt idx="0">
                  <c:v>0</c:v>
                </c:pt>
              </c:numCache>
            </c:numRef>
          </c:yVal>
          <c:smooth val="0"/>
          <c:extLst>
            <c:ext xmlns:c16="http://schemas.microsoft.com/office/drawing/2014/chart" uri="{C3380CC4-5D6E-409C-BE32-E72D297353CC}">
              <c16:uniqueId val="{00000010-1DC0-41C3-A88D-6F0D186BD5EB}"/>
            </c:ext>
          </c:extLst>
        </c:ser>
        <c:ser>
          <c:idx val="14"/>
          <c:order val="14"/>
          <c:tx>
            <c:strRef>
              <c:f>'Radiation Dispersal Device'!$C$964</c:f>
              <c:strCache>
                <c:ptCount val="1"/>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'Radiation Dispersal Device'!$J$965</c:f>
            </c:numRef>
          </c:xVal>
          <c:yVal>
            <c:numRef>
              <c:f>'Radiation Dispersal Device'!$J$966</c:f>
            </c:numRef>
          </c:yVal>
          <c:smooth val="0"/>
          <c:extLst>
            <c:ext xmlns:c16="http://schemas.microsoft.com/office/drawing/2014/chart" uri="{C3380CC4-5D6E-409C-BE32-E72D297353CC}">
              <c16:uniqueId val="{00000011-1DC0-41C3-A88D-6F0D186BD5EB}"/>
            </c:ext>
          </c:extLst>
        </c:ser>
        <c:ser>
          <c:idx val="15"/>
          <c:order val="15"/>
          <c:tx>
            <c:strRef>
              <c:f>'Radiation Dispersal Device'!$C$849</c:f>
              <c:strCache>
                <c:ptCount val="1"/>
                <c:pt idx="0">
                  <c:v>Fatality Mgmt</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'Radiation Dispersal Device'!$J$850</c:f>
              <c:numCache>
                <c:formatCode>General</c:formatCode>
                <c:ptCount val="1"/>
                <c:pt idx="0">
                  <c:v>4</c:v>
                </c:pt>
              </c:numCache>
            </c:numRef>
          </c:xVal>
          <c:yVal>
            <c:numRef>
              <c:f>'Radiation Dispersal Device'!$J$851</c:f>
              <c:numCache>
                <c:formatCode>General</c:formatCode>
                <c:ptCount val="1"/>
                <c:pt idx="0">
                  <c:v>0</c:v>
                </c:pt>
              </c:numCache>
            </c:numRef>
          </c:yVal>
          <c:smooth val="0"/>
          <c:extLst>
            <c:ext xmlns:c16="http://schemas.microsoft.com/office/drawing/2014/chart" uri="{C3380CC4-5D6E-409C-BE32-E72D297353CC}">
              <c16:uniqueId val="{00000012-1DC0-41C3-A88D-6F0D186BD5EB}"/>
            </c:ext>
          </c:extLst>
        </c:ser>
        <c:dLbls>
          <c:showLegendKey val="0"/>
          <c:showVal val="1"/>
          <c:showCatName val="0"/>
          <c:showSerName val="0"/>
          <c:showPercent val="0"/>
          <c:showBubbleSize val="0"/>
        </c:dLbls>
        <c:axId val="200468736"/>
        <c:axId val="200556928"/>
      </c:scatterChart>
      <c:valAx>
        <c:axId val="200468736"/>
        <c:scaling>
          <c:orientation val="minMax"/>
          <c:max val="4.5"/>
          <c:min val="0"/>
        </c:scaling>
        <c:delete val="0"/>
        <c:axPos val="b"/>
        <c:majorGridlines/>
        <c:title>
          <c:tx>
            <c:rich>
              <a:bodyPr/>
              <a:lstStyle/>
              <a:p>
                <a:pPr>
                  <a:defRPr b="0">
                    <a:latin typeface="+mj-lt"/>
                  </a:defRPr>
                </a:pPr>
                <a:r>
                  <a:rPr lang="en-US" sz="1600" b="0">
                    <a:latin typeface="+mj-lt"/>
                  </a:rPr>
                  <a:t>Capability Relevance to Hazard</a:t>
                </a:r>
              </a:p>
            </c:rich>
          </c:tx>
          <c:overlay val="0"/>
        </c:title>
        <c:numFmt formatCode="General" sourceLinked="1"/>
        <c:majorTickMark val="out"/>
        <c:minorTickMark val="none"/>
        <c:tickLblPos val="nextTo"/>
        <c:spPr>
          <a:ln>
            <a:solidFill>
              <a:schemeClr val="tx1"/>
            </a:solidFill>
          </a:ln>
        </c:spPr>
        <c:crossAx val="200556928"/>
        <c:crosses val="autoZero"/>
        <c:crossBetween val="midCat"/>
        <c:majorUnit val="1"/>
        <c:minorUnit val="0.1"/>
      </c:valAx>
      <c:valAx>
        <c:axId val="200556928"/>
        <c:scaling>
          <c:orientation val="minMax"/>
          <c:max val="4.5"/>
          <c:min val="0"/>
        </c:scaling>
        <c:delete val="0"/>
        <c:axPos val="l"/>
        <c:majorGridlines/>
        <c:title>
          <c:tx>
            <c:rich>
              <a:bodyPr rot="-5400000" vert="horz"/>
              <a:lstStyle/>
              <a:p>
                <a:pPr>
                  <a:defRPr sz="1600" b="0">
                    <a:latin typeface="+mj-lt"/>
                  </a:defRPr>
                </a:pPr>
                <a:r>
                  <a:rPr lang="en-US" sz="1600" b="0">
                    <a:latin typeface="+mj-lt"/>
                  </a:rPr>
                  <a:t>Capability Status</a:t>
                </a:r>
              </a:p>
            </c:rich>
          </c:tx>
          <c:overlay val="0"/>
        </c:title>
        <c:numFmt formatCode="General" sourceLinked="1"/>
        <c:majorTickMark val="out"/>
        <c:minorTickMark val="none"/>
        <c:tickLblPos val="nextTo"/>
        <c:spPr>
          <a:ln>
            <a:solidFill>
              <a:schemeClr val="tx1"/>
            </a:solidFill>
          </a:ln>
        </c:spPr>
        <c:crossAx val="200468736"/>
        <c:crosses val="autoZero"/>
        <c:crossBetween val="midCat"/>
        <c:majorUnit val="1"/>
        <c:minorUnit val="0.1"/>
      </c:valAx>
      <c:spPr>
        <a:gradFill flip="none" rotWithShape="1">
          <a:gsLst>
            <a:gs pos="0">
              <a:srgbClr val="63BE7B"/>
            </a:gs>
            <a:gs pos="50000">
              <a:srgbClr val="FFEB84"/>
            </a:gs>
            <a:gs pos="100000">
              <a:srgbClr val="F8696B"/>
            </a:gs>
          </a:gsLst>
          <a:lin ang="27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defRPr b="0" u="sng">
                <a:latin typeface="+mj-lt"/>
              </a:defRPr>
            </a:pPr>
            <a:r>
              <a:rPr lang="en-US" b="0" u="sng">
                <a:latin typeface="+mj-lt"/>
              </a:rPr>
              <a:t>Healthcare Preparedness</a:t>
            </a:r>
          </a:p>
        </c:rich>
      </c:tx>
      <c:layout>
        <c:manualLayout>
          <c:xMode val="edge"/>
          <c:yMode val="edge"/>
          <c:x val="0.37021378673626382"/>
          <c:y val="1.3244983721297133E-2"/>
        </c:manualLayout>
      </c:layout>
      <c:overlay val="0"/>
    </c:title>
    <c:autoTitleDeleted val="0"/>
    <c:plotArea>
      <c:layout/>
      <c:scatterChart>
        <c:scatterStyle val="lineMarker"/>
        <c:varyColors val="0"/>
        <c:ser>
          <c:idx val="0"/>
          <c:order val="0"/>
          <c:tx>
            <c:strRef>
              <c:f>'Radiation Dispersal Device'!$C$903</c:f>
              <c:strCache>
                <c:ptCount val="1"/>
                <c:pt idx="0">
                  <c:v>HC System Prep</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'Radiation Dispersal Device'!$J$904</c:f>
              <c:numCache>
                <c:formatCode>General</c:formatCode>
                <c:ptCount val="1"/>
                <c:pt idx="0">
                  <c:v>4</c:v>
                </c:pt>
              </c:numCache>
            </c:numRef>
          </c:xVal>
          <c:yVal>
            <c:numRef>
              <c:f>'Radiation Dispersal Device'!$J$905</c:f>
              <c:numCache>
                <c:formatCode>General</c:formatCode>
                <c:ptCount val="1"/>
                <c:pt idx="0">
                  <c:v>0</c:v>
                </c:pt>
              </c:numCache>
            </c:numRef>
          </c:yVal>
          <c:smooth val="0"/>
          <c:extLst>
            <c:ext xmlns:c16="http://schemas.microsoft.com/office/drawing/2014/chart" uri="{C3380CC4-5D6E-409C-BE32-E72D297353CC}">
              <c16:uniqueId val="{00000000-ED08-45BA-82CC-D8BE2578F70C}"/>
            </c:ext>
          </c:extLst>
        </c:ser>
        <c:ser>
          <c:idx val="1"/>
          <c:order val="1"/>
          <c:tx>
            <c:strRef>
              <c:f>'Radiation Dispersal Device'!$C$907</c:f>
              <c:strCache>
                <c:ptCount val="1"/>
                <c:pt idx="0">
                  <c:v>HC System Recov</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'Radiation Dispersal Device'!$J$908</c:f>
              <c:numCache>
                <c:formatCode>General</c:formatCode>
                <c:ptCount val="1"/>
                <c:pt idx="0">
                  <c:v>4</c:v>
                </c:pt>
              </c:numCache>
            </c:numRef>
          </c:xVal>
          <c:yVal>
            <c:numRef>
              <c:f>'Radiation Dispersal Device'!$J$909</c:f>
              <c:numCache>
                <c:formatCode>General</c:formatCode>
                <c:ptCount val="1"/>
                <c:pt idx="0">
                  <c:v>0</c:v>
                </c:pt>
              </c:numCache>
            </c:numRef>
          </c:yVal>
          <c:smooth val="0"/>
          <c:extLst>
            <c:ext xmlns:c16="http://schemas.microsoft.com/office/drawing/2014/chart" uri="{C3380CC4-5D6E-409C-BE32-E72D297353CC}">
              <c16:uniqueId val="{00000001-ED08-45BA-82CC-D8BE2578F70C}"/>
            </c:ext>
          </c:extLst>
        </c:ser>
        <c:ser>
          <c:idx val="2"/>
          <c:order val="2"/>
          <c:tx>
            <c:strRef>
              <c:f>'Radiation Dispersal Device'!$C$911</c:f>
              <c:strCache>
                <c:ptCount val="1"/>
                <c:pt idx="0">
                  <c:v>Emerg Ops Coord</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'Radiation Dispersal Device'!$J$912</c:f>
              <c:numCache>
                <c:formatCode>General</c:formatCode>
                <c:ptCount val="1"/>
                <c:pt idx="0">
                  <c:v>4</c:v>
                </c:pt>
              </c:numCache>
            </c:numRef>
          </c:xVal>
          <c:yVal>
            <c:numRef>
              <c:f>'Radiation Dispersal Device'!$J$913</c:f>
              <c:numCache>
                <c:formatCode>General</c:formatCode>
                <c:ptCount val="1"/>
                <c:pt idx="0">
                  <c:v>0</c:v>
                </c:pt>
              </c:numCache>
            </c:numRef>
          </c:yVal>
          <c:smooth val="0"/>
          <c:extLst>
            <c:ext xmlns:c16="http://schemas.microsoft.com/office/drawing/2014/chart" uri="{C3380CC4-5D6E-409C-BE32-E72D297353CC}">
              <c16:uniqueId val="{00000002-ED08-45BA-82CC-D8BE2578F70C}"/>
            </c:ext>
          </c:extLst>
        </c:ser>
        <c:ser>
          <c:idx val="3"/>
          <c:order val="3"/>
          <c:tx>
            <c:strRef>
              <c:f>'Radiation Dispersal Device'!$C$915</c:f>
              <c:strCache>
                <c:ptCount val="1"/>
                <c:pt idx="0">
                  <c:v>Fatality Mgmt</c:v>
                </c:pt>
              </c:strCache>
            </c:strRef>
          </c:tx>
          <c:spPr>
            <a:ln w="66675">
              <a:noFill/>
            </a:ln>
          </c:spPr>
          <c:dLbls>
            <c:dLbl>
              <c:idx val="0"/>
              <c:layout>
                <c:manualLayout>
                  <c:x val="-0.14216219891634721"/>
                  <c:y val="2.4286581663630808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ED08-45BA-82CC-D8BE2578F70C}"/>
                </c:ext>
              </c:extLst>
            </c:dLbl>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'Radiation Dispersal Device'!$J$916</c:f>
              <c:numCache>
                <c:formatCode>General</c:formatCode>
                <c:ptCount val="1"/>
                <c:pt idx="0">
                  <c:v>4</c:v>
                </c:pt>
              </c:numCache>
            </c:numRef>
          </c:xVal>
          <c:yVal>
            <c:numRef>
              <c:f>'Radiation Dispersal Device'!$J$917</c:f>
              <c:numCache>
                <c:formatCode>General</c:formatCode>
                <c:ptCount val="1"/>
                <c:pt idx="0">
                  <c:v>0</c:v>
                </c:pt>
              </c:numCache>
            </c:numRef>
          </c:yVal>
          <c:smooth val="0"/>
          <c:extLst>
            <c:ext xmlns:c16="http://schemas.microsoft.com/office/drawing/2014/chart" uri="{C3380CC4-5D6E-409C-BE32-E72D297353CC}">
              <c16:uniqueId val="{00000004-ED08-45BA-82CC-D8BE2578F70C}"/>
            </c:ext>
          </c:extLst>
        </c:ser>
        <c:ser>
          <c:idx val="4"/>
          <c:order val="4"/>
          <c:tx>
            <c:strRef>
              <c:f>'Radiation Dispersal Device'!$C$919</c:f>
              <c:strCache>
                <c:ptCount val="1"/>
                <c:pt idx="0">
                  <c:v>Info Sharing</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'Radiation Dispersal Device'!$J$920</c:f>
              <c:numCache>
                <c:formatCode>General</c:formatCode>
                <c:ptCount val="1"/>
                <c:pt idx="0">
                  <c:v>4</c:v>
                </c:pt>
              </c:numCache>
            </c:numRef>
          </c:xVal>
          <c:yVal>
            <c:numRef>
              <c:f>'Radiation Dispersal Device'!$J$921</c:f>
              <c:numCache>
                <c:formatCode>General</c:formatCode>
                <c:ptCount val="1"/>
                <c:pt idx="0">
                  <c:v>0</c:v>
                </c:pt>
              </c:numCache>
            </c:numRef>
          </c:yVal>
          <c:smooth val="0"/>
          <c:extLst>
            <c:ext xmlns:c16="http://schemas.microsoft.com/office/drawing/2014/chart" uri="{C3380CC4-5D6E-409C-BE32-E72D297353CC}">
              <c16:uniqueId val="{00000005-ED08-45BA-82CC-D8BE2578F70C}"/>
            </c:ext>
          </c:extLst>
        </c:ser>
        <c:ser>
          <c:idx val="5"/>
          <c:order val="5"/>
          <c:tx>
            <c:strRef>
              <c:f>'Radiation Dispersal Device'!$C$923</c:f>
              <c:strCache>
                <c:ptCount val="1"/>
                <c:pt idx="0">
                  <c:v>Medical Surge</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'Radiation Dispersal Device'!$J$924</c:f>
              <c:numCache>
                <c:formatCode>General</c:formatCode>
                <c:ptCount val="1"/>
                <c:pt idx="0">
                  <c:v>4</c:v>
                </c:pt>
              </c:numCache>
            </c:numRef>
          </c:xVal>
          <c:yVal>
            <c:numRef>
              <c:f>'Radiation Dispersal Device'!$J$925</c:f>
              <c:numCache>
                <c:formatCode>General</c:formatCode>
                <c:ptCount val="1"/>
                <c:pt idx="0">
                  <c:v>0</c:v>
                </c:pt>
              </c:numCache>
            </c:numRef>
          </c:yVal>
          <c:smooth val="0"/>
          <c:extLst>
            <c:ext xmlns:c16="http://schemas.microsoft.com/office/drawing/2014/chart" uri="{C3380CC4-5D6E-409C-BE32-E72D297353CC}">
              <c16:uniqueId val="{00000006-ED08-45BA-82CC-D8BE2578F70C}"/>
            </c:ext>
          </c:extLst>
        </c:ser>
        <c:ser>
          <c:idx val="6"/>
          <c:order val="6"/>
          <c:tx>
            <c:strRef>
              <c:f>'Radiation Dispersal Device'!$C$927</c:f>
              <c:strCache>
                <c:ptCount val="1"/>
                <c:pt idx="0">
                  <c:v>Responder Safety</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'Radiation Dispersal Device'!$J$928</c:f>
              <c:numCache>
                <c:formatCode>General</c:formatCode>
                <c:ptCount val="1"/>
                <c:pt idx="0">
                  <c:v>4</c:v>
                </c:pt>
              </c:numCache>
            </c:numRef>
          </c:xVal>
          <c:yVal>
            <c:numRef>
              <c:f>'Radiation Dispersal Device'!$J$929</c:f>
              <c:numCache>
                <c:formatCode>General</c:formatCode>
                <c:ptCount val="1"/>
                <c:pt idx="0">
                  <c:v>0</c:v>
                </c:pt>
              </c:numCache>
            </c:numRef>
          </c:yVal>
          <c:smooth val="0"/>
          <c:extLst>
            <c:ext xmlns:c16="http://schemas.microsoft.com/office/drawing/2014/chart" uri="{C3380CC4-5D6E-409C-BE32-E72D297353CC}">
              <c16:uniqueId val="{00000007-ED08-45BA-82CC-D8BE2578F70C}"/>
            </c:ext>
          </c:extLst>
        </c:ser>
        <c:ser>
          <c:idx val="7"/>
          <c:order val="7"/>
          <c:tx>
            <c:strRef>
              <c:f>'Radiation Dispersal Device'!$C$931</c:f>
              <c:strCache>
                <c:ptCount val="1"/>
                <c:pt idx="0">
                  <c:v>Volunteer Mgmt</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'Radiation Dispersal Device'!$J$932</c:f>
              <c:numCache>
                <c:formatCode>General</c:formatCode>
                <c:ptCount val="1"/>
                <c:pt idx="0">
                  <c:v>4</c:v>
                </c:pt>
              </c:numCache>
            </c:numRef>
          </c:xVal>
          <c:yVal>
            <c:numRef>
              <c:f>'Radiation Dispersal Device'!$J$933</c:f>
              <c:numCache>
                <c:formatCode>General</c:formatCode>
                <c:ptCount val="1"/>
                <c:pt idx="0">
                  <c:v>0</c:v>
                </c:pt>
              </c:numCache>
            </c:numRef>
          </c:yVal>
          <c:smooth val="0"/>
          <c:extLst>
            <c:ext xmlns:c16="http://schemas.microsoft.com/office/drawing/2014/chart" uri="{C3380CC4-5D6E-409C-BE32-E72D297353CC}">
              <c16:uniqueId val="{00000008-ED08-45BA-82CC-D8BE2578F70C}"/>
            </c:ext>
          </c:extLst>
        </c:ser>
        <c:ser>
          <c:idx val="14"/>
          <c:order val="8"/>
          <c:tx>
            <c:strRef>
              <c:f>'Radiation Dispersal Device'!$C$964</c:f>
              <c:strCache>
                <c:ptCount val="1"/>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'Radiation Dispersal Device'!$J$965</c:f>
            </c:numRef>
          </c:xVal>
          <c:yVal>
            <c:numRef>
              <c:f>'Radiation Dispersal Device'!$J$966</c:f>
            </c:numRef>
          </c:yVal>
          <c:smooth val="0"/>
          <c:extLst>
            <c:ext xmlns:c16="http://schemas.microsoft.com/office/drawing/2014/chart" uri="{C3380CC4-5D6E-409C-BE32-E72D297353CC}">
              <c16:uniqueId val="{00000009-ED08-45BA-82CC-D8BE2578F70C}"/>
            </c:ext>
          </c:extLst>
        </c:ser>
        <c:dLbls>
          <c:showLegendKey val="0"/>
          <c:showVal val="1"/>
          <c:showCatName val="0"/>
          <c:showSerName val="0"/>
          <c:showPercent val="0"/>
          <c:showBubbleSize val="0"/>
        </c:dLbls>
        <c:axId val="200719360"/>
        <c:axId val="200615040"/>
      </c:scatterChart>
      <c:valAx>
        <c:axId val="200719360"/>
        <c:scaling>
          <c:orientation val="minMax"/>
          <c:max val="4.5"/>
          <c:min val="0"/>
        </c:scaling>
        <c:delete val="0"/>
        <c:axPos val="b"/>
        <c:majorGridlines/>
        <c:title>
          <c:tx>
            <c:rich>
              <a:bodyPr/>
              <a:lstStyle/>
              <a:p>
                <a:pPr>
                  <a:defRPr b="0">
                    <a:latin typeface="+mj-lt"/>
                  </a:defRPr>
                </a:pPr>
                <a:r>
                  <a:rPr lang="en-US" sz="1600" b="0">
                    <a:latin typeface="+mj-lt"/>
                  </a:rPr>
                  <a:t>Capability Relevance to Hazard</a:t>
                </a:r>
              </a:p>
            </c:rich>
          </c:tx>
          <c:overlay val="0"/>
        </c:title>
        <c:numFmt formatCode="General" sourceLinked="1"/>
        <c:majorTickMark val="out"/>
        <c:minorTickMark val="none"/>
        <c:tickLblPos val="nextTo"/>
        <c:spPr>
          <a:ln>
            <a:solidFill>
              <a:schemeClr val="tx1"/>
            </a:solidFill>
          </a:ln>
        </c:spPr>
        <c:crossAx val="200615040"/>
        <c:crosses val="autoZero"/>
        <c:crossBetween val="midCat"/>
        <c:majorUnit val="1"/>
        <c:minorUnit val="0.1"/>
      </c:valAx>
      <c:valAx>
        <c:axId val="200615040"/>
        <c:scaling>
          <c:orientation val="minMax"/>
          <c:max val="4.5"/>
          <c:min val="0"/>
        </c:scaling>
        <c:delete val="0"/>
        <c:axPos val="l"/>
        <c:majorGridlines/>
        <c:title>
          <c:tx>
            <c:rich>
              <a:bodyPr rot="-5400000" vert="horz"/>
              <a:lstStyle/>
              <a:p>
                <a:pPr>
                  <a:defRPr sz="1600" b="0">
                    <a:latin typeface="+mj-lt"/>
                  </a:defRPr>
                </a:pPr>
                <a:r>
                  <a:rPr lang="en-US" sz="1600" b="0">
                    <a:latin typeface="+mj-lt"/>
                  </a:rPr>
                  <a:t>Capability Status</a:t>
                </a:r>
              </a:p>
            </c:rich>
          </c:tx>
          <c:overlay val="0"/>
        </c:title>
        <c:numFmt formatCode="General" sourceLinked="1"/>
        <c:majorTickMark val="out"/>
        <c:minorTickMark val="none"/>
        <c:tickLblPos val="nextTo"/>
        <c:spPr>
          <a:ln>
            <a:solidFill>
              <a:schemeClr val="tx1"/>
            </a:solidFill>
          </a:ln>
        </c:spPr>
        <c:crossAx val="200719360"/>
        <c:crosses val="autoZero"/>
        <c:crossBetween val="midCat"/>
        <c:majorUnit val="1"/>
        <c:minorUnit val="0.1"/>
      </c:valAx>
      <c:spPr>
        <a:gradFill flip="none" rotWithShape="1">
          <a:gsLst>
            <a:gs pos="0">
              <a:srgbClr val="63BE7B"/>
            </a:gs>
            <a:gs pos="50000">
              <a:srgbClr val="FFEB84"/>
            </a:gs>
            <a:gs pos="100000">
              <a:srgbClr val="F8696B"/>
            </a:gs>
          </a:gsLst>
          <a:lin ang="27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b="0" u="sng">
                <a:latin typeface="+mj-lt"/>
              </a:defRPr>
            </a:pPr>
            <a:r>
              <a:rPr lang="en-US" b="0" u="sng">
                <a:latin typeface="+mj-lt"/>
              </a:rPr>
              <a:t>Severity</a:t>
            </a:r>
          </a:p>
        </c:rich>
      </c:tx>
      <c:layout>
        <c:manualLayout>
          <c:xMode val="edge"/>
          <c:yMode val="edge"/>
          <c:x val="0.46889233641333816"/>
          <c:y val="1.3244983721297133E-2"/>
        </c:manualLayout>
      </c:layout>
      <c:overlay val="0"/>
    </c:title>
    <c:autoTitleDeleted val="0"/>
    <c:plotArea>
      <c:layout/>
      <c:barChart>
        <c:barDir val="col"/>
        <c:grouping val="clustered"/>
        <c:varyColors val="0"/>
        <c:ser>
          <c:idx val="0"/>
          <c:order val="0"/>
          <c:tx>
            <c:v>Severity</c:v>
          </c:tx>
          <c:spPr>
            <a:solidFill>
              <a:schemeClr val="accent4">
                <a:lumMod val="60000"/>
                <a:lumOff val="40000"/>
              </a:schemeClr>
            </a:solidFill>
            <a:ln>
              <a:solidFill>
                <a:schemeClr val="accent4"/>
              </a:solidFill>
            </a:ln>
            <a:scene3d>
              <a:camera prst="orthographicFront"/>
              <a:lightRig rig="threePt" dir="t"/>
            </a:scene3d>
            <a:sp3d prstMaterial="matte">
              <a:bevelT/>
            </a:sp3d>
          </c:spPr>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('Active Shooter'!$G$22,'Active Shooter'!$G$137,'Active Shooter'!$G$265,'Active Shooter'!$G$425,'Active Shooter'!$G$543)</c:f>
              <c:strCache>
                <c:ptCount val="5"/>
                <c:pt idx="0">
                  <c:v>Human Impact</c:v>
                </c:pt>
                <c:pt idx="1">
                  <c:v>Healthcare Service Impact</c:v>
                </c:pt>
                <c:pt idx="2">
                  <c:v>Inpatient Healthcare Facility Infrastructure Impact</c:v>
                </c:pt>
                <c:pt idx="3">
                  <c:v>Community Impact</c:v>
                </c:pt>
                <c:pt idx="4">
                  <c:v>Public Health Service Impact</c:v>
                </c:pt>
              </c:strCache>
            </c:strRef>
          </c:cat>
          <c:val>
            <c:numRef>
              <c:f>('Temperature Extremes'!$J$133,'Temperature Extremes'!$J$261,'Temperature Extremes'!$J$421,'Temperature Extremes'!$J$539,'Temperature Extremes'!$J$681)</c:f>
              <c:numCache>
                <c:formatCode>0.00</c:formatCode>
                <c:ptCount val="5"/>
                <c:pt idx="0">
                  <c:v>0</c:v>
                </c:pt>
                <c:pt idx="1">
                  <c:v>0</c:v>
                </c:pt>
                <c:pt idx="2">
                  <c:v>1.75</c:v>
                </c:pt>
                <c:pt idx="3">
                  <c:v>0.7142857142857143</c:v>
                </c:pt>
                <c:pt idx="4">
                  <c:v>0</c:v>
                </c:pt>
              </c:numCache>
            </c:numRef>
          </c:val>
          <c:extLst>
            <c:ext xmlns:c16="http://schemas.microsoft.com/office/drawing/2014/chart" uri="{C3380CC4-5D6E-409C-BE32-E72D297353CC}">
              <c16:uniqueId val="{00000000-4CA9-4A0C-A64F-369AFFEC30F3}"/>
            </c:ext>
          </c:extLst>
        </c:ser>
        <c:dLbls>
          <c:showLegendKey val="0"/>
          <c:showVal val="1"/>
          <c:showCatName val="0"/>
          <c:showSerName val="0"/>
          <c:showPercent val="0"/>
          <c:showBubbleSize val="0"/>
        </c:dLbls>
        <c:gapWidth val="150"/>
        <c:axId val="200876416"/>
        <c:axId val="200878336"/>
      </c:barChart>
      <c:catAx>
        <c:axId val="200876416"/>
        <c:scaling>
          <c:orientation val="minMax"/>
        </c:scaling>
        <c:delete val="0"/>
        <c:axPos val="b"/>
        <c:title>
          <c:tx>
            <c:rich>
              <a:bodyPr/>
              <a:lstStyle/>
              <a:p>
                <a:pPr>
                  <a:defRPr sz="1600" b="0">
                    <a:latin typeface="+mj-lt"/>
                  </a:defRPr>
                </a:pPr>
                <a:r>
                  <a:rPr lang="en-US" sz="1600" b="0">
                    <a:latin typeface="+mj-lt"/>
                  </a:rPr>
                  <a:t>Domain</a:t>
                </a:r>
              </a:p>
            </c:rich>
          </c:tx>
          <c:overlay val="0"/>
        </c:title>
        <c:numFmt formatCode="General" sourceLinked="1"/>
        <c:majorTickMark val="out"/>
        <c:minorTickMark val="none"/>
        <c:tickLblPos val="nextTo"/>
        <c:crossAx val="200878336"/>
        <c:crosses val="autoZero"/>
        <c:auto val="1"/>
        <c:lblAlgn val="ctr"/>
        <c:lblOffset val="100"/>
        <c:noMultiLvlLbl val="0"/>
      </c:catAx>
      <c:valAx>
        <c:axId val="200878336"/>
        <c:scaling>
          <c:orientation val="minMax"/>
          <c:max val="4"/>
        </c:scaling>
        <c:delete val="0"/>
        <c:axPos val="l"/>
        <c:majorGridlines/>
        <c:title>
          <c:tx>
            <c:rich>
              <a:bodyPr rot="-5400000" vert="horz"/>
              <a:lstStyle/>
              <a:p>
                <a:pPr>
                  <a:defRPr sz="1600" b="0">
                    <a:latin typeface="+mj-lt"/>
                  </a:defRPr>
                </a:pPr>
                <a:r>
                  <a:rPr lang="en-US" sz="1600" b="0">
                    <a:latin typeface="+mj-lt"/>
                  </a:rPr>
                  <a:t>Severity</a:t>
                </a:r>
                <a:r>
                  <a:rPr lang="en-US" sz="1600" b="0" baseline="0">
                    <a:latin typeface="+mj-lt"/>
                  </a:rPr>
                  <a:t> Score</a:t>
                </a:r>
                <a:endParaRPr lang="en-US" sz="1600" b="0">
                  <a:latin typeface="+mj-lt"/>
                </a:endParaRPr>
              </a:p>
            </c:rich>
          </c:tx>
          <c:overlay val="0"/>
        </c:title>
        <c:numFmt formatCode="0.00" sourceLinked="1"/>
        <c:majorTickMark val="out"/>
        <c:minorTickMark val="none"/>
        <c:tickLblPos val="nextTo"/>
        <c:crossAx val="200876416"/>
        <c:crosses val="autoZero"/>
        <c:crossBetween val="between"/>
      </c:valAx>
      <c:spPr>
        <a:gradFill flip="none" rotWithShape="1">
          <a:gsLst>
            <a:gs pos="0">
              <a:srgbClr val="63BE7B"/>
            </a:gs>
            <a:gs pos="50000">
              <a:srgbClr val="FFEB84"/>
            </a:gs>
            <a:gs pos="100000">
              <a:srgbClr val="F8696B"/>
            </a:gs>
          </a:gsLst>
          <a:lin ang="162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b="0" u="sng">
                <a:latin typeface="+mj-lt"/>
              </a:defRPr>
            </a:pPr>
            <a:r>
              <a:rPr lang="en-US" b="0" u="sng">
                <a:latin typeface="+mj-lt"/>
              </a:rPr>
              <a:t>At-Risk Populations</a:t>
            </a:r>
          </a:p>
        </c:rich>
      </c:tx>
      <c:layout>
        <c:manualLayout>
          <c:xMode val="edge"/>
          <c:yMode val="edge"/>
          <c:x val="0.37636858589702443"/>
          <c:y val="1.3244983721297133E-2"/>
        </c:manualLayout>
      </c:layout>
      <c:overlay val="0"/>
    </c:title>
    <c:autoTitleDeleted val="0"/>
    <c:plotArea>
      <c:layout/>
      <c:scatterChart>
        <c:scatterStyle val="lineMarker"/>
        <c:varyColors val="0"/>
        <c:ser>
          <c:idx val="0"/>
          <c:order val="0"/>
          <c:tx>
            <c:strRef>
              <c:f>'Temperature Extremes'!$C$793</c:f>
              <c:strCache>
                <c:ptCount val="1"/>
                <c:pt idx="0">
                  <c:v>Poverty</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'Temperature Extremes'!$J$795</c:f>
              <c:numCache>
                <c:formatCode>General</c:formatCode>
                <c:ptCount val="1"/>
                <c:pt idx="0">
                  <c:v>2</c:v>
                </c:pt>
              </c:numCache>
            </c:numRef>
          </c:xVal>
          <c:yVal>
            <c:numRef>
              <c:f>'Temperature Extremes'!$J$794</c:f>
              <c:numCache>
                <c:formatCode>General</c:formatCode>
                <c:ptCount val="1"/>
                <c:pt idx="0">
                  <c:v>0</c:v>
                </c:pt>
              </c:numCache>
            </c:numRef>
          </c:yVal>
          <c:smooth val="0"/>
          <c:extLst>
            <c:ext xmlns:c16="http://schemas.microsoft.com/office/drawing/2014/chart" uri="{C3380CC4-5D6E-409C-BE32-E72D297353CC}">
              <c16:uniqueId val="{00000000-AB92-46CA-A82C-9F24D855CDEF}"/>
            </c:ext>
          </c:extLst>
        </c:ser>
        <c:ser>
          <c:idx val="1"/>
          <c:order val="1"/>
          <c:tx>
            <c:strRef>
              <c:f>'Temperature Extremes'!$C$797</c:f>
              <c:strCache>
                <c:ptCount val="1"/>
                <c:pt idx="0">
                  <c:v>Chronic Diseases (Diabetes)</c:v>
                </c:pt>
              </c:strCache>
            </c:strRef>
          </c:tx>
          <c:spPr>
            <a:ln w="66675">
              <a:noFill/>
            </a:ln>
          </c:spPr>
          <c:dLbls>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'Temperature Extremes'!$J$799</c:f>
              <c:numCache>
                <c:formatCode>General</c:formatCode>
                <c:ptCount val="1"/>
                <c:pt idx="0">
                  <c:v>3</c:v>
                </c:pt>
              </c:numCache>
            </c:numRef>
          </c:xVal>
          <c:yVal>
            <c:numRef>
              <c:f>'Temperature Extremes'!$J$798</c:f>
              <c:numCache>
                <c:formatCode>General</c:formatCode>
                <c:ptCount val="1"/>
                <c:pt idx="0">
                  <c:v>0</c:v>
                </c:pt>
              </c:numCache>
            </c:numRef>
          </c:yVal>
          <c:smooth val="0"/>
          <c:extLst>
            <c:ext xmlns:c16="http://schemas.microsoft.com/office/drawing/2014/chart" uri="{C3380CC4-5D6E-409C-BE32-E72D297353CC}">
              <c16:uniqueId val="{00000001-AB92-46CA-A82C-9F24D855CDEF}"/>
            </c:ext>
          </c:extLst>
        </c:ser>
        <c:ser>
          <c:idx val="2"/>
          <c:order val="2"/>
          <c:tx>
            <c:strRef>
              <c:f>'Temperature Extremes'!$C$801</c:f>
              <c:strCache>
                <c:ptCount val="1"/>
                <c:pt idx="0">
                  <c:v>Children 18 and under</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'Temperature Extremes'!$J$803</c:f>
              <c:numCache>
                <c:formatCode>General</c:formatCode>
                <c:ptCount val="1"/>
                <c:pt idx="0">
                  <c:v>3</c:v>
                </c:pt>
              </c:numCache>
            </c:numRef>
          </c:xVal>
          <c:yVal>
            <c:numRef>
              <c:f>'Temperature Extremes'!$J$802</c:f>
              <c:numCache>
                <c:formatCode>General</c:formatCode>
                <c:ptCount val="1"/>
                <c:pt idx="0">
                  <c:v>0</c:v>
                </c:pt>
              </c:numCache>
            </c:numRef>
          </c:yVal>
          <c:smooth val="0"/>
          <c:extLst>
            <c:ext xmlns:c16="http://schemas.microsoft.com/office/drawing/2014/chart" uri="{C3380CC4-5D6E-409C-BE32-E72D297353CC}">
              <c16:uniqueId val="{00000002-AB92-46CA-A82C-9F24D855CDEF}"/>
            </c:ext>
          </c:extLst>
        </c:ser>
        <c:ser>
          <c:idx val="3"/>
          <c:order val="3"/>
          <c:tx>
            <c:strRef>
              <c:f>'Temperature Extremes'!$C$805</c:f>
              <c:strCache>
                <c:ptCount val="1"/>
                <c:pt idx="0">
                  <c:v>Elderly 65 and older</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'Temperature Extremes'!$J$807</c:f>
              <c:numCache>
                <c:formatCode>General</c:formatCode>
                <c:ptCount val="1"/>
                <c:pt idx="0">
                  <c:v>3</c:v>
                </c:pt>
              </c:numCache>
            </c:numRef>
          </c:xVal>
          <c:yVal>
            <c:numRef>
              <c:f>'Temperature Extremes'!$J$806</c:f>
              <c:numCache>
                <c:formatCode>General</c:formatCode>
                <c:ptCount val="1"/>
                <c:pt idx="0">
                  <c:v>0</c:v>
                </c:pt>
              </c:numCache>
            </c:numRef>
          </c:yVal>
          <c:smooth val="0"/>
          <c:extLst>
            <c:ext xmlns:c16="http://schemas.microsoft.com/office/drawing/2014/chart" uri="{C3380CC4-5D6E-409C-BE32-E72D297353CC}">
              <c16:uniqueId val="{00000003-AB92-46CA-A82C-9F24D855CDEF}"/>
            </c:ext>
          </c:extLst>
        </c:ser>
        <c:ser>
          <c:idx val="4"/>
          <c:order val="4"/>
          <c:tx>
            <c:strRef>
              <c:f>'Temperature Extremes'!$C$773</c:f>
              <c:strCache>
                <c:ptCount val="1"/>
                <c:pt idx="0">
                  <c:v>Hearing Disability</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'Temperature Extremes'!$J$775</c:f>
              <c:numCache>
                <c:formatCode>General</c:formatCode>
                <c:ptCount val="1"/>
                <c:pt idx="0">
                  <c:v>3</c:v>
                </c:pt>
              </c:numCache>
            </c:numRef>
          </c:xVal>
          <c:yVal>
            <c:numRef>
              <c:f>'Temperature Extremes'!$J$774</c:f>
              <c:numCache>
                <c:formatCode>General</c:formatCode>
                <c:ptCount val="1"/>
                <c:pt idx="0">
                  <c:v>0</c:v>
                </c:pt>
              </c:numCache>
            </c:numRef>
          </c:yVal>
          <c:smooth val="0"/>
          <c:extLst>
            <c:ext xmlns:c16="http://schemas.microsoft.com/office/drawing/2014/chart" uri="{C3380CC4-5D6E-409C-BE32-E72D297353CC}">
              <c16:uniqueId val="{00000004-AB92-46CA-A82C-9F24D855CDEF}"/>
            </c:ext>
          </c:extLst>
        </c:ser>
        <c:ser>
          <c:idx val="5"/>
          <c:order val="5"/>
          <c:tx>
            <c:strRef>
              <c:f>'Temperature Extremes'!$C$777</c:f>
              <c:strCache>
                <c:ptCount val="1"/>
                <c:pt idx="0">
                  <c:v>Vision Disability</c:v>
                </c:pt>
              </c:strCache>
            </c:strRef>
          </c:tx>
          <c:spPr>
            <a:ln w="66675">
              <a:noFill/>
            </a:ln>
          </c:spPr>
          <c:dLbls>
            <c:spPr>
              <a:noFill/>
              <a:ln>
                <a:noFill/>
              </a:ln>
              <a:effectLst/>
            </c:sp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'Temperature Extremes'!$J$779</c:f>
              <c:numCache>
                <c:formatCode>General</c:formatCode>
                <c:ptCount val="1"/>
                <c:pt idx="0">
                  <c:v>3</c:v>
                </c:pt>
              </c:numCache>
            </c:numRef>
          </c:xVal>
          <c:yVal>
            <c:numRef>
              <c:f>'Temperature Extremes'!$J$768</c:f>
              <c:numCache>
                <c:formatCode>General</c:formatCode>
                <c:ptCount val="1"/>
                <c:pt idx="0">
                  <c:v>1</c:v>
                </c:pt>
              </c:numCache>
            </c:numRef>
          </c:yVal>
          <c:smooth val="0"/>
          <c:extLst>
            <c:ext xmlns:c16="http://schemas.microsoft.com/office/drawing/2014/chart" uri="{C3380CC4-5D6E-409C-BE32-E72D297353CC}">
              <c16:uniqueId val="{00000005-AB92-46CA-A82C-9F24D855CDEF}"/>
            </c:ext>
          </c:extLst>
        </c:ser>
        <c:ser>
          <c:idx val="6"/>
          <c:order val="6"/>
          <c:tx>
            <c:strRef>
              <c:f>'Temperature Extremes'!$C$781</c:f>
              <c:strCache>
                <c:ptCount val="1"/>
                <c:pt idx="0">
                  <c:v>Ambulatory Disability</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'Temperature Extremes'!$J$783</c:f>
              <c:numCache>
                <c:formatCode>General</c:formatCode>
                <c:ptCount val="1"/>
                <c:pt idx="0">
                  <c:v>2</c:v>
                </c:pt>
              </c:numCache>
            </c:numRef>
          </c:xVal>
          <c:yVal>
            <c:numRef>
              <c:f>'Temperature Extremes'!$J$782</c:f>
              <c:numCache>
                <c:formatCode>General</c:formatCode>
                <c:ptCount val="1"/>
                <c:pt idx="0">
                  <c:v>0</c:v>
                </c:pt>
              </c:numCache>
            </c:numRef>
          </c:yVal>
          <c:smooth val="0"/>
          <c:extLst>
            <c:ext xmlns:c16="http://schemas.microsoft.com/office/drawing/2014/chart" uri="{C3380CC4-5D6E-409C-BE32-E72D297353CC}">
              <c16:uniqueId val="{00000006-AB92-46CA-A82C-9F24D855CDEF}"/>
            </c:ext>
          </c:extLst>
        </c:ser>
        <c:ser>
          <c:idx val="7"/>
          <c:order val="7"/>
          <c:tx>
            <c:strRef>
              <c:f>'Temperature Extremes'!$C$785</c:f>
              <c:strCache>
                <c:ptCount val="1"/>
                <c:pt idx="0">
                  <c:v>Cognitive Disability</c:v>
                </c:pt>
              </c:strCache>
            </c:strRef>
          </c:tx>
          <c:spPr>
            <a:ln w="66675">
              <a:noFill/>
            </a:ln>
          </c:spPr>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AB92-46CA-A82C-9F24D855CDEF}"/>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'Temperature Extremes'!$J$787</c:f>
              <c:numCache>
                <c:formatCode>General</c:formatCode>
                <c:ptCount val="1"/>
                <c:pt idx="0">
                  <c:v>3</c:v>
                </c:pt>
              </c:numCache>
            </c:numRef>
          </c:xVal>
          <c:yVal>
            <c:numRef>
              <c:f>'Temperature Extremes'!$J$786</c:f>
              <c:numCache>
                <c:formatCode>General</c:formatCode>
                <c:ptCount val="1"/>
                <c:pt idx="0">
                  <c:v>0</c:v>
                </c:pt>
              </c:numCache>
            </c:numRef>
          </c:yVal>
          <c:smooth val="0"/>
          <c:extLst>
            <c:ext xmlns:c16="http://schemas.microsoft.com/office/drawing/2014/chart" uri="{C3380CC4-5D6E-409C-BE32-E72D297353CC}">
              <c16:uniqueId val="{00000008-AB92-46CA-A82C-9F24D855CDEF}"/>
            </c:ext>
          </c:extLst>
        </c:ser>
        <c:ser>
          <c:idx val="8"/>
          <c:order val="8"/>
          <c:tx>
            <c:strRef>
              <c:f>'Temperature Extremes'!$C$789</c:f>
              <c:strCache>
                <c:ptCount val="1"/>
                <c:pt idx="0">
                  <c:v>Limited English Proficiency</c:v>
                </c:pt>
              </c:strCache>
            </c:strRef>
          </c:tx>
          <c:spPr>
            <a:ln w="66675">
              <a:noFill/>
            </a:ln>
          </c:spPr>
          <c:dLbls>
            <c:spPr>
              <a:noFill/>
              <a:ln>
                <a:noFill/>
              </a:ln>
              <a:effectLst/>
            </c:sp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'Temperature Extremes'!$J$791</c:f>
              <c:numCache>
                <c:formatCode>General</c:formatCode>
                <c:ptCount val="1"/>
                <c:pt idx="0">
                  <c:v>3</c:v>
                </c:pt>
              </c:numCache>
            </c:numRef>
          </c:xVal>
          <c:yVal>
            <c:numRef>
              <c:f>'Temperature Extremes'!$J$790</c:f>
              <c:numCache>
                <c:formatCode>General</c:formatCode>
                <c:ptCount val="1"/>
                <c:pt idx="0">
                  <c:v>0</c:v>
                </c:pt>
              </c:numCache>
            </c:numRef>
          </c:yVal>
          <c:smooth val="0"/>
          <c:extLst>
            <c:ext xmlns:c16="http://schemas.microsoft.com/office/drawing/2014/chart" uri="{C3380CC4-5D6E-409C-BE32-E72D297353CC}">
              <c16:uniqueId val="{00000009-AB92-46CA-A82C-9F24D855CDEF}"/>
            </c:ext>
          </c:extLst>
        </c:ser>
        <c:dLbls>
          <c:showLegendKey val="0"/>
          <c:showVal val="1"/>
          <c:showCatName val="0"/>
          <c:showSerName val="0"/>
          <c:showPercent val="0"/>
          <c:showBubbleSize val="0"/>
        </c:dLbls>
        <c:axId val="200835072"/>
        <c:axId val="200836992"/>
      </c:scatterChart>
      <c:valAx>
        <c:axId val="200835072"/>
        <c:scaling>
          <c:orientation val="minMax"/>
          <c:max val="4.5"/>
          <c:min val="0"/>
        </c:scaling>
        <c:delete val="0"/>
        <c:axPos val="b"/>
        <c:majorGridlines/>
        <c:title>
          <c:tx>
            <c:rich>
              <a:bodyPr/>
              <a:lstStyle/>
              <a:p>
                <a:pPr>
                  <a:defRPr b="0">
                    <a:latin typeface="+mj-lt"/>
                  </a:defRPr>
                </a:pPr>
                <a:r>
                  <a:rPr lang="en-US" sz="1600" b="0">
                    <a:latin typeface="+mj-lt"/>
                  </a:rPr>
                  <a:t>Access Planning Score</a:t>
                </a:r>
              </a:p>
            </c:rich>
          </c:tx>
          <c:overlay val="0"/>
        </c:title>
        <c:numFmt formatCode="General" sourceLinked="1"/>
        <c:majorTickMark val="out"/>
        <c:minorTickMark val="none"/>
        <c:tickLblPos val="nextTo"/>
        <c:spPr>
          <a:ln>
            <a:solidFill>
              <a:schemeClr val="tx1"/>
            </a:solidFill>
          </a:ln>
        </c:spPr>
        <c:crossAx val="200836992"/>
        <c:crosses val="autoZero"/>
        <c:crossBetween val="midCat"/>
        <c:majorUnit val="1"/>
        <c:minorUnit val="0.1"/>
      </c:valAx>
      <c:valAx>
        <c:axId val="200836992"/>
        <c:scaling>
          <c:orientation val="minMax"/>
          <c:max val="4.5"/>
          <c:min val="0"/>
        </c:scaling>
        <c:delete val="0"/>
        <c:axPos val="l"/>
        <c:majorGridlines/>
        <c:title>
          <c:tx>
            <c:rich>
              <a:bodyPr rot="-5400000" vert="horz"/>
              <a:lstStyle/>
              <a:p>
                <a:pPr>
                  <a:defRPr sz="1600" b="0">
                    <a:latin typeface="+mj-lt"/>
                  </a:defRPr>
                </a:pPr>
                <a:r>
                  <a:rPr lang="en-US" sz="1600" b="0">
                    <a:latin typeface="+mj-lt"/>
                  </a:rPr>
                  <a:t>Population Size Score</a:t>
                </a:r>
              </a:p>
            </c:rich>
          </c:tx>
          <c:overlay val="0"/>
        </c:title>
        <c:numFmt formatCode="General" sourceLinked="1"/>
        <c:majorTickMark val="out"/>
        <c:minorTickMark val="none"/>
        <c:tickLblPos val="nextTo"/>
        <c:spPr>
          <a:ln>
            <a:solidFill>
              <a:schemeClr val="tx1"/>
            </a:solidFill>
          </a:ln>
        </c:spPr>
        <c:crossAx val="200835072"/>
        <c:crosses val="autoZero"/>
        <c:crossBetween val="midCat"/>
        <c:majorUnit val="1"/>
        <c:minorUnit val="0.1"/>
      </c:valAx>
      <c:spPr>
        <a:gradFill flip="none" rotWithShape="1">
          <a:gsLst>
            <a:gs pos="0">
              <a:srgbClr val="63BE7B"/>
            </a:gs>
            <a:gs pos="50000">
              <a:srgbClr val="FFEB84"/>
            </a:gs>
            <a:gs pos="100000">
              <a:srgbClr val="F8696B"/>
            </a:gs>
          </a:gsLst>
          <a:lin ang="189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defRPr b="0" u="sng">
                <a:latin typeface="+mj-lt"/>
              </a:defRPr>
            </a:pPr>
            <a:r>
              <a:rPr lang="en-US" b="0" u="sng">
                <a:latin typeface="+mj-lt"/>
              </a:rPr>
              <a:t>Public Health Preparedness</a:t>
            </a:r>
          </a:p>
        </c:rich>
      </c:tx>
      <c:layout>
        <c:manualLayout>
          <c:xMode val="edge"/>
          <c:yMode val="edge"/>
          <c:x val="0.30532356317913883"/>
          <c:y val="1.3244983721297133E-2"/>
        </c:manualLayout>
      </c:layout>
      <c:overlay val="0"/>
    </c:title>
    <c:autoTitleDeleted val="0"/>
    <c:plotArea>
      <c:layout/>
      <c:scatterChart>
        <c:scatterStyle val="lineMarker"/>
        <c:varyColors val="0"/>
        <c:ser>
          <c:idx val="0"/>
          <c:order val="0"/>
          <c:tx>
            <c:strRef>
              <c:f>'Temperature Extremes'!$C$853</c:f>
              <c:strCache>
                <c:ptCount val="1"/>
                <c:pt idx="0">
                  <c:v>Info Sharing</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'Temperature Extremes'!$J$854</c:f>
              <c:numCache>
                <c:formatCode>General</c:formatCode>
                <c:ptCount val="1"/>
                <c:pt idx="0">
                  <c:v>4</c:v>
                </c:pt>
              </c:numCache>
            </c:numRef>
          </c:xVal>
          <c:yVal>
            <c:numRef>
              <c:f>'Temperature Extremes'!$J$855</c:f>
              <c:numCache>
                <c:formatCode>General</c:formatCode>
                <c:ptCount val="1"/>
                <c:pt idx="0">
                  <c:v>0</c:v>
                </c:pt>
              </c:numCache>
            </c:numRef>
          </c:yVal>
          <c:smooth val="0"/>
          <c:extLst>
            <c:ext xmlns:c16="http://schemas.microsoft.com/office/drawing/2014/chart" uri="{C3380CC4-5D6E-409C-BE32-E72D297353CC}">
              <c16:uniqueId val="{00000000-62D4-4F1F-8CC5-D4FAA55206DF}"/>
            </c:ext>
          </c:extLst>
        </c:ser>
        <c:ser>
          <c:idx val="1"/>
          <c:order val="1"/>
          <c:tx>
            <c:strRef>
              <c:f>'Temperature Extremes'!$C$857</c:f>
              <c:strCache>
                <c:ptCount val="1"/>
                <c:pt idx="0">
                  <c:v>Mass Care</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'Temperature Extremes'!$J$858</c:f>
              <c:numCache>
                <c:formatCode>General</c:formatCode>
                <c:ptCount val="1"/>
                <c:pt idx="0">
                  <c:v>2</c:v>
                </c:pt>
              </c:numCache>
            </c:numRef>
          </c:xVal>
          <c:yVal>
            <c:numRef>
              <c:f>'Temperature Extremes'!$J$859</c:f>
              <c:numCache>
                <c:formatCode>General</c:formatCode>
                <c:ptCount val="1"/>
                <c:pt idx="0">
                  <c:v>0</c:v>
                </c:pt>
              </c:numCache>
            </c:numRef>
          </c:yVal>
          <c:smooth val="0"/>
          <c:extLst>
            <c:ext xmlns:c16="http://schemas.microsoft.com/office/drawing/2014/chart" uri="{C3380CC4-5D6E-409C-BE32-E72D297353CC}">
              <c16:uniqueId val="{00000001-62D4-4F1F-8CC5-D4FAA55206DF}"/>
            </c:ext>
          </c:extLst>
        </c:ser>
        <c:ser>
          <c:idx val="2"/>
          <c:order val="2"/>
          <c:tx>
            <c:strRef>
              <c:f>'Temperature Extremes'!$C$861</c:f>
              <c:strCache>
                <c:ptCount val="1"/>
                <c:pt idx="0">
                  <c:v>MCM Dispens</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'Temperature Extremes'!$J$862</c:f>
              <c:numCache>
                <c:formatCode>General</c:formatCode>
                <c:ptCount val="1"/>
                <c:pt idx="0">
                  <c:v>0</c:v>
                </c:pt>
              </c:numCache>
            </c:numRef>
          </c:xVal>
          <c:yVal>
            <c:numRef>
              <c:f>'Temperature Extremes'!$J$863</c:f>
              <c:numCache>
                <c:formatCode>General</c:formatCode>
                <c:ptCount val="1"/>
                <c:pt idx="0">
                  <c:v>0</c:v>
                </c:pt>
              </c:numCache>
            </c:numRef>
          </c:yVal>
          <c:smooth val="0"/>
          <c:extLst>
            <c:ext xmlns:c16="http://schemas.microsoft.com/office/drawing/2014/chart" uri="{C3380CC4-5D6E-409C-BE32-E72D297353CC}">
              <c16:uniqueId val="{00000002-62D4-4F1F-8CC5-D4FAA55206DF}"/>
            </c:ext>
          </c:extLst>
        </c:ser>
        <c:ser>
          <c:idx val="3"/>
          <c:order val="3"/>
          <c:tx>
            <c:strRef>
              <c:f>'Temperature Extremes'!$C$865</c:f>
              <c:strCache>
                <c:ptCount val="1"/>
                <c:pt idx="0">
                  <c:v>Med Materiel Mgmt</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'Temperature Extremes'!$J$866</c:f>
              <c:numCache>
                <c:formatCode>General</c:formatCode>
                <c:ptCount val="1"/>
                <c:pt idx="0">
                  <c:v>1</c:v>
                </c:pt>
              </c:numCache>
            </c:numRef>
          </c:xVal>
          <c:yVal>
            <c:numRef>
              <c:f>'Temperature Extremes'!$J$867</c:f>
              <c:numCache>
                <c:formatCode>General</c:formatCode>
                <c:ptCount val="1"/>
                <c:pt idx="0">
                  <c:v>0</c:v>
                </c:pt>
              </c:numCache>
            </c:numRef>
          </c:yVal>
          <c:smooth val="0"/>
          <c:extLst>
            <c:ext xmlns:c16="http://schemas.microsoft.com/office/drawing/2014/chart" uri="{C3380CC4-5D6E-409C-BE32-E72D297353CC}">
              <c16:uniqueId val="{00000003-62D4-4F1F-8CC5-D4FAA55206DF}"/>
            </c:ext>
          </c:extLst>
        </c:ser>
        <c:ser>
          <c:idx val="4"/>
          <c:order val="4"/>
          <c:tx>
            <c:strRef>
              <c:f>'Temperature Extremes'!$C$869</c:f>
              <c:strCache>
                <c:ptCount val="1"/>
                <c:pt idx="0">
                  <c:v>Medical Surge</c:v>
                </c:pt>
              </c:strCache>
            </c:strRef>
          </c:tx>
          <c:spPr>
            <a:ln w="66675">
              <a:noFill/>
            </a:ln>
          </c:spPr>
          <c:dLbls>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'Temperature Extremes'!$J$870</c:f>
              <c:numCache>
                <c:formatCode>General</c:formatCode>
                <c:ptCount val="1"/>
                <c:pt idx="0">
                  <c:v>2</c:v>
                </c:pt>
              </c:numCache>
            </c:numRef>
          </c:xVal>
          <c:yVal>
            <c:numRef>
              <c:f>'Temperature Extremes'!$J$871</c:f>
              <c:numCache>
                <c:formatCode>General</c:formatCode>
                <c:ptCount val="1"/>
                <c:pt idx="0">
                  <c:v>0</c:v>
                </c:pt>
              </c:numCache>
            </c:numRef>
          </c:yVal>
          <c:smooth val="0"/>
          <c:extLst>
            <c:ext xmlns:c16="http://schemas.microsoft.com/office/drawing/2014/chart" uri="{C3380CC4-5D6E-409C-BE32-E72D297353CC}">
              <c16:uniqueId val="{00000004-62D4-4F1F-8CC5-D4FAA55206DF}"/>
            </c:ext>
          </c:extLst>
        </c:ser>
        <c:ser>
          <c:idx val="5"/>
          <c:order val="5"/>
          <c:tx>
            <c:strRef>
              <c:f>'Temperature Extremes'!$C$873</c:f>
              <c:strCache>
                <c:ptCount val="1"/>
                <c:pt idx="0">
                  <c:v>Non-Pharm Interv</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'Temperature Extremes'!$J$874</c:f>
              <c:numCache>
                <c:formatCode>General</c:formatCode>
                <c:ptCount val="1"/>
                <c:pt idx="0">
                  <c:v>0</c:v>
                </c:pt>
              </c:numCache>
            </c:numRef>
          </c:xVal>
          <c:yVal>
            <c:numRef>
              <c:f>'Temperature Extremes'!$J$875</c:f>
              <c:numCache>
                <c:formatCode>General</c:formatCode>
                <c:ptCount val="1"/>
                <c:pt idx="0">
                  <c:v>0</c:v>
                </c:pt>
              </c:numCache>
            </c:numRef>
          </c:yVal>
          <c:smooth val="0"/>
          <c:extLst>
            <c:ext xmlns:c16="http://schemas.microsoft.com/office/drawing/2014/chart" uri="{C3380CC4-5D6E-409C-BE32-E72D297353CC}">
              <c16:uniqueId val="{00000005-62D4-4F1F-8CC5-D4FAA55206DF}"/>
            </c:ext>
          </c:extLst>
        </c:ser>
        <c:ser>
          <c:idx val="6"/>
          <c:order val="6"/>
          <c:tx>
            <c:strRef>
              <c:f>'Temperature Extremes'!$C$877</c:f>
              <c:strCache>
                <c:ptCount val="1"/>
                <c:pt idx="0">
                  <c:v>PH Lab Testing</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'Temperature Extremes'!$J$878</c:f>
              <c:numCache>
                <c:formatCode>General</c:formatCode>
                <c:ptCount val="1"/>
                <c:pt idx="0">
                  <c:v>0</c:v>
                </c:pt>
              </c:numCache>
            </c:numRef>
          </c:xVal>
          <c:yVal>
            <c:numRef>
              <c:f>'Temperature Extremes'!$J$879</c:f>
              <c:numCache>
                <c:formatCode>General</c:formatCode>
                <c:ptCount val="1"/>
                <c:pt idx="0">
                  <c:v>0</c:v>
                </c:pt>
              </c:numCache>
            </c:numRef>
          </c:yVal>
          <c:smooth val="0"/>
          <c:extLst>
            <c:ext xmlns:c16="http://schemas.microsoft.com/office/drawing/2014/chart" uri="{C3380CC4-5D6E-409C-BE32-E72D297353CC}">
              <c16:uniqueId val="{00000006-62D4-4F1F-8CC5-D4FAA55206DF}"/>
            </c:ext>
          </c:extLst>
        </c:ser>
        <c:ser>
          <c:idx val="7"/>
          <c:order val="7"/>
          <c:tx>
            <c:strRef>
              <c:f>'Temperature Extremes'!$C$881</c:f>
              <c:strCache>
                <c:ptCount val="1"/>
                <c:pt idx="0">
                  <c:v>PH Surv &amp; Epi</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'Temperature Extremes'!$J$882</c:f>
              <c:numCache>
                <c:formatCode>General</c:formatCode>
                <c:ptCount val="1"/>
                <c:pt idx="0">
                  <c:v>2</c:v>
                </c:pt>
              </c:numCache>
            </c:numRef>
          </c:xVal>
          <c:yVal>
            <c:numRef>
              <c:f>'Temperature Extremes'!$J$883</c:f>
              <c:numCache>
                <c:formatCode>General</c:formatCode>
                <c:ptCount val="1"/>
                <c:pt idx="0">
                  <c:v>0</c:v>
                </c:pt>
              </c:numCache>
            </c:numRef>
          </c:yVal>
          <c:smooth val="0"/>
          <c:extLst>
            <c:ext xmlns:c16="http://schemas.microsoft.com/office/drawing/2014/chart" uri="{C3380CC4-5D6E-409C-BE32-E72D297353CC}">
              <c16:uniqueId val="{00000007-62D4-4F1F-8CC5-D4FAA55206DF}"/>
            </c:ext>
          </c:extLst>
        </c:ser>
        <c:ser>
          <c:idx val="8"/>
          <c:order val="8"/>
          <c:tx>
            <c:strRef>
              <c:f>'Temperature Extremes'!$C$885</c:f>
              <c:strCache>
                <c:ptCount val="1"/>
                <c:pt idx="0">
                  <c:v>Responder Safety</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'Temperature Extremes'!$J$886</c:f>
              <c:numCache>
                <c:formatCode>General</c:formatCode>
                <c:ptCount val="1"/>
                <c:pt idx="0">
                  <c:v>1</c:v>
                </c:pt>
              </c:numCache>
            </c:numRef>
          </c:xVal>
          <c:yVal>
            <c:numRef>
              <c:f>'Temperature Extremes'!$J$887</c:f>
              <c:numCache>
                <c:formatCode>General</c:formatCode>
                <c:ptCount val="1"/>
                <c:pt idx="0">
                  <c:v>0</c:v>
                </c:pt>
              </c:numCache>
            </c:numRef>
          </c:yVal>
          <c:smooth val="0"/>
          <c:extLst>
            <c:ext xmlns:c16="http://schemas.microsoft.com/office/drawing/2014/chart" uri="{C3380CC4-5D6E-409C-BE32-E72D297353CC}">
              <c16:uniqueId val="{00000008-62D4-4F1F-8CC5-D4FAA55206DF}"/>
            </c:ext>
          </c:extLst>
        </c:ser>
        <c:ser>
          <c:idx val="9"/>
          <c:order val="9"/>
          <c:tx>
            <c:strRef>
              <c:f>'Temperature Extremes'!$C$889</c:f>
              <c:strCache>
                <c:ptCount val="1"/>
                <c:pt idx="0">
                  <c:v>Volunteer Mgmt</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'Temperature Extremes'!$J$890</c:f>
              <c:numCache>
                <c:formatCode>General</c:formatCode>
                <c:ptCount val="1"/>
                <c:pt idx="0">
                  <c:v>2</c:v>
                </c:pt>
              </c:numCache>
            </c:numRef>
          </c:xVal>
          <c:yVal>
            <c:numRef>
              <c:f>'Temperature Extremes'!$J$891</c:f>
              <c:numCache>
                <c:formatCode>General</c:formatCode>
                <c:ptCount val="1"/>
                <c:pt idx="0">
                  <c:v>0</c:v>
                </c:pt>
              </c:numCache>
            </c:numRef>
          </c:yVal>
          <c:smooth val="0"/>
          <c:extLst>
            <c:ext xmlns:c16="http://schemas.microsoft.com/office/drawing/2014/chart" uri="{C3380CC4-5D6E-409C-BE32-E72D297353CC}">
              <c16:uniqueId val="{00000009-62D4-4F1F-8CC5-D4FAA55206DF}"/>
            </c:ext>
          </c:extLst>
        </c:ser>
        <c:ser>
          <c:idx val="10"/>
          <c:order val="10"/>
          <c:tx>
            <c:strRef>
              <c:f>'Temperature Extremes'!$C$833</c:f>
              <c:strCache>
                <c:ptCount val="1"/>
                <c:pt idx="0">
                  <c:v>Community Prep</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'Temperature Extremes'!$J$834</c:f>
              <c:numCache>
                <c:formatCode>General</c:formatCode>
                <c:ptCount val="1"/>
                <c:pt idx="0">
                  <c:v>4</c:v>
                </c:pt>
              </c:numCache>
            </c:numRef>
          </c:xVal>
          <c:yVal>
            <c:numRef>
              <c:f>'Temperature Extremes'!$J$835</c:f>
              <c:numCache>
                <c:formatCode>General</c:formatCode>
                <c:ptCount val="1"/>
                <c:pt idx="0">
                  <c:v>0</c:v>
                </c:pt>
              </c:numCache>
            </c:numRef>
          </c:yVal>
          <c:smooth val="0"/>
          <c:extLst>
            <c:ext xmlns:c16="http://schemas.microsoft.com/office/drawing/2014/chart" uri="{C3380CC4-5D6E-409C-BE32-E72D297353CC}">
              <c16:uniqueId val="{0000000A-62D4-4F1F-8CC5-D4FAA55206DF}"/>
            </c:ext>
          </c:extLst>
        </c:ser>
        <c:ser>
          <c:idx val="11"/>
          <c:order val="11"/>
          <c:tx>
            <c:strRef>
              <c:f>'Temperature Extremes'!$C$837</c:f>
              <c:strCache>
                <c:ptCount val="1"/>
                <c:pt idx="0">
                  <c:v>Community Recov</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'Temperature Extremes'!$J$838</c:f>
              <c:numCache>
                <c:formatCode>General</c:formatCode>
                <c:ptCount val="1"/>
                <c:pt idx="0">
                  <c:v>2</c:v>
                </c:pt>
              </c:numCache>
            </c:numRef>
          </c:xVal>
          <c:yVal>
            <c:numRef>
              <c:f>'Temperature Extremes'!$J$839</c:f>
              <c:numCache>
                <c:formatCode>General</c:formatCode>
                <c:ptCount val="1"/>
                <c:pt idx="0">
                  <c:v>0</c:v>
                </c:pt>
              </c:numCache>
            </c:numRef>
          </c:yVal>
          <c:smooth val="0"/>
          <c:extLst>
            <c:ext xmlns:c16="http://schemas.microsoft.com/office/drawing/2014/chart" uri="{C3380CC4-5D6E-409C-BE32-E72D297353CC}">
              <c16:uniqueId val="{0000000B-62D4-4F1F-8CC5-D4FAA55206DF}"/>
            </c:ext>
          </c:extLst>
        </c:ser>
        <c:ser>
          <c:idx val="12"/>
          <c:order val="12"/>
          <c:tx>
            <c:strRef>
              <c:f>'Temperature Extremes'!$C$841</c:f>
              <c:strCache>
                <c:ptCount val="1"/>
                <c:pt idx="0">
                  <c:v>Emerg Ops Coord</c:v>
                </c:pt>
              </c:strCache>
            </c:strRef>
          </c:tx>
          <c:spPr>
            <a:ln w="66675">
              <a:noFill/>
            </a:ln>
          </c:spPr>
          <c:dLbls>
            <c:spPr>
              <a:noFill/>
              <a:ln>
                <a:noFill/>
              </a:ln>
              <a:effectLst/>
            </c:sp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'Temperature Extremes'!$J$842</c:f>
              <c:numCache>
                <c:formatCode>General</c:formatCode>
                <c:ptCount val="1"/>
                <c:pt idx="0">
                  <c:v>4</c:v>
                </c:pt>
              </c:numCache>
            </c:numRef>
          </c:xVal>
          <c:yVal>
            <c:numRef>
              <c:f>'Temperature Extremes'!$J$843</c:f>
              <c:numCache>
                <c:formatCode>General</c:formatCode>
                <c:ptCount val="1"/>
                <c:pt idx="0">
                  <c:v>0</c:v>
                </c:pt>
              </c:numCache>
            </c:numRef>
          </c:yVal>
          <c:smooth val="0"/>
          <c:extLst>
            <c:ext xmlns:c16="http://schemas.microsoft.com/office/drawing/2014/chart" uri="{C3380CC4-5D6E-409C-BE32-E72D297353CC}">
              <c16:uniqueId val="{0000000C-62D4-4F1F-8CC5-D4FAA55206DF}"/>
            </c:ext>
          </c:extLst>
        </c:ser>
        <c:ser>
          <c:idx val="13"/>
          <c:order val="13"/>
          <c:tx>
            <c:strRef>
              <c:f>'Temperature Extremes'!$C$845</c:f>
              <c:strCache>
                <c:ptCount val="1"/>
                <c:pt idx="0">
                  <c:v>Emerg Public Info</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'Temperature Extremes'!$J$846</c:f>
              <c:numCache>
                <c:formatCode>General</c:formatCode>
                <c:ptCount val="1"/>
                <c:pt idx="0">
                  <c:v>4</c:v>
                </c:pt>
              </c:numCache>
            </c:numRef>
          </c:xVal>
          <c:yVal>
            <c:numRef>
              <c:f>'Temperature Extremes'!$J$847</c:f>
              <c:numCache>
                <c:formatCode>General</c:formatCode>
                <c:ptCount val="1"/>
                <c:pt idx="0">
                  <c:v>0</c:v>
                </c:pt>
              </c:numCache>
            </c:numRef>
          </c:yVal>
          <c:smooth val="0"/>
          <c:extLst>
            <c:ext xmlns:c16="http://schemas.microsoft.com/office/drawing/2014/chart" uri="{C3380CC4-5D6E-409C-BE32-E72D297353CC}">
              <c16:uniqueId val="{0000000D-62D4-4F1F-8CC5-D4FAA55206DF}"/>
            </c:ext>
          </c:extLst>
        </c:ser>
        <c:ser>
          <c:idx val="14"/>
          <c:order val="14"/>
          <c:tx>
            <c:strRef>
              <c:f>Drought!$C$964</c:f>
              <c:strCache>
                <c:ptCount val="1"/>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Drought!$J$965</c:f>
            </c:numRef>
          </c:xVal>
          <c:yVal>
            <c:numRef>
              <c:f>Drought!$J$966</c:f>
            </c:numRef>
          </c:yVal>
          <c:smooth val="0"/>
          <c:extLst>
            <c:ext xmlns:c16="http://schemas.microsoft.com/office/drawing/2014/chart" uri="{C3380CC4-5D6E-409C-BE32-E72D297353CC}">
              <c16:uniqueId val="{0000000E-62D4-4F1F-8CC5-D4FAA55206DF}"/>
            </c:ext>
          </c:extLst>
        </c:ser>
        <c:ser>
          <c:idx val="15"/>
          <c:order val="15"/>
          <c:tx>
            <c:strRef>
              <c:f>'Temperature Extremes'!$C$849</c:f>
              <c:strCache>
                <c:ptCount val="1"/>
                <c:pt idx="0">
                  <c:v>Fatality Mgmt</c:v>
                </c:pt>
              </c:strCache>
            </c:strRef>
          </c:tx>
          <c:spPr>
            <a:ln w="66675">
              <a:noFill/>
            </a:ln>
          </c:spP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F-62D4-4F1F-8CC5-D4FAA55206DF}"/>
                </c:ext>
              </c:extLst>
            </c:dLbl>
            <c:spPr>
              <a:noFill/>
              <a:ln>
                <a:noFill/>
              </a:ln>
              <a:effectLst/>
            </c:spPr>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xVal>
            <c:numRef>
              <c:f>'Temperature Extremes'!$J$850</c:f>
              <c:numCache>
                <c:formatCode>General</c:formatCode>
                <c:ptCount val="1"/>
                <c:pt idx="0">
                  <c:v>3</c:v>
                </c:pt>
              </c:numCache>
            </c:numRef>
          </c:xVal>
          <c:yVal>
            <c:numRef>
              <c:f>'Temperature Extremes'!$J$851</c:f>
              <c:numCache>
                <c:formatCode>General</c:formatCode>
                <c:ptCount val="1"/>
                <c:pt idx="0">
                  <c:v>0</c:v>
                </c:pt>
              </c:numCache>
            </c:numRef>
          </c:yVal>
          <c:smooth val="0"/>
          <c:extLst>
            <c:ext xmlns:c16="http://schemas.microsoft.com/office/drawing/2014/chart" uri="{C3380CC4-5D6E-409C-BE32-E72D297353CC}">
              <c16:uniqueId val="{00000010-62D4-4F1F-8CC5-D4FAA55206DF}"/>
            </c:ext>
          </c:extLst>
        </c:ser>
        <c:dLbls>
          <c:showLegendKey val="0"/>
          <c:showVal val="1"/>
          <c:showCatName val="0"/>
          <c:showSerName val="0"/>
          <c:showPercent val="0"/>
          <c:showBubbleSize val="0"/>
        </c:dLbls>
        <c:axId val="201064448"/>
        <c:axId val="201066368"/>
      </c:scatterChart>
      <c:valAx>
        <c:axId val="201064448"/>
        <c:scaling>
          <c:orientation val="minMax"/>
          <c:max val="4.5"/>
          <c:min val="0"/>
        </c:scaling>
        <c:delete val="0"/>
        <c:axPos val="b"/>
        <c:majorGridlines/>
        <c:title>
          <c:tx>
            <c:rich>
              <a:bodyPr/>
              <a:lstStyle/>
              <a:p>
                <a:pPr>
                  <a:defRPr b="0">
                    <a:latin typeface="+mj-lt"/>
                  </a:defRPr>
                </a:pPr>
                <a:r>
                  <a:rPr lang="en-US" sz="1600" b="0">
                    <a:latin typeface="+mj-lt"/>
                  </a:rPr>
                  <a:t>Capability Relevance to Hazard</a:t>
                </a:r>
              </a:p>
            </c:rich>
          </c:tx>
          <c:overlay val="0"/>
        </c:title>
        <c:numFmt formatCode="General" sourceLinked="1"/>
        <c:majorTickMark val="out"/>
        <c:minorTickMark val="none"/>
        <c:tickLblPos val="nextTo"/>
        <c:spPr>
          <a:ln>
            <a:solidFill>
              <a:schemeClr val="tx1"/>
            </a:solidFill>
          </a:ln>
        </c:spPr>
        <c:crossAx val="201066368"/>
        <c:crosses val="autoZero"/>
        <c:crossBetween val="midCat"/>
        <c:majorUnit val="1"/>
        <c:minorUnit val="0.1"/>
      </c:valAx>
      <c:valAx>
        <c:axId val="201066368"/>
        <c:scaling>
          <c:orientation val="minMax"/>
          <c:max val="4.5"/>
          <c:min val="0"/>
        </c:scaling>
        <c:delete val="0"/>
        <c:axPos val="l"/>
        <c:majorGridlines/>
        <c:title>
          <c:tx>
            <c:rich>
              <a:bodyPr rot="-5400000" vert="horz"/>
              <a:lstStyle/>
              <a:p>
                <a:pPr>
                  <a:defRPr sz="1600" b="0">
                    <a:latin typeface="+mj-lt"/>
                  </a:defRPr>
                </a:pPr>
                <a:r>
                  <a:rPr lang="en-US" sz="1600" b="0">
                    <a:latin typeface="+mj-lt"/>
                  </a:rPr>
                  <a:t>Capability Status</a:t>
                </a:r>
              </a:p>
            </c:rich>
          </c:tx>
          <c:overlay val="0"/>
        </c:title>
        <c:numFmt formatCode="General" sourceLinked="1"/>
        <c:majorTickMark val="out"/>
        <c:minorTickMark val="none"/>
        <c:tickLblPos val="nextTo"/>
        <c:spPr>
          <a:ln>
            <a:solidFill>
              <a:schemeClr val="tx1"/>
            </a:solidFill>
          </a:ln>
        </c:spPr>
        <c:crossAx val="201064448"/>
        <c:crosses val="autoZero"/>
        <c:crossBetween val="midCat"/>
        <c:majorUnit val="1"/>
        <c:minorUnit val="0.1"/>
      </c:valAx>
      <c:spPr>
        <a:gradFill flip="none" rotWithShape="1">
          <a:gsLst>
            <a:gs pos="0">
              <a:srgbClr val="63BE7B"/>
            </a:gs>
            <a:gs pos="50000">
              <a:srgbClr val="FFEB84"/>
            </a:gs>
            <a:gs pos="100000">
              <a:srgbClr val="F8696B"/>
            </a:gs>
          </a:gsLst>
          <a:lin ang="27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defRPr b="0" u="sng">
                <a:latin typeface="+mj-lt"/>
              </a:defRPr>
            </a:pPr>
            <a:r>
              <a:rPr lang="en-US" b="0" u="sng">
                <a:latin typeface="+mj-lt"/>
              </a:rPr>
              <a:t>Healthcare Preparedness</a:t>
            </a:r>
          </a:p>
        </c:rich>
      </c:tx>
      <c:layout>
        <c:manualLayout>
          <c:xMode val="edge"/>
          <c:yMode val="edge"/>
          <c:x val="0.37520534497628483"/>
          <c:y val="1.3244983721297133E-2"/>
        </c:manualLayout>
      </c:layout>
      <c:overlay val="0"/>
    </c:title>
    <c:autoTitleDeleted val="0"/>
    <c:plotArea>
      <c:layout/>
      <c:scatterChart>
        <c:scatterStyle val="lineMarker"/>
        <c:varyColors val="0"/>
        <c:ser>
          <c:idx val="0"/>
          <c:order val="0"/>
          <c:tx>
            <c:strRef>
              <c:f>'Temperature Extremes'!$C$903</c:f>
              <c:strCache>
                <c:ptCount val="1"/>
                <c:pt idx="0">
                  <c:v>HC System Prep</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'Temperature Extremes'!$J$904</c:f>
              <c:numCache>
                <c:formatCode>General</c:formatCode>
                <c:ptCount val="1"/>
                <c:pt idx="0">
                  <c:v>4</c:v>
                </c:pt>
              </c:numCache>
            </c:numRef>
          </c:xVal>
          <c:yVal>
            <c:numRef>
              <c:f>'Temperature Extremes'!$J$905</c:f>
              <c:numCache>
                <c:formatCode>General</c:formatCode>
                <c:ptCount val="1"/>
                <c:pt idx="0">
                  <c:v>0</c:v>
                </c:pt>
              </c:numCache>
            </c:numRef>
          </c:yVal>
          <c:smooth val="0"/>
          <c:extLst>
            <c:ext xmlns:c16="http://schemas.microsoft.com/office/drawing/2014/chart" uri="{C3380CC4-5D6E-409C-BE32-E72D297353CC}">
              <c16:uniqueId val="{00000000-0107-482F-9D9B-A8CD6438020B}"/>
            </c:ext>
          </c:extLst>
        </c:ser>
        <c:ser>
          <c:idx val="1"/>
          <c:order val="1"/>
          <c:tx>
            <c:strRef>
              <c:f>'Temperature Extremes'!$C$907</c:f>
              <c:strCache>
                <c:ptCount val="1"/>
                <c:pt idx="0">
                  <c:v>HC System Recov</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'Temperature Extremes'!$J$908</c:f>
              <c:numCache>
                <c:formatCode>General</c:formatCode>
                <c:ptCount val="1"/>
                <c:pt idx="0">
                  <c:v>2</c:v>
                </c:pt>
              </c:numCache>
            </c:numRef>
          </c:xVal>
          <c:yVal>
            <c:numRef>
              <c:f>'Temperature Extremes'!$J$909</c:f>
              <c:numCache>
                <c:formatCode>General</c:formatCode>
                <c:ptCount val="1"/>
                <c:pt idx="0">
                  <c:v>0</c:v>
                </c:pt>
              </c:numCache>
            </c:numRef>
          </c:yVal>
          <c:smooth val="0"/>
          <c:extLst>
            <c:ext xmlns:c16="http://schemas.microsoft.com/office/drawing/2014/chart" uri="{C3380CC4-5D6E-409C-BE32-E72D297353CC}">
              <c16:uniqueId val="{00000001-0107-482F-9D9B-A8CD6438020B}"/>
            </c:ext>
          </c:extLst>
        </c:ser>
        <c:ser>
          <c:idx val="2"/>
          <c:order val="2"/>
          <c:tx>
            <c:strRef>
              <c:f>'Temperature Extremes'!$C$911</c:f>
              <c:strCache>
                <c:ptCount val="1"/>
                <c:pt idx="0">
                  <c:v>Emerg Ops Coord</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'Temperature Extremes'!$J$912</c:f>
              <c:numCache>
                <c:formatCode>General</c:formatCode>
                <c:ptCount val="1"/>
                <c:pt idx="0">
                  <c:v>4</c:v>
                </c:pt>
              </c:numCache>
            </c:numRef>
          </c:xVal>
          <c:yVal>
            <c:numRef>
              <c:f>'Temperature Extremes'!$J$913</c:f>
              <c:numCache>
                <c:formatCode>General</c:formatCode>
                <c:ptCount val="1"/>
                <c:pt idx="0">
                  <c:v>0</c:v>
                </c:pt>
              </c:numCache>
            </c:numRef>
          </c:yVal>
          <c:smooth val="0"/>
          <c:extLst>
            <c:ext xmlns:c16="http://schemas.microsoft.com/office/drawing/2014/chart" uri="{C3380CC4-5D6E-409C-BE32-E72D297353CC}">
              <c16:uniqueId val="{00000002-0107-482F-9D9B-A8CD6438020B}"/>
            </c:ext>
          </c:extLst>
        </c:ser>
        <c:ser>
          <c:idx val="3"/>
          <c:order val="3"/>
          <c:tx>
            <c:strRef>
              <c:f>'Temperature Extremes'!$C$915</c:f>
              <c:strCache>
                <c:ptCount val="1"/>
                <c:pt idx="0">
                  <c:v>Fatality Mgmt</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'Temperature Extremes'!$J$916</c:f>
              <c:numCache>
                <c:formatCode>General</c:formatCode>
                <c:ptCount val="1"/>
                <c:pt idx="0">
                  <c:v>3</c:v>
                </c:pt>
              </c:numCache>
            </c:numRef>
          </c:xVal>
          <c:yVal>
            <c:numRef>
              <c:f>'Temperature Extremes'!$J$917</c:f>
              <c:numCache>
                <c:formatCode>General</c:formatCode>
                <c:ptCount val="1"/>
                <c:pt idx="0">
                  <c:v>0</c:v>
                </c:pt>
              </c:numCache>
            </c:numRef>
          </c:yVal>
          <c:smooth val="0"/>
          <c:extLst>
            <c:ext xmlns:c16="http://schemas.microsoft.com/office/drawing/2014/chart" uri="{C3380CC4-5D6E-409C-BE32-E72D297353CC}">
              <c16:uniqueId val="{00000003-0107-482F-9D9B-A8CD6438020B}"/>
            </c:ext>
          </c:extLst>
        </c:ser>
        <c:ser>
          <c:idx val="4"/>
          <c:order val="4"/>
          <c:tx>
            <c:strRef>
              <c:f>'Temperature Extremes'!$C$919</c:f>
              <c:strCache>
                <c:ptCount val="1"/>
                <c:pt idx="0">
                  <c:v>Info Sharing</c:v>
                </c:pt>
              </c:strCache>
            </c:strRef>
          </c:tx>
          <c:spPr>
            <a:ln w="66675">
              <a:noFill/>
            </a:ln>
          </c:spPr>
          <c:dLbls>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'Temperature Extremes'!$J$920</c:f>
              <c:numCache>
                <c:formatCode>General</c:formatCode>
                <c:ptCount val="1"/>
                <c:pt idx="0">
                  <c:v>4</c:v>
                </c:pt>
              </c:numCache>
            </c:numRef>
          </c:xVal>
          <c:yVal>
            <c:numRef>
              <c:f>'Temperature Extremes'!$J$921</c:f>
              <c:numCache>
                <c:formatCode>General</c:formatCode>
                <c:ptCount val="1"/>
                <c:pt idx="0">
                  <c:v>0</c:v>
                </c:pt>
              </c:numCache>
            </c:numRef>
          </c:yVal>
          <c:smooth val="0"/>
          <c:extLst>
            <c:ext xmlns:c16="http://schemas.microsoft.com/office/drawing/2014/chart" uri="{C3380CC4-5D6E-409C-BE32-E72D297353CC}">
              <c16:uniqueId val="{00000004-0107-482F-9D9B-A8CD6438020B}"/>
            </c:ext>
          </c:extLst>
        </c:ser>
        <c:ser>
          <c:idx val="5"/>
          <c:order val="5"/>
          <c:tx>
            <c:strRef>
              <c:f>'Temperature Extremes'!$C$923</c:f>
              <c:strCache>
                <c:ptCount val="1"/>
                <c:pt idx="0">
                  <c:v>Medical Surge</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'Temperature Extremes'!$J$924</c:f>
              <c:numCache>
                <c:formatCode>General</c:formatCode>
                <c:ptCount val="1"/>
                <c:pt idx="0">
                  <c:v>2</c:v>
                </c:pt>
              </c:numCache>
            </c:numRef>
          </c:xVal>
          <c:yVal>
            <c:numRef>
              <c:f>'Temperature Extremes'!$J$925</c:f>
              <c:numCache>
                <c:formatCode>General</c:formatCode>
                <c:ptCount val="1"/>
                <c:pt idx="0">
                  <c:v>0</c:v>
                </c:pt>
              </c:numCache>
            </c:numRef>
          </c:yVal>
          <c:smooth val="0"/>
          <c:extLst>
            <c:ext xmlns:c16="http://schemas.microsoft.com/office/drawing/2014/chart" uri="{C3380CC4-5D6E-409C-BE32-E72D297353CC}">
              <c16:uniqueId val="{00000005-0107-482F-9D9B-A8CD6438020B}"/>
            </c:ext>
          </c:extLst>
        </c:ser>
        <c:ser>
          <c:idx val="6"/>
          <c:order val="6"/>
          <c:tx>
            <c:strRef>
              <c:f>'Temperature Extremes'!$C$927</c:f>
              <c:strCache>
                <c:ptCount val="1"/>
                <c:pt idx="0">
                  <c:v>Responder Safety</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'Temperature Extremes'!$J$928</c:f>
              <c:numCache>
                <c:formatCode>General</c:formatCode>
                <c:ptCount val="1"/>
                <c:pt idx="0">
                  <c:v>1</c:v>
                </c:pt>
              </c:numCache>
            </c:numRef>
          </c:xVal>
          <c:yVal>
            <c:numRef>
              <c:f>'Temperature Extremes'!$J$929</c:f>
              <c:numCache>
                <c:formatCode>General</c:formatCode>
                <c:ptCount val="1"/>
                <c:pt idx="0">
                  <c:v>0</c:v>
                </c:pt>
              </c:numCache>
            </c:numRef>
          </c:yVal>
          <c:smooth val="0"/>
          <c:extLst>
            <c:ext xmlns:c16="http://schemas.microsoft.com/office/drawing/2014/chart" uri="{C3380CC4-5D6E-409C-BE32-E72D297353CC}">
              <c16:uniqueId val="{00000006-0107-482F-9D9B-A8CD6438020B}"/>
            </c:ext>
          </c:extLst>
        </c:ser>
        <c:ser>
          <c:idx val="7"/>
          <c:order val="7"/>
          <c:tx>
            <c:strRef>
              <c:f>'Temperature Extremes'!$C$931</c:f>
              <c:strCache>
                <c:ptCount val="1"/>
                <c:pt idx="0">
                  <c:v>Volunteer Mgmt</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'Temperature Extremes'!$J$932</c:f>
              <c:numCache>
                <c:formatCode>General</c:formatCode>
                <c:ptCount val="1"/>
                <c:pt idx="0">
                  <c:v>2</c:v>
                </c:pt>
              </c:numCache>
            </c:numRef>
          </c:xVal>
          <c:yVal>
            <c:numRef>
              <c:f>'Temperature Extremes'!$J$933</c:f>
              <c:numCache>
                <c:formatCode>General</c:formatCode>
                <c:ptCount val="1"/>
                <c:pt idx="0">
                  <c:v>0</c:v>
                </c:pt>
              </c:numCache>
            </c:numRef>
          </c:yVal>
          <c:smooth val="0"/>
          <c:extLst>
            <c:ext xmlns:c16="http://schemas.microsoft.com/office/drawing/2014/chart" uri="{C3380CC4-5D6E-409C-BE32-E72D297353CC}">
              <c16:uniqueId val="{00000007-0107-482F-9D9B-A8CD6438020B}"/>
            </c:ext>
          </c:extLst>
        </c:ser>
        <c:ser>
          <c:idx val="14"/>
          <c:order val="8"/>
          <c:tx>
            <c:strRef>
              <c:f>Drought!$C$964</c:f>
              <c:strCache>
                <c:ptCount val="1"/>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Drought!$J$965</c:f>
            </c:numRef>
          </c:xVal>
          <c:yVal>
            <c:numRef>
              <c:f>Drought!$J$966</c:f>
            </c:numRef>
          </c:yVal>
          <c:smooth val="0"/>
          <c:extLst>
            <c:ext xmlns:c16="http://schemas.microsoft.com/office/drawing/2014/chart" uri="{C3380CC4-5D6E-409C-BE32-E72D297353CC}">
              <c16:uniqueId val="{00000008-0107-482F-9D9B-A8CD6438020B}"/>
            </c:ext>
          </c:extLst>
        </c:ser>
        <c:dLbls>
          <c:showLegendKey val="0"/>
          <c:showVal val="1"/>
          <c:showCatName val="0"/>
          <c:showSerName val="0"/>
          <c:showPercent val="0"/>
          <c:showBubbleSize val="0"/>
        </c:dLbls>
        <c:axId val="201253632"/>
        <c:axId val="201255552"/>
      </c:scatterChart>
      <c:valAx>
        <c:axId val="201253632"/>
        <c:scaling>
          <c:orientation val="minMax"/>
          <c:max val="4.5"/>
          <c:min val="0"/>
        </c:scaling>
        <c:delete val="0"/>
        <c:axPos val="b"/>
        <c:majorGridlines/>
        <c:title>
          <c:tx>
            <c:rich>
              <a:bodyPr/>
              <a:lstStyle/>
              <a:p>
                <a:pPr>
                  <a:defRPr b="0">
                    <a:latin typeface="+mj-lt"/>
                  </a:defRPr>
                </a:pPr>
                <a:r>
                  <a:rPr lang="en-US" sz="1600" b="0">
                    <a:latin typeface="+mj-lt"/>
                  </a:rPr>
                  <a:t>Capability Relevance to Hazard</a:t>
                </a:r>
              </a:p>
            </c:rich>
          </c:tx>
          <c:overlay val="0"/>
        </c:title>
        <c:numFmt formatCode="General" sourceLinked="1"/>
        <c:majorTickMark val="out"/>
        <c:minorTickMark val="none"/>
        <c:tickLblPos val="nextTo"/>
        <c:spPr>
          <a:ln>
            <a:solidFill>
              <a:schemeClr val="tx1"/>
            </a:solidFill>
          </a:ln>
        </c:spPr>
        <c:crossAx val="201255552"/>
        <c:crosses val="autoZero"/>
        <c:crossBetween val="midCat"/>
        <c:majorUnit val="1"/>
        <c:minorUnit val="0.1"/>
      </c:valAx>
      <c:valAx>
        <c:axId val="201255552"/>
        <c:scaling>
          <c:orientation val="minMax"/>
          <c:max val="4.5"/>
          <c:min val="0"/>
        </c:scaling>
        <c:delete val="0"/>
        <c:axPos val="l"/>
        <c:majorGridlines/>
        <c:title>
          <c:tx>
            <c:rich>
              <a:bodyPr rot="-5400000" vert="horz"/>
              <a:lstStyle/>
              <a:p>
                <a:pPr>
                  <a:defRPr sz="1600" b="0">
                    <a:latin typeface="+mj-lt"/>
                  </a:defRPr>
                </a:pPr>
                <a:r>
                  <a:rPr lang="en-US" sz="1600" b="0">
                    <a:latin typeface="+mj-lt"/>
                  </a:rPr>
                  <a:t>Capability Status</a:t>
                </a:r>
              </a:p>
            </c:rich>
          </c:tx>
          <c:overlay val="0"/>
        </c:title>
        <c:numFmt formatCode="General" sourceLinked="1"/>
        <c:majorTickMark val="out"/>
        <c:minorTickMark val="none"/>
        <c:tickLblPos val="nextTo"/>
        <c:spPr>
          <a:ln>
            <a:solidFill>
              <a:schemeClr val="tx1"/>
            </a:solidFill>
          </a:ln>
        </c:spPr>
        <c:crossAx val="201253632"/>
        <c:crosses val="autoZero"/>
        <c:crossBetween val="midCat"/>
        <c:majorUnit val="1"/>
        <c:minorUnit val="0.1"/>
      </c:valAx>
      <c:spPr>
        <a:gradFill flip="none" rotWithShape="1">
          <a:gsLst>
            <a:gs pos="0">
              <a:srgbClr val="63BE7B"/>
            </a:gs>
            <a:gs pos="50000">
              <a:srgbClr val="FFEB84"/>
            </a:gs>
            <a:gs pos="100000">
              <a:srgbClr val="F8696B"/>
            </a:gs>
          </a:gsLst>
          <a:lin ang="27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b="0" u="sng">
                <a:latin typeface="+mj-lt"/>
              </a:defRPr>
            </a:pPr>
            <a:r>
              <a:rPr lang="en-US" b="0" u="sng">
                <a:latin typeface="+mj-lt"/>
              </a:rPr>
              <a:t>Severity</a:t>
            </a:r>
          </a:p>
        </c:rich>
      </c:tx>
      <c:layout>
        <c:manualLayout>
          <c:xMode val="edge"/>
          <c:yMode val="edge"/>
          <c:x val="0.46889233641333816"/>
          <c:y val="1.3244983721297133E-2"/>
        </c:manualLayout>
      </c:layout>
      <c:overlay val="0"/>
    </c:title>
    <c:autoTitleDeleted val="0"/>
    <c:plotArea>
      <c:layout/>
      <c:barChart>
        <c:barDir val="col"/>
        <c:grouping val="clustered"/>
        <c:varyColors val="0"/>
        <c:ser>
          <c:idx val="0"/>
          <c:order val="0"/>
          <c:tx>
            <c:v>Severity</c:v>
          </c:tx>
          <c:spPr>
            <a:solidFill>
              <a:schemeClr val="accent4">
                <a:lumMod val="60000"/>
                <a:lumOff val="40000"/>
              </a:schemeClr>
            </a:solidFill>
            <a:ln>
              <a:solidFill>
                <a:schemeClr val="accent4"/>
              </a:solidFill>
            </a:ln>
            <a:scene3d>
              <a:camera prst="orthographicFront"/>
              <a:lightRig rig="threePt" dir="t"/>
            </a:scene3d>
            <a:sp3d prstMaterial="matte">
              <a:bevelT w="63500" h="50800"/>
            </a:sp3d>
          </c:spPr>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('Active Shooter'!$G$22,'Active Shooter'!$G$137,'Active Shooter'!$G$265,'Active Shooter'!$G$425,'Active Shooter'!$G$543)</c:f>
              <c:strCache>
                <c:ptCount val="5"/>
                <c:pt idx="0">
                  <c:v>Human Impact</c:v>
                </c:pt>
                <c:pt idx="1">
                  <c:v>Healthcare Service Impact</c:v>
                </c:pt>
                <c:pt idx="2">
                  <c:v>Inpatient Healthcare Facility Infrastructure Impact</c:v>
                </c:pt>
                <c:pt idx="3">
                  <c:v>Community Impact</c:v>
                </c:pt>
                <c:pt idx="4">
                  <c:v>Public Health Service Impact</c:v>
                </c:pt>
              </c:strCache>
            </c:strRef>
          </c:cat>
          <c:val>
            <c:numRef>
              <c:f>(Tornado!$J$133,Tornado!$J$261,Tornado!$J$421,Tornado!$J$539,Tornado!$J$681)</c:f>
              <c:numCache>
                <c:formatCode>0.00</c:formatCode>
                <c:ptCount val="5"/>
                <c:pt idx="0">
                  <c:v>0</c:v>
                </c:pt>
                <c:pt idx="1">
                  <c:v>0</c:v>
                </c:pt>
                <c:pt idx="2">
                  <c:v>2.5</c:v>
                </c:pt>
                <c:pt idx="3">
                  <c:v>2.6428571428571428</c:v>
                </c:pt>
                <c:pt idx="4">
                  <c:v>0</c:v>
                </c:pt>
              </c:numCache>
            </c:numRef>
          </c:val>
          <c:extLst>
            <c:ext xmlns:c16="http://schemas.microsoft.com/office/drawing/2014/chart" uri="{C3380CC4-5D6E-409C-BE32-E72D297353CC}">
              <c16:uniqueId val="{00000000-4FE3-44F2-9016-F2B8E242450D}"/>
            </c:ext>
          </c:extLst>
        </c:ser>
        <c:dLbls>
          <c:showLegendKey val="0"/>
          <c:showVal val="1"/>
          <c:showCatName val="0"/>
          <c:showSerName val="0"/>
          <c:showPercent val="0"/>
          <c:showBubbleSize val="0"/>
        </c:dLbls>
        <c:gapWidth val="150"/>
        <c:axId val="201275264"/>
        <c:axId val="201293824"/>
      </c:barChart>
      <c:catAx>
        <c:axId val="201275264"/>
        <c:scaling>
          <c:orientation val="minMax"/>
        </c:scaling>
        <c:delete val="0"/>
        <c:axPos val="b"/>
        <c:title>
          <c:tx>
            <c:rich>
              <a:bodyPr/>
              <a:lstStyle/>
              <a:p>
                <a:pPr>
                  <a:defRPr sz="1600" b="0">
                    <a:latin typeface="+mj-lt"/>
                  </a:defRPr>
                </a:pPr>
                <a:r>
                  <a:rPr lang="en-US" sz="1600" b="0">
                    <a:latin typeface="+mj-lt"/>
                  </a:rPr>
                  <a:t>Domain</a:t>
                </a:r>
              </a:p>
            </c:rich>
          </c:tx>
          <c:overlay val="0"/>
        </c:title>
        <c:numFmt formatCode="General" sourceLinked="1"/>
        <c:majorTickMark val="out"/>
        <c:minorTickMark val="none"/>
        <c:tickLblPos val="nextTo"/>
        <c:crossAx val="201293824"/>
        <c:crosses val="autoZero"/>
        <c:auto val="1"/>
        <c:lblAlgn val="ctr"/>
        <c:lblOffset val="100"/>
        <c:noMultiLvlLbl val="0"/>
      </c:catAx>
      <c:valAx>
        <c:axId val="201293824"/>
        <c:scaling>
          <c:orientation val="minMax"/>
          <c:max val="4"/>
        </c:scaling>
        <c:delete val="0"/>
        <c:axPos val="l"/>
        <c:majorGridlines/>
        <c:title>
          <c:tx>
            <c:rich>
              <a:bodyPr rot="-5400000" vert="horz"/>
              <a:lstStyle/>
              <a:p>
                <a:pPr>
                  <a:defRPr sz="1600" b="0">
                    <a:latin typeface="+mj-lt"/>
                  </a:defRPr>
                </a:pPr>
                <a:r>
                  <a:rPr lang="en-US" sz="1600" b="0">
                    <a:latin typeface="+mj-lt"/>
                  </a:rPr>
                  <a:t>Severity</a:t>
                </a:r>
                <a:r>
                  <a:rPr lang="en-US" sz="1600" b="0" baseline="0">
                    <a:latin typeface="+mj-lt"/>
                  </a:rPr>
                  <a:t> Score</a:t>
                </a:r>
                <a:endParaRPr lang="en-US" sz="1600" b="0">
                  <a:latin typeface="+mj-lt"/>
                </a:endParaRPr>
              </a:p>
            </c:rich>
          </c:tx>
          <c:overlay val="0"/>
        </c:title>
        <c:numFmt formatCode="0.00" sourceLinked="1"/>
        <c:majorTickMark val="out"/>
        <c:minorTickMark val="none"/>
        <c:tickLblPos val="nextTo"/>
        <c:crossAx val="201275264"/>
        <c:crosses val="autoZero"/>
        <c:crossBetween val="between"/>
      </c:valAx>
      <c:spPr>
        <a:gradFill flip="none" rotWithShape="1">
          <a:gsLst>
            <a:gs pos="0">
              <a:srgbClr val="63BE7B"/>
            </a:gs>
            <a:gs pos="50000">
              <a:srgbClr val="FFEB84"/>
            </a:gs>
            <a:gs pos="100000">
              <a:srgbClr val="F8696B"/>
            </a:gs>
          </a:gsLst>
          <a:lin ang="162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b="0" u="sng">
                <a:latin typeface="+mj-lt"/>
              </a:defRPr>
            </a:pPr>
            <a:r>
              <a:rPr lang="en-US" b="0" u="sng">
                <a:latin typeface="+mj-lt"/>
              </a:rPr>
              <a:t>At-Risk Populations</a:t>
            </a:r>
          </a:p>
        </c:rich>
      </c:tx>
      <c:layout>
        <c:manualLayout>
          <c:xMode val="edge"/>
          <c:yMode val="edge"/>
          <c:x val="0.37636858589702443"/>
          <c:y val="1.3244983721297133E-2"/>
        </c:manualLayout>
      </c:layout>
      <c:overlay val="0"/>
    </c:title>
    <c:autoTitleDeleted val="0"/>
    <c:plotArea>
      <c:layout/>
      <c:scatterChart>
        <c:scatterStyle val="lineMarker"/>
        <c:varyColors val="0"/>
        <c:ser>
          <c:idx val="0"/>
          <c:order val="0"/>
          <c:tx>
            <c:strRef>
              <c:f>Tornado!$C$793</c:f>
              <c:strCache>
                <c:ptCount val="1"/>
                <c:pt idx="0">
                  <c:v>Poverty</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Tornado!$J$795</c:f>
              <c:numCache>
                <c:formatCode>General</c:formatCode>
                <c:ptCount val="1"/>
                <c:pt idx="0">
                  <c:v>2</c:v>
                </c:pt>
              </c:numCache>
            </c:numRef>
          </c:xVal>
          <c:yVal>
            <c:numRef>
              <c:f>Tornado!$J$794</c:f>
              <c:numCache>
                <c:formatCode>General</c:formatCode>
                <c:ptCount val="1"/>
                <c:pt idx="0">
                  <c:v>0</c:v>
                </c:pt>
              </c:numCache>
            </c:numRef>
          </c:yVal>
          <c:smooth val="0"/>
          <c:extLst>
            <c:ext xmlns:c16="http://schemas.microsoft.com/office/drawing/2014/chart" uri="{C3380CC4-5D6E-409C-BE32-E72D297353CC}">
              <c16:uniqueId val="{00000000-77DD-4C3A-B64E-8DBC4EC6B35F}"/>
            </c:ext>
          </c:extLst>
        </c:ser>
        <c:ser>
          <c:idx val="1"/>
          <c:order val="1"/>
          <c:tx>
            <c:strRef>
              <c:f>Tornado!$C$797</c:f>
              <c:strCache>
                <c:ptCount val="1"/>
                <c:pt idx="0">
                  <c:v>Chronic Diseases (Diabetes)</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Tornado!$J$799</c:f>
              <c:numCache>
                <c:formatCode>General</c:formatCode>
                <c:ptCount val="1"/>
                <c:pt idx="0">
                  <c:v>3</c:v>
                </c:pt>
              </c:numCache>
            </c:numRef>
          </c:xVal>
          <c:yVal>
            <c:numRef>
              <c:f>Tornado!$J$798</c:f>
              <c:numCache>
                <c:formatCode>General</c:formatCode>
                <c:ptCount val="1"/>
                <c:pt idx="0">
                  <c:v>0</c:v>
                </c:pt>
              </c:numCache>
            </c:numRef>
          </c:yVal>
          <c:smooth val="0"/>
          <c:extLst>
            <c:ext xmlns:c16="http://schemas.microsoft.com/office/drawing/2014/chart" uri="{C3380CC4-5D6E-409C-BE32-E72D297353CC}">
              <c16:uniqueId val="{00000001-77DD-4C3A-B64E-8DBC4EC6B35F}"/>
            </c:ext>
          </c:extLst>
        </c:ser>
        <c:ser>
          <c:idx val="2"/>
          <c:order val="2"/>
          <c:tx>
            <c:strRef>
              <c:f>Tornado!$C$801</c:f>
              <c:strCache>
                <c:ptCount val="1"/>
                <c:pt idx="0">
                  <c:v>Children 18 and under</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Tornado!$J$803</c:f>
              <c:numCache>
                <c:formatCode>General</c:formatCode>
                <c:ptCount val="1"/>
                <c:pt idx="0">
                  <c:v>3</c:v>
                </c:pt>
              </c:numCache>
            </c:numRef>
          </c:xVal>
          <c:yVal>
            <c:numRef>
              <c:f>Tornado!$J$802</c:f>
              <c:numCache>
                <c:formatCode>General</c:formatCode>
                <c:ptCount val="1"/>
                <c:pt idx="0">
                  <c:v>0</c:v>
                </c:pt>
              </c:numCache>
            </c:numRef>
          </c:yVal>
          <c:smooth val="0"/>
          <c:extLst>
            <c:ext xmlns:c16="http://schemas.microsoft.com/office/drawing/2014/chart" uri="{C3380CC4-5D6E-409C-BE32-E72D297353CC}">
              <c16:uniqueId val="{00000002-77DD-4C3A-B64E-8DBC4EC6B35F}"/>
            </c:ext>
          </c:extLst>
        </c:ser>
        <c:ser>
          <c:idx val="3"/>
          <c:order val="3"/>
          <c:tx>
            <c:strRef>
              <c:f>Tornado!$C$805</c:f>
              <c:strCache>
                <c:ptCount val="1"/>
                <c:pt idx="0">
                  <c:v>Elderly 65 and older</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Tornado!$J$807</c:f>
              <c:numCache>
                <c:formatCode>General</c:formatCode>
                <c:ptCount val="1"/>
                <c:pt idx="0">
                  <c:v>3</c:v>
                </c:pt>
              </c:numCache>
            </c:numRef>
          </c:xVal>
          <c:yVal>
            <c:numRef>
              <c:f>Tornado!$J$806</c:f>
              <c:numCache>
                <c:formatCode>General</c:formatCode>
                <c:ptCount val="1"/>
                <c:pt idx="0">
                  <c:v>0</c:v>
                </c:pt>
              </c:numCache>
            </c:numRef>
          </c:yVal>
          <c:smooth val="0"/>
          <c:extLst>
            <c:ext xmlns:c16="http://schemas.microsoft.com/office/drawing/2014/chart" uri="{C3380CC4-5D6E-409C-BE32-E72D297353CC}">
              <c16:uniqueId val="{00000003-77DD-4C3A-B64E-8DBC4EC6B35F}"/>
            </c:ext>
          </c:extLst>
        </c:ser>
        <c:ser>
          <c:idx val="4"/>
          <c:order val="4"/>
          <c:tx>
            <c:strRef>
              <c:f>Tornado!$C$773</c:f>
              <c:strCache>
                <c:ptCount val="1"/>
                <c:pt idx="0">
                  <c:v>Hearing Disability</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Tornado!$J$775</c:f>
              <c:numCache>
                <c:formatCode>General</c:formatCode>
                <c:ptCount val="1"/>
                <c:pt idx="0">
                  <c:v>3</c:v>
                </c:pt>
              </c:numCache>
            </c:numRef>
          </c:xVal>
          <c:yVal>
            <c:numRef>
              <c:f>Tornado!$J$774</c:f>
              <c:numCache>
                <c:formatCode>General</c:formatCode>
                <c:ptCount val="1"/>
                <c:pt idx="0">
                  <c:v>0</c:v>
                </c:pt>
              </c:numCache>
            </c:numRef>
          </c:yVal>
          <c:smooth val="0"/>
          <c:extLst>
            <c:ext xmlns:c16="http://schemas.microsoft.com/office/drawing/2014/chart" uri="{C3380CC4-5D6E-409C-BE32-E72D297353CC}">
              <c16:uniqueId val="{00000004-77DD-4C3A-B64E-8DBC4EC6B35F}"/>
            </c:ext>
          </c:extLst>
        </c:ser>
        <c:ser>
          <c:idx val="5"/>
          <c:order val="5"/>
          <c:tx>
            <c:strRef>
              <c:f>Tornado!$C$777</c:f>
              <c:strCache>
                <c:ptCount val="1"/>
                <c:pt idx="0">
                  <c:v>Vision Disability</c:v>
                </c:pt>
              </c:strCache>
            </c:strRef>
          </c:tx>
          <c:spPr>
            <a:ln w="66675">
              <a:noFill/>
            </a:ln>
          </c:spPr>
          <c:dLbls>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Tornado!$J$779</c:f>
              <c:numCache>
                <c:formatCode>General</c:formatCode>
                <c:ptCount val="1"/>
                <c:pt idx="0">
                  <c:v>3</c:v>
                </c:pt>
              </c:numCache>
            </c:numRef>
          </c:xVal>
          <c:yVal>
            <c:numRef>
              <c:f>Tornado!$J$778</c:f>
              <c:numCache>
                <c:formatCode>General</c:formatCode>
                <c:ptCount val="1"/>
                <c:pt idx="0">
                  <c:v>0</c:v>
                </c:pt>
              </c:numCache>
            </c:numRef>
          </c:yVal>
          <c:smooth val="0"/>
          <c:extLst>
            <c:ext xmlns:c16="http://schemas.microsoft.com/office/drawing/2014/chart" uri="{C3380CC4-5D6E-409C-BE32-E72D297353CC}">
              <c16:uniqueId val="{00000005-77DD-4C3A-B64E-8DBC4EC6B35F}"/>
            </c:ext>
          </c:extLst>
        </c:ser>
        <c:ser>
          <c:idx val="6"/>
          <c:order val="6"/>
          <c:tx>
            <c:strRef>
              <c:f>Tornado!$C$781</c:f>
              <c:strCache>
                <c:ptCount val="1"/>
                <c:pt idx="0">
                  <c:v>Ambulatory Disability</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Tornado!$J$783</c:f>
              <c:numCache>
                <c:formatCode>General</c:formatCode>
                <c:ptCount val="1"/>
                <c:pt idx="0">
                  <c:v>3</c:v>
                </c:pt>
              </c:numCache>
            </c:numRef>
          </c:xVal>
          <c:yVal>
            <c:numRef>
              <c:f>Tornado!$J$782</c:f>
              <c:numCache>
                <c:formatCode>General</c:formatCode>
                <c:ptCount val="1"/>
                <c:pt idx="0">
                  <c:v>0</c:v>
                </c:pt>
              </c:numCache>
            </c:numRef>
          </c:yVal>
          <c:smooth val="0"/>
          <c:extLst>
            <c:ext xmlns:c16="http://schemas.microsoft.com/office/drawing/2014/chart" uri="{C3380CC4-5D6E-409C-BE32-E72D297353CC}">
              <c16:uniqueId val="{00000006-77DD-4C3A-B64E-8DBC4EC6B35F}"/>
            </c:ext>
          </c:extLst>
        </c:ser>
        <c:ser>
          <c:idx val="7"/>
          <c:order val="7"/>
          <c:tx>
            <c:strRef>
              <c:f>Tornado!$C$785</c:f>
              <c:strCache>
                <c:ptCount val="1"/>
                <c:pt idx="0">
                  <c:v>Cognitive Disability</c:v>
                </c:pt>
              </c:strCache>
            </c:strRef>
          </c:tx>
          <c:spPr>
            <a:ln w="66675">
              <a:noFill/>
            </a:ln>
          </c:spPr>
          <c:dLbls>
            <c:dLbl>
              <c:idx val="0"/>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77DD-4C3A-B64E-8DBC4EC6B35F}"/>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Tornado!$J$787</c:f>
              <c:numCache>
                <c:formatCode>General</c:formatCode>
                <c:ptCount val="1"/>
                <c:pt idx="0">
                  <c:v>3</c:v>
                </c:pt>
              </c:numCache>
            </c:numRef>
          </c:xVal>
          <c:yVal>
            <c:numRef>
              <c:f>Tornado!$J$786</c:f>
              <c:numCache>
                <c:formatCode>General</c:formatCode>
                <c:ptCount val="1"/>
                <c:pt idx="0">
                  <c:v>0</c:v>
                </c:pt>
              </c:numCache>
            </c:numRef>
          </c:yVal>
          <c:smooth val="0"/>
          <c:extLst>
            <c:ext xmlns:c16="http://schemas.microsoft.com/office/drawing/2014/chart" uri="{C3380CC4-5D6E-409C-BE32-E72D297353CC}">
              <c16:uniqueId val="{00000008-77DD-4C3A-B64E-8DBC4EC6B35F}"/>
            </c:ext>
          </c:extLst>
        </c:ser>
        <c:ser>
          <c:idx val="8"/>
          <c:order val="8"/>
          <c:tx>
            <c:strRef>
              <c:f>Tornado!$C$789</c:f>
              <c:strCache>
                <c:ptCount val="1"/>
                <c:pt idx="0">
                  <c:v>Limited English Proficiency</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Tornado!$J$791</c:f>
              <c:numCache>
                <c:formatCode>General</c:formatCode>
                <c:ptCount val="1"/>
                <c:pt idx="0">
                  <c:v>3</c:v>
                </c:pt>
              </c:numCache>
            </c:numRef>
          </c:xVal>
          <c:yVal>
            <c:numRef>
              <c:f>Tornado!$J$790</c:f>
              <c:numCache>
                <c:formatCode>General</c:formatCode>
                <c:ptCount val="1"/>
                <c:pt idx="0">
                  <c:v>0</c:v>
                </c:pt>
              </c:numCache>
            </c:numRef>
          </c:yVal>
          <c:smooth val="0"/>
          <c:extLst>
            <c:ext xmlns:c16="http://schemas.microsoft.com/office/drawing/2014/chart" uri="{C3380CC4-5D6E-409C-BE32-E72D297353CC}">
              <c16:uniqueId val="{00000009-77DD-4C3A-B64E-8DBC4EC6B35F}"/>
            </c:ext>
          </c:extLst>
        </c:ser>
        <c:dLbls>
          <c:showLegendKey val="0"/>
          <c:showVal val="1"/>
          <c:showCatName val="0"/>
          <c:showSerName val="0"/>
          <c:showPercent val="0"/>
          <c:showBubbleSize val="0"/>
        </c:dLbls>
        <c:axId val="201373184"/>
        <c:axId val="201375104"/>
      </c:scatterChart>
      <c:valAx>
        <c:axId val="201373184"/>
        <c:scaling>
          <c:orientation val="minMax"/>
          <c:max val="4.5"/>
          <c:min val="0"/>
        </c:scaling>
        <c:delete val="0"/>
        <c:axPos val="b"/>
        <c:majorGridlines/>
        <c:title>
          <c:tx>
            <c:rich>
              <a:bodyPr/>
              <a:lstStyle/>
              <a:p>
                <a:pPr>
                  <a:defRPr b="0">
                    <a:latin typeface="+mj-lt"/>
                  </a:defRPr>
                </a:pPr>
                <a:r>
                  <a:rPr lang="en-US" sz="1600" b="0">
                    <a:latin typeface="+mj-lt"/>
                  </a:rPr>
                  <a:t>Access Planning Score</a:t>
                </a:r>
              </a:p>
            </c:rich>
          </c:tx>
          <c:overlay val="0"/>
        </c:title>
        <c:numFmt formatCode="General" sourceLinked="1"/>
        <c:majorTickMark val="out"/>
        <c:minorTickMark val="none"/>
        <c:tickLblPos val="nextTo"/>
        <c:spPr>
          <a:ln>
            <a:solidFill>
              <a:schemeClr val="tx1"/>
            </a:solidFill>
          </a:ln>
        </c:spPr>
        <c:crossAx val="201375104"/>
        <c:crosses val="autoZero"/>
        <c:crossBetween val="midCat"/>
        <c:majorUnit val="1"/>
        <c:minorUnit val="0.1"/>
      </c:valAx>
      <c:valAx>
        <c:axId val="201375104"/>
        <c:scaling>
          <c:orientation val="minMax"/>
          <c:max val="4.5"/>
          <c:min val="0"/>
        </c:scaling>
        <c:delete val="0"/>
        <c:axPos val="l"/>
        <c:majorGridlines/>
        <c:title>
          <c:tx>
            <c:rich>
              <a:bodyPr rot="-5400000" vert="horz"/>
              <a:lstStyle/>
              <a:p>
                <a:pPr>
                  <a:defRPr sz="1600" b="0">
                    <a:latin typeface="+mj-lt"/>
                  </a:defRPr>
                </a:pPr>
                <a:r>
                  <a:rPr lang="en-US" sz="1600" b="0">
                    <a:latin typeface="+mj-lt"/>
                  </a:rPr>
                  <a:t>Population Size Score</a:t>
                </a:r>
              </a:p>
            </c:rich>
          </c:tx>
          <c:overlay val="0"/>
        </c:title>
        <c:numFmt formatCode="General" sourceLinked="1"/>
        <c:majorTickMark val="out"/>
        <c:minorTickMark val="none"/>
        <c:tickLblPos val="nextTo"/>
        <c:spPr>
          <a:ln>
            <a:solidFill>
              <a:schemeClr val="tx1"/>
            </a:solidFill>
          </a:ln>
        </c:spPr>
        <c:crossAx val="201373184"/>
        <c:crosses val="autoZero"/>
        <c:crossBetween val="midCat"/>
        <c:majorUnit val="1"/>
        <c:minorUnit val="0.1"/>
      </c:valAx>
      <c:spPr>
        <a:gradFill flip="none" rotWithShape="1">
          <a:gsLst>
            <a:gs pos="0">
              <a:srgbClr val="63BE7B"/>
            </a:gs>
            <a:gs pos="50000">
              <a:srgbClr val="FFEB84"/>
            </a:gs>
            <a:gs pos="100000">
              <a:srgbClr val="F8696B"/>
            </a:gs>
          </a:gsLst>
          <a:lin ang="189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defRPr b="0" u="sng">
                <a:latin typeface="+mj-lt"/>
              </a:defRPr>
            </a:pPr>
            <a:r>
              <a:rPr lang="en-US" b="0" u="sng">
                <a:latin typeface="+mj-lt"/>
              </a:rPr>
              <a:t>Public Health Preparedness</a:t>
            </a:r>
          </a:p>
        </c:rich>
      </c:tx>
      <c:layout>
        <c:manualLayout>
          <c:xMode val="edge"/>
          <c:yMode val="edge"/>
          <c:x val="0.30532356317913883"/>
          <c:y val="1.3244983721297133E-2"/>
        </c:manualLayout>
      </c:layout>
      <c:overlay val="0"/>
    </c:title>
    <c:autoTitleDeleted val="0"/>
    <c:plotArea>
      <c:layout/>
      <c:scatterChart>
        <c:scatterStyle val="lineMarker"/>
        <c:varyColors val="0"/>
        <c:ser>
          <c:idx val="0"/>
          <c:order val="0"/>
          <c:tx>
            <c:strRef>
              <c:f>Tornado!$C$853</c:f>
              <c:strCache>
                <c:ptCount val="1"/>
                <c:pt idx="0">
                  <c:v>Info Sharing</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Tornado!$J$854</c:f>
              <c:numCache>
                <c:formatCode>General</c:formatCode>
                <c:ptCount val="1"/>
                <c:pt idx="0">
                  <c:v>4</c:v>
                </c:pt>
              </c:numCache>
            </c:numRef>
          </c:xVal>
          <c:yVal>
            <c:numRef>
              <c:f>Tornado!$J$855</c:f>
              <c:numCache>
                <c:formatCode>General</c:formatCode>
                <c:ptCount val="1"/>
                <c:pt idx="0">
                  <c:v>0</c:v>
                </c:pt>
              </c:numCache>
            </c:numRef>
          </c:yVal>
          <c:smooth val="0"/>
          <c:extLst>
            <c:ext xmlns:c16="http://schemas.microsoft.com/office/drawing/2014/chart" uri="{C3380CC4-5D6E-409C-BE32-E72D297353CC}">
              <c16:uniqueId val="{00000000-5747-45C5-9397-2B503DC3AB03}"/>
            </c:ext>
          </c:extLst>
        </c:ser>
        <c:ser>
          <c:idx val="1"/>
          <c:order val="1"/>
          <c:tx>
            <c:strRef>
              <c:f>Tornado!$C$857</c:f>
              <c:strCache>
                <c:ptCount val="1"/>
                <c:pt idx="0">
                  <c:v>Mass Care</c:v>
                </c:pt>
              </c:strCache>
            </c:strRef>
          </c:tx>
          <c:spPr>
            <a:ln w="66675">
              <a:noFill/>
            </a:ln>
          </c:spPr>
          <c:dLbls>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Tornado!$J$858</c:f>
              <c:numCache>
                <c:formatCode>General</c:formatCode>
                <c:ptCount val="1"/>
                <c:pt idx="0">
                  <c:v>3</c:v>
                </c:pt>
              </c:numCache>
            </c:numRef>
          </c:xVal>
          <c:yVal>
            <c:numRef>
              <c:f>Tornado!$J$859</c:f>
              <c:numCache>
                <c:formatCode>General</c:formatCode>
                <c:ptCount val="1"/>
                <c:pt idx="0">
                  <c:v>0</c:v>
                </c:pt>
              </c:numCache>
            </c:numRef>
          </c:yVal>
          <c:smooth val="0"/>
          <c:extLst>
            <c:ext xmlns:c16="http://schemas.microsoft.com/office/drawing/2014/chart" uri="{C3380CC4-5D6E-409C-BE32-E72D297353CC}">
              <c16:uniqueId val="{00000001-5747-45C5-9397-2B503DC3AB03}"/>
            </c:ext>
          </c:extLst>
        </c:ser>
        <c:ser>
          <c:idx val="2"/>
          <c:order val="2"/>
          <c:tx>
            <c:strRef>
              <c:f>Tornado!$C$861</c:f>
              <c:strCache>
                <c:ptCount val="1"/>
                <c:pt idx="0">
                  <c:v>MCM Dispens</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Tornado!$J$862</c:f>
              <c:numCache>
                <c:formatCode>General</c:formatCode>
                <c:ptCount val="1"/>
                <c:pt idx="0">
                  <c:v>0</c:v>
                </c:pt>
              </c:numCache>
            </c:numRef>
          </c:xVal>
          <c:yVal>
            <c:numRef>
              <c:f>Tornado!$J$863</c:f>
              <c:numCache>
                <c:formatCode>General</c:formatCode>
                <c:ptCount val="1"/>
                <c:pt idx="0">
                  <c:v>0</c:v>
                </c:pt>
              </c:numCache>
            </c:numRef>
          </c:yVal>
          <c:smooth val="0"/>
          <c:extLst>
            <c:ext xmlns:c16="http://schemas.microsoft.com/office/drawing/2014/chart" uri="{C3380CC4-5D6E-409C-BE32-E72D297353CC}">
              <c16:uniqueId val="{00000002-5747-45C5-9397-2B503DC3AB03}"/>
            </c:ext>
          </c:extLst>
        </c:ser>
        <c:ser>
          <c:idx val="3"/>
          <c:order val="3"/>
          <c:tx>
            <c:strRef>
              <c:f>Tornado!$C$865</c:f>
              <c:strCache>
                <c:ptCount val="1"/>
                <c:pt idx="0">
                  <c:v>Med Materiel Mgmt</c:v>
                </c:pt>
              </c:strCache>
            </c:strRef>
          </c:tx>
          <c:spPr>
            <a:ln w="66675">
              <a:noFill/>
            </a:ln>
          </c:spPr>
          <c:dLbls>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Tornado!$J$866</c:f>
              <c:numCache>
                <c:formatCode>General</c:formatCode>
                <c:ptCount val="1"/>
                <c:pt idx="0">
                  <c:v>4</c:v>
                </c:pt>
              </c:numCache>
            </c:numRef>
          </c:xVal>
          <c:yVal>
            <c:numRef>
              <c:f>Tornado!$J$867</c:f>
              <c:numCache>
                <c:formatCode>General</c:formatCode>
                <c:ptCount val="1"/>
                <c:pt idx="0">
                  <c:v>0</c:v>
                </c:pt>
              </c:numCache>
            </c:numRef>
          </c:yVal>
          <c:smooth val="0"/>
          <c:extLst>
            <c:ext xmlns:c16="http://schemas.microsoft.com/office/drawing/2014/chart" uri="{C3380CC4-5D6E-409C-BE32-E72D297353CC}">
              <c16:uniqueId val="{00000003-5747-45C5-9397-2B503DC3AB03}"/>
            </c:ext>
          </c:extLst>
        </c:ser>
        <c:ser>
          <c:idx val="4"/>
          <c:order val="4"/>
          <c:tx>
            <c:strRef>
              <c:f>Tornado!$C$869</c:f>
              <c:strCache>
                <c:ptCount val="1"/>
                <c:pt idx="0">
                  <c:v>Medical Surge</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Tornado!$J$870</c:f>
              <c:numCache>
                <c:formatCode>General</c:formatCode>
                <c:ptCount val="1"/>
                <c:pt idx="0">
                  <c:v>3</c:v>
                </c:pt>
              </c:numCache>
            </c:numRef>
          </c:xVal>
          <c:yVal>
            <c:numRef>
              <c:f>Tornado!$J$871</c:f>
              <c:numCache>
                <c:formatCode>General</c:formatCode>
                <c:ptCount val="1"/>
                <c:pt idx="0">
                  <c:v>0</c:v>
                </c:pt>
              </c:numCache>
            </c:numRef>
          </c:yVal>
          <c:smooth val="0"/>
          <c:extLst>
            <c:ext xmlns:c16="http://schemas.microsoft.com/office/drawing/2014/chart" uri="{C3380CC4-5D6E-409C-BE32-E72D297353CC}">
              <c16:uniqueId val="{00000004-5747-45C5-9397-2B503DC3AB03}"/>
            </c:ext>
          </c:extLst>
        </c:ser>
        <c:ser>
          <c:idx val="5"/>
          <c:order val="5"/>
          <c:tx>
            <c:strRef>
              <c:f>Tornado!$C$873</c:f>
              <c:strCache>
                <c:ptCount val="1"/>
                <c:pt idx="0">
                  <c:v>Non-Pharm Interv</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Tornado!$J$874</c:f>
              <c:numCache>
                <c:formatCode>General</c:formatCode>
                <c:ptCount val="1"/>
                <c:pt idx="0">
                  <c:v>0</c:v>
                </c:pt>
              </c:numCache>
            </c:numRef>
          </c:xVal>
          <c:yVal>
            <c:numRef>
              <c:f>Tornado!$J$875</c:f>
              <c:numCache>
                <c:formatCode>General</c:formatCode>
                <c:ptCount val="1"/>
                <c:pt idx="0">
                  <c:v>0</c:v>
                </c:pt>
              </c:numCache>
            </c:numRef>
          </c:yVal>
          <c:smooth val="0"/>
          <c:extLst>
            <c:ext xmlns:c16="http://schemas.microsoft.com/office/drawing/2014/chart" uri="{C3380CC4-5D6E-409C-BE32-E72D297353CC}">
              <c16:uniqueId val="{00000005-5747-45C5-9397-2B503DC3AB03}"/>
            </c:ext>
          </c:extLst>
        </c:ser>
        <c:ser>
          <c:idx val="6"/>
          <c:order val="6"/>
          <c:tx>
            <c:strRef>
              <c:f>Tornado!$C$877</c:f>
              <c:strCache>
                <c:ptCount val="1"/>
                <c:pt idx="0">
                  <c:v>PH Lab Testing</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Tornado!$J$878</c:f>
              <c:numCache>
                <c:formatCode>General</c:formatCode>
                <c:ptCount val="1"/>
                <c:pt idx="0">
                  <c:v>1</c:v>
                </c:pt>
              </c:numCache>
            </c:numRef>
          </c:xVal>
          <c:yVal>
            <c:numRef>
              <c:f>Tornado!$J$879</c:f>
              <c:numCache>
                <c:formatCode>General</c:formatCode>
                <c:ptCount val="1"/>
                <c:pt idx="0">
                  <c:v>0</c:v>
                </c:pt>
              </c:numCache>
            </c:numRef>
          </c:yVal>
          <c:smooth val="0"/>
          <c:extLst>
            <c:ext xmlns:c16="http://schemas.microsoft.com/office/drawing/2014/chart" uri="{C3380CC4-5D6E-409C-BE32-E72D297353CC}">
              <c16:uniqueId val="{00000006-5747-45C5-9397-2B503DC3AB03}"/>
            </c:ext>
          </c:extLst>
        </c:ser>
        <c:ser>
          <c:idx val="7"/>
          <c:order val="7"/>
          <c:tx>
            <c:strRef>
              <c:f>Tornado!$C$881</c:f>
              <c:strCache>
                <c:ptCount val="1"/>
                <c:pt idx="0">
                  <c:v>PH Surv &amp; Epi</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Tornado!$J$882</c:f>
              <c:numCache>
                <c:formatCode>General</c:formatCode>
                <c:ptCount val="1"/>
                <c:pt idx="0">
                  <c:v>2</c:v>
                </c:pt>
              </c:numCache>
            </c:numRef>
          </c:xVal>
          <c:yVal>
            <c:numRef>
              <c:f>Tornado!$J$883</c:f>
              <c:numCache>
                <c:formatCode>General</c:formatCode>
                <c:ptCount val="1"/>
                <c:pt idx="0">
                  <c:v>0</c:v>
                </c:pt>
              </c:numCache>
            </c:numRef>
          </c:yVal>
          <c:smooth val="0"/>
          <c:extLst>
            <c:ext xmlns:c16="http://schemas.microsoft.com/office/drawing/2014/chart" uri="{C3380CC4-5D6E-409C-BE32-E72D297353CC}">
              <c16:uniqueId val="{00000007-5747-45C5-9397-2B503DC3AB03}"/>
            </c:ext>
          </c:extLst>
        </c:ser>
        <c:ser>
          <c:idx val="8"/>
          <c:order val="8"/>
          <c:tx>
            <c:strRef>
              <c:f>Tornado!$C$885</c:f>
              <c:strCache>
                <c:ptCount val="1"/>
                <c:pt idx="0">
                  <c:v>Responder Safety</c:v>
                </c:pt>
              </c:strCache>
            </c:strRef>
          </c:tx>
          <c:spPr>
            <a:ln w="66675">
              <a:noFill/>
            </a:ln>
          </c:spPr>
          <c:dLbls>
            <c:spPr>
              <a:noFill/>
              <a:ln>
                <a:noFill/>
              </a:ln>
              <a:effectLst/>
            </c:sp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Tornado!$J$886</c:f>
              <c:numCache>
                <c:formatCode>General</c:formatCode>
                <c:ptCount val="1"/>
                <c:pt idx="0">
                  <c:v>3</c:v>
                </c:pt>
              </c:numCache>
            </c:numRef>
          </c:xVal>
          <c:yVal>
            <c:numRef>
              <c:f>Tornado!$J$887</c:f>
              <c:numCache>
                <c:formatCode>General</c:formatCode>
                <c:ptCount val="1"/>
                <c:pt idx="0">
                  <c:v>0</c:v>
                </c:pt>
              </c:numCache>
            </c:numRef>
          </c:yVal>
          <c:smooth val="0"/>
          <c:extLst>
            <c:ext xmlns:c16="http://schemas.microsoft.com/office/drawing/2014/chart" uri="{C3380CC4-5D6E-409C-BE32-E72D297353CC}">
              <c16:uniqueId val="{00000008-5747-45C5-9397-2B503DC3AB03}"/>
            </c:ext>
          </c:extLst>
        </c:ser>
        <c:ser>
          <c:idx val="9"/>
          <c:order val="9"/>
          <c:tx>
            <c:strRef>
              <c:f>Tornado!$C$889</c:f>
              <c:strCache>
                <c:ptCount val="1"/>
                <c:pt idx="0">
                  <c:v>Volunteer Mgmt</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Tornado!$J$890</c:f>
              <c:numCache>
                <c:formatCode>General</c:formatCode>
                <c:ptCount val="1"/>
                <c:pt idx="0">
                  <c:v>3</c:v>
                </c:pt>
              </c:numCache>
            </c:numRef>
          </c:xVal>
          <c:yVal>
            <c:numRef>
              <c:f>Tornado!$J$891</c:f>
              <c:numCache>
                <c:formatCode>General</c:formatCode>
                <c:ptCount val="1"/>
                <c:pt idx="0">
                  <c:v>0</c:v>
                </c:pt>
              </c:numCache>
            </c:numRef>
          </c:yVal>
          <c:smooth val="0"/>
          <c:extLst>
            <c:ext xmlns:c16="http://schemas.microsoft.com/office/drawing/2014/chart" uri="{C3380CC4-5D6E-409C-BE32-E72D297353CC}">
              <c16:uniqueId val="{00000009-5747-45C5-9397-2B503DC3AB03}"/>
            </c:ext>
          </c:extLst>
        </c:ser>
        <c:ser>
          <c:idx val="10"/>
          <c:order val="10"/>
          <c:tx>
            <c:strRef>
              <c:f>Tornado!$C$833</c:f>
              <c:strCache>
                <c:ptCount val="1"/>
                <c:pt idx="0">
                  <c:v>Community Prep</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Tornado!$J$834</c:f>
              <c:numCache>
                <c:formatCode>General</c:formatCode>
                <c:ptCount val="1"/>
                <c:pt idx="0">
                  <c:v>4</c:v>
                </c:pt>
              </c:numCache>
            </c:numRef>
          </c:xVal>
          <c:yVal>
            <c:numRef>
              <c:f>Tornado!$J$835</c:f>
              <c:numCache>
                <c:formatCode>General</c:formatCode>
                <c:ptCount val="1"/>
                <c:pt idx="0">
                  <c:v>0</c:v>
                </c:pt>
              </c:numCache>
            </c:numRef>
          </c:yVal>
          <c:smooth val="0"/>
          <c:extLst>
            <c:ext xmlns:c16="http://schemas.microsoft.com/office/drawing/2014/chart" uri="{C3380CC4-5D6E-409C-BE32-E72D297353CC}">
              <c16:uniqueId val="{0000000A-5747-45C5-9397-2B503DC3AB03}"/>
            </c:ext>
          </c:extLst>
        </c:ser>
        <c:ser>
          <c:idx val="11"/>
          <c:order val="11"/>
          <c:tx>
            <c:strRef>
              <c:f>Tornado!$C$837</c:f>
              <c:strCache>
                <c:ptCount val="1"/>
                <c:pt idx="0">
                  <c:v>Community Recov</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Tornado!$J$838</c:f>
              <c:numCache>
                <c:formatCode>General</c:formatCode>
                <c:ptCount val="1"/>
                <c:pt idx="0">
                  <c:v>4</c:v>
                </c:pt>
              </c:numCache>
            </c:numRef>
          </c:xVal>
          <c:yVal>
            <c:numRef>
              <c:f>Tornado!$J$839</c:f>
              <c:numCache>
                <c:formatCode>General</c:formatCode>
                <c:ptCount val="1"/>
                <c:pt idx="0">
                  <c:v>0</c:v>
                </c:pt>
              </c:numCache>
            </c:numRef>
          </c:yVal>
          <c:smooth val="0"/>
          <c:extLst>
            <c:ext xmlns:c16="http://schemas.microsoft.com/office/drawing/2014/chart" uri="{C3380CC4-5D6E-409C-BE32-E72D297353CC}">
              <c16:uniqueId val="{0000000B-5747-45C5-9397-2B503DC3AB03}"/>
            </c:ext>
          </c:extLst>
        </c:ser>
        <c:ser>
          <c:idx val="12"/>
          <c:order val="12"/>
          <c:tx>
            <c:strRef>
              <c:f>Tornado!$C$841</c:f>
              <c:strCache>
                <c:ptCount val="1"/>
                <c:pt idx="0">
                  <c:v>Emerg Ops Coord</c:v>
                </c:pt>
              </c:strCache>
            </c:strRef>
          </c:tx>
          <c:spPr>
            <a:ln w="66675">
              <a:noFill/>
            </a:ln>
          </c:spPr>
          <c:dLbls>
            <c:spPr>
              <a:noFill/>
              <a:ln>
                <a:noFill/>
              </a:ln>
              <a:effectLst/>
            </c:sp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Tornado!$J$842</c:f>
              <c:numCache>
                <c:formatCode>General</c:formatCode>
                <c:ptCount val="1"/>
                <c:pt idx="0">
                  <c:v>4</c:v>
                </c:pt>
              </c:numCache>
            </c:numRef>
          </c:xVal>
          <c:yVal>
            <c:numRef>
              <c:f>Tornado!$J$843</c:f>
              <c:numCache>
                <c:formatCode>General</c:formatCode>
                <c:ptCount val="1"/>
                <c:pt idx="0">
                  <c:v>0</c:v>
                </c:pt>
              </c:numCache>
            </c:numRef>
          </c:yVal>
          <c:smooth val="0"/>
          <c:extLst>
            <c:ext xmlns:c16="http://schemas.microsoft.com/office/drawing/2014/chart" uri="{C3380CC4-5D6E-409C-BE32-E72D297353CC}">
              <c16:uniqueId val="{0000000C-5747-45C5-9397-2B503DC3AB03}"/>
            </c:ext>
          </c:extLst>
        </c:ser>
        <c:ser>
          <c:idx val="13"/>
          <c:order val="13"/>
          <c:tx>
            <c:strRef>
              <c:f>Tornado!$C$845</c:f>
              <c:strCache>
                <c:ptCount val="1"/>
                <c:pt idx="0">
                  <c:v>Emerg Public Info</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Tornado!$J$846</c:f>
              <c:numCache>
                <c:formatCode>General</c:formatCode>
                <c:ptCount val="1"/>
                <c:pt idx="0">
                  <c:v>4</c:v>
                </c:pt>
              </c:numCache>
            </c:numRef>
          </c:xVal>
          <c:yVal>
            <c:numRef>
              <c:f>Tornado!$J$847</c:f>
              <c:numCache>
                <c:formatCode>General</c:formatCode>
                <c:ptCount val="1"/>
                <c:pt idx="0">
                  <c:v>0</c:v>
                </c:pt>
              </c:numCache>
            </c:numRef>
          </c:yVal>
          <c:smooth val="0"/>
          <c:extLst>
            <c:ext xmlns:c16="http://schemas.microsoft.com/office/drawing/2014/chart" uri="{C3380CC4-5D6E-409C-BE32-E72D297353CC}">
              <c16:uniqueId val="{0000000D-5747-45C5-9397-2B503DC3AB03}"/>
            </c:ext>
          </c:extLst>
        </c:ser>
        <c:ser>
          <c:idx val="14"/>
          <c:order val="14"/>
          <c:tx>
            <c:strRef>
              <c:f>Tornado!$C$964</c:f>
              <c:strCache>
                <c:ptCount val="1"/>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Tornado!$J$965</c:f>
            </c:numRef>
          </c:xVal>
          <c:yVal>
            <c:numRef>
              <c:f>Tornado!$J$966</c:f>
            </c:numRef>
          </c:yVal>
          <c:smooth val="0"/>
          <c:extLst>
            <c:ext xmlns:c16="http://schemas.microsoft.com/office/drawing/2014/chart" uri="{C3380CC4-5D6E-409C-BE32-E72D297353CC}">
              <c16:uniqueId val="{0000000E-5747-45C5-9397-2B503DC3AB03}"/>
            </c:ext>
          </c:extLst>
        </c:ser>
        <c:ser>
          <c:idx val="15"/>
          <c:order val="15"/>
          <c:tx>
            <c:strRef>
              <c:f>Tornado!$C$849</c:f>
              <c:strCache>
                <c:ptCount val="1"/>
                <c:pt idx="0">
                  <c:v>Fatality Mgmt</c:v>
                </c:pt>
              </c:strCache>
            </c:strRef>
          </c:tx>
          <c:spPr>
            <a:ln w="66675">
              <a:noFill/>
            </a:ln>
          </c:spPr>
          <c:dLbls>
            <c:dLbl>
              <c:idx val="0"/>
              <c:dLblPos val="l"/>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F-5747-45C5-9397-2B503DC3AB0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Tornado!$J$850</c:f>
              <c:numCache>
                <c:formatCode>General</c:formatCode>
                <c:ptCount val="1"/>
                <c:pt idx="0">
                  <c:v>2</c:v>
                </c:pt>
              </c:numCache>
            </c:numRef>
          </c:xVal>
          <c:yVal>
            <c:numRef>
              <c:f>Tornado!$J$851</c:f>
              <c:numCache>
                <c:formatCode>General</c:formatCode>
                <c:ptCount val="1"/>
                <c:pt idx="0">
                  <c:v>0</c:v>
                </c:pt>
              </c:numCache>
            </c:numRef>
          </c:yVal>
          <c:smooth val="0"/>
          <c:extLst>
            <c:ext xmlns:c16="http://schemas.microsoft.com/office/drawing/2014/chart" uri="{C3380CC4-5D6E-409C-BE32-E72D297353CC}">
              <c16:uniqueId val="{00000010-5747-45C5-9397-2B503DC3AB03}"/>
            </c:ext>
          </c:extLst>
        </c:ser>
        <c:dLbls>
          <c:showLegendKey val="0"/>
          <c:showVal val="1"/>
          <c:showCatName val="0"/>
          <c:showSerName val="0"/>
          <c:showPercent val="0"/>
          <c:showBubbleSize val="0"/>
        </c:dLbls>
        <c:axId val="201537024"/>
        <c:axId val="201538944"/>
      </c:scatterChart>
      <c:valAx>
        <c:axId val="201537024"/>
        <c:scaling>
          <c:orientation val="minMax"/>
          <c:max val="4.5"/>
          <c:min val="0"/>
        </c:scaling>
        <c:delete val="0"/>
        <c:axPos val="b"/>
        <c:majorGridlines/>
        <c:title>
          <c:tx>
            <c:rich>
              <a:bodyPr/>
              <a:lstStyle/>
              <a:p>
                <a:pPr>
                  <a:defRPr b="0">
                    <a:latin typeface="+mj-lt"/>
                  </a:defRPr>
                </a:pPr>
                <a:r>
                  <a:rPr lang="en-US" sz="1600" b="0">
                    <a:latin typeface="+mj-lt"/>
                  </a:rPr>
                  <a:t>Capability Relevance to Hazard</a:t>
                </a:r>
              </a:p>
            </c:rich>
          </c:tx>
          <c:overlay val="0"/>
        </c:title>
        <c:numFmt formatCode="General" sourceLinked="1"/>
        <c:majorTickMark val="out"/>
        <c:minorTickMark val="none"/>
        <c:tickLblPos val="nextTo"/>
        <c:spPr>
          <a:ln>
            <a:solidFill>
              <a:schemeClr val="tx1"/>
            </a:solidFill>
          </a:ln>
        </c:spPr>
        <c:crossAx val="201538944"/>
        <c:crosses val="autoZero"/>
        <c:crossBetween val="midCat"/>
        <c:majorUnit val="1"/>
        <c:minorUnit val="0.1"/>
      </c:valAx>
      <c:valAx>
        <c:axId val="201538944"/>
        <c:scaling>
          <c:orientation val="minMax"/>
          <c:max val="4.5"/>
          <c:min val="0"/>
        </c:scaling>
        <c:delete val="0"/>
        <c:axPos val="l"/>
        <c:majorGridlines/>
        <c:title>
          <c:tx>
            <c:rich>
              <a:bodyPr rot="-5400000" vert="horz"/>
              <a:lstStyle/>
              <a:p>
                <a:pPr>
                  <a:defRPr sz="1600" b="0">
                    <a:latin typeface="+mj-lt"/>
                  </a:defRPr>
                </a:pPr>
                <a:r>
                  <a:rPr lang="en-US" sz="1600" b="0">
                    <a:latin typeface="+mj-lt"/>
                  </a:rPr>
                  <a:t>Capability Status</a:t>
                </a:r>
              </a:p>
            </c:rich>
          </c:tx>
          <c:overlay val="0"/>
        </c:title>
        <c:numFmt formatCode="General" sourceLinked="1"/>
        <c:majorTickMark val="out"/>
        <c:minorTickMark val="none"/>
        <c:tickLblPos val="nextTo"/>
        <c:spPr>
          <a:ln>
            <a:solidFill>
              <a:schemeClr val="tx1"/>
            </a:solidFill>
          </a:ln>
        </c:spPr>
        <c:crossAx val="201537024"/>
        <c:crosses val="autoZero"/>
        <c:crossBetween val="midCat"/>
        <c:majorUnit val="1"/>
        <c:minorUnit val="0.1"/>
      </c:valAx>
      <c:spPr>
        <a:gradFill flip="none" rotWithShape="1">
          <a:gsLst>
            <a:gs pos="0">
              <a:srgbClr val="63BE7B"/>
            </a:gs>
            <a:gs pos="50000">
              <a:srgbClr val="FFEB84"/>
            </a:gs>
            <a:gs pos="100000">
              <a:srgbClr val="F8696B"/>
            </a:gs>
          </a:gsLst>
          <a:lin ang="27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defRPr b="0" u="sng">
                <a:latin typeface="+mj-lt"/>
              </a:defRPr>
            </a:pPr>
            <a:r>
              <a:rPr lang="en-US" b="0" u="sng">
                <a:latin typeface="+mj-lt"/>
              </a:rPr>
              <a:t>Healthcare Preparedness</a:t>
            </a:r>
          </a:p>
        </c:rich>
      </c:tx>
      <c:layout>
        <c:manualLayout>
          <c:xMode val="edge"/>
          <c:yMode val="edge"/>
          <c:x val="0.39517157793636992"/>
          <c:y val="1.3244983721297133E-2"/>
        </c:manualLayout>
      </c:layout>
      <c:overlay val="0"/>
    </c:title>
    <c:autoTitleDeleted val="0"/>
    <c:plotArea>
      <c:layout/>
      <c:scatterChart>
        <c:scatterStyle val="lineMarker"/>
        <c:varyColors val="0"/>
        <c:ser>
          <c:idx val="0"/>
          <c:order val="0"/>
          <c:tx>
            <c:strRef>
              <c:f>Tornado!$C$903</c:f>
              <c:strCache>
                <c:ptCount val="1"/>
                <c:pt idx="0">
                  <c:v>HC System Prep</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Tornado!$J$904</c:f>
              <c:numCache>
                <c:formatCode>General</c:formatCode>
                <c:ptCount val="1"/>
                <c:pt idx="0">
                  <c:v>4</c:v>
                </c:pt>
              </c:numCache>
            </c:numRef>
          </c:xVal>
          <c:yVal>
            <c:numRef>
              <c:f>Tornado!$J$905</c:f>
              <c:numCache>
                <c:formatCode>General</c:formatCode>
                <c:ptCount val="1"/>
                <c:pt idx="0">
                  <c:v>0</c:v>
                </c:pt>
              </c:numCache>
            </c:numRef>
          </c:yVal>
          <c:smooth val="0"/>
          <c:extLst>
            <c:ext xmlns:c16="http://schemas.microsoft.com/office/drawing/2014/chart" uri="{C3380CC4-5D6E-409C-BE32-E72D297353CC}">
              <c16:uniqueId val="{00000000-C46D-4356-BFFD-E81BFCB76BB4}"/>
            </c:ext>
          </c:extLst>
        </c:ser>
        <c:ser>
          <c:idx val="1"/>
          <c:order val="1"/>
          <c:tx>
            <c:strRef>
              <c:f>Tornado!$C$907</c:f>
              <c:strCache>
                <c:ptCount val="1"/>
                <c:pt idx="0">
                  <c:v>HC System Recov</c:v>
                </c:pt>
              </c:strCache>
            </c:strRef>
          </c:tx>
          <c:spPr>
            <a:ln w="66675">
              <a:noFill/>
            </a:ln>
          </c:spPr>
          <c:dLbls>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Tornado!$J$908</c:f>
              <c:numCache>
                <c:formatCode>General</c:formatCode>
                <c:ptCount val="1"/>
                <c:pt idx="0">
                  <c:v>4</c:v>
                </c:pt>
              </c:numCache>
            </c:numRef>
          </c:xVal>
          <c:yVal>
            <c:numRef>
              <c:f>Tornado!$J$909</c:f>
              <c:numCache>
                <c:formatCode>General</c:formatCode>
                <c:ptCount val="1"/>
                <c:pt idx="0">
                  <c:v>0</c:v>
                </c:pt>
              </c:numCache>
            </c:numRef>
          </c:yVal>
          <c:smooth val="0"/>
          <c:extLst>
            <c:ext xmlns:c16="http://schemas.microsoft.com/office/drawing/2014/chart" uri="{C3380CC4-5D6E-409C-BE32-E72D297353CC}">
              <c16:uniqueId val="{00000001-C46D-4356-BFFD-E81BFCB76BB4}"/>
            </c:ext>
          </c:extLst>
        </c:ser>
        <c:ser>
          <c:idx val="2"/>
          <c:order val="2"/>
          <c:tx>
            <c:strRef>
              <c:f>Tornado!$C$911</c:f>
              <c:strCache>
                <c:ptCount val="1"/>
                <c:pt idx="0">
                  <c:v>Emerg Ops Coord</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Tornado!$J$912</c:f>
              <c:numCache>
                <c:formatCode>General</c:formatCode>
                <c:ptCount val="1"/>
                <c:pt idx="0">
                  <c:v>4</c:v>
                </c:pt>
              </c:numCache>
            </c:numRef>
          </c:xVal>
          <c:yVal>
            <c:numRef>
              <c:f>Tornado!$J$913</c:f>
              <c:numCache>
                <c:formatCode>General</c:formatCode>
                <c:ptCount val="1"/>
                <c:pt idx="0">
                  <c:v>0</c:v>
                </c:pt>
              </c:numCache>
            </c:numRef>
          </c:yVal>
          <c:smooth val="0"/>
          <c:extLst>
            <c:ext xmlns:c16="http://schemas.microsoft.com/office/drawing/2014/chart" uri="{C3380CC4-5D6E-409C-BE32-E72D297353CC}">
              <c16:uniqueId val="{00000002-C46D-4356-BFFD-E81BFCB76BB4}"/>
            </c:ext>
          </c:extLst>
        </c:ser>
        <c:ser>
          <c:idx val="3"/>
          <c:order val="3"/>
          <c:tx>
            <c:strRef>
              <c:f>Tornado!$C$915</c:f>
              <c:strCache>
                <c:ptCount val="1"/>
                <c:pt idx="0">
                  <c:v>Fatality Mgmt</c:v>
                </c:pt>
              </c:strCache>
            </c:strRef>
          </c:tx>
          <c:spPr>
            <a:ln w="66675">
              <a:noFill/>
            </a:ln>
          </c:spPr>
          <c:dLbls>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Tornado!$J$916</c:f>
              <c:numCache>
                <c:formatCode>General</c:formatCode>
                <c:ptCount val="1"/>
                <c:pt idx="0">
                  <c:v>2</c:v>
                </c:pt>
              </c:numCache>
            </c:numRef>
          </c:xVal>
          <c:yVal>
            <c:numRef>
              <c:f>Tornado!$J$917</c:f>
              <c:numCache>
                <c:formatCode>General</c:formatCode>
                <c:ptCount val="1"/>
                <c:pt idx="0">
                  <c:v>0</c:v>
                </c:pt>
              </c:numCache>
            </c:numRef>
          </c:yVal>
          <c:smooth val="0"/>
          <c:extLst>
            <c:ext xmlns:c16="http://schemas.microsoft.com/office/drawing/2014/chart" uri="{C3380CC4-5D6E-409C-BE32-E72D297353CC}">
              <c16:uniqueId val="{00000003-C46D-4356-BFFD-E81BFCB76BB4}"/>
            </c:ext>
          </c:extLst>
        </c:ser>
        <c:ser>
          <c:idx val="4"/>
          <c:order val="4"/>
          <c:tx>
            <c:strRef>
              <c:f>Tornado!$C$919</c:f>
              <c:strCache>
                <c:ptCount val="1"/>
                <c:pt idx="0">
                  <c:v>Info Sharing</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Tornado!$J$920</c:f>
              <c:numCache>
                <c:formatCode>General</c:formatCode>
                <c:ptCount val="1"/>
                <c:pt idx="0">
                  <c:v>4</c:v>
                </c:pt>
              </c:numCache>
            </c:numRef>
          </c:xVal>
          <c:yVal>
            <c:numRef>
              <c:f>Tornado!$J$921</c:f>
              <c:numCache>
                <c:formatCode>General</c:formatCode>
                <c:ptCount val="1"/>
                <c:pt idx="0">
                  <c:v>0</c:v>
                </c:pt>
              </c:numCache>
            </c:numRef>
          </c:yVal>
          <c:smooth val="0"/>
          <c:extLst>
            <c:ext xmlns:c16="http://schemas.microsoft.com/office/drawing/2014/chart" uri="{C3380CC4-5D6E-409C-BE32-E72D297353CC}">
              <c16:uniqueId val="{00000004-C46D-4356-BFFD-E81BFCB76BB4}"/>
            </c:ext>
          </c:extLst>
        </c:ser>
        <c:ser>
          <c:idx val="5"/>
          <c:order val="5"/>
          <c:tx>
            <c:strRef>
              <c:f>Tornado!$C$923</c:f>
              <c:strCache>
                <c:ptCount val="1"/>
                <c:pt idx="0">
                  <c:v>Medical Surge</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Tornado!$J$924</c:f>
              <c:numCache>
                <c:formatCode>General</c:formatCode>
                <c:ptCount val="1"/>
                <c:pt idx="0">
                  <c:v>3</c:v>
                </c:pt>
              </c:numCache>
            </c:numRef>
          </c:xVal>
          <c:yVal>
            <c:numRef>
              <c:f>Tornado!$J$925</c:f>
              <c:numCache>
                <c:formatCode>General</c:formatCode>
                <c:ptCount val="1"/>
                <c:pt idx="0">
                  <c:v>0</c:v>
                </c:pt>
              </c:numCache>
            </c:numRef>
          </c:yVal>
          <c:smooth val="0"/>
          <c:extLst>
            <c:ext xmlns:c16="http://schemas.microsoft.com/office/drawing/2014/chart" uri="{C3380CC4-5D6E-409C-BE32-E72D297353CC}">
              <c16:uniqueId val="{00000005-C46D-4356-BFFD-E81BFCB76BB4}"/>
            </c:ext>
          </c:extLst>
        </c:ser>
        <c:ser>
          <c:idx val="6"/>
          <c:order val="6"/>
          <c:tx>
            <c:strRef>
              <c:f>Tornado!$C$927</c:f>
              <c:strCache>
                <c:ptCount val="1"/>
                <c:pt idx="0">
                  <c:v>Responder Safety</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Tornado!$J$928</c:f>
              <c:numCache>
                <c:formatCode>General</c:formatCode>
                <c:ptCount val="1"/>
                <c:pt idx="0">
                  <c:v>3</c:v>
                </c:pt>
              </c:numCache>
            </c:numRef>
          </c:xVal>
          <c:yVal>
            <c:numRef>
              <c:f>Tornado!$J$929</c:f>
              <c:numCache>
                <c:formatCode>General</c:formatCode>
                <c:ptCount val="1"/>
                <c:pt idx="0">
                  <c:v>0</c:v>
                </c:pt>
              </c:numCache>
            </c:numRef>
          </c:yVal>
          <c:smooth val="0"/>
          <c:extLst>
            <c:ext xmlns:c16="http://schemas.microsoft.com/office/drawing/2014/chart" uri="{C3380CC4-5D6E-409C-BE32-E72D297353CC}">
              <c16:uniqueId val="{00000006-C46D-4356-BFFD-E81BFCB76BB4}"/>
            </c:ext>
          </c:extLst>
        </c:ser>
        <c:ser>
          <c:idx val="7"/>
          <c:order val="7"/>
          <c:tx>
            <c:strRef>
              <c:f>Tornado!$C$931</c:f>
              <c:strCache>
                <c:ptCount val="1"/>
                <c:pt idx="0">
                  <c:v>Volunteer Mgmt</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Tornado!$J$932</c:f>
              <c:numCache>
                <c:formatCode>General</c:formatCode>
                <c:ptCount val="1"/>
                <c:pt idx="0">
                  <c:v>3</c:v>
                </c:pt>
              </c:numCache>
            </c:numRef>
          </c:xVal>
          <c:yVal>
            <c:numRef>
              <c:f>Tornado!$J$933</c:f>
              <c:numCache>
                <c:formatCode>General</c:formatCode>
                <c:ptCount val="1"/>
                <c:pt idx="0">
                  <c:v>0</c:v>
                </c:pt>
              </c:numCache>
            </c:numRef>
          </c:yVal>
          <c:smooth val="0"/>
          <c:extLst>
            <c:ext xmlns:c16="http://schemas.microsoft.com/office/drawing/2014/chart" uri="{C3380CC4-5D6E-409C-BE32-E72D297353CC}">
              <c16:uniqueId val="{00000007-C46D-4356-BFFD-E81BFCB76BB4}"/>
            </c:ext>
          </c:extLst>
        </c:ser>
        <c:ser>
          <c:idx val="14"/>
          <c:order val="8"/>
          <c:tx>
            <c:strRef>
              <c:f>Tornado!$C$964</c:f>
              <c:strCache>
                <c:ptCount val="1"/>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Tornado!$J$965</c:f>
            </c:numRef>
          </c:xVal>
          <c:yVal>
            <c:numRef>
              <c:f>Tornado!$J$966</c:f>
            </c:numRef>
          </c:yVal>
          <c:smooth val="0"/>
          <c:extLst>
            <c:ext xmlns:c16="http://schemas.microsoft.com/office/drawing/2014/chart" uri="{C3380CC4-5D6E-409C-BE32-E72D297353CC}">
              <c16:uniqueId val="{00000008-C46D-4356-BFFD-E81BFCB76BB4}"/>
            </c:ext>
          </c:extLst>
        </c:ser>
        <c:dLbls>
          <c:showLegendKey val="0"/>
          <c:showVal val="1"/>
          <c:showCatName val="0"/>
          <c:showSerName val="0"/>
          <c:showPercent val="0"/>
          <c:showBubbleSize val="0"/>
        </c:dLbls>
        <c:axId val="201713920"/>
        <c:axId val="201617792"/>
      </c:scatterChart>
      <c:valAx>
        <c:axId val="201713920"/>
        <c:scaling>
          <c:orientation val="minMax"/>
          <c:max val="4.5"/>
          <c:min val="0"/>
        </c:scaling>
        <c:delete val="0"/>
        <c:axPos val="b"/>
        <c:majorGridlines/>
        <c:title>
          <c:tx>
            <c:rich>
              <a:bodyPr/>
              <a:lstStyle/>
              <a:p>
                <a:pPr>
                  <a:defRPr b="0">
                    <a:latin typeface="+mj-lt"/>
                  </a:defRPr>
                </a:pPr>
                <a:r>
                  <a:rPr lang="en-US" sz="1600" b="0">
                    <a:latin typeface="+mj-lt"/>
                  </a:rPr>
                  <a:t>Capability Relevance to Hazard</a:t>
                </a:r>
              </a:p>
            </c:rich>
          </c:tx>
          <c:overlay val="0"/>
        </c:title>
        <c:numFmt formatCode="General" sourceLinked="1"/>
        <c:majorTickMark val="out"/>
        <c:minorTickMark val="none"/>
        <c:tickLblPos val="nextTo"/>
        <c:spPr>
          <a:ln>
            <a:solidFill>
              <a:schemeClr val="tx1"/>
            </a:solidFill>
          </a:ln>
        </c:spPr>
        <c:crossAx val="201617792"/>
        <c:crosses val="autoZero"/>
        <c:crossBetween val="midCat"/>
        <c:majorUnit val="1"/>
        <c:minorUnit val="0.1"/>
      </c:valAx>
      <c:valAx>
        <c:axId val="201617792"/>
        <c:scaling>
          <c:orientation val="minMax"/>
          <c:max val="4.5"/>
          <c:min val="0"/>
        </c:scaling>
        <c:delete val="0"/>
        <c:axPos val="l"/>
        <c:majorGridlines/>
        <c:title>
          <c:tx>
            <c:rich>
              <a:bodyPr rot="-5400000" vert="horz"/>
              <a:lstStyle/>
              <a:p>
                <a:pPr>
                  <a:defRPr sz="1600" b="0">
                    <a:latin typeface="+mj-lt"/>
                  </a:defRPr>
                </a:pPr>
                <a:r>
                  <a:rPr lang="en-US" sz="1600" b="0">
                    <a:latin typeface="+mj-lt"/>
                  </a:rPr>
                  <a:t>Capability Status</a:t>
                </a:r>
              </a:p>
            </c:rich>
          </c:tx>
          <c:overlay val="0"/>
        </c:title>
        <c:numFmt formatCode="General" sourceLinked="1"/>
        <c:majorTickMark val="out"/>
        <c:minorTickMark val="none"/>
        <c:tickLblPos val="nextTo"/>
        <c:spPr>
          <a:ln>
            <a:solidFill>
              <a:schemeClr val="tx1"/>
            </a:solidFill>
          </a:ln>
        </c:spPr>
        <c:crossAx val="201713920"/>
        <c:crosses val="autoZero"/>
        <c:crossBetween val="midCat"/>
        <c:majorUnit val="1"/>
        <c:minorUnit val="0.1"/>
      </c:valAx>
      <c:spPr>
        <a:gradFill flip="none" rotWithShape="1">
          <a:gsLst>
            <a:gs pos="0">
              <a:srgbClr val="63BE7B"/>
            </a:gs>
            <a:gs pos="50000">
              <a:srgbClr val="FFEB84"/>
            </a:gs>
            <a:gs pos="100000">
              <a:srgbClr val="F8696B"/>
            </a:gs>
          </a:gsLst>
          <a:lin ang="27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b="0" u="sng">
                <a:latin typeface="+mj-lt"/>
              </a:defRPr>
            </a:pPr>
            <a:r>
              <a:rPr lang="en-US" b="0" u="sng">
                <a:latin typeface="+mj-lt"/>
              </a:rPr>
              <a:t>Preparedness</a:t>
            </a:r>
          </a:p>
        </c:rich>
      </c:tx>
      <c:layout>
        <c:manualLayout>
          <c:xMode val="edge"/>
          <c:yMode val="edge"/>
          <c:x val="0.44698388001602535"/>
          <c:y val="1.3244983721297133E-2"/>
        </c:manualLayout>
      </c:layout>
      <c:overlay val="0"/>
    </c:title>
    <c:autoTitleDeleted val="0"/>
    <c:plotArea>
      <c:layout>
        <c:manualLayout>
          <c:layoutTarget val="inner"/>
          <c:xMode val="edge"/>
          <c:yMode val="edge"/>
          <c:x val="8.1863006993684956E-2"/>
          <c:y val="0.10250773298146475"/>
          <c:w val="0.88818763964246294"/>
          <c:h val="0.66366603081718611"/>
        </c:manualLayout>
      </c:layout>
      <c:barChart>
        <c:barDir val="col"/>
        <c:grouping val="clustered"/>
        <c:varyColors val="0"/>
        <c:ser>
          <c:idx val="0"/>
          <c:order val="0"/>
          <c:tx>
            <c:v>Public Health System Preparedness</c:v>
          </c:tx>
          <c:invertIfNegative val="0"/>
          <c:dLbls>
            <c:delete val="1"/>
          </c:dLbls>
          <c:cat>
            <c:strRef>
              <c:f>'Summary of Scores'!$B$8:$B$37</c:f>
              <c:strCache>
                <c:ptCount val="20"/>
                <c:pt idx="0">
                  <c:v>Active Shooter</c:v>
                </c:pt>
                <c:pt idx="1">
                  <c:v>Bio Terrorism</c:v>
                </c:pt>
                <c:pt idx="2">
                  <c:v>Chem Terrorism</c:v>
                </c:pt>
                <c:pt idx="3">
                  <c:v>Civil Disturbance</c:v>
                </c:pt>
                <c:pt idx="4">
                  <c:v>Coastal Storm</c:v>
                </c:pt>
                <c:pt idx="5">
                  <c:v>Conv Explosive</c:v>
                </c:pt>
                <c:pt idx="6">
                  <c:v>Cyber Terrorism</c:v>
                </c:pt>
                <c:pt idx="7">
                  <c:v>Drought</c:v>
                </c:pt>
                <c:pt idx="8">
                  <c:v>Earthquake</c:v>
                </c:pt>
                <c:pt idx="9">
                  <c:v>Flood</c:v>
                </c:pt>
                <c:pt idx="10">
                  <c:v>HazMat Release</c:v>
                </c:pt>
                <c:pt idx="11">
                  <c:v>Localized ID</c:v>
                </c:pt>
                <c:pt idx="12">
                  <c:v>Nuclear Facility</c:v>
                </c:pt>
                <c:pt idx="13">
                  <c:v>Pandemic</c:v>
                </c:pt>
                <c:pt idx="14">
                  <c:v>RDD</c:v>
                </c:pt>
                <c:pt idx="15">
                  <c:v>Temp Extremes</c:v>
                </c:pt>
                <c:pt idx="16">
                  <c:v>Tornado</c:v>
                </c:pt>
                <c:pt idx="17">
                  <c:v>Utility Interr</c:v>
                </c:pt>
                <c:pt idx="18">
                  <c:v>Wildfire</c:v>
                </c:pt>
                <c:pt idx="19">
                  <c:v>Winter Storm</c:v>
                </c:pt>
              </c:strCache>
            </c:strRef>
          </c:cat>
          <c:val>
            <c:numRef>
              <c:f>'Summary of Scores'!$N$8:$N$37</c:f>
              <c:numCache>
                <c:formatCode>#,##0.00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0-3543-4F81-B140-D734D9CC4244}"/>
            </c:ext>
          </c:extLst>
        </c:ser>
        <c:ser>
          <c:idx val="1"/>
          <c:order val="1"/>
          <c:tx>
            <c:v>Healthcare System Preparedness</c:v>
          </c:tx>
          <c:invertIfNegative val="0"/>
          <c:dLbls>
            <c:delete val="1"/>
          </c:dLbls>
          <c:cat>
            <c:strRef>
              <c:f>'Summary of Scores'!$B$8:$B$37</c:f>
              <c:strCache>
                <c:ptCount val="20"/>
                <c:pt idx="0">
                  <c:v>Active Shooter</c:v>
                </c:pt>
                <c:pt idx="1">
                  <c:v>Bio Terrorism</c:v>
                </c:pt>
                <c:pt idx="2">
                  <c:v>Chem Terrorism</c:v>
                </c:pt>
                <c:pt idx="3">
                  <c:v>Civil Disturbance</c:v>
                </c:pt>
                <c:pt idx="4">
                  <c:v>Coastal Storm</c:v>
                </c:pt>
                <c:pt idx="5">
                  <c:v>Conv Explosive</c:v>
                </c:pt>
                <c:pt idx="6">
                  <c:v>Cyber Terrorism</c:v>
                </c:pt>
                <c:pt idx="7">
                  <c:v>Drought</c:v>
                </c:pt>
                <c:pt idx="8">
                  <c:v>Earthquake</c:v>
                </c:pt>
                <c:pt idx="9">
                  <c:v>Flood</c:v>
                </c:pt>
                <c:pt idx="10">
                  <c:v>HazMat Release</c:v>
                </c:pt>
                <c:pt idx="11">
                  <c:v>Localized ID</c:v>
                </c:pt>
                <c:pt idx="12">
                  <c:v>Nuclear Facility</c:v>
                </c:pt>
                <c:pt idx="13">
                  <c:v>Pandemic</c:v>
                </c:pt>
                <c:pt idx="14">
                  <c:v>RDD</c:v>
                </c:pt>
                <c:pt idx="15">
                  <c:v>Temp Extremes</c:v>
                </c:pt>
                <c:pt idx="16">
                  <c:v>Tornado</c:v>
                </c:pt>
                <c:pt idx="17">
                  <c:v>Utility Interr</c:v>
                </c:pt>
                <c:pt idx="18">
                  <c:v>Wildfire</c:v>
                </c:pt>
                <c:pt idx="19">
                  <c:v>Winter Storm</c:v>
                </c:pt>
              </c:strCache>
            </c:strRef>
          </c:cat>
          <c:val>
            <c:numRef>
              <c:f>'Summary of Scores'!$O$8:$O$37</c:f>
              <c:numCache>
                <c:formatCode>#,##0.00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1-3543-4F81-B140-D734D9CC4244}"/>
            </c:ext>
          </c:extLst>
        </c:ser>
        <c:dLbls>
          <c:showLegendKey val="0"/>
          <c:showVal val="1"/>
          <c:showCatName val="0"/>
          <c:showSerName val="0"/>
          <c:showPercent val="0"/>
          <c:showBubbleSize val="0"/>
        </c:dLbls>
        <c:gapWidth val="150"/>
        <c:axId val="149755776"/>
        <c:axId val="149626880"/>
      </c:barChart>
      <c:catAx>
        <c:axId val="149755776"/>
        <c:scaling>
          <c:orientation val="minMax"/>
        </c:scaling>
        <c:delete val="0"/>
        <c:axPos val="b"/>
        <c:title>
          <c:tx>
            <c:rich>
              <a:bodyPr/>
              <a:lstStyle/>
              <a:p>
                <a:pPr>
                  <a:defRPr b="0">
                    <a:latin typeface="+mj-lt"/>
                  </a:defRPr>
                </a:pPr>
                <a:r>
                  <a:rPr lang="en-US" sz="1600" b="0">
                    <a:latin typeface="+mj-lt"/>
                  </a:rPr>
                  <a:t>Hazard</a:t>
                </a:r>
              </a:p>
            </c:rich>
          </c:tx>
          <c:overlay val="0"/>
        </c:title>
        <c:numFmt formatCode="General" sourceLinked="1"/>
        <c:majorTickMark val="out"/>
        <c:minorTickMark val="none"/>
        <c:tickLblPos val="nextTo"/>
        <c:spPr>
          <a:ln>
            <a:solidFill>
              <a:schemeClr val="tx1"/>
            </a:solidFill>
          </a:ln>
        </c:spPr>
        <c:crossAx val="149626880"/>
        <c:crosses val="autoZero"/>
        <c:auto val="1"/>
        <c:lblAlgn val="ctr"/>
        <c:lblOffset val="100"/>
        <c:noMultiLvlLbl val="0"/>
      </c:catAx>
      <c:valAx>
        <c:axId val="149626880"/>
        <c:scaling>
          <c:orientation val="minMax"/>
        </c:scaling>
        <c:delete val="0"/>
        <c:axPos val="l"/>
        <c:majorGridlines/>
        <c:title>
          <c:tx>
            <c:rich>
              <a:bodyPr rot="-5400000" vert="horz"/>
              <a:lstStyle/>
              <a:p>
                <a:pPr>
                  <a:defRPr sz="1600" b="0">
                    <a:latin typeface="+mj-lt"/>
                  </a:defRPr>
                </a:pPr>
                <a:r>
                  <a:rPr lang="en-US" sz="1600" b="0">
                    <a:latin typeface="+mj-lt"/>
                  </a:rPr>
                  <a:t>Preparedness</a:t>
                </a:r>
              </a:p>
            </c:rich>
          </c:tx>
          <c:layout>
            <c:manualLayout>
              <c:xMode val="edge"/>
              <c:yMode val="edge"/>
              <c:x val="2.329394150521838E-2"/>
              <c:y val="0.3934785747409999"/>
            </c:manualLayout>
          </c:layout>
          <c:overlay val="0"/>
        </c:title>
        <c:numFmt formatCode="#,##0.0" sourceLinked="0"/>
        <c:majorTickMark val="out"/>
        <c:minorTickMark val="none"/>
        <c:tickLblPos val="nextTo"/>
        <c:spPr>
          <a:ln>
            <a:solidFill>
              <a:schemeClr val="tx1"/>
            </a:solidFill>
          </a:ln>
        </c:spPr>
        <c:crossAx val="149755776"/>
        <c:crosses val="autoZero"/>
        <c:crossBetween val="between"/>
      </c:valAx>
      <c:spPr>
        <a:gradFill flip="none" rotWithShape="1">
          <a:gsLst>
            <a:gs pos="0">
              <a:srgbClr val="63BE7B"/>
            </a:gs>
            <a:gs pos="50000">
              <a:srgbClr val="FFEB84"/>
            </a:gs>
            <a:gs pos="100000">
              <a:srgbClr val="F8696B"/>
            </a:gs>
          </a:gsLst>
          <a:lin ang="16200000" scaled="1"/>
          <a:tileRect/>
        </a:gradFill>
        <a:ln>
          <a:solidFill>
            <a:schemeClr val="tx1"/>
          </a:solidFill>
        </a:ln>
      </c:spPr>
    </c:plotArea>
    <c:legend>
      <c:legendPos val="r"/>
      <c:layout>
        <c:manualLayout>
          <c:xMode val="edge"/>
          <c:yMode val="edge"/>
          <c:x val="0.67619744353577405"/>
          <c:y val="6.0238371842863916E-2"/>
          <c:w val="0.27055926159515553"/>
          <c:h val="7.5892507972022627E-2"/>
        </c:manualLayout>
      </c:layout>
      <c:overlay val="1"/>
      <c:spPr>
        <a:solidFill>
          <a:schemeClr val="bg1"/>
        </a:solidFill>
        <a:ln>
          <a:solidFill>
            <a:schemeClr val="tx1"/>
          </a:solidFill>
        </a:ln>
      </c:spPr>
    </c:legend>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b="0" u="sng">
                <a:latin typeface="+mj-lt"/>
              </a:defRPr>
            </a:pPr>
            <a:r>
              <a:rPr lang="en-US" b="0" u="sng">
                <a:latin typeface="+mj-lt"/>
              </a:rPr>
              <a:t>Severity</a:t>
            </a:r>
          </a:p>
        </c:rich>
      </c:tx>
      <c:layout>
        <c:manualLayout>
          <c:xMode val="edge"/>
          <c:yMode val="edge"/>
          <c:x val="0.46889233641333816"/>
          <c:y val="1.3244983721297133E-2"/>
        </c:manualLayout>
      </c:layout>
      <c:overlay val="0"/>
    </c:title>
    <c:autoTitleDeleted val="0"/>
    <c:plotArea>
      <c:layout/>
      <c:barChart>
        <c:barDir val="col"/>
        <c:grouping val="clustered"/>
        <c:varyColors val="0"/>
        <c:ser>
          <c:idx val="0"/>
          <c:order val="0"/>
          <c:tx>
            <c:v>Severity</c:v>
          </c:tx>
          <c:spPr>
            <a:solidFill>
              <a:schemeClr val="accent4">
                <a:lumMod val="60000"/>
                <a:lumOff val="40000"/>
              </a:schemeClr>
            </a:solidFill>
            <a:ln>
              <a:solidFill>
                <a:schemeClr val="accent4"/>
              </a:solidFill>
            </a:ln>
            <a:scene3d>
              <a:camera prst="orthographicFront"/>
              <a:lightRig rig="threePt" dir="t"/>
            </a:scene3d>
            <a:sp3d prstMaterial="matte">
              <a:bevelT w="63500" h="50800"/>
            </a:sp3d>
          </c:spPr>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('Active Shooter'!$G$22,'Active Shooter'!$G$137,'Active Shooter'!$G$265,'Active Shooter'!$G$425,'Active Shooter'!$G$543)</c:f>
              <c:strCache>
                <c:ptCount val="5"/>
                <c:pt idx="0">
                  <c:v>Human Impact</c:v>
                </c:pt>
                <c:pt idx="1">
                  <c:v>Healthcare Service Impact</c:v>
                </c:pt>
                <c:pt idx="2">
                  <c:v>Inpatient Healthcare Facility Infrastructure Impact</c:v>
                </c:pt>
                <c:pt idx="3">
                  <c:v>Community Impact</c:v>
                </c:pt>
                <c:pt idx="4">
                  <c:v>Public Health Service Impact</c:v>
                </c:pt>
              </c:strCache>
            </c:strRef>
          </c:cat>
          <c:val>
            <c:numRef>
              <c:f>('Utility Interruption'!$J$133,'Utility Interruption'!$J$261,'Utility Interruption'!$J$421,'Utility Interruption'!$J$539,'Utility Interruption'!$J$681)</c:f>
              <c:numCache>
                <c:formatCode>0.00</c:formatCode>
                <c:ptCount val="5"/>
                <c:pt idx="0">
                  <c:v>0</c:v>
                </c:pt>
                <c:pt idx="1">
                  <c:v>0</c:v>
                </c:pt>
                <c:pt idx="2">
                  <c:v>2.1875</c:v>
                </c:pt>
                <c:pt idx="3">
                  <c:v>1.9285714285714286</c:v>
                </c:pt>
                <c:pt idx="4">
                  <c:v>0</c:v>
                </c:pt>
              </c:numCache>
            </c:numRef>
          </c:val>
          <c:extLst>
            <c:ext xmlns:c16="http://schemas.microsoft.com/office/drawing/2014/chart" uri="{C3380CC4-5D6E-409C-BE32-E72D297353CC}">
              <c16:uniqueId val="{00000000-EECD-4C98-9B0A-F270C40A00B2}"/>
            </c:ext>
          </c:extLst>
        </c:ser>
        <c:dLbls>
          <c:showLegendKey val="0"/>
          <c:showVal val="1"/>
          <c:showCatName val="0"/>
          <c:showSerName val="0"/>
          <c:showPercent val="0"/>
          <c:showBubbleSize val="0"/>
        </c:dLbls>
        <c:gapWidth val="150"/>
        <c:axId val="201637248"/>
        <c:axId val="201643520"/>
      </c:barChart>
      <c:catAx>
        <c:axId val="201637248"/>
        <c:scaling>
          <c:orientation val="minMax"/>
        </c:scaling>
        <c:delete val="0"/>
        <c:axPos val="b"/>
        <c:title>
          <c:tx>
            <c:rich>
              <a:bodyPr/>
              <a:lstStyle/>
              <a:p>
                <a:pPr>
                  <a:defRPr sz="1600" b="0">
                    <a:latin typeface="+mj-lt"/>
                  </a:defRPr>
                </a:pPr>
                <a:r>
                  <a:rPr lang="en-US" sz="1600" b="0">
                    <a:latin typeface="+mj-lt"/>
                  </a:rPr>
                  <a:t>Domain</a:t>
                </a:r>
              </a:p>
            </c:rich>
          </c:tx>
          <c:overlay val="0"/>
        </c:title>
        <c:numFmt formatCode="General" sourceLinked="1"/>
        <c:majorTickMark val="out"/>
        <c:minorTickMark val="none"/>
        <c:tickLblPos val="nextTo"/>
        <c:crossAx val="201643520"/>
        <c:crosses val="autoZero"/>
        <c:auto val="1"/>
        <c:lblAlgn val="ctr"/>
        <c:lblOffset val="100"/>
        <c:noMultiLvlLbl val="0"/>
      </c:catAx>
      <c:valAx>
        <c:axId val="201643520"/>
        <c:scaling>
          <c:orientation val="minMax"/>
          <c:max val="4"/>
        </c:scaling>
        <c:delete val="0"/>
        <c:axPos val="l"/>
        <c:majorGridlines/>
        <c:title>
          <c:tx>
            <c:rich>
              <a:bodyPr rot="-5400000" vert="horz"/>
              <a:lstStyle/>
              <a:p>
                <a:pPr>
                  <a:defRPr sz="1600" b="0">
                    <a:latin typeface="+mj-lt"/>
                  </a:defRPr>
                </a:pPr>
                <a:r>
                  <a:rPr lang="en-US" sz="1600" b="0">
                    <a:latin typeface="+mj-lt"/>
                  </a:rPr>
                  <a:t>Severity</a:t>
                </a:r>
                <a:r>
                  <a:rPr lang="en-US" sz="1600" b="0" baseline="0">
                    <a:latin typeface="+mj-lt"/>
                  </a:rPr>
                  <a:t> Score</a:t>
                </a:r>
                <a:endParaRPr lang="en-US" sz="1600" b="0">
                  <a:latin typeface="+mj-lt"/>
                </a:endParaRPr>
              </a:p>
            </c:rich>
          </c:tx>
          <c:overlay val="0"/>
        </c:title>
        <c:numFmt formatCode="0.00" sourceLinked="1"/>
        <c:majorTickMark val="out"/>
        <c:minorTickMark val="none"/>
        <c:tickLblPos val="nextTo"/>
        <c:crossAx val="201637248"/>
        <c:crosses val="autoZero"/>
        <c:crossBetween val="between"/>
      </c:valAx>
      <c:spPr>
        <a:gradFill flip="none" rotWithShape="1">
          <a:gsLst>
            <a:gs pos="0">
              <a:srgbClr val="63BE7B"/>
            </a:gs>
            <a:gs pos="50000">
              <a:srgbClr val="FFEB84"/>
            </a:gs>
            <a:gs pos="100000">
              <a:srgbClr val="F8696B"/>
            </a:gs>
          </a:gsLst>
          <a:lin ang="162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b="0" u="sng">
                <a:latin typeface="+mj-lt"/>
              </a:defRPr>
            </a:pPr>
            <a:r>
              <a:rPr lang="en-US" b="0" u="sng">
                <a:latin typeface="+mj-lt"/>
              </a:rPr>
              <a:t>At-Risk Populations</a:t>
            </a:r>
          </a:p>
        </c:rich>
      </c:tx>
      <c:layout>
        <c:manualLayout>
          <c:xMode val="edge"/>
          <c:yMode val="edge"/>
          <c:x val="0.37636858589702443"/>
          <c:y val="1.3244983721297133E-2"/>
        </c:manualLayout>
      </c:layout>
      <c:overlay val="0"/>
    </c:title>
    <c:autoTitleDeleted val="0"/>
    <c:plotArea>
      <c:layout/>
      <c:scatterChart>
        <c:scatterStyle val="lineMarker"/>
        <c:varyColors val="0"/>
        <c:ser>
          <c:idx val="0"/>
          <c:order val="0"/>
          <c:tx>
            <c:strRef>
              <c:f>'Utility Interruption'!$C$793</c:f>
              <c:strCache>
                <c:ptCount val="1"/>
                <c:pt idx="0">
                  <c:v>Poverty</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'Utility Interruption'!$J$795</c:f>
              <c:numCache>
                <c:formatCode>General</c:formatCode>
                <c:ptCount val="1"/>
                <c:pt idx="0">
                  <c:v>2</c:v>
                </c:pt>
              </c:numCache>
            </c:numRef>
          </c:xVal>
          <c:yVal>
            <c:numRef>
              <c:f>'Utility Interruption'!$J$794</c:f>
              <c:numCache>
                <c:formatCode>General</c:formatCode>
                <c:ptCount val="1"/>
                <c:pt idx="0">
                  <c:v>0</c:v>
                </c:pt>
              </c:numCache>
            </c:numRef>
          </c:yVal>
          <c:smooth val="0"/>
          <c:extLst>
            <c:ext xmlns:c16="http://schemas.microsoft.com/office/drawing/2014/chart" uri="{C3380CC4-5D6E-409C-BE32-E72D297353CC}">
              <c16:uniqueId val="{00000000-A076-4ED4-949B-A9F32754C337}"/>
            </c:ext>
          </c:extLst>
        </c:ser>
        <c:ser>
          <c:idx val="1"/>
          <c:order val="1"/>
          <c:tx>
            <c:strRef>
              <c:f>'Utility Interruption'!$C$797</c:f>
              <c:strCache>
                <c:ptCount val="1"/>
                <c:pt idx="0">
                  <c:v>Chronic Diseases (Diabetes)</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'Utility Interruption'!$J$799</c:f>
              <c:numCache>
                <c:formatCode>General</c:formatCode>
                <c:ptCount val="1"/>
                <c:pt idx="0">
                  <c:v>3</c:v>
                </c:pt>
              </c:numCache>
            </c:numRef>
          </c:xVal>
          <c:yVal>
            <c:numRef>
              <c:f>'Utility Interruption'!$J$798</c:f>
              <c:numCache>
                <c:formatCode>General</c:formatCode>
                <c:ptCount val="1"/>
                <c:pt idx="0">
                  <c:v>0</c:v>
                </c:pt>
              </c:numCache>
            </c:numRef>
          </c:yVal>
          <c:smooth val="0"/>
          <c:extLst>
            <c:ext xmlns:c16="http://schemas.microsoft.com/office/drawing/2014/chart" uri="{C3380CC4-5D6E-409C-BE32-E72D297353CC}">
              <c16:uniqueId val="{00000001-A076-4ED4-949B-A9F32754C337}"/>
            </c:ext>
          </c:extLst>
        </c:ser>
        <c:ser>
          <c:idx val="2"/>
          <c:order val="2"/>
          <c:tx>
            <c:strRef>
              <c:f>'Utility Interruption'!$C$801</c:f>
              <c:strCache>
                <c:ptCount val="1"/>
                <c:pt idx="0">
                  <c:v>Children 18 and under</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'Utility Interruption'!$J$803</c:f>
              <c:numCache>
                <c:formatCode>General</c:formatCode>
                <c:ptCount val="1"/>
                <c:pt idx="0">
                  <c:v>2</c:v>
                </c:pt>
              </c:numCache>
            </c:numRef>
          </c:xVal>
          <c:yVal>
            <c:numRef>
              <c:f>'Utility Interruption'!$J$802</c:f>
              <c:numCache>
                <c:formatCode>General</c:formatCode>
                <c:ptCount val="1"/>
                <c:pt idx="0">
                  <c:v>0</c:v>
                </c:pt>
              </c:numCache>
            </c:numRef>
          </c:yVal>
          <c:smooth val="0"/>
          <c:extLst>
            <c:ext xmlns:c16="http://schemas.microsoft.com/office/drawing/2014/chart" uri="{C3380CC4-5D6E-409C-BE32-E72D297353CC}">
              <c16:uniqueId val="{00000002-A076-4ED4-949B-A9F32754C337}"/>
            </c:ext>
          </c:extLst>
        </c:ser>
        <c:ser>
          <c:idx val="3"/>
          <c:order val="3"/>
          <c:tx>
            <c:strRef>
              <c:f>'Utility Interruption'!$C$805</c:f>
              <c:strCache>
                <c:ptCount val="1"/>
                <c:pt idx="0">
                  <c:v>Elderly 65 and older</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'Utility Interruption'!$J$807</c:f>
              <c:numCache>
                <c:formatCode>General</c:formatCode>
                <c:ptCount val="1"/>
                <c:pt idx="0">
                  <c:v>3</c:v>
                </c:pt>
              </c:numCache>
            </c:numRef>
          </c:xVal>
          <c:yVal>
            <c:numRef>
              <c:f>'Utility Interruption'!$J$806</c:f>
              <c:numCache>
                <c:formatCode>General</c:formatCode>
                <c:ptCount val="1"/>
                <c:pt idx="0">
                  <c:v>0</c:v>
                </c:pt>
              </c:numCache>
            </c:numRef>
          </c:yVal>
          <c:smooth val="0"/>
          <c:extLst>
            <c:ext xmlns:c16="http://schemas.microsoft.com/office/drawing/2014/chart" uri="{C3380CC4-5D6E-409C-BE32-E72D297353CC}">
              <c16:uniqueId val="{00000003-A076-4ED4-949B-A9F32754C337}"/>
            </c:ext>
          </c:extLst>
        </c:ser>
        <c:ser>
          <c:idx val="4"/>
          <c:order val="4"/>
          <c:tx>
            <c:strRef>
              <c:f>'Utility Interruption'!$C$773</c:f>
              <c:strCache>
                <c:ptCount val="1"/>
                <c:pt idx="0">
                  <c:v>Hearing Disability</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'Utility Interruption'!$J$775</c:f>
              <c:numCache>
                <c:formatCode>General</c:formatCode>
                <c:ptCount val="1"/>
                <c:pt idx="0">
                  <c:v>2</c:v>
                </c:pt>
              </c:numCache>
            </c:numRef>
          </c:xVal>
          <c:yVal>
            <c:numRef>
              <c:f>'Utility Interruption'!$J$774</c:f>
              <c:numCache>
                <c:formatCode>General</c:formatCode>
                <c:ptCount val="1"/>
                <c:pt idx="0">
                  <c:v>0</c:v>
                </c:pt>
              </c:numCache>
            </c:numRef>
          </c:yVal>
          <c:smooth val="0"/>
          <c:extLst>
            <c:ext xmlns:c16="http://schemas.microsoft.com/office/drawing/2014/chart" uri="{C3380CC4-5D6E-409C-BE32-E72D297353CC}">
              <c16:uniqueId val="{00000004-A076-4ED4-949B-A9F32754C337}"/>
            </c:ext>
          </c:extLst>
        </c:ser>
        <c:ser>
          <c:idx val="5"/>
          <c:order val="5"/>
          <c:tx>
            <c:strRef>
              <c:f>'Utility Interruption'!$C$777</c:f>
              <c:strCache>
                <c:ptCount val="1"/>
                <c:pt idx="0">
                  <c:v>Vision Disability</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'Utility Interruption'!$J$779</c:f>
              <c:numCache>
                <c:formatCode>General</c:formatCode>
                <c:ptCount val="1"/>
                <c:pt idx="0">
                  <c:v>2</c:v>
                </c:pt>
              </c:numCache>
            </c:numRef>
          </c:xVal>
          <c:yVal>
            <c:numRef>
              <c:f>'Utility Interruption'!$J$778</c:f>
              <c:numCache>
                <c:formatCode>General</c:formatCode>
                <c:ptCount val="1"/>
                <c:pt idx="0">
                  <c:v>0</c:v>
                </c:pt>
              </c:numCache>
            </c:numRef>
          </c:yVal>
          <c:smooth val="0"/>
          <c:extLst>
            <c:ext xmlns:c16="http://schemas.microsoft.com/office/drawing/2014/chart" uri="{C3380CC4-5D6E-409C-BE32-E72D297353CC}">
              <c16:uniqueId val="{00000005-A076-4ED4-949B-A9F32754C337}"/>
            </c:ext>
          </c:extLst>
        </c:ser>
        <c:ser>
          <c:idx val="6"/>
          <c:order val="6"/>
          <c:tx>
            <c:strRef>
              <c:f>'Utility Interruption'!$C$781</c:f>
              <c:strCache>
                <c:ptCount val="1"/>
                <c:pt idx="0">
                  <c:v>Ambulatory Disability</c:v>
                </c:pt>
              </c:strCache>
            </c:strRef>
          </c:tx>
          <c:spPr>
            <a:ln w="66675">
              <a:noFill/>
            </a:ln>
          </c:spPr>
          <c:dLbls>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'Utility Interruption'!$J$783</c:f>
              <c:numCache>
                <c:formatCode>General</c:formatCode>
                <c:ptCount val="1"/>
                <c:pt idx="0">
                  <c:v>3</c:v>
                </c:pt>
              </c:numCache>
            </c:numRef>
          </c:xVal>
          <c:yVal>
            <c:numRef>
              <c:f>'Utility Interruption'!$J$782</c:f>
              <c:numCache>
                <c:formatCode>General</c:formatCode>
                <c:ptCount val="1"/>
                <c:pt idx="0">
                  <c:v>0</c:v>
                </c:pt>
              </c:numCache>
            </c:numRef>
          </c:yVal>
          <c:smooth val="0"/>
          <c:extLst>
            <c:ext xmlns:c16="http://schemas.microsoft.com/office/drawing/2014/chart" uri="{C3380CC4-5D6E-409C-BE32-E72D297353CC}">
              <c16:uniqueId val="{00000006-A076-4ED4-949B-A9F32754C337}"/>
            </c:ext>
          </c:extLst>
        </c:ser>
        <c:ser>
          <c:idx val="7"/>
          <c:order val="7"/>
          <c:tx>
            <c:strRef>
              <c:f>'Utility Interruption'!$C$785</c:f>
              <c:strCache>
                <c:ptCount val="1"/>
                <c:pt idx="0">
                  <c:v>Cognitive Disability</c:v>
                </c:pt>
              </c:strCache>
            </c:strRef>
          </c:tx>
          <c:spPr>
            <a:ln w="66675">
              <a:noFill/>
            </a:ln>
          </c:spPr>
          <c:dLbls>
            <c:dLbl>
              <c:idx val="0"/>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A076-4ED4-949B-A9F32754C337}"/>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'Utility Interruption'!$J$787</c:f>
              <c:numCache>
                <c:formatCode>General</c:formatCode>
                <c:ptCount val="1"/>
                <c:pt idx="0">
                  <c:v>3</c:v>
                </c:pt>
              </c:numCache>
            </c:numRef>
          </c:xVal>
          <c:yVal>
            <c:numRef>
              <c:f>'Utility Interruption'!$J$786</c:f>
              <c:numCache>
                <c:formatCode>General</c:formatCode>
                <c:ptCount val="1"/>
                <c:pt idx="0">
                  <c:v>0</c:v>
                </c:pt>
              </c:numCache>
            </c:numRef>
          </c:yVal>
          <c:smooth val="0"/>
          <c:extLst>
            <c:ext xmlns:c16="http://schemas.microsoft.com/office/drawing/2014/chart" uri="{C3380CC4-5D6E-409C-BE32-E72D297353CC}">
              <c16:uniqueId val="{00000008-A076-4ED4-949B-A9F32754C337}"/>
            </c:ext>
          </c:extLst>
        </c:ser>
        <c:ser>
          <c:idx val="8"/>
          <c:order val="8"/>
          <c:tx>
            <c:strRef>
              <c:f>'Utility Interruption'!$C$789</c:f>
              <c:strCache>
                <c:ptCount val="1"/>
                <c:pt idx="0">
                  <c:v>Limited English Proficiency</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'Utility Interruption'!$J$791</c:f>
              <c:numCache>
                <c:formatCode>General</c:formatCode>
                <c:ptCount val="1"/>
                <c:pt idx="0">
                  <c:v>2</c:v>
                </c:pt>
              </c:numCache>
            </c:numRef>
          </c:xVal>
          <c:yVal>
            <c:numRef>
              <c:f>'Utility Interruption'!$J$790</c:f>
              <c:numCache>
                <c:formatCode>General</c:formatCode>
                <c:ptCount val="1"/>
                <c:pt idx="0">
                  <c:v>0</c:v>
                </c:pt>
              </c:numCache>
            </c:numRef>
          </c:yVal>
          <c:smooth val="0"/>
          <c:extLst>
            <c:ext xmlns:c16="http://schemas.microsoft.com/office/drawing/2014/chart" uri="{C3380CC4-5D6E-409C-BE32-E72D297353CC}">
              <c16:uniqueId val="{00000009-A076-4ED4-949B-A9F32754C337}"/>
            </c:ext>
          </c:extLst>
        </c:ser>
        <c:dLbls>
          <c:showLegendKey val="0"/>
          <c:showVal val="1"/>
          <c:showCatName val="0"/>
          <c:showSerName val="0"/>
          <c:showPercent val="0"/>
          <c:showBubbleSize val="0"/>
        </c:dLbls>
        <c:axId val="201804416"/>
        <c:axId val="201827072"/>
      </c:scatterChart>
      <c:valAx>
        <c:axId val="201804416"/>
        <c:scaling>
          <c:orientation val="minMax"/>
          <c:max val="4.5"/>
          <c:min val="0"/>
        </c:scaling>
        <c:delete val="0"/>
        <c:axPos val="b"/>
        <c:majorGridlines/>
        <c:title>
          <c:tx>
            <c:rich>
              <a:bodyPr/>
              <a:lstStyle/>
              <a:p>
                <a:pPr>
                  <a:defRPr b="0">
                    <a:latin typeface="+mj-lt"/>
                  </a:defRPr>
                </a:pPr>
                <a:r>
                  <a:rPr lang="en-US" sz="1600" b="0">
                    <a:latin typeface="+mj-lt"/>
                  </a:rPr>
                  <a:t>Access Planning Score</a:t>
                </a:r>
              </a:p>
            </c:rich>
          </c:tx>
          <c:overlay val="0"/>
        </c:title>
        <c:numFmt formatCode="General" sourceLinked="1"/>
        <c:majorTickMark val="out"/>
        <c:minorTickMark val="none"/>
        <c:tickLblPos val="nextTo"/>
        <c:spPr>
          <a:ln>
            <a:solidFill>
              <a:schemeClr val="tx1"/>
            </a:solidFill>
          </a:ln>
        </c:spPr>
        <c:crossAx val="201827072"/>
        <c:crosses val="autoZero"/>
        <c:crossBetween val="midCat"/>
        <c:majorUnit val="1"/>
        <c:minorUnit val="0.1"/>
      </c:valAx>
      <c:valAx>
        <c:axId val="201827072"/>
        <c:scaling>
          <c:orientation val="minMax"/>
          <c:max val="4.5"/>
          <c:min val="0"/>
        </c:scaling>
        <c:delete val="0"/>
        <c:axPos val="l"/>
        <c:majorGridlines/>
        <c:title>
          <c:tx>
            <c:rich>
              <a:bodyPr rot="-5400000" vert="horz"/>
              <a:lstStyle/>
              <a:p>
                <a:pPr>
                  <a:defRPr sz="1600" b="0">
                    <a:latin typeface="+mj-lt"/>
                  </a:defRPr>
                </a:pPr>
                <a:r>
                  <a:rPr lang="en-US" sz="1600" b="0">
                    <a:latin typeface="+mj-lt"/>
                  </a:rPr>
                  <a:t>Population Size Score</a:t>
                </a:r>
              </a:p>
            </c:rich>
          </c:tx>
          <c:overlay val="0"/>
        </c:title>
        <c:numFmt formatCode="General" sourceLinked="1"/>
        <c:majorTickMark val="out"/>
        <c:minorTickMark val="none"/>
        <c:tickLblPos val="nextTo"/>
        <c:spPr>
          <a:ln>
            <a:solidFill>
              <a:schemeClr val="tx1"/>
            </a:solidFill>
          </a:ln>
        </c:spPr>
        <c:crossAx val="201804416"/>
        <c:crosses val="autoZero"/>
        <c:crossBetween val="midCat"/>
        <c:majorUnit val="1"/>
        <c:minorUnit val="0.1"/>
      </c:valAx>
      <c:spPr>
        <a:gradFill flip="none" rotWithShape="1">
          <a:gsLst>
            <a:gs pos="0">
              <a:srgbClr val="63BE7B"/>
            </a:gs>
            <a:gs pos="50000">
              <a:srgbClr val="FFEB84"/>
            </a:gs>
            <a:gs pos="100000">
              <a:srgbClr val="F8696B"/>
            </a:gs>
          </a:gsLst>
          <a:lin ang="189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defRPr b="0" u="sng">
                <a:latin typeface="+mj-lt"/>
              </a:defRPr>
            </a:pPr>
            <a:r>
              <a:rPr lang="en-US" b="0" u="sng">
                <a:latin typeface="+mj-lt"/>
              </a:rPr>
              <a:t>Public Health Preparedness</a:t>
            </a:r>
          </a:p>
        </c:rich>
      </c:tx>
      <c:layout>
        <c:manualLayout>
          <c:xMode val="edge"/>
          <c:yMode val="edge"/>
          <c:x val="0.30532356317913883"/>
          <c:y val="1.3244983721297133E-2"/>
        </c:manualLayout>
      </c:layout>
      <c:overlay val="0"/>
    </c:title>
    <c:autoTitleDeleted val="0"/>
    <c:plotArea>
      <c:layout/>
      <c:scatterChart>
        <c:scatterStyle val="lineMarker"/>
        <c:varyColors val="0"/>
        <c:ser>
          <c:idx val="0"/>
          <c:order val="0"/>
          <c:tx>
            <c:strRef>
              <c:f>'Utility Interruption'!$C$853</c:f>
              <c:strCache>
                <c:ptCount val="1"/>
                <c:pt idx="0">
                  <c:v>Info Sharing</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'Utility Interruption'!$J$854</c:f>
              <c:numCache>
                <c:formatCode>General</c:formatCode>
                <c:ptCount val="1"/>
                <c:pt idx="0">
                  <c:v>4</c:v>
                </c:pt>
              </c:numCache>
            </c:numRef>
          </c:xVal>
          <c:yVal>
            <c:numRef>
              <c:f>'Utility Interruption'!$J$855</c:f>
              <c:numCache>
                <c:formatCode>General</c:formatCode>
                <c:ptCount val="1"/>
                <c:pt idx="0">
                  <c:v>0</c:v>
                </c:pt>
              </c:numCache>
            </c:numRef>
          </c:yVal>
          <c:smooth val="0"/>
          <c:extLst>
            <c:ext xmlns:c16="http://schemas.microsoft.com/office/drawing/2014/chart" uri="{C3380CC4-5D6E-409C-BE32-E72D297353CC}">
              <c16:uniqueId val="{00000000-5084-43E0-BD17-62F5FA327F26}"/>
            </c:ext>
          </c:extLst>
        </c:ser>
        <c:ser>
          <c:idx val="1"/>
          <c:order val="1"/>
          <c:tx>
            <c:strRef>
              <c:f>'Utility Interruption'!$C$857</c:f>
              <c:strCache>
                <c:ptCount val="1"/>
                <c:pt idx="0">
                  <c:v>Mass Care</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'Utility Interruption'!$J$858</c:f>
              <c:numCache>
                <c:formatCode>General</c:formatCode>
                <c:ptCount val="1"/>
                <c:pt idx="0">
                  <c:v>2</c:v>
                </c:pt>
              </c:numCache>
            </c:numRef>
          </c:xVal>
          <c:yVal>
            <c:numRef>
              <c:f>'Utility Interruption'!$J$859</c:f>
              <c:numCache>
                <c:formatCode>General</c:formatCode>
                <c:ptCount val="1"/>
                <c:pt idx="0">
                  <c:v>0</c:v>
                </c:pt>
              </c:numCache>
            </c:numRef>
          </c:yVal>
          <c:smooth val="0"/>
          <c:extLst>
            <c:ext xmlns:c16="http://schemas.microsoft.com/office/drawing/2014/chart" uri="{C3380CC4-5D6E-409C-BE32-E72D297353CC}">
              <c16:uniqueId val="{00000001-5084-43E0-BD17-62F5FA327F26}"/>
            </c:ext>
          </c:extLst>
        </c:ser>
        <c:ser>
          <c:idx val="2"/>
          <c:order val="2"/>
          <c:tx>
            <c:strRef>
              <c:f>'Utility Interruption'!$C$861</c:f>
              <c:strCache>
                <c:ptCount val="1"/>
                <c:pt idx="0">
                  <c:v>MCM Dispens</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'Utility Interruption'!$J$862</c:f>
              <c:numCache>
                <c:formatCode>General</c:formatCode>
                <c:ptCount val="1"/>
                <c:pt idx="0">
                  <c:v>2</c:v>
                </c:pt>
              </c:numCache>
            </c:numRef>
          </c:xVal>
          <c:yVal>
            <c:numRef>
              <c:f>'Utility Interruption'!$J$863</c:f>
              <c:numCache>
                <c:formatCode>General</c:formatCode>
                <c:ptCount val="1"/>
                <c:pt idx="0">
                  <c:v>0</c:v>
                </c:pt>
              </c:numCache>
            </c:numRef>
          </c:yVal>
          <c:smooth val="0"/>
          <c:extLst>
            <c:ext xmlns:c16="http://schemas.microsoft.com/office/drawing/2014/chart" uri="{C3380CC4-5D6E-409C-BE32-E72D297353CC}">
              <c16:uniqueId val="{00000002-5084-43E0-BD17-62F5FA327F26}"/>
            </c:ext>
          </c:extLst>
        </c:ser>
        <c:ser>
          <c:idx val="3"/>
          <c:order val="3"/>
          <c:tx>
            <c:strRef>
              <c:f>'Utility Interruption'!$C$865</c:f>
              <c:strCache>
                <c:ptCount val="1"/>
                <c:pt idx="0">
                  <c:v>Med Materiel Mgmt</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'Utility Interruption'!$J$866</c:f>
              <c:numCache>
                <c:formatCode>General</c:formatCode>
                <c:ptCount val="1"/>
                <c:pt idx="0">
                  <c:v>2</c:v>
                </c:pt>
              </c:numCache>
            </c:numRef>
          </c:xVal>
          <c:yVal>
            <c:numRef>
              <c:f>'Utility Interruption'!$J$867</c:f>
              <c:numCache>
                <c:formatCode>General</c:formatCode>
                <c:ptCount val="1"/>
                <c:pt idx="0">
                  <c:v>0</c:v>
                </c:pt>
              </c:numCache>
            </c:numRef>
          </c:yVal>
          <c:smooth val="0"/>
          <c:extLst>
            <c:ext xmlns:c16="http://schemas.microsoft.com/office/drawing/2014/chart" uri="{C3380CC4-5D6E-409C-BE32-E72D297353CC}">
              <c16:uniqueId val="{00000003-5084-43E0-BD17-62F5FA327F26}"/>
            </c:ext>
          </c:extLst>
        </c:ser>
        <c:ser>
          <c:idx val="4"/>
          <c:order val="4"/>
          <c:tx>
            <c:strRef>
              <c:f>'Utility Interruption'!$C$869</c:f>
              <c:strCache>
                <c:ptCount val="1"/>
                <c:pt idx="0">
                  <c:v>Medical Surge</c:v>
                </c:pt>
              </c:strCache>
            </c:strRef>
          </c:tx>
          <c:spPr>
            <a:ln w="66675">
              <a:noFill/>
            </a:ln>
          </c:spPr>
          <c:dLbls>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'Utility Interruption'!$J$870</c:f>
              <c:numCache>
                <c:formatCode>General</c:formatCode>
                <c:ptCount val="1"/>
                <c:pt idx="0">
                  <c:v>2</c:v>
                </c:pt>
              </c:numCache>
            </c:numRef>
          </c:xVal>
          <c:yVal>
            <c:numRef>
              <c:f>'Utility Interruption'!$J$871</c:f>
              <c:numCache>
                <c:formatCode>General</c:formatCode>
                <c:ptCount val="1"/>
                <c:pt idx="0">
                  <c:v>0</c:v>
                </c:pt>
              </c:numCache>
            </c:numRef>
          </c:yVal>
          <c:smooth val="0"/>
          <c:extLst>
            <c:ext xmlns:c16="http://schemas.microsoft.com/office/drawing/2014/chart" uri="{C3380CC4-5D6E-409C-BE32-E72D297353CC}">
              <c16:uniqueId val="{00000004-5084-43E0-BD17-62F5FA327F26}"/>
            </c:ext>
          </c:extLst>
        </c:ser>
        <c:ser>
          <c:idx val="5"/>
          <c:order val="5"/>
          <c:tx>
            <c:strRef>
              <c:f>'Utility Interruption'!$C$873</c:f>
              <c:strCache>
                <c:ptCount val="1"/>
                <c:pt idx="0">
                  <c:v>Non-Pharm Interv</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'Utility Interruption'!$J$874</c:f>
              <c:numCache>
                <c:formatCode>General</c:formatCode>
                <c:ptCount val="1"/>
                <c:pt idx="0">
                  <c:v>0</c:v>
                </c:pt>
              </c:numCache>
            </c:numRef>
          </c:xVal>
          <c:yVal>
            <c:numRef>
              <c:f>'Utility Interruption'!$J$875</c:f>
              <c:numCache>
                <c:formatCode>General</c:formatCode>
                <c:ptCount val="1"/>
                <c:pt idx="0">
                  <c:v>0</c:v>
                </c:pt>
              </c:numCache>
            </c:numRef>
          </c:yVal>
          <c:smooth val="0"/>
          <c:extLst>
            <c:ext xmlns:c16="http://schemas.microsoft.com/office/drawing/2014/chart" uri="{C3380CC4-5D6E-409C-BE32-E72D297353CC}">
              <c16:uniqueId val="{00000005-5084-43E0-BD17-62F5FA327F26}"/>
            </c:ext>
          </c:extLst>
        </c:ser>
        <c:ser>
          <c:idx val="6"/>
          <c:order val="6"/>
          <c:tx>
            <c:strRef>
              <c:f>'Utility Interruption'!$C$877</c:f>
              <c:strCache>
                <c:ptCount val="1"/>
                <c:pt idx="0">
                  <c:v>PH Lab Testing</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'Utility Interruption'!$J$878</c:f>
              <c:numCache>
                <c:formatCode>General</c:formatCode>
                <c:ptCount val="1"/>
                <c:pt idx="0">
                  <c:v>1</c:v>
                </c:pt>
              </c:numCache>
            </c:numRef>
          </c:xVal>
          <c:yVal>
            <c:numRef>
              <c:f>'Utility Interruption'!$J$879</c:f>
              <c:numCache>
                <c:formatCode>General</c:formatCode>
                <c:ptCount val="1"/>
                <c:pt idx="0">
                  <c:v>0</c:v>
                </c:pt>
              </c:numCache>
            </c:numRef>
          </c:yVal>
          <c:smooth val="0"/>
          <c:extLst>
            <c:ext xmlns:c16="http://schemas.microsoft.com/office/drawing/2014/chart" uri="{C3380CC4-5D6E-409C-BE32-E72D297353CC}">
              <c16:uniqueId val="{00000006-5084-43E0-BD17-62F5FA327F26}"/>
            </c:ext>
          </c:extLst>
        </c:ser>
        <c:ser>
          <c:idx val="7"/>
          <c:order val="7"/>
          <c:tx>
            <c:strRef>
              <c:f>'Utility Interruption'!$C$881</c:f>
              <c:strCache>
                <c:ptCount val="1"/>
                <c:pt idx="0">
                  <c:v>PH Surv &amp; Epi</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'Utility Interruption'!$J$882</c:f>
              <c:numCache>
                <c:formatCode>General</c:formatCode>
                <c:ptCount val="1"/>
                <c:pt idx="0">
                  <c:v>2</c:v>
                </c:pt>
              </c:numCache>
            </c:numRef>
          </c:xVal>
          <c:yVal>
            <c:numRef>
              <c:f>'Utility Interruption'!$J$883</c:f>
              <c:numCache>
                <c:formatCode>General</c:formatCode>
                <c:ptCount val="1"/>
                <c:pt idx="0">
                  <c:v>0</c:v>
                </c:pt>
              </c:numCache>
            </c:numRef>
          </c:yVal>
          <c:smooth val="0"/>
          <c:extLst>
            <c:ext xmlns:c16="http://schemas.microsoft.com/office/drawing/2014/chart" uri="{C3380CC4-5D6E-409C-BE32-E72D297353CC}">
              <c16:uniqueId val="{00000007-5084-43E0-BD17-62F5FA327F26}"/>
            </c:ext>
          </c:extLst>
        </c:ser>
        <c:ser>
          <c:idx val="8"/>
          <c:order val="8"/>
          <c:tx>
            <c:strRef>
              <c:f>'Utility Interruption'!$C$885</c:f>
              <c:strCache>
                <c:ptCount val="1"/>
                <c:pt idx="0">
                  <c:v>Responder Safety</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'Utility Interruption'!$J$886</c:f>
              <c:numCache>
                <c:formatCode>General</c:formatCode>
                <c:ptCount val="1"/>
                <c:pt idx="0">
                  <c:v>1</c:v>
                </c:pt>
              </c:numCache>
            </c:numRef>
          </c:xVal>
          <c:yVal>
            <c:numRef>
              <c:f>'Utility Interruption'!$J$887</c:f>
              <c:numCache>
                <c:formatCode>General</c:formatCode>
                <c:ptCount val="1"/>
                <c:pt idx="0">
                  <c:v>0</c:v>
                </c:pt>
              </c:numCache>
            </c:numRef>
          </c:yVal>
          <c:smooth val="0"/>
          <c:extLst>
            <c:ext xmlns:c16="http://schemas.microsoft.com/office/drawing/2014/chart" uri="{C3380CC4-5D6E-409C-BE32-E72D297353CC}">
              <c16:uniqueId val="{00000008-5084-43E0-BD17-62F5FA327F26}"/>
            </c:ext>
          </c:extLst>
        </c:ser>
        <c:ser>
          <c:idx val="9"/>
          <c:order val="9"/>
          <c:tx>
            <c:strRef>
              <c:f>'Utility Interruption'!$C$889</c:f>
              <c:strCache>
                <c:ptCount val="1"/>
                <c:pt idx="0">
                  <c:v>Volunteer Mgmt</c:v>
                </c:pt>
              </c:strCache>
            </c:strRef>
          </c:tx>
          <c:spPr>
            <a:ln w="66675">
              <a:noFill/>
            </a:ln>
          </c:spPr>
          <c:dLbls>
            <c:spPr>
              <a:noFill/>
              <a:ln>
                <a:noFill/>
              </a:ln>
              <a:effectLst/>
            </c:sp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'Utility Interruption'!$J$890</c:f>
              <c:numCache>
                <c:formatCode>General</c:formatCode>
                <c:ptCount val="1"/>
                <c:pt idx="0">
                  <c:v>2</c:v>
                </c:pt>
              </c:numCache>
            </c:numRef>
          </c:xVal>
          <c:yVal>
            <c:numRef>
              <c:f>'Utility Interruption'!$J$891</c:f>
              <c:numCache>
                <c:formatCode>General</c:formatCode>
                <c:ptCount val="1"/>
                <c:pt idx="0">
                  <c:v>0</c:v>
                </c:pt>
              </c:numCache>
            </c:numRef>
          </c:yVal>
          <c:smooth val="0"/>
          <c:extLst>
            <c:ext xmlns:c16="http://schemas.microsoft.com/office/drawing/2014/chart" uri="{C3380CC4-5D6E-409C-BE32-E72D297353CC}">
              <c16:uniqueId val="{00000009-5084-43E0-BD17-62F5FA327F26}"/>
            </c:ext>
          </c:extLst>
        </c:ser>
        <c:ser>
          <c:idx val="10"/>
          <c:order val="10"/>
          <c:tx>
            <c:strRef>
              <c:f>'Utility Interruption'!$C$833</c:f>
              <c:strCache>
                <c:ptCount val="1"/>
                <c:pt idx="0">
                  <c:v>Community Prep</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'Utility Interruption'!$J$834</c:f>
              <c:numCache>
                <c:formatCode>General</c:formatCode>
                <c:ptCount val="1"/>
                <c:pt idx="0">
                  <c:v>4</c:v>
                </c:pt>
              </c:numCache>
            </c:numRef>
          </c:xVal>
          <c:yVal>
            <c:numRef>
              <c:f>'Utility Interruption'!$J$835</c:f>
              <c:numCache>
                <c:formatCode>General</c:formatCode>
                <c:ptCount val="1"/>
                <c:pt idx="0">
                  <c:v>0</c:v>
                </c:pt>
              </c:numCache>
            </c:numRef>
          </c:yVal>
          <c:smooth val="0"/>
          <c:extLst>
            <c:ext xmlns:c16="http://schemas.microsoft.com/office/drawing/2014/chart" uri="{C3380CC4-5D6E-409C-BE32-E72D297353CC}">
              <c16:uniqueId val="{0000000A-5084-43E0-BD17-62F5FA327F26}"/>
            </c:ext>
          </c:extLst>
        </c:ser>
        <c:ser>
          <c:idx val="11"/>
          <c:order val="11"/>
          <c:tx>
            <c:strRef>
              <c:f>'Utility Interruption'!$C$837</c:f>
              <c:strCache>
                <c:ptCount val="1"/>
                <c:pt idx="0">
                  <c:v>Community Recov</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'Utility Interruption'!$J$838</c:f>
              <c:numCache>
                <c:formatCode>General</c:formatCode>
                <c:ptCount val="1"/>
                <c:pt idx="0">
                  <c:v>4</c:v>
                </c:pt>
              </c:numCache>
            </c:numRef>
          </c:xVal>
          <c:yVal>
            <c:numRef>
              <c:f>'Utility Interruption'!$J$839</c:f>
              <c:numCache>
                <c:formatCode>General</c:formatCode>
                <c:ptCount val="1"/>
                <c:pt idx="0">
                  <c:v>0</c:v>
                </c:pt>
              </c:numCache>
            </c:numRef>
          </c:yVal>
          <c:smooth val="0"/>
          <c:extLst>
            <c:ext xmlns:c16="http://schemas.microsoft.com/office/drawing/2014/chart" uri="{C3380CC4-5D6E-409C-BE32-E72D297353CC}">
              <c16:uniqueId val="{0000000B-5084-43E0-BD17-62F5FA327F26}"/>
            </c:ext>
          </c:extLst>
        </c:ser>
        <c:ser>
          <c:idx val="12"/>
          <c:order val="12"/>
          <c:tx>
            <c:strRef>
              <c:f>'Utility Interruption'!$C$841</c:f>
              <c:strCache>
                <c:ptCount val="1"/>
                <c:pt idx="0">
                  <c:v>Emerg Ops Coord</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'Utility Interruption'!$J$842</c:f>
              <c:numCache>
                <c:formatCode>General</c:formatCode>
                <c:ptCount val="1"/>
                <c:pt idx="0">
                  <c:v>4</c:v>
                </c:pt>
              </c:numCache>
            </c:numRef>
          </c:xVal>
          <c:yVal>
            <c:numRef>
              <c:f>'Utility Interruption'!$J$843</c:f>
              <c:numCache>
                <c:formatCode>General</c:formatCode>
                <c:ptCount val="1"/>
                <c:pt idx="0">
                  <c:v>0</c:v>
                </c:pt>
              </c:numCache>
            </c:numRef>
          </c:yVal>
          <c:smooth val="0"/>
          <c:extLst>
            <c:ext xmlns:c16="http://schemas.microsoft.com/office/drawing/2014/chart" uri="{C3380CC4-5D6E-409C-BE32-E72D297353CC}">
              <c16:uniqueId val="{0000000C-5084-43E0-BD17-62F5FA327F26}"/>
            </c:ext>
          </c:extLst>
        </c:ser>
        <c:ser>
          <c:idx val="13"/>
          <c:order val="13"/>
          <c:tx>
            <c:strRef>
              <c:f>'Utility Interruption'!$C$845</c:f>
              <c:strCache>
                <c:ptCount val="1"/>
                <c:pt idx="0">
                  <c:v>Emerg Public Info</c:v>
                </c:pt>
              </c:strCache>
            </c:strRef>
          </c:tx>
          <c:spPr>
            <a:ln w="66675">
              <a:noFill/>
            </a:ln>
          </c:spPr>
          <c:dLbls>
            <c:spPr>
              <a:noFill/>
              <a:ln>
                <a:noFill/>
              </a:ln>
              <a:effectLst/>
            </c:sp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'Utility Interruption'!$J$846</c:f>
              <c:numCache>
                <c:formatCode>General</c:formatCode>
                <c:ptCount val="1"/>
                <c:pt idx="0">
                  <c:v>4</c:v>
                </c:pt>
              </c:numCache>
            </c:numRef>
          </c:xVal>
          <c:yVal>
            <c:numRef>
              <c:f>'Utility Interruption'!$J$847</c:f>
              <c:numCache>
                <c:formatCode>General</c:formatCode>
                <c:ptCount val="1"/>
                <c:pt idx="0">
                  <c:v>0</c:v>
                </c:pt>
              </c:numCache>
            </c:numRef>
          </c:yVal>
          <c:smooth val="0"/>
          <c:extLst>
            <c:ext xmlns:c16="http://schemas.microsoft.com/office/drawing/2014/chart" uri="{C3380CC4-5D6E-409C-BE32-E72D297353CC}">
              <c16:uniqueId val="{0000000D-5084-43E0-BD17-62F5FA327F26}"/>
            </c:ext>
          </c:extLst>
        </c:ser>
        <c:ser>
          <c:idx val="14"/>
          <c:order val="14"/>
          <c:tx>
            <c:strRef>
              <c:f>'Utility Interruption'!$C$964</c:f>
              <c:strCache>
                <c:ptCount val="1"/>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'Utility Interruption'!$J$965</c:f>
            </c:numRef>
          </c:xVal>
          <c:yVal>
            <c:numRef>
              <c:f>'Utility Interruption'!$J$966</c:f>
            </c:numRef>
          </c:yVal>
          <c:smooth val="0"/>
          <c:extLst>
            <c:ext xmlns:c16="http://schemas.microsoft.com/office/drawing/2014/chart" uri="{C3380CC4-5D6E-409C-BE32-E72D297353CC}">
              <c16:uniqueId val="{0000000E-5084-43E0-BD17-62F5FA327F26}"/>
            </c:ext>
          </c:extLst>
        </c:ser>
        <c:ser>
          <c:idx val="15"/>
          <c:order val="15"/>
          <c:tx>
            <c:strRef>
              <c:f>'Utility Interruption'!$C$849</c:f>
              <c:strCache>
                <c:ptCount val="1"/>
                <c:pt idx="0">
                  <c:v>Fatality Mgmt</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'Utility Interruption'!$J$850</c:f>
              <c:numCache>
                <c:formatCode>General</c:formatCode>
                <c:ptCount val="1"/>
                <c:pt idx="0">
                  <c:v>2</c:v>
                </c:pt>
              </c:numCache>
            </c:numRef>
          </c:xVal>
          <c:yVal>
            <c:numRef>
              <c:f>'Utility Interruption'!$J$851</c:f>
              <c:numCache>
                <c:formatCode>General</c:formatCode>
                <c:ptCount val="1"/>
                <c:pt idx="0">
                  <c:v>0</c:v>
                </c:pt>
              </c:numCache>
            </c:numRef>
          </c:yVal>
          <c:smooth val="0"/>
          <c:extLst>
            <c:ext xmlns:c16="http://schemas.microsoft.com/office/drawing/2014/chart" uri="{C3380CC4-5D6E-409C-BE32-E72D297353CC}">
              <c16:uniqueId val="{0000000F-5084-43E0-BD17-62F5FA327F26}"/>
            </c:ext>
          </c:extLst>
        </c:ser>
        <c:dLbls>
          <c:showLegendKey val="0"/>
          <c:showVal val="1"/>
          <c:showCatName val="0"/>
          <c:showSerName val="0"/>
          <c:showPercent val="0"/>
          <c:showBubbleSize val="0"/>
        </c:dLbls>
        <c:axId val="201964160"/>
        <c:axId val="201974528"/>
      </c:scatterChart>
      <c:valAx>
        <c:axId val="201964160"/>
        <c:scaling>
          <c:orientation val="minMax"/>
          <c:max val="4.5"/>
          <c:min val="0"/>
        </c:scaling>
        <c:delete val="0"/>
        <c:axPos val="b"/>
        <c:majorGridlines/>
        <c:title>
          <c:tx>
            <c:rich>
              <a:bodyPr/>
              <a:lstStyle/>
              <a:p>
                <a:pPr>
                  <a:defRPr b="0">
                    <a:latin typeface="+mj-lt"/>
                  </a:defRPr>
                </a:pPr>
                <a:r>
                  <a:rPr lang="en-US" sz="1600" b="0">
                    <a:latin typeface="+mj-lt"/>
                  </a:rPr>
                  <a:t>Capability Relevance to Hazard</a:t>
                </a:r>
              </a:p>
            </c:rich>
          </c:tx>
          <c:overlay val="0"/>
        </c:title>
        <c:numFmt formatCode="General" sourceLinked="1"/>
        <c:majorTickMark val="out"/>
        <c:minorTickMark val="none"/>
        <c:tickLblPos val="nextTo"/>
        <c:spPr>
          <a:ln>
            <a:solidFill>
              <a:schemeClr val="tx1"/>
            </a:solidFill>
          </a:ln>
        </c:spPr>
        <c:crossAx val="201974528"/>
        <c:crosses val="autoZero"/>
        <c:crossBetween val="midCat"/>
        <c:majorUnit val="1"/>
        <c:minorUnit val="0.1"/>
      </c:valAx>
      <c:valAx>
        <c:axId val="201974528"/>
        <c:scaling>
          <c:orientation val="minMax"/>
          <c:max val="4.5"/>
          <c:min val="0"/>
        </c:scaling>
        <c:delete val="0"/>
        <c:axPos val="l"/>
        <c:majorGridlines/>
        <c:title>
          <c:tx>
            <c:rich>
              <a:bodyPr rot="-5400000" vert="horz"/>
              <a:lstStyle/>
              <a:p>
                <a:pPr>
                  <a:defRPr sz="1600" b="0">
                    <a:latin typeface="+mj-lt"/>
                  </a:defRPr>
                </a:pPr>
                <a:r>
                  <a:rPr lang="en-US" sz="1600" b="0">
                    <a:latin typeface="+mj-lt"/>
                  </a:rPr>
                  <a:t>Capability Status</a:t>
                </a:r>
              </a:p>
            </c:rich>
          </c:tx>
          <c:overlay val="0"/>
        </c:title>
        <c:numFmt formatCode="General" sourceLinked="1"/>
        <c:majorTickMark val="out"/>
        <c:minorTickMark val="none"/>
        <c:tickLblPos val="nextTo"/>
        <c:spPr>
          <a:ln>
            <a:solidFill>
              <a:schemeClr val="tx1"/>
            </a:solidFill>
          </a:ln>
        </c:spPr>
        <c:crossAx val="201964160"/>
        <c:crosses val="autoZero"/>
        <c:crossBetween val="midCat"/>
        <c:majorUnit val="1"/>
        <c:minorUnit val="0.1"/>
      </c:valAx>
      <c:spPr>
        <a:gradFill flip="none" rotWithShape="1">
          <a:gsLst>
            <a:gs pos="0">
              <a:srgbClr val="63BE7B"/>
            </a:gs>
            <a:gs pos="50000">
              <a:srgbClr val="FFEB84"/>
            </a:gs>
            <a:gs pos="100000">
              <a:srgbClr val="F8696B"/>
            </a:gs>
          </a:gsLst>
          <a:lin ang="27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defRPr b="0" u="sng">
                <a:latin typeface="+mj-lt"/>
              </a:defRPr>
            </a:pPr>
            <a:r>
              <a:rPr lang="en-US" b="0" u="sng">
                <a:latin typeface="+mj-lt"/>
              </a:rPr>
              <a:t>Healthcare</a:t>
            </a:r>
            <a:r>
              <a:rPr lang="en-US" b="0" u="sng" baseline="0">
                <a:latin typeface="+mj-lt"/>
              </a:rPr>
              <a:t> </a:t>
            </a:r>
            <a:r>
              <a:rPr lang="en-US" b="0" u="sng">
                <a:latin typeface="+mj-lt"/>
              </a:rPr>
              <a:t>Preparedness</a:t>
            </a:r>
          </a:p>
        </c:rich>
      </c:tx>
      <c:layout>
        <c:manualLayout>
          <c:xMode val="edge"/>
          <c:yMode val="edge"/>
          <c:x val="0.39849928342971724"/>
          <c:y val="1.3244983721297133E-2"/>
        </c:manualLayout>
      </c:layout>
      <c:overlay val="0"/>
    </c:title>
    <c:autoTitleDeleted val="0"/>
    <c:plotArea>
      <c:layout/>
      <c:scatterChart>
        <c:scatterStyle val="lineMarker"/>
        <c:varyColors val="0"/>
        <c:ser>
          <c:idx val="0"/>
          <c:order val="0"/>
          <c:tx>
            <c:strRef>
              <c:f>'Utility Interruption'!$C$903</c:f>
              <c:strCache>
                <c:ptCount val="1"/>
                <c:pt idx="0">
                  <c:v>HC System Prep</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'Utility Interruption'!$J$904</c:f>
              <c:numCache>
                <c:formatCode>General</c:formatCode>
                <c:ptCount val="1"/>
                <c:pt idx="0">
                  <c:v>4</c:v>
                </c:pt>
              </c:numCache>
            </c:numRef>
          </c:xVal>
          <c:yVal>
            <c:numRef>
              <c:f>'Utility Interruption'!$J$905</c:f>
              <c:numCache>
                <c:formatCode>General</c:formatCode>
                <c:ptCount val="1"/>
                <c:pt idx="0">
                  <c:v>0</c:v>
                </c:pt>
              </c:numCache>
            </c:numRef>
          </c:yVal>
          <c:smooth val="0"/>
          <c:extLst>
            <c:ext xmlns:c16="http://schemas.microsoft.com/office/drawing/2014/chart" uri="{C3380CC4-5D6E-409C-BE32-E72D297353CC}">
              <c16:uniqueId val="{00000000-B1D7-454E-AAD4-8D41A825E85A}"/>
            </c:ext>
          </c:extLst>
        </c:ser>
        <c:ser>
          <c:idx val="1"/>
          <c:order val="1"/>
          <c:tx>
            <c:strRef>
              <c:f>'Utility Interruption'!$C$907</c:f>
              <c:strCache>
                <c:ptCount val="1"/>
                <c:pt idx="0">
                  <c:v>HC System Recov</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'Utility Interruption'!$J$908</c:f>
              <c:numCache>
                <c:formatCode>General</c:formatCode>
                <c:ptCount val="1"/>
                <c:pt idx="0">
                  <c:v>4</c:v>
                </c:pt>
              </c:numCache>
            </c:numRef>
          </c:xVal>
          <c:yVal>
            <c:numRef>
              <c:f>'Utility Interruption'!$J$909</c:f>
              <c:numCache>
                <c:formatCode>General</c:formatCode>
                <c:ptCount val="1"/>
                <c:pt idx="0">
                  <c:v>0</c:v>
                </c:pt>
              </c:numCache>
            </c:numRef>
          </c:yVal>
          <c:smooth val="0"/>
          <c:extLst>
            <c:ext xmlns:c16="http://schemas.microsoft.com/office/drawing/2014/chart" uri="{C3380CC4-5D6E-409C-BE32-E72D297353CC}">
              <c16:uniqueId val="{00000001-B1D7-454E-AAD4-8D41A825E85A}"/>
            </c:ext>
          </c:extLst>
        </c:ser>
        <c:ser>
          <c:idx val="2"/>
          <c:order val="2"/>
          <c:tx>
            <c:strRef>
              <c:f>'Utility Interruption'!$C$911</c:f>
              <c:strCache>
                <c:ptCount val="1"/>
                <c:pt idx="0">
                  <c:v>Emerg Ops Coord</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'Utility Interruption'!$J$912</c:f>
              <c:numCache>
                <c:formatCode>General</c:formatCode>
                <c:ptCount val="1"/>
                <c:pt idx="0">
                  <c:v>4</c:v>
                </c:pt>
              </c:numCache>
            </c:numRef>
          </c:xVal>
          <c:yVal>
            <c:numRef>
              <c:f>'Utility Interruption'!$J$913</c:f>
              <c:numCache>
                <c:formatCode>General</c:formatCode>
                <c:ptCount val="1"/>
                <c:pt idx="0">
                  <c:v>0</c:v>
                </c:pt>
              </c:numCache>
            </c:numRef>
          </c:yVal>
          <c:smooth val="0"/>
          <c:extLst>
            <c:ext xmlns:c16="http://schemas.microsoft.com/office/drawing/2014/chart" uri="{C3380CC4-5D6E-409C-BE32-E72D297353CC}">
              <c16:uniqueId val="{00000002-B1D7-454E-AAD4-8D41A825E85A}"/>
            </c:ext>
          </c:extLst>
        </c:ser>
        <c:ser>
          <c:idx val="3"/>
          <c:order val="3"/>
          <c:tx>
            <c:strRef>
              <c:f>'Utility Interruption'!$C$915</c:f>
              <c:strCache>
                <c:ptCount val="1"/>
                <c:pt idx="0">
                  <c:v>Fatality Mgmt</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'Utility Interruption'!$J$916</c:f>
              <c:numCache>
                <c:formatCode>General</c:formatCode>
                <c:ptCount val="1"/>
                <c:pt idx="0">
                  <c:v>2</c:v>
                </c:pt>
              </c:numCache>
            </c:numRef>
          </c:xVal>
          <c:yVal>
            <c:numRef>
              <c:f>'Utility Interruption'!$J$917</c:f>
              <c:numCache>
                <c:formatCode>General</c:formatCode>
                <c:ptCount val="1"/>
                <c:pt idx="0">
                  <c:v>0</c:v>
                </c:pt>
              </c:numCache>
            </c:numRef>
          </c:yVal>
          <c:smooth val="0"/>
          <c:extLst>
            <c:ext xmlns:c16="http://schemas.microsoft.com/office/drawing/2014/chart" uri="{C3380CC4-5D6E-409C-BE32-E72D297353CC}">
              <c16:uniqueId val="{00000003-B1D7-454E-AAD4-8D41A825E85A}"/>
            </c:ext>
          </c:extLst>
        </c:ser>
        <c:ser>
          <c:idx val="4"/>
          <c:order val="4"/>
          <c:tx>
            <c:strRef>
              <c:f>'Utility Interruption'!$C$919</c:f>
              <c:strCache>
                <c:ptCount val="1"/>
                <c:pt idx="0">
                  <c:v>Info Sharing</c:v>
                </c:pt>
              </c:strCache>
            </c:strRef>
          </c:tx>
          <c:spPr>
            <a:ln w="66675">
              <a:noFill/>
            </a:ln>
          </c:spPr>
          <c:dLbls>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'Utility Interruption'!$J$920</c:f>
              <c:numCache>
                <c:formatCode>General</c:formatCode>
                <c:ptCount val="1"/>
                <c:pt idx="0">
                  <c:v>4</c:v>
                </c:pt>
              </c:numCache>
            </c:numRef>
          </c:xVal>
          <c:yVal>
            <c:numRef>
              <c:f>'Utility Interruption'!$J$921</c:f>
              <c:numCache>
                <c:formatCode>General</c:formatCode>
                <c:ptCount val="1"/>
                <c:pt idx="0">
                  <c:v>0</c:v>
                </c:pt>
              </c:numCache>
            </c:numRef>
          </c:yVal>
          <c:smooth val="0"/>
          <c:extLst>
            <c:ext xmlns:c16="http://schemas.microsoft.com/office/drawing/2014/chart" uri="{C3380CC4-5D6E-409C-BE32-E72D297353CC}">
              <c16:uniqueId val="{00000004-B1D7-454E-AAD4-8D41A825E85A}"/>
            </c:ext>
          </c:extLst>
        </c:ser>
        <c:ser>
          <c:idx val="5"/>
          <c:order val="5"/>
          <c:tx>
            <c:strRef>
              <c:f>'Utility Interruption'!$C$923</c:f>
              <c:strCache>
                <c:ptCount val="1"/>
                <c:pt idx="0">
                  <c:v>Medical Surge</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'Utility Interruption'!$J$924</c:f>
              <c:numCache>
                <c:formatCode>General</c:formatCode>
                <c:ptCount val="1"/>
                <c:pt idx="0">
                  <c:v>2</c:v>
                </c:pt>
              </c:numCache>
            </c:numRef>
          </c:xVal>
          <c:yVal>
            <c:numRef>
              <c:f>'Utility Interruption'!$J$925</c:f>
              <c:numCache>
                <c:formatCode>General</c:formatCode>
                <c:ptCount val="1"/>
                <c:pt idx="0">
                  <c:v>0</c:v>
                </c:pt>
              </c:numCache>
            </c:numRef>
          </c:yVal>
          <c:smooth val="0"/>
          <c:extLst>
            <c:ext xmlns:c16="http://schemas.microsoft.com/office/drawing/2014/chart" uri="{C3380CC4-5D6E-409C-BE32-E72D297353CC}">
              <c16:uniqueId val="{00000005-B1D7-454E-AAD4-8D41A825E85A}"/>
            </c:ext>
          </c:extLst>
        </c:ser>
        <c:ser>
          <c:idx val="6"/>
          <c:order val="6"/>
          <c:tx>
            <c:strRef>
              <c:f>'Utility Interruption'!$C$927</c:f>
              <c:strCache>
                <c:ptCount val="1"/>
                <c:pt idx="0">
                  <c:v>Responder Safety</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'Utility Interruption'!$J$928</c:f>
              <c:numCache>
                <c:formatCode>General</c:formatCode>
                <c:ptCount val="1"/>
                <c:pt idx="0">
                  <c:v>1</c:v>
                </c:pt>
              </c:numCache>
            </c:numRef>
          </c:xVal>
          <c:yVal>
            <c:numRef>
              <c:f>'Utility Interruption'!$J$929</c:f>
              <c:numCache>
                <c:formatCode>General</c:formatCode>
                <c:ptCount val="1"/>
                <c:pt idx="0">
                  <c:v>0</c:v>
                </c:pt>
              </c:numCache>
            </c:numRef>
          </c:yVal>
          <c:smooth val="0"/>
          <c:extLst>
            <c:ext xmlns:c16="http://schemas.microsoft.com/office/drawing/2014/chart" uri="{C3380CC4-5D6E-409C-BE32-E72D297353CC}">
              <c16:uniqueId val="{00000006-B1D7-454E-AAD4-8D41A825E85A}"/>
            </c:ext>
          </c:extLst>
        </c:ser>
        <c:ser>
          <c:idx val="7"/>
          <c:order val="7"/>
          <c:tx>
            <c:strRef>
              <c:f>'Utility Interruption'!$C$931</c:f>
              <c:strCache>
                <c:ptCount val="1"/>
                <c:pt idx="0">
                  <c:v>Volunteer Mgmt</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'Utility Interruption'!$J$932</c:f>
              <c:numCache>
                <c:formatCode>General</c:formatCode>
                <c:ptCount val="1"/>
                <c:pt idx="0">
                  <c:v>2</c:v>
                </c:pt>
              </c:numCache>
            </c:numRef>
          </c:xVal>
          <c:yVal>
            <c:numRef>
              <c:f>'Utility Interruption'!$J$933</c:f>
              <c:numCache>
                <c:formatCode>General</c:formatCode>
                <c:ptCount val="1"/>
                <c:pt idx="0">
                  <c:v>0</c:v>
                </c:pt>
              </c:numCache>
            </c:numRef>
          </c:yVal>
          <c:smooth val="0"/>
          <c:extLst>
            <c:ext xmlns:c16="http://schemas.microsoft.com/office/drawing/2014/chart" uri="{C3380CC4-5D6E-409C-BE32-E72D297353CC}">
              <c16:uniqueId val="{00000007-B1D7-454E-AAD4-8D41A825E85A}"/>
            </c:ext>
          </c:extLst>
        </c:ser>
        <c:ser>
          <c:idx val="14"/>
          <c:order val="8"/>
          <c:tx>
            <c:strRef>
              <c:f>'Utility Interruption'!$C$964</c:f>
              <c:strCache>
                <c:ptCount val="1"/>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'Utility Interruption'!$J$965</c:f>
            </c:numRef>
          </c:xVal>
          <c:yVal>
            <c:numRef>
              <c:f>'Utility Interruption'!$J$966</c:f>
            </c:numRef>
          </c:yVal>
          <c:smooth val="0"/>
          <c:extLst>
            <c:ext xmlns:c16="http://schemas.microsoft.com/office/drawing/2014/chart" uri="{C3380CC4-5D6E-409C-BE32-E72D297353CC}">
              <c16:uniqueId val="{00000008-B1D7-454E-AAD4-8D41A825E85A}"/>
            </c:ext>
          </c:extLst>
        </c:ser>
        <c:dLbls>
          <c:showLegendKey val="0"/>
          <c:showVal val="1"/>
          <c:showCatName val="0"/>
          <c:showSerName val="0"/>
          <c:showPercent val="0"/>
          <c:showBubbleSize val="0"/>
        </c:dLbls>
        <c:axId val="202243456"/>
        <c:axId val="202249728"/>
      </c:scatterChart>
      <c:valAx>
        <c:axId val="202243456"/>
        <c:scaling>
          <c:orientation val="minMax"/>
          <c:max val="4.5"/>
          <c:min val="0"/>
        </c:scaling>
        <c:delete val="0"/>
        <c:axPos val="b"/>
        <c:majorGridlines/>
        <c:title>
          <c:tx>
            <c:rich>
              <a:bodyPr/>
              <a:lstStyle/>
              <a:p>
                <a:pPr>
                  <a:defRPr b="0">
                    <a:latin typeface="+mj-lt"/>
                  </a:defRPr>
                </a:pPr>
                <a:r>
                  <a:rPr lang="en-US" sz="1600" b="0">
                    <a:latin typeface="+mj-lt"/>
                  </a:rPr>
                  <a:t>Capability Relevance to Hazard</a:t>
                </a:r>
              </a:p>
            </c:rich>
          </c:tx>
          <c:overlay val="0"/>
        </c:title>
        <c:numFmt formatCode="General" sourceLinked="1"/>
        <c:majorTickMark val="out"/>
        <c:minorTickMark val="none"/>
        <c:tickLblPos val="nextTo"/>
        <c:spPr>
          <a:ln>
            <a:solidFill>
              <a:schemeClr val="tx1"/>
            </a:solidFill>
          </a:ln>
        </c:spPr>
        <c:crossAx val="202249728"/>
        <c:crosses val="autoZero"/>
        <c:crossBetween val="midCat"/>
        <c:majorUnit val="1"/>
        <c:minorUnit val="0.1"/>
      </c:valAx>
      <c:valAx>
        <c:axId val="202249728"/>
        <c:scaling>
          <c:orientation val="minMax"/>
          <c:max val="4.5"/>
          <c:min val="0"/>
        </c:scaling>
        <c:delete val="0"/>
        <c:axPos val="l"/>
        <c:majorGridlines/>
        <c:title>
          <c:tx>
            <c:rich>
              <a:bodyPr rot="-5400000" vert="horz"/>
              <a:lstStyle/>
              <a:p>
                <a:pPr>
                  <a:defRPr sz="1600" b="0">
                    <a:latin typeface="+mj-lt"/>
                  </a:defRPr>
                </a:pPr>
                <a:r>
                  <a:rPr lang="en-US" sz="1600" b="0">
                    <a:latin typeface="+mj-lt"/>
                  </a:rPr>
                  <a:t>Capability Status</a:t>
                </a:r>
              </a:p>
            </c:rich>
          </c:tx>
          <c:overlay val="0"/>
        </c:title>
        <c:numFmt formatCode="General" sourceLinked="1"/>
        <c:majorTickMark val="out"/>
        <c:minorTickMark val="none"/>
        <c:tickLblPos val="nextTo"/>
        <c:spPr>
          <a:ln>
            <a:solidFill>
              <a:schemeClr val="tx1"/>
            </a:solidFill>
          </a:ln>
        </c:spPr>
        <c:crossAx val="202243456"/>
        <c:crosses val="autoZero"/>
        <c:crossBetween val="midCat"/>
        <c:majorUnit val="1"/>
        <c:minorUnit val="0.1"/>
      </c:valAx>
      <c:spPr>
        <a:gradFill flip="none" rotWithShape="1">
          <a:gsLst>
            <a:gs pos="0">
              <a:srgbClr val="63BE7B"/>
            </a:gs>
            <a:gs pos="50000">
              <a:srgbClr val="FFEB84"/>
            </a:gs>
            <a:gs pos="100000">
              <a:srgbClr val="F8696B"/>
            </a:gs>
          </a:gsLst>
          <a:lin ang="27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b="0" u="sng">
                <a:latin typeface="+mj-lt"/>
              </a:defRPr>
            </a:pPr>
            <a:r>
              <a:rPr lang="en-US" b="0" u="sng">
                <a:latin typeface="+mj-lt"/>
              </a:rPr>
              <a:t>Severity</a:t>
            </a:r>
          </a:p>
        </c:rich>
      </c:tx>
      <c:layout>
        <c:manualLayout>
          <c:xMode val="edge"/>
          <c:yMode val="edge"/>
          <c:x val="0.46889233641333816"/>
          <c:y val="1.3244983721297133E-2"/>
        </c:manualLayout>
      </c:layout>
      <c:overlay val="0"/>
    </c:title>
    <c:autoTitleDeleted val="0"/>
    <c:plotArea>
      <c:layout/>
      <c:barChart>
        <c:barDir val="col"/>
        <c:grouping val="clustered"/>
        <c:varyColors val="0"/>
        <c:ser>
          <c:idx val="0"/>
          <c:order val="0"/>
          <c:tx>
            <c:v>Severity</c:v>
          </c:tx>
          <c:spPr>
            <a:solidFill>
              <a:schemeClr val="accent4">
                <a:lumMod val="60000"/>
                <a:lumOff val="40000"/>
              </a:schemeClr>
            </a:solidFill>
            <a:ln>
              <a:solidFill>
                <a:schemeClr val="accent4"/>
              </a:solidFill>
            </a:ln>
            <a:scene3d>
              <a:camera prst="orthographicFront"/>
              <a:lightRig rig="threePt" dir="t"/>
            </a:scene3d>
            <a:sp3d prstMaterial="matte">
              <a:bevelT w="63500" h="50800"/>
            </a:sp3d>
          </c:spPr>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('Active Shooter'!$G$22,'Active Shooter'!$G$137,'Active Shooter'!$G$265,'Active Shooter'!$G$425,'Active Shooter'!$G$543)</c:f>
              <c:strCache>
                <c:ptCount val="5"/>
                <c:pt idx="0">
                  <c:v>Human Impact</c:v>
                </c:pt>
                <c:pt idx="1">
                  <c:v>Healthcare Service Impact</c:v>
                </c:pt>
                <c:pt idx="2">
                  <c:v>Inpatient Healthcare Facility Infrastructure Impact</c:v>
                </c:pt>
                <c:pt idx="3">
                  <c:v>Community Impact</c:v>
                </c:pt>
                <c:pt idx="4">
                  <c:v>Public Health Service Impact</c:v>
                </c:pt>
              </c:strCache>
            </c:strRef>
          </c:cat>
          <c:val>
            <c:numRef>
              <c:f>('Winter Storm'!$J$133,'Winter Storm'!$J$261,'Winter Storm'!$J$421,'Winter Storm'!$J$539,'Winter Storm'!$J$681)</c:f>
              <c:numCache>
                <c:formatCode>0.00</c:formatCode>
                <c:ptCount val="5"/>
                <c:pt idx="0">
                  <c:v>0</c:v>
                </c:pt>
                <c:pt idx="1">
                  <c:v>0</c:v>
                </c:pt>
                <c:pt idx="2">
                  <c:v>1.5</c:v>
                </c:pt>
                <c:pt idx="3">
                  <c:v>1.2142857142857142</c:v>
                </c:pt>
                <c:pt idx="4">
                  <c:v>0</c:v>
                </c:pt>
              </c:numCache>
            </c:numRef>
          </c:val>
          <c:extLst>
            <c:ext xmlns:c16="http://schemas.microsoft.com/office/drawing/2014/chart" uri="{C3380CC4-5D6E-409C-BE32-E72D297353CC}">
              <c16:uniqueId val="{00000000-1DFB-4160-8BA6-30EA1525804E}"/>
            </c:ext>
          </c:extLst>
        </c:ser>
        <c:dLbls>
          <c:showLegendKey val="0"/>
          <c:showVal val="1"/>
          <c:showCatName val="0"/>
          <c:showSerName val="0"/>
          <c:showPercent val="0"/>
          <c:showBubbleSize val="0"/>
        </c:dLbls>
        <c:gapWidth val="150"/>
        <c:axId val="197214976"/>
        <c:axId val="197216896"/>
      </c:barChart>
      <c:catAx>
        <c:axId val="197214976"/>
        <c:scaling>
          <c:orientation val="minMax"/>
        </c:scaling>
        <c:delete val="0"/>
        <c:axPos val="b"/>
        <c:title>
          <c:tx>
            <c:rich>
              <a:bodyPr/>
              <a:lstStyle/>
              <a:p>
                <a:pPr>
                  <a:defRPr sz="1600" b="0">
                    <a:latin typeface="+mj-lt"/>
                  </a:defRPr>
                </a:pPr>
                <a:r>
                  <a:rPr lang="en-US" sz="1600" b="0">
                    <a:latin typeface="+mj-lt"/>
                  </a:rPr>
                  <a:t>Domain</a:t>
                </a:r>
              </a:p>
            </c:rich>
          </c:tx>
          <c:overlay val="0"/>
        </c:title>
        <c:numFmt formatCode="General" sourceLinked="1"/>
        <c:majorTickMark val="out"/>
        <c:minorTickMark val="none"/>
        <c:tickLblPos val="nextTo"/>
        <c:crossAx val="197216896"/>
        <c:crosses val="autoZero"/>
        <c:auto val="1"/>
        <c:lblAlgn val="ctr"/>
        <c:lblOffset val="100"/>
        <c:noMultiLvlLbl val="0"/>
      </c:catAx>
      <c:valAx>
        <c:axId val="197216896"/>
        <c:scaling>
          <c:orientation val="minMax"/>
          <c:max val="4"/>
        </c:scaling>
        <c:delete val="0"/>
        <c:axPos val="l"/>
        <c:majorGridlines/>
        <c:title>
          <c:tx>
            <c:rich>
              <a:bodyPr rot="-5400000" vert="horz"/>
              <a:lstStyle/>
              <a:p>
                <a:pPr>
                  <a:defRPr sz="1600" b="0">
                    <a:latin typeface="+mj-lt"/>
                  </a:defRPr>
                </a:pPr>
                <a:r>
                  <a:rPr lang="en-US" sz="1600" b="0">
                    <a:latin typeface="+mj-lt"/>
                  </a:rPr>
                  <a:t>Severity</a:t>
                </a:r>
                <a:r>
                  <a:rPr lang="en-US" sz="1600" b="0" baseline="0">
                    <a:latin typeface="+mj-lt"/>
                  </a:rPr>
                  <a:t> Score</a:t>
                </a:r>
                <a:endParaRPr lang="en-US" sz="1600" b="0">
                  <a:latin typeface="+mj-lt"/>
                </a:endParaRPr>
              </a:p>
            </c:rich>
          </c:tx>
          <c:overlay val="0"/>
        </c:title>
        <c:numFmt formatCode="0.00" sourceLinked="1"/>
        <c:majorTickMark val="out"/>
        <c:minorTickMark val="none"/>
        <c:tickLblPos val="nextTo"/>
        <c:crossAx val="197214976"/>
        <c:crosses val="autoZero"/>
        <c:crossBetween val="between"/>
      </c:valAx>
      <c:spPr>
        <a:gradFill flip="none" rotWithShape="1">
          <a:gsLst>
            <a:gs pos="0">
              <a:srgbClr val="63BE7B"/>
            </a:gs>
            <a:gs pos="50000">
              <a:srgbClr val="FFEB84"/>
            </a:gs>
            <a:gs pos="100000">
              <a:srgbClr val="F8696B"/>
            </a:gs>
          </a:gsLst>
          <a:lin ang="162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b="0" u="sng">
                <a:latin typeface="+mj-lt"/>
              </a:defRPr>
            </a:pPr>
            <a:r>
              <a:rPr lang="en-US" b="0" u="sng">
                <a:latin typeface="+mj-lt"/>
              </a:rPr>
              <a:t>At-Risk Populations</a:t>
            </a:r>
          </a:p>
        </c:rich>
      </c:tx>
      <c:layout>
        <c:manualLayout>
          <c:xMode val="edge"/>
          <c:yMode val="edge"/>
          <c:x val="0.37636858589702443"/>
          <c:y val="1.3244983721297133E-2"/>
        </c:manualLayout>
      </c:layout>
      <c:overlay val="0"/>
    </c:title>
    <c:autoTitleDeleted val="0"/>
    <c:plotArea>
      <c:layout>
        <c:manualLayout>
          <c:layoutTarget val="inner"/>
          <c:xMode val="edge"/>
          <c:yMode val="edge"/>
          <c:x val="9.2855623530330264E-2"/>
          <c:y val="0.10007907481510167"/>
          <c:w val="0.87850741705614022"/>
          <c:h val="0.77165947152780956"/>
        </c:manualLayout>
      </c:layout>
      <c:scatterChart>
        <c:scatterStyle val="lineMarker"/>
        <c:varyColors val="0"/>
        <c:ser>
          <c:idx val="0"/>
          <c:order val="0"/>
          <c:tx>
            <c:strRef>
              <c:f>'Winter Storm'!$C$793</c:f>
              <c:strCache>
                <c:ptCount val="1"/>
                <c:pt idx="0">
                  <c:v>Poverty</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'Winter Storm'!$J$795</c:f>
              <c:numCache>
                <c:formatCode>General</c:formatCode>
                <c:ptCount val="1"/>
                <c:pt idx="0">
                  <c:v>2</c:v>
                </c:pt>
              </c:numCache>
            </c:numRef>
          </c:xVal>
          <c:yVal>
            <c:numRef>
              <c:f>'Winter Storm'!$J$794</c:f>
              <c:numCache>
                <c:formatCode>General</c:formatCode>
                <c:ptCount val="1"/>
                <c:pt idx="0">
                  <c:v>0</c:v>
                </c:pt>
              </c:numCache>
            </c:numRef>
          </c:yVal>
          <c:smooth val="0"/>
          <c:extLst>
            <c:ext xmlns:c16="http://schemas.microsoft.com/office/drawing/2014/chart" uri="{C3380CC4-5D6E-409C-BE32-E72D297353CC}">
              <c16:uniqueId val="{00000000-F852-4EEF-B72E-446D0055193E}"/>
            </c:ext>
          </c:extLst>
        </c:ser>
        <c:ser>
          <c:idx val="1"/>
          <c:order val="1"/>
          <c:tx>
            <c:strRef>
              <c:f>'Winter Storm'!$C$797</c:f>
              <c:strCache>
                <c:ptCount val="1"/>
                <c:pt idx="0">
                  <c:v>Chronic Diseases (Diabetes)</c:v>
                </c:pt>
              </c:strCache>
            </c:strRef>
          </c:tx>
          <c:spPr>
            <a:ln w="66675">
              <a:noFill/>
            </a:ln>
          </c:spPr>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F852-4EEF-B72E-446D0055193E}"/>
                </c:ext>
              </c:extLst>
            </c:dLbl>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'Winter Storm'!$J$799</c:f>
              <c:numCache>
                <c:formatCode>General</c:formatCode>
                <c:ptCount val="1"/>
                <c:pt idx="0">
                  <c:v>1</c:v>
                </c:pt>
              </c:numCache>
            </c:numRef>
          </c:xVal>
          <c:yVal>
            <c:numRef>
              <c:f>'Winter Storm'!$J$798</c:f>
              <c:numCache>
                <c:formatCode>General</c:formatCode>
                <c:ptCount val="1"/>
                <c:pt idx="0">
                  <c:v>0</c:v>
                </c:pt>
              </c:numCache>
            </c:numRef>
          </c:yVal>
          <c:smooth val="0"/>
          <c:extLst>
            <c:ext xmlns:c16="http://schemas.microsoft.com/office/drawing/2014/chart" uri="{C3380CC4-5D6E-409C-BE32-E72D297353CC}">
              <c16:uniqueId val="{00000002-F852-4EEF-B72E-446D0055193E}"/>
            </c:ext>
          </c:extLst>
        </c:ser>
        <c:ser>
          <c:idx val="2"/>
          <c:order val="2"/>
          <c:tx>
            <c:strRef>
              <c:f>'Winter Storm'!$C$801</c:f>
              <c:strCache>
                <c:ptCount val="1"/>
                <c:pt idx="0">
                  <c:v>Children 18 and under</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'Winter Storm'!$J$803</c:f>
              <c:numCache>
                <c:formatCode>General</c:formatCode>
                <c:ptCount val="1"/>
                <c:pt idx="0">
                  <c:v>2</c:v>
                </c:pt>
              </c:numCache>
            </c:numRef>
          </c:xVal>
          <c:yVal>
            <c:numRef>
              <c:f>'Winter Storm'!$J$802</c:f>
              <c:numCache>
                <c:formatCode>General</c:formatCode>
                <c:ptCount val="1"/>
                <c:pt idx="0">
                  <c:v>0</c:v>
                </c:pt>
              </c:numCache>
            </c:numRef>
          </c:yVal>
          <c:smooth val="0"/>
          <c:extLst>
            <c:ext xmlns:c16="http://schemas.microsoft.com/office/drawing/2014/chart" uri="{C3380CC4-5D6E-409C-BE32-E72D297353CC}">
              <c16:uniqueId val="{00000003-F852-4EEF-B72E-446D0055193E}"/>
            </c:ext>
          </c:extLst>
        </c:ser>
        <c:ser>
          <c:idx val="3"/>
          <c:order val="3"/>
          <c:tx>
            <c:strRef>
              <c:f>'Winter Storm'!$C$805</c:f>
              <c:strCache>
                <c:ptCount val="1"/>
                <c:pt idx="0">
                  <c:v>Elderly 65 and older</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'Winter Storm'!$J$807</c:f>
              <c:numCache>
                <c:formatCode>General</c:formatCode>
                <c:ptCount val="1"/>
                <c:pt idx="0">
                  <c:v>1</c:v>
                </c:pt>
              </c:numCache>
            </c:numRef>
          </c:xVal>
          <c:yVal>
            <c:numRef>
              <c:f>'Winter Storm'!$J$806</c:f>
              <c:numCache>
                <c:formatCode>General</c:formatCode>
                <c:ptCount val="1"/>
                <c:pt idx="0">
                  <c:v>0</c:v>
                </c:pt>
              </c:numCache>
            </c:numRef>
          </c:yVal>
          <c:smooth val="0"/>
          <c:extLst>
            <c:ext xmlns:c16="http://schemas.microsoft.com/office/drawing/2014/chart" uri="{C3380CC4-5D6E-409C-BE32-E72D297353CC}">
              <c16:uniqueId val="{00000004-F852-4EEF-B72E-446D0055193E}"/>
            </c:ext>
          </c:extLst>
        </c:ser>
        <c:ser>
          <c:idx val="4"/>
          <c:order val="4"/>
          <c:tx>
            <c:strRef>
              <c:f>'Winter Storm'!$C$773</c:f>
              <c:strCache>
                <c:ptCount val="1"/>
                <c:pt idx="0">
                  <c:v>Hearing Disability</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'Winter Storm'!$J$775</c:f>
              <c:numCache>
                <c:formatCode>General</c:formatCode>
                <c:ptCount val="1"/>
                <c:pt idx="0">
                  <c:v>2</c:v>
                </c:pt>
              </c:numCache>
            </c:numRef>
          </c:xVal>
          <c:yVal>
            <c:numRef>
              <c:f>'Winter Storm'!$J$774</c:f>
              <c:numCache>
                <c:formatCode>General</c:formatCode>
                <c:ptCount val="1"/>
                <c:pt idx="0">
                  <c:v>0</c:v>
                </c:pt>
              </c:numCache>
            </c:numRef>
          </c:yVal>
          <c:smooth val="0"/>
          <c:extLst>
            <c:ext xmlns:c16="http://schemas.microsoft.com/office/drawing/2014/chart" uri="{C3380CC4-5D6E-409C-BE32-E72D297353CC}">
              <c16:uniqueId val="{00000005-F852-4EEF-B72E-446D0055193E}"/>
            </c:ext>
          </c:extLst>
        </c:ser>
        <c:ser>
          <c:idx val="5"/>
          <c:order val="5"/>
          <c:tx>
            <c:strRef>
              <c:f>'Winter Storm'!$C$777</c:f>
              <c:strCache>
                <c:ptCount val="1"/>
                <c:pt idx="0">
                  <c:v>Vision Disability</c:v>
                </c:pt>
              </c:strCache>
            </c:strRef>
          </c:tx>
          <c:spPr>
            <a:ln w="66675">
              <a:noFill/>
            </a:ln>
          </c:spPr>
          <c:dLbls>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'Winter Storm'!$J$779</c:f>
              <c:numCache>
                <c:formatCode>General</c:formatCode>
                <c:ptCount val="1"/>
                <c:pt idx="0">
                  <c:v>2</c:v>
                </c:pt>
              </c:numCache>
            </c:numRef>
          </c:xVal>
          <c:yVal>
            <c:numRef>
              <c:f>'Winter Storm'!$J$778</c:f>
              <c:numCache>
                <c:formatCode>General</c:formatCode>
                <c:ptCount val="1"/>
                <c:pt idx="0">
                  <c:v>0</c:v>
                </c:pt>
              </c:numCache>
            </c:numRef>
          </c:yVal>
          <c:smooth val="0"/>
          <c:extLst>
            <c:ext xmlns:c16="http://schemas.microsoft.com/office/drawing/2014/chart" uri="{C3380CC4-5D6E-409C-BE32-E72D297353CC}">
              <c16:uniqueId val="{00000006-F852-4EEF-B72E-446D0055193E}"/>
            </c:ext>
          </c:extLst>
        </c:ser>
        <c:ser>
          <c:idx val="6"/>
          <c:order val="6"/>
          <c:tx>
            <c:strRef>
              <c:f>'Winter Storm'!$C$781</c:f>
              <c:strCache>
                <c:ptCount val="1"/>
                <c:pt idx="0">
                  <c:v>Ambulatory Disability</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'Winter Storm'!$J$783</c:f>
              <c:numCache>
                <c:formatCode>General</c:formatCode>
                <c:ptCount val="1"/>
                <c:pt idx="0">
                  <c:v>1</c:v>
                </c:pt>
              </c:numCache>
            </c:numRef>
          </c:xVal>
          <c:yVal>
            <c:numRef>
              <c:f>'Winter Storm'!$J$782</c:f>
              <c:numCache>
                <c:formatCode>General</c:formatCode>
                <c:ptCount val="1"/>
                <c:pt idx="0">
                  <c:v>0</c:v>
                </c:pt>
              </c:numCache>
            </c:numRef>
          </c:yVal>
          <c:smooth val="0"/>
          <c:extLst>
            <c:ext xmlns:c16="http://schemas.microsoft.com/office/drawing/2014/chart" uri="{C3380CC4-5D6E-409C-BE32-E72D297353CC}">
              <c16:uniqueId val="{00000007-F852-4EEF-B72E-446D0055193E}"/>
            </c:ext>
          </c:extLst>
        </c:ser>
        <c:ser>
          <c:idx val="7"/>
          <c:order val="7"/>
          <c:tx>
            <c:strRef>
              <c:f>'Winter Storm'!$C$785</c:f>
              <c:strCache>
                <c:ptCount val="1"/>
                <c:pt idx="0">
                  <c:v>Cognitive Disability</c:v>
                </c:pt>
              </c:strCache>
            </c:strRef>
          </c:tx>
          <c:spPr>
            <a:ln w="66675">
              <a:noFill/>
            </a:ln>
          </c:spPr>
          <c:dLbls>
            <c:dLbl>
              <c:idx val="0"/>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F852-4EEF-B72E-446D0055193E}"/>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'Winter Storm'!$J$787</c:f>
              <c:numCache>
                <c:formatCode>General</c:formatCode>
                <c:ptCount val="1"/>
                <c:pt idx="0">
                  <c:v>2</c:v>
                </c:pt>
              </c:numCache>
            </c:numRef>
          </c:xVal>
          <c:yVal>
            <c:numRef>
              <c:f>'Winter Storm'!$J$786</c:f>
              <c:numCache>
                <c:formatCode>General</c:formatCode>
                <c:ptCount val="1"/>
                <c:pt idx="0">
                  <c:v>0</c:v>
                </c:pt>
              </c:numCache>
            </c:numRef>
          </c:yVal>
          <c:smooth val="0"/>
          <c:extLst>
            <c:ext xmlns:c16="http://schemas.microsoft.com/office/drawing/2014/chart" uri="{C3380CC4-5D6E-409C-BE32-E72D297353CC}">
              <c16:uniqueId val="{00000009-F852-4EEF-B72E-446D0055193E}"/>
            </c:ext>
          </c:extLst>
        </c:ser>
        <c:ser>
          <c:idx val="8"/>
          <c:order val="8"/>
          <c:tx>
            <c:strRef>
              <c:f>'Winter Storm'!$C$789</c:f>
              <c:strCache>
                <c:ptCount val="1"/>
                <c:pt idx="0">
                  <c:v>Limited English Proficiency</c:v>
                </c:pt>
              </c:strCache>
            </c:strRef>
          </c:tx>
          <c:spPr>
            <a:ln w="66675">
              <a:noFill/>
            </a:ln>
          </c:spPr>
          <c:dLbls>
            <c:spPr>
              <a:noFill/>
              <a:ln>
                <a:noFill/>
              </a:ln>
              <a:effectLst/>
            </c:sp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'Winter Storm'!$J$791</c:f>
              <c:numCache>
                <c:formatCode>General</c:formatCode>
                <c:ptCount val="1"/>
                <c:pt idx="0">
                  <c:v>2</c:v>
                </c:pt>
              </c:numCache>
            </c:numRef>
          </c:xVal>
          <c:yVal>
            <c:numRef>
              <c:f>'Winter Storm'!$J$790</c:f>
              <c:numCache>
                <c:formatCode>General</c:formatCode>
                <c:ptCount val="1"/>
                <c:pt idx="0">
                  <c:v>0</c:v>
                </c:pt>
              </c:numCache>
            </c:numRef>
          </c:yVal>
          <c:smooth val="0"/>
          <c:extLst>
            <c:ext xmlns:c16="http://schemas.microsoft.com/office/drawing/2014/chart" uri="{C3380CC4-5D6E-409C-BE32-E72D297353CC}">
              <c16:uniqueId val="{0000000A-F852-4EEF-B72E-446D0055193E}"/>
            </c:ext>
          </c:extLst>
        </c:ser>
        <c:dLbls>
          <c:showLegendKey val="0"/>
          <c:showVal val="1"/>
          <c:showCatName val="0"/>
          <c:showSerName val="0"/>
          <c:showPercent val="0"/>
          <c:showBubbleSize val="0"/>
        </c:dLbls>
        <c:axId val="202338688"/>
        <c:axId val="202340608"/>
      </c:scatterChart>
      <c:valAx>
        <c:axId val="202338688"/>
        <c:scaling>
          <c:orientation val="minMax"/>
          <c:max val="4.5"/>
          <c:min val="0"/>
        </c:scaling>
        <c:delete val="0"/>
        <c:axPos val="b"/>
        <c:majorGridlines/>
        <c:title>
          <c:tx>
            <c:rich>
              <a:bodyPr/>
              <a:lstStyle/>
              <a:p>
                <a:pPr>
                  <a:defRPr b="0">
                    <a:latin typeface="+mj-lt"/>
                  </a:defRPr>
                </a:pPr>
                <a:r>
                  <a:rPr lang="en-US" sz="1600" b="0">
                    <a:latin typeface="+mj-lt"/>
                  </a:rPr>
                  <a:t>Access Planning Score</a:t>
                </a:r>
              </a:p>
            </c:rich>
          </c:tx>
          <c:overlay val="0"/>
        </c:title>
        <c:numFmt formatCode="General" sourceLinked="1"/>
        <c:majorTickMark val="out"/>
        <c:minorTickMark val="none"/>
        <c:tickLblPos val="nextTo"/>
        <c:spPr>
          <a:ln>
            <a:solidFill>
              <a:schemeClr val="tx1"/>
            </a:solidFill>
          </a:ln>
        </c:spPr>
        <c:crossAx val="202340608"/>
        <c:crosses val="autoZero"/>
        <c:crossBetween val="midCat"/>
        <c:majorUnit val="1"/>
        <c:minorUnit val="0.1"/>
      </c:valAx>
      <c:valAx>
        <c:axId val="202340608"/>
        <c:scaling>
          <c:orientation val="minMax"/>
          <c:max val="4.5"/>
          <c:min val="0"/>
        </c:scaling>
        <c:delete val="0"/>
        <c:axPos val="l"/>
        <c:majorGridlines/>
        <c:title>
          <c:tx>
            <c:rich>
              <a:bodyPr rot="-5400000" vert="horz"/>
              <a:lstStyle/>
              <a:p>
                <a:pPr>
                  <a:defRPr sz="1600" b="0">
                    <a:latin typeface="+mj-lt"/>
                  </a:defRPr>
                </a:pPr>
                <a:r>
                  <a:rPr lang="en-US" sz="1600" b="0">
                    <a:latin typeface="+mj-lt"/>
                  </a:rPr>
                  <a:t>Population Size Score</a:t>
                </a:r>
              </a:p>
            </c:rich>
          </c:tx>
          <c:overlay val="0"/>
        </c:title>
        <c:numFmt formatCode="General" sourceLinked="1"/>
        <c:majorTickMark val="out"/>
        <c:minorTickMark val="none"/>
        <c:tickLblPos val="nextTo"/>
        <c:spPr>
          <a:ln>
            <a:solidFill>
              <a:schemeClr val="tx1"/>
            </a:solidFill>
          </a:ln>
        </c:spPr>
        <c:crossAx val="202338688"/>
        <c:crosses val="autoZero"/>
        <c:crossBetween val="midCat"/>
        <c:majorUnit val="1"/>
        <c:minorUnit val="0.1"/>
      </c:valAx>
      <c:spPr>
        <a:gradFill flip="none" rotWithShape="1">
          <a:gsLst>
            <a:gs pos="0">
              <a:srgbClr val="63BE7B"/>
            </a:gs>
            <a:gs pos="50000">
              <a:srgbClr val="FFEB84"/>
            </a:gs>
            <a:gs pos="100000">
              <a:srgbClr val="F8696B"/>
            </a:gs>
          </a:gsLst>
          <a:lin ang="189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defRPr b="0" u="sng">
                <a:latin typeface="+mj-lt"/>
              </a:defRPr>
            </a:pPr>
            <a:r>
              <a:rPr lang="en-US" b="0" u="sng">
                <a:latin typeface="+mj-lt"/>
              </a:rPr>
              <a:t>Public Health Preparedness</a:t>
            </a:r>
          </a:p>
        </c:rich>
      </c:tx>
      <c:layout>
        <c:manualLayout>
          <c:xMode val="edge"/>
          <c:yMode val="edge"/>
          <c:x val="0.30532356317913883"/>
          <c:y val="1.3244983721297133E-2"/>
        </c:manualLayout>
      </c:layout>
      <c:overlay val="0"/>
    </c:title>
    <c:autoTitleDeleted val="0"/>
    <c:plotArea>
      <c:layout/>
      <c:scatterChart>
        <c:scatterStyle val="lineMarker"/>
        <c:varyColors val="0"/>
        <c:ser>
          <c:idx val="0"/>
          <c:order val="0"/>
          <c:tx>
            <c:strRef>
              <c:f>'Winter Storm'!$C$853</c:f>
              <c:strCache>
                <c:ptCount val="1"/>
                <c:pt idx="0">
                  <c:v>Info Sharing</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'Winter Storm'!$J$854</c:f>
              <c:numCache>
                <c:formatCode>General</c:formatCode>
                <c:ptCount val="1"/>
                <c:pt idx="0">
                  <c:v>4</c:v>
                </c:pt>
              </c:numCache>
            </c:numRef>
          </c:xVal>
          <c:yVal>
            <c:numRef>
              <c:f>'Winter Storm'!$J$855</c:f>
              <c:numCache>
                <c:formatCode>General</c:formatCode>
                <c:ptCount val="1"/>
                <c:pt idx="0">
                  <c:v>0</c:v>
                </c:pt>
              </c:numCache>
            </c:numRef>
          </c:yVal>
          <c:smooth val="0"/>
          <c:extLst>
            <c:ext xmlns:c16="http://schemas.microsoft.com/office/drawing/2014/chart" uri="{C3380CC4-5D6E-409C-BE32-E72D297353CC}">
              <c16:uniqueId val="{00000000-60A4-4ECD-8994-206459535CDF}"/>
            </c:ext>
          </c:extLst>
        </c:ser>
        <c:ser>
          <c:idx val="1"/>
          <c:order val="1"/>
          <c:tx>
            <c:strRef>
              <c:f>'Winter Storm'!$C$857</c:f>
              <c:strCache>
                <c:ptCount val="1"/>
                <c:pt idx="0">
                  <c:v>Mass Care</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'Winter Storm'!$J$858</c:f>
              <c:numCache>
                <c:formatCode>General</c:formatCode>
                <c:ptCount val="1"/>
                <c:pt idx="0">
                  <c:v>1</c:v>
                </c:pt>
              </c:numCache>
            </c:numRef>
          </c:xVal>
          <c:yVal>
            <c:numRef>
              <c:f>'Winter Storm'!$J$859</c:f>
              <c:numCache>
                <c:formatCode>General</c:formatCode>
                <c:ptCount val="1"/>
                <c:pt idx="0">
                  <c:v>0</c:v>
                </c:pt>
              </c:numCache>
            </c:numRef>
          </c:yVal>
          <c:smooth val="0"/>
          <c:extLst>
            <c:ext xmlns:c16="http://schemas.microsoft.com/office/drawing/2014/chart" uri="{C3380CC4-5D6E-409C-BE32-E72D297353CC}">
              <c16:uniqueId val="{00000001-60A4-4ECD-8994-206459535CDF}"/>
            </c:ext>
          </c:extLst>
        </c:ser>
        <c:ser>
          <c:idx val="2"/>
          <c:order val="2"/>
          <c:tx>
            <c:strRef>
              <c:f>'Winter Storm'!$C$861</c:f>
              <c:strCache>
                <c:ptCount val="1"/>
                <c:pt idx="0">
                  <c:v>MCM Dispens</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'Winter Storm'!$J$862</c:f>
              <c:numCache>
                <c:formatCode>General</c:formatCode>
                <c:ptCount val="1"/>
                <c:pt idx="0">
                  <c:v>0</c:v>
                </c:pt>
              </c:numCache>
            </c:numRef>
          </c:xVal>
          <c:yVal>
            <c:numRef>
              <c:f>'Winter Storm'!$J$863</c:f>
              <c:numCache>
                <c:formatCode>General</c:formatCode>
                <c:ptCount val="1"/>
                <c:pt idx="0">
                  <c:v>0</c:v>
                </c:pt>
              </c:numCache>
            </c:numRef>
          </c:yVal>
          <c:smooth val="0"/>
          <c:extLst>
            <c:ext xmlns:c16="http://schemas.microsoft.com/office/drawing/2014/chart" uri="{C3380CC4-5D6E-409C-BE32-E72D297353CC}">
              <c16:uniqueId val="{00000002-60A4-4ECD-8994-206459535CDF}"/>
            </c:ext>
          </c:extLst>
        </c:ser>
        <c:ser>
          <c:idx val="3"/>
          <c:order val="3"/>
          <c:tx>
            <c:strRef>
              <c:f>'Winter Storm'!$C$865</c:f>
              <c:strCache>
                <c:ptCount val="1"/>
                <c:pt idx="0">
                  <c:v>Med Materiel Mgmt</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'Winter Storm'!$J$866</c:f>
              <c:numCache>
                <c:formatCode>General</c:formatCode>
                <c:ptCount val="1"/>
                <c:pt idx="0">
                  <c:v>2</c:v>
                </c:pt>
              </c:numCache>
            </c:numRef>
          </c:xVal>
          <c:yVal>
            <c:numRef>
              <c:f>'Winter Storm'!$J$867</c:f>
              <c:numCache>
                <c:formatCode>General</c:formatCode>
                <c:ptCount val="1"/>
                <c:pt idx="0">
                  <c:v>0</c:v>
                </c:pt>
              </c:numCache>
            </c:numRef>
          </c:yVal>
          <c:smooth val="0"/>
          <c:extLst>
            <c:ext xmlns:c16="http://schemas.microsoft.com/office/drawing/2014/chart" uri="{C3380CC4-5D6E-409C-BE32-E72D297353CC}">
              <c16:uniqueId val="{00000003-60A4-4ECD-8994-206459535CDF}"/>
            </c:ext>
          </c:extLst>
        </c:ser>
        <c:ser>
          <c:idx val="4"/>
          <c:order val="4"/>
          <c:tx>
            <c:strRef>
              <c:f>'Winter Storm'!$C$869</c:f>
              <c:strCache>
                <c:ptCount val="1"/>
                <c:pt idx="0">
                  <c:v>Medical Surge</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'Winter Storm'!$J$870</c:f>
              <c:numCache>
                <c:formatCode>General</c:formatCode>
                <c:ptCount val="1"/>
                <c:pt idx="0">
                  <c:v>1</c:v>
                </c:pt>
              </c:numCache>
            </c:numRef>
          </c:xVal>
          <c:yVal>
            <c:numRef>
              <c:f>'Winter Storm'!$J$871</c:f>
              <c:numCache>
                <c:formatCode>General</c:formatCode>
                <c:ptCount val="1"/>
                <c:pt idx="0">
                  <c:v>0</c:v>
                </c:pt>
              </c:numCache>
            </c:numRef>
          </c:yVal>
          <c:smooth val="0"/>
          <c:extLst>
            <c:ext xmlns:c16="http://schemas.microsoft.com/office/drawing/2014/chart" uri="{C3380CC4-5D6E-409C-BE32-E72D297353CC}">
              <c16:uniqueId val="{00000004-60A4-4ECD-8994-206459535CDF}"/>
            </c:ext>
          </c:extLst>
        </c:ser>
        <c:ser>
          <c:idx val="5"/>
          <c:order val="5"/>
          <c:tx>
            <c:strRef>
              <c:f>'Winter Storm'!$C$873</c:f>
              <c:strCache>
                <c:ptCount val="1"/>
                <c:pt idx="0">
                  <c:v>Non-Pharm Interv</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'Winter Storm'!$J$874</c:f>
              <c:numCache>
                <c:formatCode>General</c:formatCode>
                <c:ptCount val="1"/>
                <c:pt idx="0">
                  <c:v>0</c:v>
                </c:pt>
              </c:numCache>
            </c:numRef>
          </c:xVal>
          <c:yVal>
            <c:numRef>
              <c:f>'Winter Storm'!$J$875</c:f>
              <c:numCache>
                <c:formatCode>General</c:formatCode>
                <c:ptCount val="1"/>
                <c:pt idx="0">
                  <c:v>0</c:v>
                </c:pt>
              </c:numCache>
            </c:numRef>
          </c:yVal>
          <c:smooth val="0"/>
          <c:extLst>
            <c:ext xmlns:c16="http://schemas.microsoft.com/office/drawing/2014/chart" uri="{C3380CC4-5D6E-409C-BE32-E72D297353CC}">
              <c16:uniqueId val="{00000005-60A4-4ECD-8994-206459535CDF}"/>
            </c:ext>
          </c:extLst>
        </c:ser>
        <c:ser>
          <c:idx val="6"/>
          <c:order val="6"/>
          <c:tx>
            <c:strRef>
              <c:f>'Winter Storm'!$C$877</c:f>
              <c:strCache>
                <c:ptCount val="1"/>
                <c:pt idx="0">
                  <c:v>PH Lab Testing</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'Winter Storm'!$J$878</c:f>
              <c:numCache>
                <c:formatCode>General</c:formatCode>
                <c:ptCount val="1"/>
                <c:pt idx="0">
                  <c:v>0</c:v>
                </c:pt>
              </c:numCache>
            </c:numRef>
          </c:xVal>
          <c:yVal>
            <c:numRef>
              <c:f>'Winter Storm'!$J$879</c:f>
              <c:numCache>
                <c:formatCode>General</c:formatCode>
                <c:ptCount val="1"/>
                <c:pt idx="0">
                  <c:v>0</c:v>
                </c:pt>
              </c:numCache>
            </c:numRef>
          </c:yVal>
          <c:smooth val="0"/>
          <c:extLst>
            <c:ext xmlns:c16="http://schemas.microsoft.com/office/drawing/2014/chart" uri="{C3380CC4-5D6E-409C-BE32-E72D297353CC}">
              <c16:uniqueId val="{00000006-60A4-4ECD-8994-206459535CDF}"/>
            </c:ext>
          </c:extLst>
        </c:ser>
        <c:ser>
          <c:idx val="7"/>
          <c:order val="7"/>
          <c:tx>
            <c:strRef>
              <c:f>'Winter Storm'!$C$881</c:f>
              <c:strCache>
                <c:ptCount val="1"/>
                <c:pt idx="0">
                  <c:v>PH Surv &amp; Epi</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'Winter Storm'!$J$882</c:f>
              <c:numCache>
                <c:formatCode>General</c:formatCode>
                <c:ptCount val="1"/>
                <c:pt idx="0">
                  <c:v>1</c:v>
                </c:pt>
              </c:numCache>
            </c:numRef>
          </c:xVal>
          <c:yVal>
            <c:numRef>
              <c:f>'Winter Storm'!$J$883</c:f>
              <c:numCache>
                <c:formatCode>General</c:formatCode>
                <c:ptCount val="1"/>
                <c:pt idx="0">
                  <c:v>0</c:v>
                </c:pt>
              </c:numCache>
            </c:numRef>
          </c:yVal>
          <c:smooth val="0"/>
          <c:extLst>
            <c:ext xmlns:c16="http://schemas.microsoft.com/office/drawing/2014/chart" uri="{C3380CC4-5D6E-409C-BE32-E72D297353CC}">
              <c16:uniqueId val="{00000007-60A4-4ECD-8994-206459535CDF}"/>
            </c:ext>
          </c:extLst>
        </c:ser>
        <c:ser>
          <c:idx val="8"/>
          <c:order val="8"/>
          <c:tx>
            <c:strRef>
              <c:f>'Winter Storm'!$C$885</c:f>
              <c:strCache>
                <c:ptCount val="1"/>
                <c:pt idx="0">
                  <c:v>Responder Safety</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'Winter Storm'!$J$886</c:f>
              <c:numCache>
                <c:formatCode>General</c:formatCode>
                <c:ptCount val="1"/>
                <c:pt idx="0">
                  <c:v>1</c:v>
                </c:pt>
              </c:numCache>
            </c:numRef>
          </c:xVal>
          <c:yVal>
            <c:numRef>
              <c:f>'Winter Storm'!$J$887</c:f>
              <c:numCache>
                <c:formatCode>General</c:formatCode>
                <c:ptCount val="1"/>
                <c:pt idx="0">
                  <c:v>0</c:v>
                </c:pt>
              </c:numCache>
            </c:numRef>
          </c:yVal>
          <c:smooth val="0"/>
          <c:extLst>
            <c:ext xmlns:c16="http://schemas.microsoft.com/office/drawing/2014/chart" uri="{C3380CC4-5D6E-409C-BE32-E72D297353CC}">
              <c16:uniqueId val="{00000008-60A4-4ECD-8994-206459535CDF}"/>
            </c:ext>
          </c:extLst>
        </c:ser>
        <c:ser>
          <c:idx val="9"/>
          <c:order val="9"/>
          <c:tx>
            <c:strRef>
              <c:f>'Winter Storm'!$C$889</c:f>
              <c:strCache>
                <c:ptCount val="1"/>
                <c:pt idx="0">
                  <c:v>Volunteer Mgmt</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'Winter Storm'!$J$890</c:f>
              <c:numCache>
                <c:formatCode>General</c:formatCode>
                <c:ptCount val="1"/>
                <c:pt idx="0">
                  <c:v>1</c:v>
                </c:pt>
              </c:numCache>
            </c:numRef>
          </c:xVal>
          <c:yVal>
            <c:numRef>
              <c:f>'Winter Storm'!$J$891</c:f>
              <c:numCache>
                <c:formatCode>General</c:formatCode>
                <c:ptCount val="1"/>
                <c:pt idx="0">
                  <c:v>0</c:v>
                </c:pt>
              </c:numCache>
            </c:numRef>
          </c:yVal>
          <c:smooth val="0"/>
          <c:extLst>
            <c:ext xmlns:c16="http://schemas.microsoft.com/office/drawing/2014/chart" uri="{C3380CC4-5D6E-409C-BE32-E72D297353CC}">
              <c16:uniqueId val="{00000009-60A4-4ECD-8994-206459535CDF}"/>
            </c:ext>
          </c:extLst>
        </c:ser>
        <c:ser>
          <c:idx val="10"/>
          <c:order val="10"/>
          <c:tx>
            <c:strRef>
              <c:f>'Winter Storm'!$C$833</c:f>
              <c:strCache>
                <c:ptCount val="1"/>
                <c:pt idx="0">
                  <c:v>Community Prep</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'Winter Storm'!$J$834</c:f>
              <c:numCache>
                <c:formatCode>General</c:formatCode>
                <c:ptCount val="1"/>
                <c:pt idx="0">
                  <c:v>4</c:v>
                </c:pt>
              </c:numCache>
            </c:numRef>
          </c:xVal>
          <c:yVal>
            <c:numRef>
              <c:f>'Winter Storm'!$J$835</c:f>
              <c:numCache>
                <c:formatCode>General</c:formatCode>
                <c:ptCount val="1"/>
                <c:pt idx="0">
                  <c:v>0</c:v>
                </c:pt>
              </c:numCache>
            </c:numRef>
          </c:yVal>
          <c:smooth val="0"/>
          <c:extLst>
            <c:ext xmlns:c16="http://schemas.microsoft.com/office/drawing/2014/chart" uri="{C3380CC4-5D6E-409C-BE32-E72D297353CC}">
              <c16:uniqueId val="{0000000A-60A4-4ECD-8994-206459535CDF}"/>
            </c:ext>
          </c:extLst>
        </c:ser>
        <c:ser>
          <c:idx val="11"/>
          <c:order val="11"/>
          <c:tx>
            <c:strRef>
              <c:f>'Winter Storm'!$C$837</c:f>
              <c:strCache>
                <c:ptCount val="1"/>
                <c:pt idx="0">
                  <c:v>Community Recov</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'Winter Storm'!$J$838</c:f>
              <c:numCache>
                <c:formatCode>General</c:formatCode>
                <c:ptCount val="1"/>
                <c:pt idx="0">
                  <c:v>3</c:v>
                </c:pt>
              </c:numCache>
            </c:numRef>
          </c:xVal>
          <c:yVal>
            <c:numRef>
              <c:f>'Winter Storm'!$J$839</c:f>
              <c:numCache>
                <c:formatCode>General</c:formatCode>
                <c:ptCount val="1"/>
                <c:pt idx="0">
                  <c:v>0</c:v>
                </c:pt>
              </c:numCache>
            </c:numRef>
          </c:yVal>
          <c:smooth val="0"/>
          <c:extLst>
            <c:ext xmlns:c16="http://schemas.microsoft.com/office/drawing/2014/chart" uri="{C3380CC4-5D6E-409C-BE32-E72D297353CC}">
              <c16:uniqueId val="{0000000B-60A4-4ECD-8994-206459535CDF}"/>
            </c:ext>
          </c:extLst>
        </c:ser>
        <c:ser>
          <c:idx val="12"/>
          <c:order val="12"/>
          <c:tx>
            <c:strRef>
              <c:f>'Winter Storm'!$C$841</c:f>
              <c:strCache>
                <c:ptCount val="1"/>
                <c:pt idx="0">
                  <c:v>Emerg Ops Coord</c:v>
                </c:pt>
              </c:strCache>
            </c:strRef>
          </c:tx>
          <c:spPr>
            <a:ln w="66675">
              <a:noFill/>
            </a:ln>
          </c:spPr>
          <c:dLbls>
            <c:spPr>
              <a:noFill/>
              <a:ln>
                <a:noFill/>
              </a:ln>
              <a:effectLst/>
            </c:sp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'Winter Storm'!$J$842</c:f>
              <c:numCache>
                <c:formatCode>General</c:formatCode>
                <c:ptCount val="1"/>
                <c:pt idx="0">
                  <c:v>4</c:v>
                </c:pt>
              </c:numCache>
            </c:numRef>
          </c:xVal>
          <c:yVal>
            <c:numRef>
              <c:f>'Winter Storm'!$J$843</c:f>
              <c:numCache>
                <c:formatCode>General</c:formatCode>
                <c:ptCount val="1"/>
                <c:pt idx="0">
                  <c:v>0</c:v>
                </c:pt>
              </c:numCache>
            </c:numRef>
          </c:yVal>
          <c:smooth val="0"/>
          <c:extLst>
            <c:ext xmlns:c16="http://schemas.microsoft.com/office/drawing/2014/chart" uri="{C3380CC4-5D6E-409C-BE32-E72D297353CC}">
              <c16:uniqueId val="{0000000C-60A4-4ECD-8994-206459535CDF}"/>
            </c:ext>
          </c:extLst>
        </c:ser>
        <c:ser>
          <c:idx val="13"/>
          <c:order val="13"/>
          <c:tx>
            <c:strRef>
              <c:f>'Winter Storm'!$C$845</c:f>
              <c:strCache>
                <c:ptCount val="1"/>
                <c:pt idx="0">
                  <c:v>Emerg Public Info</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'Winter Storm'!$J$846</c:f>
              <c:numCache>
                <c:formatCode>General</c:formatCode>
                <c:ptCount val="1"/>
                <c:pt idx="0">
                  <c:v>4</c:v>
                </c:pt>
              </c:numCache>
            </c:numRef>
          </c:xVal>
          <c:yVal>
            <c:numRef>
              <c:f>'Winter Storm'!$J$847</c:f>
              <c:numCache>
                <c:formatCode>General</c:formatCode>
                <c:ptCount val="1"/>
                <c:pt idx="0">
                  <c:v>0</c:v>
                </c:pt>
              </c:numCache>
            </c:numRef>
          </c:yVal>
          <c:smooth val="0"/>
          <c:extLst>
            <c:ext xmlns:c16="http://schemas.microsoft.com/office/drawing/2014/chart" uri="{C3380CC4-5D6E-409C-BE32-E72D297353CC}">
              <c16:uniqueId val="{0000000D-60A4-4ECD-8994-206459535CDF}"/>
            </c:ext>
          </c:extLst>
        </c:ser>
        <c:ser>
          <c:idx val="14"/>
          <c:order val="14"/>
          <c:tx>
            <c:strRef>
              <c:f>Drought!$C$964</c:f>
              <c:strCache>
                <c:ptCount val="1"/>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Drought!$J$965</c:f>
            </c:numRef>
          </c:xVal>
          <c:yVal>
            <c:numRef>
              <c:f>Drought!$J$966</c:f>
            </c:numRef>
          </c:yVal>
          <c:smooth val="0"/>
          <c:extLst>
            <c:ext xmlns:c16="http://schemas.microsoft.com/office/drawing/2014/chart" uri="{C3380CC4-5D6E-409C-BE32-E72D297353CC}">
              <c16:uniqueId val="{0000000E-60A4-4ECD-8994-206459535CDF}"/>
            </c:ext>
          </c:extLst>
        </c:ser>
        <c:ser>
          <c:idx val="15"/>
          <c:order val="15"/>
          <c:tx>
            <c:strRef>
              <c:f>'Winter Storm'!$C$849</c:f>
              <c:strCache>
                <c:ptCount val="1"/>
                <c:pt idx="0">
                  <c:v>Fatality Mgmt</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'Winter Storm'!$J$850</c:f>
              <c:numCache>
                <c:formatCode>General</c:formatCode>
                <c:ptCount val="1"/>
                <c:pt idx="0">
                  <c:v>2</c:v>
                </c:pt>
              </c:numCache>
            </c:numRef>
          </c:xVal>
          <c:yVal>
            <c:numRef>
              <c:f>'Winter Storm'!$J$851</c:f>
              <c:numCache>
                <c:formatCode>General</c:formatCode>
                <c:ptCount val="1"/>
                <c:pt idx="0">
                  <c:v>0</c:v>
                </c:pt>
              </c:numCache>
            </c:numRef>
          </c:yVal>
          <c:smooth val="0"/>
          <c:extLst>
            <c:ext xmlns:c16="http://schemas.microsoft.com/office/drawing/2014/chart" uri="{C3380CC4-5D6E-409C-BE32-E72D297353CC}">
              <c16:uniqueId val="{0000000F-60A4-4ECD-8994-206459535CDF}"/>
            </c:ext>
          </c:extLst>
        </c:ser>
        <c:dLbls>
          <c:showLegendKey val="0"/>
          <c:showVal val="1"/>
          <c:showCatName val="0"/>
          <c:showSerName val="0"/>
          <c:showPercent val="0"/>
          <c:showBubbleSize val="0"/>
        </c:dLbls>
        <c:axId val="199946624"/>
        <c:axId val="199948544"/>
      </c:scatterChart>
      <c:valAx>
        <c:axId val="199946624"/>
        <c:scaling>
          <c:orientation val="minMax"/>
          <c:max val="4.5"/>
          <c:min val="0"/>
        </c:scaling>
        <c:delete val="0"/>
        <c:axPos val="b"/>
        <c:majorGridlines/>
        <c:title>
          <c:tx>
            <c:rich>
              <a:bodyPr/>
              <a:lstStyle/>
              <a:p>
                <a:pPr>
                  <a:defRPr b="0">
                    <a:latin typeface="+mj-lt"/>
                  </a:defRPr>
                </a:pPr>
                <a:r>
                  <a:rPr lang="en-US" sz="1600" b="0">
                    <a:latin typeface="+mj-lt"/>
                  </a:rPr>
                  <a:t>Capability Relevance to Hazard</a:t>
                </a:r>
              </a:p>
            </c:rich>
          </c:tx>
          <c:overlay val="0"/>
        </c:title>
        <c:numFmt formatCode="General" sourceLinked="1"/>
        <c:majorTickMark val="out"/>
        <c:minorTickMark val="none"/>
        <c:tickLblPos val="nextTo"/>
        <c:spPr>
          <a:ln>
            <a:solidFill>
              <a:schemeClr val="tx1"/>
            </a:solidFill>
          </a:ln>
        </c:spPr>
        <c:crossAx val="199948544"/>
        <c:crosses val="autoZero"/>
        <c:crossBetween val="midCat"/>
        <c:majorUnit val="1"/>
        <c:minorUnit val="0.1"/>
      </c:valAx>
      <c:valAx>
        <c:axId val="199948544"/>
        <c:scaling>
          <c:orientation val="minMax"/>
          <c:max val="4.5"/>
          <c:min val="0"/>
        </c:scaling>
        <c:delete val="0"/>
        <c:axPos val="l"/>
        <c:majorGridlines/>
        <c:title>
          <c:tx>
            <c:rich>
              <a:bodyPr rot="-5400000" vert="horz"/>
              <a:lstStyle/>
              <a:p>
                <a:pPr>
                  <a:defRPr sz="1600" b="0">
                    <a:latin typeface="+mj-lt"/>
                  </a:defRPr>
                </a:pPr>
                <a:r>
                  <a:rPr lang="en-US" sz="1600" b="0">
                    <a:latin typeface="+mj-lt"/>
                  </a:rPr>
                  <a:t>Capability Status</a:t>
                </a:r>
              </a:p>
            </c:rich>
          </c:tx>
          <c:overlay val="0"/>
        </c:title>
        <c:numFmt formatCode="General" sourceLinked="1"/>
        <c:majorTickMark val="out"/>
        <c:minorTickMark val="none"/>
        <c:tickLblPos val="nextTo"/>
        <c:spPr>
          <a:ln>
            <a:solidFill>
              <a:schemeClr val="tx1"/>
            </a:solidFill>
          </a:ln>
        </c:spPr>
        <c:crossAx val="199946624"/>
        <c:crosses val="autoZero"/>
        <c:crossBetween val="midCat"/>
        <c:majorUnit val="1"/>
        <c:minorUnit val="0.1"/>
      </c:valAx>
      <c:spPr>
        <a:gradFill flip="none" rotWithShape="1">
          <a:gsLst>
            <a:gs pos="0">
              <a:srgbClr val="63BE7B"/>
            </a:gs>
            <a:gs pos="50000">
              <a:srgbClr val="FFEB84"/>
            </a:gs>
            <a:gs pos="100000">
              <a:srgbClr val="F8696B"/>
            </a:gs>
          </a:gsLst>
          <a:lin ang="27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defRPr b="0" u="sng">
                <a:latin typeface="+mj-lt"/>
              </a:defRPr>
            </a:pPr>
            <a:r>
              <a:rPr lang="en-US" b="0" u="sng">
                <a:latin typeface="+mj-lt"/>
              </a:rPr>
              <a:t>Healthcare Preparedness</a:t>
            </a:r>
          </a:p>
        </c:rich>
      </c:tx>
      <c:layout>
        <c:manualLayout>
          <c:xMode val="edge"/>
          <c:yMode val="edge"/>
          <c:x val="0.38019690321630645"/>
          <c:y val="1.3244983721297133E-2"/>
        </c:manualLayout>
      </c:layout>
      <c:overlay val="0"/>
    </c:title>
    <c:autoTitleDeleted val="0"/>
    <c:plotArea>
      <c:layout/>
      <c:scatterChart>
        <c:scatterStyle val="lineMarker"/>
        <c:varyColors val="0"/>
        <c:ser>
          <c:idx val="0"/>
          <c:order val="0"/>
          <c:tx>
            <c:strRef>
              <c:f>'Winter Storm'!$C$903</c:f>
              <c:strCache>
                <c:ptCount val="1"/>
                <c:pt idx="0">
                  <c:v>HC System Prep</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'Winter Storm'!$J$904</c:f>
              <c:numCache>
                <c:formatCode>General</c:formatCode>
                <c:ptCount val="1"/>
                <c:pt idx="0">
                  <c:v>4</c:v>
                </c:pt>
              </c:numCache>
            </c:numRef>
          </c:xVal>
          <c:yVal>
            <c:numRef>
              <c:f>'Winter Storm'!$J$905</c:f>
              <c:numCache>
                <c:formatCode>General</c:formatCode>
                <c:ptCount val="1"/>
                <c:pt idx="0">
                  <c:v>0</c:v>
                </c:pt>
              </c:numCache>
            </c:numRef>
          </c:yVal>
          <c:smooth val="0"/>
          <c:extLst>
            <c:ext xmlns:c16="http://schemas.microsoft.com/office/drawing/2014/chart" uri="{C3380CC4-5D6E-409C-BE32-E72D297353CC}">
              <c16:uniqueId val="{00000000-3892-4CE1-890A-A0F4EED04734}"/>
            </c:ext>
          </c:extLst>
        </c:ser>
        <c:ser>
          <c:idx val="1"/>
          <c:order val="1"/>
          <c:tx>
            <c:strRef>
              <c:f>'Winter Storm'!$C$907</c:f>
              <c:strCache>
                <c:ptCount val="1"/>
                <c:pt idx="0">
                  <c:v>HC System Recov</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'Winter Storm'!$J$908</c:f>
              <c:numCache>
                <c:formatCode>General</c:formatCode>
                <c:ptCount val="1"/>
                <c:pt idx="0">
                  <c:v>3</c:v>
                </c:pt>
              </c:numCache>
            </c:numRef>
          </c:xVal>
          <c:yVal>
            <c:numRef>
              <c:f>'Winter Storm'!$J$909</c:f>
              <c:numCache>
                <c:formatCode>General</c:formatCode>
                <c:ptCount val="1"/>
                <c:pt idx="0">
                  <c:v>0</c:v>
                </c:pt>
              </c:numCache>
            </c:numRef>
          </c:yVal>
          <c:smooth val="0"/>
          <c:extLst>
            <c:ext xmlns:c16="http://schemas.microsoft.com/office/drawing/2014/chart" uri="{C3380CC4-5D6E-409C-BE32-E72D297353CC}">
              <c16:uniqueId val="{00000001-3892-4CE1-890A-A0F4EED04734}"/>
            </c:ext>
          </c:extLst>
        </c:ser>
        <c:ser>
          <c:idx val="2"/>
          <c:order val="2"/>
          <c:tx>
            <c:strRef>
              <c:f>'Winter Storm'!$C$911</c:f>
              <c:strCache>
                <c:ptCount val="1"/>
                <c:pt idx="0">
                  <c:v>Emerg Ops Coord</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'Winter Storm'!$J$912</c:f>
              <c:numCache>
                <c:formatCode>General</c:formatCode>
                <c:ptCount val="1"/>
                <c:pt idx="0">
                  <c:v>4</c:v>
                </c:pt>
              </c:numCache>
            </c:numRef>
          </c:xVal>
          <c:yVal>
            <c:numRef>
              <c:f>'Winter Storm'!$J$913</c:f>
              <c:numCache>
                <c:formatCode>General</c:formatCode>
                <c:ptCount val="1"/>
                <c:pt idx="0">
                  <c:v>0</c:v>
                </c:pt>
              </c:numCache>
            </c:numRef>
          </c:yVal>
          <c:smooth val="0"/>
          <c:extLst>
            <c:ext xmlns:c16="http://schemas.microsoft.com/office/drawing/2014/chart" uri="{C3380CC4-5D6E-409C-BE32-E72D297353CC}">
              <c16:uniqueId val="{00000002-3892-4CE1-890A-A0F4EED04734}"/>
            </c:ext>
          </c:extLst>
        </c:ser>
        <c:ser>
          <c:idx val="3"/>
          <c:order val="3"/>
          <c:tx>
            <c:strRef>
              <c:f>'Winter Storm'!$C$915</c:f>
              <c:strCache>
                <c:ptCount val="1"/>
                <c:pt idx="0">
                  <c:v>Fatality Mgmt</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'Winter Storm'!$J$916</c:f>
              <c:numCache>
                <c:formatCode>General</c:formatCode>
                <c:ptCount val="1"/>
                <c:pt idx="0">
                  <c:v>2</c:v>
                </c:pt>
              </c:numCache>
            </c:numRef>
          </c:xVal>
          <c:yVal>
            <c:numRef>
              <c:f>'Winter Storm'!$J$917</c:f>
              <c:numCache>
                <c:formatCode>General</c:formatCode>
                <c:ptCount val="1"/>
                <c:pt idx="0">
                  <c:v>0</c:v>
                </c:pt>
              </c:numCache>
            </c:numRef>
          </c:yVal>
          <c:smooth val="0"/>
          <c:extLst>
            <c:ext xmlns:c16="http://schemas.microsoft.com/office/drawing/2014/chart" uri="{C3380CC4-5D6E-409C-BE32-E72D297353CC}">
              <c16:uniqueId val="{00000003-3892-4CE1-890A-A0F4EED04734}"/>
            </c:ext>
          </c:extLst>
        </c:ser>
        <c:ser>
          <c:idx val="4"/>
          <c:order val="4"/>
          <c:tx>
            <c:strRef>
              <c:f>'Winter Storm'!$C$919</c:f>
              <c:strCache>
                <c:ptCount val="1"/>
                <c:pt idx="0">
                  <c:v>Info Sharing</c:v>
                </c:pt>
              </c:strCache>
            </c:strRef>
          </c:tx>
          <c:spPr>
            <a:ln w="66675">
              <a:noFill/>
            </a:ln>
          </c:spP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'Winter Storm'!$J$920</c:f>
              <c:numCache>
                <c:formatCode>General</c:formatCode>
                <c:ptCount val="1"/>
                <c:pt idx="0">
                  <c:v>4</c:v>
                </c:pt>
              </c:numCache>
            </c:numRef>
          </c:xVal>
          <c:yVal>
            <c:numRef>
              <c:f>'Winter Storm'!$J$921</c:f>
              <c:numCache>
                <c:formatCode>General</c:formatCode>
                <c:ptCount val="1"/>
                <c:pt idx="0">
                  <c:v>0</c:v>
                </c:pt>
              </c:numCache>
            </c:numRef>
          </c:yVal>
          <c:smooth val="0"/>
          <c:extLst>
            <c:ext xmlns:c16="http://schemas.microsoft.com/office/drawing/2014/chart" uri="{C3380CC4-5D6E-409C-BE32-E72D297353CC}">
              <c16:uniqueId val="{00000004-3892-4CE1-890A-A0F4EED04734}"/>
            </c:ext>
          </c:extLst>
        </c:ser>
        <c:ser>
          <c:idx val="5"/>
          <c:order val="5"/>
          <c:tx>
            <c:strRef>
              <c:f>'Winter Storm'!$C$923</c:f>
              <c:strCache>
                <c:ptCount val="1"/>
                <c:pt idx="0">
                  <c:v>Medical Surge</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'Winter Storm'!$J$924</c:f>
              <c:numCache>
                <c:formatCode>General</c:formatCode>
                <c:ptCount val="1"/>
                <c:pt idx="0">
                  <c:v>1</c:v>
                </c:pt>
              </c:numCache>
            </c:numRef>
          </c:xVal>
          <c:yVal>
            <c:numRef>
              <c:f>'Winter Storm'!$J$925</c:f>
              <c:numCache>
                <c:formatCode>General</c:formatCode>
                <c:ptCount val="1"/>
                <c:pt idx="0">
                  <c:v>0</c:v>
                </c:pt>
              </c:numCache>
            </c:numRef>
          </c:yVal>
          <c:smooth val="0"/>
          <c:extLst>
            <c:ext xmlns:c16="http://schemas.microsoft.com/office/drawing/2014/chart" uri="{C3380CC4-5D6E-409C-BE32-E72D297353CC}">
              <c16:uniqueId val="{00000005-3892-4CE1-890A-A0F4EED04734}"/>
            </c:ext>
          </c:extLst>
        </c:ser>
        <c:ser>
          <c:idx val="6"/>
          <c:order val="6"/>
          <c:tx>
            <c:strRef>
              <c:f>'Winter Storm'!$C$927</c:f>
              <c:strCache>
                <c:ptCount val="1"/>
                <c:pt idx="0">
                  <c:v>Responder Safety</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'Winter Storm'!$J$928</c:f>
              <c:numCache>
                <c:formatCode>General</c:formatCode>
                <c:ptCount val="1"/>
                <c:pt idx="0">
                  <c:v>1</c:v>
                </c:pt>
              </c:numCache>
            </c:numRef>
          </c:xVal>
          <c:yVal>
            <c:numRef>
              <c:f>'Winter Storm'!$J$929</c:f>
              <c:numCache>
                <c:formatCode>General</c:formatCode>
                <c:ptCount val="1"/>
                <c:pt idx="0">
                  <c:v>0</c:v>
                </c:pt>
              </c:numCache>
            </c:numRef>
          </c:yVal>
          <c:smooth val="0"/>
          <c:extLst>
            <c:ext xmlns:c16="http://schemas.microsoft.com/office/drawing/2014/chart" uri="{C3380CC4-5D6E-409C-BE32-E72D297353CC}">
              <c16:uniqueId val="{00000006-3892-4CE1-890A-A0F4EED04734}"/>
            </c:ext>
          </c:extLst>
        </c:ser>
        <c:ser>
          <c:idx val="7"/>
          <c:order val="7"/>
          <c:tx>
            <c:strRef>
              <c:f>'Winter Storm'!$C$931</c:f>
              <c:strCache>
                <c:ptCount val="1"/>
                <c:pt idx="0">
                  <c:v>Volunteer Mgmt</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'Winter Storm'!$J$932</c:f>
              <c:numCache>
                <c:formatCode>General</c:formatCode>
                <c:ptCount val="1"/>
                <c:pt idx="0">
                  <c:v>1</c:v>
                </c:pt>
              </c:numCache>
            </c:numRef>
          </c:xVal>
          <c:yVal>
            <c:numRef>
              <c:f>'Winter Storm'!$J$933</c:f>
              <c:numCache>
                <c:formatCode>General</c:formatCode>
                <c:ptCount val="1"/>
                <c:pt idx="0">
                  <c:v>0</c:v>
                </c:pt>
              </c:numCache>
            </c:numRef>
          </c:yVal>
          <c:smooth val="0"/>
          <c:extLst>
            <c:ext xmlns:c16="http://schemas.microsoft.com/office/drawing/2014/chart" uri="{C3380CC4-5D6E-409C-BE32-E72D297353CC}">
              <c16:uniqueId val="{00000007-3892-4CE1-890A-A0F4EED04734}"/>
            </c:ext>
          </c:extLst>
        </c:ser>
        <c:ser>
          <c:idx val="14"/>
          <c:order val="8"/>
          <c:tx>
            <c:strRef>
              <c:f>Drought!$C$964</c:f>
              <c:strCache>
                <c:ptCount val="1"/>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Drought!$J$965</c:f>
            </c:numRef>
          </c:xVal>
          <c:yVal>
            <c:numRef>
              <c:f>Drought!$J$966</c:f>
            </c:numRef>
          </c:yVal>
          <c:smooth val="0"/>
          <c:extLst>
            <c:ext xmlns:c16="http://schemas.microsoft.com/office/drawing/2014/chart" uri="{C3380CC4-5D6E-409C-BE32-E72D297353CC}">
              <c16:uniqueId val="{00000008-3892-4CE1-890A-A0F4EED04734}"/>
            </c:ext>
          </c:extLst>
        </c:ser>
        <c:dLbls>
          <c:showLegendKey val="0"/>
          <c:showVal val="1"/>
          <c:showCatName val="0"/>
          <c:showSerName val="0"/>
          <c:showPercent val="0"/>
          <c:showBubbleSize val="0"/>
        </c:dLbls>
        <c:axId val="202638464"/>
        <c:axId val="202640384"/>
      </c:scatterChart>
      <c:valAx>
        <c:axId val="202638464"/>
        <c:scaling>
          <c:orientation val="minMax"/>
          <c:max val="4.5"/>
          <c:min val="0"/>
        </c:scaling>
        <c:delete val="0"/>
        <c:axPos val="b"/>
        <c:majorGridlines/>
        <c:title>
          <c:tx>
            <c:rich>
              <a:bodyPr/>
              <a:lstStyle/>
              <a:p>
                <a:pPr>
                  <a:defRPr b="0">
                    <a:latin typeface="+mj-lt"/>
                  </a:defRPr>
                </a:pPr>
                <a:r>
                  <a:rPr lang="en-US" sz="1600" b="0">
                    <a:latin typeface="+mj-lt"/>
                  </a:rPr>
                  <a:t>Capability Relevance to Hazard</a:t>
                </a:r>
              </a:p>
            </c:rich>
          </c:tx>
          <c:overlay val="0"/>
        </c:title>
        <c:numFmt formatCode="General" sourceLinked="1"/>
        <c:majorTickMark val="out"/>
        <c:minorTickMark val="none"/>
        <c:tickLblPos val="nextTo"/>
        <c:spPr>
          <a:ln>
            <a:solidFill>
              <a:schemeClr val="tx1"/>
            </a:solidFill>
          </a:ln>
        </c:spPr>
        <c:crossAx val="202640384"/>
        <c:crosses val="autoZero"/>
        <c:crossBetween val="midCat"/>
        <c:majorUnit val="1"/>
        <c:minorUnit val="0.1"/>
      </c:valAx>
      <c:valAx>
        <c:axId val="202640384"/>
        <c:scaling>
          <c:orientation val="minMax"/>
          <c:max val="4.5"/>
          <c:min val="0"/>
        </c:scaling>
        <c:delete val="0"/>
        <c:axPos val="l"/>
        <c:majorGridlines/>
        <c:title>
          <c:tx>
            <c:rich>
              <a:bodyPr rot="-5400000" vert="horz"/>
              <a:lstStyle/>
              <a:p>
                <a:pPr>
                  <a:defRPr sz="1600" b="0">
                    <a:latin typeface="+mj-lt"/>
                  </a:defRPr>
                </a:pPr>
                <a:r>
                  <a:rPr lang="en-US" sz="1600" b="0">
                    <a:latin typeface="+mj-lt"/>
                  </a:rPr>
                  <a:t>Capability Status</a:t>
                </a:r>
              </a:p>
            </c:rich>
          </c:tx>
          <c:overlay val="0"/>
        </c:title>
        <c:numFmt formatCode="General" sourceLinked="1"/>
        <c:majorTickMark val="out"/>
        <c:minorTickMark val="none"/>
        <c:tickLblPos val="nextTo"/>
        <c:spPr>
          <a:ln>
            <a:solidFill>
              <a:schemeClr val="tx1"/>
            </a:solidFill>
          </a:ln>
        </c:spPr>
        <c:crossAx val="202638464"/>
        <c:crosses val="autoZero"/>
        <c:crossBetween val="midCat"/>
        <c:majorUnit val="1"/>
        <c:minorUnit val="0.1"/>
      </c:valAx>
      <c:spPr>
        <a:gradFill flip="none" rotWithShape="1">
          <a:gsLst>
            <a:gs pos="0">
              <a:srgbClr val="63BE7B"/>
            </a:gs>
            <a:gs pos="50000">
              <a:srgbClr val="FFEB84"/>
            </a:gs>
            <a:gs pos="100000">
              <a:srgbClr val="F8696B"/>
            </a:gs>
          </a:gsLst>
          <a:lin ang="27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b="0" u="sng">
                <a:latin typeface="+mj-lt"/>
              </a:defRPr>
            </a:pPr>
            <a:r>
              <a:rPr lang="en-US" b="0" u="sng">
                <a:latin typeface="+mj-lt"/>
              </a:rPr>
              <a:t>Severity</a:t>
            </a:r>
          </a:p>
        </c:rich>
      </c:tx>
      <c:layout>
        <c:manualLayout>
          <c:xMode val="edge"/>
          <c:yMode val="edge"/>
          <c:x val="0.46889233641333816"/>
          <c:y val="1.3244983721297133E-2"/>
        </c:manualLayout>
      </c:layout>
      <c:overlay val="0"/>
    </c:title>
    <c:autoTitleDeleted val="0"/>
    <c:plotArea>
      <c:layout/>
      <c:barChart>
        <c:barDir val="col"/>
        <c:grouping val="clustered"/>
        <c:varyColors val="0"/>
        <c:ser>
          <c:idx val="0"/>
          <c:order val="0"/>
          <c:tx>
            <c:v>Severity</c:v>
          </c:tx>
          <c:spPr>
            <a:solidFill>
              <a:schemeClr val="accent4">
                <a:lumMod val="60000"/>
                <a:lumOff val="40000"/>
              </a:schemeClr>
            </a:solidFill>
            <a:ln>
              <a:solidFill>
                <a:schemeClr val="accent4"/>
              </a:solidFill>
            </a:ln>
            <a:scene3d>
              <a:camera prst="orthographicFront"/>
              <a:lightRig rig="threePt" dir="t"/>
            </a:scene3d>
            <a:sp3d prstMaterial="matte">
              <a:bevelT w="63500" h="50800"/>
            </a:sp3d>
          </c:spPr>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('Active Shooter'!$G$22,'Active Shooter'!$G$137,'Active Shooter'!$G$265,'Active Shooter'!$G$425,'Active Shooter'!$G$543)</c:f>
              <c:strCache>
                <c:ptCount val="5"/>
                <c:pt idx="0">
                  <c:v>Human Impact</c:v>
                </c:pt>
                <c:pt idx="1">
                  <c:v>Healthcare Service Impact</c:v>
                </c:pt>
                <c:pt idx="2">
                  <c:v>Inpatient Healthcare Facility Infrastructure Impact</c:v>
                </c:pt>
                <c:pt idx="3">
                  <c:v>Community Impact</c:v>
                </c:pt>
                <c:pt idx="4">
                  <c:v>Public Health Service Impact</c:v>
                </c:pt>
              </c:strCache>
            </c:strRef>
          </c:cat>
          <c:val>
            <c:numRef>
              <c:f>(Hazard1!$J$133,Hazard1!$J$261,Hazard1!$J$421,Hazard1!$J$539,Hazard1!$J$681)</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0-F5A9-4A0F-80AE-B9DC19300483}"/>
            </c:ext>
          </c:extLst>
        </c:ser>
        <c:dLbls>
          <c:showLegendKey val="0"/>
          <c:showVal val="1"/>
          <c:showCatName val="0"/>
          <c:showSerName val="0"/>
          <c:showPercent val="0"/>
          <c:showBubbleSize val="0"/>
        </c:dLbls>
        <c:gapWidth val="150"/>
        <c:axId val="202660096"/>
        <c:axId val="202695040"/>
      </c:barChart>
      <c:catAx>
        <c:axId val="202660096"/>
        <c:scaling>
          <c:orientation val="minMax"/>
        </c:scaling>
        <c:delete val="0"/>
        <c:axPos val="b"/>
        <c:title>
          <c:tx>
            <c:rich>
              <a:bodyPr/>
              <a:lstStyle/>
              <a:p>
                <a:pPr>
                  <a:defRPr sz="1600" b="0">
                    <a:latin typeface="+mj-lt"/>
                  </a:defRPr>
                </a:pPr>
                <a:r>
                  <a:rPr lang="en-US" sz="1600" b="0">
                    <a:latin typeface="+mj-lt"/>
                  </a:rPr>
                  <a:t>Domain</a:t>
                </a:r>
              </a:p>
            </c:rich>
          </c:tx>
          <c:overlay val="0"/>
        </c:title>
        <c:numFmt formatCode="General" sourceLinked="1"/>
        <c:majorTickMark val="out"/>
        <c:minorTickMark val="none"/>
        <c:tickLblPos val="nextTo"/>
        <c:crossAx val="202695040"/>
        <c:crosses val="autoZero"/>
        <c:auto val="1"/>
        <c:lblAlgn val="ctr"/>
        <c:lblOffset val="100"/>
        <c:noMultiLvlLbl val="0"/>
      </c:catAx>
      <c:valAx>
        <c:axId val="202695040"/>
        <c:scaling>
          <c:orientation val="minMax"/>
          <c:max val="4"/>
        </c:scaling>
        <c:delete val="0"/>
        <c:axPos val="l"/>
        <c:majorGridlines/>
        <c:title>
          <c:tx>
            <c:rich>
              <a:bodyPr rot="-5400000" vert="horz"/>
              <a:lstStyle/>
              <a:p>
                <a:pPr>
                  <a:defRPr sz="1600" b="0">
                    <a:latin typeface="+mj-lt"/>
                  </a:defRPr>
                </a:pPr>
                <a:r>
                  <a:rPr lang="en-US" sz="1600" b="0">
                    <a:latin typeface="+mj-lt"/>
                  </a:rPr>
                  <a:t>Severity</a:t>
                </a:r>
                <a:r>
                  <a:rPr lang="en-US" sz="1600" b="0" baseline="0">
                    <a:latin typeface="+mj-lt"/>
                  </a:rPr>
                  <a:t> Score</a:t>
                </a:r>
                <a:endParaRPr lang="en-US" sz="1600" b="0">
                  <a:latin typeface="+mj-lt"/>
                </a:endParaRPr>
              </a:p>
            </c:rich>
          </c:tx>
          <c:overlay val="0"/>
        </c:title>
        <c:numFmt formatCode="0.00" sourceLinked="1"/>
        <c:majorTickMark val="out"/>
        <c:minorTickMark val="none"/>
        <c:tickLblPos val="nextTo"/>
        <c:crossAx val="202660096"/>
        <c:crosses val="autoZero"/>
        <c:crossBetween val="between"/>
      </c:valAx>
      <c:spPr>
        <a:gradFill flip="none" rotWithShape="1">
          <a:gsLst>
            <a:gs pos="0">
              <a:srgbClr val="63BE7B"/>
            </a:gs>
            <a:gs pos="50000">
              <a:srgbClr val="FFEB84"/>
            </a:gs>
            <a:gs pos="100000">
              <a:srgbClr val="F8696B"/>
            </a:gs>
          </a:gsLst>
          <a:lin ang="162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b="0" u="sng">
                <a:latin typeface="+mj-lt"/>
              </a:defRPr>
            </a:pPr>
            <a:r>
              <a:rPr lang="en-US" b="0" u="sng">
                <a:latin typeface="+mj-lt"/>
              </a:rPr>
              <a:t>At-Risk Populations</a:t>
            </a:r>
          </a:p>
        </c:rich>
      </c:tx>
      <c:layout>
        <c:manualLayout>
          <c:xMode val="edge"/>
          <c:yMode val="edge"/>
          <c:x val="0.37636858589702443"/>
          <c:y val="1.3244983721297133E-2"/>
        </c:manualLayout>
      </c:layout>
      <c:overlay val="0"/>
    </c:title>
    <c:autoTitleDeleted val="0"/>
    <c:plotArea>
      <c:layout>
        <c:manualLayout>
          <c:layoutTarget val="inner"/>
          <c:xMode val="edge"/>
          <c:yMode val="edge"/>
          <c:x val="9.2855623530330264E-2"/>
          <c:y val="0.10007907481510167"/>
          <c:w val="0.87850741705614022"/>
          <c:h val="0.77165947152780956"/>
        </c:manualLayout>
      </c:layout>
      <c:scatterChart>
        <c:scatterStyle val="lineMarker"/>
        <c:varyColors val="0"/>
        <c:ser>
          <c:idx val="0"/>
          <c:order val="0"/>
          <c:tx>
            <c:strRef>
              <c:f>Hazard1!$C$793</c:f>
              <c:strCache>
                <c:ptCount val="1"/>
                <c:pt idx="0">
                  <c:v>Poverty</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Hazard1!$J$795</c:f>
              <c:numCache>
                <c:formatCode>General</c:formatCode>
                <c:ptCount val="1"/>
                <c:pt idx="0">
                  <c:v>0</c:v>
                </c:pt>
              </c:numCache>
            </c:numRef>
          </c:xVal>
          <c:yVal>
            <c:numRef>
              <c:f>Hazard1!$J$794</c:f>
              <c:numCache>
                <c:formatCode>General</c:formatCode>
                <c:ptCount val="1"/>
                <c:pt idx="0">
                  <c:v>0</c:v>
                </c:pt>
              </c:numCache>
            </c:numRef>
          </c:yVal>
          <c:smooth val="0"/>
          <c:extLst>
            <c:ext xmlns:c16="http://schemas.microsoft.com/office/drawing/2014/chart" uri="{C3380CC4-5D6E-409C-BE32-E72D297353CC}">
              <c16:uniqueId val="{00000000-34AA-4AB8-B230-BC7EE9B25187}"/>
            </c:ext>
          </c:extLst>
        </c:ser>
        <c:ser>
          <c:idx val="1"/>
          <c:order val="1"/>
          <c:tx>
            <c:strRef>
              <c:f>Hazard1!$C$797</c:f>
              <c:strCache>
                <c:ptCount val="1"/>
                <c:pt idx="0">
                  <c:v>Chronic Diseases (Diabetes)</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Hazard1!$J$799</c:f>
              <c:numCache>
                <c:formatCode>General</c:formatCode>
                <c:ptCount val="1"/>
                <c:pt idx="0">
                  <c:v>0</c:v>
                </c:pt>
              </c:numCache>
            </c:numRef>
          </c:xVal>
          <c:yVal>
            <c:numRef>
              <c:f>Hazard1!$J$798</c:f>
              <c:numCache>
                <c:formatCode>General</c:formatCode>
                <c:ptCount val="1"/>
                <c:pt idx="0">
                  <c:v>0</c:v>
                </c:pt>
              </c:numCache>
            </c:numRef>
          </c:yVal>
          <c:smooth val="0"/>
          <c:extLst>
            <c:ext xmlns:c16="http://schemas.microsoft.com/office/drawing/2014/chart" uri="{C3380CC4-5D6E-409C-BE32-E72D297353CC}">
              <c16:uniqueId val="{00000001-34AA-4AB8-B230-BC7EE9B25187}"/>
            </c:ext>
          </c:extLst>
        </c:ser>
        <c:ser>
          <c:idx val="2"/>
          <c:order val="2"/>
          <c:tx>
            <c:strRef>
              <c:f>Hazard1!$C$801</c:f>
              <c:strCache>
                <c:ptCount val="1"/>
                <c:pt idx="0">
                  <c:v>Children 18 and under</c:v>
                </c:pt>
              </c:strCache>
            </c:strRef>
          </c:tx>
          <c:spPr>
            <a:ln w="666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Hazard1!$J$803</c:f>
              <c:numCache>
                <c:formatCode>General</c:formatCode>
                <c:ptCount val="1"/>
                <c:pt idx="0">
                  <c:v>0</c:v>
                </c:pt>
              </c:numCache>
            </c:numRef>
          </c:xVal>
          <c:yVal>
            <c:numRef>
              <c:f>Hazard1!$J$802</c:f>
              <c:numCache>
                <c:formatCode>General</c:formatCode>
                <c:ptCount val="1"/>
                <c:pt idx="0">
                  <c:v>0</c:v>
                </c:pt>
              </c:numCache>
            </c:numRef>
          </c:yVal>
          <c:smooth val="0"/>
          <c:extLst>
            <c:ext xmlns:c16="http://schemas.microsoft.com/office/drawing/2014/chart" uri="{C3380CC4-5D6E-409C-BE32-E72D297353CC}">
              <c16:uniqueId val="{00000002-34AA-4AB8-B230-BC7EE9B25187}"/>
            </c:ext>
          </c:extLst>
        </c:ser>
        <c:ser>
          <c:idx val="3"/>
          <c:order val="3"/>
          <c:tx>
            <c:strRef>
              <c:f>Hazard1!$C$805</c:f>
              <c:strCache>
                <c:ptCount val="1"/>
                <c:pt idx="0">
                  <c:v>Elderly 65 and older</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Hazard1!$J$807</c:f>
              <c:numCache>
                <c:formatCode>General</c:formatCode>
                <c:ptCount val="1"/>
                <c:pt idx="0">
                  <c:v>0</c:v>
                </c:pt>
              </c:numCache>
            </c:numRef>
          </c:xVal>
          <c:yVal>
            <c:numRef>
              <c:f>Hazard1!$J$806</c:f>
              <c:numCache>
                <c:formatCode>General</c:formatCode>
                <c:ptCount val="1"/>
                <c:pt idx="0">
                  <c:v>0</c:v>
                </c:pt>
              </c:numCache>
            </c:numRef>
          </c:yVal>
          <c:smooth val="0"/>
          <c:extLst>
            <c:ext xmlns:c16="http://schemas.microsoft.com/office/drawing/2014/chart" uri="{C3380CC4-5D6E-409C-BE32-E72D297353CC}">
              <c16:uniqueId val="{00000003-34AA-4AB8-B230-BC7EE9B25187}"/>
            </c:ext>
          </c:extLst>
        </c:ser>
        <c:ser>
          <c:idx val="4"/>
          <c:order val="4"/>
          <c:tx>
            <c:strRef>
              <c:f>Hazard1!$C$773</c:f>
              <c:strCache>
                <c:ptCount val="1"/>
                <c:pt idx="0">
                  <c:v>Hearing Disability</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Hazard1!$J$775</c:f>
              <c:numCache>
                <c:formatCode>General</c:formatCode>
                <c:ptCount val="1"/>
                <c:pt idx="0">
                  <c:v>0</c:v>
                </c:pt>
              </c:numCache>
            </c:numRef>
          </c:xVal>
          <c:yVal>
            <c:numRef>
              <c:f>Hazard1!$J$774</c:f>
              <c:numCache>
                <c:formatCode>General</c:formatCode>
                <c:ptCount val="1"/>
                <c:pt idx="0">
                  <c:v>0</c:v>
                </c:pt>
              </c:numCache>
            </c:numRef>
          </c:yVal>
          <c:smooth val="0"/>
          <c:extLst>
            <c:ext xmlns:c16="http://schemas.microsoft.com/office/drawing/2014/chart" uri="{C3380CC4-5D6E-409C-BE32-E72D297353CC}">
              <c16:uniqueId val="{00000004-34AA-4AB8-B230-BC7EE9B25187}"/>
            </c:ext>
          </c:extLst>
        </c:ser>
        <c:ser>
          <c:idx val="5"/>
          <c:order val="5"/>
          <c:tx>
            <c:strRef>
              <c:f>Hazard1!$C$777</c:f>
              <c:strCache>
                <c:ptCount val="1"/>
                <c:pt idx="0">
                  <c:v>Vision Disability</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Hazard1!$J$779</c:f>
              <c:numCache>
                <c:formatCode>General</c:formatCode>
                <c:ptCount val="1"/>
                <c:pt idx="0">
                  <c:v>0</c:v>
                </c:pt>
              </c:numCache>
            </c:numRef>
          </c:xVal>
          <c:yVal>
            <c:numRef>
              <c:f>Hazard1!$J$778</c:f>
              <c:numCache>
                <c:formatCode>General</c:formatCode>
                <c:ptCount val="1"/>
                <c:pt idx="0">
                  <c:v>0</c:v>
                </c:pt>
              </c:numCache>
            </c:numRef>
          </c:yVal>
          <c:smooth val="0"/>
          <c:extLst>
            <c:ext xmlns:c16="http://schemas.microsoft.com/office/drawing/2014/chart" uri="{C3380CC4-5D6E-409C-BE32-E72D297353CC}">
              <c16:uniqueId val="{00000005-34AA-4AB8-B230-BC7EE9B25187}"/>
            </c:ext>
          </c:extLst>
        </c:ser>
        <c:ser>
          <c:idx val="6"/>
          <c:order val="6"/>
          <c:tx>
            <c:strRef>
              <c:f>Hazard1!$C$781</c:f>
              <c:strCache>
                <c:ptCount val="1"/>
                <c:pt idx="0">
                  <c:v>Ambulatory Disability</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Hazard1!$J$783</c:f>
              <c:numCache>
                <c:formatCode>General</c:formatCode>
                <c:ptCount val="1"/>
                <c:pt idx="0">
                  <c:v>0</c:v>
                </c:pt>
              </c:numCache>
            </c:numRef>
          </c:xVal>
          <c:yVal>
            <c:numRef>
              <c:f>Hazard1!$J$782</c:f>
              <c:numCache>
                <c:formatCode>General</c:formatCode>
                <c:ptCount val="1"/>
                <c:pt idx="0">
                  <c:v>0</c:v>
                </c:pt>
              </c:numCache>
            </c:numRef>
          </c:yVal>
          <c:smooth val="0"/>
          <c:extLst>
            <c:ext xmlns:c16="http://schemas.microsoft.com/office/drawing/2014/chart" uri="{C3380CC4-5D6E-409C-BE32-E72D297353CC}">
              <c16:uniqueId val="{00000006-34AA-4AB8-B230-BC7EE9B25187}"/>
            </c:ext>
          </c:extLst>
        </c:ser>
        <c:ser>
          <c:idx val="7"/>
          <c:order val="7"/>
          <c:tx>
            <c:strRef>
              <c:f>Hazard1!$C$785</c:f>
              <c:strCache>
                <c:ptCount val="1"/>
                <c:pt idx="0">
                  <c:v>Cognitive Disability</c:v>
                </c:pt>
              </c:strCache>
            </c:strRef>
          </c:tx>
          <c:spPr>
            <a:ln w="66675">
              <a:noFill/>
            </a:ln>
          </c:spPr>
          <c:dLbls>
            <c:dLbl>
              <c:idx val="0"/>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34AA-4AB8-B230-BC7EE9B25187}"/>
                </c:ext>
              </c:extLst>
            </c:dLbl>
            <c:spPr>
              <a:noFill/>
              <a:ln>
                <a:noFill/>
              </a:ln>
              <a:effectLst/>
            </c:sp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Hazard1!$J$787</c:f>
              <c:numCache>
                <c:formatCode>General</c:formatCode>
                <c:ptCount val="1"/>
                <c:pt idx="0">
                  <c:v>0</c:v>
                </c:pt>
              </c:numCache>
            </c:numRef>
          </c:xVal>
          <c:yVal>
            <c:numRef>
              <c:f>Hazard1!$J$786</c:f>
              <c:numCache>
                <c:formatCode>General</c:formatCode>
                <c:ptCount val="1"/>
                <c:pt idx="0">
                  <c:v>0</c:v>
                </c:pt>
              </c:numCache>
            </c:numRef>
          </c:yVal>
          <c:smooth val="0"/>
          <c:extLst>
            <c:ext xmlns:c16="http://schemas.microsoft.com/office/drawing/2014/chart" uri="{C3380CC4-5D6E-409C-BE32-E72D297353CC}">
              <c16:uniqueId val="{00000008-34AA-4AB8-B230-BC7EE9B25187}"/>
            </c:ext>
          </c:extLst>
        </c:ser>
        <c:ser>
          <c:idx val="8"/>
          <c:order val="8"/>
          <c:tx>
            <c:strRef>
              <c:f>Hazard1!$C$789</c:f>
              <c:strCache>
                <c:ptCount val="1"/>
                <c:pt idx="0">
                  <c:v>Limited English Proficiency</c:v>
                </c:pt>
              </c:strCache>
            </c:strRef>
          </c:tx>
          <c:spPr>
            <a:ln w="66675">
              <a:noFill/>
            </a:ln>
          </c:spP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Hazard1!$J$791</c:f>
              <c:numCache>
                <c:formatCode>General</c:formatCode>
                <c:ptCount val="1"/>
                <c:pt idx="0">
                  <c:v>0</c:v>
                </c:pt>
              </c:numCache>
            </c:numRef>
          </c:xVal>
          <c:yVal>
            <c:numRef>
              <c:f>Hazard1!$J$790</c:f>
              <c:numCache>
                <c:formatCode>General</c:formatCode>
                <c:ptCount val="1"/>
                <c:pt idx="0">
                  <c:v>0</c:v>
                </c:pt>
              </c:numCache>
            </c:numRef>
          </c:yVal>
          <c:smooth val="0"/>
          <c:extLst>
            <c:ext xmlns:c16="http://schemas.microsoft.com/office/drawing/2014/chart" uri="{C3380CC4-5D6E-409C-BE32-E72D297353CC}">
              <c16:uniqueId val="{00000009-34AA-4AB8-B230-BC7EE9B25187}"/>
            </c:ext>
          </c:extLst>
        </c:ser>
        <c:dLbls>
          <c:showLegendKey val="0"/>
          <c:showVal val="1"/>
          <c:showCatName val="0"/>
          <c:showSerName val="0"/>
          <c:showPercent val="0"/>
          <c:showBubbleSize val="0"/>
        </c:dLbls>
        <c:axId val="202780672"/>
        <c:axId val="202782592"/>
      </c:scatterChart>
      <c:valAx>
        <c:axId val="202780672"/>
        <c:scaling>
          <c:orientation val="minMax"/>
          <c:max val="4.5"/>
          <c:min val="0"/>
        </c:scaling>
        <c:delete val="0"/>
        <c:axPos val="b"/>
        <c:majorGridlines/>
        <c:title>
          <c:tx>
            <c:rich>
              <a:bodyPr/>
              <a:lstStyle/>
              <a:p>
                <a:pPr>
                  <a:defRPr b="0">
                    <a:latin typeface="+mj-lt"/>
                  </a:defRPr>
                </a:pPr>
                <a:r>
                  <a:rPr lang="en-US" sz="1600" b="0">
                    <a:latin typeface="+mj-lt"/>
                  </a:rPr>
                  <a:t>Access Planning Score</a:t>
                </a:r>
              </a:p>
            </c:rich>
          </c:tx>
          <c:overlay val="0"/>
        </c:title>
        <c:numFmt formatCode="General" sourceLinked="1"/>
        <c:majorTickMark val="out"/>
        <c:minorTickMark val="none"/>
        <c:tickLblPos val="nextTo"/>
        <c:spPr>
          <a:ln>
            <a:solidFill>
              <a:schemeClr val="tx1"/>
            </a:solidFill>
          </a:ln>
        </c:spPr>
        <c:crossAx val="202782592"/>
        <c:crosses val="autoZero"/>
        <c:crossBetween val="midCat"/>
        <c:majorUnit val="1"/>
        <c:minorUnit val="0.1"/>
      </c:valAx>
      <c:valAx>
        <c:axId val="202782592"/>
        <c:scaling>
          <c:orientation val="minMax"/>
          <c:max val="4.5"/>
          <c:min val="0"/>
        </c:scaling>
        <c:delete val="0"/>
        <c:axPos val="l"/>
        <c:majorGridlines/>
        <c:title>
          <c:tx>
            <c:rich>
              <a:bodyPr rot="-5400000" vert="horz"/>
              <a:lstStyle/>
              <a:p>
                <a:pPr>
                  <a:defRPr sz="1600" b="0">
                    <a:latin typeface="+mj-lt"/>
                  </a:defRPr>
                </a:pPr>
                <a:r>
                  <a:rPr lang="en-US" sz="1600" b="0">
                    <a:latin typeface="+mj-lt"/>
                  </a:rPr>
                  <a:t>Population Size Score</a:t>
                </a:r>
              </a:p>
            </c:rich>
          </c:tx>
          <c:overlay val="0"/>
        </c:title>
        <c:numFmt formatCode="General" sourceLinked="1"/>
        <c:majorTickMark val="out"/>
        <c:minorTickMark val="none"/>
        <c:tickLblPos val="nextTo"/>
        <c:spPr>
          <a:ln>
            <a:solidFill>
              <a:schemeClr val="tx1"/>
            </a:solidFill>
          </a:ln>
        </c:spPr>
        <c:crossAx val="202780672"/>
        <c:crosses val="autoZero"/>
        <c:crossBetween val="midCat"/>
        <c:majorUnit val="1"/>
        <c:minorUnit val="0.1"/>
      </c:valAx>
      <c:spPr>
        <a:gradFill flip="none" rotWithShape="1">
          <a:gsLst>
            <a:gs pos="0">
              <a:srgbClr val="63BE7B"/>
            </a:gs>
            <a:gs pos="50000">
              <a:srgbClr val="FFEB84"/>
            </a:gs>
            <a:gs pos="100000">
              <a:srgbClr val="F8696B"/>
            </a:gs>
          </a:gsLst>
          <a:lin ang="18900000" scaled="1"/>
          <a:tileRect/>
        </a:gradFill>
        <a:ln>
          <a:solidFill>
            <a:schemeClr val="tx1"/>
          </a:solidFill>
        </a:ln>
      </c:spPr>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drawings/_rels/drawing1.xml.rels><?xml version="1.0" encoding="UTF-8" standalone="yes"?>
<Relationships xmlns="http://schemas.openxmlformats.org/package/2006/relationships"><Relationship Id="rId13" Type="http://schemas.openxmlformats.org/officeDocument/2006/relationships/hyperlink" Target="#'Baseline Health'!A1"/><Relationship Id="rId18" Type="http://schemas.openxmlformats.org/officeDocument/2006/relationships/hyperlink" Target="#'Planning Priority Scores'!A1"/><Relationship Id="rId26" Type="http://schemas.openxmlformats.org/officeDocument/2006/relationships/hyperlink" Target="#Severity!A1"/><Relationship Id="rId39" Type="http://schemas.openxmlformats.org/officeDocument/2006/relationships/hyperlink" Target="#Hazard2!A1"/><Relationship Id="rId21" Type="http://schemas.openxmlformats.org/officeDocument/2006/relationships/hyperlink" Target="#'Adjusted Risk vs. Preparedness'!A1"/><Relationship Id="rId34" Type="http://schemas.openxmlformats.org/officeDocument/2006/relationships/hyperlink" Target="#'Temperature Extremes'!A1"/><Relationship Id="rId42" Type="http://schemas.openxmlformats.org/officeDocument/2006/relationships/hyperlink" Target="#Hazard5!A1"/><Relationship Id="rId47" Type="http://schemas.openxmlformats.org/officeDocument/2006/relationships/hyperlink" Target="#Hazard10!A1"/><Relationship Id="rId7" Type="http://schemas.openxmlformats.org/officeDocument/2006/relationships/hyperlink" Target="#'Coastal Storm'!A1"/><Relationship Id="rId2" Type="http://schemas.openxmlformats.org/officeDocument/2006/relationships/hyperlink" Target="#Overview!A1"/><Relationship Id="rId16" Type="http://schemas.openxmlformats.org/officeDocument/2006/relationships/hyperlink" Target="#'Community Characteristics'!A1"/><Relationship Id="rId29" Type="http://schemas.openxmlformats.org/officeDocument/2006/relationships/hyperlink" Target="#'Hazardous Materials Release'!A1"/><Relationship Id="rId11" Type="http://schemas.openxmlformats.org/officeDocument/2006/relationships/hyperlink" Target="#Earthquake!A1"/><Relationship Id="rId24" Type="http://schemas.openxmlformats.org/officeDocument/2006/relationships/hyperlink" Target="#'Baseline PHP'!A1"/><Relationship Id="rId32" Type="http://schemas.openxmlformats.org/officeDocument/2006/relationships/hyperlink" Target="#Pandemic!A1"/><Relationship Id="rId37" Type="http://schemas.openxmlformats.org/officeDocument/2006/relationships/hyperlink" Target="#Wildfire!A1"/><Relationship Id="rId40" Type="http://schemas.openxmlformats.org/officeDocument/2006/relationships/hyperlink" Target="#Hazard3!A1"/><Relationship Id="rId45" Type="http://schemas.openxmlformats.org/officeDocument/2006/relationships/hyperlink" Target="#Hazard8!A1"/><Relationship Id="rId5" Type="http://schemas.openxmlformats.org/officeDocument/2006/relationships/hyperlink" Target="#'Chemical Terrorism'!A1"/><Relationship Id="rId15" Type="http://schemas.openxmlformats.org/officeDocument/2006/relationships/hyperlink" Target="#'Baseline HP'!A1"/><Relationship Id="rId23" Type="http://schemas.openxmlformats.org/officeDocument/2006/relationships/hyperlink" Target="#'Hazard Analyses Menu'!A1"/><Relationship Id="rId28" Type="http://schemas.openxmlformats.org/officeDocument/2006/relationships/hyperlink" Target="#Flood!A1"/><Relationship Id="rId36" Type="http://schemas.openxmlformats.org/officeDocument/2006/relationships/hyperlink" Target="#'Utility Interruption'!A1"/><Relationship Id="rId49" Type="http://schemas.openxmlformats.org/officeDocument/2006/relationships/image" Target="../media/image2.png"/><Relationship Id="rId10" Type="http://schemas.openxmlformats.org/officeDocument/2006/relationships/hyperlink" Target="#Drought!A1"/><Relationship Id="rId19" Type="http://schemas.openxmlformats.org/officeDocument/2006/relationships/hyperlink" Target="#'Summary of Scores'!A1"/><Relationship Id="rId31" Type="http://schemas.openxmlformats.org/officeDocument/2006/relationships/hyperlink" Target="#'Nuclear Facility Accident'!A1"/><Relationship Id="rId44" Type="http://schemas.openxmlformats.org/officeDocument/2006/relationships/hyperlink" Target="#Hazard7!A1"/><Relationship Id="rId4" Type="http://schemas.openxmlformats.org/officeDocument/2006/relationships/hyperlink" Target="#'Biological Terrorism'!A1"/><Relationship Id="rId9" Type="http://schemas.openxmlformats.org/officeDocument/2006/relationships/hyperlink" Target="#'Cyber Terrorism'!A1"/><Relationship Id="rId14" Type="http://schemas.openxmlformats.org/officeDocument/2006/relationships/hyperlink" Target="#'Baseline At-Risk Pops'!A1"/><Relationship Id="rId22" Type="http://schemas.openxmlformats.org/officeDocument/2006/relationships/hyperlink" Target="#'At-Risk Populations'!A1"/><Relationship Id="rId27" Type="http://schemas.openxmlformats.org/officeDocument/2006/relationships/hyperlink" Target="#Acknowledgements!A1"/><Relationship Id="rId30" Type="http://schemas.openxmlformats.org/officeDocument/2006/relationships/hyperlink" Target="#'Localized Infectious Disease'!A1"/><Relationship Id="rId35" Type="http://schemas.openxmlformats.org/officeDocument/2006/relationships/hyperlink" Target="#Tornado!A1"/><Relationship Id="rId43" Type="http://schemas.openxmlformats.org/officeDocument/2006/relationships/hyperlink" Target="#Hazard6!A1"/><Relationship Id="rId48" Type="http://schemas.openxmlformats.org/officeDocument/2006/relationships/image" Target="../media/image1.png"/><Relationship Id="rId8" Type="http://schemas.openxmlformats.org/officeDocument/2006/relationships/hyperlink" Target="#'Conventional Explosive'!A1"/><Relationship Id="rId3" Type="http://schemas.openxmlformats.org/officeDocument/2006/relationships/hyperlink" Target="#'Active Shooter'!A1"/><Relationship Id="rId12" Type="http://schemas.openxmlformats.org/officeDocument/2006/relationships/hyperlink" Target="#'Winter Storm'!A1"/><Relationship Id="rId17" Type="http://schemas.openxmlformats.org/officeDocument/2006/relationships/hyperlink" Target="#'Summary of Impacts'!A1"/><Relationship Id="rId25" Type="http://schemas.openxmlformats.org/officeDocument/2006/relationships/hyperlink" Target="#'PH vs. HC'!A1"/><Relationship Id="rId33" Type="http://schemas.openxmlformats.org/officeDocument/2006/relationships/hyperlink" Target="#'Radiation Dispersal Device'!A1"/><Relationship Id="rId38" Type="http://schemas.openxmlformats.org/officeDocument/2006/relationships/hyperlink" Target="#Hazard1!A1"/><Relationship Id="rId46" Type="http://schemas.openxmlformats.org/officeDocument/2006/relationships/hyperlink" Target="#Hazard9!A1"/><Relationship Id="rId20" Type="http://schemas.openxmlformats.org/officeDocument/2006/relationships/hyperlink" Target="#'Probability vs. Severity'!A1"/><Relationship Id="rId41" Type="http://schemas.openxmlformats.org/officeDocument/2006/relationships/hyperlink" Target="#Hazard4!A1"/><Relationship Id="rId1" Type="http://schemas.openxmlformats.org/officeDocument/2006/relationships/hyperlink" Target="#ReadMe!A1"/><Relationship Id="rId6" Type="http://schemas.openxmlformats.org/officeDocument/2006/relationships/hyperlink" Target="#'Civil Disturbance'!A1"/></Relationships>
</file>

<file path=xl/drawings/_rels/drawing10.xml.rels><?xml version="1.0" encoding="UTF-8" standalone="yes"?>
<Relationships xmlns="http://schemas.openxmlformats.org/package/2006/relationships"><Relationship Id="rId2" Type="http://schemas.openxmlformats.org/officeDocument/2006/relationships/hyperlink" Target="#'Main Menu'!A1"/><Relationship Id="rId1" Type="http://schemas.openxmlformats.org/officeDocument/2006/relationships/hyperlink" Target="#'Active Shooter Analysis'!A1"/></Relationships>
</file>

<file path=xl/drawings/_rels/drawing11.xml.rels><?xml version="1.0" encoding="UTF-8" standalone="yes"?>
<Relationships xmlns="http://schemas.openxmlformats.org/package/2006/relationships"><Relationship Id="rId2" Type="http://schemas.openxmlformats.org/officeDocument/2006/relationships/hyperlink" Target="#'Main Menu'!A1"/><Relationship Id="rId1" Type="http://schemas.openxmlformats.org/officeDocument/2006/relationships/hyperlink" Target="#'Biological Terrorism Analysis'!A1"/></Relationships>
</file>

<file path=xl/drawings/_rels/drawing12.xml.rels><?xml version="1.0" encoding="UTF-8" standalone="yes"?>
<Relationships xmlns="http://schemas.openxmlformats.org/package/2006/relationships"><Relationship Id="rId2" Type="http://schemas.openxmlformats.org/officeDocument/2006/relationships/hyperlink" Target="#'Main Menu'!A1"/><Relationship Id="rId1" Type="http://schemas.openxmlformats.org/officeDocument/2006/relationships/hyperlink" Target="#'Chemical Terrorism Analysis'!A1"/></Relationships>
</file>

<file path=xl/drawings/_rels/drawing13.xml.rels><?xml version="1.0" encoding="UTF-8" standalone="yes"?>
<Relationships xmlns="http://schemas.openxmlformats.org/package/2006/relationships"><Relationship Id="rId2" Type="http://schemas.openxmlformats.org/officeDocument/2006/relationships/hyperlink" Target="#'Main Menu'!A1"/><Relationship Id="rId1" Type="http://schemas.openxmlformats.org/officeDocument/2006/relationships/hyperlink" Target="#'Civil Disturbance Analysis'!A1"/></Relationships>
</file>

<file path=xl/drawings/_rels/drawing14.xml.rels><?xml version="1.0" encoding="UTF-8" standalone="yes"?>
<Relationships xmlns="http://schemas.openxmlformats.org/package/2006/relationships"><Relationship Id="rId2" Type="http://schemas.openxmlformats.org/officeDocument/2006/relationships/hyperlink" Target="#'Main Menu'!A1"/><Relationship Id="rId1" Type="http://schemas.openxmlformats.org/officeDocument/2006/relationships/hyperlink" Target="#'Coastal Storm Analysis'!A1"/></Relationships>
</file>

<file path=xl/drawings/_rels/drawing15.xml.rels><?xml version="1.0" encoding="UTF-8" standalone="yes"?>
<Relationships xmlns="http://schemas.openxmlformats.org/package/2006/relationships"><Relationship Id="rId2" Type="http://schemas.openxmlformats.org/officeDocument/2006/relationships/hyperlink" Target="#'Main Menu'!A1"/><Relationship Id="rId1" Type="http://schemas.openxmlformats.org/officeDocument/2006/relationships/hyperlink" Target="#'Conventional Explosive Analysis'!A1"/></Relationships>
</file>

<file path=xl/drawings/_rels/drawing16.xml.rels><?xml version="1.0" encoding="UTF-8" standalone="yes"?>
<Relationships xmlns="http://schemas.openxmlformats.org/package/2006/relationships"><Relationship Id="rId2" Type="http://schemas.openxmlformats.org/officeDocument/2006/relationships/hyperlink" Target="#'Main Menu'!A1"/><Relationship Id="rId1" Type="http://schemas.openxmlformats.org/officeDocument/2006/relationships/hyperlink" Target="#'Cyber Terrorism Analysis'!A1"/></Relationships>
</file>

<file path=xl/drawings/_rels/drawing17.xml.rels><?xml version="1.0" encoding="UTF-8" standalone="yes"?>
<Relationships xmlns="http://schemas.openxmlformats.org/package/2006/relationships"><Relationship Id="rId2" Type="http://schemas.openxmlformats.org/officeDocument/2006/relationships/hyperlink" Target="#'Main Menu'!A1"/><Relationship Id="rId1" Type="http://schemas.openxmlformats.org/officeDocument/2006/relationships/hyperlink" Target="#'Drought Analysis'!A1"/></Relationships>
</file>

<file path=xl/drawings/_rels/drawing18.xml.rels><?xml version="1.0" encoding="UTF-8" standalone="yes"?>
<Relationships xmlns="http://schemas.openxmlformats.org/package/2006/relationships"><Relationship Id="rId2" Type="http://schemas.openxmlformats.org/officeDocument/2006/relationships/hyperlink" Target="#'Main Menu'!A1"/><Relationship Id="rId1" Type="http://schemas.openxmlformats.org/officeDocument/2006/relationships/hyperlink" Target="#'Earthquake Analysis'!A1"/></Relationships>
</file>

<file path=xl/drawings/_rels/drawing19.xml.rels><?xml version="1.0" encoding="UTF-8" standalone="yes"?>
<Relationships xmlns="http://schemas.openxmlformats.org/package/2006/relationships"><Relationship Id="rId2" Type="http://schemas.openxmlformats.org/officeDocument/2006/relationships/hyperlink" Target="#'Main Menu'!A1"/><Relationship Id="rId1" Type="http://schemas.openxmlformats.org/officeDocument/2006/relationships/hyperlink" Target="#'Flood Analysis'!A1"/></Relationships>
</file>

<file path=xl/drawings/_rels/drawing2.xml.rels><?xml version="1.0" encoding="UTF-8" standalone="yes"?>
<Relationships xmlns="http://schemas.openxmlformats.org/package/2006/relationships"><Relationship Id="rId3" Type="http://schemas.openxmlformats.org/officeDocument/2006/relationships/hyperlink" Target="#'Main Menu'!A1"/><Relationship Id="rId2" Type="http://schemas.openxmlformats.org/officeDocument/2006/relationships/image" Target="../media/image4.png"/><Relationship Id="rId1" Type="http://schemas.openxmlformats.org/officeDocument/2006/relationships/image" Target="../media/image3.tiff"/><Relationship Id="rId5" Type="http://schemas.openxmlformats.org/officeDocument/2006/relationships/image" Target="../media/image5.png"/><Relationship Id="rId4"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hyperlink" Target="#'Main Menu'!A1"/><Relationship Id="rId1" Type="http://schemas.openxmlformats.org/officeDocument/2006/relationships/hyperlink" Target="#'HazMat Release Analysis'!A1"/></Relationships>
</file>

<file path=xl/drawings/_rels/drawing21.xml.rels><?xml version="1.0" encoding="UTF-8" standalone="yes"?>
<Relationships xmlns="http://schemas.openxmlformats.org/package/2006/relationships"><Relationship Id="rId2" Type="http://schemas.openxmlformats.org/officeDocument/2006/relationships/hyperlink" Target="#'Main Menu'!A1"/><Relationship Id="rId1" Type="http://schemas.openxmlformats.org/officeDocument/2006/relationships/hyperlink" Target="#'Localized Inf Disease Analysis'!A1"/></Relationships>
</file>

<file path=xl/drawings/_rels/drawing22.xml.rels><?xml version="1.0" encoding="UTF-8" standalone="yes"?>
<Relationships xmlns="http://schemas.openxmlformats.org/package/2006/relationships"><Relationship Id="rId2" Type="http://schemas.openxmlformats.org/officeDocument/2006/relationships/hyperlink" Target="#'Main Menu'!A1"/><Relationship Id="rId1" Type="http://schemas.openxmlformats.org/officeDocument/2006/relationships/hyperlink" Target="#'Nuc Facility Accident Analysis'!A1"/></Relationships>
</file>

<file path=xl/drawings/_rels/drawing23.xml.rels><?xml version="1.0" encoding="UTF-8" standalone="yes"?>
<Relationships xmlns="http://schemas.openxmlformats.org/package/2006/relationships"><Relationship Id="rId2" Type="http://schemas.openxmlformats.org/officeDocument/2006/relationships/hyperlink" Target="#'Main Menu'!A1"/><Relationship Id="rId1" Type="http://schemas.openxmlformats.org/officeDocument/2006/relationships/hyperlink" Target="#'Pandemic Analysis'!A1"/></Relationships>
</file>

<file path=xl/drawings/_rels/drawing24.xml.rels><?xml version="1.0" encoding="UTF-8" standalone="yes"?>
<Relationships xmlns="http://schemas.openxmlformats.org/package/2006/relationships"><Relationship Id="rId2" Type="http://schemas.openxmlformats.org/officeDocument/2006/relationships/hyperlink" Target="#'Main Menu'!A1"/><Relationship Id="rId1" Type="http://schemas.openxmlformats.org/officeDocument/2006/relationships/hyperlink" Target="#'RDD Analysis'!A1"/></Relationships>
</file>

<file path=xl/drawings/_rels/drawing25.xml.rels><?xml version="1.0" encoding="UTF-8" standalone="yes"?>
<Relationships xmlns="http://schemas.openxmlformats.org/package/2006/relationships"><Relationship Id="rId2" Type="http://schemas.openxmlformats.org/officeDocument/2006/relationships/hyperlink" Target="#'Main Menu'!A1"/><Relationship Id="rId1" Type="http://schemas.openxmlformats.org/officeDocument/2006/relationships/hyperlink" Target="#'Temperature Extremes Analysis'!A1"/></Relationships>
</file>

<file path=xl/drawings/_rels/drawing26.xml.rels><?xml version="1.0" encoding="UTF-8" standalone="yes"?>
<Relationships xmlns="http://schemas.openxmlformats.org/package/2006/relationships"><Relationship Id="rId2" Type="http://schemas.openxmlformats.org/officeDocument/2006/relationships/hyperlink" Target="#'Main Menu'!A1"/><Relationship Id="rId1" Type="http://schemas.openxmlformats.org/officeDocument/2006/relationships/hyperlink" Target="#'Tornado Analysis'!A1"/></Relationships>
</file>

<file path=xl/drawings/_rels/drawing27.xml.rels><?xml version="1.0" encoding="UTF-8" standalone="yes"?>
<Relationships xmlns="http://schemas.openxmlformats.org/package/2006/relationships"><Relationship Id="rId2" Type="http://schemas.openxmlformats.org/officeDocument/2006/relationships/hyperlink" Target="#'Main Menu'!A1"/><Relationship Id="rId1" Type="http://schemas.openxmlformats.org/officeDocument/2006/relationships/hyperlink" Target="#'Utility Interruption Analysis'!A1"/></Relationships>
</file>

<file path=xl/drawings/_rels/drawing28.xml.rels><?xml version="1.0" encoding="UTF-8" standalone="yes"?>
<Relationships xmlns="http://schemas.openxmlformats.org/package/2006/relationships"><Relationship Id="rId2" Type="http://schemas.openxmlformats.org/officeDocument/2006/relationships/hyperlink" Target="#'Main Menu'!A1"/><Relationship Id="rId1" Type="http://schemas.openxmlformats.org/officeDocument/2006/relationships/hyperlink" Target="#'Fire Analysis'!A1"/></Relationships>
</file>

<file path=xl/drawings/_rels/drawing29.xml.rels><?xml version="1.0" encoding="UTF-8" standalone="yes"?>
<Relationships xmlns="http://schemas.openxmlformats.org/package/2006/relationships"><Relationship Id="rId2" Type="http://schemas.openxmlformats.org/officeDocument/2006/relationships/hyperlink" Target="#'Main Menu'!A1"/><Relationship Id="rId1" Type="http://schemas.openxmlformats.org/officeDocument/2006/relationships/hyperlink" Target="#'Winter Storm Analysis'!A1"/></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1.png"/><Relationship Id="rId1" Type="http://schemas.openxmlformats.org/officeDocument/2006/relationships/hyperlink" Target="#'Main Menu'!A1"/></Relationships>
</file>

<file path=xl/drawings/_rels/drawing30.xml.rels><?xml version="1.0" encoding="UTF-8" standalone="yes"?>
<Relationships xmlns="http://schemas.openxmlformats.org/package/2006/relationships"><Relationship Id="rId2" Type="http://schemas.openxmlformats.org/officeDocument/2006/relationships/hyperlink" Target="#'Main Menu'!A1"/><Relationship Id="rId1" Type="http://schemas.openxmlformats.org/officeDocument/2006/relationships/hyperlink" Target="#'Hazard1 Analysis'!A1"/></Relationships>
</file>

<file path=xl/drawings/_rels/drawing31.xml.rels><?xml version="1.0" encoding="UTF-8" standalone="yes"?>
<Relationships xmlns="http://schemas.openxmlformats.org/package/2006/relationships"><Relationship Id="rId2" Type="http://schemas.openxmlformats.org/officeDocument/2006/relationships/hyperlink" Target="#'Main Menu'!A1"/><Relationship Id="rId1" Type="http://schemas.openxmlformats.org/officeDocument/2006/relationships/hyperlink" Target="#'Hazard2 Analysis'!A1"/></Relationships>
</file>

<file path=xl/drawings/_rels/drawing32.xml.rels><?xml version="1.0" encoding="UTF-8" standalone="yes"?>
<Relationships xmlns="http://schemas.openxmlformats.org/package/2006/relationships"><Relationship Id="rId2" Type="http://schemas.openxmlformats.org/officeDocument/2006/relationships/hyperlink" Target="#'Main Menu'!A1"/><Relationship Id="rId1" Type="http://schemas.openxmlformats.org/officeDocument/2006/relationships/hyperlink" Target="#'Hazard3 Analysis'!A1"/></Relationships>
</file>

<file path=xl/drawings/_rels/drawing33.xml.rels><?xml version="1.0" encoding="UTF-8" standalone="yes"?>
<Relationships xmlns="http://schemas.openxmlformats.org/package/2006/relationships"><Relationship Id="rId2" Type="http://schemas.openxmlformats.org/officeDocument/2006/relationships/hyperlink" Target="#'Main Menu'!A1"/><Relationship Id="rId1" Type="http://schemas.openxmlformats.org/officeDocument/2006/relationships/hyperlink" Target="#'Hazard4 Analysis'!A1"/></Relationships>
</file>

<file path=xl/drawings/_rels/drawing34.xml.rels><?xml version="1.0" encoding="UTF-8" standalone="yes"?>
<Relationships xmlns="http://schemas.openxmlformats.org/package/2006/relationships"><Relationship Id="rId2" Type="http://schemas.openxmlformats.org/officeDocument/2006/relationships/hyperlink" Target="#'Main Menu'!A1"/><Relationship Id="rId1" Type="http://schemas.openxmlformats.org/officeDocument/2006/relationships/hyperlink" Target="#'Hazard5 Analysis'!A1"/></Relationships>
</file>

<file path=xl/drawings/_rels/drawing35.xml.rels><?xml version="1.0" encoding="UTF-8" standalone="yes"?>
<Relationships xmlns="http://schemas.openxmlformats.org/package/2006/relationships"><Relationship Id="rId2" Type="http://schemas.openxmlformats.org/officeDocument/2006/relationships/hyperlink" Target="#'Main Menu'!A1"/><Relationship Id="rId1" Type="http://schemas.openxmlformats.org/officeDocument/2006/relationships/hyperlink" Target="#'Hazard6 Analysis'!A1"/></Relationships>
</file>

<file path=xl/drawings/_rels/drawing36.xml.rels><?xml version="1.0" encoding="UTF-8" standalone="yes"?>
<Relationships xmlns="http://schemas.openxmlformats.org/package/2006/relationships"><Relationship Id="rId2" Type="http://schemas.openxmlformats.org/officeDocument/2006/relationships/hyperlink" Target="#'Main Menu'!A1"/><Relationship Id="rId1" Type="http://schemas.openxmlformats.org/officeDocument/2006/relationships/hyperlink" Target="#'Hazard7 Analysis'!A1"/></Relationships>
</file>

<file path=xl/drawings/_rels/drawing37.xml.rels><?xml version="1.0" encoding="UTF-8" standalone="yes"?>
<Relationships xmlns="http://schemas.openxmlformats.org/package/2006/relationships"><Relationship Id="rId2" Type="http://schemas.openxmlformats.org/officeDocument/2006/relationships/hyperlink" Target="#'Main Menu'!A1"/><Relationship Id="rId1" Type="http://schemas.openxmlformats.org/officeDocument/2006/relationships/hyperlink" Target="#'Hazard8 Analysis'!A1"/></Relationships>
</file>

<file path=xl/drawings/_rels/drawing38.xml.rels><?xml version="1.0" encoding="UTF-8" standalone="yes"?>
<Relationships xmlns="http://schemas.openxmlformats.org/package/2006/relationships"><Relationship Id="rId2" Type="http://schemas.openxmlformats.org/officeDocument/2006/relationships/hyperlink" Target="#'Main Menu'!A1"/><Relationship Id="rId1" Type="http://schemas.openxmlformats.org/officeDocument/2006/relationships/hyperlink" Target="#'Hazard9 Analysis'!A1"/></Relationships>
</file>

<file path=xl/drawings/_rels/drawing39.xml.rels><?xml version="1.0" encoding="UTF-8" standalone="yes"?>
<Relationships xmlns="http://schemas.openxmlformats.org/package/2006/relationships"><Relationship Id="rId2" Type="http://schemas.openxmlformats.org/officeDocument/2006/relationships/hyperlink" Target="#'Main Menu'!A1"/><Relationship Id="rId1" Type="http://schemas.openxmlformats.org/officeDocument/2006/relationships/hyperlink" Target="#'Hazard10 Analysis'!A1"/></Relationships>
</file>

<file path=xl/drawings/_rels/drawing4.xml.rels><?xml version="1.0" encoding="UTF-8" standalone="yes"?>
<Relationships xmlns="http://schemas.openxmlformats.org/package/2006/relationships"><Relationship Id="rId2" Type="http://schemas.openxmlformats.org/officeDocument/2006/relationships/hyperlink" Target="#Overview!A1"/><Relationship Id="rId1" Type="http://schemas.openxmlformats.org/officeDocument/2006/relationships/hyperlink" Target="#'Main Menu'!A1"/></Relationships>
</file>

<file path=xl/drawings/_rels/drawing40.xml.rels><?xml version="1.0" encoding="UTF-8" standalone="yes"?>
<Relationships xmlns="http://schemas.openxmlformats.org/package/2006/relationships"><Relationship Id="rId1" Type="http://schemas.openxmlformats.org/officeDocument/2006/relationships/hyperlink" Target="#'Main Menu'!A1"/></Relationships>
</file>

<file path=xl/drawings/_rels/drawing4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hyperlink" Target="#'Main Menu'!A1"/><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42.xml.rels><?xml version="1.0" encoding="UTF-8" standalone="yes"?>
<Relationships xmlns="http://schemas.openxmlformats.org/package/2006/relationships"><Relationship Id="rId1" Type="http://schemas.openxmlformats.org/officeDocument/2006/relationships/hyperlink" Target="#'Main Menu'!A1"/></Relationships>
</file>

<file path=xl/drawings/_rels/drawing43.xml.rels><?xml version="1.0" encoding="UTF-8" standalone="yes"?>
<Relationships xmlns="http://schemas.openxmlformats.org/package/2006/relationships"><Relationship Id="rId1" Type="http://schemas.openxmlformats.org/officeDocument/2006/relationships/hyperlink" Target="#'Main Menu'!A1"/></Relationships>
</file>

<file path=xl/drawings/_rels/drawing44.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hyperlink" Target="#'Main Menu'!A1"/><Relationship Id="rId1" Type="http://schemas.openxmlformats.org/officeDocument/2006/relationships/chart" Target="../charts/chart6.xml"/><Relationship Id="rId6" Type="http://schemas.openxmlformats.org/officeDocument/2006/relationships/chart" Target="../charts/chart10.xml"/><Relationship Id="rId5" Type="http://schemas.openxmlformats.org/officeDocument/2006/relationships/chart" Target="../charts/chart9.xml"/><Relationship Id="rId4" Type="http://schemas.openxmlformats.org/officeDocument/2006/relationships/chart" Target="../charts/chart8.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hyperlink" Target="#'Main Menu'!A1"/><Relationship Id="rId4" Type="http://schemas.openxmlformats.org/officeDocument/2006/relationships/chart" Target="../charts/chart13.xml"/></Relationships>
</file>

<file path=xl/drawings/_rels/drawing46.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hyperlink" Target="#'Main Menu'!A1"/><Relationship Id="rId4" Type="http://schemas.openxmlformats.org/officeDocument/2006/relationships/chart" Target="../charts/chart16.xml"/></Relationships>
</file>

<file path=xl/drawings/_rels/drawing47.xml.rels><?xml version="1.0" encoding="UTF-8" standalone="yes"?>
<Relationships xmlns="http://schemas.openxmlformats.org/package/2006/relationships"><Relationship Id="rId2" Type="http://schemas.openxmlformats.org/officeDocument/2006/relationships/hyperlink" Target="#'Main Menu'!A1"/><Relationship Id="rId1" Type="http://schemas.openxmlformats.org/officeDocument/2006/relationships/chart" Target="../charts/chart17.xml"/></Relationships>
</file>

<file path=xl/drawings/_rels/drawing48.xml.rels><?xml version="1.0" encoding="UTF-8" standalone="yes"?>
<Relationships xmlns="http://schemas.openxmlformats.org/package/2006/relationships"><Relationship Id="rId8" Type="http://schemas.openxmlformats.org/officeDocument/2006/relationships/hyperlink" Target="#'Cyber Terrorism Analysis'!A1"/><Relationship Id="rId13" Type="http://schemas.openxmlformats.org/officeDocument/2006/relationships/hyperlink" Target="#'HazMat Release Analysis'!A1"/><Relationship Id="rId18" Type="http://schemas.openxmlformats.org/officeDocument/2006/relationships/hyperlink" Target="#'Temperature Extremes Analysis'!A1"/><Relationship Id="rId26" Type="http://schemas.openxmlformats.org/officeDocument/2006/relationships/hyperlink" Target="#'Hazard5 Analysis'!A1"/><Relationship Id="rId3" Type="http://schemas.openxmlformats.org/officeDocument/2006/relationships/hyperlink" Target="#'Biological Terrorism Analysis'!A1"/><Relationship Id="rId21" Type="http://schemas.openxmlformats.org/officeDocument/2006/relationships/hyperlink" Target="#'Winter Storm Analysis'!A1"/><Relationship Id="rId7" Type="http://schemas.openxmlformats.org/officeDocument/2006/relationships/hyperlink" Target="#'Conventional Explosive Analysis'!A1"/><Relationship Id="rId12" Type="http://schemas.openxmlformats.org/officeDocument/2006/relationships/hyperlink" Target="#'Flood Analysis'!A1"/><Relationship Id="rId17" Type="http://schemas.openxmlformats.org/officeDocument/2006/relationships/hyperlink" Target="#'RDD Analysis'!A1"/><Relationship Id="rId25" Type="http://schemas.openxmlformats.org/officeDocument/2006/relationships/hyperlink" Target="#'Hazard4 Analysis'!A1"/><Relationship Id="rId2" Type="http://schemas.openxmlformats.org/officeDocument/2006/relationships/hyperlink" Target="#'Active Shooter Analysis'!A1"/><Relationship Id="rId16" Type="http://schemas.openxmlformats.org/officeDocument/2006/relationships/hyperlink" Target="#'Pandemic Analysis'!A1"/><Relationship Id="rId20" Type="http://schemas.openxmlformats.org/officeDocument/2006/relationships/hyperlink" Target="#'Utility Interruption Analysis'!A1"/><Relationship Id="rId29" Type="http://schemas.openxmlformats.org/officeDocument/2006/relationships/hyperlink" Target="#'Hazard8 Analysis'!A1"/><Relationship Id="rId1" Type="http://schemas.openxmlformats.org/officeDocument/2006/relationships/hyperlink" Target="#'Main Menu'!A1"/><Relationship Id="rId6" Type="http://schemas.openxmlformats.org/officeDocument/2006/relationships/hyperlink" Target="#'Coastal Storm Analysis'!A1"/><Relationship Id="rId11" Type="http://schemas.openxmlformats.org/officeDocument/2006/relationships/hyperlink" Target="#'Fire Analysis'!A1"/><Relationship Id="rId24" Type="http://schemas.openxmlformats.org/officeDocument/2006/relationships/hyperlink" Target="#'Hazard3 Analysis'!A1"/><Relationship Id="rId5" Type="http://schemas.openxmlformats.org/officeDocument/2006/relationships/hyperlink" Target="#'Civil Disturbance Analysis'!A1"/><Relationship Id="rId15" Type="http://schemas.openxmlformats.org/officeDocument/2006/relationships/hyperlink" Target="#'Nuc Facility Accident Analysis'!A1"/><Relationship Id="rId23" Type="http://schemas.openxmlformats.org/officeDocument/2006/relationships/hyperlink" Target="#'Hazard2 Analysis'!A1"/><Relationship Id="rId28" Type="http://schemas.openxmlformats.org/officeDocument/2006/relationships/hyperlink" Target="#'Hazard7 Analysis'!A1"/><Relationship Id="rId10" Type="http://schemas.openxmlformats.org/officeDocument/2006/relationships/hyperlink" Target="#'Earthquake Analysis'!A1"/><Relationship Id="rId19" Type="http://schemas.openxmlformats.org/officeDocument/2006/relationships/hyperlink" Target="#'Tornado Analysis'!A1"/><Relationship Id="rId31" Type="http://schemas.openxmlformats.org/officeDocument/2006/relationships/hyperlink" Target="#'Hazard10 Analysis'!A1"/><Relationship Id="rId4" Type="http://schemas.openxmlformats.org/officeDocument/2006/relationships/hyperlink" Target="#'Chemical Terrorism Analysis'!A1"/><Relationship Id="rId9" Type="http://schemas.openxmlformats.org/officeDocument/2006/relationships/hyperlink" Target="#'Drought Analysis'!A1"/><Relationship Id="rId14" Type="http://schemas.openxmlformats.org/officeDocument/2006/relationships/hyperlink" Target="#'Localized Inf Disease Analysis'!A1"/><Relationship Id="rId22" Type="http://schemas.openxmlformats.org/officeDocument/2006/relationships/hyperlink" Target="#'Hazard1 Analysis'!A1"/><Relationship Id="rId27" Type="http://schemas.openxmlformats.org/officeDocument/2006/relationships/hyperlink" Target="#'Hazard6 Analysis'!A1"/><Relationship Id="rId30" Type="http://schemas.openxmlformats.org/officeDocument/2006/relationships/hyperlink" Target="#'Hazard9 Analysis'!A1"/></Relationships>
</file>

<file path=xl/drawings/_rels/drawing49.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 Id="rId6" Type="http://schemas.openxmlformats.org/officeDocument/2006/relationships/chart" Target="../charts/chart21.xml"/><Relationship Id="rId5" Type="http://schemas.openxmlformats.org/officeDocument/2006/relationships/hyperlink" Target="#'Active Shooter'!A1"/><Relationship Id="rId4" Type="http://schemas.openxmlformats.org/officeDocument/2006/relationships/hyperlink" Target="#'Hazard Analyses Menu'!A1"/></Relationships>
</file>

<file path=xl/drawings/_rels/drawing5.xml.rels><?xml version="1.0" encoding="UTF-8" standalone="yes"?>
<Relationships xmlns="http://schemas.openxmlformats.org/package/2006/relationships"><Relationship Id="rId1" Type="http://schemas.openxmlformats.org/officeDocument/2006/relationships/hyperlink" Target="#'Main Menu'!A1"/></Relationships>
</file>

<file path=xl/drawings/_rels/drawing50.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 Id="rId6" Type="http://schemas.openxmlformats.org/officeDocument/2006/relationships/chart" Target="../charts/chart25.xml"/><Relationship Id="rId5" Type="http://schemas.openxmlformats.org/officeDocument/2006/relationships/hyperlink" Target="#'Biological Terrorism'!A1"/><Relationship Id="rId4" Type="http://schemas.openxmlformats.org/officeDocument/2006/relationships/hyperlink" Target="#'Hazard Analyses Menu'!A1"/></Relationships>
</file>

<file path=xl/drawings/_rels/drawing51.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hyperlink" Target="#'Chemical Terrorism'!A1"/><Relationship Id="rId1" Type="http://schemas.openxmlformats.org/officeDocument/2006/relationships/hyperlink" Target="#'Hazard Analyses Menu'!A1"/><Relationship Id="rId6" Type="http://schemas.openxmlformats.org/officeDocument/2006/relationships/chart" Target="../charts/chart29.xml"/><Relationship Id="rId5" Type="http://schemas.openxmlformats.org/officeDocument/2006/relationships/chart" Target="../charts/chart28.xml"/><Relationship Id="rId4" Type="http://schemas.openxmlformats.org/officeDocument/2006/relationships/chart" Target="../charts/chart27.xml"/></Relationships>
</file>

<file path=xl/drawings/_rels/drawing52.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 Id="rId6" Type="http://schemas.openxmlformats.org/officeDocument/2006/relationships/chart" Target="../charts/chart33.xml"/><Relationship Id="rId5" Type="http://schemas.openxmlformats.org/officeDocument/2006/relationships/hyperlink" Target="#'Civil Disturbance'!A1"/><Relationship Id="rId4" Type="http://schemas.openxmlformats.org/officeDocument/2006/relationships/hyperlink" Target="#'Hazard Analyses Menu'!A1"/></Relationships>
</file>

<file path=xl/drawings/_rels/drawing53.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chart" Target="../charts/chart34.xml"/><Relationship Id="rId6" Type="http://schemas.openxmlformats.org/officeDocument/2006/relationships/chart" Target="../charts/chart37.xml"/><Relationship Id="rId5" Type="http://schemas.openxmlformats.org/officeDocument/2006/relationships/hyperlink" Target="#'Coastal Storm'!A1"/><Relationship Id="rId4" Type="http://schemas.openxmlformats.org/officeDocument/2006/relationships/hyperlink" Target="#'Hazard Analyses Menu'!A1"/></Relationships>
</file>

<file path=xl/drawings/_rels/drawing54.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chart" Target="../charts/chart39.xml"/><Relationship Id="rId1" Type="http://schemas.openxmlformats.org/officeDocument/2006/relationships/chart" Target="../charts/chart38.xml"/><Relationship Id="rId6" Type="http://schemas.openxmlformats.org/officeDocument/2006/relationships/chart" Target="../charts/chart41.xml"/><Relationship Id="rId5" Type="http://schemas.openxmlformats.org/officeDocument/2006/relationships/hyperlink" Target="#'Conventional Explosive'!A1"/><Relationship Id="rId4" Type="http://schemas.openxmlformats.org/officeDocument/2006/relationships/hyperlink" Target="#'Hazard Analyses Menu'!A1"/></Relationships>
</file>

<file path=xl/drawings/_rels/drawing55.xml.rels><?xml version="1.0" encoding="UTF-8" standalone="yes"?>
<Relationships xmlns="http://schemas.openxmlformats.org/package/2006/relationships"><Relationship Id="rId3" Type="http://schemas.openxmlformats.org/officeDocument/2006/relationships/chart" Target="../charts/chart44.xml"/><Relationship Id="rId2" Type="http://schemas.openxmlformats.org/officeDocument/2006/relationships/chart" Target="../charts/chart43.xml"/><Relationship Id="rId1" Type="http://schemas.openxmlformats.org/officeDocument/2006/relationships/chart" Target="../charts/chart42.xml"/><Relationship Id="rId6" Type="http://schemas.openxmlformats.org/officeDocument/2006/relationships/chart" Target="../charts/chart45.xml"/><Relationship Id="rId5" Type="http://schemas.openxmlformats.org/officeDocument/2006/relationships/hyperlink" Target="#'Cyber Terrorism'!A1"/><Relationship Id="rId4" Type="http://schemas.openxmlformats.org/officeDocument/2006/relationships/hyperlink" Target="#'Hazard Analyses Menu'!A1"/></Relationships>
</file>

<file path=xl/drawings/_rels/drawing56.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chart" Target="../charts/chart47.xml"/><Relationship Id="rId1" Type="http://schemas.openxmlformats.org/officeDocument/2006/relationships/chart" Target="../charts/chart46.xml"/><Relationship Id="rId6" Type="http://schemas.openxmlformats.org/officeDocument/2006/relationships/chart" Target="../charts/chart49.xml"/><Relationship Id="rId5" Type="http://schemas.openxmlformats.org/officeDocument/2006/relationships/hyperlink" Target="#Drought!A1"/><Relationship Id="rId4" Type="http://schemas.openxmlformats.org/officeDocument/2006/relationships/hyperlink" Target="#'Hazard Analyses Menu'!A1"/></Relationships>
</file>

<file path=xl/drawings/_rels/drawing57.xml.rels><?xml version="1.0" encoding="UTF-8" standalone="yes"?>
<Relationships xmlns="http://schemas.openxmlformats.org/package/2006/relationships"><Relationship Id="rId3" Type="http://schemas.openxmlformats.org/officeDocument/2006/relationships/chart" Target="../charts/chart52.xml"/><Relationship Id="rId2" Type="http://schemas.openxmlformats.org/officeDocument/2006/relationships/chart" Target="../charts/chart51.xml"/><Relationship Id="rId1" Type="http://schemas.openxmlformats.org/officeDocument/2006/relationships/chart" Target="../charts/chart50.xml"/><Relationship Id="rId6" Type="http://schemas.openxmlformats.org/officeDocument/2006/relationships/chart" Target="../charts/chart53.xml"/><Relationship Id="rId5" Type="http://schemas.openxmlformats.org/officeDocument/2006/relationships/hyperlink" Target="#Earthquake!A1"/><Relationship Id="rId4" Type="http://schemas.openxmlformats.org/officeDocument/2006/relationships/hyperlink" Target="#'Hazard Analyses Menu'!A1"/></Relationships>
</file>

<file path=xl/drawings/_rels/drawing58.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chart" Target="../charts/chart55.xml"/><Relationship Id="rId1" Type="http://schemas.openxmlformats.org/officeDocument/2006/relationships/chart" Target="../charts/chart54.xml"/><Relationship Id="rId6" Type="http://schemas.openxmlformats.org/officeDocument/2006/relationships/chart" Target="../charts/chart57.xml"/><Relationship Id="rId5" Type="http://schemas.openxmlformats.org/officeDocument/2006/relationships/hyperlink" Target="#Fire!A1"/><Relationship Id="rId4" Type="http://schemas.openxmlformats.org/officeDocument/2006/relationships/hyperlink" Target="#'Hazard Analyses Menu'!A1"/></Relationships>
</file>

<file path=xl/drawings/_rels/drawing59.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chart" Target="../charts/chart59.xml"/><Relationship Id="rId1" Type="http://schemas.openxmlformats.org/officeDocument/2006/relationships/chart" Target="../charts/chart58.xml"/><Relationship Id="rId6" Type="http://schemas.openxmlformats.org/officeDocument/2006/relationships/chart" Target="../charts/chart61.xml"/><Relationship Id="rId5" Type="http://schemas.openxmlformats.org/officeDocument/2006/relationships/hyperlink" Target="#Flood!A1"/><Relationship Id="rId4" Type="http://schemas.openxmlformats.org/officeDocument/2006/relationships/hyperlink" Target="#'Hazard Analyses Menu'!A1"/></Relationships>
</file>

<file path=xl/drawings/_rels/drawing6.xml.rels><?xml version="1.0" encoding="UTF-8" standalone="yes"?>
<Relationships xmlns="http://schemas.openxmlformats.org/package/2006/relationships"><Relationship Id="rId1" Type="http://schemas.openxmlformats.org/officeDocument/2006/relationships/hyperlink" Target="#'Main Menu'!A1"/></Relationships>
</file>

<file path=xl/drawings/_rels/drawing60.xml.rels><?xml version="1.0" encoding="UTF-8" standalone="yes"?>
<Relationships xmlns="http://schemas.openxmlformats.org/package/2006/relationships"><Relationship Id="rId3" Type="http://schemas.openxmlformats.org/officeDocument/2006/relationships/chart" Target="../charts/chart64.xml"/><Relationship Id="rId2" Type="http://schemas.openxmlformats.org/officeDocument/2006/relationships/chart" Target="../charts/chart63.xml"/><Relationship Id="rId1" Type="http://schemas.openxmlformats.org/officeDocument/2006/relationships/chart" Target="../charts/chart62.xml"/><Relationship Id="rId6" Type="http://schemas.openxmlformats.org/officeDocument/2006/relationships/chart" Target="../charts/chart65.xml"/><Relationship Id="rId5" Type="http://schemas.openxmlformats.org/officeDocument/2006/relationships/hyperlink" Target="#'Hazardous Materials Release'!A1"/><Relationship Id="rId4" Type="http://schemas.openxmlformats.org/officeDocument/2006/relationships/hyperlink" Target="#'Hazard Analyses Menu'!A1"/></Relationships>
</file>

<file path=xl/drawings/_rels/drawing61.xml.rels><?xml version="1.0" encoding="UTF-8" standalone="yes"?>
<Relationships xmlns="http://schemas.openxmlformats.org/package/2006/relationships"><Relationship Id="rId3" Type="http://schemas.openxmlformats.org/officeDocument/2006/relationships/chart" Target="../charts/chart68.xml"/><Relationship Id="rId2" Type="http://schemas.openxmlformats.org/officeDocument/2006/relationships/chart" Target="../charts/chart67.xml"/><Relationship Id="rId1" Type="http://schemas.openxmlformats.org/officeDocument/2006/relationships/chart" Target="../charts/chart66.xml"/><Relationship Id="rId6" Type="http://schemas.openxmlformats.org/officeDocument/2006/relationships/chart" Target="../charts/chart69.xml"/><Relationship Id="rId5" Type="http://schemas.openxmlformats.org/officeDocument/2006/relationships/hyperlink" Target="#'Localized Infectious Disease'!A1"/><Relationship Id="rId4" Type="http://schemas.openxmlformats.org/officeDocument/2006/relationships/hyperlink" Target="#'Hazard Analyses Menu'!A1"/></Relationships>
</file>

<file path=xl/drawings/_rels/drawing62.xml.rels><?xml version="1.0" encoding="UTF-8" standalone="yes"?>
<Relationships xmlns="http://schemas.openxmlformats.org/package/2006/relationships"><Relationship Id="rId3" Type="http://schemas.openxmlformats.org/officeDocument/2006/relationships/hyperlink" Target="#'Hazard Analyses Menu'!A1"/><Relationship Id="rId2" Type="http://schemas.openxmlformats.org/officeDocument/2006/relationships/chart" Target="../charts/chart71.xml"/><Relationship Id="rId1" Type="http://schemas.openxmlformats.org/officeDocument/2006/relationships/chart" Target="../charts/chart70.xml"/><Relationship Id="rId6" Type="http://schemas.openxmlformats.org/officeDocument/2006/relationships/chart" Target="../charts/chart73.xml"/><Relationship Id="rId5" Type="http://schemas.openxmlformats.org/officeDocument/2006/relationships/chart" Target="../charts/chart72.xml"/><Relationship Id="rId4" Type="http://schemas.openxmlformats.org/officeDocument/2006/relationships/hyperlink" Target="#'Nuclear Facility Accident'!A1"/></Relationships>
</file>

<file path=xl/drawings/_rels/drawing63.xml.rels><?xml version="1.0" encoding="UTF-8" standalone="yes"?>
<Relationships xmlns="http://schemas.openxmlformats.org/package/2006/relationships"><Relationship Id="rId3" Type="http://schemas.openxmlformats.org/officeDocument/2006/relationships/chart" Target="../charts/chart76.xml"/><Relationship Id="rId2" Type="http://schemas.openxmlformats.org/officeDocument/2006/relationships/chart" Target="../charts/chart75.xml"/><Relationship Id="rId1" Type="http://schemas.openxmlformats.org/officeDocument/2006/relationships/chart" Target="../charts/chart74.xml"/><Relationship Id="rId6" Type="http://schemas.openxmlformats.org/officeDocument/2006/relationships/chart" Target="../charts/chart77.xml"/><Relationship Id="rId5" Type="http://schemas.openxmlformats.org/officeDocument/2006/relationships/hyperlink" Target="#Pandemic!A1"/><Relationship Id="rId4" Type="http://schemas.openxmlformats.org/officeDocument/2006/relationships/hyperlink" Target="#'Hazard Analyses Menu'!A1"/></Relationships>
</file>

<file path=xl/drawings/_rels/drawing64.xml.rels><?xml version="1.0" encoding="UTF-8" standalone="yes"?>
<Relationships xmlns="http://schemas.openxmlformats.org/package/2006/relationships"><Relationship Id="rId3" Type="http://schemas.openxmlformats.org/officeDocument/2006/relationships/chart" Target="../charts/chart80.xml"/><Relationship Id="rId2" Type="http://schemas.openxmlformats.org/officeDocument/2006/relationships/chart" Target="../charts/chart79.xml"/><Relationship Id="rId1" Type="http://schemas.openxmlformats.org/officeDocument/2006/relationships/chart" Target="../charts/chart78.xml"/><Relationship Id="rId6" Type="http://schemas.openxmlformats.org/officeDocument/2006/relationships/chart" Target="../charts/chart81.xml"/><Relationship Id="rId5" Type="http://schemas.openxmlformats.org/officeDocument/2006/relationships/hyperlink" Target="#'Radiation Dispersal Device'!A1"/><Relationship Id="rId4" Type="http://schemas.openxmlformats.org/officeDocument/2006/relationships/hyperlink" Target="#'Hazard Analyses Menu'!A1"/></Relationships>
</file>

<file path=xl/drawings/_rels/drawing65.xml.rels><?xml version="1.0" encoding="UTF-8" standalone="yes"?>
<Relationships xmlns="http://schemas.openxmlformats.org/package/2006/relationships"><Relationship Id="rId3" Type="http://schemas.openxmlformats.org/officeDocument/2006/relationships/chart" Target="../charts/chart84.xml"/><Relationship Id="rId2" Type="http://schemas.openxmlformats.org/officeDocument/2006/relationships/chart" Target="../charts/chart83.xml"/><Relationship Id="rId1" Type="http://schemas.openxmlformats.org/officeDocument/2006/relationships/chart" Target="../charts/chart82.xml"/><Relationship Id="rId6" Type="http://schemas.openxmlformats.org/officeDocument/2006/relationships/chart" Target="../charts/chart85.xml"/><Relationship Id="rId5" Type="http://schemas.openxmlformats.org/officeDocument/2006/relationships/hyperlink" Target="#'Temperature Extremes'!A1"/><Relationship Id="rId4" Type="http://schemas.openxmlformats.org/officeDocument/2006/relationships/hyperlink" Target="#'Hazard Analyses Menu'!A1"/></Relationships>
</file>

<file path=xl/drawings/_rels/drawing66.xml.rels><?xml version="1.0" encoding="UTF-8" standalone="yes"?>
<Relationships xmlns="http://schemas.openxmlformats.org/package/2006/relationships"><Relationship Id="rId3" Type="http://schemas.openxmlformats.org/officeDocument/2006/relationships/chart" Target="../charts/chart88.xml"/><Relationship Id="rId2" Type="http://schemas.openxmlformats.org/officeDocument/2006/relationships/chart" Target="../charts/chart87.xml"/><Relationship Id="rId1" Type="http://schemas.openxmlformats.org/officeDocument/2006/relationships/chart" Target="../charts/chart86.xml"/><Relationship Id="rId6" Type="http://schemas.openxmlformats.org/officeDocument/2006/relationships/chart" Target="../charts/chart89.xml"/><Relationship Id="rId5" Type="http://schemas.openxmlformats.org/officeDocument/2006/relationships/hyperlink" Target="#Tornado!A1"/><Relationship Id="rId4" Type="http://schemas.openxmlformats.org/officeDocument/2006/relationships/hyperlink" Target="#'Hazard Analyses Menu'!A1"/></Relationships>
</file>

<file path=xl/drawings/_rels/drawing67.xml.rels><?xml version="1.0" encoding="UTF-8" standalone="yes"?>
<Relationships xmlns="http://schemas.openxmlformats.org/package/2006/relationships"><Relationship Id="rId3" Type="http://schemas.openxmlformats.org/officeDocument/2006/relationships/chart" Target="../charts/chart92.xml"/><Relationship Id="rId2" Type="http://schemas.openxmlformats.org/officeDocument/2006/relationships/chart" Target="../charts/chart91.xml"/><Relationship Id="rId1" Type="http://schemas.openxmlformats.org/officeDocument/2006/relationships/chart" Target="../charts/chart90.xml"/><Relationship Id="rId6" Type="http://schemas.openxmlformats.org/officeDocument/2006/relationships/chart" Target="../charts/chart93.xml"/><Relationship Id="rId5" Type="http://schemas.openxmlformats.org/officeDocument/2006/relationships/hyperlink" Target="#'Utility Interruption'!A1"/><Relationship Id="rId4" Type="http://schemas.openxmlformats.org/officeDocument/2006/relationships/hyperlink" Target="#'Hazard Analyses Menu'!A1"/></Relationships>
</file>

<file path=xl/drawings/_rels/drawing68.xml.rels><?xml version="1.0" encoding="UTF-8" standalone="yes"?>
<Relationships xmlns="http://schemas.openxmlformats.org/package/2006/relationships"><Relationship Id="rId3" Type="http://schemas.openxmlformats.org/officeDocument/2006/relationships/chart" Target="../charts/chart96.xml"/><Relationship Id="rId2" Type="http://schemas.openxmlformats.org/officeDocument/2006/relationships/chart" Target="../charts/chart95.xml"/><Relationship Id="rId1" Type="http://schemas.openxmlformats.org/officeDocument/2006/relationships/chart" Target="../charts/chart94.xml"/><Relationship Id="rId6" Type="http://schemas.openxmlformats.org/officeDocument/2006/relationships/chart" Target="../charts/chart97.xml"/><Relationship Id="rId5" Type="http://schemas.openxmlformats.org/officeDocument/2006/relationships/hyperlink" Target="#'Winter Storm'!A1"/><Relationship Id="rId4" Type="http://schemas.openxmlformats.org/officeDocument/2006/relationships/hyperlink" Target="#'Hazard Analyses Menu'!A1"/></Relationships>
</file>

<file path=xl/drawings/_rels/drawing69.xml.rels><?xml version="1.0" encoding="UTF-8" standalone="yes"?>
<Relationships xmlns="http://schemas.openxmlformats.org/package/2006/relationships"><Relationship Id="rId3" Type="http://schemas.openxmlformats.org/officeDocument/2006/relationships/chart" Target="../charts/chart100.xml"/><Relationship Id="rId2" Type="http://schemas.openxmlformats.org/officeDocument/2006/relationships/chart" Target="../charts/chart99.xml"/><Relationship Id="rId1" Type="http://schemas.openxmlformats.org/officeDocument/2006/relationships/chart" Target="../charts/chart98.xml"/><Relationship Id="rId6" Type="http://schemas.openxmlformats.org/officeDocument/2006/relationships/chart" Target="../charts/chart101.xml"/><Relationship Id="rId5" Type="http://schemas.openxmlformats.org/officeDocument/2006/relationships/hyperlink" Target="#Hazard1!A1"/><Relationship Id="rId4" Type="http://schemas.openxmlformats.org/officeDocument/2006/relationships/hyperlink" Target="#'Hazard Analyses Menu'!A1"/></Relationships>
</file>

<file path=xl/drawings/_rels/drawing7.xml.rels><?xml version="1.0" encoding="UTF-8" standalone="yes"?>
<Relationships xmlns="http://schemas.openxmlformats.org/package/2006/relationships"><Relationship Id="rId1" Type="http://schemas.openxmlformats.org/officeDocument/2006/relationships/hyperlink" Target="#'Main Menu'!A1"/></Relationships>
</file>

<file path=xl/drawings/_rels/drawing70.xml.rels><?xml version="1.0" encoding="UTF-8" standalone="yes"?>
<Relationships xmlns="http://schemas.openxmlformats.org/package/2006/relationships"><Relationship Id="rId3" Type="http://schemas.openxmlformats.org/officeDocument/2006/relationships/chart" Target="../charts/chart104.xml"/><Relationship Id="rId2" Type="http://schemas.openxmlformats.org/officeDocument/2006/relationships/chart" Target="../charts/chart103.xml"/><Relationship Id="rId1" Type="http://schemas.openxmlformats.org/officeDocument/2006/relationships/chart" Target="../charts/chart102.xml"/><Relationship Id="rId6" Type="http://schemas.openxmlformats.org/officeDocument/2006/relationships/chart" Target="../charts/chart105.xml"/><Relationship Id="rId5" Type="http://schemas.openxmlformats.org/officeDocument/2006/relationships/hyperlink" Target="#Hazard2!A1"/><Relationship Id="rId4" Type="http://schemas.openxmlformats.org/officeDocument/2006/relationships/hyperlink" Target="#'Hazard Analyses Menu'!A1"/></Relationships>
</file>

<file path=xl/drawings/_rels/drawing71.xml.rels><?xml version="1.0" encoding="UTF-8" standalone="yes"?>
<Relationships xmlns="http://schemas.openxmlformats.org/package/2006/relationships"><Relationship Id="rId3" Type="http://schemas.openxmlformats.org/officeDocument/2006/relationships/chart" Target="../charts/chart108.xml"/><Relationship Id="rId2" Type="http://schemas.openxmlformats.org/officeDocument/2006/relationships/chart" Target="../charts/chart107.xml"/><Relationship Id="rId1" Type="http://schemas.openxmlformats.org/officeDocument/2006/relationships/chart" Target="../charts/chart106.xml"/><Relationship Id="rId6" Type="http://schemas.openxmlformats.org/officeDocument/2006/relationships/chart" Target="../charts/chart109.xml"/><Relationship Id="rId5" Type="http://schemas.openxmlformats.org/officeDocument/2006/relationships/hyperlink" Target="#Hazard3!A1"/><Relationship Id="rId4" Type="http://schemas.openxmlformats.org/officeDocument/2006/relationships/hyperlink" Target="#'Hazard Analyses Menu'!A1"/></Relationships>
</file>

<file path=xl/drawings/_rels/drawing72.xml.rels><?xml version="1.0" encoding="UTF-8" standalone="yes"?>
<Relationships xmlns="http://schemas.openxmlformats.org/package/2006/relationships"><Relationship Id="rId3" Type="http://schemas.openxmlformats.org/officeDocument/2006/relationships/chart" Target="../charts/chart112.xml"/><Relationship Id="rId2" Type="http://schemas.openxmlformats.org/officeDocument/2006/relationships/chart" Target="../charts/chart111.xml"/><Relationship Id="rId1" Type="http://schemas.openxmlformats.org/officeDocument/2006/relationships/chart" Target="../charts/chart110.xml"/><Relationship Id="rId6" Type="http://schemas.openxmlformats.org/officeDocument/2006/relationships/chart" Target="../charts/chart113.xml"/><Relationship Id="rId5" Type="http://schemas.openxmlformats.org/officeDocument/2006/relationships/hyperlink" Target="#Hazard4!A1"/><Relationship Id="rId4" Type="http://schemas.openxmlformats.org/officeDocument/2006/relationships/hyperlink" Target="#'Hazard Analyses Menu'!A1"/></Relationships>
</file>

<file path=xl/drawings/_rels/drawing73.xml.rels><?xml version="1.0" encoding="UTF-8" standalone="yes"?>
<Relationships xmlns="http://schemas.openxmlformats.org/package/2006/relationships"><Relationship Id="rId3" Type="http://schemas.openxmlformats.org/officeDocument/2006/relationships/chart" Target="../charts/chart116.xml"/><Relationship Id="rId2" Type="http://schemas.openxmlformats.org/officeDocument/2006/relationships/chart" Target="../charts/chart115.xml"/><Relationship Id="rId1" Type="http://schemas.openxmlformats.org/officeDocument/2006/relationships/chart" Target="../charts/chart114.xml"/><Relationship Id="rId6" Type="http://schemas.openxmlformats.org/officeDocument/2006/relationships/chart" Target="../charts/chart117.xml"/><Relationship Id="rId5" Type="http://schemas.openxmlformats.org/officeDocument/2006/relationships/hyperlink" Target="#Hazard5!A1"/><Relationship Id="rId4" Type="http://schemas.openxmlformats.org/officeDocument/2006/relationships/hyperlink" Target="#'Hazard Analyses Menu'!A1"/></Relationships>
</file>

<file path=xl/drawings/_rels/drawing74.xml.rels><?xml version="1.0" encoding="UTF-8" standalone="yes"?>
<Relationships xmlns="http://schemas.openxmlformats.org/package/2006/relationships"><Relationship Id="rId3" Type="http://schemas.openxmlformats.org/officeDocument/2006/relationships/chart" Target="../charts/chart120.xml"/><Relationship Id="rId2" Type="http://schemas.openxmlformats.org/officeDocument/2006/relationships/chart" Target="../charts/chart119.xml"/><Relationship Id="rId1" Type="http://schemas.openxmlformats.org/officeDocument/2006/relationships/chart" Target="../charts/chart118.xml"/><Relationship Id="rId6" Type="http://schemas.openxmlformats.org/officeDocument/2006/relationships/chart" Target="../charts/chart121.xml"/><Relationship Id="rId5" Type="http://schemas.openxmlformats.org/officeDocument/2006/relationships/hyperlink" Target="#Hazard6!A1"/><Relationship Id="rId4" Type="http://schemas.openxmlformats.org/officeDocument/2006/relationships/hyperlink" Target="#'Hazard Analyses Menu'!A1"/></Relationships>
</file>

<file path=xl/drawings/_rels/drawing75.xml.rels><?xml version="1.0" encoding="UTF-8" standalone="yes"?>
<Relationships xmlns="http://schemas.openxmlformats.org/package/2006/relationships"><Relationship Id="rId3" Type="http://schemas.openxmlformats.org/officeDocument/2006/relationships/chart" Target="../charts/chart124.xml"/><Relationship Id="rId2" Type="http://schemas.openxmlformats.org/officeDocument/2006/relationships/chart" Target="../charts/chart123.xml"/><Relationship Id="rId1" Type="http://schemas.openxmlformats.org/officeDocument/2006/relationships/chart" Target="../charts/chart122.xml"/><Relationship Id="rId6" Type="http://schemas.openxmlformats.org/officeDocument/2006/relationships/chart" Target="../charts/chart125.xml"/><Relationship Id="rId5" Type="http://schemas.openxmlformats.org/officeDocument/2006/relationships/hyperlink" Target="#Hazard7!A1"/><Relationship Id="rId4" Type="http://schemas.openxmlformats.org/officeDocument/2006/relationships/hyperlink" Target="#'Hazard Analyses Menu'!A1"/></Relationships>
</file>

<file path=xl/drawings/_rels/drawing76.xml.rels><?xml version="1.0" encoding="UTF-8" standalone="yes"?>
<Relationships xmlns="http://schemas.openxmlformats.org/package/2006/relationships"><Relationship Id="rId3" Type="http://schemas.openxmlformats.org/officeDocument/2006/relationships/chart" Target="../charts/chart128.xml"/><Relationship Id="rId2" Type="http://schemas.openxmlformats.org/officeDocument/2006/relationships/chart" Target="../charts/chart127.xml"/><Relationship Id="rId1" Type="http://schemas.openxmlformats.org/officeDocument/2006/relationships/chart" Target="../charts/chart126.xml"/><Relationship Id="rId6" Type="http://schemas.openxmlformats.org/officeDocument/2006/relationships/chart" Target="../charts/chart129.xml"/><Relationship Id="rId5" Type="http://schemas.openxmlformats.org/officeDocument/2006/relationships/hyperlink" Target="#Hazard8!A1"/><Relationship Id="rId4" Type="http://schemas.openxmlformats.org/officeDocument/2006/relationships/hyperlink" Target="#'Hazard Analyses Menu'!A1"/></Relationships>
</file>

<file path=xl/drawings/_rels/drawing77.xml.rels><?xml version="1.0" encoding="UTF-8" standalone="yes"?>
<Relationships xmlns="http://schemas.openxmlformats.org/package/2006/relationships"><Relationship Id="rId3" Type="http://schemas.openxmlformats.org/officeDocument/2006/relationships/chart" Target="../charts/chart132.xml"/><Relationship Id="rId2" Type="http://schemas.openxmlformats.org/officeDocument/2006/relationships/chart" Target="../charts/chart131.xml"/><Relationship Id="rId1" Type="http://schemas.openxmlformats.org/officeDocument/2006/relationships/chart" Target="../charts/chart130.xml"/><Relationship Id="rId6" Type="http://schemas.openxmlformats.org/officeDocument/2006/relationships/chart" Target="../charts/chart133.xml"/><Relationship Id="rId5" Type="http://schemas.openxmlformats.org/officeDocument/2006/relationships/hyperlink" Target="#Hazard9!A1"/><Relationship Id="rId4" Type="http://schemas.openxmlformats.org/officeDocument/2006/relationships/hyperlink" Target="#'Hazard Analyses Menu'!A1"/></Relationships>
</file>

<file path=xl/drawings/_rels/drawing78.xml.rels><?xml version="1.0" encoding="UTF-8" standalone="yes"?>
<Relationships xmlns="http://schemas.openxmlformats.org/package/2006/relationships"><Relationship Id="rId3" Type="http://schemas.openxmlformats.org/officeDocument/2006/relationships/chart" Target="../charts/chart136.xml"/><Relationship Id="rId2" Type="http://schemas.openxmlformats.org/officeDocument/2006/relationships/chart" Target="../charts/chart135.xml"/><Relationship Id="rId1" Type="http://schemas.openxmlformats.org/officeDocument/2006/relationships/chart" Target="../charts/chart134.xml"/><Relationship Id="rId6" Type="http://schemas.openxmlformats.org/officeDocument/2006/relationships/chart" Target="../charts/chart137.xml"/><Relationship Id="rId5" Type="http://schemas.openxmlformats.org/officeDocument/2006/relationships/hyperlink" Target="#Hazard10!A1"/><Relationship Id="rId4" Type="http://schemas.openxmlformats.org/officeDocument/2006/relationships/hyperlink" Target="#'Hazard Analyses Menu'!A1"/></Relationships>
</file>

<file path=xl/drawings/_rels/drawing8.xml.rels><?xml version="1.0" encoding="UTF-8" standalone="yes"?>
<Relationships xmlns="http://schemas.openxmlformats.org/package/2006/relationships"><Relationship Id="rId1" Type="http://schemas.openxmlformats.org/officeDocument/2006/relationships/hyperlink" Target="#'Main Menu'!A1"/></Relationships>
</file>

<file path=xl/drawings/_rels/drawing9.xml.rels><?xml version="1.0" encoding="UTF-8" standalone="yes"?>
<Relationships xmlns="http://schemas.openxmlformats.org/package/2006/relationships"><Relationship Id="rId1" Type="http://schemas.openxmlformats.org/officeDocument/2006/relationships/hyperlink" Target="#'Main Menu'!A1"/></Relationships>
</file>

<file path=xl/drawings/_rels/vmlDrawing1.v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9</xdr:col>
      <xdr:colOff>0</xdr:colOff>
      <xdr:row>12</xdr:row>
      <xdr:rowOff>0</xdr:rowOff>
    </xdr:from>
    <xdr:to>
      <xdr:col>10</xdr:col>
      <xdr:colOff>9525</xdr:colOff>
      <xdr:row>13</xdr:row>
      <xdr:rowOff>9525</xdr:rowOff>
    </xdr:to>
    <xdr:sp macro="" textlink="">
      <xdr:nvSpPr>
        <xdr:cNvPr id="7" name="Rounded Rectangle 6">
          <a:hlinkClick xmlns:r="http://schemas.openxmlformats.org/officeDocument/2006/relationships" r:id="rId1"/>
          <a:extLst>
            <a:ext uri="{FF2B5EF4-FFF2-40B4-BE49-F238E27FC236}">
              <a16:creationId xmlns:a16="http://schemas.microsoft.com/office/drawing/2014/main" id="{00000000-0008-0000-0000-000007000000}"/>
            </a:ext>
          </a:extLst>
        </xdr:cNvPr>
        <xdr:cNvSpPr/>
      </xdr:nvSpPr>
      <xdr:spPr>
        <a:xfrm>
          <a:off x="5476875" y="2362200"/>
          <a:ext cx="1828800" cy="219075"/>
        </a:xfrm>
        <a:prstGeom prst="roundRect">
          <a:avLst/>
        </a:prstGeom>
        <a:gradFill>
          <a:gsLst>
            <a:gs pos="0">
              <a:srgbClr val="DCCD72"/>
            </a:gs>
            <a:gs pos="50000">
              <a:srgbClr val="FFFF99"/>
            </a:gs>
            <a:gs pos="70000">
              <a:srgbClr val="FFFFCC"/>
            </a:gs>
            <a:gs pos="100000">
              <a:srgbClr val="FFFFCC"/>
            </a:gs>
          </a:gsLst>
        </a:gradFill>
        <a:ln w="19050">
          <a:solidFill>
            <a:schemeClr val="tx1"/>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1100" b="1">
              <a:solidFill>
                <a:schemeClr val="tx1"/>
              </a:solidFill>
            </a:rPr>
            <a:t>Read Me First</a:t>
          </a:r>
          <a:r>
            <a:rPr lang="en-US" sz="1100" b="1" baseline="0">
              <a:solidFill>
                <a:schemeClr val="tx1"/>
              </a:solidFill>
            </a:rPr>
            <a:t> - Quick Start</a:t>
          </a:r>
        </a:p>
      </xdr:txBody>
    </xdr:sp>
    <xdr:clientData/>
  </xdr:twoCellAnchor>
  <xdr:twoCellAnchor>
    <xdr:from>
      <xdr:col>9</xdr:col>
      <xdr:colOff>0</xdr:colOff>
      <xdr:row>14</xdr:row>
      <xdr:rowOff>0</xdr:rowOff>
    </xdr:from>
    <xdr:to>
      <xdr:col>10</xdr:col>
      <xdr:colOff>9525</xdr:colOff>
      <xdr:row>15</xdr:row>
      <xdr:rowOff>9525</xdr:rowOff>
    </xdr:to>
    <xdr:sp macro="" textlink="">
      <xdr:nvSpPr>
        <xdr:cNvPr id="8" name="Rounded Rectangle 7">
          <a:hlinkClick xmlns:r="http://schemas.openxmlformats.org/officeDocument/2006/relationships" r:id="rId2"/>
          <a:extLst>
            <a:ext uri="{FF2B5EF4-FFF2-40B4-BE49-F238E27FC236}">
              <a16:creationId xmlns:a16="http://schemas.microsoft.com/office/drawing/2014/main" id="{00000000-0008-0000-0000-000008000000}"/>
            </a:ext>
          </a:extLst>
        </xdr:cNvPr>
        <xdr:cNvSpPr/>
      </xdr:nvSpPr>
      <xdr:spPr>
        <a:xfrm>
          <a:off x="5476875" y="2781300"/>
          <a:ext cx="1828800" cy="219075"/>
        </a:xfrm>
        <a:prstGeom prst="roundRect">
          <a:avLst/>
        </a:prstGeom>
        <a:gradFill>
          <a:gsLst>
            <a:gs pos="0">
              <a:srgbClr val="DCCD72"/>
            </a:gs>
            <a:gs pos="50000">
              <a:srgbClr val="FFFF99"/>
            </a:gs>
            <a:gs pos="70000">
              <a:srgbClr val="FFFFCC"/>
            </a:gs>
            <a:gs pos="100000">
              <a:srgbClr val="FFFFCC"/>
            </a:gs>
          </a:gsLst>
        </a:gradFill>
        <a:ln w="19050">
          <a:solidFill>
            <a:schemeClr val="tx1"/>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1100" b="1">
              <a:solidFill>
                <a:schemeClr val="tx1"/>
              </a:solidFill>
            </a:rPr>
            <a:t>MOPHRAT Overview</a:t>
          </a:r>
        </a:p>
      </xdr:txBody>
    </xdr:sp>
    <xdr:clientData/>
  </xdr:twoCellAnchor>
  <xdr:twoCellAnchor>
    <xdr:from>
      <xdr:col>9</xdr:col>
      <xdr:colOff>0</xdr:colOff>
      <xdr:row>30</xdr:row>
      <xdr:rowOff>0</xdr:rowOff>
    </xdr:from>
    <xdr:to>
      <xdr:col>10</xdr:col>
      <xdr:colOff>9525</xdr:colOff>
      <xdr:row>31</xdr:row>
      <xdr:rowOff>9525</xdr:rowOff>
    </xdr:to>
    <xdr:sp macro="" textlink="">
      <xdr:nvSpPr>
        <xdr:cNvPr id="10" name="Rounded Rectangle 9">
          <a:hlinkClick xmlns:r="http://schemas.openxmlformats.org/officeDocument/2006/relationships" r:id="rId3"/>
          <a:extLst>
            <a:ext uri="{FF2B5EF4-FFF2-40B4-BE49-F238E27FC236}">
              <a16:creationId xmlns:a16="http://schemas.microsoft.com/office/drawing/2014/main" id="{00000000-0008-0000-0000-00000A000000}"/>
            </a:ext>
          </a:extLst>
        </xdr:cNvPr>
        <xdr:cNvSpPr/>
      </xdr:nvSpPr>
      <xdr:spPr>
        <a:xfrm>
          <a:off x="5476875" y="5981700"/>
          <a:ext cx="1828800" cy="400050"/>
        </a:xfrm>
        <a:prstGeom prst="roundRect">
          <a:avLst/>
        </a:prstGeom>
        <a:gradFill>
          <a:gsLst>
            <a:gs pos="0">
              <a:srgbClr val="DCCD72"/>
            </a:gs>
            <a:gs pos="50000">
              <a:srgbClr val="FFFF99"/>
            </a:gs>
            <a:gs pos="70000">
              <a:srgbClr val="FFFFCC"/>
            </a:gs>
            <a:gs pos="100000">
              <a:srgbClr val="FFFFCC"/>
            </a:gs>
          </a:gsLst>
        </a:gradFill>
        <a:ln w="19050">
          <a:solidFill>
            <a:schemeClr val="tx1"/>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1100" b="1">
              <a:solidFill>
                <a:schemeClr val="tx1"/>
              </a:solidFill>
            </a:rPr>
            <a:t>Active Shooter</a:t>
          </a:r>
        </a:p>
      </xdr:txBody>
    </xdr:sp>
    <xdr:clientData/>
  </xdr:twoCellAnchor>
  <xdr:twoCellAnchor>
    <xdr:from>
      <xdr:col>9</xdr:col>
      <xdr:colOff>0</xdr:colOff>
      <xdr:row>32</xdr:row>
      <xdr:rowOff>0</xdr:rowOff>
    </xdr:from>
    <xdr:to>
      <xdr:col>10</xdr:col>
      <xdr:colOff>9525</xdr:colOff>
      <xdr:row>33</xdr:row>
      <xdr:rowOff>9525</xdr:rowOff>
    </xdr:to>
    <xdr:sp macro="" textlink="">
      <xdr:nvSpPr>
        <xdr:cNvPr id="11" name="Rounded Rectangle 10">
          <a:hlinkClick xmlns:r="http://schemas.openxmlformats.org/officeDocument/2006/relationships" r:id="rId4"/>
          <a:extLst>
            <a:ext uri="{FF2B5EF4-FFF2-40B4-BE49-F238E27FC236}">
              <a16:creationId xmlns:a16="http://schemas.microsoft.com/office/drawing/2014/main" id="{00000000-0008-0000-0000-00000B000000}"/>
            </a:ext>
          </a:extLst>
        </xdr:cNvPr>
        <xdr:cNvSpPr/>
      </xdr:nvSpPr>
      <xdr:spPr>
        <a:xfrm>
          <a:off x="5476875" y="6562725"/>
          <a:ext cx="1828800" cy="400050"/>
        </a:xfrm>
        <a:prstGeom prst="roundRect">
          <a:avLst/>
        </a:prstGeom>
        <a:gradFill>
          <a:gsLst>
            <a:gs pos="0">
              <a:srgbClr val="DCCD72"/>
            </a:gs>
            <a:gs pos="50000">
              <a:srgbClr val="FFFF99"/>
            </a:gs>
            <a:gs pos="70000">
              <a:srgbClr val="FFFFCC"/>
            </a:gs>
            <a:gs pos="100000">
              <a:srgbClr val="FFFFCC"/>
            </a:gs>
          </a:gsLst>
        </a:gradFill>
        <a:ln w="19050">
          <a:solidFill>
            <a:schemeClr val="tx1"/>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1100" b="1">
              <a:solidFill>
                <a:schemeClr val="tx1"/>
              </a:solidFill>
            </a:rPr>
            <a:t>Biological Terrorism</a:t>
          </a:r>
        </a:p>
      </xdr:txBody>
    </xdr:sp>
    <xdr:clientData/>
  </xdr:twoCellAnchor>
  <xdr:twoCellAnchor>
    <xdr:from>
      <xdr:col>9</xdr:col>
      <xdr:colOff>0</xdr:colOff>
      <xdr:row>34</xdr:row>
      <xdr:rowOff>0</xdr:rowOff>
    </xdr:from>
    <xdr:to>
      <xdr:col>10</xdr:col>
      <xdr:colOff>9525</xdr:colOff>
      <xdr:row>35</xdr:row>
      <xdr:rowOff>9525</xdr:rowOff>
    </xdr:to>
    <xdr:sp macro="" textlink="">
      <xdr:nvSpPr>
        <xdr:cNvPr id="12" name="Rounded Rectangle 11">
          <a:hlinkClick xmlns:r="http://schemas.openxmlformats.org/officeDocument/2006/relationships" r:id="rId5"/>
          <a:extLst>
            <a:ext uri="{FF2B5EF4-FFF2-40B4-BE49-F238E27FC236}">
              <a16:creationId xmlns:a16="http://schemas.microsoft.com/office/drawing/2014/main" id="{00000000-0008-0000-0000-00000C000000}"/>
            </a:ext>
          </a:extLst>
        </xdr:cNvPr>
        <xdr:cNvSpPr/>
      </xdr:nvSpPr>
      <xdr:spPr>
        <a:xfrm>
          <a:off x="5476875" y="7143750"/>
          <a:ext cx="1828800" cy="400050"/>
        </a:xfrm>
        <a:prstGeom prst="roundRect">
          <a:avLst/>
        </a:prstGeom>
        <a:gradFill>
          <a:gsLst>
            <a:gs pos="0">
              <a:srgbClr val="DCCD72"/>
            </a:gs>
            <a:gs pos="50000">
              <a:srgbClr val="FFFF99"/>
            </a:gs>
            <a:gs pos="70000">
              <a:srgbClr val="FFFFCC"/>
            </a:gs>
            <a:gs pos="100000">
              <a:srgbClr val="FFFFCC"/>
            </a:gs>
          </a:gsLst>
        </a:gradFill>
        <a:ln w="19050">
          <a:solidFill>
            <a:schemeClr val="tx1"/>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1100" b="1">
              <a:solidFill>
                <a:schemeClr val="tx1"/>
              </a:solidFill>
            </a:rPr>
            <a:t>Chemical Terrorism</a:t>
          </a:r>
        </a:p>
      </xdr:txBody>
    </xdr:sp>
    <xdr:clientData/>
  </xdr:twoCellAnchor>
  <xdr:twoCellAnchor>
    <xdr:from>
      <xdr:col>9</xdr:col>
      <xdr:colOff>0</xdr:colOff>
      <xdr:row>36</xdr:row>
      <xdr:rowOff>0</xdr:rowOff>
    </xdr:from>
    <xdr:to>
      <xdr:col>10</xdr:col>
      <xdr:colOff>9525</xdr:colOff>
      <xdr:row>37</xdr:row>
      <xdr:rowOff>9525</xdr:rowOff>
    </xdr:to>
    <xdr:sp macro="" textlink="">
      <xdr:nvSpPr>
        <xdr:cNvPr id="13" name="Rounded Rectangle 12">
          <a:hlinkClick xmlns:r="http://schemas.openxmlformats.org/officeDocument/2006/relationships" r:id="rId6"/>
          <a:extLst>
            <a:ext uri="{FF2B5EF4-FFF2-40B4-BE49-F238E27FC236}">
              <a16:creationId xmlns:a16="http://schemas.microsoft.com/office/drawing/2014/main" id="{00000000-0008-0000-0000-00000D000000}"/>
            </a:ext>
          </a:extLst>
        </xdr:cNvPr>
        <xdr:cNvSpPr/>
      </xdr:nvSpPr>
      <xdr:spPr>
        <a:xfrm>
          <a:off x="5476875" y="7724775"/>
          <a:ext cx="1828800" cy="400050"/>
        </a:xfrm>
        <a:prstGeom prst="roundRect">
          <a:avLst/>
        </a:prstGeom>
        <a:gradFill>
          <a:gsLst>
            <a:gs pos="0">
              <a:srgbClr val="DCCD72"/>
            </a:gs>
            <a:gs pos="50000">
              <a:srgbClr val="FFFF99"/>
            </a:gs>
            <a:gs pos="70000">
              <a:srgbClr val="FFFFCC"/>
            </a:gs>
            <a:gs pos="100000">
              <a:srgbClr val="FFFFCC"/>
            </a:gs>
          </a:gsLst>
        </a:gradFill>
        <a:ln w="19050">
          <a:solidFill>
            <a:schemeClr val="tx1"/>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1100" b="1">
              <a:solidFill>
                <a:schemeClr val="tx1"/>
              </a:solidFill>
            </a:rPr>
            <a:t>Civil Disturbance</a:t>
          </a:r>
        </a:p>
      </xdr:txBody>
    </xdr:sp>
    <xdr:clientData/>
  </xdr:twoCellAnchor>
  <xdr:twoCellAnchor>
    <xdr:from>
      <xdr:col>9</xdr:col>
      <xdr:colOff>12212</xdr:colOff>
      <xdr:row>38</xdr:row>
      <xdr:rowOff>0</xdr:rowOff>
    </xdr:from>
    <xdr:to>
      <xdr:col>10</xdr:col>
      <xdr:colOff>21737</xdr:colOff>
      <xdr:row>39</xdr:row>
      <xdr:rowOff>9525</xdr:rowOff>
    </xdr:to>
    <xdr:sp macro="" textlink="">
      <xdr:nvSpPr>
        <xdr:cNvPr id="14" name="Rounded Rectangle 13">
          <a:hlinkClick xmlns:r="http://schemas.openxmlformats.org/officeDocument/2006/relationships" r:id="rId7"/>
          <a:extLst>
            <a:ext uri="{FF2B5EF4-FFF2-40B4-BE49-F238E27FC236}">
              <a16:creationId xmlns:a16="http://schemas.microsoft.com/office/drawing/2014/main" id="{00000000-0008-0000-0000-00000E000000}"/>
            </a:ext>
          </a:extLst>
        </xdr:cNvPr>
        <xdr:cNvSpPr/>
      </xdr:nvSpPr>
      <xdr:spPr>
        <a:xfrm>
          <a:off x="5495193" y="10343173"/>
          <a:ext cx="1829044" cy="400294"/>
        </a:xfrm>
        <a:prstGeom prst="roundRect">
          <a:avLst/>
        </a:prstGeom>
        <a:gradFill>
          <a:gsLst>
            <a:gs pos="0">
              <a:srgbClr val="DCCD72"/>
            </a:gs>
            <a:gs pos="50000">
              <a:srgbClr val="FFFF99"/>
            </a:gs>
            <a:gs pos="70000">
              <a:srgbClr val="FFFFCC"/>
            </a:gs>
            <a:gs pos="100000">
              <a:srgbClr val="FFFFCC"/>
            </a:gs>
          </a:gsLst>
        </a:gradFill>
        <a:ln w="19050">
          <a:solidFill>
            <a:schemeClr val="tx1"/>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1100" b="1">
              <a:solidFill>
                <a:schemeClr val="tx1"/>
              </a:solidFill>
            </a:rPr>
            <a:t>Coastal Storm (N/A)</a:t>
          </a:r>
          <a:r>
            <a:rPr lang="en-US" sz="1100" b="1" baseline="0">
              <a:solidFill>
                <a:schemeClr val="tx1"/>
              </a:solidFill>
            </a:rPr>
            <a:t> </a:t>
          </a:r>
          <a:endParaRPr lang="en-US" sz="1100" b="1">
            <a:solidFill>
              <a:schemeClr val="tx1"/>
            </a:solidFill>
          </a:endParaRPr>
        </a:p>
      </xdr:txBody>
    </xdr:sp>
    <xdr:clientData/>
  </xdr:twoCellAnchor>
  <xdr:twoCellAnchor>
    <xdr:from>
      <xdr:col>9</xdr:col>
      <xdr:colOff>0</xdr:colOff>
      <xdr:row>40</xdr:row>
      <xdr:rowOff>0</xdr:rowOff>
    </xdr:from>
    <xdr:to>
      <xdr:col>10</xdr:col>
      <xdr:colOff>9525</xdr:colOff>
      <xdr:row>41</xdr:row>
      <xdr:rowOff>9525</xdr:rowOff>
    </xdr:to>
    <xdr:sp macro="" textlink="">
      <xdr:nvSpPr>
        <xdr:cNvPr id="15" name="Rounded Rectangle 14">
          <a:hlinkClick xmlns:r="http://schemas.openxmlformats.org/officeDocument/2006/relationships" r:id="rId8"/>
          <a:extLst>
            <a:ext uri="{FF2B5EF4-FFF2-40B4-BE49-F238E27FC236}">
              <a16:creationId xmlns:a16="http://schemas.microsoft.com/office/drawing/2014/main" id="{00000000-0008-0000-0000-00000F000000}"/>
            </a:ext>
          </a:extLst>
        </xdr:cNvPr>
        <xdr:cNvSpPr/>
      </xdr:nvSpPr>
      <xdr:spPr>
        <a:xfrm>
          <a:off x="5476875" y="8886825"/>
          <a:ext cx="1828800" cy="400050"/>
        </a:xfrm>
        <a:prstGeom prst="roundRect">
          <a:avLst/>
        </a:prstGeom>
        <a:gradFill>
          <a:gsLst>
            <a:gs pos="0">
              <a:srgbClr val="DCCD72"/>
            </a:gs>
            <a:gs pos="50000">
              <a:srgbClr val="FFFF99"/>
            </a:gs>
            <a:gs pos="70000">
              <a:srgbClr val="FFFFCC"/>
            </a:gs>
            <a:gs pos="100000">
              <a:srgbClr val="FFFFCC"/>
            </a:gs>
          </a:gsLst>
        </a:gradFill>
        <a:ln w="19050">
          <a:solidFill>
            <a:schemeClr val="tx1"/>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1100" b="1">
              <a:solidFill>
                <a:schemeClr val="tx1"/>
              </a:solidFill>
            </a:rPr>
            <a:t>Conventional Explosive</a:t>
          </a:r>
        </a:p>
      </xdr:txBody>
    </xdr:sp>
    <xdr:clientData/>
  </xdr:twoCellAnchor>
  <xdr:twoCellAnchor>
    <xdr:from>
      <xdr:col>9</xdr:col>
      <xdr:colOff>0</xdr:colOff>
      <xdr:row>42</xdr:row>
      <xdr:rowOff>0</xdr:rowOff>
    </xdr:from>
    <xdr:to>
      <xdr:col>10</xdr:col>
      <xdr:colOff>9525</xdr:colOff>
      <xdr:row>43</xdr:row>
      <xdr:rowOff>9525</xdr:rowOff>
    </xdr:to>
    <xdr:sp macro="" textlink="">
      <xdr:nvSpPr>
        <xdr:cNvPr id="16" name="Rounded Rectangle 15">
          <a:hlinkClick xmlns:r="http://schemas.openxmlformats.org/officeDocument/2006/relationships" r:id="rId9"/>
          <a:extLst>
            <a:ext uri="{FF2B5EF4-FFF2-40B4-BE49-F238E27FC236}">
              <a16:creationId xmlns:a16="http://schemas.microsoft.com/office/drawing/2014/main" id="{00000000-0008-0000-0000-000010000000}"/>
            </a:ext>
          </a:extLst>
        </xdr:cNvPr>
        <xdr:cNvSpPr/>
      </xdr:nvSpPr>
      <xdr:spPr>
        <a:xfrm>
          <a:off x="5476875" y="9467850"/>
          <a:ext cx="1828800" cy="400050"/>
        </a:xfrm>
        <a:prstGeom prst="roundRect">
          <a:avLst/>
        </a:prstGeom>
        <a:gradFill>
          <a:gsLst>
            <a:gs pos="0">
              <a:srgbClr val="DCCD72"/>
            </a:gs>
            <a:gs pos="50000">
              <a:srgbClr val="FFFF99"/>
            </a:gs>
            <a:gs pos="70000">
              <a:srgbClr val="FFFFCC"/>
            </a:gs>
            <a:gs pos="100000">
              <a:srgbClr val="FFFFCC"/>
            </a:gs>
          </a:gsLst>
        </a:gradFill>
        <a:ln w="19050">
          <a:solidFill>
            <a:schemeClr val="tx1"/>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1100" b="1">
              <a:solidFill>
                <a:schemeClr val="tx1"/>
              </a:solidFill>
            </a:rPr>
            <a:t>Cyber Terrorism</a:t>
          </a:r>
        </a:p>
      </xdr:txBody>
    </xdr:sp>
    <xdr:clientData/>
  </xdr:twoCellAnchor>
  <xdr:twoCellAnchor>
    <xdr:from>
      <xdr:col>9</xdr:col>
      <xdr:colOff>0</xdr:colOff>
      <xdr:row>44</xdr:row>
      <xdr:rowOff>0</xdr:rowOff>
    </xdr:from>
    <xdr:to>
      <xdr:col>10</xdr:col>
      <xdr:colOff>9525</xdr:colOff>
      <xdr:row>45</xdr:row>
      <xdr:rowOff>9525</xdr:rowOff>
    </xdr:to>
    <xdr:sp macro="" textlink="">
      <xdr:nvSpPr>
        <xdr:cNvPr id="17" name="Rounded Rectangle 16">
          <a:hlinkClick xmlns:r="http://schemas.openxmlformats.org/officeDocument/2006/relationships" r:id="rId10"/>
          <a:extLst>
            <a:ext uri="{FF2B5EF4-FFF2-40B4-BE49-F238E27FC236}">
              <a16:creationId xmlns:a16="http://schemas.microsoft.com/office/drawing/2014/main" id="{00000000-0008-0000-0000-000011000000}"/>
            </a:ext>
          </a:extLst>
        </xdr:cNvPr>
        <xdr:cNvSpPr/>
      </xdr:nvSpPr>
      <xdr:spPr>
        <a:xfrm>
          <a:off x="5476875" y="10048875"/>
          <a:ext cx="1828800" cy="400050"/>
        </a:xfrm>
        <a:prstGeom prst="roundRect">
          <a:avLst/>
        </a:prstGeom>
        <a:gradFill>
          <a:gsLst>
            <a:gs pos="0">
              <a:srgbClr val="DCCD72"/>
            </a:gs>
            <a:gs pos="50000">
              <a:srgbClr val="FFFF99"/>
            </a:gs>
            <a:gs pos="70000">
              <a:srgbClr val="FFFFCC"/>
            </a:gs>
            <a:gs pos="100000">
              <a:srgbClr val="FFFFCC"/>
            </a:gs>
          </a:gsLst>
        </a:gradFill>
        <a:ln w="19050">
          <a:solidFill>
            <a:schemeClr val="tx1"/>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1100" b="1">
              <a:solidFill>
                <a:schemeClr val="tx1"/>
              </a:solidFill>
            </a:rPr>
            <a:t>Drought</a:t>
          </a:r>
        </a:p>
      </xdr:txBody>
    </xdr:sp>
    <xdr:clientData/>
  </xdr:twoCellAnchor>
  <xdr:twoCellAnchor>
    <xdr:from>
      <xdr:col>9</xdr:col>
      <xdr:colOff>0</xdr:colOff>
      <xdr:row>46</xdr:row>
      <xdr:rowOff>0</xdr:rowOff>
    </xdr:from>
    <xdr:to>
      <xdr:col>10</xdr:col>
      <xdr:colOff>9525</xdr:colOff>
      <xdr:row>47</xdr:row>
      <xdr:rowOff>9525</xdr:rowOff>
    </xdr:to>
    <xdr:sp macro="" textlink="">
      <xdr:nvSpPr>
        <xdr:cNvPr id="18" name="Rounded Rectangle 17">
          <a:hlinkClick xmlns:r="http://schemas.openxmlformats.org/officeDocument/2006/relationships" r:id="rId11"/>
          <a:extLst>
            <a:ext uri="{FF2B5EF4-FFF2-40B4-BE49-F238E27FC236}">
              <a16:creationId xmlns:a16="http://schemas.microsoft.com/office/drawing/2014/main" id="{00000000-0008-0000-0000-000012000000}"/>
            </a:ext>
          </a:extLst>
        </xdr:cNvPr>
        <xdr:cNvSpPr/>
      </xdr:nvSpPr>
      <xdr:spPr>
        <a:xfrm>
          <a:off x="5476875" y="10629900"/>
          <a:ext cx="1828800" cy="400050"/>
        </a:xfrm>
        <a:prstGeom prst="roundRect">
          <a:avLst/>
        </a:prstGeom>
        <a:gradFill>
          <a:gsLst>
            <a:gs pos="0">
              <a:srgbClr val="DCCD72"/>
            </a:gs>
            <a:gs pos="50000">
              <a:srgbClr val="FFFF99"/>
            </a:gs>
            <a:gs pos="70000">
              <a:srgbClr val="FFFFCC"/>
            </a:gs>
            <a:gs pos="100000">
              <a:srgbClr val="FFFFCC"/>
            </a:gs>
          </a:gsLst>
        </a:gradFill>
        <a:ln w="19050">
          <a:solidFill>
            <a:schemeClr val="tx1"/>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1100" b="1">
              <a:solidFill>
                <a:schemeClr val="tx1"/>
              </a:solidFill>
            </a:rPr>
            <a:t>Earthquake</a:t>
          </a:r>
        </a:p>
      </xdr:txBody>
    </xdr:sp>
    <xdr:clientData/>
  </xdr:twoCellAnchor>
  <xdr:twoCellAnchor>
    <xdr:from>
      <xdr:col>9</xdr:col>
      <xdr:colOff>0</xdr:colOff>
      <xdr:row>68</xdr:row>
      <xdr:rowOff>0</xdr:rowOff>
    </xdr:from>
    <xdr:to>
      <xdr:col>10</xdr:col>
      <xdr:colOff>9525</xdr:colOff>
      <xdr:row>69</xdr:row>
      <xdr:rowOff>9525</xdr:rowOff>
    </xdr:to>
    <xdr:sp macro="" textlink="">
      <xdr:nvSpPr>
        <xdr:cNvPr id="29" name="Rounded Rectangle 28">
          <a:hlinkClick xmlns:r="http://schemas.openxmlformats.org/officeDocument/2006/relationships" r:id="rId12"/>
          <a:extLst>
            <a:ext uri="{FF2B5EF4-FFF2-40B4-BE49-F238E27FC236}">
              <a16:creationId xmlns:a16="http://schemas.microsoft.com/office/drawing/2014/main" id="{00000000-0008-0000-0000-00001D000000}"/>
            </a:ext>
          </a:extLst>
        </xdr:cNvPr>
        <xdr:cNvSpPr/>
      </xdr:nvSpPr>
      <xdr:spPr>
        <a:xfrm>
          <a:off x="5476875" y="17021175"/>
          <a:ext cx="1828800" cy="400050"/>
        </a:xfrm>
        <a:prstGeom prst="roundRect">
          <a:avLst/>
        </a:prstGeom>
        <a:gradFill>
          <a:gsLst>
            <a:gs pos="0">
              <a:srgbClr val="DCCD72"/>
            </a:gs>
            <a:gs pos="50000">
              <a:srgbClr val="FFFF99"/>
            </a:gs>
            <a:gs pos="70000">
              <a:srgbClr val="FFFFCC"/>
            </a:gs>
            <a:gs pos="100000">
              <a:srgbClr val="FFFFCC"/>
            </a:gs>
          </a:gsLst>
        </a:gradFill>
        <a:ln w="19050">
          <a:solidFill>
            <a:schemeClr val="tx1"/>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1100" b="1">
              <a:solidFill>
                <a:schemeClr val="tx1"/>
              </a:solidFill>
            </a:rPr>
            <a:t>Winter</a:t>
          </a:r>
          <a:r>
            <a:rPr lang="en-US" sz="1100" b="1" baseline="0">
              <a:solidFill>
                <a:schemeClr val="tx1"/>
              </a:solidFill>
            </a:rPr>
            <a:t> Storm</a:t>
          </a:r>
          <a:endParaRPr lang="en-US" sz="1100" b="1">
            <a:solidFill>
              <a:schemeClr val="tx1"/>
            </a:solidFill>
          </a:endParaRPr>
        </a:p>
      </xdr:txBody>
    </xdr:sp>
    <xdr:clientData/>
  </xdr:twoCellAnchor>
  <xdr:twoCellAnchor>
    <xdr:from>
      <xdr:col>9</xdr:col>
      <xdr:colOff>0</xdr:colOff>
      <xdr:row>18</xdr:row>
      <xdr:rowOff>0</xdr:rowOff>
    </xdr:from>
    <xdr:to>
      <xdr:col>10</xdr:col>
      <xdr:colOff>9525</xdr:colOff>
      <xdr:row>19</xdr:row>
      <xdr:rowOff>9525</xdr:rowOff>
    </xdr:to>
    <xdr:sp macro="" textlink="">
      <xdr:nvSpPr>
        <xdr:cNvPr id="31" name="Rounded Rectangle 30">
          <a:hlinkClick xmlns:r="http://schemas.openxmlformats.org/officeDocument/2006/relationships" r:id="rId13"/>
          <a:extLst>
            <a:ext uri="{FF2B5EF4-FFF2-40B4-BE49-F238E27FC236}">
              <a16:creationId xmlns:a16="http://schemas.microsoft.com/office/drawing/2014/main" id="{00000000-0008-0000-0000-00001F000000}"/>
            </a:ext>
          </a:extLst>
        </xdr:cNvPr>
        <xdr:cNvSpPr/>
      </xdr:nvSpPr>
      <xdr:spPr>
        <a:xfrm>
          <a:off x="5476875" y="3600450"/>
          <a:ext cx="1828800" cy="400050"/>
        </a:xfrm>
        <a:prstGeom prst="roundRect">
          <a:avLst/>
        </a:prstGeom>
        <a:solidFill>
          <a:schemeClr val="accent4">
            <a:lumMod val="60000"/>
            <a:lumOff val="40000"/>
          </a:schemeClr>
        </a:solidFill>
        <a:ln w="19050">
          <a:solidFill>
            <a:schemeClr val="tx1"/>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1100" b="1">
              <a:solidFill>
                <a:schemeClr val="tx1"/>
              </a:solidFill>
            </a:rPr>
            <a:t>Baseline Health, Services, and Infrastructure</a:t>
          </a:r>
        </a:p>
      </xdr:txBody>
    </xdr:sp>
    <xdr:clientData/>
  </xdr:twoCellAnchor>
  <xdr:twoCellAnchor>
    <xdr:from>
      <xdr:col>9</xdr:col>
      <xdr:colOff>0</xdr:colOff>
      <xdr:row>20</xdr:row>
      <xdr:rowOff>0</xdr:rowOff>
    </xdr:from>
    <xdr:to>
      <xdr:col>10</xdr:col>
      <xdr:colOff>9525</xdr:colOff>
      <xdr:row>21</xdr:row>
      <xdr:rowOff>9525</xdr:rowOff>
    </xdr:to>
    <xdr:sp macro="" textlink="">
      <xdr:nvSpPr>
        <xdr:cNvPr id="32" name="Rounded Rectangle 31">
          <a:hlinkClick xmlns:r="http://schemas.openxmlformats.org/officeDocument/2006/relationships" r:id="rId14"/>
          <a:extLst>
            <a:ext uri="{FF2B5EF4-FFF2-40B4-BE49-F238E27FC236}">
              <a16:creationId xmlns:a16="http://schemas.microsoft.com/office/drawing/2014/main" id="{00000000-0008-0000-0000-000020000000}"/>
            </a:ext>
          </a:extLst>
        </xdr:cNvPr>
        <xdr:cNvSpPr/>
      </xdr:nvSpPr>
      <xdr:spPr>
        <a:xfrm>
          <a:off x="5476875" y="4181475"/>
          <a:ext cx="1828800" cy="400050"/>
        </a:xfrm>
        <a:prstGeom prst="roundRect">
          <a:avLst/>
        </a:prstGeom>
        <a:solidFill>
          <a:schemeClr val="tx2">
            <a:lumMod val="40000"/>
            <a:lumOff val="60000"/>
          </a:schemeClr>
        </a:solidFill>
        <a:ln w="19050">
          <a:solidFill>
            <a:schemeClr val="tx1"/>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1100" b="1">
              <a:solidFill>
                <a:sysClr val="windowText" lastClr="000000"/>
              </a:solidFill>
            </a:rPr>
            <a:t>Baseline At-Risk Populations</a:t>
          </a:r>
        </a:p>
      </xdr:txBody>
    </xdr:sp>
    <xdr:clientData/>
  </xdr:twoCellAnchor>
  <xdr:twoCellAnchor>
    <xdr:from>
      <xdr:col>9</xdr:col>
      <xdr:colOff>0</xdr:colOff>
      <xdr:row>24</xdr:row>
      <xdr:rowOff>0</xdr:rowOff>
    </xdr:from>
    <xdr:to>
      <xdr:col>10</xdr:col>
      <xdr:colOff>9525</xdr:colOff>
      <xdr:row>25</xdr:row>
      <xdr:rowOff>9525</xdr:rowOff>
    </xdr:to>
    <xdr:sp macro="" textlink="">
      <xdr:nvSpPr>
        <xdr:cNvPr id="33" name="Rounded Rectangle 32">
          <a:hlinkClick xmlns:r="http://schemas.openxmlformats.org/officeDocument/2006/relationships" r:id="rId15"/>
          <a:extLst>
            <a:ext uri="{FF2B5EF4-FFF2-40B4-BE49-F238E27FC236}">
              <a16:creationId xmlns:a16="http://schemas.microsoft.com/office/drawing/2014/main" id="{00000000-0008-0000-0000-000021000000}"/>
            </a:ext>
          </a:extLst>
        </xdr:cNvPr>
        <xdr:cNvSpPr/>
      </xdr:nvSpPr>
      <xdr:spPr>
        <a:xfrm>
          <a:off x="5476875" y="4762500"/>
          <a:ext cx="1828800" cy="400050"/>
        </a:xfrm>
        <a:prstGeom prst="roundRect">
          <a:avLst/>
        </a:prstGeom>
        <a:gradFill>
          <a:gsLst>
            <a:gs pos="0">
              <a:schemeClr val="accent6">
                <a:lumMod val="50000"/>
              </a:schemeClr>
            </a:gs>
            <a:gs pos="50000">
              <a:schemeClr val="accent6">
                <a:lumMod val="60000"/>
                <a:lumOff val="40000"/>
              </a:schemeClr>
            </a:gs>
            <a:gs pos="70000">
              <a:schemeClr val="accent6">
                <a:lumMod val="40000"/>
                <a:lumOff val="60000"/>
              </a:schemeClr>
            </a:gs>
            <a:gs pos="100000">
              <a:schemeClr val="accent6">
                <a:lumMod val="20000"/>
                <a:lumOff val="80000"/>
              </a:schemeClr>
            </a:gs>
          </a:gsLst>
        </a:gradFill>
        <a:ln w="19050">
          <a:solidFill>
            <a:schemeClr val="tx1"/>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1100" b="1">
              <a:solidFill>
                <a:schemeClr val="tx1"/>
              </a:solidFill>
            </a:rPr>
            <a:t>Baseline Healthcare Preparedness</a:t>
          </a:r>
          <a:r>
            <a:rPr lang="en-US" sz="1100" b="1" baseline="0">
              <a:solidFill>
                <a:schemeClr val="tx1"/>
              </a:solidFill>
            </a:rPr>
            <a:t> </a:t>
          </a:r>
          <a:r>
            <a:rPr lang="en-US" sz="1100" b="1">
              <a:solidFill>
                <a:schemeClr val="tx1"/>
              </a:solidFill>
            </a:rPr>
            <a:t>Capabilities</a:t>
          </a:r>
        </a:p>
      </xdr:txBody>
    </xdr:sp>
    <xdr:clientData/>
  </xdr:twoCellAnchor>
  <xdr:twoCellAnchor>
    <xdr:from>
      <xdr:col>9</xdr:col>
      <xdr:colOff>0</xdr:colOff>
      <xdr:row>26</xdr:row>
      <xdr:rowOff>0</xdr:rowOff>
    </xdr:from>
    <xdr:to>
      <xdr:col>10</xdr:col>
      <xdr:colOff>9525</xdr:colOff>
      <xdr:row>27</xdr:row>
      <xdr:rowOff>9525</xdr:rowOff>
    </xdr:to>
    <xdr:sp macro="" textlink="">
      <xdr:nvSpPr>
        <xdr:cNvPr id="34" name="Rounded Rectangle 33">
          <a:hlinkClick xmlns:r="http://schemas.openxmlformats.org/officeDocument/2006/relationships" r:id="rId16"/>
          <a:extLst>
            <a:ext uri="{FF2B5EF4-FFF2-40B4-BE49-F238E27FC236}">
              <a16:creationId xmlns:a16="http://schemas.microsoft.com/office/drawing/2014/main" id="{00000000-0008-0000-0000-000022000000}"/>
            </a:ext>
          </a:extLst>
        </xdr:cNvPr>
        <xdr:cNvSpPr/>
      </xdr:nvSpPr>
      <xdr:spPr>
        <a:xfrm>
          <a:off x="5476875" y="5343525"/>
          <a:ext cx="1828800" cy="400050"/>
        </a:xfrm>
        <a:prstGeom prst="roundRect">
          <a:avLst/>
        </a:prstGeom>
        <a:gradFill>
          <a:gsLst>
            <a:gs pos="0">
              <a:srgbClr val="B27AAB"/>
            </a:gs>
            <a:gs pos="50000">
              <a:srgbClr val="FF66FF"/>
            </a:gs>
            <a:gs pos="70000">
              <a:srgbClr val="FF99FF"/>
            </a:gs>
            <a:gs pos="100000">
              <a:srgbClr val="FFCCFF"/>
            </a:gs>
          </a:gsLst>
        </a:gradFill>
        <a:ln w="19050">
          <a:solidFill>
            <a:schemeClr val="tx1"/>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1100" b="1">
              <a:solidFill>
                <a:schemeClr val="tx1"/>
              </a:solidFill>
            </a:rPr>
            <a:t>Community Characteristics</a:t>
          </a:r>
        </a:p>
      </xdr:txBody>
    </xdr:sp>
    <xdr:clientData/>
  </xdr:twoCellAnchor>
  <xdr:twoCellAnchor>
    <xdr:from>
      <xdr:col>9</xdr:col>
      <xdr:colOff>0</xdr:colOff>
      <xdr:row>92</xdr:row>
      <xdr:rowOff>0</xdr:rowOff>
    </xdr:from>
    <xdr:to>
      <xdr:col>10</xdr:col>
      <xdr:colOff>9525</xdr:colOff>
      <xdr:row>93</xdr:row>
      <xdr:rowOff>9525</xdr:rowOff>
    </xdr:to>
    <xdr:sp macro="" textlink="">
      <xdr:nvSpPr>
        <xdr:cNvPr id="35" name="Rounded Rectangle 34">
          <a:hlinkClick xmlns:r="http://schemas.openxmlformats.org/officeDocument/2006/relationships" r:id="rId17"/>
          <a:extLst>
            <a:ext uri="{FF2B5EF4-FFF2-40B4-BE49-F238E27FC236}">
              <a16:creationId xmlns:a16="http://schemas.microsoft.com/office/drawing/2014/main" id="{00000000-0008-0000-0000-000023000000}"/>
            </a:ext>
          </a:extLst>
        </xdr:cNvPr>
        <xdr:cNvSpPr/>
      </xdr:nvSpPr>
      <xdr:spPr>
        <a:xfrm>
          <a:off x="5476875" y="18535650"/>
          <a:ext cx="1828800" cy="400050"/>
        </a:xfrm>
        <a:prstGeom prst="roundRect">
          <a:avLst/>
        </a:prstGeom>
        <a:gradFill>
          <a:gsLst>
            <a:gs pos="0">
              <a:schemeClr val="bg1">
                <a:lumMod val="50000"/>
              </a:schemeClr>
            </a:gs>
            <a:gs pos="50000">
              <a:schemeClr val="bg1">
                <a:lumMod val="75000"/>
              </a:schemeClr>
            </a:gs>
            <a:gs pos="70000">
              <a:schemeClr val="bg1">
                <a:lumMod val="85000"/>
              </a:schemeClr>
            </a:gs>
            <a:gs pos="100000">
              <a:schemeClr val="bg1">
                <a:lumMod val="95000"/>
              </a:schemeClr>
            </a:gs>
          </a:gsLst>
        </a:gradFill>
        <a:ln w="19050">
          <a:solidFill>
            <a:schemeClr val="tx1"/>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1100" b="1">
              <a:solidFill>
                <a:schemeClr val="tx1"/>
              </a:solidFill>
            </a:rPr>
            <a:t>Summary of Impacts</a:t>
          </a:r>
        </a:p>
      </xdr:txBody>
    </xdr:sp>
    <xdr:clientData/>
  </xdr:twoCellAnchor>
  <xdr:twoCellAnchor>
    <xdr:from>
      <xdr:col>9</xdr:col>
      <xdr:colOff>0</xdr:colOff>
      <xdr:row>96</xdr:row>
      <xdr:rowOff>0</xdr:rowOff>
    </xdr:from>
    <xdr:to>
      <xdr:col>10</xdr:col>
      <xdr:colOff>9525</xdr:colOff>
      <xdr:row>97</xdr:row>
      <xdr:rowOff>9525</xdr:rowOff>
    </xdr:to>
    <xdr:sp macro="" textlink="">
      <xdr:nvSpPr>
        <xdr:cNvPr id="36" name="Rounded Rectangle 35">
          <a:hlinkClick xmlns:r="http://schemas.openxmlformats.org/officeDocument/2006/relationships" r:id="rId18"/>
          <a:extLst>
            <a:ext uri="{FF2B5EF4-FFF2-40B4-BE49-F238E27FC236}">
              <a16:creationId xmlns:a16="http://schemas.microsoft.com/office/drawing/2014/main" id="{00000000-0008-0000-0000-000024000000}"/>
            </a:ext>
          </a:extLst>
        </xdr:cNvPr>
        <xdr:cNvSpPr/>
      </xdr:nvSpPr>
      <xdr:spPr>
        <a:xfrm>
          <a:off x="5476875" y="19116675"/>
          <a:ext cx="1828800" cy="400050"/>
        </a:xfrm>
        <a:prstGeom prst="roundRect">
          <a:avLst/>
        </a:prstGeom>
        <a:gradFill>
          <a:gsLst>
            <a:gs pos="0">
              <a:schemeClr val="bg1">
                <a:lumMod val="50000"/>
              </a:schemeClr>
            </a:gs>
            <a:gs pos="50000">
              <a:schemeClr val="bg1">
                <a:lumMod val="75000"/>
              </a:schemeClr>
            </a:gs>
            <a:gs pos="70000">
              <a:schemeClr val="bg1">
                <a:lumMod val="85000"/>
              </a:schemeClr>
            </a:gs>
            <a:gs pos="100000">
              <a:schemeClr val="bg1">
                <a:lumMod val="95000"/>
              </a:schemeClr>
            </a:gs>
          </a:gsLst>
        </a:gradFill>
        <a:ln w="19050">
          <a:solidFill>
            <a:schemeClr val="tx1"/>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1100" b="1">
              <a:solidFill>
                <a:schemeClr val="tx1"/>
              </a:solidFill>
            </a:rPr>
            <a:t>Planning Priority Scores</a:t>
          </a:r>
        </a:p>
      </xdr:txBody>
    </xdr:sp>
    <xdr:clientData/>
  </xdr:twoCellAnchor>
  <xdr:twoCellAnchor>
    <xdr:from>
      <xdr:col>9</xdr:col>
      <xdr:colOff>0</xdr:colOff>
      <xdr:row>98</xdr:row>
      <xdr:rowOff>0</xdr:rowOff>
    </xdr:from>
    <xdr:to>
      <xdr:col>10</xdr:col>
      <xdr:colOff>9525</xdr:colOff>
      <xdr:row>99</xdr:row>
      <xdr:rowOff>9525</xdr:rowOff>
    </xdr:to>
    <xdr:sp macro="" textlink="">
      <xdr:nvSpPr>
        <xdr:cNvPr id="37" name="Rounded Rectangle 36">
          <a:hlinkClick xmlns:r="http://schemas.openxmlformats.org/officeDocument/2006/relationships" r:id="rId19"/>
          <a:extLst>
            <a:ext uri="{FF2B5EF4-FFF2-40B4-BE49-F238E27FC236}">
              <a16:creationId xmlns:a16="http://schemas.microsoft.com/office/drawing/2014/main" id="{00000000-0008-0000-0000-000025000000}"/>
            </a:ext>
          </a:extLst>
        </xdr:cNvPr>
        <xdr:cNvSpPr/>
      </xdr:nvSpPr>
      <xdr:spPr>
        <a:xfrm>
          <a:off x="5476875" y="19697700"/>
          <a:ext cx="1828800" cy="400050"/>
        </a:xfrm>
        <a:prstGeom prst="roundRect">
          <a:avLst/>
        </a:prstGeom>
        <a:gradFill>
          <a:gsLst>
            <a:gs pos="0">
              <a:srgbClr val="DCCD72"/>
            </a:gs>
            <a:gs pos="50000">
              <a:srgbClr val="FFFF99"/>
            </a:gs>
            <a:gs pos="70000">
              <a:srgbClr val="FFFFCC"/>
            </a:gs>
            <a:gs pos="100000">
              <a:srgbClr val="FFFFCC"/>
            </a:gs>
          </a:gsLst>
        </a:gradFill>
        <a:ln w="19050">
          <a:solidFill>
            <a:schemeClr val="tx1"/>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1100" b="1">
              <a:solidFill>
                <a:schemeClr val="tx1"/>
              </a:solidFill>
            </a:rPr>
            <a:t>Summary of Scores</a:t>
          </a:r>
        </a:p>
      </xdr:txBody>
    </xdr:sp>
    <xdr:clientData/>
  </xdr:twoCellAnchor>
  <xdr:twoCellAnchor>
    <xdr:from>
      <xdr:col>9</xdr:col>
      <xdr:colOff>0</xdr:colOff>
      <xdr:row>102</xdr:row>
      <xdr:rowOff>0</xdr:rowOff>
    </xdr:from>
    <xdr:to>
      <xdr:col>10</xdr:col>
      <xdr:colOff>9525</xdr:colOff>
      <xdr:row>103</xdr:row>
      <xdr:rowOff>9525</xdr:rowOff>
    </xdr:to>
    <xdr:sp macro="" textlink="">
      <xdr:nvSpPr>
        <xdr:cNvPr id="38" name="Rounded Rectangle 37">
          <a:hlinkClick xmlns:r="http://schemas.openxmlformats.org/officeDocument/2006/relationships" r:id="rId20"/>
          <a:extLst>
            <a:ext uri="{FF2B5EF4-FFF2-40B4-BE49-F238E27FC236}">
              <a16:creationId xmlns:a16="http://schemas.microsoft.com/office/drawing/2014/main" id="{00000000-0008-0000-0000-000026000000}"/>
            </a:ext>
          </a:extLst>
        </xdr:cNvPr>
        <xdr:cNvSpPr/>
      </xdr:nvSpPr>
      <xdr:spPr>
        <a:xfrm>
          <a:off x="5476875" y="20278725"/>
          <a:ext cx="1828800" cy="400050"/>
        </a:xfrm>
        <a:prstGeom prst="roundRect">
          <a:avLst/>
        </a:prstGeom>
        <a:solidFill>
          <a:schemeClr val="accent2">
            <a:lumMod val="60000"/>
            <a:lumOff val="40000"/>
          </a:schemeClr>
        </a:solidFill>
        <a:ln w="19050">
          <a:solidFill>
            <a:schemeClr val="tx1"/>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1100" b="1" baseline="0">
              <a:solidFill>
                <a:schemeClr val="tx1"/>
              </a:solidFill>
            </a:rPr>
            <a:t>Probability vs. Severity</a:t>
          </a:r>
          <a:endParaRPr lang="en-US" sz="1100" b="1">
            <a:solidFill>
              <a:schemeClr val="tx1"/>
            </a:solidFill>
          </a:endParaRPr>
        </a:p>
      </xdr:txBody>
    </xdr:sp>
    <xdr:clientData/>
  </xdr:twoCellAnchor>
  <xdr:twoCellAnchor>
    <xdr:from>
      <xdr:col>9</xdr:col>
      <xdr:colOff>0</xdr:colOff>
      <xdr:row>104</xdr:row>
      <xdr:rowOff>0</xdr:rowOff>
    </xdr:from>
    <xdr:to>
      <xdr:col>10</xdr:col>
      <xdr:colOff>9525</xdr:colOff>
      <xdr:row>105</xdr:row>
      <xdr:rowOff>9525</xdr:rowOff>
    </xdr:to>
    <xdr:sp macro="" textlink="">
      <xdr:nvSpPr>
        <xdr:cNvPr id="39" name="Rounded Rectangle 38">
          <a:hlinkClick xmlns:r="http://schemas.openxmlformats.org/officeDocument/2006/relationships" r:id="rId21"/>
          <a:extLst>
            <a:ext uri="{FF2B5EF4-FFF2-40B4-BE49-F238E27FC236}">
              <a16:creationId xmlns:a16="http://schemas.microsoft.com/office/drawing/2014/main" id="{00000000-0008-0000-0000-000027000000}"/>
            </a:ext>
          </a:extLst>
        </xdr:cNvPr>
        <xdr:cNvSpPr/>
      </xdr:nvSpPr>
      <xdr:spPr>
        <a:xfrm>
          <a:off x="5476875" y="20859750"/>
          <a:ext cx="1828800" cy="400050"/>
        </a:xfrm>
        <a:prstGeom prst="roundRect">
          <a:avLst/>
        </a:prstGeom>
        <a:gradFill>
          <a:gsLst>
            <a:gs pos="0">
              <a:schemeClr val="accent6">
                <a:lumMod val="50000"/>
              </a:schemeClr>
            </a:gs>
            <a:gs pos="50000">
              <a:schemeClr val="accent6">
                <a:lumMod val="60000"/>
                <a:lumOff val="40000"/>
              </a:schemeClr>
            </a:gs>
            <a:gs pos="70000">
              <a:schemeClr val="accent6">
                <a:lumMod val="40000"/>
                <a:lumOff val="60000"/>
              </a:schemeClr>
            </a:gs>
            <a:gs pos="100000">
              <a:schemeClr val="accent6">
                <a:lumMod val="20000"/>
                <a:lumOff val="80000"/>
              </a:schemeClr>
            </a:gs>
          </a:gsLst>
        </a:gradFill>
        <a:ln w="19050">
          <a:solidFill>
            <a:schemeClr val="tx1"/>
          </a:solidFill>
        </a:ln>
      </xdr:spPr>
      <xdr:style>
        <a:lnRef idx="0">
          <a:schemeClr val="accent2"/>
        </a:lnRef>
        <a:fillRef idx="3">
          <a:schemeClr val="accent2"/>
        </a:fillRef>
        <a:effectRef idx="3">
          <a:schemeClr val="accent2"/>
        </a:effectRef>
        <a:fontRef idx="minor">
          <a:schemeClr val="lt1"/>
        </a:fontRef>
      </xdr:style>
      <xdr:txBody>
        <a:bodyPr vertOverflow="clip" horzOverflow="clip" lIns="91440" tIns="0" rIns="91440" bIns="0" rtlCol="0" anchor="ctr"/>
        <a:lstStyle/>
        <a:p>
          <a:pPr algn="ctr"/>
          <a:r>
            <a:rPr lang="en-US" sz="1100" b="1">
              <a:solidFill>
                <a:schemeClr val="tx1"/>
              </a:solidFill>
            </a:rPr>
            <a:t>Adjusted Risk vs. Preparedness</a:t>
          </a:r>
        </a:p>
      </xdr:txBody>
    </xdr:sp>
    <xdr:clientData/>
  </xdr:twoCellAnchor>
  <xdr:twoCellAnchor>
    <xdr:from>
      <xdr:col>9</xdr:col>
      <xdr:colOff>0</xdr:colOff>
      <xdr:row>106</xdr:row>
      <xdr:rowOff>0</xdr:rowOff>
    </xdr:from>
    <xdr:to>
      <xdr:col>10</xdr:col>
      <xdr:colOff>9525</xdr:colOff>
      <xdr:row>107</xdr:row>
      <xdr:rowOff>9525</xdr:rowOff>
    </xdr:to>
    <xdr:sp macro="" textlink="">
      <xdr:nvSpPr>
        <xdr:cNvPr id="40" name="Rounded Rectangle 39">
          <a:hlinkClick xmlns:r="http://schemas.openxmlformats.org/officeDocument/2006/relationships" r:id="rId22"/>
          <a:extLst>
            <a:ext uri="{FF2B5EF4-FFF2-40B4-BE49-F238E27FC236}">
              <a16:creationId xmlns:a16="http://schemas.microsoft.com/office/drawing/2014/main" id="{00000000-0008-0000-0000-000028000000}"/>
            </a:ext>
          </a:extLst>
        </xdr:cNvPr>
        <xdr:cNvSpPr/>
      </xdr:nvSpPr>
      <xdr:spPr>
        <a:xfrm>
          <a:off x="5476875" y="21440775"/>
          <a:ext cx="1828800" cy="400050"/>
        </a:xfrm>
        <a:prstGeom prst="roundRect">
          <a:avLst/>
        </a:prstGeom>
        <a:solidFill>
          <a:schemeClr val="tx2">
            <a:lumMod val="40000"/>
            <a:lumOff val="60000"/>
          </a:schemeClr>
        </a:solidFill>
        <a:ln w="19050">
          <a:solidFill>
            <a:schemeClr val="tx1"/>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1100" b="1">
              <a:solidFill>
                <a:schemeClr val="tx1"/>
              </a:solidFill>
            </a:rPr>
            <a:t>At-Risk Populations</a:t>
          </a:r>
        </a:p>
      </xdr:txBody>
    </xdr:sp>
    <xdr:clientData/>
  </xdr:twoCellAnchor>
  <xdr:twoCellAnchor>
    <xdr:from>
      <xdr:col>9</xdr:col>
      <xdr:colOff>0</xdr:colOff>
      <xdr:row>108</xdr:row>
      <xdr:rowOff>0</xdr:rowOff>
    </xdr:from>
    <xdr:to>
      <xdr:col>10</xdr:col>
      <xdr:colOff>9525</xdr:colOff>
      <xdr:row>109</xdr:row>
      <xdr:rowOff>9525</xdr:rowOff>
    </xdr:to>
    <xdr:sp macro="" textlink="">
      <xdr:nvSpPr>
        <xdr:cNvPr id="41" name="Rounded Rectangle 40">
          <a:hlinkClick xmlns:r="http://schemas.openxmlformats.org/officeDocument/2006/relationships" r:id="rId23"/>
          <a:extLst>
            <a:ext uri="{FF2B5EF4-FFF2-40B4-BE49-F238E27FC236}">
              <a16:creationId xmlns:a16="http://schemas.microsoft.com/office/drawing/2014/main" id="{00000000-0008-0000-0000-000029000000}"/>
            </a:ext>
          </a:extLst>
        </xdr:cNvPr>
        <xdr:cNvSpPr/>
      </xdr:nvSpPr>
      <xdr:spPr>
        <a:xfrm>
          <a:off x="5476875" y="22021800"/>
          <a:ext cx="1828800" cy="400050"/>
        </a:xfrm>
        <a:prstGeom prst="roundRect">
          <a:avLst/>
        </a:prstGeom>
        <a:gradFill>
          <a:gsLst>
            <a:gs pos="0">
              <a:srgbClr val="DCCD72"/>
            </a:gs>
            <a:gs pos="50000">
              <a:srgbClr val="FFFF99"/>
            </a:gs>
            <a:gs pos="70000">
              <a:srgbClr val="FFFFCC"/>
            </a:gs>
            <a:gs pos="100000">
              <a:srgbClr val="FFFFCC"/>
            </a:gs>
          </a:gsLst>
        </a:gradFill>
        <a:ln w="19050">
          <a:solidFill>
            <a:schemeClr val="tx1"/>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1100" b="1">
              <a:solidFill>
                <a:schemeClr val="tx1"/>
              </a:solidFill>
            </a:rPr>
            <a:t>Individual Hazard Analyses</a:t>
          </a:r>
        </a:p>
      </xdr:txBody>
    </xdr:sp>
    <xdr:clientData/>
  </xdr:twoCellAnchor>
  <xdr:twoCellAnchor>
    <xdr:from>
      <xdr:col>9</xdr:col>
      <xdr:colOff>0</xdr:colOff>
      <xdr:row>22</xdr:row>
      <xdr:rowOff>0</xdr:rowOff>
    </xdr:from>
    <xdr:to>
      <xdr:col>10</xdr:col>
      <xdr:colOff>9525</xdr:colOff>
      <xdr:row>23</xdr:row>
      <xdr:rowOff>9525</xdr:rowOff>
    </xdr:to>
    <xdr:sp macro="" textlink="">
      <xdr:nvSpPr>
        <xdr:cNvPr id="42" name="Rounded Rectangle 41">
          <a:hlinkClick xmlns:r="http://schemas.openxmlformats.org/officeDocument/2006/relationships" r:id="rId24"/>
          <a:extLst>
            <a:ext uri="{FF2B5EF4-FFF2-40B4-BE49-F238E27FC236}">
              <a16:creationId xmlns:a16="http://schemas.microsoft.com/office/drawing/2014/main" id="{00000000-0008-0000-0000-00002A000000}"/>
            </a:ext>
          </a:extLst>
        </xdr:cNvPr>
        <xdr:cNvSpPr/>
      </xdr:nvSpPr>
      <xdr:spPr>
        <a:xfrm>
          <a:off x="5446059" y="5390029"/>
          <a:ext cx="1824878" cy="513790"/>
        </a:xfrm>
        <a:prstGeom prst="roundRect">
          <a:avLst/>
        </a:prstGeom>
        <a:gradFill>
          <a:gsLst>
            <a:gs pos="0">
              <a:schemeClr val="accent6">
                <a:lumMod val="50000"/>
              </a:schemeClr>
            </a:gs>
            <a:gs pos="50000">
              <a:schemeClr val="accent6">
                <a:lumMod val="60000"/>
                <a:lumOff val="40000"/>
              </a:schemeClr>
            </a:gs>
            <a:gs pos="70000">
              <a:schemeClr val="accent6">
                <a:lumMod val="40000"/>
                <a:lumOff val="60000"/>
              </a:schemeClr>
            </a:gs>
            <a:gs pos="100000">
              <a:schemeClr val="accent6">
                <a:lumMod val="20000"/>
                <a:lumOff val="80000"/>
              </a:schemeClr>
            </a:gs>
          </a:gsLst>
        </a:gradFill>
        <a:ln w="19050">
          <a:solidFill>
            <a:schemeClr val="tx1"/>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1100" b="1">
              <a:solidFill>
                <a:schemeClr val="tx1"/>
              </a:solidFill>
            </a:rPr>
            <a:t>Baseline Public Health Preparedness Capabilities</a:t>
          </a:r>
        </a:p>
      </xdr:txBody>
    </xdr:sp>
    <xdr:clientData/>
  </xdr:twoCellAnchor>
  <xdr:twoCellAnchor>
    <xdr:from>
      <xdr:col>9</xdr:col>
      <xdr:colOff>0</xdr:colOff>
      <xdr:row>100</xdr:row>
      <xdr:rowOff>0</xdr:rowOff>
    </xdr:from>
    <xdr:to>
      <xdr:col>10</xdr:col>
      <xdr:colOff>9525</xdr:colOff>
      <xdr:row>101</xdr:row>
      <xdr:rowOff>9525</xdr:rowOff>
    </xdr:to>
    <xdr:sp macro="" textlink="">
      <xdr:nvSpPr>
        <xdr:cNvPr id="43" name="Rounded Rectangle 42">
          <a:hlinkClick xmlns:r="http://schemas.openxmlformats.org/officeDocument/2006/relationships" r:id="rId25"/>
          <a:extLst>
            <a:ext uri="{FF2B5EF4-FFF2-40B4-BE49-F238E27FC236}">
              <a16:creationId xmlns:a16="http://schemas.microsoft.com/office/drawing/2014/main" id="{00000000-0008-0000-0000-00002B000000}"/>
            </a:ext>
          </a:extLst>
        </xdr:cNvPr>
        <xdr:cNvSpPr/>
      </xdr:nvSpPr>
      <xdr:spPr>
        <a:xfrm>
          <a:off x="5446059" y="21492882"/>
          <a:ext cx="1824878" cy="401731"/>
        </a:xfrm>
        <a:prstGeom prst="roundRect">
          <a:avLst/>
        </a:prstGeom>
        <a:gradFill>
          <a:gsLst>
            <a:gs pos="0">
              <a:srgbClr val="DCCD72"/>
            </a:gs>
            <a:gs pos="50000">
              <a:srgbClr val="FFFF99"/>
            </a:gs>
            <a:gs pos="70000">
              <a:srgbClr val="FFFFCC"/>
            </a:gs>
            <a:gs pos="100000">
              <a:srgbClr val="FFFFCC"/>
            </a:gs>
          </a:gsLst>
        </a:gradFill>
        <a:ln w="19050">
          <a:solidFill>
            <a:schemeClr val="tx1"/>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1000" b="1">
              <a:solidFill>
                <a:schemeClr val="tx1"/>
              </a:solidFill>
            </a:rPr>
            <a:t>Public Health vs. Healthcare</a:t>
          </a:r>
        </a:p>
      </xdr:txBody>
    </xdr:sp>
    <xdr:clientData/>
  </xdr:twoCellAnchor>
  <xdr:twoCellAnchor>
    <xdr:from>
      <xdr:col>9</xdr:col>
      <xdr:colOff>0</xdr:colOff>
      <xdr:row>94</xdr:row>
      <xdr:rowOff>0</xdr:rowOff>
    </xdr:from>
    <xdr:to>
      <xdr:col>10</xdr:col>
      <xdr:colOff>9525</xdr:colOff>
      <xdr:row>95</xdr:row>
      <xdr:rowOff>9525</xdr:rowOff>
    </xdr:to>
    <xdr:sp macro="" textlink="">
      <xdr:nvSpPr>
        <xdr:cNvPr id="44" name="Rounded Rectangle 43">
          <a:hlinkClick xmlns:r="http://schemas.openxmlformats.org/officeDocument/2006/relationships" r:id="rId26"/>
          <a:extLst>
            <a:ext uri="{FF2B5EF4-FFF2-40B4-BE49-F238E27FC236}">
              <a16:creationId xmlns:a16="http://schemas.microsoft.com/office/drawing/2014/main" id="{00000000-0008-0000-0000-00002C000000}"/>
            </a:ext>
          </a:extLst>
        </xdr:cNvPr>
        <xdr:cNvSpPr/>
      </xdr:nvSpPr>
      <xdr:spPr>
        <a:xfrm>
          <a:off x="5446059" y="19744765"/>
          <a:ext cx="1824878" cy="401731"/>
        </a:xfrm>
        <a:prstGeom prst="roundRect">
          <a:avLst/>
        </a:prstGeom>
        <a:solidFill>
          <a:schemeClr val="accent4">
            <a:lumMod val="40000"/>
            <a:lumOff val="60000"/>
          </a:schemeClr>
        </a:solidFill>
        <a:ln w="19050">
          <a:solidFill>
            <a:schemeClr val="tx1"/>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1100" b="1">
              <a:solidFill>
                <a:schemeClr val="tx1"/>
              </a:solidFill>
            </a:rPr>
            <a:t>Severity</a:t>
          </a:r>
        </a:p>
      </xdr:txBody>
    </xdr:sp>
    <xdr:clientData/>
  </xdr:twoCellAnchor>
  <xdr:twoCellAnchor>
    <xdr:from>
      <xdr:col>9</xdr:col>
      <xdr:colOff>0</xdr:colOff>
      <xdr:row>10</xdr:row>
      <xdr:rowOff>0</xdr:rowOff>
    </xdr:from>
    <xdr:to>
      <xdr:col>10</xdr:col>
      <xdr:colOff>9525</xdr:colOff>
      <xdr:row>11</xdr:row>
      <xdr:rowOff>9524</xdr:rowOff>
    </xdr:to>
    <xdr:sp macro="" textlink="">
      <xdr:nvSpPr>
        <xdr:cNvPr id="45" name="Rounded Rectangle 44">
          <a:hlinkClick xmlns:r="http://schemas.openxmlformats.org/officeDocument/2006/relationships" r:id="rId27"/>
          <a:extLst>
            <a:ext uri="{FF2B5EF4-FFF2-40B4-BE49-F238E27FC236}">
              <a16:creationId xmlns:a16="http://schemas.microsoft.com/office/drawing/2014/main" id="{00000000-0008-0000-0000-00002D000000}"/>
            </a:ext>
          </a:extLst>
        </xdr:cNvPr>
        <xdr:cNvSpPr/>
      </xdr:nvSpPr>
      <xdr:spPr>
        <a:xfrm>
          <a:off x="5446059" y="2364441"/>
          <a:ext cx="1824878" cy="222436"/>
        </a:xfrm>
        <a:prstGeom prst="roundRect">
          <a:avLst/>
        </a:prstGeom>
        <a:gradFill>
          <a:gsLst>
            <a:gs pos="0">
              <a:srgbClr val="DCCD72"/>
            </a:gs>
            <a:gs pos="50000">
              <a:srgbClr val="FFFF99"/>
            </a:gs>
            <a:gs pos="70000">
              <a:srgbClr val="FFFFCC"/>
            </a:gs>
            <a:gs pos="100000">
              <a:srgbClr val="FFFFCC"/>
            </a:gs>
          </a:gsLst>
        </a:gradFill>
        <a:ln w="19050">
          <a:solidFill>
            <a:schemeClr val="tx1"/>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1100" b="1">
              <a:solidFill>
                <a:schemeClr val="tx1"/>
              </a:solidFill>
            </a:rPr>
            <a:t>Acknowledgements</a:t>
          </a:r>
        </a:p>
      </xdr:txBody>
    </xdr:sp>
    <xdr:clientData/>
  </xdr:twoCellAnchor>
  <xdr:twoCellAnchor>
    <xdr:from>
      <xdr:col>9</xdr:col>
      <xdr:colOff>0</xdr:colOff>
      <xdr:row>48</xdr:row>
      <xdr:rowOff>0</xdr:rowOff>
    </xdr:from>
    <xdr:to>
      <xdr:col>10</xdr:col>
      <xdr:colOff>9525</xdr:colOff>
      <xdr:row>49</xdr:row>
      <xdr:rowOff>9525</xdr:rowOff>
    </xdr:to>
    <xdr:sp macro="" textlink="">
      <xdr:nvSpPr>
        <xdr:cNvPr id="51" name="Rounded Rectangle 50">
          <a:hlinkClick xmlns:r="http://schemas.openxmlformats.org/officeDocument/2006/relationships" r:id="rId28"/>
          <a:extLst>
            <a:ext uri="{FF2B5EF4-FFF2-40B4-BE49-F238E27FC236}">
              <a16:creationId xmlns:a16="http://schemas.microsoft.com/office/drawing/2014/main" id="{00000000-0008-0000-0000-000033000000}"/>
            </a:ext>
          </a:extLst>
        </xdr:cNvPr>
        <xdr:cNvSpPr/>
      </xdr:nvSpPr>
      <xdr:spPr>
        <a:xfrm>
          <a:off x="5446059" y="13245353"/>
          <a:ext cx="1824878" cy="401731"/>
        </a:xfrm>
        <a:prstGeom prst="roundRect">
          <a:avLst/>
        </a:prstGeom>
        <a:gradFill>
          <a:gsLst>
            <a:gs pos="0">
              <a:srgbClr val="DCCD72"/>
            </a:gs>
            <a:gs pos="50000">
              <a:srgbClr val="FFFF99"/>
            </a:gs>
            <a:gs pos="70000">
              <a:srgbClr val="FFFFCC"/>
            </a:gs>
            <a:gs pos="100000">
              <a:srgbClr val="FFFFCC"/>
            </a:gs>
          </a:gsLst>
        </a:gradFill>
        <a:ln w="19050">
          <a:solidFill>
            <a:schemeClr val="tx1"/>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1100" b="1">
              <a:solidFill>
                <a:schemeClr val="tx1"/>
              </a:solidFill>
            </a:rPr>
            <a:t>Flood</a:t>
          </a:r>
        </a:p>
      </xdr:txBody>
    </xdr:sp>
    <xdr:clientData/>
  </xdr:twoCellAnchor>
  <xdr:twoCellAnchor>
    <xdr:from>
      <xdr:col>9</xdr:col>
      <xdr:colOff>0</xdr:colOff>
      <xdr:row>50</xdr:row>
      <xdr:rowOff>0</xdr:rowOff>
    </xdr:from>
    <xdr:to>
      <xdr:col>10</xdr:col>
      <xdr:colOff>9525</xdr:colOff>
      <xdr:row>51</xdr:row>
      <xdr:rowOff>9524</xdr:rowOff>
    </xdr:to>
    <xdr:sp macro="" textlink="">
      <xdr:nvSpPr>
        <xdr:cNvPr id="54" name="Rounded Rectangle 53">
          <a:hlinkClick xmlns:r="http://schemas.openxmlformats.org/officeDocument/2006/relationships" r:id="rId29"/>
          <a:extLst>
            <a:ext uri="{FF2B5EF4-FFF2-40B4-BE49-F238E27FC236}">
              <a16:creationId xmlns:a16="http://schemas.microsoft.com/office/drawing/2014/main" id="{00000000-0008-0000-0000-000036000000}"/>
            </a:ext>
          </a:extLst>
        </xdr:cNvPr>
        <xdr:cNvSpPr/>
      </xdr:nvSpPr>
      <xdr:spPr>
        <a:xfrm>
          <a:off x="5446059" y="13828059"/>
          <a:ext cx="1824878" cy="513789"/>
        </a:xfrm>
        <a:prstGeom prst="roundRect">
          <a:avLst/>
        </a:prstGeom>
        <a:gradFill>
          <a:gsLst>
            <a:gs pos="0">
              <a:srgbClr val="DCCD72"/>
            </a:gs>
            <a:gs pos="50000">
              <a:srgbClr val="FFFF99"/>
            </a:gs>
            <a:gs pos="70000">
              <a:srgbClr val="FFFFCC"/>
            </a:gs>
            <a:gs pos="100000">
              <a:srgbClr val="FFFFCC"/>
            </a:gs>
          </a:gsLst>
        </a:gradFill>
        <a:ln w="19050">
          <a:solidFill>
            <a:schemeClr val="tx1"/>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1100" b="1">
              <a:solidFill>
                <a:schemeClr val="tx1"/>
              </a:solidFill>
            </a:rPr>
            <a:t>Hazardous Materials Release</a:t>
          </a:r>
        </a:p>
      </xdr:txBody>
    </xdr:sp>
    <xdr:clientData/>
  </xdr:twoCellAnchor>
  <xdr:twoCellAnchor>
    <xdr:from>
      <xdr:col>9</xdr:col>
      <xdr:colOff>0</xdr:colOff>
      <xdr:row>52</xdr:row>
      <xdr:rowOff>0</xdr:rowOff>
    </xdr:from>
    <xdr:to>
      <xdr:col>10</xdr:col>
      <xdr:colOff>9525</xdr:colOff>
      <xdr:row>53</xdr:row>
      <xdr:rowOff>9526</xdr:rowOff>
    </xdr:to>
    <xdr:sp macro="" textlink="">
      <xdr:nvSpPr>
        <xdr:cNvPr id="55" name="Rounded Rectangle 54">
          <a:hlinkClick xmlns:r="http://schemas.openxmlformats.org/officeDocument/2006/relationships" r:id="rId30"/>
          <a:extLst>
            <a:ext uri="{FF2B5EF4-FFF2-40B4-BE49-F238E27FC236}">
              <a16:creationId xmlns:a16="http://schemas.microsoft.com/office/drawing/2014/main" id="{00000000-0008-0000-0000-000037000000}"/>
            </a:ext>
          </a:extLst>
        </xdr:cNvPr>
        <xdr:cNvSpPr/>
      </xdr:nvSpPr>
      <xdr:spPr>
        <a:xfrm>
          <a:off x="5446059" y="14522824"/>
          <a:ext cx="1824878" cy="401731"/>
        </a:xfrm>
        <a:prstGeom prst="roundRect">
          <a:avLst/>
        </a:prstGeom>
        <a:gradFill>
          <a:gsLst>
            <a:gs pos="0">
              <a:srgbClr val="DCCD72"/>
            </a:gs>
            <a:gs pos="50000">
              <a:srgbClr val="FFFF99"/>
            </a:gs>
            <a:gs pos="70000">
              <a:srgbClr val="FFFFCC"/>
            </a:gs>
            <a:gs pos="100000">
              <a:srgbClr val="FFFFCC"/>
            </a:gs>
          </a:gsLst>
        </a:gradFill>
        <a:ln w="19050">
          <a:solidFill>
            <a:schemeClr val="tx1"/>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1000" b="1">
              <a:solidFill>
                <a:schemeClr val="tx1"/>
              </a:solidFill>
            </a:rPr>
            <a:t>Localized Infectious Disease</a:t>
          </a:r>
        </a:p>
      </xdr:txBody>
    </xdr:sp>
    <xdr:clientData/>
  </xdr:twoCellAnchor>
  <xdr:twoCellAnchor>
    <xdr:from>
      <xdr:col>9</xdr:col>
      <xdr:colOff>0</xdr:colOff>
      <xdr:row>54</xdr:row>
      <xdr:rowOff>0</xdr:rowOff>
    </xdr:from>
    <xdr:to>
      <xdr:col>10</xdr:col>
      <xdr:colOff>9525</xdr:colOff>
      <xdr:row>55</xdr:row>
      <xdr:rowOff>9525</xdr:rowOff>
    </xdr:to>
    <xdr:sp macro="" textlink="">
      <xdr:nvSpPr>
        <xdr:cNvPr id="56" name="Rounded Rectangle 55">
          <a:hlinkClick xmlns:r="http://schemas.openxmlformats.org/officeDocument/2006/relationships" r:id="rId31"/>
          <a:extLst>
            <a:ext uri="{FF2B5EF4-FFF2-40B4-BE49-F238E27FC236}">
              <a16:creationId xmlns:a16="http://schemas.microsoft.com/office/drawing/2014/main" id="{00000000-0008-0000-0000-000038000000}"/>
            </a:ext>
          </a:extLst>
        </xdr:cNvPr>
        <xdr:cNvSpPr/>
      </xdr:nvSpPr>
      <xdr:spPr>
        <a:xfrm>
          <a:off x="5446059" y="15105529"/>
          <a:ext cx="1824878" cy="401731"/>
        </a:xfrm>
        <a:prstGeom prst="roundRect">
          <a:avLst/>
        </a:prstGeom>
        <a:gradFill>
          <a:gsLst>
            <a:gs pos="0">
              <a:srgbClr val="DCCD72"/>
            </a:gs>
            <a:gs pos="50000">
              <a:srgbClr val="FFFF99"/>
            </a:gs>
            <a:gs pos="70000">
              <a:srgbClr val="FFFFCC"/>
            </a:gs>
            <a:gs pos="100000">
              <a:srgbClr val="FFFFCC"/>
            </a:gs>
          </a:gsLst>
        </a:gradFill>
        <a:ln w="19050">
          <a:solidFill>
            <a:schemeClr val="tx1"/>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1100" b="1">
              <a:solidFill>
                <a:schemeClr val="tx1"/>
              </a:solidFill>
            </a:rPr>
            <a:t>Nuclear Facility Accident</a:t>
          </a:r>
        </a:p>
      </xdr:txBody>
    </xdr:sp>
    <xdr:clientData/>
  </xdr:twoCellAnchor>
  <xdr:twoCellAnchor>
    <xdr:from>
      <xdr:col>9</xdr:col>
      <xdr:colOff>0</xdr:colOff>
      <xdr:row>56</xdr:row>
      <xdr:rowOff>0</xdr:rowOff>
    </xdr:from>
    <xdr:to>
      <xdr:col>10</xdr:col>
      <xdr:colOff>9525</xdr:colOff>
      <xdr:row>57</xdr:row>
      <xdr:rowOff>9525</xdr:rowOff>
    </xdr:to>
    <xdr:sp macro="" textlink="">
      <xdr:nvSpPr>
        <xdr:cNvPr id="57" name="Rounded Rectangle 56">
          <a:hlinkClick xmlns:r="http://schemas.openxmlformats.org/officeDocument/2006/relationships" r:id="rId32"/>
          <a:extLst>
            <a:ext uri="{FF2B5EF4-FFF2-40B4-BE49-F238E27FC236}">
              <a16:creationId xmlns:a16="http://schemas.microsoft.com/office/drawing/2014/main" id="{00000000-0008-0000-0000-000039000000}"/>
            </a:ext>
          </a:extLst>
        </xdr:cNvPr>
        <xdr:cNvSpPr/>
      </xdr:nvSpPr>
      <xdr:spPr>
        <a:xfrm>
          <a:off x="5446059" y="15688235"/>
          <a:ext cx="1824878" cy="401731"/>
        </a:xfrm>
        <a:prstGeom prst="roundRect">
          <a:avLst/>
        </a:prstGeom>
        <a:gradFill>
          <a:gsLst>
            <a:gs pos="0">
              <a:srgbClr val="DCCD72"/>
            </a:gs>
            <a:gs pos="50000">
              <a:srgbClr val="FFFF99"/>
            </a:gs>
            <a:gs pos="70000">
              <a:srgbClr val="FFFFCC"/>
            </a:gs>
            <a:gs pos="100000">
              <a:srgbClr val="FFFFCC"/>
            </a:gs>
          </a:gsLst>
        </a:gradFill>
        <a:ln w="19050">
          <a:solidFill>
            <a:schemeClr val="tx1"/>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1100" b="1">
              <a:solidFill>
                <a:schemeClr val="tx1"/>
              </a:solidFill>
            </a:rPr>
            <a:t>Pandemic</a:t>
          </a:r>
        </a:p>
      </xdr:txBody>
    </xdr:sp>
    <xdr:clientData/>
  </xdr:twoCellAnchor>
  <xdr:twoCellAnchor>
    <xdr:from>
      <xdr:col>9</xdr:col>
      <xdr:colOff>0</xdr:colOff>
      <xdr:row>58</xdr:row>
      <xdr:rowOff>0</xdr:rowOff>
    </xdr:from>
    <xdr:to>
      <xdr:col>10</xdr:col>
      <xdr:colOff>9525</xdr:colOff>
      <xdr:row>59</xdr:row>
      <xdr:rowOff>9525</xdr:rowOff>
    </xdr:to>
    <xdr:sp macro="" textlink="">
      <xdr:nvSpPr>
        <xdr:cNvPr id="58" name="Rounded Rectangle 57">
          <a:hlinkClick xmlns:r="http://schemas.openxmlformats.org/officeDocument/2006/relationships" r:id="rId33"/>
          <a:extLst>
            <a:ext uri="{FF2B5EF4-FFF2-40B4-BE49-F238E27FC236}">
              <a16:creationId xmlns:a16="http://schemas.microsoft.com/office/drawing/2014/main" id="{00000000-0008-0000-0000-00003A000000}"/>
            </a:ext>
          </a:extLst>
        </xdr:cNvPr>
        <xdr:cNvSpPr/>
      </xdr:nvSpPr>
      <xdr:spPr>
        <a:xfrm>
          <a:off x="5446059" y="16270941"/>
          <a:ext cx="1824878" cy="401731"/>
        </a:xfrm>
        <a:prstGeom prst="roundRect">
          <a:avLst/>
        </a:prstGeom>
        <a:gradFill>
          <a:gsLst>
            <a:gs pos="0">
              <a:srgbClr val="DCCD72"/>
            </a:gs>
            <a:gs pos="50000">
              <a:srgbClr val="FFFF99"/>
            </a:gs>
            <a:gs pos="70000">
              <a:srgbClr val="FFFFCC"/>
            </a:gs>
            <a:gs pos="100000">
              <a:srgbClr val="FFFFCC"/>
            </a:gs>
          </a:gsLst>
        </a:gradFill>
        <a:ln w="19050">
          <a:solidFill>
            <a:schemeClr val="tx1"/>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1100" b="1">
              <a:solidFill>
                <a:schemeClr val="tx1"/>
              </a:solidFill>
            </a:rPr>
            <a:t>Radiation Disperal Device</a:t>
          </a:r>
        </a:p>
      </xdr:txBody>
    </xdr:sp>
    <xdr:clientData/>
  </xdr:twoCellAnchor>
  <xdr:twoCellAnchor>
    <xdr:from>
      <xdr:col>9</xdr:col>
      <xdr:colOff>0</xdr:colOff>
      <xdr:row>60</xdr:row>
      <xdr:rowOff>0</xdr:rowOff>
    </xdr:from>
    <xdr:to>
      <xdr:col>10</xdr:col>
      <xdr:colOff>9525</xdr:colOff>
      <xdr:row>61</xdr:row>
      <xdr:rowOff>9525</xdr:rowOff>
    </xdr:to>
    <xdr:sp macro="" textlink="">
      <xdr:nvSpPr>
        <xdr:cNvPr id="59" name="Rounded Rectangle 58">
          <a:hlinkClick xmlns:r="http://schemas.openxmlformats.org/officeDocument/2006/relationships" r:id="rId34"/>
          <a:extLst>
            <a:ext uri="{FF2B5EF4-FFF2-40B4-BE49-F238E27FC236}">
              <a16:creationId xmlns:a16="http://schemas.microsoft.com/office/drawing/2014/main" id="{00000000-0008-0000-0000-00003B000000}"/>
            </a:ext>
          </a:extLst>
        </xdr:cNvPr>
        <xdr:cNvSpPr/>
      </xdr:nvSpPr>
      <xdr:spPr>
        <a:xfrm>
          <a:off x="5446059" y="16853647"/>
          <a:ext cx="1824878" cy="401731"/>
        </a:xfrm>
        <a:prstGeom prst="roundRect">
          <a:avLst/>
        </a:prstGeom>
        <a:gradFill>
          <a:gsLst>
            <a:gs pos="0">
              <a:srgbClr val="DCCD72"/>
            </a:gs>
            <a:gs pos="50000">
              <a:srgbClr val="FFFF99"/>
            </a:gs>
            <a:gs pos="70000">
              <a:srgbClr val="FFFFCC"/>
            </a:gs>
            <a:gs pos="100000">
              <a:srgbClr val="FFFFCC"/>
            </a:gs>
          </a:gsLst>
        </a:gradFill>
        <a:ln w="19050">
          <a:solidFill>
            <a:schemeClr val="tx1"/>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1100" b="1">
              <a:solidFill>
                <a:schemeClr val="tx1"/>
              </a:solidFill>
            </a:rPr>
            <a:t>Temperature Extremes</a:t>
          </a:r>
        </a:p>
      </xdr:txBody>
    </xdr:sp>
    <xdr:clientData/>
  </xdr:twoCellAnchor>
  <xdr:twoCellAnchor>
    <xdr:from>
      <xdr:col>9</xdr:col>
      <xdr:colOff>0</xdr:colOff>
      <xdr:row>62</xdr:row>
      <xdr:rowOff>0</xdr:rowOff>
    </xdr:from>
    <xdr:to>
      <xdr:col>10</xdr:col>
      <xdr:colOff>9525</xdr:colOff>
      <xdr:row>63</xdr:row>
      <xdr:rowOff>9525</xdr:rowOff>
    </xdr:to>
    <xdr:sp macro="" textlink="">
      <xdr:nvSpPr>
        <xdr:cNvPr id="60" name="Rounded Rectangle 59">
          <a:hlinkClick xmlns:r="http://schemas.openxmlformats.org/officeDocument/2006/relationships" r:id="rId35"/>
          <a:extLst>
            <a:ext uri="{FF2B5EF4-FFF2-40B4-BE49-F238E27FC236}">
              <a16:creationId xmlns:a16="http://schemas.microsoft.com/office/drawing/2014/main" id="{00000000-0008-0000-0000-00003C000000}"/>
            </a:ext>
          </a:extLst>
        </xdr:cNvPr>
        <xdr:cNvSpPr/>
      </xdr:nvSpPr>
      <xdr:spPr>
        <a:xfrm>
          <a:off x="5446059" y="17436353"/>
          <a:ext cx="1824878" cy="401731"/>
        </a:xfrm>
        <a:prstGeom prst="roundRect">
          <a:avLst/>
        </a:prstGeom>
        <a:gradFill>
          <a:gsLst>
            <a:gs pos="0">
              <a:srgbClr val="DCCD72"/>
            </a:gs>
            <a:gs pos="50000">
              <a:srgbClr val="FFFF99"/>
            </a:gs>
            <a:gs pos="70000">
              <a:srgbClr val="FFFFCC"/>
            </a:gs>
            <a:gs pos="100000">
              <a:srgbClr val="FFFFCC"/>
            </a:gs>
          </a:gsLst>
        </a:gradFill>
        <a:ln w="19050">
          <a:solidFill>
            <a:schemeClr val="tx1"/>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1100" b="1">
              <a:solidFill>
                <a:schemeClr val="tx1"/>
              </a:solidFill>
            </a:rPr>
            <a:t>Tornado</a:t>
          </a:r>
        </a:p>
      </xdr:txBody>
    </xdr:sp>
    <xdr:clientData/>
  </xdr:twoCellAnchor>
  <xdr:twoCellAnchor>
    <xdr:from>
      <xdr:col>9</xdr:col>
      <xdr:colOff>0</xdr:colOff>
      <xdr:row>64</xdr:row>
      <xdr:rowOff>0</xdr:rowOff>
    </xdr:from>
    <xdr:to>
      <xdr:col>10</xdr:col>
      <xdr:colOff>9525</xdr:colOff>
      <xdr:row>65</xdr:row>
      <xdr:rowOff>9525</xdr:rowOff>
    </xdr:to>
    <xdr:sp macro="" textlink="">
      <xdr:nvSpPr>
        <xdr:cNvPr id="61" name="Rounded Rectangle 60">
          <a:hlinkClick xmlns:r="http://schemas.openxmlformats.org/officeDocument/2006/relationships" r:id="rId36"/>
          <a:extLst>
            <a:ext uri="{FF2B5EF4-FFF2-40B4-BE49-F238E27FC236}">
              <a16:creationId xmlns:a16="http://schemas.microsoft.com/office/drawing/2014/main" id="{00000000-0008-0000-0000-00003D000000}"/>
            </a:ext>
          </a:extLst>
        </xdr:cNvPr>
        <xdr:cNvSpPr/>
      </xdr:nvSpPr>
      <xdr:spPr>
        <a:xfrm>
          <a:off x="5446059" y="18019059"/>
          <a:ext cx="1824878" cy="401731"/>
        </a:xfrm>
        <a:prstGeom prst="roundRect">
          <a:avLst/>
        </a:prstGeom>
        <a:gradFill>
          <a:gsLst>
            <a:gs pos="0">
              <a:srgbClr val="DCCD72"/>
            </a:gs>
            <a:gs pos="50000">
              <a:srgbClr val="FFFF99"/>
            </a:gs>
            <a:gs pos="70000">
              <a:srgbClr val="FFFFCC"/>
            </a:gs>
            <a:gs pos="100000">
              <a:srgbClr val="FFFFCC"/>
            </a:gs>
          </a:gsLst>
        </a:gradFill>
        <a:ln w="19050">
          <a:solidFill>
            <a:schemeClr val="tx1"/>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1100" b="1">
              <a:solidFill>
                <a:schemeClr val="tx1"/>
              </a:solidFill>
            </a:rPr>
            <a:t>Utility Interruption</a:t>
          </a:r>
        </a:p>
      </xdr:txBody>
    </xdr:sp>
    <xdr:clientData/>
  </xdr:twoCellAnchor>
  <xdr:twoCellAnchor>
    <xdr:from>
      <xdr:col>9</xdr:col>
      <xdr:colOff>0</xdr:colOff>
      <xdr:row>66</xdr:row>
      <xdr:rowOff>0</xdr:rowOff>
    </xdr:from>
    <xdr:to>
      <xdr:col>10</xdr:col>
      <xdr:colOff>9525</xdr:colOff>
      <xdr:row>67</xdr:row>
      <xdr:rowOff>9525</xdr:rowOff>
    </xdr:to>
    <xdr:sp macro="" textlink="">
      <xdr:nvSpPr>
        <xdr:cNvPr id="63" name="Rounded Rectangle 62">
          <a:hlinkClick xmlns:r="http://schemas.openxmlformats.org/officeDocument/2006/relationships" r:id="rId37"/>
          <a:extLst>
            <a:ext uri="{FF2B5EF4-FFF2-40B4-BE49-F238E27FC236}">
              <a16:creationId xmlns:a16="http://schemas.microsoft.com/office/drawing/2014/main" id="{00000000-0008-0000-0000-00003F000000}"/>
            </a:ext>
          </a:extLst>
        </xdr:cNvPr>
        <xdr:cNvSpPr/>
      </xdr:nvSpPr>
      <xdr:spPr>
        <a:xfrm>
          <a:off x="5446059" y="18601765"/>
          <a:ext cx="1824878" cy="401731"/>
        </a:xfrm>
        <a:prstGeom prst="roundRect">
          <a:avLst/>
        </a:prstGeom>
        <a:gradFill>
          <a:gsLst>
            <a:gs pos="0">
              <a:srgbClr val="DCCD72"/>
            </a:gs>
            <a:gs pos="50000">
              <a:srgbClr val="FFFF99"/>
            </a:gs>
            <a:gs pos="70000">
              <a:srgbClr val="FFFFCC"/>
            </a:gs>
            <a:gs pos="100000">
              <a:srgbClr val="FFFFCC"/>
            </a:gs>
          </a:gsLst>
        </a:gradFill>
        <a:ln w="19050">
          <a:solidFill>
            <a:schemeClr val="tx1"/>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1100" b="1">
              <a:solidFill>
                <a:schemeClr val="tx1"/>
              </a:solidFill>
            </a:rPr>
            <a:t>Wildfire (N/A)</a:t>
          </a:r>
        </a:p>
      </xdr:txBody>
    </xdr:sp>
    <xdr:clientData/>
  </xdr:twoCellAnchor>
  <xdr:twoCellAnchor>
    <xdr:from>
      <xdr:col>9</xdr:col>
      <xdr:colOff>0</xdr:colOff>
      <xdr:row>70</xdr:row>
      <xdr:rowOff>0</xdr:rowOff>
    </xdr:from>
    <xdr:to>
      <xdr:col>10</xdr:col>
      <xdr:colOff>9525</xdr:colOff>
      <xdr:row>71</xdr:row>
      <xdr:rowOff>9524</xdr:rowOff>
    </xdr:to>
    <xdr:sp macro="" textlink="'Summary of Impacts'!W6">
      <xdr:nvSpPr>
        <xdr:cNvPr id="64" name="Rounded Rectangle 63">
          <a:hlinkClick xmlns:r="http://schemas.openxmlformats.org/officeDocument/2006/relationships" r:id="rId38"/>
          <a:extLst>
            <a:ext uri="{FF2B5EF4-FFF2-40B4-BE49-F238E27FC236}">
              <a16:creationId xmlns:a16="http://schemas.microsoft.com/office/drawing/2014/main" id="{00000000-0008-0000-0000-000040000000}"/>
            </a:ext>
          </a:extLst>
        </xdr:cNvPr>
        <xdr:cNvSpPr/>
      </xdr:nvSpPr>
      <xdr:spPr>
        <a:xfrm>
          <a:off x="5446059" y="19767176"/>
          <a:ext cx="1824878" cy="401730"/>
        </a:xfrm>
        <a:prstGeom prst="roundRect">
          <a:avLst/>
        </a:prstGeom>
        <a:gradFill>
          <a:gsLst>
            <a:gs pos="0">
              <a:srgbClr val="DCCD72"/>
            </a:gs>
            <a:gs pos="50000">
              <a:srgbClr val="FFFF99"/>
            </a:gs>
            <a:gs pos="70000">
              <a:srgbClr val="FFFFCC"/>
            </a:gs>
            <a:gs pos="100000">
              <a:srgbClr val="FFFFCC"/>
            </a:gs>
          </a:gsLst>
        </a:gradFill>
        <a:ln w="19050">
          <a:solidFill>
            <a:schemeClr val="tx1"/>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fld id="{2A52D450-71EE-4F27-A18D-91B94BFE5530}" type="TxLink">
            <a:rPr lang="en-US" sz="1100" b="0" i="0" u="none" strike="noStrike">
              <a:solidFill>
                <a:schemeClr val="tx1"/>
              </a:solidFill>
              <a:latin typeface="Calibri"/>
            </a:rPr>
            <a:pPr algn="ctr"/>
            <a:t>Additional Hazard 1</a:t>
          </a:fld>
          <a:endParaRPr lang="en-US" sz="1100">
            <a:solidFill>
              <a:schemeClr val="tx1"/>
            </a:solidFill>
          </a:endParaRPr>
        </a:p>
      </xdr:txBody>
    </xdr:sp>
    <xdr:clientData/>
  </xdr:twoCellAnchor>
  <xdr:twoCellAnchor>
    <xdr:from>
      <xdr:col>9</xdr:col>
      <xdr:colOff>0</xdr:colOff>
      <xdr:row>72</xdr:row>
      <xdr:rowOff>0</xdr:rowOff>
    </xdr:from>
    <xdr:to>
      <xdr:col>10</xdr:col>
      <xdr:colOff>9525</xdr:colOff>
      <xdr:row>73</xdr:row>
      <xdr:rowOff>9524</xdr:rowOff>
    </xdr:to>
    <xdr:sp macro="" textlink="'Summary of Impacts'!X6">
      <xdr:nvSpPr>
        <xdr:cNvPr id="65" name="Rounded Rectangle 64">
          <a:hlinkClick xmlns:r="http://schemas.openxmlformats.org/officeDocument/2006/relationships" r:id="rId39"/>
          <a:extLst>
            <a:ext uri="{FF2B5EF4-FFF2-40B4-BE49-F238E27FC236}">
              <a16:creationId xmlns:a16="http://schemas.microsoft.com/office/drawing/2014/main" id="{00000000-0008-0000-0000-000041000000}"/>
            </a:ext>
          </a:extLst>
        </xdr:cNvPr>
        <xdr:cNvSpPr/>
      </xdr:nvSpPr>
      <xdr:spPr>
        <a:xfrm>
          <a:off x="5446059" y="20349882"/>
          <a:ext cx="1824878" cy="401730"/>
        </a:xfrm>
        <a:prstGeom prst="roundRect">
          <a:avLst/>
        </a:prstGeom>
        <a:gradFill>
          <a:gsLst>
            <a:gs pos="0">
              <a:srgbClr val="DCCD72"/>
            </a:gs>
            <a:gs pos="50000">
              <a:srgbClr val="FFFF99"/>
            </a:gs>
            <a:gs pos="70000">
              <a:srgbClr val="FFFFCC"/>
            </a:gs>
            <a:gs pos="100000">
              <a:srgbClr val="FFFFCC"/>
            </a:gs>
          </a:gsLst>
        </a:gradFill>
        <a:ln w="19050">
          <a:solidFill>
            <a:schemeClr val="tx1"/>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fld id="{99979246-FF18-4895-BE05-DD64D22E7B67}" type="TxLink">
            <a:rPr lang="en-US" sz="1100" b="0" i="0" u="none" strike="noStrike">
              <a:solidFill>
                <a:sysClr val="windowText" lastClr="000000"/>
              </a:solidFill>
              <a:effectLst/>
              <a:latin typeface="+mn-lt"/>
              <a:ea typeface="+mn-ea"/>
              <a:cs typeface="+mn-cs"/>
            </a:rPr>
            <a:pPr marL="0" marR="0" indent="0" algn="ctr" defTabSz="914400" eaLnBrk="1" fontAlgn="auto" latinLnBrk="0" hangingPunct="1">
              <a:lnSpc>
                <a:spcPct val="100000"/>
              </a:lnSpc>
              <a:spcBef>
                <a:spcPts val="0"/>
              </a:spcBef>
              <a:spcAft>
                <a:spcPts val="0"/>
              </a:spcAft>
              <a:buClrTx/>
              <a:buSzTx/>
              <a:buFontTx/>
              <a:buNone/>
              <a:tabLst/>
              <a:defRPr/>
            </a:pPr>
            <a:t>Additional Hazard 2</a:t>
          </a:fld>
          <a:endParaRPr lang="en-US">
            <a:effectLst/>
          </a:endParaRPr>
        </a:p>
      </xdr:txBody>
    </xdr:sp>
    <xdr:clientData/>
  </xdr:twoCellAnchor>
  <xdr:twoCellAnchor>
    <xdr:from>
      <xdr:col>9</xdr:col>
      <xdr:colOff>0</xdr:colOff>
      <xdr:row>74</xdr:row>
      <xdr:rowOff>0</xdr:rowOff>
    </xdr:from>
    <xdr:to>
      <xdr:col>10</xdr:col>
      <xdr:colOff>9525</xdr:colOff>
      <xdr:row>75</xdr:row>
      <xdr:rowOff>9524</xdr:rowOff>
    </xdr:to>
    <xdr:sp macro="" textlink="'Summary of Impacts'!Y6">
      <xdr:nvSpPr>
        <xdr:cNvPr id="66" name="Rounded Rectangle 65">
          <a:hlinkClick xmlns:r="http://schemas.openxmlformats.org/officeDocument/2006/relationships" r:id="rId40"/>
          <a:extLst>
            <a:ext uri="{FF2B5EF4-FFF2-40B4-BE49-F238E27FC236}">
              <a16:creationId xmlns:a16="http://schemas.microsoft.com/office/drawing/2014/main" id="{00000000-0008-0000-0000-000042000000}"/>
            </a:ext>
          </a:extLst>
        </xdr:cNvPr>
        <xdr:cNvSpPr/>
      </xdr:nvSpPr>
      <xdr:spPr>
        <a:xfrm>
          <a:off x="5446059" y="20932588"/>
          <a:ext cx="1824878" cy="401730"/>
        </a:xfrm>
        <a:prstGeom prst="roundRect">
          <a:avLst/>
        </a:prstGeom>
        <a:gradFill>
          <a:gsLst>
            <a:gs pos="0">
              <a:srgbClr val="DCCD72"/>
            </a:gs>
            <a:gs pos="50000">
              <a:srgbClr val="FFFF99"/>
            </a:gs>
            <a:gs pos="70000">
              <a:srgbClr val="FFFFCC"/>
            </a:gs>
            <a:gs pos="100000">
              <a:srgbClr val="FFFFCC"/>
            </a:gs>
          </a:gsLst>
        </a:gradFill>
        <a:ln w="19050">
          <a:solidFill>
            <a:schemeClr val="tx1"/>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fld id="{DE839D6D-5AF4-4613-9178-79FD2015CC01}" type="TxLink">
            <a:rPr lang="en-US" sz="1100" b="0" i="0" u="none" strike="noStrike">
              <a:solidFill>
                <a:sysClr val="windowText" lastClr="000000"/>
              </a:solidFill>
              <a:effectLst/>
              <a:latin typeface="+mn-lt"/>
              <a:ea typeface="+mn-ea"/>
              <a:cs typeface="+mn-cs"/>
            </a:rPr>
            <a:pPr marL="0" marR="0" indent="0" algn="ctr" defTabSz="914400" eaLnBrk="1" fontAlgn="auto" latinLnBrk="0" hangingPunct="1">
              <a:lnSpc>
                <a:spcPct val="100000"/>
              </a:lnSpc>
              <a:spcBef>
                <a:spcPts val="0"/>
              </a:spcBef>
              <a:spcAft>
                <a:spcPts val="0"/>
              </a:spcAft>
              <a:buClrTx/>
              <a:buSzTx/>
              <a:buFontTx/>
              <a:buNone/>
              <a:tabLst/>
              <a:defRPr/>
            </a:pPr>
            <a:t>Additional Hazard 3</a:t>
          </a:fld>
          <a:endParaRPr lang="en-US">
            <a:solidFill>
              <a:sysClr val="windowText" lastClr="000000"/>
            </a:solidFill>
            <a:effectLst/>
          </a:endParaRPr>
        </a:p>
      </xdr:txBody>
    </xdr:sp>
    <xdr:clientData/>
  </xdr:twoCellAnchor>
  <xdr:twoCellAnchor>
    <xdr:from>
      <xdr:col>9</xdr:col>
      <xdr:colOff>0</xdr:colOff>
      <xdr:row>76</xdr:row>
      <xdr:rowOff>0</xdr:rowOff>
    </xdr:from>
    <xdr:to>
      <xdr:col>10</xdr:col>
      <xdr:colOff>9525</xdr:colOff>
      <xdr:row>77</xdr:row>
      <xdr:rowOff>9524</xdr:rowOff>
    </xdr:to>
    <xdr:sp macro="" textlink="'Summary of Impacts'!Z6">
      <xdr:nvSpPr>
        <xdr:cNvPr id="67" name="Rounded Rectangle 66">
          <a:hlinkClick xmlns:r="http://schemas.openxmlformats.org/officeDocument/2006/relationships" r:id="rId41"/>
          <a:extLst>
            <a:ext uri="{FF2B5EF4-FFF2-40B4-BE49-F238E27FC236}">
              <a16:creationId xmlns:a16="http://schemas.microsoft.com/office/drawing/2014/main" id="{00000000-0008-0000-0000-000043000000}"/>
            </a:ext>
          </a:extLst>
        </xdr:cNvPr>
        <xdr:cNvSpPr/>
      </xdr:nvSpPr>
      <xdr:spPr>
        <a:xfrm>
          <a:off x="5446059" y="21515294"/>
          <a:ext cx="1824878" cy="401730"/>
        </a:xfrm>
        <a:prstGeom prst="roundRect">
          <a:avLst/>
        </a:prstGeom>
        <a:gradFill>
          <a:gsLst>
            <a:gs pos="0">
              <a:srgbClr val="DCCD72"/>
            </a:gs>
            <a:gs pos="50000">
              <a:srgbClr val="FFFF99"/>
            </a:gs>
            <a:gs pos="70000">
              <a:srgbClr val="FFFFCC"/>
            </a:gs>
            <a:gs pos="100000">
              <a:srgbClr val="FFFFCC"/>
            </a:gs>
          </a:gsLst>
        </a:gradFill>
        <a:ln w="19050">
          <a:solidFill>
            <a:schemeClr val="tx1"/>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fld id="{EDD39B91-DF4E-4B51-BBEF-71B6A22A82CA}" type="TxLink">
            <a:rPr lang="en-US" sz="1100" b="0" i="0" u="none" strike="noStrike">
              <a:solidFill>
                <a:schemeClr val="tx1"/>
              </a:solidFill>
              <a:latin typeface="Calibri"/>
            </a:rPr>
            <a:pPr algn="ctr"/>
            <a:t>Additional Hazard 4</a:t>
          </a:fld>
          <a:endParaRPr lang="en-US" sz="1100">
            <a:solidFill>
              <a:schemeClr val="tx1"/>
            </a:solidFill>
          </a:endParaRPr>
        </a:p>
      </xdr:txBody>
    </xdr:sp>
    <xdr:clientData/>
  </xdr:twoCellAnchor>
  <xdr:twoCellAnchor>
    <xdr:from>
      <xdr:col>9</xdr:col>
      <xdr:colOff>0</xdr:colOff>
      <xdr:row>78</xdr:row>
      <xdr:rowOff>0</xdr:rowOff>
    </xdr:from>
    <xdr:to>
      <xdr:col>10</xdr:col>
      <xdr:colOff>9525</xdr:colOff>
      <xdr:row>79</xdr:row>
      <xdr:rowOff>9524</xdr:rowOff>
    </xdr:to>
    <xdr:sp macro="" textlink="'Summary of Impacts'!AA6">
      <xdr:nvSpPr>
        <xdr:cNvPr id="68" name="Rounded Rectangle 67">
          <a:hlinkClick xmlns:r="http://schemas.openxmlformats.org/officeDocument/2006/relationships" r:id="rId42"/>
          <a:extLst>
            <a:ext uri="{FF2B5EF4-FFF2-40B4-BE49-F238E27FC236}">
              <a16:creationId xmlns:a16="http://schemas.microsoft.com/office/drawing/2014/main" id="{00000000-0008-0000-0000-000044000000}"/>
            </a:ext>
          </a:extLst>
        </xdr:cNvPr>
        <xdr:cNvSpPr/>
      </xdr:nvSpPr>
      <xdr:spPr>
        <a:xfrm>
          <a:off x="5446059" y="22098000"/>
          <a:ext cx="1824878" cy="401730"/>
        </a:xfrm>
        <a:prstGeom prst="roundRect">
          <a:avLst/>
        </a:prstGeom>
        <a:gradFill>
          <a:gsLst>
            <a:gs pos="0">
              <a:srgbClr val="DCCD72"/>
            </a:gs>
            <a:gs pos="50000">
              <a:srgbClr val="FFFF99"/>
            </a:gs>
            <a:gs pos="70000">
              <a:srgbClr val="FFFFCC"/>
            </a:gs>
            <a:gs pos="100000">
              <a:srgbClr val="FFFFCC"/>
            </a:gs>
          </a:gsLst>
        </a:gradFill>
        <a:ln w="19050">
          <a:solidFill>
            <a:schemeClr val="tx1"/>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fld id="{DB1BC078-03DC-4A54-B196-58ACD652940D}" type="TxLink">
            <a:rPr lang="en-US" sz="1100" b="0" i="0" u="none" strike="noStrike">
              <a:solidFill>
                <a:schemeClr val="tx1"/>
              </a:solidFill>
              <a:latin typeface="Calibri"/>
            </a:rPr>
            <a:pPr algn="ctr"/>
            <a:t>Additional Hazard 5</a:t>
          </a:fld>
          <a:endParaRPr lang="en-US" sz="1100">
            <a:solidFill>
              <a:schemeClr val="tx1"/>
            </a:solidFill>
          </a:endParaRPr>
        </a:p>
      </xdr:txBody>
    </xdr:sp>
    <xdr:clientData/>
  </xdr:twoCellAnchor>
  <xdr:twoCellAnchor>
    <xdr:from>
      <xdr:col>9</xdr:col>
      <xdr:colOff>0</xdr:colOff>
      <xdr:row>80</xdr:row>
      <xdr:rowOff>0</xdr:rowOff>
    </xdr:from>
    <xdr:to>
      <xdr:col>10</xdr:col>
      <xdr:colOff>9525</xdr:colOff>
      <xdr:row>81</xdr:row>
      <xdr:rowOff>9524</xdr:rowOff>
    </xdr:to>
    <xdr:sp macro="" textlink="'Summary of Impacts'!AB6">
      <xdr:nvSpPr>
        <xdr:cNvPr id="69" name="Rounded Rectangle 68">
          <a:hlinkClick xmlns:r="http://schemas.openxmlformats.org/officeDocument/2006/relationships" r:id="rId43"/>
          <a:extLst>
            <a:ext uri="{FF2B5EF4-FFF2-40B4-BE49-F238E27FC236}">
              <a16:creationId xmlns:a16="http://schemas.microsoft.com/office/drawing/2014/main" id="{00000000-0008-0000-0000-000045000000}"/>
            </a:ext>
          </a:extLst>
        </xdr:cNvPr>
        <xdr:cNvSpPr/>
      </xdr:nvSpPr>
      <xdr:spPr>
        <a:xfrm>
          <a:off x="5446059" y="22680706"/>
          <a:ext cx="1824878" cy="401730"/>
        </a:xfrm>
        <a:prstGeom prst="roundRect">
          <a:avLst/>
        </a:prstGeom>
        <a:gradFill>
          <a:gsLst>
            <a:gs pos="0">
              <a:srgbClr val="DCCD72"/>
            </a:gs>
            <a:gs pos="50000">
              <a:srgbClr val="FFFF99"/>
            </a:gs>
            <a:gs pos="70000">
              <a:srgbClr val="FFFFCC"/>
            </a:gs>
            <a:gs pos="100000">
              <a:srgbClr val="FFFFCC"/>
            </a:gs>
          </a:gsLst>
        </a:gradFill>
        <a:ln w="19050">
          <a:solidFill>
            <a:schemeClr val="tx1"/>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fld id="{25730525-1377-4573-BDC4-E5696C9A7DEA}" type="TxLink">
            <a:rPr lang="en-US" sz="1100" b="0" i="0" u="none" strike="noStrike">
              <a:solidFill>
                <a:schemeClr val="tx1"/>
              </a:solidFill>
              <a:latin typeface="Calibri"/>
            </a:rPr>
            <a:pPr algn="ctr"/>
            <a:t>Additional Hazard 6</a:t>
          </a:fld>
          <a:endParaRPr lang="en-US" sz="1100">
            <a:solidFill>
              <a:schemeClr val="tx1"/>
            </a:solidFill>
          </a:endParaRPr>
        </a:p>
      </xdr:txBody>
    </xdr:sp>
    <xdr:clientData/>
  </xdr:twoCellAnchor>
  <xdr:twoCellAnchor>
    <xdr:from>
      <xdr:col>9</xdr:col>
      <xdr:colOff>0</xdr:colOff>
      <xdr:row>82</xdr:row>
      <xdr:rowOff>0</xdr:rowOff>
    </xdr:from>
    <xdr:to>
      <xdr:col>10</xdr:col>
      <xdr:colOff>9525</xdr:colOff>
      <xdr:row>83</xdr:row>
      <xdr:rowOff>9524</xdr:rowOff>
    </xdr:to>
    <xdr:sp macro="" textlink="'Summary of Impacts'!AC6">
      <xdr:nvSpPr>
        <xdr:cNvPr id="70" name="Rounded Rectangle 69">
          <a:hlinkClick xmlns:r="http://schemas.openxmlformats.org/officeDocument/2006/relationships" r:id="rId44"/>
          <a:extLst>
            <a:ext uri="{FF2B5EF4-FFF2-40B4-BE49-F238E27FC236}">
              <a16:creationId xmlns:a16="http://schemas.microsoft.com/office/drawing/2014/main" id="{00000000-0008-0000-0000-000046000000}"/>
            </a:ext>
          </a:extLst>
        </xdr:cNvPr>
        <xdr:cNvSpPr/>
      </xdr:nvSpPr>
      <xdr:spPr>
        <a:xfrm>
          <a:off x="5446059" y="23263412"/>
          <a:ext cx="1824878" cy="401730"/>
        </a:xfrm>
        <a:prstGeom prst="roundRect">
          <a:avLst/>
        </a:prstGeom>
        <a:gradFill>
          <a:gsLst>
            <a:gs pos="0">
              <a:srgbClr val="DCCD72"/>
            </a:gs>
            <a:gs pos="50000">
              <a:srgbClr val="FFFF99"/>
            </a:gs>
            <a:gs pos="70000">
              <a:srgbClr val="FFFFCC"/>
            </a:gs>
            <a:gs pos="100000">
              <a:srgbClr val="FFFFCC"/>
            </a:gs>
          </a:gsLst>
        </a:gradFill>
        <a:ln w="19050">
          <a:solidFill>
            <a:schemeClr val="tx1"/>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fld id="{2261BCD4-CC06-4E9E-8CF8-291545E4F328}" type="TxLink">
            <a:rPr lang="en-US" sz="1100" b="0" i="0" u="none" strike="noStrike">
              <a:solidFill>
                <a:schemeClr val="tx1"/>
              </a:solidFill>
              <a:latin typeface="Calibri"/>
            </a:rPr>
            <a:pPr algn="ctr"/>
            <a:t>Additional Hazard 7</a:t>
          </a:fld>
          <a:endParaRPr lang="en-US" sz="1100">
            <a:solidFill>
              <a:schemeClr val="tx1"/>
            </a:solidFill>
          </a:endParaRPr>
        </a:p>
      </xdr:txBody>
    </xdr:sp>
    <xdr:clientData/>
  </xdr:twoCellAnchor>
  <xdr:twoCellAnchor>
    <xdr:from>
      <xdr:col>9</xdr:col>
      <xdr:colOff>0</xdr:colOff>
      <xdr:row>84</xdr:row>
      <xdr:rowOff>0</xdr:rowOff>
    </xdr:from>
    <xdr:to>
      <xdr:col>10</xdr:col>
      <xdr:colOff>9525</xdr:colOff>
      <xdr:row>85</xdr:row>
      <xdr:rowOff>9524</xdr:rowOff>
    </xdr:to>
    <xdr:sp macro="" textlink="'Summary of Impacts'!AD6">
      <xdr:nvSpPr>
        <xdr:cNvPr id="71" name="Rounded Rectangle 70">
          <a:hlinkClick xmlns:r="http://schemas.openxmlformats.org/officeDocument/2006/relationships" r:id="rId45"/>
          <a:extLst>
            <a:ext uri="{FF2B5EF4-FFF2-40B4-BE49-F238E27FC236}">
              <a16:creationId xmlns:a16="http://schemas.microsoft.com/office/drawing/2014/main" id="{00000000-0008-0000-0000-000047000000}"/>
            </a:ext>
          </a:extLst>
        </xdr:cNvPr>
        <xdr:cNvSpPr/>
      </xdr:nvSpPr>
      <xdr:spPr>
        <a:xfrm>
          <a:off x="5446059" y="23846118"/>
          <a:ext cx="1824878" cy="401730"/>
        </a:xfrm>
        <a:prstGeom prst="roundRect">
          <a:avLst/>
        </a:prstGeom>
        <a:gradFill>
          <a:gsLst>
            <a:gs pos="0">
              <a:srgbClr val="DCCD72"/>
            </a:gs>
            <a:gs pos="50000">
              <a:srgbClr val="FFFF99"/>
            </a:gs>
            <a:gs pos="70000">
              <a:srgbClr val="FFFFCC"/>
            </a:gs>
            <a:gs pos="100000">
              <a:srgbClr val="FFFFCC"/>
            </a:gs>
          </a:gsLst>
        </a:gradFill>
        <a:ln w="19050">
          <a:solidFill>
            <a:schemeClr val="tx1"/>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fld id="{C0E1DAE8-7CE6-4609-AD58-156A25A97904}" type="TxLink">
            <a:rPr lang="en-US" sz="1100" b="0" i="0" u="none" strike="noStrike">
              <a:solidFill>
                <a:schemeClr val="tx1"/>
              </a:solidFill>
              <a:latin typeface="Calibri"/>
            </a:rPr>
            <a:pPr algn="ctr"/>
            <a:t>Additional Hazard 8</a:t>
          </a:fld>
          <a:endParaRPr lang="en-US" sz="1100">
            <a:solidFill>
              <a:schemeClr val="tx1"/>
            </a:solidFill>
          </a:endParaRPr>
        </a:p>
      </xdr:txBody>
    </xdr:sp>
    <xdr:clientData/>
  </xdr:twoCellAnchor>
  <xdr:twoCellAnchor>
    <xdr:from>
      <xdr:col>9</xdr:col>
      <xdr:colOff>0</xdr:colOff>
      <xdr:row>86</xdr:row>
      <xdr:rowOff>0</xdr:rowOff>
    </xdr:from>
    <xdr:to>
      <xdr:col>10</xdr:col>
      <xdr:colOff>9525</xdr:colOff>
      <xdr:row>87</xdr:row>
      <xdr:rowOff>9525</xdr:rowOff>
    </xdr:to>
    <xdr:sp macro="" textlink="'Summary of Impacts'!AE6">
      <xdr:nvSpPr>
        <xdr:cNvPr id="72" name="Rounded Rectangle 71">
          <a:hlinkClick xmlns:r="http://schemas.openxmlformats.org/officeDocument/2006/relationships" r:id="rId46"/>
          <a:extLst>
            <a:ext uri="{FF2B5EF4-FFF2-40B4-BE49-F238E27FC236}">
              <a16:creationId xmlns:a16="http://schemas.microsoft.com/office/drawing/2014/main" id="{00000000-0008-0000-0000-000048000000}"/>
            </a:ext>
          </a:extLst>
        </xdr:cNvPr>
        <xdr:cNvSpPr/>
      </xdr:nvSpPr>
      <xdr:spPr>
        <a:xfrm>
          <a:off x="5446059" y="24428824"/>
          <a:ext cx="1824878" cy="401730"/>
        </a:xfrm>
        <a:prstGeom prst="roundRect">
          <a:avLst/>
        </a:prstGeom>
        <a:gradFill>
          <a:gsLst>
            <a:gs pos="0">
              <a:srgbClr val="DCCD72"/>
            </a:gs>
            <a:gs pos="50000">
              <a:srgbClr val="FFFF99"/>
            </a:gs>
            <a:gs pos="70000">
              <a:srgbClr val="FFFFCC"/>
            </a:gs>
            <a:gs pos="100000">
              <a:srgbClr val="FFFFCC"/>
            </a:gs>
          </a:gsLst>
        </a:gradFill>
        <a:ln w="19050">
          <a:solidFill>
            <a:schemeClr val="tx1"/>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fld id="{72A57464-C54E-4E70-8F5F-E8052ED7017E}" type="TxLink">
            <a:rPr lang="en-US" sz="1100" b="0" i="0" u="none" strike="noStrike">
              <a:solidFill>
                <a:schemeClr val="tx1"/>
              </a:solidFill>
              <a:latin typeface="Calibri"/>
            </a:rPr>
            <a:pPr algn="ctr"/>
            <a:t>Additional Hazard 9</a:t>
          </a:fld>
          <a:endParaRPr lang="en-US" sz="1100">
            <a:solidFill>
              <a:schemeClr val="tx1"/>
            </a:solidFill>
          </a:endParaRPr>
        </a:p>
      </xdr:txBody>
    </xdr:sp>
    <xdr:clientData/>
  </xdr:twoCellAnchor>
  <xdr:twoCellAnchor>
    <xdr:from>
      <xdr:col>9</xdr:col>
      <xdr:colOff>0</xdr:colOff>
      <xdr:row>88</xdr:row>
      <xdr:rowOff>0</xdr:rowOff>
    </xdr:from>
    <xdr:to>
      <xdr:col>10</xdr:col>
      <xdr:colOff>9525</xdr:colOff>
      <xdr:row>89</xdr:row>
      <xdr:rowOff>9524</xdr:rowOff>
    </xdr:to>
    <xdr:sp macro="" textlink="'Summary of Impacts'!AF6">
      <xdr:nvSpPr>
        <xdr:cNvPr id="73" name="Rounded Rectangle 72">
          <a:hlinkClick xmlns:r="http://schemas.openxmlformats.org/officeDocument/2006/relationships" r:id="rId47"/>
          <a:extLst>
            <a:ext uri="{FF2B5EF4-FFF2-40B4-BE49-F238E27FC236}">
              <a16:creationId xmlns:a16="http://schemas.microsoft.com/office/drawing/2014/main" id="{00000000-0008-0000-0000-000049000000}"/>
            </a:ext>
          </a:extLst>
        </xdr:cNvPr>
        <xdr:cNvSpPr/>
      </xdr:nvSpPr>
      <xdr:spPr>
        <a:xfrm>
          <a:off x="5446059" y="25011529"/>
          <a:ext cx="1824878" cy="401730"/>
        </a:xfrm>
        <a:prstGeom prst="roundRect">
          <a:avLst/>
        </a:prstGeom>
        <a:gradFill>
          <a:gsLst>
            <a:gs pos="0">
              <a:srgbClr val="DCCD72"/>
            </a:gs>
            <a:gs pos="50000">
              <a:srgbClr val="FFFF99"/>
            </a:gs>
            <a:gs pos="70000">
              <a:srgbClr val="FFFFCC"/>
            </a:gs>
            <a:gs pos="100000">
              <a:srgbClr val="FFFFCC"/>
            </a:gs>
          </a:gsLst>
        </a:gradFill>
        <a:ln w="19050">
          <a:solidFill>
            <a:schemeClr val="tx1"/>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fld id="{F4D3F1BF-9628-4E96-B322-18A6FAA97C6D}" type="TxLink">
            <a:rPr lang="en-US" sz="1100" b="0" i="0" u="none" strike="noStrike">
              <a:solidFill>
                <a:schemeClr val="tx1"/>
              </a:solidFill>
              <a:latin typeface="Calibri"/>
            </a:rPr>
            <a:pPr algn="ctr"/>
            <a:t>Additional Hazard 10</a:t>
          </a:fld>
          <a:endParaRPr lang="en-US" sz="1100">
            <a:solidFill>
              <a:schemeClr val="tx1"/>
            </a:solidFill>
          </a:endParaRPr>
        </a:p>
      </xdr:txBody>
    </xdr:sp>
    <xdr:clientData/>
  </xdr:twoCellAnchor>
  <xdr:twoCellAnchor editAs="oneCell">
    <xdr:from>
      <xdr:col>0</xdr:col>
      <xdr:colOff>0</xdr:colOff>
      <xdr:row>0</xdr:row>
      <xdr:rowOff>0</xdr:rowOff>
    </xdr:from>
    <xdr:to>
      <xdr:col>0</xdr:col>
      <xdr:colOff>304800</xdr:colOff>
      <xdr:row>1</xdr:row>
      <xdr:rowOff>121920</xdr:rowOff>
    </xdr:to>
    <xdr:sp macro="" textlink="">
      <xdr:nvSpPr>
        <xdr:cNvPr id="1026" name="AutoShape 2" descr="Image result for Missouri DHSS">
          <a:extLst>
            <a:ext uri="{FF2B5EF4-FFF2-40B4-BE49-F238E27FC236}">
              <a16:creationId xmlns:a16="http://schemas.microsoft.com/office/drawing/2014/main" id="{00000000-0008-0000-0000-000002040000}"/>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3</xdr:row>
      <xdr:rowOff>0</xdr:rowOff>
    </xdr:from>
    <xdr:to>
      <xdr:col>8</xdr:col>
      <xdr:colOff>304800</xdr:colOff>
      <xdr:row>4</xdr:row>
      <xdr:rowOff>121920</xdr:rowOff>
    </xdr:to>
    <xdr:sp macro="" textlink="">
      <xdr:nvSpPr>
        <xdr:cNvPr id="1027" name="AutoShape 3" descr="Image result for Missouri DHSS">
          <a:extLst>
            <a:ext uri="{FF2B5EF4-FFF2-40B4-BE49-F238E27FC236}">
              <a16:creationId xmlns:a16="http://schemas.microsoft.com/office/drawing/2014/main" id="{00000000-0008-0000-0000-000003040000}"/>
            </a:ext>
          </a:extLst>
        </xdr:cNvPr>
        <xdr:cNvSpPr>
          <a:spLocks noChangeAspect="1" noChangeArrowheads="1"/>
        </xdr:cNvSpPr>
      </xdr:nvSpPr>
      <xdr:spPr bwMode="auto">
        <a:xfrm>
          <a:off x="4998720" y="914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3</xdr:row>
      <xdr:rowOff>0</xdr:rowOff>
    </xdr:from>
    <xdr:to>
      <xdr:col>7</xdr:col>
      <xdr:colOff>304800</xdr:colOff>
      <xdr:row>4</xdr:row>
      <xdr:rowOff>121920</xdr:rowOff>
    </xdr:to>
    <xdr:sp macro="" textlink="">
      <xdr:nvSpPr>
        <xdr:cNvPr id="1028" name="AutoShape 4" descr="Image result for Missouri DHSS">
          <a:extLst>
            <a:ext uri="{FF2B5EF4-FFF2-40B4-BE49-F238E27FC236}">
              <a16:creationId xmlns:a16="http://schemas.microsoft.com/office/drawing/2014/main" id="{00000000-0008-0000-0000-000004040000}"/>
            </a:ext>
          </a:extLst>
        </xdr:cNvPr>
        <xdr:cNvSpPr>
          <a:spLocks noChangeAspect="1" noChangeArrowheads="1"/>
        </xdr:cNvSpPr>
      </xdr:nvSpPr>
      <xdr:spPr bwMode="auto">
        <a:xfrm>
          <a:off x="4373880" y="548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518584</xdr:colOff>
      <xdr:row>1</xdr:row>
      <xdr:rowOff>42334</xdr:rowOff>
    </xdr:from>
    <xdr:to>
      <xdr:col>9</xdr:col>
      <xdr:colOff>137262</xdr:colOff>
      <xdr:row>6</xdr:row>
      <xdr:rowOff>160738</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2973917" y="232834"/>
          <a:ext cx="2677262" cy="1070904"/>
        </a:xfrm>
        <a:prstGeom prst="rect">
          <a:avLst/>
        </a:prstGeom>
      </xdr:spPr>
    </xdr:pic>
    <xdr:clientData/>
  </xdr:twoCellAnchor>
  <xdr:twoCellAnchor editAs="oneCell">
    <xdr:from>
      <xdr:col>3</xdr:col>
      <xdr:colOff>137583</xdr:colOff>
      <xdr:row>1</xdr:row>
      <xdr:rowOff>105833</xdr:rowOff>
    </xdr:from>
    <xdr:to>
      <xdr:col>4</xdr:col>
      <xdr:colOff>323313</xdr:colOff>
      <xdr:row>7</xdr:row>
      <xdr:rowOff>1</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979083" y="296333"/>
          <a:ext cx="799563" cy="103716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0</xdr:colOff>
      <xdr:row>958</xdr:row>
      <xdr:rowOff>0</xdr:rowOff>
    </xdr:from>
    <xdr:to>
      <xdr:col>8</xdr:col>
      <xdr:colOff>11206</xdr:colOff>
      <xdr:row>960</xdr:row>
      <xdr:rowOff>11206</xdr:rowOff>
    </xdr:to>
    <xdr:sp macro="" textlink="">
      <xdr:nvSpPr>
        <xdr:cNvPr id="4" name="Rounded Rectangle 3">
          <a:hlinkClick xmlns:r="http://schemas.openxmlformats.org/officeDocument/2006/relationships" r:id="rId1"/>
          <a:extLst>
            <a:ext uri="{FF2B5EF4-FFF2-40B4-BE49-F238E27FC236}">
              <a16:creationId xmlns:a16="http://schemas.microsoft.com/office/drawing/2014/main" id="{00000000-0008-0000-0900-000004000000}"/>
            </a:ext>
          </a:extLst>
        </xdr:cNvPr>
        <xdr:cNvSpPr/>
      </xdr:nvSpPr>
      <xdr:spPr>
        <a:xfrm>
          <a:off x="3025588" y="136028206"/>
          <a:ext cx="1826559" cy="392206"/>
        </a:xfrm>
        <a:prstGeom prst="roundRect">
          <a:avLst/>
        </a:prstGeom>
        <a:gradFill>
          <a:gsLst>
            <a:gs pos="0">
              <a:srgbClr val="DCCD72"/>
            </a:gs>
            <a:gs pos="50000">
              <a:srgbClr val="FFFF66"/>
            </a:gs>
            <a:gs pos="70000">
              <a:srgbClr val="FFFF99"/>
            </a:gs>
            <a:gs pos="100000">
              <a:srgbClr val="FFFFCC"/>
            </a:gs>
          </a:gsLst>
        </a:gradFill>
        <a:ln w="19050">
          <a:solidFill>
            <a:schemeClr val="tx1"/>
          </a:solidFill>
        </a:ln>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n-US" sz="1100">
              <a:solidFill>
                <a:schemeClr val="tx1"/>
              </a:solidFill>
              <a:latin typeface="+mj-lt"/>
            </a:rPr>
            <a:t>Active Shooter Analysis</a:t>
          </a:r>
        </a:p>
      </xdr:txBody>
    </xdr:sp>
    <xdr:clientData/>
  </xdr:twoCellAnchor>
  <xdr:twoCellAnchor>
    <xdr:from>
      <xdr:col>10</xdr:col>
      <xdr:colOff>0</xdr:colOff>
      <xdr:row>1</xdr:row>
      <xdr:rowOff>0</xdr:rowOff>
    </xdr:from>
    <xdr:to>
      <xdr:col>11</xdr:col>
      <xdr:colOff>600077</xdr:colOff>
      <xdr:row>2</xdr:row>
      <xdr:rowOff>0</xdr:rowOff>
    </xdr:to>
    <xdr:sp macro="" textlink="">
      <xdr:nvSpPr>
        <xdr:cNvPr id="5" name="Rounded Rectangle 4">
          <a:hlinkClick xmlns:r="http://schemas.openxmlformats.org/officeDocument/2006/relationships" r:id="rId2"/>
          <a:extLst>
            <a:ext uri="{FF2B5EF4-FFF2-40B4-BE49-F238E27FC236}">
              <a16:creationId xmlns:a16="http://schemas.microsoft.com/office/drawing/2014/main" id="{00000000-0008-0000-0900-000005000000}"/>
            </a:ext>
          </a:extLst>
        </xdr:cNvPr>
        <xdr:cNvSpPr/>
      </xdr:nvSpPr>
      <xdr:spPr>
        <a:xfrm>
          <a:off x="7160559" y="190500"/>
          <a:ext cx="1205194" cy="414618"/>
        </a:xfrm>
        <a:prstGeom prst="roundRect">
          <a:avLst/>
        </a:prstGeom>
        <a:gradFill>
          <a:gsLst>
            <a:gs pos="0">
              <a:srgbClr val="23AF84"/>
            </a:gs>
            <a:gs pos="50000">
              <a:srgbClr val="6DDDA8"/>
            </a:gs>
            <a:gs pos="70000">
              <a:srgbClr val="70EAB9"/>
            </a:gs>
            <a:gs pos="100000">
              <a:srgbClr val="99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400">
              <a:latin typeface="+mj-lt"/>
            </a:rPr>
            <a:t>Main</a:t>
          </a:r>
          <a:r>
            <a:rPr lang="en-US" sz="1400" baseline="0">
              <a:latin typeface="+mj-lt"/>
            </a:rPr>
            <a:t> Menu</a:t>
          </a:r>
          <a:endParaRPr lang="en-US" sz="1400">
            <a:latin typeface="+mj-lt"/>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0</xdr:colOff>
      <xdr:row>958</xdr:row>
      <xdr:rowOff>0</xdr:rowOff>
    </xdr:from>
    <xdr:to>
      <xdr:col>8</xdr:col>
      <xdr:colOff>11206</xdr:colOff>
      <xdr:row>960</xdr:row>
      <xdr:rowOff>11206</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A00-000003000000}"/>
            </a:ext>
          </a:extLst>
        </xdr:cNvPr>
        <xdr:cNvSpPr/>
      </xdr:nvSpPr>
      <xdr:spPr>
        <a:xfrm>
          <a:off x="3025588" y="147637500"/>
          <a:ext cx="1826559" cy="392206"/>
        </a:xfrm>
        <a:prstGeom prst="roundRect">
          <a:avLst/>
        </a:prstGeom>
        <a:gradFill>
          <a:gsLst>
            <a:gs pos="0">
              <a:srgbClr val="DCCD72"/>
            </a:gs>
            <a:gs pos="50000">
              <a:srgbClr val="FFFF66"/>
            </a:gs>
            <a:gs pos="70000">
              <a:srgbClr val="FFFF99"/>
            </a:gs>
            <a:gs pos="100000">
              <a:srgbClr val="FFFFCC"/>
            </a:gs>
          </a:gsLst>
        </a:gradFill>
        <a:ln w="19050">
          <a:solidFill>
            <a:schemeClr val="tx1"/>
          </a:solidFill>
        </a:ln>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n-US" sz="1100">
              <a:solidFill>
                <a:schemeClr val="tx1"/>
              </a:solidFill>
              <a:latin typeface="+mj-lt"/>
            </a:rPr>
            <a:t>Bio Terrorism Analysis</a:t>
          </a:r>
        </a:p>
      </xdr:txBody>
    </xdr:sp>
    <xdr:clientData/>
  </xdr:twoCellAnchor>
  <xdr:twoCellAnchor>
    <xdr:from>
      <xdr:col>10</xdr:col>
      <xdr:colOff>0</xdr:colOff>
      <xdr:row>1</xdr:row>
      <xdr:rowOff>0</xdr:rowOff>
    </xdr:from>
    <xdr:to>
      <xdr:col>11</xdr:col>
      <xdr:colOff>600077</xdr:colOff>
      <xdr:row>2</xdr:row>
      <xdr:rowOff>0</xdr:rowOff>
    </xdr:to>
    <xdr:sp macro="" textlink="">
      <xdr:nvSpPr>
        <xdr:cNvPr id="4" name="Rounded Rectangle 3">
          <a:hlinkClick xmlns:r="http://schemas.openxmlformats.org/officeDocument/2006/relationships" r:id="rId2"/>
          <a:extLst>
            <a:ext uri="{FF2B5EF4-FFF2-40B4-BE49-F238E27FC236}">
              <a16:creationId xmlns:a16="http://schemas.microsoft.com/office/drawing/2014/main" id="{00000000-0008-0000-0A00-000004000000}"/>
            </a:ext>
          </a:extLst>
        </xdr:cNvPr>
        <xdr:cNvSpPr/>
      </xdr:nvSpPr>
      <xdr:spPr>
        <a:xfrm>
          <a:off x="7160559" y="190500"/>
          <a:ext cx="1205194" cy="414618"/>
        </a:xfrm>
        <a:prstGeom prst="roundRect">
          <a:avLst/>
        </a:prstGeom>
        <a:gradFill>
          <a:gsLst>
            <a:gs pos="0">
              <a:srgbClr val="23AF84"/>
            </a:gs>
            <a:gs pos="50000">
              <a:srgbClr val="6DDDA8"/>
            </a:gs>
            <a:gs pos="70000">
              <a:srgbClr val="70EAB9"/>
            </a:gs>
            <a:gs pos="100000">
              <a:srgbClr val="99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400">
              <a:latin typeface="+mj-lt"/>
            </a:rPr>
            <a:t>Main</a:t>
          </a:r>
          <a:r>
            <a:rPr lang="en-US" sz="1400" baseline="0">
              <a:latin typeface="+mj-lt"/>
            </a:rPr>
            <a:t> Menu</a:t>
          </a:r>
          <a:endParaRPr lang="en-US" sz="1400">
            <a:latin typeface="+mj-lt"/>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0</xdr:colOff>
      <xdr:row>958</xdr:row>
      <xdr:rowOff>0</xdr:rowOff>
    </xdr:from>
    <xdr:to>
      <xdr:col>8</xdr:col>
      <xdr:colOff>11206</xdr:colOff>
      <xdr:row>960</xdr:row>
      <xdr:rowOff>11206</xdr:rowOff>
    </xdr:to>
    <xdr:sp macro="" textlink="">
      <xdr:nvSpPr>
        <xdr:cNvPr id="5" name="Rounded Rectangle 4">
          <a:hlinkClick xmlns:r="http://schemas.openxmlformats.org/officeDocument/2006/relationships" r:id="rId1"/>
          <a:extLst>
            <a:ext uri="{FF2B5EF4-FFF2-40B4-BE49-F238E27FC236}">
              <a16:creationId xmlns:a16="http://schemas.microsoft.com/office/drawing/2014/main" id="{00000000-0008-0000-0B00-000005000000}"/>
            </a:ext>
          </a:extLst>
        </xdr:cNvPr>
        <xdr:cNvSpPr/>
      </xdr:nvSpPr>
      <xdr:spPr>
        <a:xfrm>
          <a:off x="3048000" y="162096450"/>
          <a:ext cx="1840006" cy="392206"/>
        </a:xfrm>
        <a:prstGeom prst="roundRect">
          <a:avLst/>
        </a:prstGeom>
        <a:gradFill>
          <a:gsLst>
            <a:gs pos="0">
              <a:srgbClr val="DCCD72"/>
            </a:gs>
            <a:gs pos="50000">
              <a:srgbClr val="FFFF66"/>
            </a:gs>
            <a:gs pos="70000">
              <a:srgbClr val="FFFF99"/>
            </a:gs>
            <a:gs pos="100000">
              <a:srgbClr val="FFFFCC"/>
            </a:gs>
          </a:gsLst>
        </a:gradFill>
        <a:ln w="19050">
          <a:solidFill>
            <a:schemeClr val="tx1"/>
          </a:solidFill>
        </a:ln>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n-US" sz="1100">
              <a:solidFill>
                <a:schemeClr val="tx1"/>
              </a:solidFill>
              <a:latin typeface="+mj-lt"/>
            </a:rPr>
            <a:t>Chem Terrorism Analysis</a:t>
          </a:r>
        </a:p>
      </xdr:txBody>
    </xdr:sp>
    <xdr:clientData/>
  </xdr:twoCellAnchor>
  <xdr:twoCellAnchor>
    <xdr:from>
      <xdr:col>10</xdr:col>
      <xdr:colOff>0</xdr:colOff>
      <xdr:row>1</xdr:row>
      <xdr:rowOff>0</xdr:rowOff>
    </xdr:from>
    <xdr:to>
      <xdr:col>11</xdr:col>
      <xdr:colOff>600077</xdr:colOff>
      <xdr:row>2</xdr:row>
      <xdr:rowOff>0</xdr:rowOff>
    </xdr:to>
    <xdr:sp macro="" textlink="">
      <xdr:nvSpPr>
        <xdr:cNvPr id="6" name="Rounded Rectangle 5">
          <a:hlinkClick xmlns:r="http://schemas.openxmlformats.org/officeDocument/2006/relationships" r:id="rId2"/>
          <a:extLst>
            <a:ext uri="{FF2B5EF4-FFF2-40B4-BE49-F238E27FC236}">
              <a16:creationId xmlns:a16="http://schemas.microsoft.com/office/drawing/2014/main" id="{00000000-0008-0000-0B00-000006000000}"/>
            </a:ext>
          </a:extLst>
        </xdr:cNvPr>
        <xdr:cNvSpPr/>
      </xdr:nvSpPr>
      <xdr:spPr>
        <a:xfrm>
          <a:off x="7160559" y="190500"/>
          <a:ext cx="1205194" cy="414618"/>
        </a:xfrm>
        <a:prstGeom prst="roundRect">
          <a:avLst/>
        </a:prstGeom>
        <a:gradFill>
          <a:gsLst>
            <a:gs pos="0">
              <a:srgbClr val="23AF84"/>
            </a:gs>
            <a:gs pos="50000">
              <a:srgbClr val="6DDDA8"/>
            </a:gs>
            <a:gs pos="70000">
              <a:srgbClr val="70EAB9"/>
            </a:gs>
            <a:gs pos="100000">
              <a:srgbClr val="99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400">
              <a:latin typeface="+mj-lt"/>
            </a:rPr>
            <a:t>Main</a:t>
          </a:r>
          <a:r>
            <a:rPr lang="en-US" sz="1400" baseline="0">
              <a:latin typeface="+mj-lt"/>
            </a:rPr>
            <a:t> Menu</a:t>
          </a:r>
          <a:endParaRPr lang="en-US" sz="1400">
            <a:latin typeface="+mj-lt"/>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0</xdr:colOff>
      <xdr:row>958</xdr:row>
      <xdr:rowOff>0</xdr:rowOff>
    </xdr:from>
    <xdr:to>
      <xdr:col>8</xdr:col>
      <xdr:colOff>11206</xdr:colOff>
      <xdr:row>960</xdr:row>
      <xdr:rowOff>11206</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C00-000003000000}"/>
            </a:ext>
          </a:extLst>
        </xdr:cNvPr>
        <xdr:cNvSpPr/>
      </xdr:nvSpPr>
      <xdr:spPr>
        <a:xfrm>
          <a:off x="3025588" y="140779500"/>
          <a:ext cx="1826559" cy="392206"/>
        </a:xfrm>
        <a:prstGeom prst="roundRect">
          <a:avLst/>
        </a:prstGeom>
        <a:gradFill>
          <a:gsLst>
            <a:gs pos="0">
              <a:srgbClr val="DCCD72"/>
            </a:gs>
            <a:gs pos="50000">
              <a:srgbClr val="FFFF66"/>
            </a:gs>
            <a:gs pos="70000">
              <a:srgbClr val="FFFF99"/>
            </a:gs>
            <a:gs pos="100000">
              <a:srgbClr val="FFFFCC"/>
            </a:gs>
          </a:gsLst>
        </a:gradFill>
        <a:ln w="19050">
          <a:solidFill>
            <a:schemeClr val="tx1"/>
          </a:solidFill>
        </a:ln>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n-US" sz="1100">
              <a:solidFill>
                <a:schemeClr val="tx1"/>
              </a:solidFill>
              <a:latin typeface="+mj-lt"/>
            </a:rPr>
            <a:t>Civil Disturbance Analysis</a:t>
          </a:r>
        </a:p>
      </xdr:txBody>
    </xdr:sp>
    <xdr:clientData/>
  </xdr:twoCellAnchor>
  <xdr:twoCellAnchor>
    <xdr:from>
      <xdr:col>10</xdr:col>
      <xdr:colOff>0</xdr:colOff>
      <xdr:row>1</xdr:row>
      <xdr:rowOff>0</xdr:rowOff>
    </xdr:from>
    <xdr:to>
      <xdr:col>11</xdr:col>
      <xdr:colOff>600077</xdr:colOff>
      <xdr:row>2</xdr:row>
      <xdr:rowOff>0</xdr:rowOff>
    </xdr:to>
    <xdr:sp macro="" textlink="">
      <xdr:nvSpPr>
        <xdr:cNvPr id="4" name="Rounded Rectangle 3">
          <a:hlinkClick xmlns:r="http://schemas.openxmlformats.org/officeDocument/2006/relationships" r:id="rId2"/>
          <a:extLst>
            <a:ext uri="{FF2B5EF4-FFF2-40B4-BE49-F238E27FC236}">
              <a16:creationId xmlns:a16="http://schemas.microsoft.com/office/drawing/2014/main" id="{00000000-0008-0000-0C00-000004000000}"/>
            </a:ext>
          </a:extLst>
        </xdr:cNvPr>
        <xdr:cNvSpPr/>
      </xdr:nvSpPr>
      <xdr:spPr>
        <a:xfrm>
          <a:off x="7160559" y="190500"/>
          <a:ext cx="1205194" cy="414618"/>
        </a:xfrm>
        <a:prstGeom prst="roundRect">
          <a:avLst/>
        </a:prstGeom>
        <a:gradFill>
          <a:gsLst>
            <a:gs pos="0">
              <a:srgbClr val="23AF84"/>
            </a:gs>
            <a:gs pos="50000">
              <a:srgbClr val="6DDDA8"/>
            </a:gs>
            <a:gs pos="70000">
              <a:srgbClr val="70EAB9"/>
            </a:gs>
            <a:gs pos="100000">
              <a:srgbClr val="99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400">
              <a:latin typeface="+mj-lt"/>
            </a:rPr>
            <a:t>Main</a:t>
          </a:r>
          <a:r>
            <a:rPr lang="en-US" sz="1400" baseline="0">
              <a:latin typeface="+mj-lt"/>
            </a:rPr>
            <a:t> Menu</a:t>
          </a:r>
          <a:endParaRPr lang="en-US" sz="1400">
            <a:latin typeface="+mj-lt"/>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5</xdr:col>
      <xdr:colOff>0</xdr:colOff>
      <xdr:row>958</xdr:row>
      <xdr:rowOff>0</xdr:rowOff>
    </xdr:from>
    <xdr:to>
      <xdr:col>8</xdr:col>
      <xdr:colOff>11206</xdr:colOff>
      <xdr:row>960</xdr:row>
      <xdr:rowOff>11206</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D00-000003000000}"/>
            </a:ext>
          </a:extLst>
        </xdr:cNvPr>
        <xdr:cNvSpPr/>
      </xdr:nvSpPr>
      <xdr:spPr>
        <a:xfrm>
          <a:off x="3025588" y="138684000"/>
          <a:ext cx="1826559" cy="392206"/>
        </a:xfrm>
        <a:prstGeom prst="roundRect">
          <a:avLst/>
        </a:prstGeom>
        <a:gradFill>
          <a:gsLst>
            <a:gs pos="0">
              <a:srgbClr val="DCCD72"/>
            </a:gs>
            <a:gs pos="50000">
              <a:srgbClr val="FFFF66"/>
            </a:gs>
            <a:gs pos="70000">
              <a:srgbClr val="FFFF99"/>
            </a:gs>
            <a:gs pos="100000">
              <a:srgbClr val="FFFFCC"/>
            </a:gs>
          </a:gsLst>
        </a:gradFill>
        <a:ln w="19050">
          <a:solidFill>
            <a:schemeClr val="tx1"/>
          </a:solidFill>
        </a:ln>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n-US" sz="1100">
              <a:solidFill>
                <a:schemeClr val="tx1"/>
              </a:solidFill>
              <a:latin typeface="+mj-lt"/>
            </a:rPr>
            <a:t>Coastal Storm Analysis</a:t>
          </a:r>
        </a:p>
      </xdr:txBody>
    </xdr:sp>
    <xdr:clientData/>
  </xdr:twoCellAnchor>
  <xdr:twoCellAnchor>
    <xdr:from>
      <xdr:col>10</xdr:col>
      <xdr:colOff>0</xdr:colOff>
      <xdr:row>1</xdr:row>
      <xdr:rowOff>0</xdr:rowOff>
    </xdr:from>
    <xdr:to>
      <xdr:col>11</xdr:col>
      <xdr:colOff>600077</xdr:colOff>
      <xdr:row>2</xdr:row>
      <xdr:rowOff>0</xdr:rowOff>
    </xdr:to>
    <xdr:sp macro="" textlink="">
      <xdr:nvSpPr>
        <xdr:cNvPr id="4" name="Rounded Rectangle 3">
          <a:hlinkClick xmlns:r="http://schemas.openxmlformats.org/officeDocument/2006/relationships" r:id="rId2"/>
          <a:extLst>
            <a:ext uri="{FF2B5EF4-FFF2-40B4-BE49-F238E27FC236}">
              <a16:creationId xmlns:a16="http://schemas.microsoft.com/office/drawing/2014/main" id="{00000000-0008-0000-0D00-000004000000}"/>
            </a:ext>
          </a:extLst>
        </xdr:cNvPr>
        <xdr:cNvSpPr/>
      </xdr:nvSpPr>
      <xdr:spPr>
        <a:xfrm>
          <a:off x="7160559" y="190500"/>
          <a:ext cx="1205194" cy="414618"/>
        </a:xfrm>
        <a:prstGeom prst="roundRect">
          <a:avLst/>
        </a:prstGeom>
        <a:gradFill>
          <a:gsLst>
            <a:gs pos="0">
              <a:srgbClr val="23AF84"/>
            </a:gs>
            <a:gs pos="50000">
              <a:srgbClr val="6DDDA8"/>
            </a:gs>
            <a:gs pos="70000">
              <a:srgbClr val="70EAB9"/>
            </a:gs>
            <a:gs pos="100000">
              <a:srgbClr val="99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400">
              <a:latin typeface="+mj-lt"/>
            </a:rPr>
            <a:t>Main</a:t>
          </a:r>
          <a:r>
            <a:rPr lang="en-US" sz="1400" baseline="0">
              <a:latin typeface="+mj-lt"/>
            </a:rPr>
            <a:t> Menu</a:t>
          </a:r>
          <a:endParaRPr lang="en-US" sz="1400">
            <a:latin typeface="+mj-lt"/>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0</xdr:colOff>
      <xdr:row>958</xdr:row>
      <xdr:rowOff>0</xdr:rowOff>
    </xdr:from>
    <xdr:to>
      <xdr:col>8</xdr:col>
      <xdr:colOff>11206</xdr:colOff>
      <xdr:row>960</xdr:row>
      <xdr:rowOff>11206</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E00-000003000000}"/>
            </a:ext>
          </a:extLst>
        </xdr:cNvPr>
        <xdr:cNvSpPr/>
      </xdr:nvSpPr>
      <xdr:spPr>
        <a:xfrm>
          <a:off x="3025588" y="136588500"/>
          <a:ext cx="1826559" cy="392206"/>
        </a:xfrm>
        <a:prstGeom prst="roundRect">
          <a:avLst/>
        </a:prstGeom>
        <a:gradFill>
          <a:gsLst>
            <a:gs pos="0">
              <a:srgbClr val="DCCD72"/>
            </a:gs>
            <a:gs pos="50000">
              <a:srgbClr val="FFFF66"/>
            </a:gs>
            <a:gs pos="70000">
              <a:srgbClr val="FFFF99"/>
            </a:gs>
            <a:gs pos="100000">
              <a:srgbClr val="FFFFCC"/>
            </a:gs>
          </a:gsLst>
        </a:gradFill>
        <a:ln w="19050">
          <a:solidFill>
            <a:schemeClr val="tx1"/>
          </a:solidFill>
        </a:ln>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n-US" sz="1100">
              <a:solidFill>
                <a:schemeClr val="tx1"/>
              </a:solidFill>
              <a:latin typeface="+mj-lt"/>
            </a:rPr>
            <a:t>Conv Explosive Analysis</a:t>
          </a:r>
        </a:p>
      </xdr:txBody>
    </xdr:sp>
    <xdr:clientData/>
  </xdr:twoCellAnchor>
  <xdr:twoCellAnchor>
    <xdr:from>
      <xdr:col>10</xdr:col>
      <xdr:colOff>0</xdr:colOff>
      <xdr:row>1</xdr:row>
      <xdr:rowOff>0</xdr:rowOff>
    </xdr:from>
    <xdr:to>
      <xdr:col>11</xdr:col>
      <xdr:colOff>600077</xdr:colOff>
      <xdr:row>2</xdr:row>
      <xdr:rowOff>0</xdr:rowOff>
    </xdr:to>
    <xdr:sp macro="" textlink="">
      <xdr:nvSpPr>
        <xdr:cNvPr id="4" name="Rounded Rectangle 3">
          <a:hlinkClick xmlns:r="http://schemas.openxmlformats.org/officeDocument/2006/relationships" r:id="rId2"/>
          <a:extLst>
            <a:ext uri="{FF2B5EF4-FFF2-40B4-BE49-F238E27FC236}">
              <a16:creationId xmlns:a16="http://schemas.microsoft.com/office/drawing/2014/main" id="{00000000-0008-0000-0E00-000004000000}"/>
            </a:ext>
          </a:extLst>
        </xdr:cNvPr>
        <xdr:cNvSpPr/>
      </xdr:nvSpPr>
      <xdr:spPr>
        <a:xfrm>
          <a:off x="7160559" y="190500"/>
          <a:ext cx="1205194" cy="414618"/>
        </a:xfrm>
        <a:prstGeom prst="roundRect">
          <a:avLst/>
        </a:prstGeom>
        <a:gradFill>
          <a:gsLst>
            <a:gs pos="0">
              <a:srgbClr val="23AF84"/>
            </a:gs>
            <a:gs pos="50000">
              <a:srgbClr val="6DDDA8"/>
            </a:gs>
            <a:gs pos="70000">
              <a:srgbClr val="70EAB9"/>
            </a:gs>
            <a:gs pos="100000">
              <a:srgbClr val="99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400">
              <a:latin typeface="+mj-lt"/>
            </a:rPr>
            <a:t>Main</a:t>
          </a:r>
          <a:r>
            <a:rPr lang="en-US" sz="1400" baseline="0">
              <a:latin typeface="+mj-lt"/>
            </a:rPr>
            <a:t> Menu</a:t>
          </a:r>
          <a:endParaRPr lang="en-US" sz="1400">
            <a:latin typeface="+mj-lt"/>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0</xdr:colOff>
      <xdr:row>958</xdr:row>
      <xdr:rowOff>0</xdr:rowOff>
    </xdr:from>
    <xdr:to>
      <xdr:col>8</xdr:col>
      <xdr:colOff>11206</xdr:colOff>
      <xdr:row>960</xdr:row>
      <xdr:rowOff>11206</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F00-000003000000}"/>
            </a:ext>
          </a:extLst>
        </xdr:cNvPr>
        <xdr:cNvSpPr/>
      </xdr:nvSpPr>
      <xdr:spPr>
        <a:xfrm>
          <a:off x="3025588" y="136398000"/>
          <a:ext cx="1826559" cy="392206"/>
        </a:xfrm>
        <a:prstGeom prst="roundRect">
          <a:avLst/>
        </a:prstGeom>
        <a:gradFill>
          <a:gsLst>
            <a:gs pos="0">
              <a:srgbClr val="DCCD72"/>
            </a:gs>
            <a:gs pos="50000">
              <a:srgbClr val="FFFF66"/>
            </a:gs>
            <a:gs pos="70000">
              <a:srgbClr val="FFFF99"/>
            </a:gs>
            <a:gs pos="100000">
              <a:srgbClr val="FFFFCC"/>
            </a:gs>
          </a:gsLst>
        </a:gradFill>
        <a:ln w="19050">
          <a:solidFill>
            <a:schemeClr val="tx1"/>
          </a:solidFill>
        </a:ln>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n-US" sz="1100">
              <a:solidFill>
                <a:schemeClr val="tx1"/>
              </a:solidFill>
              <a:latin typeface="+mj-lt"/>
            </a:rPr>
            <a:t>Cyber Terrorism</a:t>
          </a:r>
          <a:r>
            <a:rPr lang="en-US" sz="1100" baseline="0">
              <a:solidFill>
                <a:schemeClr val="tx1"/>
              </a:solidFill>
              <a:latin typeface="+mj-lt"/>
            </a:rPr>
            <a:t> </a:t>
          </a:r>
          <a:r>
            <a:rPr lang="en-US" sz="1100">
              <a:solidFill>
                <a:schemeClr val="tx1"/>
              </a:solidFill>
              <a:latin typeface="+mj-lt"/>
            </a:rPr>
            <a:t>Analysis</a:t>
          </a:r>
        </a:p>
      </xdr:txBody>
    </xdr:sp>
    <xdr:clientData/>
  </xdr:twoCellAnchor>
  <xdr:twoCellAnchor>
    <xdr:from>
      <xdr:col>10</xdr:col>
      <xdr:colOff>0</xdr:colOff>
      <xdr:row>1</xdr:row>
      <xdr:rowOff>0</xdr:rowOff>
    </xdr:from>
    <xdr:to>
      <xdr:col>11</xdr:col>
      <xdr:colOff>600077</xdr:colOff>
      <xdr:row>2</xdr:row>
      <xdr:rowOff>0</xdr:rowOff>
    </xdr:to>
    <xdr:sp macro="" textlink="">
      <xdr:nvSpPr>
        <xdr:cNvPr id="4" name="Rounded Rectangle 3">
          <a:hlinkClick xmlns:r="http://schemas.openxmlformats.org/officeDocument/2006/relationships" r:id="rId2"/>
          <a:extLst>
            <a:ext uri="{FF2B5EF4-FFF2-40B4-BE49-F238E27FC236}">
              <a16:creationId xmlns:a16="http://schemas.microsoft.com/office/drawing/2014/main" id="{00000000-0008-0000-0F00-000004000000}"/>
            </a:ext>
          </a:extLst>
        </xdr:cNvPr>
        <xdr:cNvSpPr/>
      </xdr:nvSpPr>
      <xdr:spPr>
        <a:xfrm>
          <a:off x="7160559" y="190500"/>
          <a:ext cx="1205194" cy="414618"/>
        </a:xfrm>
        <a:prstGeom prst="roundRect">
          <a:avLst/>
        </a:prstGeom>
        <a:gradFill>
          <a:gsLst>
            <a:gs pos="0">
              <a:srgbClr val="23AF84"/>
            </a:gs>
            <a:gs pos="50000">
              <a:srgbClr val="6DDDA8"/>
            </a:gs>
            <a:gs pos="70000">
              <a:srgbClr val="70EAB9"/>
            </a:gs>
            <a:gs pos="100000">
              <a:srgbClr val="99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400">
              <a:latin typeface="+mj-lt"/>
            </a:rPr>
            <a:t>Main</a:t>
          </a:r>
          <a:r>
            <a:rPr lang="en-US" sz="1400" baseline="0">
              <a:latin typeface="+mj-lt"/>
            </a:rPr>
            <a:t> Menu</a:t>
          </a:r>
          <a:endParaRPr lang="en-US" sz="1400">
            <a:latin typeface="+mj-lt"/>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0</xdr:colOff>
      <xdr:row>958</xdr:row>
      <xdr:rowOff>0</xdr:rowOff>
    </xdr:from>
    <xdr:to>
      <xdr:col>8</xdr:col>
      <xdr:colOff>11206</xdr:colOff>
      <xdr:row>960</xdr:row>
      <xdr:rowOff>11206</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000-000003000000}"/>
            </a:ext>
          </a:extLst>
        </xdr:cNvPr>
        <xdr:cNvSpPr/>
      </xdr:nvSpPr>
      <xdr:spPr>
        <a:xfrm>
          <a:off x="3025588" y="142684500"/>
          <a:ext cx="1826559" cy="392206"/>
        </a:xfrm>
        <a:prstGeom prst="roundRect">
          <a:avLst/>
        </a:prstGeom>
        <a:gradFill>
          <a:gsLst>
            <a:gs pos="0">
              <a:srgbClr val="DCCD72"/>
            </a:gs>
            <a:gs pos="50000">
              <a:srgbClr val="FFFF66"/>
            </a:gs>
            <a:gs pos="70000">
              <a:srgbClr val="FFFF99"/>
            </a:gs>
            <a:gs pos="100000">
              <a:srgbClr val="FFFFCC"/>
            </a:gs>
          </a:gsLst>
        </a:gradFill>
        <a:ln w="19050">
          <a:solidFill>
            <a:schemeClr val="tx1"/>
          </a:solidFill>
        </a:ln>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n-US" sz="1100">
              <a:solidFill>
                <a:schemeClr val="tx1"/>
              </a:solidFill>
              <a:latin typeface="+mj-lt"/>
            </a:rPr>
            <a:t>Drought Analysis</a:t>
          </a:r>
        </a:p>
      </xdr:txBody>
    </xdr:sp>
    <xdr:clientData/>
  </xdr:twoCellAnchor>
  <xdr:twoCellAnchor>
    <xdr:from>
      <xdr:col>10</xdr:col>
      <xdr:colOff>0</xdr:colOff>
      <xdr:row>1</xdr:row>
      <xdr:rowOff>0</xdr:rowOff>
    </xdr:from>
    <xdr:to>
      <xdr:col>11</xdr:col>
      <xdr:colOff>600077</xdr:colOff>
      <xdr:row>2</xdr:row>
      <xdr:rowOff>0</xdr:rowOff>
    </xdr:to>
    <xdr:sp macro="" textlink="">
      <xdr:nvSpPr>
        <xdr:cNvPr id="4" name="Rounded Rectangle 3">
          <a:hlinkClick xmlns:r="http://schemas.openxmlformats.org/officeDocument/2006/relationships" r:id="rId2"/>
          <a:extLst>
            <a:ext uri="{FF2B5EF4-FFF2-40B4-BE49-F238E27FC236}">
              <a16:creationId xmlns:a16="http://schemas.microsoft.com/office/drawing/2014/main" id="{00000000-0008-0000-1000-000004000000}"/>
            </a:ext>
          </a:extLst>
        </xdr:cNvPr>
        <xdr:cNvSpPr/>
      </xdr:nvSpPr>
      <xdr:spPr>
        <a:xfrm>
          <a:off x="7160559" y="190500"/>
          <a:ext cx="1205194" cy="414618"/>
        </a:xfrm>
        <a:prstGeom prst="roundRect">
          <a:avLst/>
        </a:prstGeom>
        <a:gradFill>
          <a:gsLst>
            <a:gs pos="0">
              <a:srgbClr val="23AF84"/>
            </a:gs>
            <a:gs pos="50000">
              <a:srgbClr val="6DDDA8"/>
            </a:gs>
            <a:gs pos="70000">
              <a:srgbClr val="70EAB9"/>
            </a:gs>
            <a:gs pos="100000">
              <a:srgbClr val="99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400">
              <a:latin typeface="+mj-lt"/>
            </a:rPr>
            <a:t>Main</a:t>
          </a:r>
          <a:r>
            <a:rPr lang="en-US" sz="1400" baseline="0">
              <a:latin typeface="+mj-lt"/>
            </a:rPr>
            <a:t> Menu</a:t>
          </a:r>
          <a:endParaRPr lang="en-US" sz="1400">
            <a:latin typeface="+mj-lt"/>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0</xdr:colOff>
      <xdr:row>958</xdr:row>
      <xdr:rowOff>0</xdr:rowOff>
    </xdr:from>
    <xdr:to>
      <xdr:col>8</xdr:col>
      <xdr:colOff>11206</xdr:colOff>
      <xdr:row>960</xdr:row>
      <xdr:rowOff>11206</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100-000003000000}"/>
            </a:ext>
          </a:extLst>
        </xdr:cNvPr>
        <xdr:cNvSpPr/>
      </xdr:nvSpPr>
      <xdr:spPr>
        <a:xfrm>
          <a:off x="3025588" y="134874000"/>
          <a:ext cx="1826559" cy="392206"/>
        </a:xfrm>
        <a:prstGeom prst="roundRect">
          <a:avLst/>
        </a:prstGeom>
        <a:gradFill>
          <a:gsLst>
            <a:gs pos="0">
              <a:srgbClr val="DCCD72"/>
            </a:gs>
            <a:gs pos="50000">
              <a:srgbClr val="FFFF66"/>
            </a:gs>
            <a:gs pos="70000">
              <a:srgbClr val="FFFF99"/>
            </a:gs>
            <a:gs pos="100000">
              <a:srgbClr val="FFFFCC"/>
            </a:gs>
          </a:gsLst>
        </a:gradFill>
        <a:ln w="19050">
          <a:solidFill>
            <a:schemeClr val="tx1"/>
          </a:solidFill>
        </a:ln>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n-US" sz="1100">
              <a:solidFill>
                <a:schemeClr val="tx1"/>
              </a:solidFill>
              <a:latin typeface="+mj-lt"/>
            </a:rPr>
            <a:t>Earthquake Analysis</a:t>
          </a:r>
        </a:p>
      </xdr:txBody>
    </xdr:sp>
    <xdr:clientData/>
  </xdr:twoCellAnchor>
  <xdr:twoCellAnchor>
    <xdr:from>
      <xdr:col>10</xdr:col>
      <xdr:colOff>0</xdr:colOff>
      <xdr:row>1</xdr:row>
      <xdr:rowOff>0</xdr:rowOff>
    </xdr:from>
    <xdr:to>
      <xdr:col>11</xdr:col>
      <xdr:colOff>600077</xdr:colOff>
      <xdr:row>2</xdr:row>
      <xdr:rowOff>0</xdr:rowOff>
    </xdr:to>
    <xdr:sp macro="" textlink="">
      <xdr:nvSpPr>
        <xdr:cNvPr id="4" name="Rounded Rectangle 3">
          <a:hlinkClick xmlns:r="http://schemas.openxmlformats.org/officeDocument/2006/relationships" r:id="rId2"/>
          <a:extLst>
            <a:ext uri="{FF2B5EF4-FFF2-40B4-BE49-F238E27FC236}">
              <a16:creationId xmlns:a16="http://schemas.microsoft.com/office/drawing/2014/main" id="{00000000-0008-0000-1100-000004000000}"/>
            </a:ext>
          </a:extLst>
        </xdr:cNvPr>
        <xdr:cNvSpPr/>
      </xdr:nvSpPr>
      <xdr:spPr>
        <a:xfrm>
          <a:off x="7160559" y="190500"/>
          <a:ext cx="1205194" cy="414618"/>
        </a:xfrm>
        <a:prstGeom prst="roundRect">
          <a:avLst/>
        </a:prstGeom>
        <a:gradFill>
          <a:gsLst>
            <a:gs pos="0">
              <a:srgbClr val="23AF84"/>
            </a:gs>
            <a:gs pos="50000">
              <a:srgbClr val="6DDDA8"/>
            </a:gs>
            <a:gs pos="70000">
              <a:srgbClr val="70EAB9"/>
            </a:gs>
            <a:gs pos="100000">
              <a:srgbClr val="99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400">
              <a:latin typeface="+mj-lt"/>
            </a:rPr>
            <a:t>Main</a:t>
          </a:r>
          <a:r>
            <a:rPr lang="en-US" sz="1400" baseline="0">
              <a:latin typeface="+mj-lt"/>
            </a:rPr>
            <a:t> Menu</a:t>
          </a:r>
          <a:endParaRPr lang="en-US" sz="1400">
            <a:latin typeface="+mj-lt"/>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5</xdr:col>
      <xdr:colOff>0</xdr:colOff>
      <xdr:row>958</xdr:row>
      <xdr:rowOff>0</xdr:rowOff>
    </xdr:from>
    <xdr:to>
      <xdr:col>8</xdr:col>
      <xdr:colOff>11206</xdr:colOff>
      <xdr:row>960</xdr:row>
      <xdr:rowOff>11206</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200-000003000000}"/>
            </a:ext>
          </a:extLst>
        </xdr:cNvPr>
        <xdr:cNvSpPr/>
      </xdr:nvSpPr>
      <xdr:spPr>
        <a:xfrm>
          <a:off x="3025588" y="136779000"/>
          <a:ext cx="1826559" cy="392206"/>
        </a:xfrm>
        <a:prstGeom prst="roundRect">
          <a:avLst/>
        </a:prstGeom>
        <a:gradFill>
          <a:gsLst>
            <a:gs pos="0">
              <a:srgbClr val="DCCD72"/>
            </a:gs>
            <a:gs pos="50000">
              <a:srgbClr val="FFFF66"/>
            </a:gs>
            <a:gs pos="70000">
              <a:srgbClr val="FFFF99"/>
            </a:gs>
            <a:gs pos="100000">
              <a:srgbClr val="FFFFCC"/>
            </a:gs>
          </a:gsLst>
        </a:gradFill>
        <a:ln w="19050">
          <a:solidFill>
            <a:schemeClr val="tx1"/>
          </a:solidFill>
        </a:ln>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n-US" sz="1100">
              <a:solidFill>
                <a:schemeClr val="tx1"/>
              </a:solidFill>
              <a:latin typeface="+mj-lt"/>
            </a:rPr>
            <a:t>Flood Analysis</a:t>
          </a:r>
        </a:p>
      </xdr:txBody>
    </xdr:sp>
    <xdr:clientData/>
  </xdr:twoCellAnchor>
  <xdr:twoCellAnchor>
    <xdr:from>
      <xdr:col>10</xdr:col>
      <xdr:colOff>0</xdr:colOff>
      <xdr:row>1</xdr:row>
      <xdr:rowOff>0</xdr:rowOff>
    </xdr:from>
    <xdr:to>
      <xdr:col>11</xdr:col>
      <xdr:colOff>600077</xdr:colOff>
      <xdr:row>2</xdr:row>
      <xdr:rowOff>0</xdr:rowOff>
    </xdr:to>
    <xdr:sp macro="" textlink="">
      <xdr:nvSpPr>
        <xdr:cNvPr id="4" name="Rounded Rectangle 3">
          <a:hlinkClick xmlns:r="http://schemas.openxmlformats.org/officeDocument/2006/relationships" r:id="rId2"/>
          <a:extLst>
            <a:ext uri="{FF2B5EF4-FFF2-40B4-BE49-F238E27FC236}">
              <a16:creationId xmlns:a16="http://schemas.microsoft.com/office/drawing/2014/main" id="{00000000-0008-0000-1200-000004000000}"/>
            </a:ext>
          </a:extLst>
        </xdr:cNvPr>
        <xdr:cNvSpPr/>
      </xdr:nvSpPr>
      <xdr:spPr>
        <a:xfrm>
          <a:off x="7160559" y="190500"/>
          <a:ext cx="1205194" cy="414618"/>
        </a:xfrm>
        <a:prstGeom prst="roundRect">
          <a:avLst/>
        </a:prstGeom>
        <a:gradFill>
          <a:gsLst>
            <a:gs pos="0">
              <a:srgbClr val="23AF84"/>
            </a:gs>
            <a:gs pos="50000">
              <a:srgbClr val="6DDDA8"/>
            </a:gs>
            <a:gs pos="70000">
              <a:srgbClr val="70EAB9"/>
            </a:gs>
            <a:gs pos="100000">
              <a:srgbClr val="99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400">
              <a:latin typeface="+mj-lt"/>
            </a:rPr>
            <a:t>Main</a:t>
          </a:r>
          <a:r>
            <a:rPr lang="en-US" sz="1400" baseline="0">
              <a:latin typeface="+mj-lt"/>
            </a:rPr>
            <a:t> Menu</a:t>
          </a:r>
          <a:endParaRPr lang="en-US" sz="1400">
            <a:latin typeface="+mj-lt"/>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115343</xdr:colOff>
      <xdr:row>1</xdr:row>
      <xdr:rowOff>134472</xdr:rowOff>
    </xdr:from>
    <xdr:to>
      <xdr:col>3</xdr:col>
      <xdr:colOff>459441</xdr:colOff>
      <xdr:row>4</xdr:row>
      <xdr:rowOff>91430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5343" y="324972"/>
          <a:ext cx="2159451" cy="528458"/>
        </a:xfrm>
        <a:prstGeom prst="rect">
          <a:avLst/>
        </a:prstGeom>
      </xdr:spPr>
    </xdr:pic>
    <xdr:clientData/>
  </xdr:twoCellAnchor>
  <xdr:twoCellAnchor editAs="oneCell">
    <xdr:from>
      <xdr:col>10</xdr:col>
      <xdr:colOff>594466</xdr:colOff>
      <xdr:row>1</xdr:row>
      <xdr:rowOff>56031</xdr:rowOff>
    </xdr:from>
    <xdr:to>
      <xdr:col>15</xdr:col>
      <xdr:colOff>78441</xdr:colOff>
      <xdr:row>5</xdr:row>
      <xdr:rowOff>156883</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45642" y="246531"/>
          <a:ext cx="2509564" cy="862852"/>
        </a:xfrm>
        <a:prstGeom prst="rect">
          <a:avLst/>
        </a:prstGeom>
      </xdr:spPr>
    </xdr:pic>
    <xdr:clientData/>
  </xdr:twoCellAnchor>
  <xdr:twoCellAnchor>
    <xdr:from>
      <xdr:col>12</xdr:col>
      <xdr:colOff>0</xdr:colOff>
      <xdr:row>8</xdr:row>
      <xdr:rowOff>0</xdr:rowOff>
    </xdr:from>
    <xdr:to>
      <xdr:col>13</xdr:col>
      <xdr:colOff>600076</xdr:colOff>
      <xdr:row>9</xdr:row>
      <xdr:rowOff>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100-000005000000}"/>
            </a:ext>
          </a:extLst>
        </xdr:cNvPr>
        <xdr:cNvSpPr/>
      </xdr:nvSpPr>
      <xdr:spPr>
        <a:xfrm>
          <a:off x="7261412" y="1524000"/>
          <a:ext cx="1205193" cy="414618"/>
        </a:xfrm>
        <a:prstGeom prst="roundRect">
          <a:avLst/>
        </a:prstGeom>
        <a:gradFill>
          <a:gsLst>
            <a:gs pos="0">
              <a:srgbClr val="23AF84"/>
            </a:gs>
            <a:gs pos="50000">
              <a:srgbClr val="6DDDA8"/>
            </a:gs>
            <a:gs pos="70000">
              <a:srgbClr val="70EAB9"/>
            </a:gs>
            <a:gs pos="100000">
              <a:srgbClr val="99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400">
              <a:latin typeface="+mj-lt"/>
            </a:rPr>
            <a:t>Main</a:t>
          </a:r>
          <a:r>
            <a:rPr lang="en-US" sz="1400" baseline="0">
              <a:latin typeface="+mj-lt"/>
            </a:rPr>
            <a:t> Menu</a:t>
          </a:r>
          <a:endParaRPr lang="en-US" sz="1400">
            <a:latin typeface="+mj-lt"/>
          </a:endParaRPr>
        </a:p>
      </xdr:txBody>
    </xdr:sp>
    <xdr:clientData/>
  </xdr:twoCellAnchor>
  <xdr:twoCellAnchor editAs="oneCell">
    <xdr:from>
      <xdr:col>6</xdr:col>
      <xdr:colOff>75950</xdr:colOff>
      <xdr:row>0</xdr:row>
      <xdr:rowOff>56030</xdr:rowOff>
    </xdr:from>
    <xdr:to>
      <xdr:col>10</xdr:col>
      <xdr:colOff>332742</xdr:colOff>
      <xdr:row>5</xdr:row>
      <xdr:rowOff>174434</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706656" y="56030"/>
          <a:ext cx="2677262" cy="1070904"/>
        </a:xfrm>
        <a:prstGeom prst="rect">
          <a:avLst/>
        </a:prstGeom>
      </xdr:spPr>
    </xdr:pic>
    <xdr:clientData/>
  </xdr:twoCellAnchor>
  <xdr:twoCellAnchor editAs="oneCell">
    <xdr:from>
      <xdr:col>4</xdr:col>
      <xdr:colOff>291351</xdr:colOff>
      <xdr:row>0</xdr:row>
      <xdr:rowOff>119529</xdr:rowOff>
    </xdr:from>
    <xdr:to>
      <xdr:col>5</xdr:col>
      <xdr:colOff>485797</xdr:colOff>
      <xdr:row>6</xdr:row>
      <xdr:rowOff>13697</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711822" y="119529"/>
          <a:ext cx="799563" cy="103716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5</xdr:col>
      <xdr:colOff>0</xdr:colOff>
      <xdr:row>958</xdr:row>
      <xdr:rowOff>0</xdr:rowOff>
    </xdr:from>
    <xdr:to>
      <xdr:col>8</xdr:col>
      <xdr:colOff>11206</xdr:colOff>
      <xdr:row>960</xdr:row>
      <xdr:rowOff>11206</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300-000003000000}"/>
            </a:ext>
          </a:extLst>
        </xdr:cNvPr>
        <xdr:cNvSpPr/>
      </xdr:nvSpPr>
      <xdr:spPr>
        <a:xfrm>
          <a:off x="3025588" y="137922000"/>
          <a:ext cx="1826559" cy="392206"/>
        </a:xfrm>
        <a:prstGeom prst="roundRect">
          <a:avLst/>
        </a:prstGeom>
        <a:gradFill>
          <a:gsLst>
            <a:gs pos="0">
              <a:srgbClr val="DCCD72"/>
            </a:gs>
            <a:gs pos="50000">
              <a:srgbClr val="FFFF66"/>
            </a:gs>
            <a:gs pos="70000">
              <a:srgbClr val="FFFF99"/>
            </a:gs>
            <a:gs pos="100000">
              <a:srgbClr val="FFFFCC"/>
            </a:gs>
          </a:gsLst>
        </a:gradFill>
        <a:ln w="19050">
          <a:solidFill>
            <a:schemeClr val="tx1"/>
          </a:solidFill>
        </a:ln>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n-US" sz="1100">
              <a:solidFill>
                <a:schemeClr val="tx1"/>
              </a:solidFill>
              <a:latin typeface="+mj-lt"/>
            </a:rPr>
            <a:t>HazMat Release Analysis</a:t>
          </a:r>
        </a:p>
      </xdr:txBody>
    </xdr:sp>
    <xdr:clientData/>
  </xdr:twoCellAnchor>
  <xdr:twoCellAnchor>
    <xdr:from>
      <xdr:col>10</xdr:col>
      <xdr:colOff>0</xdr:colOff>
      <xdr:row>1</xdr:row>
      <xdr:rowOff>0</xdr:rowOff>
    </xdr:from>
    <xdr:to>
      <xdr:col>11</xdr:col>
      <xdr:colOff>600077</xdr:colOff>
      <xdr:row>2</xdr:row>
      <xdr:rowOff>0</xdr:rowOff>
    </xdr:to>
    <xdr:sp macro="" textlink="">
      <xdr:nvSpPr>
        <xdr:cNvPr id="4" name="Rounded Rectangle 3">
          <a:hlinkClick xmlns:r="http://schemas.openxmlformats.org/officeDocument/2006/relationships" r:id="rId2"/>
          <a:extLst>
            <a:ext uri="{FF2B5EF4-FFF2-40B4-BE49-F238E27FC236}">
              <a16:creationId xmlns:a16="http://schemas.microsoft.com/office/drawing/2014/main" id="{00000000-0008-0000-1300-000004000000}"/>
            </a:ext>
          </a:extLst>
        </xdr:cNvPr>
        <xdr:cNvSpPr/>
      </xdr:nvSpPr>
      <xdr:spPr>
        <a:xfrm>
          <a:off x="7160559" y="190500"/>
          <a:ext cx="1205194" cy="414618"/>
        </a:xfrm>
        <a:prstGeom prst="roundRect">
          <a:avLst/>
        </a:prstGeom>
        <a:gradFill>
          <a:gsLst>
            <a:gs pos="0">
              <a:srgbClr val="23AF84"/>
            </a:gs>
            <a:gs pos="50000">
              <a:srgbClr val="6DDDA8"/>
            </a:gs>
            <a:gs pos="70000">
              <a:srgbClr val="70EAB9"/>
            </a:gs>
            <a:gs pos="100000">
              <a:srgbClr val="99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400">
              <a:latin typeface="+mj-lt"/>
            </a:rPr>
            <a:t>Main</a:t>
          </a:r>
          <a:r>
            <a:rPr lang="en-US" sz="1400" baseline="0">
              <a:latin typeface="+mj-lt"/>
            </a:rPr>
            <a:t> Menu</a:t>
          </a:r>
          <a:endParaRPr lang="en-US" sz="1400">
            <a:latin typeface="+mj-lt"/>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5</xdr:col>
      <xdr:colOff>0</xdr:colOff>
      <xdr:row>958</xdr:row>
      <xdr:rowOff>0</xdr:rowOff>
    </xdr:from>
    <xdr:to>
      <xdr:col>8</xdr:col>
      <xdr:colOff>11206</xdr:colOff>
      <xdr:row>960</xdr:row>
      <xdr:rowOff>11206</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400-000003000000}"/>
            </a:ext>
          </a:extLst>
        </xdr:cNvPr>
        <xdr:cNvSpPr/>
      </xdr:nvSpPr>
      <xdr:spPr>
        <a:xfrm>
          <a:off x="3025588" y="137731500"/>
          <a:ext cx="1826559" cy="392206"/>
        </a:xfrm>
        <a:prstGeom prst="roundRect">
          <a:avLst/>
        </a:prstGeom>
        <a:gradFill>
          <a:gsLst>
            <a:gs pos="0">
              <a:srgbClr val="DCCD72"/>
            </a:gs>
            <a:gs pos="50000">
              <a:srgbClr val="FFFF66"/>
            </a:gs>
            <a:gs pos="70000">
              <a:srgbClr val="FFFF99"/>
            </a:gs>
            <a:gs pos="100000">
              <a:srgbClr val="FFFFCC"/>
            </a:gs>
          </a:gsLst>
        </a:gradFill>
        <a:ln w="19050">
          <a:solidFill>
            <a:schemeClr val="tx1"/>
          </a:solidFill>
        </a:ln>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n-US" sz="1100">
              <a:solidFill>
                <a:schemeClr val="tx1"/>
              </a:solidFill>
              <a:latin typeface="+mj-lt"/>
            </a:rPr>
            <a:t>Localized ID Analysis</a:t>
          </a:r>
        </a:p>
      </xdr:txBody>
    </xdr:sp>
    <xdr:clientData/>
  </xdr:twoCellAnchor>
  <xdr:twoCellAnchor>
    <xdr:from>
      <xdr:col>10</xdr:col>
      <xdr:colOff>0</xdr:colOff>
      <xdr:row>1</xdr:row>
      <xdr:rowOff>0</xdr:rowOff>
    </xdr:from>
    <xdr:to>
      <xdr:col>11</xdr:col>
      <xdr:colOff>600077</xdr:colOff>
      <xdr:row>2</xdr:row>
      <xdr:rowOff>0</xdr:rowOff>
    </xdr:to>
    <xdr:sp macro="" textlink="">
      <xdr:nvSpPr>
        <xdr:cNvPr id="4" name="Rounded Rectangle 3">
          <a:hlinkClick xmlns:r="http://schemas.openxmlformats.org/officeDocument/2006/relationships" r:id="rId2"/>
          <a:extLst>
            <a:ext uri="{FF2B5EF4-FFF2-40B4-BE49-F238E27FC236}">
              <a16:creationId xmlns:a16="http://schemas.microsoft.com/office/drawing/2014/main" id="{00000000-0008-0000-1400-000004000000}"/>
            </a:ext>
          </a:extLst>
        </xdr:cNvPr>
        <xdr:cNvSpPr/>
      </xdr:nvSpPr>
      <xdr:spPr>
        <a:xfrm>
          <a:off x="7160559" y="190500"/>
          <a:ext cx="1205194" cy="414618"/>
        </a:xfrm>
        <a:prstGeom prst="roundRect">
          <a:avLst/>
        </a:prstGeom>
        <a:gradFill>
          <a:gsLst>
            <a:gs pos="0">
              <a:srgbClr val="23AF84"/>
            </a:gs>
            <a:gs pos="50000">
              <a:srgbClr val="6DDDA8"/>
            </a:gs>
            <a:gs pos="70000">
              <a:srgbClr val="70EAB9"/>
            </a:gs>
            <a:gs pos="100000">
              <a:srgbClr val="99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400">
              <a:latin typeface="+mj-lt"/>
            </a:rPr>
            <a:t>Main</a:t>
          </a:r>
          <a:r>
            <a:rPr lang="en-US" sz="1400" baseline="0">
              <a:latin typeface="+mj-lt"/>
            </a:rPr>
            <a:t> Menu</a:t>
          </a:r>
          <a:endParaRPr lang="en-US" sz="1400">
            <a:latin typeface="+mj-lt"/>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0</xdr:colOff>
      <xdr:row>958</xdr:row>
      <xdr:rowOff>0</xdr:rowOff>
    </xdr:from>
    <xdr:to>
      <xdr:col>8</xdr:col>
      <xdr:colOff>11206</xdr:colOff>
      <xdr:row>960</xdr:row>
      <xdr:rowOff>11206</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500-000003000000}"/>
            </a:ext>
          </a:extLst>
        </xdr:cNvPr>
        <xdr:cNvSpPr/>
      </xdr:nvSpPr>
      <xdr:spPr>
        <a:xfrm>
          <a:off x="3025588" y="139446000"/>
          <a:ext cx="1826559" cy="392206"/>
        </a:xfrm>
        <a:prstGeom prst="roundRect">
          <a:avLst/>
        </a:prstGeom>
        <a:gradFill>
          <a:gsLst>
            <a:gs pos="0">
              <a:srgbClr val="DCCD72"/>
            </a:gs>
            <a:gs pos="50000">
              <a:srgbClr val="FFFF66"/>
            </a:gs>
            <a:gs pos="70000">
              <a:srgbClr val="FFFF99"/>
            </a:gs>
            <a:gs pos="100000">
              <a:srgbClr val="FFFFCC"/>
            </a:gs>
          </a:gsLst>
        </a:gradFill>
        <a:ln w="19050">
          <a:solidFill>
            <a:schemeClr val="tx1"/>
          </a:solidFill>
        </a:ln>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n-US" sz="1100">
              <a:solidFill>
                <a:schemeClr val="tx1"/>
              </a:solidFill>
              <a:latin typeface="+mj-lt"/>
            </a:rPr>
            <a:t>Nuclear</a:t>
          </a:r>
          <a:r>
            <a:rPr lang="en-US" sz="1100" baseline="0">
              <a:solidFill>
                <a:schemeClr val="tx1"/>
              </a:solidFill>
              <a:latin typeface="+mj-lt"/>
            </a:rPr>
            <a:t> Accident </a:t>
          </a:r>
          <a:r>
            <a:rPr lang="en-US" sz="1100">
              <a:solidFill>
                <a:schemeClr val="tx1"/>
              </a:solidFill>
              <a:latin typeface="+mj-lt"/>
            </a:rPr>
            <a:t>Analysis</a:t>
          </a:r>
        </a:p>
      </xdr:txBody>
    </xdr:sp>
    <xdr:clientData/>
  </xdr:twoCellAnchor>
  <xdr:twoCellAnchor>
    <xdr:from>
      <xdr:col>10</xdr:col>
      <xdr:colOff>0</xdr:colOff>
      <xdr:row>1</xdr:row>
      <xdr:rowOff>0</xdr:rowOff>
    </xdr:from>
    <xdr:to>
      <xdr:col>11</xdr:col>
      <xdr:colOff>600077</xdr:colOff>
      <xdr:row>2</xdr:row>
      <xdr:rowOff>0</xdr:rowOff>
    </xdr:to>
    <xdr:sp macro="" textlink="">
      <xdr:nvSpPr>
        <xdr:cNvPr id="4" name="Rounded Rectangle 3">
          <a:hlinkClick xmlns:r="http://schemas.openxmlformats.org/officeDocument/2006/relationships" r:id="rId2"/>
          <a:extLst>
            <a:ext uri="{FF2B5EF4-FFF2-40B4-BE49-F238E27FC236}">
              <a16:creationId xmlns:a16="http://schemas.microsoft.com/office/drawing/2014/main" id="{00000000-0008-0000-1500-000004000000}"/>
            </a:ext>
          </a:extLst>
        </xdr:cNvPr>
        <xdr:cNvSpPr/>
      </xdr:nvSpPr>
      <xdr:spPr>
        <a:xfrm>
          <a:off x="7160559" y="190500"/>
          <a:ext cx="1205194" cy="414618"/>
        </a:xfrm>
        <a:prstGeom prst="roundRect">
          <a:avLst/>
        </a:prstGeom>
        <a:gradFill>
          <a:gsLst>
            <a:gs pos="0">
              <a:srgbClr val="23AF84"/>
            </a:gs>
            <a:gs pos="50000">
              <a:srgbClr val="6DDDA8"/>
            </a:gs>
            <a:gs pos="70000">
              <a:srgbClr val="70EAB9"/>
            </a:gs>
            <a:gs pos="100000">
              <a:srgbClr val="99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400">
              <a:latin typeface="+mj-lt"/>
            </a:rPr>
            <a:t>Main</a:t>
          </a:r>
          <a:r>
            <a:rPr lang="en-US" sz="1400" baseline="0">
              <a:latin typeface="+mj-lt"/>
            </a:rPr>
            <a:t> Menu</a:t>
          </a:r>
          <a:endParaRPr lang="en-US" sz="1400">
            <a:latin typeface="+mj-lt"/>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5</xdr:col>
      <xdr:colOff>0</xdr:colOff>
      <xdr:row>958</xdr:row>
      <xdr:rowOff>0</xdr:rowOff>
    </xdr:from>
    <xdr:to>
      <xdr:col>8</xdr:col>
      <xdr:colOff>11206</xdr:colOff>
      <xdr:row>960</xdr:row>
      <xdr:rowOff>11206</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600-000003000000}"/>
            </a:ext>
          </a:extLst>
        </xdr:cNvPr>
        <xdr:cNvSpPr/>
      </xdr:nvSpPr>
      <xdr:spPr>
        <a:xfrm>
          <a:off x="3025588" y="145732500"/>
          <a:ext cx="1826559" cy="392206"/>
        </a:xfrm>
        <a:prstGeom prst="roundRect">
          <a:avLst/>
        </a:prstGeom>
        <a:gradFill>
          <a:gsLst>
            <a:gs pos="0">
              <a:srgbClr val="DCCD72"/>
            </a:gs>
            <a:gs pos="50000">
              <a:srgbClr val="FFFF66"/>
            </a:gs>
            <a:gs pos="70000">
              <a:srgbClr val="FFFF99"/>
            </a:gs>
            <a:gs pos="100000">
              <a:srgbClr val="FFFFCC"/>
            </a:gs>
          </a:gsLst>
        </a:gradFill>
        <a:ln w="19050">
          <a:solidFill>
            <a:schemeClr val="tx1"/>
          </a:solidFill>
        </a:ln>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n-US" sz="1100">
              <a:solidFill>
                <a:schemeClr val="tx1"/>
              </a:solidFill>
              <a:latin typeface="+mj-lt"/>
            </a:rPr>
            <a:t>Pandemic Analysis</a:t>
          </a:r>
        </a:p>
      </xdr:txBody>
    </xdr:sp>
    <xdr:clientData/>
  </xdr:twoCellAnchor>
  <xdr:twoCellAnchor>
    <xdr:from>
      <xdr:col>10</xdr:col>
      <xdr:colOff>0</xdr:colOff>
      <xdr:row>1</xdr:row>
      <xdr:rowOff>0</xdr:rowOff>
    </xdr:from>
    <xdr:to>
      <xdr:col>11</xdr:col>
      <xdr:colOff>600077</xdr:colOff>
      <xdr:row>2</xdr:row>
      <xdr:rowOff>0</xdr:rowOff>
    </xdr:to>
    <xdr:sp macro="" textlink="">
      <xdr:nvSpPr>
        <xdr:cNvPr id="4" name="Rounded Rectangle 3">
          <a:hlinkClick xmlns:r="http://schemas.openxmlformats.org/officeDocument/2006/relationships" r:id="rId2"/>
          <a:extLst>
            <a:ext uri="{FF2B5EF4-FFF2-40B4-BE49-F238E27FC236}">
              <a16:creationId xmlns:a16="http://schemas.microsoft.com/office/drawing/2014/main" id="{00000000-0008-0000-1600-000004000000}"/>
            </a:ext>
          </a:extLst>
        </xdr:cNvPr>
        <xdr:cNvSpPr/>
      </xdr:nvSpPr>
      <xdr:spPr>
        <a:xfrm>
          <a:off x="7160559" y="190500"/>
          <a:ext cx="1205194" cy="414618"/>
        </a:xfrm>
        <a:prstGeom prst="roundRect">
          <a:avLst/>
        </a:prstGeom>
        <a:gradFill>
          <a:gsLst>
            <a:gs pos="0">
              <a:srgbClr val="23AF84"/>
            </a:gs>
            <a:gs pos="50000">
              <a:srgbClr val="6DDDA8"/>
            </a:gs>
            <a:gs pos="70000">
              <a:srgbClr val="70EAB9"/>
            </a:gs>
            <a:gs pos="100000">
              <a:srgbClr val="99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400">
              <a:latin typeface="+mj-lt"/>
            </a:rPr>
            <a:t>Main</a:t>
          </a:r>
          <a:r>
            <a:rPr lang="en-US" sz="1400" baseline="0">
              <a:latin typeface="+mj-lt"/>
            </a:rPr>
            <a:t> Menu</a:t>
          </a:r>
          <a:endParaRPr lang="en-US" sz="1400">
            <a:latin typeface="+mj-lt"/>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5</xdr:col>
      <xdr:colOff>0</xdr:colOff>
      <xdr:row>958</xdr:row>
      <xdr:rowOff>0</xdr:rowOff>
    </xdr:from>
    <xdr:to>
      <xdr:col>8</xdr:col>
      <xdr:colOff>11206</xdr:colOff>
      <xdr:row>960</xdr:row>
      <xdr:rowOff>11206</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700-000003000000}"/>
            </a:ext>
          </a:extLst>
        </xdr:cNvPr>
        <xdr:cNvSpPr/>
      </xdr:nvSpPr>
      <xdr:spPr>
        <a:xfrm>
          <a:off x="3025588" y="138684000"/>
          <a:ext cx="1826559" cy="392206"/>
        </a:xfrm>
        <a:prstGeom prst="roundRect">
          <a:avLst/>
        </a:prstGeom>
        <a:gradFill>
          <a:gsLst>
            <a:gs pos="0">
              <a:srgbClr val="DCCD72"/>
            </a:gs>
            <a:gs pos="50000">
              <a:srgbClr val="FFFF66"/>
            </a:gs>
            <a:gs pos="70000">
              <a:srgbClr val="FFFF99"/>
            </a:gs>
            <a:gs pos="100000">
              <a:srgbClr val="FFFFCC"/>
            </a:gs>
          </a:gsLst>
        </a:gradFill>
        <a:ln w="19050">
          <a:solidFill>
            <a:schemeClr val="tx1"/>
          </a:solidFill>
        </a:ln>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n-US" sz="1100">
              <a:solidFill>
                <a:schemeClr val="tx1"/>
              </a:solidFill>
              <a:latin typeface="+mj-lt"/>
            </a:rPr>
            <a:t>RDD Analysis</a:t>
          </a:r>
        </a:p>
      </xdr:txBody>
    </xdr:sp>
    <xdr:clientData/>
  </xdr:twoCellAnchor>
  <xdr:twoCellAnchor>
    <xdr:from>
      <xdr:col>10</xdr:col>
      <xdr:colOff>0</xdr:colOff>
      <xdr:row>1</xdr:row>
      <xdr:rowOff>0</xdr:rowOff>
    </xdr:from>
    <xdr:to>
      <xdr:col>11</xdr:col>
      <xdr:colOff>600077</xdr:colOff>
      <xdr:row>2</xdr:row>
      <xdr:rowOff>0</xdr:rowOff>
    </xdr:to>
    <xdr:sp macro="" textlink="">
      <xdr:nvSpPr>
        <xdr:cNvPr id="4" name="Rounded Rectangle 3">
          <a:hlinkClick xmlns:r="http://schemas.openxmlformats.org/officeDocument/2006/relationships" r:id="rId2"/>
          <a:extLst>
            <a:ext uri="{FF2B5EF4-FFF2-40B4-BE49-F238E27FC236}">
              <a16:creationId xmlns:a16="http://schemas.microsoft.com/office/drawing/2014/main" id="{00000000-0008-0000-1700-000004000000}"/>
            </a:ext>
          </a:extLst>
        </xdr:cNvPr>
        <xdr:cNvSpPr/>
      </xdr:nvSpPr>
      <xdr:spPr>
        <a:xfrm>
          <a:off x="7160559" y="190500"/>
          <a:ext cx="1205194" cy="414618"/>
        </a:xfrm>
        <a:prstGeom prst="roundRect">
          <a:avLst/>
        </a:prstGeom>
        <a:gradFill>
          <a:gsLst>
            <a:gs pos="0">
              <a:srgbClr val="23AF84"/>
            </a:gs>
            <a:gs pos="50000">
              <a:srgbClr val="6DDDA8"/>
            </a:gs>
            <a:gs pos="70000">
              <a:srgbClr val="70EAB9"/>
            </a:gs>
            <a:gs pos="100000">
              <a:srgbClr val="99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400">
              <a:latin typeface="+mj-lt"/>
            </a:rPr>
            <a:t>Main</a:t>
          </a:r>
          <a:r>
            <a:rPr lang="en-US" sz="1400" baseline="0">
              <a:latin typeface="+mj-lt"/>
            </a:rPr>
            <a:t> Menu</a:t>
          </a:r>
          <a:endParaRPr lang="en-US" sz="1400">
            <a:latin typeface="+mj-lt"/>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5</xdr:col>
      <xdr:colOff>0</xdr:colOff>
      <xdr:row>958</xdr:row>
      <xdr:rowOff>0</xdr:rowOff>
    </xdr:from>
    <xdr:to>
      <xdr:col>8</xdr:col>
      <xdr:colOff>11206</xdr:colOff>
      <xdr:row>960</xdr:row>
      <xdr:rowOff>11206</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800-000003000000}"/>
            </a:ext>
          </a:extLst>
        </xdr:cNvPr>
        <xdr:cNvSpPr/>
      </xdr:nvSpPr>
      <xdr:spPr>
        <a:xfrm>
          <a:off x="3025588" y="136017000"/>
          <a:ext cx="1826559" cy="392206"/>
        </a:xfrm>
        <a:prstGeom prst="roundRect">
          <a:avLst/>
        </a:prstGeom>
        <a:gradFill>
          <a:gsLst>
            <a:gs pos="0">
              <a:srgbClr val="DCCD72"/>
            </a:gs>
            <a:gs pos="50000">
              <a:srgbClr val="FFFF66"/>
            </a:gs>
            <a:gs pos="70000">
              <a:srgbClr val="FFFF99"/>
            </a:gs>
            <a:gs pos="100000">
              <a:srgbClr val="FFFFCC"/>
            </a:gs>
          </a:gsLst>
        </a:gradFill>
        <a:ln w="19050">
          <a:solidFill>
            <a:schemeClr val="tx1"/>
          </a:solidFill>
        </a:ln>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n-US" sz="1100">
              <a:solidFill>
                <a:schemeClr val="tx1"/>
              </a:solidFill>
              <a:latin typeface="+mj-lt"/>
            </a:rPr>
            <a:t>Temp Extremes Analysis</a:t>
          </a:r>
        </a:p>
      </xdr:txBody>
    </xdr:sp>
    <xdr:clientData/>
  </xdr:twoCellAnchor>
  <xdr:twoCellAnchor>
    <xdr:from>
      <xdr:col>10</xdr:col>
      <xdr:colOff>0</xdr:colOff>
      <xdr:row>1</xdr:row>
      <xdr:rowOff>0</xdr:rowOff>
    </xdr:from>
    <xdr:to>
      <xdr:col>11</xdr:col>
      <xdr:colOff>600077</xdr:colOff>
      <xdr:row>2</xdr:row>
      <xdr:rowOff>0</xdr:rowOff>
    </xdr:to>
    <xdr:sp macro="" textlink="">
      <xdr:nvSpPr>
        <xdr:cNvPr id="4" name="Rounded Rectangle 3">
          <a:hlinkClick xmlns:r="http://schemas.openxmlformats.org/officeDocument/2006/relationships" r:id="rId2"/>
          <a:extLst>
            <a:ext uri="{FF2B5EF4-FFF2-40B4-BE49-F238E27FC236}">
              <a16:creationId xmlns:a16="http://schemas.microsoft.com/office/drawing/2014/main" id="{00000000-0008-0000-1800-000004000000}"/>
            </a:ext>
          </a:extLst>
        </xdr:cNvPr>
        <xdr:cNvSpPr/>
      </xdr:nvSpPr>
      <xdr:spPr>
        <a:xfrm>
          <a:off x="7160559" y="190500"/>
          <a:ext cx="1205194" cy="414618"/>
        </a:xfrm>
        <a:prstGeom prst="roundRect">
          <a:avLst/>
        </a:prstGeom>
        <a:gradFill>
          <a:gsLst>
            <a:gs pos="0">
              <a:srgbClr val="23AF84"/>
            </a:gs>
            <a:gs pos="50000">
              <a:srgbClr val="6DDDA8"/>
            </a:gs>
            <a:gs pos="70000">
              <a:srgbClr val="70EAB9"/>
            </a:gs>
            <a:gs pos="100000">
              <a:srgbClr val="99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400">
              <a:latin typeface="+mj-lt"/>
            </a:rPr>
            <a:t>Main</a:t>
          </a:r>
          <a:r>
            <a:rPr lang="en-US" sz="1400" baseline="0">
              <a:latin typeface="+mj-lt"/>
            </a:rPr>
            <a:t> Menu</a:t>
          </a:r>
          <a:endParaRPr lang="en-US" sz="1400">
            <a:latin typeface="+mj-lt"/>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5</xdr:col>
      <xdr:colOff>0</xdr:colOff>
      <xdr:row>958</xdr:row>
      <xdr:rowOff>0</xdr:rowOff>
    </xdr:from>
    <xdr:to>
      <xdr:col>8</xdr:col>
      <xdr:colOff>11206</xdr:colOff>
      <xdr:row>960</xdr:row>
      <xdr:rowOff>11206</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900-000003000000}"/>
            </a:ext>
          </a:extLst>
        </xdr:cNvPr>
        <xdr:cNvSpPr/>
      </xdr:nvSpPr>
      <xdr:spPr>
        <a:xfrm>
          <a:off x="3025588" y="139827000"/>
          <a:ext cx="1826559" cy="392206"/>
        </a:xfrm>
        <a:prstGeom prst="roundRect">
          <a:avLst/>
        </a:prstGeom>
        <a:gradFill>
          <a:gsLst>
            <a:gs pos="0">
              <a:srgbClr val="DCCD72"/>
            </a:gs>
            <a:gs pos="50000">
              <a:srgbClr val="FFFF66"/>
            </a:gs>
            <a:gs pos="70000">
              <a:srgbClr val="FFFF99"/>
            </a:gs>
            <a:gs pos="100000">
              <a:srgbClr val="FFFFCC"/>
            </a:gs>
          </a:gsLst>
        </a:gradFill>
        <a:ln w="19050">
          <a:solidFill>
            <a:schemeClr val="tx1"/>
          </a:solidFill>
        </a:ln>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n-US" sz="1100">
              <a:solidFill>
                <a:schemeClr val="tx1"/>
              </a:solidFill>
              <a:latin typeface="+mj-lt"/>
            </a:rPr>
            <a:t>Tornado Analysis</a:t>
          </a:r>
        </a:p>
      </xdr:txBody>
    </xdr:sp>
    <xdr:clientData/>
  </xdr:twoCellAnchor>
  <xdr:twoCellAnchor>
    <xdr:from>
      <xdr:col>10</xdr:col>
      <xdr:colOff>0</xdr:colOff>
      <xdr:row>1</xdr:row>
      <xdr:rowOff>0</xdr:rowOff>
    </xdr:from>
    <xdr:to>
      <xdr:col>11</xdr:col>
      <xdr:colOff>600077</xdr:colOff>
      <xdr:row>2</xdr:row>
      <xdr:rowOff>0</xdr:rowOff>
    </xdr:to>
    <xdr:sp macro="" textlink="">
      <xdr:nvSpPr>
        <xdr:cNvPr id="4" name="Rounded Rectangle 3">
          <a:hlinkClick xmlns:r="http://schemas.openxmlformats.org/officeDocument/2006/relationships" r:id="rId2"/>
          <a:extLst>
            <a:ext uri="{FF2B5EF4-FFF2-40B4-BE49-F238E27FC236}">
              <a16:creationId xmlns:a16="http://schemas.microsoft.com/office/drawing/2014/main" id="{00000000-0008-0000-1900-000004000000}"/>
            </a:ext>
          </a:extLst>
        </xdr:cNvPr>
        <xdr:cNvSpPr/>
      </xdr:nvSpPr>
      <xdr:spPr>
        <a:xfrm>
          <a:off x="7160559" y="190500"/>
          <a:ext cx="1205194" cy="414618"/>
        </a:xfrm>
        <a:prstGeom prst="roundRect">
          <a:avLst/>
        </a:prstGeom>
        <a:gradFill>
          <a:gsLst>
            <a:gs pos="0">
              <a:srgbClr val="23AF84"/>
            </a:gs>
            <a:gs pos="50000">
              <a:srgbClr val="6DDDA8"/>
            </a:gs>
            <a:gs pos="70000">
              <a:srgbClr val="70EAB9"/>
            </a:gs>
            <a:gs pos="100000">
              <a:srgbClr val="99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400">
              <a:latin typeface="+mj-lt"/>
            </a:rPr>
            <a:t>Main</a:t>
          </a:r>
          <a:r>
            <a:rPr lang="en-US" sz="1400" baseline="0">
              <a:latin typeface="+mj-lt"/>
            </a:rPr>
            <a:t> Menu</a:t>
          </a:r>
          <a:endParaRPr lang="en-US" sz="1400">
            <a:latin typeface="+mj-lt"/>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5</xdr:col>
      <xdr:colOff>0</xdr:colOff>
      <xdr:row>958</xdr:row>
      <xdr:rowOff>0</xdr:rowOff>
    </xdr:from>
    <xdr:to>
      <xdr:col>8</xdr:col>
      <xdr:colOff>11206</xdr:colOff>
      <xdr:row>960</xdr:row>
      <xdr:rowOff>11206</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A00-000003000000}"/>
            </a:ext>
          </a:extLst>
        </xdr:cNvPr>
        <xdr:cNvSpPr/>
      </xdr:nvSpPr>
      <xdr:spPr>
        <a:xfrm>
          <a:off x="3025588" y="140589000"/>
          <a:ext cx="1826559" cy="392206"/>
        </a:xfrm>
        <a:prstGeom prst="roundRect">
          <a:avLst/>
        </a:prstGeom>
        <a:gradFill>
          <a:gsLst>
            <a:gs pos="0">
              <a:srgbClr val="DCCD72"/>
            </a:gs>
            <a:gs pos="50000">
              <a:srgbClr val="FFFF66"/>
            </a:gs>
            <a:gs pos="70000">
              <a:srgbClr val="FFFF99"/>
            </a:gs>
            <a:gs pos="100000">
              <a:srgbClr val="FFFFCC"/>
            </a:gs>
          </a:gsLst>
        </a:gradFill>
        <a:ln w="19050">
          <a:solidFill>
            <a:schemeClr val="tx1"/>
          </a:solidFill>
        </a:ln>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n-US" sz="1100">
              <a:solidFill>
                <a:schemeClr val="tx1"/>
              </a:solidFill>
              <a:latin typeface="+mj-lt"/>
            </a:rPr>
            <a:t>Utility</a:t>
          </a:r>
          <a:r>
            <a:rPr lang="en-US" sz="1100" baseline="0">
              <a:solidFill>
                <a:schemeClr val="tx1"/>
              </a:solidFill>
              <a:latin typeface="+mj-lt"/>
            </a:rPr>
            <a:t> Interr </a:t>
          </a:r>
          <a:r>
            <a:rPr lang="en-US" sz="1100">
              <a:solidFill>
                <a:schemeClr val="tx1"/>
              </a:solidFill>
              <a:latin typeface="+mj-lt"/>
            </a:rPr>
            <a:t>Analysis</a:t>
          </a:r>
        </a:p>
      </xdr:txBody>
    </xdr:sp>
    <xdr:clientData/>
  </xdr:twoCellAnchor>
  <xdr:twoCellAnchor>
    <xdr:from>
      <xdr:col>10</xdr:col>
      <xdr:colOff>0</xdr:colOff>
      <xdr:row>1</xdr:row>
      <xdr:rowOff>0</xdr:rowOff>
    </xdr:from>
    <xdr:to>
      <xdr:col>11</xdr:col>
      <xdr:colOff>600077</xdr:colOff>
      <xdr:row>2</xdr:row>
      <xdr:rowOff>0</xdr:rowOff>
    </xdr:to>
    <xdr:sp macro="" textlink="">
      <xdr:nvSpPr>
        <xdr:cNvPr id="4" name="Rounded Rectangle 3">
          <a:hlinkClick xmlns:r="http://schemas.openxmlformats.org/officeDocument/2006/relationships" r:id="rId2"/>
          <a:extLst>
            <a:ext uri="{FF2B5EF4-FFF2-40B4-BE49-F238E27FC236}">
              <a16:creationId xmlns:a16="http://schemas.microsoft.com/office/drawing/2014/main" id="{00000000-0008-0000-1A00-000004000000}"/>
            </a:ext>
          </a:extLst>
        </xdr:cNvPr>
        <xdr:cNvSpPr/>
      </xdr:nvSpPr>
      <xdr:spPr>
        <a:xfrm>
          <a:off x="7160559" y="190500"/>
          <a:ext cx="1205194" cy="414618"/>
        </a:xfrm>
        <a:prstGeom prst="roundRect">
          <a:avLst/>
        </a:prstGeom>
        <a:gradFill>
          <a:gsLst>
            <a:gs pos="0">
              <a:srgbClr val="23AF84"/>
            </a:gs>
            <a:gs pos="50000">
              <a:srgbClr val="6DDDA8"/>
            </a:gs>
            <a:gs pos="70000">
              <a:srgbClr val="70EAB9"/>
            </a:gs>
            <a:gs pos="100000">
              <a:srgbClr val="99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400">
              <a:latin typeface="+mj-lt"/>
            </a:rPr>
            <a:t>Main</a:t>
          </a:r>
          <a:r>
            <a:rPr lang="en-US" sz="1400" baseline="0">
              <a:latin typeface="+mj-lt"/>
            </a:rPr>
            <a:t> Menu</a:t>
          </a:r>
          <a:endParaRPr lang="en-US" sz="1400">
            <a:latin typeface="+mj-lt"/>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5</xdr:col>
      <xdr:colOff>0</xdr:colOff>
      <xdr:row>958</xdr:row>
      <xdr:rowOff>0</xdr:rowOff>
    </xdr:from>
    <xdr:to>
      <xdr:col>8</xdr:col>
      <xdr:colOff>11206</xdr:colOff>
      <xdr:row>960</xdr:row>
      <xdr:rowOff>11206</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B00-000003000000}"/>
            </a:ext>
          </a:extLst>
        </xdr:cNvPr>
        <xdr:cNvSpPr/>
      </xdr:nvSpPr>
      <xdr:spPr>
        <a:xfrm>
          <a:off x="3025588" y="134493000"/>
          <a:ext cx="1826559" cy="392206"/>
        </a:xfrm>
        <a:prstGeom prst="roundRect">
          <a:avLst/>
        </a:prstGeom>
        <a:gradFill>
          <a:gsLst>
            <a:gs pos="0">
              <a:srgbClr val="DCCD72"/>
            </a:gs>
            <a:gs pos="50000">
              <a:srgbClr val="FFFF66"/>
            </a:gs>
            <a:gs pos="70000">
              <a:srgbClr val="FFFF99"/>
            </a:gs>
            <a:gs pos="100000">
              <a:srgbClr val="FFFFCC"/>
            </a:gs>
          </a:gsLst>
        </a:gradFill>
        <a:ln w="19050">
          <a:solidFill>
            <a:schemeClr val="tx1"/>
          </a:solidFill>
        </a:ln>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n-US" sz="1100">
              <a:solidFill>
                <a:schemeClr val="tx1"/>
              </a:solidFill>
              <a:latin typeface="+mj-lt"/>
            </a:rPr>
            <a:t>Wildfire Analysis</a:t>
          </a:r>
        </a:p>
      </xdr:txBody>
    </xdr:sp>
    <xdr:clientData/>
  </xdr:twoCellAnchor>
  <xdr:twoCellAnchor>
    <xdr:from>
      <xdr:col>10</xdr:col>
      <xdr:colOff>0</xdr:colOff>
      <xdr:row>1</xdr:row>
      <xdr:rowOff>0</xdr:rowOff>
    </xdr:from>
    <xdr:to>
      <xdr:col>11</xdr:col>
      <xdr:colOff>600077</xdr:colOff>
      <xdr:row>2</xdr:row>
      <xdr:rowOff>0</xdr:rowOff>
    </xdr:to>
    <xdr:sp macro="" textlink="">
      <xdr:nvSpPr>
        <xdr:cNvPr id="4" name="Rounded Rectangle 3">
          <a:hlinkClick xmlns:r="http://schemas.openxmlformats.org/officeDocument/2006/relationships" r:id="rId2"/>
          <a:extLst>
            <a:ext uri="{FF2B5EF4-FFF2-40B4-BE49-F238E27FC236}">
              <a16:creationId xmlns:a16="http://schemas.microsoft.com/office/drawing/2014/main" id="{00000000-0008-0000-1B00-000004000000}"/>
            </a:ext>
          </a:extLst>
        </xdr:cNvPr>
        <xdr:cNvSpPr/>
      </xdr:nvSpPr>
      <xdr:spPr>
        <a:xfrm>
          <a:off x="7160559" y="190500"/>
          <a:ext cx="1205194" cy="414618"/>
        </a:xfrm>
        <a:prstGeom prst="roundRect">
          <a:avLst/>
        </a:prstGeom>
        <a:gradFill>
          <a:gsLst>
            <a:gs pos="0">
              <a:srgbClr val="23AF84"/>
            </a:gs>
            <a:gs pos="50000">
              <a:srgbClr val="6DDDA8"/>
            </a:gs>
            <a:gs pos="70000">
              <a:srgbClr val="70EAB9"/>
            </a:gs>
            <a:gs pos="100000">
              <a:srgbClr val="99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400">
              <a:latin typeface="+mj-lt"/>
            </a:rPr>
            <a:t>Main</a:t>
          </a:r>
          <a:r>
            <a:rPr lang="en-US" sz="1400" baseline="0">
              <a:latin typeface="+mj-lt"/>
            </a:rPr>
            <a:t> Menu</a:t>
          </a:r>
          <a:endParaRPr lang="en-US" sz="1400">
            <a:latin typeface="+mj-lt"/>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5</xdr:col>
      <xdr:colOff>0</xdr:colOff>
      <xdr:row>958</xdr:row>
      <xdr:rowOff>0</xdr:rowOff>
    </xdr:from>
    <xdr:to>
      <xdr:col>8</xdr:col>
      <xdr:colOff>11206</xdr:colOff>
      <xdr:row>960</xdr:row>
      <xdr:rowOff>11206</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C00-000003000000}"/>
            </a:ext>
          </a:extLst>
        </xdr:cNvPr>
        <xdr:cNvSpPr/>
      </xdr:nvSpPr>
      <xdr:spPr>
        <a:xfrm>
          <a:off x="3025588" y="136017000"/>
          <a:ext cx="1826559" cy="392206"/>
        </a:xfrm>
        <a:prstGeom prst="roundRect">
          <a:avLst/>
        </a:prstGeom>
        <a:gradFill>
          <a:gsLst>
            <a:gs pos="0">
              <a:srgbClr val="DCCD72"/>
            </a:gs>
            <a:gs pos="50000">
              <a:srgbClr val="FFFF66"/>
            </a:gs>
            <a:gs pos="70000">
              <a:srgbClr val="FFFF99"/>
            </a:gs>
            <a:gs pos="100000">
              <a:srgbClr val="FFFFCC"/>
            </a:gs>
          </a:gsLst>
        </a:gradFill>
        <a:ln w="19050">
          <a:solidFill>
            <a:schemeClr val="tx1"/>
          </a:solidFill>
        </a:ln>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n-US" sz="1100">
              <a:solidFill>
                <a:schemeClr val="tx1"/>
              </a:solidFill>
              <a:latin typeface="+mj-lt"/>
            </a:rPr>
            <a:t>Winter Storm Analysis</a:t>
          </a:r>
        </a:p>
      </xdr:txBody>
    </xdr:sp>
    <xdr:clientData/>
  </xdr:twoCellAnchor>
  <xdr:twoCellAnchor>
    <xdr:from>
      <xdr:col>10</xdr:col>
      <xdr:colOff>0</xdr:colOff>
      <xdr:row>1</xdr:row>
      <xdr:rowOff>0</xdr:rowOff>
    </xdr:from>
    <xdr:to>
      <xdr:col>11</xdr:col>
      <xdr:colOff>600077</xdr:colOff>
      <xdr:row>2</xdr:row>
      <xdr:rowOff>0</xdr:rowOff>
    </xdr:to>
    <xdr:sp macro="" textlink="">
      <xdr:nvSpPr>
        <xdr:cNvPr id="4" name="Rounded Rectangle 3">
          <a:hlinkClick xmlns:r="http://schemas.openxmlformats.org/officeDocument/2006/relationships" r:id="rId2"/>
          <a:extLst>
            <a:ext uri="{FF2B5EF4-FFF2-40B4-BE49-F238E27FC236}">
              <a16:creationId xmlns:a16="http://schemas.microsoft.com/office/drawing/2014/main" id="{00000000-0008-0000-1C00-000004000000}"/>
            </a:ext>
          </a:extLst>
        </xdr:cNvPr>
        <xdr:cNvSpPr/>
      </xdr:nvSpPr>
      <xdr:spPr>
        <a:xfrm>
          <a:off x="7160559" y="190500"/>
          <a:ext cx="1205194" cy="414618"/>
        </a:xfrm>
        <a:prstGeom prst="roundRect">
          <a:avLst/>
        </a:prstGeom>
        <a:gradFill>
          <a:gsLst>
            <a:gs pos="0">
              <a:srgbClr val="23AF84"/>
            </a:gs>
            <a:gs pos="50000">
              <a:srgbClr val="6DDDA8"/>
            </a:gs>
            <a:gs pos="70000">
              <a:srgbClr val="70EAB9"/>
            </a:gs>
            <a:gs pos="100000">
              <a:srgbClr val="99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400">
              <a:latin typeface="+mj-lt"/>
            </a:rPr>
            <a:t>Main</a:t>
          </a:r>
          <a:r>
            <a:rPr lang="en-US" sz="1400" baseline="0">
              <a:latin typeface="+mj-lt"/>
            </a:rPr>
            <a:t> Menu</a:t>
          </a:r>
          <a:endParaRPr lang="en-US" sz="1400">
            <a:latin typeface="+mj-l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12</xdr:col>
      <xdr:colOff>0</xdr:colOff>
      <xdr:row>8</xdr:row>
      <xdr:rowOff>0</xdr:rowOff>
    </xdr:from>
    <xdr:to>
      <xdr:col>13</xdr:col>
      <xdr:colOff>600076</xdr:colOff>
      <xdr:row>9</xdr:row>
      <xdr:rowOff>0</xdr:rowOff>
    </xdr:to>
    <xdr:sp macro="" textlink="">
      <xdr:nvSpPr>
        <xdr:cNvPr id="6" name="Rounded Rectangle 5">
          <a:hlinkClick xmlns:r="http://schemas.openxmlformats.org/officeDocument/2006/relationships" r:id="rId1"/>
          <a:extLst>
            <a:ext uri="{FF2B5EF4-FFF2-40B4-BE49-F238E27FC236}">
              <a16:creationId xmlns:a16="http://schemas.microsoft.com/office/drawing/2014/main" id="{00000000-0008-0000-0200-000006000000}"/>
            </a:ext>
          </a:extLst>
        </xdr:cNvPr>
        <xdr:cNvSpPr/>
      </xdr:nvSpPr>
      <xdr:spPr>
        <a:xfrm>
          <a:off x="7261412" y="1524000"/>
          <a:ext cx="1205193" cy="414618"/>
        </a:xfrm>
        <a:prstGeom prst="roundRect">
          <a:avLst/>
        </a:prstGeom>
        <a:gradFill>
          <a:gsLst>
            <a:gs pos="0">
              <a:srgbClr val="23AF84"/>
            </a:gs>
            <a:gs pos="50000">
              <a:srgbClr val="6DDDA8"/>
            </a:gs>
            <a:gs pos="70000">
              <a:srgbClr val="70EAB9"/>
            </a:gs>
            <a:gs pos="100000">
              <a:srgbClr val="99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400">
              <a:latin typeface="+mj-lt"/>
            </a:rPr>
            <a:t>Main</a:t>
          </a:r>
          <a:r>
            <a:rPr lang="en-US" sz="1400" baseline="0">
              <a:latin typeface="+mj-lt"/>
            </a:rPr>
            <a:t> Menu</a:t>
          </a:r>
          <a:endParaRPr lang="en-US" sz="1400">
            <a:latin typeface="+mj-lt"/>
          </a:endParaRPr>
        </a:p>
      </xdr:txBody>
    </xdr:sp>
    <xdr:clientData/>
  </xdr:twoCellAnchor>
  <xdr:twoCellAnchor editAs="oneCell">
    <xdr:from>
      <xdr:col>6</xdr:col>
      <xdr:colOff>166159</xdr:colOff>
      <xdr:row>1</xdr:row>
      <xdr:rowOff>85725</xdr:rowOff>
    </xdr:from>
    <xdr:to>
      <xdr:col>10</xdr:col>
      <xdr:colOff>405021</xdr:colOff>
      <xdr:row>7</xdr:row>
      <xdr:rowOff>13629</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23759" y="276225"/>
          <a:ext cx="2677262" cy="1070904"/>
        </a:xfrm>
        <a:prstGeom prst="rect">
          <a:avLst/>
        </a:prstGeom>
      </xdr:spPr>
    </xdr:pic>
    <xdr:clientData/>
  </xdr:twoCellAnchor>
  <xdr:twoCellAnchor editAs="oneCell">
    <xdr:from>
      <xdr:col>4</xdr:col>
      <xdr:colOff>390525</xdr:colOff>
      <xdr:row>1</xdr:row>
      <xdr:rowOff>149224</xdr:rowOff>
    </xdr:from>
    <xdr:to>
      <xdr:col>5</xdr:col>
      <xdr:colOff>580488</xdr:colOff>
      <xdr:row>7</xdr:row>
      <xdr:rowOff>43392</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28925" y="339724"/>
          <a:ext cx="799563" cy="1037168"/>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5</xdr:col>
      <xdr:colOff>0</xdr:colOff>
      <xdr:row>958</xdr:row>
      <xdr:rowOff>0</xdr:rowOff>
    </xdr:from>
    <xdr:to>
      <xdr:col>8</xdr:col>
      <xdr:colOff>11206</xdr:colOff>
      <xdr:row>960</xdr:row>
      <xdr:rowOff>11206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D00-000002000000}"/>
            </a:ext>
          </a:extLst>
        </xdr:cNvPr>
        <xdr:cNvSpPr/>
      </xdr:nvSpPr>
      <xdr:spPr>
        <a:xfrm>
          <a:off x="3048000" y="179841525"/>
          <a:ext cx="1840006" cy="392206"/>
        </a:xfrm>
        <a:prstGeom prst="roundRect">
          <a:avLst/>
        </a:prstGeom>
        <a:gradFill>
          <a:gsLst>
            <a:gs pos="0">
              <a:srgbClr val="DCCD72"/>
            </a:gs>
            <a:gs pos="50000">
              <a:srgbClr val="FFFF66"/>
            </a:gs>
            <a:gs pos="70000">
              <a:srgbClr val="FFFF99"/>
            </a:gs>
            <a:gs pos="100000">
              <a:srgbClr val="FFFFCC"/>
            </a:gs>
          </a:gsLst>
        </a:gradFill>
        <a:ln w="19050">
          <a:solidFill>
            <a:schemeClr val="tx1"/>
          </a:solidFill>
        </a:ln>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n-US" sz="1100">
              <a:solidFill>
                <a:schemeClr val="tx1"/>
              </a:solidFill>
              <a:latin typeface="+mj-lt"/>
            </a:rPr>
            <a:t>Hazard Analysis</a:t>
          </a:r>
        </a:p>
      </xdr:txBody>
    </xdr:sp>
    <xdr:clientData/>
  </xdr:twoCellAnchor>
  <xdr:twoCellAnchor>
    <xdr:from>
      <xdr:col>10</xdr:col>
      <xdr:colOff>0</xdr:colOff>
      <xdr:row>1</xdr:row>
      <xdr:rowOff>0</xdr:rowOff>
    </xdr:from>
    <xdr:to>
      <xdr:col>11</xdr:col>
      <xdr:colOff>600077</xdr:colOff>
      <xdr:row>2</xdr:row>
      <xdr:rowOff>0</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1D00-000003000000}"/>
            </a:ext>
          </a:extLst>
        </xdr:cNvPr>
        <xdr:cNvSpPr/>
      </xdr:nvSpPr>
      <xdr:spPr>
        <a:xfrm>
          <a:off x="7200900" y="190500"/>
          <a:ext cx="1209677" cy="419100"/>
        </a:xfrm>
        <a:prstGeom prst="roundRect">
          <a:avLst/>
        </a:prstGeom>
        <a:gradFill>
          <a:gsLst>
            <a:gs pos="0">
              <a:srgbClr val="23AF84"/>
            </a:gs>
            <a:gs pos="50000">
              <a:srgbClr val="6DDDA8"/>
            </a:gs>
            <a:gs pos="70000">
              <a:srgbClr val="70EAB9"/>
            </a:gs>
            <a:gs pos="100000">
              <a:srgbClr val="99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400">
              <a:latin typeface="+mj-lt"/>
            </a:rPr>
            <a:t>Main</a:t>
          </a:r>
          <a:r>
            <a:rPr lang="en-US" sz="1400" baseline="0">
              <a:latin typeface="+mj-lt"/>
            </a:rPr>
            <a:t> Menu</a:t>
          </a:r>
          <a:endParaRPr lang="en-US" sz="1400">
            <a:latin typeface="+mj-lt"/>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5</xdr:col>
      <xdr:colOff>0</xdr:colOff>
      <xdr:row>958</xdr:row>
      <xdr:rowOff>0</xdr:rowOff>
    </xdr:from>
    <xdr:to>
      <xdr:col>8</xdr:col>
      <xdr:colOff>11206</xdr:colOff>
      <xdr:row>960</xdr:row>
      <xdr:rowOff>11206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E00-000002000000}"/>
            </a:ext>
          </a:extLst>
        </xdr:cNvPr>
        <xdr:cNvSpPr/>
      </xdr:nvSpPr>
      <xdr:spPr>
        <a:xfrm>
          <a:off x="3048000" y="177955575"/>
          <a:ext cx="1840006" cy="392206"/>
        </a:xfrm>
        <a:prstGeom prst="roundRect">
          <a:avLst/>
        </a:prstGeom>
        <a:gradFill>
          <a:gsLst>
            <a:gs pos="0">
              <a:srgbClr val="DCCD72"/>
            </a:gs>
            <a:gs pos="50000">
              <a:srgbClr val="FFFF66"/>
            </a:gs>
            <a:gs pos="70000">
              <a:srgbClr val="FFFF99"/>
            </a:gs>
            <a:gs pos="100000">
              <a:srgbClr val="FFFFCC"/>
            </a:gs>
          </a:gsLst>
        </a:gradFill>
        <a:ln w="19050">
          <a:solidFill>
            <a:schemeClr val="tx1"/>
          </a:solidFill>
        </a:ln>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n-US" sz="1100">
              <a:solidFill>
                <a:schemeClr val="tx1"/>
              </a:solidFill>
              <a:latin typeface="+mj-lt"/>
            </a:rPr>
            <a:t>Hazard Analysis</a:t>
          </a:r>
        </a:p>
      </xdr:txBody>
    </xdr:sp>
    <xdr:clientData/>
  </xdr:twoCellAnchor>
  <xdr:twoCellAnchor>
    <xdr:from>
      <xdr:col>10</xdr:col>
      <xdr:colOff>0</xdr:colOff>
      <xdr:row>1</xdr:row>
      <xdr:rowOff>0</xdr:rowOff>
    </xdr:from>
    <xdr:to>
      <xdr:col>11</xdr:col>
      <xdr:colOff>600077</xdr:colOff>
      <xdr:row>2</xdr:row>
      <xdr:rowOff>0</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1E00-000003000000}"/>
            </a:ext>
          </a:extLst>
        </xdr:cNvPr>
        <xdr:cNvSpPr/>
      </xdr:nvSpPr>
      <xdr:spPr>
        <a:xfrm>
          <a:off x="7200900" y="190500"/>
          <a:ext cx="1209677" cy="419100"/>
        </a:xfrm>
        <a:prstGeom prst="roundRect">
          <a:avLst/>
        </a:prstGeom>
        <a:gradFill>
          <a:gsLst>
            <a:gs pos="0">
              <a:srgbClr val="23AF84"/>
            </a:gs>
            <a:gs pos="50000">
              <a:srgbClr val="6DDDA8"/>
            </a:gs>
            <a:gs pos="70000">
              <a:srgbClr val="70EAB9"/>
            </a:gs>
            <a:gs pos="100000">
              <a:srgbClr val="99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400">
              <a:latin typeface="+mj-lt"/>
            </a:rPr>
            <a:t>Main</a:t>
          </a:r>
          <a:r>
            <a:rPr lang="en-US" sz="1400" baseline="0">
              <a:latin typeface="+mj-lt"/>
            </a:rPr>
            <a:t> Menu</a:t>
          </a:r>
          <a:endParaRPr lang="en-US" sz="1400">
            <a:latin typeface="+mj-lt"/>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5</xdr:col>
      <xdr:colOff>0</xdr:colOff>
      <xdr:row>958</xdr:row>
      <xdr:rowOff>0</xdr:rowOff>
    </xdr:from>
    <xdr:to>
      <xdr:col>8</xdr:col>
      <xdr:colOff>11206</xdr:colOff>
      <xdr:row>960</xdr:row>
      <xdr:rowOff>11206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F00-000002000000}"/>
            </a:ext>
          </a:extLst>
        </xdr:cNvPr>
        <xdr:cNvSpPr/>
      </xdr:nvSpPr>
      <xdr:spPr>
        <a:xfrm>
          <a:off x="3048000" y="177955575"/>
          <a:ext cx="1840006" cy="392206"/>
        </a:xfrm>
        <a:prstGeom prst="roundRect">
          <a:avLst/>
        </a:prstGeom>
        <a:gradFill>
          <a:gsLst>
            <a:gs pos="0">
              <a:srgbClr val="DCCD72"/>
            </a:gs>
            <a:gs pos="50000">
              <a:srgbClr val="FFFF66"/>
            </a:gs>
            <a:gs pos="70000">
              <a:srgbClr val="FFFF99"/>
            </a:gs>
            <a:gs pos="100000">
              <a:srgbClr val="FFFFCC"/>
            </a:gs>
          </a:gsLst>
        </a:gradFill>
        <a:ln w="19050">
          <a:solidFill>
            <a:schemeClr val="tx1"/>
          </a:solidFill>
        </a:ln>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n-US" sz="1100">
              <a:solidFill>
                <a:schemeClr val="tx1"/>
              </a:solidFill>
              <a:latin typeface="+mj-lt"/>
            </a:rPr>
            <a:t>Hazard Analysis</a:t>
          </a:r>
        </a:p>
      </xdr:txBody>
    </xdr:sp>
    <xdr:clientData/>
  </xdr:twoCellAnchor>
  <xdr:twoCellAnchor>
    <xdr:from>
      <xdr:col>10</xdr:col>
      <xdr:colOff>0</xdr:colOff>
      <xdr:row>1</xdr:row>
      <xdr:rowOff>0</xdr:rowOff>
    </xdr:from>
    <xdr:to>
      <xdr:col>11</xdr:col>
      <xdr:colOff>600077</xdr:colOff>
      <xdr:row>2</xdr:row>
      <xdr:rowOff>0</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1F00-000003000000}"/>
            </a:ext>
          </a:extLst>
        </xdr:cNvPr>
        <xdr:cNvSpPr/>
      </xdr:nvSpPr>
      <xdr:spPr>
        <a:xfrm>
          <a:off x="7200900" y="190500"/>
          <a:ext cx="1209677" cy="419100"/>
        </a:xfrm>
        <a:prstGeom prst="roundRect">
          <a:avLst/>
        </a:prstGeom>
        <a:gradFill>
          <a:gsLst>
            <a:gs pos="0">
              <a:srgbClr val="23AF84"/>
            </a:gs>
            <a:gs pos="50000">
              <a:srgbClr val="6DDDA8"/>
            </a:gs>
            <a:gs pos="70000">
              <a:srgbClr val="70EAB9"/>
            </a:gs>
            <a:gs pos="100000">
              <a:srgbClr val="99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400">
              <a:latin typeface="+mj-lt"/>
            </a:rPr>
            <a:t>Main</a:t>
          </a:r>
          <a:r>
            <a:rPr lang="en-US" sz="1400" baseline="0">
              <a:latin typeface="+mj-lt"/>
            </a:rPr>
            <a:t> Menu</a:t>
          </a:r>
          <a:endParaRPr lang="en-US" sz="1400">
            <a:latin typeface="+mj-lt"/>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5</xdr:col>
      <xdr:colOff>0</xdr:colOff>
      <xdr:row>958</xdr:row>
      <xdr:rowOff>0</xdr:rowOff>
    </xdr:from>
    <xdr:to>
      <xdr:col>8</xdr:col>
      <xdr:colOff>11206</xdr:colOff>
      <xdr:row>960</xdr:row>
      <xdr:rowOff>11206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a:off x="3048000" y="177955575"/>
          <a:ext cx="1840006" cy="392206"/>
        </a:xfrm>
        <a:prstGeom prst="roundRect">
          <a:avLst/>
        </a:prstGeom>
        <a:gradFill>
          <a:gsLst>
            <a:gs pos="0">
              <a:srgbClr val="DCCD72"/>
            </a:gs>
            <a:gs pos="50000">
              <a:srgbClr val="FFFF66"/>
            </a:gs>
            <a:gs pos="70000">
              <a:srgbClr val="FFFF99"/>
            </a:gs>
            <a:gs pos="100000">
              <a:srgbClr val="FFFFCC"/>
            </a:gs>
          </a:gsLst>
        </a:gradFill>
        <a:ln w="19050">
          <a:solidFill>
            <a:schemeClr val="tx1"/>
          </a:solidFill>
        </a:ln>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n-US" sz="1100">
              <a:solidFill>
                <a:schemeClr val="tx1"/>
              </a:solidFill>
              <a:latin typeface="+mj-lt"/>
            </a:rPr>
            <a:t>Hazard Analysis</a:t>
          </a:r>
        </a:p>
      </xdr:txBody>
    </xdr:sp>
    <xdr:clientData/>
  </xdr:twoCellAnchor>
  <xdr:twoCellAnchor>
    <xdr:from>
      <xdr:col>10</xdr:col>
      <xdr:colOff>0</xdr:colOff>
      <xdr:row>1</xdr:row>
      <xdr:rowOff>0</xdr:rowOff>
    </xdr:from>
    <xdr:to>
      <xdr:col>11</xdr:col>
      <xdr:colOff>600077</xdr:colOff>
      <xdr:row>2</xdr:row>
      <xdr:rowOff>0</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2000-000003000000}"/>
            </a:ext>
          </a:extLst>
        </xdr:cNvPr>
        <xdr:cNvSpPr/>
      </xdr:nvSpPr>
      <xdr:spPr>
        <a:xfrm>
          <a:off x="7200900" y="190500"/>
          <a:ext cx="1209677" cy="419100"/>
        </a:xfrm>
        <a:prstGeom prst="roundRect">
          <a:avLst/>
        </a:prstGeom>
        <a:gradFill>
          <a:gsLst>
            <a:gs pos="0">
              <a:srgbClr val="23AF84"/>
            </a:gs>
            <a:gs pos="50000">
              <a:srgbClr val="6DDDA8"/>
            </a:gs>
            <a:gs pos="70000">
              <a:srgbClr val="70EAB9"/>
            </a:gs>
            <a:gs pos="100000">
              <a:srgbClr val="99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400">
              <a:latin typeface="+mj-lt"/>
            </a:rPr>
            <a:t>Main</a:t>
          </a:r>
          <a:r>
            <a:rPr lang="en-US" sz="1400" baseline="0">
              <a:latin typeface="+mj-lt"/>
            </a:rPr>
            <a:t> Menu</a:t>
          </a:r>
          <a:endParaRPr lang="en-US" sz="1400">
            <a:latin typeface="+mj-lt"/>
          </a:endParaRP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5</xdr:col>
      <xdr:colOff>0</xdr:colOff>
      <xdr:row>958</xdr:row>
      <xdr:rowOff>0</xdr:rowOff>
    </xdr:from>
    <xdr:to>
      <xdr:col>8</xdr:col>
      <xdr:colOff>11206</xdr:colOff>
      <xdr:row>960</xdr:row>
      <xdr:rowOff>11206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100-000002000000}"/>
            </a:ext>
          </a:extLst>
        </xdr:cNvPr>
        <xdr:cNvSpPr/>
      </xdr:nvSpPr>
      <xdr:spPr>
        <a:xfrm>
          <a:off x="3048000" y="177955575"/>
          <a:ext cx="1840006" cy="392206"/>
        </a:xfrm>
        <a:prstGeom prst="roundRect">
          <a:avLst/>
        </a:prstGeom>
        <a:gradFill>
          <a:gsLst>
            <a:gs pos="0">
              <a:srgbClr val="DCCD72"/>
            </a:gs>
            <a:gs pos="50000">
              <a:srgbClr val="FFFF66"/>
            </a:gs>
            <a:gs pos="70000">
              <a:srgbClr val="FFFF99"/>
            </a:gs>
            <a:gs pos="100000">
              <a:srgbClr val="FFFFCC"/>
            </a:gs>
          </a:gsLst>
        </a:gradFill>
        <a:ln w="19050">
          <a:solidFill>
            <a:schemeClr val="tx1"/>
          </a:solidFill>
        </a:ln>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n-US" sz="1100">
              <a:solidFill>
                <a:schemeClr val="tx1"/>
              </a:solidFill>
              <a:latin typeface="+mj-lt"/>
            </a:rPr>
            <a:t>Hazard Analysis</a:t>
          </a:r>
        </a:p>
      </xdr:txBody>
    </xdr:sp>
    <xdr:clientData/>
  </xdr:twoCellAnchor>
  <xdr:twoCellAnchor>
    <xdr:from>
      <xdr:col>10</xdr:col>
      <xdr:colOff>0</xdr:colOff>
      <xdr:row>1</xdr:row>
      <xdr:rowOff>0</xdr:rowOff>
    </xdr:from>
    <xdr:to>
      <xdr:col>11</xdr:col>
      <xdr:colOff>600077</xdr:colOff>
      <xdr:row>2</xdr:row>
      <xdr:rowOff>0</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2100-000003000000}"/>
            </a:ext>
          </a:extLst>
        </xdr:cNvPr>
        <xdr:cNvSpPr/>
      </xdr:nvSpPr>
      <xdr:spPr>
        <a:xfrm>
          <a:off x="7200900" y="190500"/>
          <a:ext cx="1209677" cy="419100"/>
        </a:xfrm>
        <a:prstGeom prst="roundRect">
          <a:avLst/>
        </a:prstGeom>
        <a:gradFill>
          <a:gsLst>
            <a:gs pos="0">
              <a:srgbClr val="23AF84"/>
            </a:gs>
            <a:gs pos="50000">
              <a:srgbClr val="6DDDA8"/>
            </a:gs>
            <a:gs pos="70000">
              <a:srgbClr val="70EAB9"/>
            </a:gs>
            <a:gs pos="100000">
              <a:srgbClr val="99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400">
              <a:latin typeface="+mj-lt"/>
            </a:rPr>
            <a:t>Main</a:t>
          </a:r>
          <a:r>
            <a:rPr lang="en-US" sz="1400" baseline="0">
              <a:latin typeface="+mj-lt"/>
            </a:rPr>
            <a:t> Menu</a:t>
          </a:r>
          <a:endParaRPr lang="en-US" sz="1400">
            <a:latin typeface="+mj-lt"/>
          </a:endParaRP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5</xdr:col>
      <xdr:colOff>0</xdr:colOff>
      <xdr:row>958</xdr:row>
      <xdr:rowOff>0</xdr:rowOff>
    </xdr:from>
    <xdr:to>
      <xdr:col>8</xdr:col>
      <xdr:colOff>11206</xdr:colOff>
      <xdr:row>960</xdr:row>
      <xdr:rowOff>11206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200-000002000000}"/>
            </a:ext>
          </a:extLst>
        </xdr:cNvPr>
        <xdr:cNvSpPr/>
      </xdr:nvSpPr>
      <xdr:spPr>
        <a:xfrm>
          <a:off x="3048000" y="177955575"/>
          <a:ext cx="1840006" cy="392206"/>
        </a:xfrm>
        <a:prstGeom prst="roundRect">
          <a:avLst/>
        </a:prstGeom>
        <a:gradFill>
          <a:gsLst>
            <a:gs pos="0">
              <a:srgbClr val="DCCD72"/>
            </a:gs>
            <a:gs pos="50000">
              <a:srgbClr val="FFFF66"/>
            </a:gs>
            <a:gs pos="70000">
              <a:srgbClr val="FFFF99"/>
            </a:gs>
            <a:gs pos="100000">
              <a:srgbClr val="FFFFCC"/>
            </a:gs>
          </a:gsLst>
        </a:gradFill>
        <a:ln w="19050">
          <a:solidFill>
            <a:schemeClr val="tx1"/>
          </a:solidFill>
        </a:ln>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n-US" sz="1100">
              <a:solidFill>
                <a:schemeClr val="tx1"/>
              </a:solidFill>
              <a:latin typeface="+mj-lt"/>
            </a:rPr>
            <a:t>Hazard Analysis</a:t>
          </a:r>
        </a:p>
      </xdr:txBody>
    </xdr:sp>
    <xdr:clientData/>
  </xdr:twoCellAnchor>
  <xdr:twoCellAnchor>
    <xdr:from>
      <xdr:col>10</xdr:col>
      <xdr:colOff>0</xdr:colOff>
      <xdr:row>1</xdr:row>
      <xdr:rowOff>0</xdr:rowOff>
    </xdr:from>
    <xdr:to>
      <xdr:col>11</xdr:col>
      <xdr:colOff>600077</xdr:colOff>
      <xdr:row>2</xdr:row>
      <xdr:rowOff>0</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2200-000003000000}"/>
            </a:ext>
          </a:extLst>
        </xdr:cNvPr>
        <xdr:cNvSpPr/>
      </xdr:nvSpPr>
      <xdr:spPr>
        <a:xfrm>
          <a:off x="7200900" y="190500"/>
          <a:ext cx="1209677" cy="419100"/>
        </a:xfrm>
        <a:prstGeom prst="roundRect">
          <a:avLst/>
        </a:prstGeom>
        <a:gradFill>
          <a:gsLst>
            <a:gs pos="0">
              <a:srgbClr val="23AF84"/>
            </a:gs>
            <a:gs pos="50000">
              <a:srgbClr val="6DDDA8"/>
            </a:gs>
            <a:gs pos="70000">
              <a:srgbClr val="70EAB9"/>
            </a:gs>
            <a:gs pos="100000">
              <a:srgbClr val="99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400">
              <a:latin typeface="+mj-lt"/>
            </a:rPr>
            <a:t>Main</a:t>
          </a:r>
          <a:r>
            <a:rPr lang="en-US" sz="1400" baseline="0">
              <a:latin typeface="+mj-lt"/>
            </a:rPr>
            <a:t> Menu</a:t>
          </a:r>
          <a:endParaRPr lang="en-US" sz="1400">
            <a:latin typeface="+mj-lt"/>
          </a:endParaRP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5</xdr:col>
      <xdr:colOff>0</xdr:colOff>
      <xdr:row>958</xdr:row>
      <xdr:rowOff>0</xdr:rowOff>
    </xdr:from>
    <xdr:to>
      <xdr:col>8</xdr:col>
      <xdr:colOff>11206</xdr:colOff>
      <xdr:row>960</xdr:row>
      <xdr:rowOff>11206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300-000002000000}"/>
            </a:ext>
          </a:extLst>
        </xdr:cNvPr>
        <xdr:cNvSpPr/>
      </xdr:nvSpPr>
      <xdr:spPr>
        <a:xfrm>
          <a:off x="3048000" y="177955575"/>
          <a:ext cx="1840006" cy="392206"/>
        </a:xfrm>
        <a:prstGeom prst="roundRect">
          <a:avLst/>
        </a:prstGeom>
        <a:gradFill>
          <a:gsLst>
            <a:gs pos="0">
              <a:srgbClr val="DCCD72"/>
            </a:gs>
            <a:gs pos="50000">
              <a:srgbClr val="FFFF66"/>
            </a:gs>
            <a:gs pos="70000">
              <a:srgbClr val="FFFF99"/>
            </a:gs>
            <a:gs pos="100000">
              <a:srgbClr val="FFFFCC"/>
            </a:gs>
          </a:gsLst>
        </a:gradFill>
        <a:ln w="19050">
          <a:solidFill>
            <a:schemeClr val="tx1"/>
          </a:solidFill>
        </a:ln>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n-US" sz="1100">
              <a:solidFill>
                <a:schemeClr val="tx1"/>
              </a:solidFill>
              <a:latin typeface="+mj-lt"/>
            </a:rPr>
            <a:t>Hazard Analysis</a:t>
          </a:r>
        </a:p>
      </xdr:txBody>
    </xdr:sp>
    <xdr:clientData/>
  </xdr:twoCellAnchor>
  <xdr:twoCellAnchor>
    <xdr:from>
      <xdr:col>10</xdr:col>
      <xdr:colOff>0</xdr:colOff>
      <xdr:row>1</xdr:row>
      <xdr:rowOff>0</xdr:rowOff>
    </xdr:from>
    <xdr:to>
      <xdr:col>11</xdr:col>
      <xdr:colOff>600077</xdr:colOff>
      <xdr:row>2</xdr:row>
      <xdr:rowOff>0</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2300-000003000000}"/>
            </a:ext>
          </a:extLst>
        </xdr:cNvPr>
        <xdr:cNvSpPr/>
      </xdr:nvSpPr>
      <xdr:spPr>
        <a:xfrm>
          <a:off x="7200900" y="190500"/>
          <a:ext cx="1209677" cy="419100"/>
        </a:xfrm>
        <a:prstGeom prst="roundRect">
          <a:avLst/>
        </a:prstGeom>
        <a:gradFill>
          <a:gsLst>
            <a:gs pos="0">
              <a:srgbClr val="23AF84"/>
            </a:gs>
            <a:gs pos="50000">
              <a:srgbClr val="6DDDA8"/>
            </a:gs>
            <a:gs pos="70000">
              <a:srgbClr val="70EAB9"/>
            </a:gs>
            <a:gs pos="100000">
              <a:srgbClr val="99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400">
              <a:latin typeface="+mj-lt"/>
            </a:rPr>
            <a:t>Main</a:t>
          </a:r>
          <a:r>
            <a:rPr lang="en-US" sz="1400" baseline="0">
              <a:latin typeface="+mj-lt"/>
            </a:rPr>
            <a:t> Menu</a:t>
          </a:r>
          <a:endParaRPr lang="en-US" sz="1400">
            <a:latin typeface="+mj-lt"/>
          </a:endParaRP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5</xdr:col>
      <xdr:colOff>0</xdr:colOff>
      <xdr:row>958</xdr:row>
      <xdr:rowOff>0</xdr:rowOff>
    </xdr:from>
    <xdr:to>
      <xdr:col>8</xdr:col>
      <xdr:colOff>11206</xdr:colOff>
      <xdr:row>960</xdr:row>
      <xdr:rowOff>11206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400-000002000000}"/>
            </a:ext>
          </a:extLst>
        </xdr:cNvPr>
        <xdr:cNvSpPr/>
      </xdr:nvSpPr>
      <xdr:spPr>
        <a:xfrm>
          <a:off x="3048000" y="177955575"/>
          <a:ext cx="1840006" cy="392206"/>
        </a:xfrm>
        <a:prstGeom prst="roundRect">
          <a:avLst/>
        </a:prstGeom>
        <a:gradFill>
          <a:gsLst>
            <a:gs pos="0">
              <a:srgbClr val="DCCD72"/>
            </a:gs>
            <a:gs pos="50000">
              <a:srgbClr val="FFFF66"/>
            </a:gs>
            <a:gs pos="70000">
              <a:srgbClr val="FFFF99"/>
            </a:gs>
            <a:gs pos="100000">
              <a:srgbClr val="FFFFCC"/>
            </a:gs>
          </a:gsLst>
        </a:gradFill>
        <a:ln w="19050">
          <a:solidFill>
            <a:schemeClr val="tx1"/>
          </a:solidFill>
        </a:ln>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n-US" sz="1100">
              <a:solidFill>
                <a:schemeClr val="tx1"/>
              </a:solidFill>
              <a:latin typeface="+mj-lt"/>
            </a:rPr>
            <a:t>Hazard Analysis</a:t>
          </a:r>
        </a:p>
      </xdr:txBody>
    </xdr:sp>
    <xdr:clientData/>
  </xdr:twoCellAnchor>
  <xdr:twoCellAnchor>
    <xdr:from>
      <xdr:col>10</xdr:col>
      <xdr:colOff>0</xdr:colOff>
      <xdr:row>1</xdr:row>
      <xdr:rowOff>0</xdr:rowOff>
    </xdr:from>
    <xdr:to>
      <xdr:col>11</xdr:col>
      <xdr:colOff>600077</xdr:colOff>
      <xdr:row>2</xdr:row>
      <xdr:rowOff>0</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2400-000003000000}"/>
            </a:ext>
          </a:extLst>
        </xdr:cNvPr>
        <xdr:cNvSpPr/>
      </xdr:nvSpPr>
      <xdr:spPr>
        <a:xfrm>
          <a:off x="7200900" y="190500"/>
          <a:ext cx="1209677" cy="419100"/>
        </a:xfrm>
        <a:prstGeom prst="roundRect">
          <a:avLst/>
        </a:prstGeom>
        <a:gradFill>
          <a:gsLst>
            <a:gs pos="0">
              <a:srgbClr val="23AF84"/>
            </a:gs>
            <a:gs pos="50000">
              <a:srgbClr val="6DDDA8"/>
            </a:gs>
            <a:gs pos="70000">
              <a:srgbClr val="70EAB9"/>
            </a:gs>
            <a:gs pos="100000">
              <a:srgbClr val="99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400">
              <a:latin typeface="+mj-lt"/>
            </a:rPr>
            <a:t>Main</a:t>
          </a:r>
          <a:r>
            <a:rPr lang="en-US" sz="1400" baseline="0">
              <a:latin typeface="+mj-lt"/>
            </a:rPr>
            <a:t> Menu</a:t>
          </a:r>
          <a:endParaRPr lang="en-US" sz="1400">
            <a:latin typeface="+mj-lt"/>
          </a:endParaRP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5</xdr:col>
      <xdr:colOff>0</xdr:colOff>
      <xdr:row>958</xdr:row>
      <xdr:rowOff>0</xdr:rowOff>
    </xdr:from>
    <xdr:to>
      <xdr:col>8</xdr:col>
      <xdr:colOff>11206</xdr:colOff>
      <xdr:row>960</xdr:row>
      <xdr:rowOff>11206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a:xfrm>
          <a:off x="3048000" y="177955575"/>
          <a:ext cx="1840006" cy="392206"/>
        </a:xfrm>
        <a:prstGeom prst="roundRect">
          <a:avLst/>
        </a:prstGeom>
        <a:gradFill>
          <a:gsLst>
            <a:gs pos="0">
              <a:srgbClr val="DCCD72"/>
            </a:gs>
            <a:gs pos="50000">
              <a:srgbClr val="FFFF66"/>
            </a:gs>
            <a:gs pos="70000">
              <a:srgbClr val="FFFF99"/>
            </a:gs>
            <a:gs pos="100000">
              <a:srgbClr val="FFFFCC"/>
            </a:gs>
          </a:gsLst>
        </a:gradFill>
        <a:ln w="19050">
          <a:solidFill>
            <a:schemeClr val="tx1"/>
          </a:solidFill>
        </a:ln>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n-US" sz="1100">
              <a:solidFill>
                <a:schemeClr val="tx1"/>
              </a:solidFill>
              <a:latin typeface="+mj-lt"/>
            </a:rPr>
            <a:t>Hazard Analysis</a:t>
          </a:r>
        </a:p>
      </xdr:txBody>
    </xdr:sp>
    <xdr:clientData/>
  </xdr:twoCellAnchor>
  <xdr:twoCellAnchor>
    <xdr:from>
      <xdr:col>10</xdr:col>
      <xdr:colOff>0</xdr:colOff>
      <xdr:row>1</xdr:row>
      <xdr:rowOff>0</xdr:rowOff>
    </xdr:from>
    <xdr:to>
      <xdr:col>11</xdr:col>
      <xdr:colOff>600077</xdr:colOff>
      <xdr:row>2</xdr:row>
      <xdr:rowOff>0</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2500-000003000000}"/>
            </a:ext>
          </a:extLst>
        </xdr:cNvPr>
        <xdr:cNvSpPr/>
      </xdr:nvSpPr>
      <xdr:spPr>
        <a:xfrm>
          <a:off x="7200900" y="190500"/>
          <a:ext cx="1209677" cy="419100"/>
        </a:xfrm>
        <a:prstGeom prst="roundRect">
          <a:avLst/>
        </a:prstGeom>
        <a:gradFill>
          <a:gsLst>
            <a:gs pos="0">
              <a:srgbClr val="23AF84"/>
            </a:gs>
            <a:gs pos="50000">
              <a:srgbClr val="6DDDA8"/>
            </a:gs>
            <a:gs pos="70000">
              <a:srgbClr val="70EAB9"/>
            </a:gs>
            <a:gs pos="100000">
              <a:srgbClr val="99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400">
              <a:latin typeface="+mj-lt"/>
            </a:rPr>
            <a:t>Main</a:t>
          </a:r>
          <a:r>
            <a:rPr lang="en-US" sz="1400" baseline="0">
              <a:latin typeface="+mj-lt"/>
            </a:rPr>
            <a:t> Menu</a:t>
          </a:r>
          <a:endParaRPr lang="en-US" sz="1400">
            <a:latin typeface="+mj-lt"/>
          </a:endParaRP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5</xdr:col>
      <xdr:colOff>0</xdr:colOff>
      <xdr:row>958</xdr:row>
      <xdr:rowOff>0</xdr:rowOff>
    </xdr:from>
    <xdr:to>
      <xdr:col>8</xdr:col>
      <xdr:colOff>11206</xdr:colOff>
      <xdr:row>960</xdr:row>
      <xdr:rowOff>11206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600-000002000000}"/>
            </a:ext>
          </a:extLst>
        </xdr:cNvPr>
        <xdr:cNvSpPr/>
      </xdr:nvSpPr>
      <xdr:spPr>
        <a:xfrm>
          <a:off x="3048000" y="177955575"/>
          <a:ext cx="1840006" cy="392206"/>
        </a:xfrm>
        <a:prstGeom prst="roundRect">
          <a:avLst/>
        </a:prstGeom>
        <a:gradFill>
          <a:gsLst>
            <a:gs pos="0">
              <a:srgbClr val="DCCD72"/>
            </a:gs>
            <a:gs pos="50000">
              <a:srgbClr val="FFFF66"/>
            </a:gs>
            <a:gs pos="70000">
              <a:srgbClr val="FFFF99"/>
            </a:gs>
            <a:gs pos="100000">
              <a:srgbClr val="FFFFCC"/>
            </a:gs>
          </a:gsLst>
        </a:gradFill>
        <a:ln w="19050">
          <a:solidFill>
            <a:schemeClr val="tx1"/>
          </a:solidFill>
        </a:ln>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n-US" sz="1100">
              <a:solidFill>
                <a:schemeClr val="tx1"/>
              </a:solidFill>
              <a:latin typeface="+mj-lt"/>
            </a:rPr>
            <a:t>Hazard Analysis</a:t>
          </a:r>
        </a:p>
      </xdr:txBody>
    </xdr:sp>
    <xdr:clientData/>
  </xdr:twoCellAnchor>
  <xdr:twoCellAnchor>
    <xdr:from>
      <xdr:col>10</xdr:col>
      <xdr:colOff>0</xdr:colOff>
      <xdr:row>1</xdr:row>
      <xdr:rowOff>0</xdr:rowOff>
    </xdr:from>
    <xdr:to>
      <xdr:col>11</xdr:col>
      <xdr:colOff>600077</xdr:colOff>
      <xdr:row>2</xdr:row>
      <xdr:rowOff>0</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2600-000003000000}"/>
            </a:ext>
          </a:extLst>
        </xdr:cNvPr>
        <xdr:cNvSpPr/>
      </xdr:nvSpPr>
      <xdr:spPr>
        <a:xfrm>
          <a:off x="7200900" y="190500"/>
          <a:ext cx="1209677" cy="419100"/>
        </a:xfrm>
        <a:prstGeom prst="roundRect">
          <a:avLst/>
        </a:prstGeom>
        <a:gradFill>
          <a:gsLst>
            <a:gs pos="0">
              <a:srgbClr val="23AF84"/>
            </a:gs>
            <a:gs pos="50000">
              <a:srgbClr val="6DDDA8"/>
            </a:gs>
            <a:gs pos="70000">
              <a:srgbClr val="70EAB9"/>
            </a:gs>
            <a:gs pos="100000">
              <a:srgbClr val="99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400">
              <a:latin typeface="+mj-lt"/>
            </a:rPr>
            <a:t>Main</a:t>
          </a:r>
          <a:r>
            <a:rPr lang="en-US" sz="1400" baseline="0">
              <a:latin typeface="+mj-lt"/>
            </a:rPr>
            <a:t> Menu</a:t>
          </a:r>
          <a:endParaRPr lang="en-US" sz="1400">
            <a:latin typeface="+mj-lt"/>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358588</xdr:colOff>
      <xdr:row>14</xdr:row>
      <xdr:rowOff>78441</xdr:rowOff>
    </xdr:from>
    <xdr:to>
      <xdr:col>6</xdr:col>
      <xdr:colOff>0</xdr:colOff>
      <xdr:row>14</xdr:row>
      <xdr:rowOff>78441</xdr:rowOff>
    </xdr:to>
    <xdr:cxnSp macro="">
      <xdr:nvCxnSpPr>
        <xdr:cNvPr id="20" name="Straight Arrow Connector 19">
          <a:extLst>
            <a:ext uri="{FF2B5EF4-FFF2-40B4-BE49-F238E27FC236}">
              <a16:creationId xmlns:a16="http://schemas.microsoft.com/office/drawing/2014/main" id="{00000000-0008-0000-0300-000014000000}"/>
            </a:ext>
          </a:extLst>
        </xdr:cNvPr>
        <xdr:cNvCxnSpPr/>
      </xdr:nvCxnSpPr>
      <xdr:spPr>
        <a:xfrm>
          <a:off x="4863353" y="2980765"/>
          <a:ext cx="246529" cy="0"/>
        </a:xfrm>
        <a:prstGeom prst="straightConnector1">
          <a:avLst/>
        </a:prstGeom>
        <a:ln w="19050">
          <a:solidFill>
            <a:schemeClr val="accent4"/>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365312</xdr:colOff>
      <xdr:row>13</xdr:row>
      <xdr:rowOff>118783</xdr:rowOff>
    </xdr:from>
    <xdr:to>
      <xdr:col>6</xdr:col>
      <xdr:colOff>6724</xdr:colOff>
      <xdr:row>13</xdr:row>
      <xdr:rowOff>118783</xdr:rowOff>
    </xdr:to>
    <xdr:cxnSp macro="">
      <xdr:nvCxnSpPr>
        <xdr:cNvPr id="112" name="Straight Arrow Connector 111">
          <a:extLst>
            <a:ext uri="{FF2B5EF4-FFF2-40B4-BE49-F238E27FC236}">
              <a16:creationId xmlns:a16="http://schemas.microsoft.com/office/drawing/2014/main" id="{00000000-0008-0000-0300-000070000000}"/>
            </a:ext>
          </a:extLst>
        </xdr:cNvPr>
        <xdr:cNvCxnSpPr/>
      </xdr:nvCxnSpPr>
      <xdr:spPr>
        <a:xfrm>
          <a:off x="4870077" y="2830607"/>
          <a:ext cx="246529" cy="0"/>
        </a:xfrm>
        <a:prstGeom prst="straightConnector1">
          <a:avLst/>
        </a:prstGeom>
        <a:ln w="19050">
          <a:solidFill>
            <a:schemeClr val="accent3"/>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365312</xdr:colOff>
      <xdr:row>19</xdr:row>
      <xdr:rowOff>51547</xdr:rowOff>
    </xdr:from>
    <xdr:to>
      <xdr:col>4</xdr:col>
      <xdr:colOff>6724</xdr:colOff>
      <xdr:row>19</xdr:row>
      <xdr:rowOff>51547</xdr:rowOff>
    </xdr:to>
    <xdr:cxnSp macro="">
      <xdr:nvCxnSpPr>
        <xdr:cNvPr id="115" name="Straight Arrow Connector 114">
          <a:extLst>
            <a:ext uri="{FF2B5EF4-FFF2-40B4-BE49-F238E27FC236}">
              <a16:creationId xmlns:a16="http://schemas.microsoft.com/office/drawing/2014/main" id="{00000000-0008-0000-0300-000073000000}"/>
            </a:ext>
          </a:extLst>
        </xdr:cNvPr>
        <xdr:cNvCxnSpPr/>
      </xdr:nvCxnSpPr>
      <xdr:spPr>
        <a:xfrm>
          <a:off x="3357283" y="3951194"/>
          <a:ext cx="246529" cy="0"/>
        </a:xfrm>
        <a:prstGeom prst="straightConnector1">
          <a:avLst/>
        </a:prstGeom>
        <a:ln w="19050">
          <a:solidFill>
            <a:schemeClr val="accent4"/>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360130</xdr:colOff>
      <xdr:row>20</xdr:row>
      <xdr:rowOff>226358</xdr:rowOff>
    </xdr:from>
    <xdr:to>
      <xdr:col>4</xdr:col>
      <xdr:colOff>1542</xdr:colOff>
      <xdr:row>20</xdr:row>
      <xdr:rowOff>226358</xdr:rowOff>
    </xdr:to>
    <xdr:cxnSp macro="">
      <xdr:nvCxnSpPr>
        <xdr:cNvPr id="118" name="Straight Arrow Connector 117">
          <a:extLst>
            <a:ext uri="{FF2B5EF4-FFF2-40B4-BE49-F238E27FC236}">
              <a16:creationId xmlns:a16="http://schemas.microsoft.com/office/drawing/2014/main" id="{00000000-0008-0000-0300-000076000000}"/>
            </a:ext>
          </a:extLst>
        </xdr:cNvPr>
        <xdr:cNvCxnSpPr/>
      </xdr:nvCxnSpPr>
      <xdr:spPr>
        <a:xfrm>
          <a:off x="3354552" y="4405452"/>
          <a:ext cx="242678" cy="0"/>
        </a:xfrm>
        <a:prstGeom prst="straightConnector1">
          <a:avLst/>
        </a:prstGeom>
        <a:ln w="19050">
          <a:solidFill>
            <a:schemeClr val="accent4"/>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511969</xdr:colOff>
      <xdr:row>19</xdr:row>
      <xdr:rowOff>160326</xdr:rowOff>
    </xdr:from>
    <xdr:to>
      <xdr:col>3</xdr:col>
      <xdr:colOff>597625</xdr:colOff>
      <xdr:row>19</xdr:row>
      <xdr:rowOff>160734</xdr:rowOff>
    </xdr:to>
    <xdr:cxnSp macro="">
      <xdr:nvCxnSpPr>
        <xdr:cNvPr id="120" name="Straight Arrow Connector 119">
          <a:extLst>
            <a:ext uri="{FF2B5EF4-FFF2-40B4-BE49-F238E27FC236}">
              <a16:creationId xmlns:a16="http://schemas.microsoft.com/office/drawing/2014/main" id="{00000000-0008-0000-0300-000078000000}"/>
            </a:ext>
          </a:extLst>
        </xdr:cNvPr>
        <xdr:cNvCxnSpPr/>
      </xdr:nvCxnSpPr>
      <xdr:spPr>
        <a:xfrm flipV="1">
          <a:off x="2899172" y="4041764"/>
          <a:ext cx="692875" cy="408"/>
        </a:xfrm>
        <a:prstGeom prst="straightConnector1">
          <a:avLst/>
        </a:prstGeom>
        <a:ln w="19050">
          <a:solidFill>
            <a:schemeClr val="accent4"/>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xdr:row>
      <xdr:rowOff>278423</xdr:rowOff>
    </xdr:from>
    <xdr:to>
      <xdr:col>4</xdr:col>
      <xdr:colOff>0</xdr:colOff>
      <xdr:row>19</xdr:row>
      <xdr:rowOff>278425</xdr:rowOff>
    </xdr:to>
    <xdr:cxnSp macro="">
      <xdr:nvCxnSpPr>
        <xdr:cNvPr id="132" name="Straight Arrow Connector 131">
          <a:extLst>
            <a:ext uri="{FF2B5EF4-FFF2-40B4-BE49-F238E27FC236}">
              <a16:creationId xmlns:a16="http://schemas.microsoft.com/office/drawing/2014/main" id="{00000000-0008-0000-0300-000084000000}"/>
            </a:ext>
          </a:extLst>
        </xdr:cNvPr>
        <xdr:cNvCxnSpPr/>
      </xdr:nvCxnSpPr>
      <xdr:spPr>
        <a:xfrm flipV="1">
          <a:off x="2388577" y="4154365"/>
          <a:ext cx="1208942" cy="2"/>
        </a:xfrm>
        <a:prstGeom prst="straightConnector1">
          <a:avLst/>
        </a:prstGeom>
        <a:ln w="19050">
          <a:solidFill>
            <a:schemeClr val="accent4"/>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509588</xdr:colOff>
      <xdr:row>20</xdr:row>
      <xdr:rowOff>92461</xdr:rowOff>
    </xdr:from>
    <xdr:to>
      <xdr:col>3</xdr:col>
      <xdr:colOff>595244</xdr:colOff>
      <xdr:row>20</xdr:row>
      <xdr:rowOff>92869</xdr:rowOff>
    </xdr:to>
    <xdr:cxnSp macro="">
      <xdr:nvCxnSpPr>
        <xdr:cNvPr id="133" name="Straight Arrow Connector 132">
          <a:extLst>
            <a:ext uri="{FF2B5EF4-FFF2-40B4-BE49-F238E27FC236}">
              <a16:creationId xmlns:a16="http://schemas.microsoft.com/office/drawing/2014/main" id="{00000000-0008-0000-0300-000085000000}"/>
            </a:ext>
          </a:extLst>
        </xdr:cNvPr>
        <xdr:cNvCxnSpPr/>
      </xdr:nvCxnSpPr>
      <xdr:spPr>
        <a:xfrm flipV="1">
          <a:off x="2896791" y="4271555"/>
          <a:ext cx="692875" cy="408"/>
        </a:xfrm>
        <a:prstGeom prst="straightConnector1">
          <a:avLst/>
        </a:prstGeom>
        <a:ln w="19050">
          <a:solidFill>
            <a:schemeClr val="accent4"/>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517922</xdr:colOff>
      <xdr:row>17</xdr:row>
      <xdr:rowOff>17859</xdr:rowOff>
    </xdr:from>
    <xdr:to>
      <xdr:col>2</xdr:col>
      <xdr:colOff>517922</xdr:colOff>
      <xdr:row>19</xdr:row>
      <xdr:rowOff>154781</xdr:rowOff>
    </xdr:to>
    <xdr:cxnSp macro="">
      <xdr:nvCxnSpPr>
        <xdr:cNvPr id="40" name="Straight Connector 39">
          <a:extLst>
            <a:ext uri="{FF2B5EF4-FFF2-40B4-BE49-F238E27FC236}">
              <a16:creationId xmlns:a16="http://schemas.microsoft.com/office/drawing/2014/main" id="{00000000-0008-0000-0300-000028000000}"/>
            </a:ext>
          </a:extLst>
        </xdr:cNvPr>
        <xdr:cNvCxnSpPr/>
      </xdr:nvCxnSpPr>
      <xdr:spPr>
        <a:xfrm flipV="1">
          <a:off x="2905125" y="3494484"/>
          <a:ext cx="0" cy="541735"/>
        </a:xfrm>
        <a:prstGeom prst="line">
          <a:avLst/>
        </a:prstGeom>
        <a:ln w="19050"/>
      </xdr:spPr>
      <xdr:style>
        <a:lnRef idx="1">
          <a:schemeClr val="accent4"/>
        </a:lnRef>
        <a:fillRef idx="0">
          <a:schemeClr val="accent4"/>
        </a:fillRef>
        <a:effectRef idx="0">
          <a:schemeClr val="accent4"/>
        </a:effectRef>
        <a:fontRef idx="minor">
          <a:schemeClr val="tx1"/>
        </a:fontRef>
      </xdr:style>
    </xdr:cxnSp>
    <xdr:clientData/>
  </xdr:twoCellAnchor>
  <xdr:twoCellAnchor>
    <xdr:from>
      <xdr:col>2</xdr:col>
      <xdr:colOff>515541</xdr:colOff>
      <xdr:row>20</xdr:row>
      <xdr:rowOff>98821</xdr:rowOff>
    </xdr:from>
    <xdr:to>
      <xdr:col>2</xdr:col>
      <xdr:colOff>515541</xdr:colOff>
      <xdr:row>22</xdr:row>
      <xdr:rowOff>140494</xdr:rowOff>
    </xdr:to>
    <xdr:cxnSp macro="">
      <xdr:nvCxnSpPr>
        <xdr:cNvPr id="134" name="Straight Connector 133">
          <a:extLst>
            <a:ext uri="{FF2B5EF4-FFF2-40B4-BE49-F238E27FC236}">
              <a16:creationId xmlns:a16="http://schemas.microsoft.com/office/drawing/2014/main" id="{00000000-0008-0000-0300-000086000000}"/>
            </a:ext>
          </a:extLst>
        </xdr:cNvPr>
        <xdr:cNvCxnSpPr/>
      </xdr:nvCxnSpPr>
      <xdr:spPr>
        <a:xfrm flipV="1">
          <a:off x="2902744" y="4277915"/>
          <a:ext cx="0" cy="541735"/>
        </a:xfrm>
        <a:prstGeom prst="line">
          <a:avLst/>
        </a:prstGeom>
        <a:ln w="19050"/>
      </xdr:spPr>
      <xdr:style>
        <a:lnRef idx="1">
          <a:schemeClr val="accent4"/>
        </a:lnRef>
        <a:fillRef idx="0">
          <a:schemeClr val="accent4"/>
        </a:fillRef>
        <a:effectRef idx="0">
          <a:schemeClr val="accent4"/>
        </a:effectRef>
        <a:fontRef idx="minor">
          <a:schemeClr val="tx1"/>
        </a:fontRef>
      </xdr:style>
    </xdr:cxnSp>
    <xdr:clientData/>
  </xdr:twoCellAnchor>
  <xdr:twoCellAnchor>
    <xdr:from>
      <xdr:col>5</xdr:col>
      <xdr:colOff>360760</xdr:colOff>
      <xdr:row>14</xdr:row>
      <xdr:rowOff>69057</xdr:rowOff>
    </xdr:from>
    <xdr:to>
      <xdr:col>5</xdr:col>
      <xdr:colOff>360760</xdr:colOff>
      <xdr:row>20</xdr:row>
      <xdr:rowOff>0</xdr:rowOff>
    </xdr:to>
    <xdr:cxnSp macro="">
      <xdr:nvCxnSpPr>
        <xdr:cNvPr id="135" name="Straight Connector 134">
          <a:extLst>
            <a:ext uri="{FF2B5EF4-FFF2-40B4-BE49-F238E27FC236}">
              <a16:creationId xmlns:a16="http://schemas.microsoft.com/office/drawing/2014/main" id="{00000000-0008-0000-0300-000087000000}"/>
            </a:ext>
          </a:extLst>
        </xdr:cNvPr>
        <xdr:cNvCxnSpPr/>
      </xdr:nvCxnSpPr>
      <xdr:spPr>
        <a:xfrm flipH="1" flipV="1">
          <a:off x="4861323" y="2950370"/>
          <a:ext cx="0" cy="1228724"/>
        </a:xfrm>
        <a:prstGeom prst="line">
          <a:avLst/>
        </a:prstGeom>
        <a:ln w="19050"/>
      </xdr:spPr>
      <xdr:style>
        <a:lnRef idx="1">
          <a:schemeClr val="accent4"/>
        </a:lnRef>
        <a:fillRef idx="0">
          <a:schemeClr val="accent4"/>
        </a:fillRef>
        <a:effectRef idx="0">
          <a:schemeClr val="accent4"/>
        </a:effectRef>
        <a:fontRef idx="minor">
          <a:schemeClr val="tx1"/>
        </a:fontRef>
      </xdr:style>
    </xdr:cxnSp>
    <xdr:clientData/>
  </xdr:twoCellAnchor>
  <xdr:twoCellAnchor>
    <xdr:from>
      <xdr:col>3</xdr:col>
      <xdr:colOff>360759</xdr:colOff>
      <xdr:row>14</xdr:row>
      <xdr:rowOff>23812</xdr:rowOff>
    </xdr:from>
    <xdr:to>
      <xdr:col>3</xdr:col>
      <xdr:colOff>360759</xdr:colOff>
      <xdr:row>19</xdr:row>
      <xdr:rowOff>57151</xdr:rowOff>
    </xdr:to>
    <xdr:cxnSp macro="">
      <xdr:nvCxnSpPr>
        <xdr:cNvPr id="136" name="Straight Connector 135">
          <a:extLst>
            <a:ext uri="{FF2B5EF4-FFF2-40B4-BE49-F238E27FC236}">
              <a16:creationId xmlns:a16="http://schemas.microsoft.com/office/drawing/2014/main" id="{00000000-0008-0000-0300-000088000000}"/>
            </a:ext>
          </a:extLst>
        </xdr:cNvPr>
        <xdr:cNvCxnSpPr/>
      </xdr:nvCxnSpPr>
      <xdr:spPr>
        <a:xfrm flipV="1">
          <a:off x="3355181" y="2905125"/>
          <a:ext cx="0" cy="1033464"/>
        </a:xfrm>
        <a:prstGeom prst="line">
          <a:avLst/>
        </a:prstGeom>
        <a:ln w="19050"/>
      </xdr:spPr>
      <xdr:style>
        <a:lnRef idx="1">
          <a:schemeClr val="accent4"/>
        </a:lnRef>
        <a:fillRef idx="0">
          <a:schemeClr val="accent4"/>
        </a:fillRef>
        <a:effectRef idx="0">
          <a:schemeClr val="accent4"/>
        </a:effectRef>
        <a:fontRef idx="minor">
          <a:schemeClr val="tx1"/>
        </a:fontRef>
      </xdr:style>
    </xdr:cxnSp>
    <xdr:clientData/>
  </xdr:twoCellAnchor>
  <xdr:twoCellAnchor>
    <xdr:from>
      <xdr:col>3</xdr:col>
      <xdr:colOff>364330</xdr:colOff>
      <xdr:row>20</xdr:row>
      <xdr:rowOff>217885</xdr:rowOff>
    </xdr:from>
    <xdr:to>
      <xdr:col>3</xdr:col>
      <xdr:colOff>364330</xdr:colOff>
      <xdr:row>25</xdr:row>
      <xdr:rowOff>144068</xdr:rowOff>
    </xdr:to>
    <xdr:cxnSp macro="">
      <xdr:nvCxnSpPr>
        <xdr:cNvPr id="137" name="Straight Connector 136">
          <a:extLst>
            <a:ext uri="{FF2B5EF4-FFF2-40B4-BE49-F238E27FC236}">
              <a16:creationId xmlns:a16="http://schemas.microsoft.com/office/drawing/2014/main" id="{00000000-0008-0000-0300-000089000000}"/>
            </a:ext>
          </a:extLst>
        </xdr:cNvPr>
        <xdr:cNvCxnSpPr/>
      </xdr:nvCxnSpPr>
      <xdr:spPr>
        <a:xfrm flipV="1">
          <a:off x="3358752" y="4396979"/>
          <a:ext cx="0" cy="1033464"/>
        </a:xfrm>
        <a:prstGeom prst="line">
          <a:avLst/>
        </a:prstGeom>
        <a:ln w="19050"/>
      </xdr:spPr>
      <xdr:style>
        <a:lnRef idx="1">
          <a:schemeClr val="accent4"/>
        </a:lnRef>
        <a:fillRef idx="0">
          <a:schemeClr val="accent4"/>
        </a:fillRef>
        <a:effectRef idx="0">
          <a:schemeClr val="accent4"/>
        </a:effectRef>
        <a:fontRef idx="minor">
          <a:schemeClr val="tx1"/>
        </a:fontRef>
      </xdr:style>
    </xdr:cxnSp>
    <xdr:clientData/>
  </xdr:twoCellAnchor>
  <xdr:twoCellAnchor>
    <xdr:from>
      <xdr:col>2</xdr:col>
      <xdr:colOff>0</xdr:colOff>
      <xdr:row>14</xdr:row>
      <xdr:rowOff>23812</xdr:rowOff>
    </xdr:from>
    <xdr:to>
      <xdr:col>3</xdr:col>
      <xdr:colOff>369094</xdr:colOff>
      <xdr:row>14</xdr:row>
      <xdr:rowOff>23812</xdr:rowOff>
    </xdr:to>
    <xdr:cxnSp macro="">
      <xdr:nvCxnSpPr>
        <xdr:cNvPr id="58" name="Straight Connector 57">
          <a:extLst>
            <a:ext uri="{FF2B5EF4-FFF2-40B4-BE49-F238E27FC236}">
              <a16:creationId xmlns:a16="http://schemas.microsoft.com/office/drawing/2014/main" id="{00000000-0008-0000-0300-00003A000000}"/>
            </a:ext>
          </a:extLst>
        </xdr:cNvPr>
        <xdr:cNvCxnSpPr/>
      </xdr:nvCxnSpPr>
      <xdr:spPr>
        <a:xfrm flipH="1">
          <a:off x="2387203" y="2905125"/>
          <a:ext cx="976313" cy="0"/>
        </a:xfrm>
        <a:prstGeom prst="line">
          <a:avLst/>
        </a:prstGeom>
        <a:ln w="19050"/>
      </xdr:spPr>
      <xdr:style>
        <a:lnRef idx="1">
          <a:schemeClr val="accent4"/>
        </a:lnRef>
        <a:fillRef idx="0">
          <a:schemeClr val="accent4"/>
        </a:fillRef>
        <a:effectRef idx="0">
          <a:schemeClr val="accent4"/>
        </a:effectRef>
        <a:fontRef idx="minor">
          <a:schemeClr val="tx1"/>
        </a:fontRef>
      </xdr:style>
    </xdr:cxnSp>
    <xdr:clientData/>
  </xdr:twoCellAnchor>
  <xdr:twoCellAnchor>
    <xdr:from>
      <xdr:col>1</xdr:col>
      <xdr:colOff>1777603</xdr:colOff>
      <xdr:row>25</xdr:row>
      <xdr:rowOff>140494</xdr:rowOff>
    </xdr:from>
    <xdr:to>
      <xdr:col>3</xdr:col>
      <xdr:colOff>366713</xdr:colOff>
      <xdr:row>25</xdr:row>
      <xdr:rowOff>140494</xdr:rowOff>
    </xdr:to>
    <xdr:cxnSp macro="">
      <xdr:nvCxnSpPr>
        <xdr:cNvPr id="138" name="Straight Connector 137">
          <a:extLst>
            <a:ext uri="{FF2B5EF4-FFF2-40B4-BE49-F238E27FC236}">
              <a16:creationId xmlns:a16="http://schemas.microsoft.com/office/drawing/2014/main" id="{00000000-0008-0000-0300-00008A000000}"/>
            </a:ext>
          </a:extLst>
        </xdr:cNvPr>
        <xdr:cNvCxnSpPr/>
      </xdr:nvCxnSpPr>
      <xdr:spPr>
        <a:xfrm flipH="1">
          <a:off x="2387203" y="5407819"/>
          <a:ext cx="979885" cy="0"/>
        </a:xfrm>
        <a:prstGeom prst="line">
          <a:avLst/>
        </a:prstGeom>
        <a:ln w="19050"/>
      </xdr:spPr>
      <xdr:style>
        <a:lnRef idx="1">
          <a:schemeClr val="accent4"/>
        </a:lnRef>
        <a:fillRef idx="0">
          <a:schemeClr val="accent4"/>
        </a:fillRef>
        <a:effectRef idx="0">
          <a:schemeClr val="accent4"/>
        </a:effectRef>
        <a:fontRef idx="minor">
          <a:schemeClr val="tx1"/>
        </a:fontRef>
      </xdr:style>
    </xdr:cxnSp>
    <xdr:clientData/>
  </xdr:twoCellAnchor>
  <xdr:twoCellAnchor>
    <xdr:from>
      <xdr:col>1</xdr:col>
      <xdr:colOff>1777606</xdr:colOff>
      <xdr:row>17</xdr:row>
      <xdr:rowOff>11906</xdr:rowOff>
    </xdr:from>
    <xdr:to>
      <xdr:col>2</xdr:col>
      <xdr:colOff>523875</xdr:colOff>
      <xdr:row>17</xdr:row>
      <xdr:rowOff>11906</xdr:rowOff>
    </xdr:to>
    <xdr:cxnSp macro="">
      <xdr:nvCxnSpPr>
        <xdr:cNvPr id="139" name="Straight Connector 138">
          <a:extLst>
            <a:ext uri="{FF2B5EF4-FFF2-40B4-BE49-F238E27FC236}">
              <a16:creationId xmlns:a16="http://schemas.microsoft.com/office/drawing/2014/main" id="{00000000-0008-0000-0300-00008B000000}"/>
            </a:ext>
          </a:extLst>
        </xdr:cNvPr>
        <xdr:cNvCxnSpPr/>
      </xdr:nvCxnSpPr>
      <xdr:spPr>
        <a:xfrm flipH="1">
          <a:off x="2384825" y="3488531"/>
          <a:ext cx="526253" cy="0"/>
        </a:xfrm>
        <a:prstGeom prst="line">
          <a:avLst/>
        </a:prstGeom>
        <a:ln w="19050"/>
      </xdr:spPr>
      <xdr:style>
        <a:lnRef idx="1">
          <a:schemeClr val="accent4"/>
        </a:lnRef>
        <a:fillRef idx="0">
          <a:schemeClr val="accent4"/>
        </a:fillRef>
        <a:effectRef idx="0">
          <a:schemeClr val="accent4"/>
        </a:effectRef>
        <a:fontRef idx="minor">
          <a:schemeClr val="tx1"/>
        </a:fontRef>
      </xdr:style>
    </xdr:cxnSp>
    <xdr:clientData/>
  </xdr:twoCellAnchor>
  <xdr:twoCellAnchor>
    <xdr:from>
      <xdr:col>1</xdr:col>
      <xdr:colOff>1775225</xdr:colOff>
      <xdr:row>22</xdr:row>
      <xdr:rowOff>144066</xdr:rowOff>
    </xdr:from>
    <xdr:to>
      <xdr:col>2</xdr:col>
      <xdr:colOff>523874</xdr:colOff>
      <xdr:row>22</xdr:row>
      <xdr:rowOff>144066</xdr:rowOff>
    </xdr:to>
    <xdr:cxnSp macro="">
      <xdr:nvCxnSpPr>
        <xdr:cNvPr id="140" name="Straight Connector 139">
          <a:extLst>
            <a:ext uri="{FF2B5EF4-FFF2-40B4-BE49-F238E27FC236}">
              <a16:creationId xmlns:a16="http://schemas.microsoft.com/office/drawing/2014/main" id="{00000000-0008-0000-0300-00008C000000}"/>
            </a:ext>
          </a:extLst>
        </xdr:cNvPr>
        <xdr:cNvCxnSpPr/>
      </xdr:nvCxnSpPr>
      <xdr:spPr>
        <a:xfrm flipH="1" flipV="1">
          <a:off x="2382444" y="4823222"/>
          <a:ext cx="528633" cy="0"/>
        </a:xfrm>
        <a:prstGeom prst="line">
          <a:avLst/>
        </a:prstGeom>
        <a:ln w="19050"/>
      </xdr:spPr>
      <xdr:style>
        <a:lnRef idx="1">
          <a:schemeClr val="accent4"/>
        </a:lnRef>
        <a:fillRef idx="0">
          <a:schemeClr val="accent4"/>
        </a:fillRef>
        <a:effectRef idx="0">
          <a:schemeClr val="accent4"/>
        </a:effectRef>
        <a:fontRef idx="minor">
          <a:schemeClr val="tx1"/>
        </a:fontRef>
      </xdr:style>
    </xdr:cxnSp>
    <xdr:clientData/>
  </xdr:twoCellAnchor>
  <xdr:twoCellAnchor>
    <xdr:from>
      <xdr:col>5</xdr:col>
      <xdr:colOff>1194</xdr:colOff>
      <xdr:row>19</xdr:row>
      <xdr:rowOff>295275</xdr:rowOff>
    </xdr:from>
    <xdr:to>
      <xdr:col>5</xdr:col>
      <xdr:colOff>363140</xdr:colOff>
      <xdr:row>19</xdr:row>
      <xdr:rowOff>295275</xdr:rowOff>
    </xdr:to>
    <xdr:cxnSp macro="">
      <xdr:nvCxnSpPr>
        <xdr:cNvPr id="141" name="Straight Connector 140">
          <a:extLst>
            <a:ext uri="{FF2B5EF4-FFF2-40B4-BE49-F238E27FC236}">
              <a16:creationId xmlns:a16="http://schemas.microsoft.com/office/drawing/2014/main" id="{00000000-0008-0000-0300-00008D000000}"/>
            </a:ext>
          </a:extLst>
        </xdr:cNvPr>
        <xdr:cNvCxnSpPr/>
      </xdr:nvCxnSpPr>
      <xdr:spPr>
        <a:xfrm flipH="1" flipV="1">
          <a:off x="4501757" y="4176713"/>
          <a:ext cx="361946" cy="0"/>
        </a:xfrm>
        <a:prstGeom prst="line">
          <a:avLst/>
        </a:prstGeom>
        <a:ln w="19050"/>
      </xdr:spPr>
      <xdr:style>
        <a:lnRef idx="1">
          <a:schemeClr val="accent4"/>
        </a:lnRef>
        <a:fillRef idx="0">
          <a:schemeClr val="accent4"/>
        </a:fillRef>
        <a:effectRef idx="0">
          <a:schemeClr val="accent4"/>
        </a:effectRef>
        <a:fontRef idx="minor">
          <a:schemeClr val="tx1"/>
        </a:fontRef>
      </xdr:style>
    </xdr:cxnSp>
    <xdr:clientData/>
  </xdr:twoCellAnchor>
  <xdr:twoCellAnchor>
    <xdr:from>
      <xdr:col>1</xdr:col>
      <xdr:colOff>1777603</xdr:colOff>
      <xdr:row>10</xdr:row>
      <xdr:rowOff>0</xdr:rowOff>
    </xdr:from>
    <xdr:to>
      <xdr:col>5</xdr:col>
      <xdr:colOff>371427</xdr:colOff>
      <xdr:row>10</xdr:row>
      <xdr:rowOff>0</xdr:rowOff>
    </xdr:to>
    <xdr:cxnSp macro="">
      <xdr:nvCxnSpPr>
        <xdr:cNvPr id="143" name="Straight Connector 142">
          <a:extLst>
            <a:ext uri="{FF2B5EF4-FFF2-40B4-BE49-F238E27FC236}">
              <a16:creationId xmlns:a16="http://schemas.microsoft.com/office/drawing/2014/main" id="{00000000-0008-0000-0300-00008F000000}"/>
            </a:ext>
          </a:extLst>
        </xdr:cNvPr>
        <xdr:cNvCxnSpPr/>
      </xdr:nvCxnSpPr>
      <xdr:spPr>
        <a:xfrm flipH="1">
          <a:off x="2384822" y="2095500"/>
          <a:ext cx="2487168" cy="0"/>
        </a:xfrm>
        <a:prstGeom prst="line">
          <a:avLst/>
        </a:prstGeom>
        <a:ln w="19050">
          <a:solidFill>
            <a:schemeClr val="accent3"/>
          </a:solidFill>
        </a:ln>
      </xdr:spPr>
      <xdr:style>
        <a:lnRef idx="1">
          <a:schemeClr val="accent4"/>
        </a:lnRef>
        <a:fillRef idx="0">
          <a:schemeClr val="accent4"/>
        </a:fillRef>
        <a:effectRef idx="0">
          <a:schemeClr val="accent4"/>
        </a:effectRef>
        <a:fontRef idx="minor">
          <a:schemeClr val="tx1"/>
        </a:fontRef>
      </xdr:style>
    </xdr:cxnSp>
    <xdr:clientData/>
  </xdr:twoCellAnchor>
  <xdr:twoCellAnchor>
    <xdr:from>
      <xdr:col>5</xdr:col>
      <xdr:colOff>369093</xdr:colOff>
      <xdr:row>9</xdr:row>
      <xdr:rowOff>184547</xdr:rowOff>
    </xdr:from>
    <xdr:to>
      <xdr:col>5</xdr:col>
      <xdr:colOff>369093</xdr:colOff>
      <xdr:row>13</xdr:row>
      <xdr:rowOff>116681</xdr:rowOff>
    </xdr:to>
    <xdr:cxnSp macro="">
      <xdr:nvCxnSpPr>
        <xdr:cNvPr id="144" name="Straight Connector 143">
          <a:extLst>
            <a:ext uri="{FF2B5EF4-FFF2-40B4-BE49-F238E27FC236}">
              <a16:creationId xmlns:a16="http://schemas.microsoft.com/office/drawing/2014/main" id="{00000000-0008-0000-0300-000090000000}"/>
            </a:ext>
          </a:extLst>
        </xdr:cNvPr>
        <xdr:cNvCxnSpPr/>
      </xdr:nvCxnSpPr>
      <xdr:spPr>
        <a:xfrm flipH="1" flipV="1">
          <a:off x="4869656" y="2089547"/>
          <a:ext cx="0" cy="717947"/>
        </a:xfrm>
        <a:prstGeom prst="line">
          <a:avLst/>
        </a:prstGeom>
        <a:ln w="19050">
          <a:solidFill>
            <a:schemeClr val="accent3"/>
          </a:solidFill>
        </a:ln>
      </xdr:spPr>
      <xdr:style>
        <a:lnRef idx="1">
          <a:schemeClr val="accent4"/>
        </a:lnRef>
        <a:fillRef idx="0">
          <a:schemeClr val="accent4"/>
        </a:fillRef>
        <a:effectRef idx="0">
          <a:schemeClr val="accent4"/>
        </a:effectRef>
        <a:fontRef idx="minor">
          <a:schemeClr val="tx1"/>
        </a:fontRef>
      </xdr:style>
    </xdr:cxnSp>
    <xdr:clientData/>
  </xdr:twoCellAnchor>
  <xdr:twoCellAnchor>
    <xdr:from>
      <xdr:col>1</xdr:col>
      <xdr:colOff>1771742</xdr:colOff>
      <xdr:row>29</xdr:row>
      <xdr:rowOff>139944</xdr:rowOff>
    </xdr:from>
    <xdr:to>
      <xdr:col>7</xdr:col>
      <xdr:colOff>232996</xdr:colOff>
      <xdr:row>29</xdr:row>
      <xdr:rowOff>139944</xdr:rowOff>
    </xdr:to>
    <xdr:cxnSp macro="">
      <xdr:nvCxnSpPr>
        <xdr:cNvPr id="148" name="Straight Connector 147">
          <a:extLst>
            <a:ext uri="{FF2B5EF4-FFF2-40B4-BE49-F238E27FC236}">
              <a16:creationId xmlns:a16="http://schemas.microsoft.com/office/drawing/2014/main" id="{00000000-0008-0000-0300-000094000000}"/>
            </a:ext>
          </a:extLst>
        </xdr:cNvPr>
        <xdr:cNvCxnSpPr/>
      </xdr:nvCxnSpPr>
      <xdr:spPr>
        <a:xfrm flipH="1">
          <a:off x="2379877" y="6177329"/>
          <a:ext cx="3868523" cy="0"/>
        </a:xfrm>
        <a:prstGeom prst="line">
          <a:avLst/>
        </a:prstGeom>
        <a:ln w="19050">
          <a:solidFill>
            <a:schemeClr val="tx2"/>
          </a:solidFill>
        </a:ln>
      </xdr:spPr>
      <xdr:style>
        <a:lnRef idx="1">
          <a:schemeClr val="accent4"/>
        </a:lnRef>
        <a:fillRef idx="0">
          <a:schemeClr val="accent4"/>
        </a:fillRef>
        <a:effectRef idx="0">
          <a:schemeClr val="accent4"/>
        </a:effectRef>
        <a:fontRef idx="minor">
          <a:schemeClr val="tx1"/>
        </a:fontRef>
      </xdr:style>
    </xdr:cxnSp>
    <xdr:clientData/>
  </xdr:twoCellAnchor>
  <xdr:twoCellAnchor>
    <xdr:from>
      <xdr:col>7</xdr:col>
      <xdr:colOff>7327</xdr:colOff>
      <xdr:row>14</xdr:row>
      <xdr:rowOff>0</xdr:rowOff>
    </xdr:from>
    <xdr:to>
      <xdr:col>7</xdr:col>
      <xdr:colOff>226402</xdr:colOff>
      <xdr:row>14</xdr:row>
      <xdr:rowOff>0</xdr:rowOff>
    </xdr:to>
    <xdr:cxnSp macro="">
      <xdr:nvCxnSpPr>
        <xdr:cNvPr id="149" name="Straight Connector 148">
          <a:extLst>
            <a:ext uri="{FF2B5EF4-FFF2-40B4-BE49-F238E27FC236}">
              <a16:creationId xmlns:a16="http://schemas.microsoft.com/office/drawing/2014/main" id="{00000000-0008-0000-0300-000095000000}"/>
            </a:ext>
          </a:extLst>
        </xdr:cNvPr>
        <xdr:cNvCxnSpPr/>
      </xdr:nvCxnSpPr>
      <xdr:spPr>
        <a:xfrm flipH="1" flipV="1">
          <a:off x="6022731" y="2894135"/>
          <a:ext cx="219075" cy="0"/>
        </a:xfrm>
        <a:prstGeom prst="line">
          <a:avLst/>
        </a:prstGeom>
        <a:ln w="19050">
          <a:solidFill>
            <a:schemeClr val="accent2"/>
          </a:solidFill>
        </a:ln>
      </xdr:spPr>
      <xdr:style>
        <a:lnRef idx="1">
          <a:schemeClr val="accent4"/>
        </a:lnRef>
        <a:fillRef idx="0">
          <a:schemeClr val="accent4"/>
        </a:fillRef>
        <a:effectRef idx="0">
          <a:schemeClr val="accent4"/>
        </a:effectRef>
        <a:fontRef idx="minor">
          <a:schemeClr val="tx1"/>
        </a:fontRef>
      </xdr:style>
    </xdr:cxnSp>
    <xdr:clientData/>
  </xdr:twoCellAnchor>
  <xdr:twoCellAnchor>
    <xdr:from>
      <xdr:col>7</xdr:col>
      <xdr:colOff>223471</xdr:colOff>
      <xdr:row>21</xdr:row>
      <xdr:rowOff>164296</xdr:rowOff>
    </xdr:from>
    <xdr:to>
      <xdr:col>7</xdr:col>
      <xdr:colOff>595119</xdr:colOff>
      <xdr:row>21</xdr:row>
      <xdr:rowOff>164296</xdr:rowOff>
    </xdr:to>
    <xdr:cxnSp macro="">
      <xdr:nvCxnSpPr>
        <xdr:cNvPr id="150" name="Straight Arrow Connector 149">
          <a:extLst>
            <a:ext uri="{FF2B5EF4-FFF2-40B4-BE49-F238E27FC236}">
              <a16:creationId xmlns:a16="http://schemas.microsoft.com/office/drawing/2014/main" id="{00000000-0008-0000-0300-000096000000}"/>
            </a:ext>
          </a:extLst>
        </xdr:cNvPr>
        <xdr:cNvCxnSpPr/>
      </xdr:nvCxnSpPr>
      <xdr:spPr>
        <a:xfrm flipV="1">
          <a:off x="6238875" y="4626392"/>
          <a:ext cx="371648" cy="0"/>
        </a:xfrm>
        <a:prstGeom prst="straightConnector1">
          <a:avLst/>
        </a:prstGeom>
        <a:ln w="1905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232173</xdr:colOff>
      <xdr:row>14</xdr:row>
      <xdr:rowOff>2749</xdr:rowOff>
    </xdr:from>
    <xdr:to>
      <xdr:col>7</xdr:col>
      <xdr:colOff>232173</xdr:colOff>
      <xdr:row>21</xdr:row>
      <xdr:rowOff>157529</xdr:rowOff>
    </xdr:to>
    <xdr:cxnSp macro="">
      <xdr:nvCxnSpPr>
        <xdr:cNvPr id="152" name="Straight Connector 151">
          <a:extLst>
            <a:ext uri="{FF2B5EF4-FFF2-40B4-BE49-F238E27FC236}">
              <a16:creationId xmlns:a16="http://schemas.microsoft.com/office/drawing/2014/main" id="{00000000-0008-0000-0300-000098000000}"/>
            </a:ext>
          </a:extLst>
        </xdr:cNvPr>
        <xdr:cNvCxnSpPr/>
      </xdr:nvCxnSpPr>
      <xdr:spPr>
        <a:xfrm flipH="1" flipV="1">
          <a:off x="6247577" y="2896884"/>
          <a:ext cx="0" cy="1722741"/>
        </a:xfrm>
        <a:prstGeom prst="line">
          <a:avLst/>
        </a:prstGeom>
        <a:ln w="19050">
          <a:solidFill>
            <a:schemeClr val="accent2"/>
          </a:solidFill>
        </a:ln>
      </xdr:spPr>
      <xdr:style>
        <a:lnRef idx="1">
          <a:schemeClr val="accent4"/>
        </a:lnRef>
        <a:fillRef idx="0">
          <a:schemeClr val="accent4"/>
        </a:fillRef>
        <a:effectRef idx="0">
          <a:schemeClr val="accent4"/>
        </a:effectRef>
        <a:fontRef idx="minor">
          <a:schemeClr val="tx1"/>
        </a:fontRef>
      </xdr:style>
    </xdr:cxnSp>
    <xdr:clientData/>
  </xdr:twoCellAnchor>
  <xdr:twoCellAnchor>
    <xdr:from>
      <xdr:col>7</xdr:col>
      <xdr:colOff>228600</xdr:colOff>
      <xdr:row>22</xdr:row>
      <xdr:rowOff>66115</xdr:rowOff>
    </xdr:from>
    <xdr:to>
      <xdr:col>7</xdr:col>
      <xdr:colOff>599515</xdr:colOff>
      <xdr:row>22</xdr:row>
      <xdr:rowOff>66115</xdr:rowOff>
    </xdr:to>
    <xdr:cxnSp macro="">
      <xdr:nvCxnSpPr>
        <xdr:cNvPr id="155" name="Straight Arrow Connector 154">
          <a:extLst>
            <a:ext uri="{FF2B5EF4-FFF2-40B4-BE49-F238E27FC236}">
              <a16:creationId xmlns:a16="http://schemas.microsoft.com/office/drawing/2014/main" id="{00000000-0008-0000-0300-00009B000000}"/>
            </a:ext>
          </a:extLst>
        </xdr:cNvPr>
        <xdr:cNvCxnSpPr/>
      </xdr:nvCxnSpPr>
      <xdr:spPr>
        <a:xfrm flipV="1">
          <a:off x="6238875" y="4733365"/>
          <a:ext cx="370915" cy="0"/>
        </a:xfrm>
        <a:prstGeom prst="straightConnector1">
          <a:avLst/>
        </a:prstGeom>
        <a:ln w="19050">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230799</xdr:colOff>
      <xdr:row>22</xdr:row>
      <xdr:rowOff>61365</xdr:rowOff>
    </xdr:from>
    <xdr:to>
      <xdr:col>7</xdr:col>
      <xdr:colOff>230799</xdr:colOff>
      <xdr:row>29</xdr:row>
      <xdr:rowOff>149470</xdr:rowOff>
    </xdr:to>
    <xdr:cxnSp macro="">
      <xdr:nvCxnSpPr>
        <xdr:cNvPr id="158" name="Straight Connector 157">
          <a:extLst>
            <a:ext uri="{FF2B5EF4-FFF2-40B4-BE49-F238E27FC236}">
              <a16:creationId xmlns:a16="http://schemas.microsoft.com/office/drawing/2014/main" id="{00000000-0008-0000-0300-00009E000000}"/>
            </a:ext>
          </a:extLst>
        </xdr:cNvPr>
        <xdr:cNvCxnSpPr/>
      </xdr:nvCxnSpPr>
      <xdr:spPr>
        <a:xfrm flipV="1">
          <a:off x="6246203" y="4721288"/>
          <a:ext cx="0" cy="1465567"/>
        </a:xfrm>
        <a:prstGeom prst="line">
          <a:avLst/>
        </a:prstGeom>
        <a:ln w="19050">
          <a:solidFill>
            <a:schemeClr val="tx2"/>
          </a:solidFill>
        </a:ln>
      </xdr:spPr>
      <xdr:style>
        <a:lnRef idx="1">
          <a:schemeClr val="accent4"/>
        </a:lnRef>
        <a:fillRef idx="0">
          <a:schemeClr val="accent4"/>
        </a:fillRef>
        <a:effectRef idx="0">
          <a:schemeClr val="accent4"/>
        </a:effectRef>
        <a:fontRef idx="minor">
          <a:schemeClr val="tx1"/>
        </a:fontRef>
      </xdr:style>
    </xdr:cxnSp>
    <xdr:clientData/>
  </xdr:twoCellAnchor>
  <xdr:twoCellAnchor>
    <xdr:from>
      <xdr:col>1</xdr:col>
      <xdr:colOff>1776096</xdr:colOff>
      <xdr:row>34</xdr:row>
      <xdr:rowOff>6755</xdr:rowOff>
    </xdr:from>
    <xdr:to>
      <xdr:col>2</xdr:col>
      <xdr:colOff>525638</xdr:colOff>
      <xdr:row>34</xdr:row>
      <xdr:rowOff>6755</xdr:rowOff>
    </xdr:to>
    <xdr:cxnSp macro="">
      <xdr:nvCxnSpPr>
        <xdr:cNvPr id="160" name="Straight Connector 159">
          <a:extLst>
            <a:ext uri="{FF2B5EF4-FFF2-40B4-BE49-F238E27FC236}">
              <a16:creationId xmlns:a16="http://schemas.microsoft.com/office/drawing/2014/main" id="{00000000-0008-0000-0300-0000A0000000}"/>
            </a:ext>
          </a:extLst>
        </xdr:cNvPr>
        <xdr:cNvCxnSpPr/>
      </xdr:nvCxnSpPr>
      <xdr:spPr>
        <a:xfrm flipH="1" flipV="1">
          <a:off x="2384767" y="7050609"/>
          <a:ext cx="529091" cy="0"/>
        </a:xfrm>
        <a:prstGeom prst="line">
          <a:avLst/>
        </a:prstGeom>
        <a:ln w="19050">
          <a:solidFill>
            <a:schemeClr val="accent6"/>
          </a:solidFill>
        </a:ln>
      </xdr:spPr>
      <xdr:style>
        <a:lnRef idx="1">
          <a:schemeClr val="accent4"/>
        </a:lnRef>
        <a:fillRef idx="0">
          <a:schemeClr val="accent4"/>
        </a:fillRef>
        <a:effectRef idx="0">
          <a:schemeClr val="accent4"/>
        </a:effectRef>
        <a:fontRef idx="minor">
          <a:schemeClr val="tx1"/>
        </a:fontRef>
      </xdr:style>
    </xdr:cxnSp>
    <xdr:clientData/>
  </xdr:twoCellAnchor>
  <xdr:twoCellAnchor>
    <xdr:from>
      <xdr:col>2</xdr:col>
      <xdr:colOff>516548</xdr:colOff>
      <xdr:row>17</xdr:row>
      <xdr:rowOff>14196</xdr:rowOff>
    </xdr:from>
    <xdr:to>
      <xdr:col>2</xdr:col>
      <xdr:colOff>516548</xdr:colOff>
      <xdr:row>19</xdr:row>
      <xdr:rowOff>151118</xdr:rowOff>
    </xdr:to>
    <xdr:cxnSp macro="">
      <xdr:nvCxnSpPr>
        <xdr:cNvPr id="161" name="Straight Connector 160">
          <a:extLst>
            <a:ext uri="{FF2B5EF4-FFF2-40B4-BE49-F238E27FC236}">
              <a16:creationId xmlns:a16="http://schemas.microsoft.com/office/drawing/2014/main" id="{00000000-0008-0000-0300-0000A1000000}"/>
            </a:ext>
          </a:extLst>
        </xdr:cNvPr>
        <xdr:cNvCxnSpPr/>
      </xdr:nvCxnSpPr>
      <xdr:spPr>
        <a:xfrm flipV="1">
          <a:off x="2905125" y="3494484"/>
          <a:ext cx="0" cy="532576"/>
        </a:xfrm>
        <a:prstGeom prst="line">
          <a:avLst/>
        </a:prstGeom>
        <a:ln w="19050"/>
      </xdr:spPr>
      <xdr:style>
        <a:lnRef idx="1">
          <a:schemeClr val="accent4"/>
        </a:lnRef>
        <a:fillRef idx="0">
          <a:schemeClr val="accent4"/>
        </a:fillRef>
        <a:effectRef idx="0">
          <a:schemeClr val="accent4"/>
        </a:effectRef>
        <a:fontRef idx="minor">
          <a:schemeClr val="tx1"/>
        </a:fontRef>
      </xdr:style>
    </xdr:cxnSp>
    <xdr:clientData/>
  </xdr:twoCellAnchor>
  <xdr:twoCellAnchor>
    <xdr:from>
      <xdr:col>2</xdr:col>
      <xdr:colOff>515565</xdr:colOff>
      <xdr:row>33</xdr:row>
      <xdr:rowOff>195903</xdr:rowOff>
    </xdr:from>
    <xdr:to>
      <xdr:col>2</xdr:col>
      <xdr:colOff>515565</xdr:colOff>
      <xdr:row>35</xdr:row>
      <xdr:rowOff>36635</xdr:rowOff>
    </xdr:to>
    <xdr:cxnSp macro="">
      <xdr:nvCxnSpPr>
        <xdr:cNvPr id="162" name="Straight Connector 161">
          <a:extLst>
            <a:ext uri="{FF2B5EF4-FFF2-40B4-BE49-F238E27FC236}">
              <a16:creationId xmlns:a16="http://schemas.microsoft.com/office/drawing/2014/main" id="{00000000-0008-0000-0300-0000A2000000}"/>
            </a:ext>
          </a:extLst>
        </xdr:cNvPr>
        <xdr:cNvCxnSpPr/>
      </xdr:nvCxnSpPr>
      <xdr:spPr>
        <a:xfrm flipV="1">
          <a:off x="2903785" y="7039964"/>
          <a:ext cx="0" cy="240317"/>
        </a:xfrm>
        <a:prstGeom prst="line">
          <a:avLst/>
        </a:prstGeom>
        <a:ln w="19050">
          <a:solidFill>
            <a:schemeClr val="accent6"/>
          </a:solidFill>
        </a:ln>
      </xdr:spPr>
      <xdr:style>
        <a:lnRef idx="1">
          <a:schemeClr val="accent4"/>
        </a:lnRef>
        <a:fillRef idx="0">
          <a:schemeClr val="accent4"/>
        </a:fillRef>
        <a:effectRef idx="0">
          <a:schemeClr val="accent4"/>
        </a:effectRef>
        <a:fontRef idx="minor">
          <a:schemeClr val="tx1"/>
        </a:fontRef>
      </xdr:style>
    </xdr:cxnSp>
    <xdr:clientData/>
  </xdr:twoCellAnchor>
  <xdr:twoCellAnchor>
    <xdr:from>
      <xdr:col>2</xdr:col>
      <xdr:colOff>508629</xdr:colOff>
      <xdr:row>35</xdr:row>
      <xdr:rowOff>36619</xdr:rowOff>
    </xdr:from>
    <xdr:to>
      <xdr:col>3</xdr:col>
      <xdr:colOff>592856</xdr:colOff>
      <xdr:row>35</xdr:row>
      <xdr:rowOff>36619</xdr:rowOff>
    </xdr:to>
    <xdr:cxnSp macro="">
      <xdr:nvCxnSpPr>
        <xdr:cNvPr id="164" name="Straight Arrow Connector 163">
          <a:extLst>
            <a:ext uri="{FF2B5EF4-FFF2-40B4-BE49-F238E27FC236}">
              <a16:creationId xmlns:a16="http://schemas.microsoft.com/office/drawing/2014/main" id="{00000000-0008-0000-0300-0000A4000000}"/>
            </a:ext>
          </a:extLst>
        </xdr:cNvPr>
        <xdr:cNvCxnSpPr/>
      </xdr:nvCxnSpPr>
      <xdr:spPr>
        <a:xfrm flipV="1">
          <a:off x="2896849" y="7280265"/>
          <a:ext cx="692897" cy="0"/>
        </a:xfrm>
        <a:prstGeom prst="straightConnector1">
          <a:avLst/>
        </a:prstGeom>
        <a:ln w="19050">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509844</xdr:colOff>
      <xdr:row>35</xdr:row>
      <xdr:rowOff>153099</xdr:rowOff>
    </xdr:from>
    <xdr:to>
      <xdr:col>3</xdr:col>
      <xdr:colOff>594071</xdr:colOff>
      <xdr:row>35</xdr:row>
      <xdr:rowOff>153099</xdr:rowOff>
    </xdr:to>
    <xdr:cxnSp macro="">
      <xdr:nvCxnSpPr>
        <xdr:cNvPr id="165" name="Straight Arrow Connector 164">
          <a:extLst>
            <a:ext uri="{FF2B5EF4-FFF2-40B4-BE49-F238E27FC236}">
              <a16:creationId xmlns:a16="http://schemas.microsoft.com/office/drawing/2014/main" id="{00000000-0008-0000-0300-0000A5000000}"/>
            </a:ext>
          </a:extLst>
        </xdr:cNvPr>
        <xdr:cNvCxnSpPr/>
      </xdr:nvCxnSpPr>
      <xdr:spPr>
        <a:xfrm flipV="1">
          <a:off x="2898064" y="7396745"/>
          <a:ext cx="692897" cy="0"/>
        </a:xfrm>
        <a:prstGeom prst="straightConnector1">
          <a:avLst/>
        </a:prstGeom>
        <a:ln w="19050">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521426</xdr:colOff>
      <xdr:row>35</xdr:row>
      <xdr:rowOff>160483</xdr:rowOff>
    </xdr:from>
    <xdr:to>
      <xdr:col>2</xdr:col>
      <xdr:colOff>521426</xdr:colOff>
      <xdr:row>37</xdr:row>
      <xdr:rowOff>1215</xdr:rowOff>
    </xdr:to>
    <xdr:cxnSp macro="">
      <xdr:nvCxnSpPr>
        <xdr:cNvPr id="166" name="Straight Connector 165">
          <a:extLst>
            <a:ext uri="{FF2B5EF4-FFF2-40B4-BE49-F238E27FC236}">
              <a16:creationId xmlns:a16="http://schemas.microsoft.com/office/drawing/2014/main" id="{00000000-0008-0000-0300-0000A6000000}"/>
            </a:ext>
          </a:extLst>
        </xdr:cNvPr>
        <xdr:cNvCxnSpPr/>
      </xdr:nvCxnSpPr>
      <xdr:spPr>
        <a:xfrm flipV="1">
          <a:off x="2909646" y="7404129"/>
          <a:ext cx="0" cy="240318"/>
        </a:xfrm>
        <a:prstGeom prst="line">
          <a:avLst/>
        </a:prstGeom>
        <a:ln w="19050">
          <a:solidFill>
            <a:schemeClr val="accent6"/>
          </a:solidFill>
        </a:ln>
      </xdr:spPr>
      <xdr:style>
        <a:lnRef idx="1">
          <a:schemeClr val="accent4"/>
        </a:lnRef>
        <a:fillRef idx="0">
          <a:schemeClr val="accent4"/>
        </a:fillRef>
        <a:effectRef idx="0">
          <a:schemeClr val="accent4"/>
        </a:effectRef>
        <a:fontRef idx="minor">
          <a:schemeClr val="tx1"/>
        </a:fontRef>
      </xdr:style>
    </xdr:cxnSp>
    <xdr:clientData/>
  </xdr:twoCellAnchor>
  <xdr:twoCellAnchor>
    <xdr:from>
      <xdr:col>1</xdr:col>
      <xdr:colOff>1776775</xdr:colOff>
      <xdr:row>36</xdr:row>
      <xdr:rowOff>196503</xdr:rowOff>
    </xdr:from>
    <xdr:to>
      <xdr:col>2</xdr:col>
      <xdr:colOff>525424</xdr:colOff>
      <xdr:row>36</xdr:row>
      <xdr:rowOff>196503</xdr:rowOff>
    </xdr:to>
    <xdr:cxnSp macro="">
      <xdr:nvCxnSpPr>
        <xdr:cNvPr id="167" name="Straight Connector 166">
          <a:extLst>
            <a:ext uri="{FF2B5EF4-FFF2-40B4-BE49-F238E27FC236}">
              <a16:creationId xmlns:a16="http://schemas.microsoft.com/office/drawing/2014/main" id="{00000000-0008-0000-0300-0000A7000000}"/>
            </a:ext>
          </a:extLst>
        </xdr:cNvPr>
        <xdr:cNvCxnSpPr/>
      </xdr:nvCxnSpPr>
      <xdr:spPr>
        <a:xfrm flipH="1" flipV="1">
          <a:off x="2385446" y="7639942"/>
          <a:ext cx="528198" cy="0"/>
        </a:xfrm>
        <a:prstGeom prst="line">
          <a:avLst/>
        </a:prstGeom>
        <a:ln w="19050">
          <a:solidFill>
            <a:schemeClr val="accent6"/>
          </a:solidFill>
        </a:ln>
      </xdr:spPr>
      <xdr:style>
        <a:lnRef idx="1">
          <a:schemeClr val="accent4"/>
        </a:lnRef>
        <a:fillRef idx="0">
          <a:schemeClr val="accent4"/>
        </a:fillRef>
        <a:effectRef idx="0">
          <a:schemeClr val="accent4"/>
        </a:effectRef>
        <a:fontRef idx="minor">
          <a:schemeClr val="tx1"/>
        </a:fontRef>
      </xdr:style>
    </xdr:cxnSp>
    <xdr:clientData/>
  </xdr:twoCellAnchor>
  <xdr:twoCellAnchor>
    <xdr:from>
      <xdr:col>4</xdr:col>
      <xdr:colOff>894387</xdr:colOff>
      <xdr:row>35</xdr:row>
      <xdr:rowOff>84394</xdr:rowOff>
    </xdr:from>
    <xdr:to>
      <xdr:col>9</xdr:col>
      <xdr:colOff>226219</xdr:colOff>
      <xdr:row>35</xdr:row>
      <xdr:rowOff>84394</xdr:rowOff>
    </xdr:to>
    <xdr:cxnSp macro="">
      <xdr:nvCxnSpPr>
        <xdr:cNvPr id="168" name="Straight Connector 167">
          <a:extLst>
            <a:ext uri="{FF2B5EF4-FFF2-40B4-BE49-F238E27FC236}">
              <a16:creationId xmlns:a16="http://schemas.microsoft.com/office/drawing/2014/main" id="{00000000-0008-0000-0300-0000A8000000}"/>
            </a:ext>
          </a:extLst>
        </xdr:cNvPr>
        <xdr:cNvCxnSpPr/>
      </xdr:nvCxnSpPr>
      <xdr:spPr>
        <a:xfrm flipH="1" flipV="1">
          <a:off x="4490075" y="7371019"/>
          <a:ext cx="3248988" cy="0"/>
        </a:xfrm>
        <a:prstGeom prst="line">
          <a:avLst/>
        </a:prstGeom>
        <a:ln w="19050">
          <a:solidFill>
            <a:schemeClr val="accent6"/>
          </a:solidFill>
        </a:ln>
      </xdr:spPr>
      <xdr:style>
        <a:lnRef idx="1">
          <a:schemeClr val="accent4"/>
        </a:lnRef>
        <a:fillRef idx="0">
          <a:schemeClr val="accent4"/>
        </a:fillRef>
        <a:effectRef idx="0">
          <a:schemeClr val="accent4"/>
        </a:effectRef>
        <a:fontRef idx="minor">
          <a:schemeClr val="tx1"/>
        </a:fontRef>
      </xdr:style>
    </xdr:cxnSp>
    <xdr:clientData/>
  </xdr:twoCellAnchor>
  <xdr:twoCellAnchor>
    <xdr:from>
      <xdr:col>9</xdr:col>
      <xdr:colOff>226569</xdr:colOff>
      <xdr:row>28</xdr:row>
      <xdr:rowOff>162598</xdr:rowOff>
    </xdr:from>
    <xdr:to>
      <xdr:col>9</xdr:col>
      <xdr:colOff>598217</xdr:colOff>
      <xdr:row>28</xdr:row>
      <xdr:rowOff>162598</xdr:rowOff>
    </xdr:to>
    <xdr:cxnSp macro="">
      <xdr:nvCxnSpPr>
        <xdr:cNvPr id="170" name="Straight Arrow Connector 169">
          <a:extLst>
            <a:ext uri="{FF2B5EF4-FFF2-40B4-BE49-F238E27FC236}">
              <a16:creationId xmlns:a16="http://schemas.microsoft.com/office/drawing/2014/main" id="{00000000-0008-0000-0300-0000AA000000}"/>
            </a:ext>
          </a:extLst>
        </xdr:cNvPr>
        <xdr:cNvCxnSpPr/>
      </xdr:nvCxnSpPr>
      <xdr:spPr>
        <a:xfrm flipV="1">
          <a:off x="7739413" y="6044286"/>
          <a:ext cx="371648" cy="0"/>
        </a:xfrm>
        <a:prstGeom prst="straightConnector1">
          <a:avLst/>
        </a:prstGeom>
        <a:ln w="19050">
          <a:solidFill>
            <a:schemeClr val="accent5"/>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227340</xdr:colOff>
      <xdr:row>29</xdr:row>
      <xdr:rowOff>66367</xdr:rowOff>
    </xdr:from>
    <xdr:to>
      <xdr:col>9</xdr:col>
      <xdr:colOff>595135</xdr:colOff>
      <xdr:row>29</xdr:row>
      <xdr:rowOff>66367</xdr:rowOff>
    </xdr:to>
    <xdr:cxnSp macro="">
      <xdr:nvCxnSpPr>
        <xdr:cNvPr id="171" name="Straight Arrow Connector 170">
          <a:extLst>
            <a:ext uri="{FF2B5EF4-FFF2-40B4-BE49-F238E27FC236}">
              <a16:creationId xmlns:a16="http://schemas.microsoft.com/office/drawing/2014/main" id="{00000000-0008-0000-0300-0000AB000000}"/>
            </a:ext>
          </a:extLst>
        </xdr:cNvPr>
        <xdr:cNvCxnSpPr/>
      </xdr:nvCxnSpPr>
      <xdr:spPr>
        <a:xfrm flipV="1">
          <a:off x="7740184" y="6150461"/>
          <a:ext cx="367795" cy="0"/>
        </a:xfrm>
        <a:prstGeom prst="straightConnector1">
          <a:avLst/>
        </a:prstGeom>
        <a:ln w="19050">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217464</xdr:colOff>
      <xdr:row>22</xdr:row>
      <xdr:rowOff>23813</xdr:rowOff>
    </xdr:from>
    <xdr:to>
      <xdr:col>9</xdr:col>
      <xdr:colOff>217464</xdr:colOff>
      <xdr:row>28</xdr:row>
      <xdr:rowOff>168672</xdr:rowOff>
    </xdr:to>
    <xdr:cxnSp macro="">
      <xdr:nvCxnSpPr>
        <xdr:cNvPr id="173" name="Straight Connector 172">
          <a:extLst>
            <a:ext uri="{FF2B5EF4-FFF2-40B4-BE49-F238E27FC236}">
              <a16:creationId xmlns:a16="http://schemas.microsoft.com/office/drawing/2014/main" id="{00000000-0008-0000-0300-0000AD000000}"/>
            </a:ext>
          </a:extLst>
        </xdr:cNvPr>
        <xdr:cNvCxnSpPr/>
      </xdr:nvCxnSpPr>
      <xdr:spPr>
        <a:xfrm flipH="1" flipV="1">
          <a:off x="7730308" y="4702969"/>
          <a:ext cx="0" cy="1347391"/>
        </a:xfrm>
        <a:prstGeom prst="line">
          <a:avLst/>
        </a:prstGeom>
        <a:ln w="19050">
          <a:solidFill>
            <a:schemeClr val="accent5"/>
          </a:solidFill>
        </a:ln>
      </xdr:spPr>
      <xdr:style>
        <a:lnRef idx="1">
          <a:schemeClr val="accent4"/>
        </a:lnRef>
        <a:fillRef idx="0">
          <a:schemeClr val="accent4"/>
        </a:fillRef>
        <a:effectRef idx="0">
          <a:schemeClr val="accent4"/>
        </a:effectRef>
        <a:fontRef idx="minor">
          <a:schemeClr val="tx1"/>
        </a:fontRef>
      </xdr:style>
    </xdr:cxnSp>
    <xdr:clientData/>
  </xdr:twoCellAnchor>
  <xdr:twoCellAnchor>
    <xdr:from>
      <xdr:col>9</xdr:col>
      <xdr:colOff>224187</xdr:colOff>
      <xdr:row>29</xdr:row>
      <xdr:rowOff>62753</xdr:rowOff>
    </xdr:from>
    <xdr:to>
      <xdr:col>9</xdr:col>
      <xdr:colOff>224187</xdr:colOff>
      <xdr:row>35</xdr:row>
      <xdr:rowOff>78441</xdr:rowOff>
    </xdr:to>
    <xdr:cxnSp macro="">
      <xdr:nvCxnSpPr>
        <xdr:cNvPr id="175" name="Straight Connector 174">
          <a:extLst>
            <a:ext uri="{FF2B5EF4-FFF2-40B4-BE49-F238E27FC236}">
              <a16:creationId xmlns:a16="http://schemas.microsoft.com/office/drawing/2014/main" id="{00000000-0008-0000-0300-0000AF000000}"/>
            </a:ext>
          </a:extLst>
        </xdr:cNvPr>
        <xdr:cNvCxnSpPr/>
      </xdr:nvCxnSpPr>
      <xdr:spPr>
        <a:xfrm flipH="1" flipV="1">
          <a:off x="7737031" y="6146847"/>
          <a:ext cx="0" cy="1218219"/>
        </a:xfrm>
        <a:prstGeom prst="line">
          <a:avLst/>
        </a:prstGeom>
        <a:ln w="19050">
          <a:solidFill>
            <a:schemeClr val="accent6"/>
          </a:solidFill>
        </a:ln>
      </xdr:spPr>
      <xdr:style>
        <a:lnRef idx="1">
          <a:schemeClr val="accent4"/>
        </a:lnRef>
        <a:fillRef idx="0">
          <a:schemeClr val="accent4"/>
        </a:fillRef>
        <a:effectRef idx="0">
          <a:schemeClr val="accent4"/>
        </a:effectRef>
        <a:fontRef idx="minor">
          <a:schemeClr val="tx1"/>
        </a:fontRef>
      </xdr:style>
    </xdr:cxnSp>
    <xdr:clientData/>
  </xdr:twoCellAnchor>
  <xdr:twoCellAnchor>
    <xdr:from>
      <xdr:col>8</xdr:col>
      <xdr:colOff>903393</xdr:colOff>
      <xdr:row>22</xdr:row>
      <xdr:rowOff>32082</xdr:rowOff>
    </xdr:from>
    <xdr:to>
      <xdr:col>9</xdr:col>
      <xdr:colOff>217593</xdr:colOff>
      <xdr:row>22</xdr:row>
      <xdr:rowOff>32082</xdr:rowOff>
    </xdr:to>
    <xdr:cxnSp macro="">
      <xdr:nvCxnSpPr>
        <xdr:cNvPr id="178" name="Straight Connector 177">
          <a:extLst>
            <a:ext uri="{FF2B5EF4-FFF2-40B4-BE49-F238E27FC236}">
              <a16:creationId xmlns:a16="http://schemas.microsoft.com/office/drawing/2014/main" id="{00000000-0008-0000-0300-0000B2000000}"/>
            </a:ext>
          </a:extLst>
        </xdr:cNvPr>
        <xdr:cNvCxnSpPr/>
      </xdr:nvCxnSpPr>
      <xdr:spPr>
        <a:xfrm flipH="1" flipV="1">
          <a:off x="7511362" y="4711238"/>
          <a:ext cx="219075" cy="0"/>
        </a:xfrm>
        <a:prstGeom prst="line">
          <a:avLst/>
        </a:prstGeom>
        <a:ln w="19050">
          <a:solidFill>
            <a:schemeClr val="accent5"/>
          </a:solidFill>
        </a:ln>
      </xdr:spPr>
      <xdr:style>
        <a:lnRef idx="1">
          <a:schemeClr val="accent4"/>
        </a:lnRef>
        <a:fillRef idx="0">
          <a:schemeClr val="accent4"/>
        </a:fillRef>
        <a:effectRef idx="0">
          <a:schemeClr val="accent4"/>
        </a:effectRef>
        <a:fontRef idx="minor">
          <a:schemeClr val="tx1"/>
        </a:fontRef>
      </xdr:style>
    </xdr:cxnSp>
    <xdr:clientData/>
  </xdr:twoCellAnchor>
  <xdr:twoCellAnchor>
    <xdr:from>
      <xdr:col>9</xdr:col>
      <xdr:colOff>0</xdr:colOff>
      <xdr:row>1</xdr:row>
      <xdr:rowOff>0</xdr:rowOff>
    </xdr:from>
    <xdr:to>
      <xdr:col>10</xdr:col>
      <xdr:colOff>612117</xdr:colOff>
      <xdr:row>2</xdr:row>
      <xdr:rowOff>4482</xdr:rowOff>
    </xdr:to>
    <xdr:sp macro="" textlink="">
      <xdr:nvSpPr>
        <xdr:cNvPr id="182" name="Rounded Rectangle 181">
          <a:hlinkClick xmlns:r="http://schemas.openxmlformats.org/officeDocument/2006/relationships" r:id="rId1"/>
          <a:extLst>
            <a:ext uri="{FF2B5EF4-FFF2-40B4-BE49-F238E27FC236}">
              <a16:creationId xmlns:a16="http://schemas.microsoft.com/office/drawing/2014/main" id="{00000000-0008-0000-0300-0000B6000000}"/>
            </a:ext>
          </a:extLst>
        </xdr:cNvPr>
        <xdr:cNvSpPr/>
      </xdr:nvSpPr>
      <xdr:spPr>
        <a:xfrm>
          <a:off x="7520320" y="188285"/>
          <a:ext cx="1210198" cy="425354"/>
        </a:xfrm>
        <a:prstGeom prst="roundRect">
          <a:avLst/>
        </a:prstGeom>
        <a:gradFill>
          <a:gsLst>
            <a:gs pos="0">
              <a:srgbClr val="23AF84"/>
            </a:gs>
            <a:gs pos="50000">
              <a:srgbClr val="6DDDA8"/>
            </a:gs>
            <a:gs pos="70000">
              <a:srgbClr val="70EAB9"/>
            </a:gs>
            <a:gs pos="100000">
              <a:srgbClr val="99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400">
              <a:latin typeface="+mj-lt"/>
            </a:rPr>
            <a:t>Main</a:t>
          </a:r>
          <a:r>
            <a:rPr lang="en-US" sz="1400" baseline="0">
              <a:latin typeface="+mj-lt"/>
            </a:rPr>
            <a:t> Menu</a:t>
          </a:r>
          <a:endParaRPr lang="en-US" sz="1400">
            <a:latin typeface="+mj-lt"/>
          </a:endParaRPr>
        </a:p>
      </xdr:txBody>
    </xdr:sp>
    <xdr:clientData/>
  </xdr:twoCellAnchor>
  <xdr:twoCellAnchor>
    <xdr:from>
      <xdr:col>5</xdr:col>
      <xdr:colOff>352019</xdr:colOff>
      <xdr:row>50</xdr:row>
      <xdr:rowOff>170406</xdr:rowOff>
    </xdr:from>
    <xdr:to>
      <xdr:col>5</xdr:col>
      <xdr:colOff>591207</xdr:colOff>
      <xdr:row>50</xdr:row>
      <xdr:rowOff>170406</xdr:rowOff>
    </xdr:to>
    <xdr:cxnSp macro="">
      <xdr:nvCxnSpPr>
        <xdr:cNvPr id="183" name="Straight Arrow Connector 182">
          <a:extLst>
            <a:ext uri="{FF2B5EF4-FFF2-40B4-BE49-F238E27FC236}">
              <a16:creationId xmlns:a16="http://schemas.microsoft.com/office/drawing/2014/main" id="{00000000-0008-0000-0300-0000B7000000}"/>
            </a:ext>
          </a:extLst>
        </xdr:cNvPr>
        <xdr:cNvCxnSpPr/>
      </xdr:nvCxnSpPr>
      <xdr:spPr>
        <a:xfrm>
          <a:off x="4858329" y="10365440"/>
          <a:ext cx="239188" cy="0"/>
        </a:xfrm>
        <a:prstGeom prst="straightConnector1">
          <a:avLst/>
        </a:prstGeom>
        <a:ln w="19050">
          <a:solidFill>
            <a:schemeClr val="accent4"/>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358743</xdr:colOff>
      <xdr:row>50</xdr:row>
      <xdr:rowOff>33386</xdr:rowOff>
    </xdr:from>
    <xdr:to>
      <xdr:col>6</xdr:col>
      <xdr:colOff>155</xdr:colOff>
      <xdr:row>50</xdr:row>
      <xdr:rowOff>33386</xdr:rowOff>
    </xdr:to>
    <xdr:cxnSp macro="">
      <xdr:nvCxnSpPr>
        <xdr:cNvPr id="184" name="Straight Arrow Connector 183">
          <a:extLst>
            <a:ext uri="{FF2B5EF4-FFF2-40B4-BE49-F238E27FC236}">
              <a16:creationId xmlns:a16="http://schemas.microsoft.com/office/drawing/2014/main" id="{00000000-0008-0000-0300-0000B8000000}"/>
            </a:ext>
          </a:extLst>
        </xdr:cNvPr>
        <xdr:cNvCxnSpPr/>
      </xdr:nvCxnSpPr>
      <xdr:spPr>
        <a:xfrm>
          <a:off x="4865053" y="10228420"/>
          <a:ext cx="239188" cy="0"/>
        </a:xfrm>
        <a:prstGeom prst="straightConnector1">
          <a:avLst/>
        </a:prstGeom>
        <a:ln w="19050">
          <a:solidFill>
            <a:schemeClr val="accent3"/>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365312</xdr:colOff>
      <xdr:row>55</xdr:row>
      <xdr:rowOff>51547</xdr:rowOff>
    </xdr:from>
    <xdr:to>
      <xdr:col>4</xdr:col>
      <xdr:colOff>6724</xdr:colOff>
      <xdr:row>55</xdr:row>
      <xdr:rowOff>51547</xdr:rowOff>
    </xdr:to>
    <xdr:cxnSp macro="">
      <xdr:nvCxnSpPr>
        <xdr:cNvPr id="185" name="Straight Arrow Connector 184">
          <a:extLst>
            <a:ext uri="{FF2B5EF4-FFF2-40B4-BE49-F238E27FC236}">
              <a16:creationId xmlns:a16="http://schemas.microsoft.com/office/drawing/2014/main" id="{00000000-0008-0000-0300-0000B9000000}"/>
            </a:ext>
          </a:extLst>
        </xdr:cNvPr>
        <xdr:cNvCxnSpPr/>
      </xdr:nvCxnSpPr>
      <xdr:spPr>
        <a:xfrm>
          <a:off x="3366795" y="3916925"/>
          <a:ext cx="239493" cy="0"/>
        </a:xfrm>
        <a:prstGeom prst="straightConnector1">
          <a:avLst/>
        </a:prstGeom>
        <a:ln w="19050">
          <a:solidFill>
            <a:schemeClr val="accent4"/>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360130</xdr:colOff>
      <xdr:row>56</xdr:row>
      <xdr:rowOff>226358</xdr:rowOff>
    </xdr:from>
    <xdr:to>
      <xdr:col>4</xdr:col>
      <xdr:colOff>1542</xdr:colOff>
      <xdr:row>56</xdr:row>
      <xdr:rowOff>226358</xdr:rowOff>
    </xdr:to>
    <xdr:cxnSp macro="">
      <xdr:nvCxnSpPr>
        <xdr:cNvPr id="186" name="Straight Arrow Connector 185">
          <a:extLst>
            <a:ext uri="{FF2B5EF4-FFF2-40B4-BE49-F238E27FC236}">
              <a16:creationId xmlns:a16="http://schemas.microsoft.com/office/drawing/2014/main" id="{00000000-0008-0000-0300-0000BA000000}"/>
            </a:ext>
          </a:extLst>
        </xdr:cNvPr>
        <xdr:cNvCxnSpPr/>
      </xdr:nvCxnSpPr>
      <xdr:spPr>
        <a:xfrm>
          <a:off x="3361613" y="4390777"/>
          <a:ext cx="239493" cy="0"/>
        </a:xfrm>
        <a:prstGeom prst="straightConnector1">
          <a:avLst/>
        </a:prstGeom>
        <a:ln w="19050">
          <a:solidFill>
            <a:schemeClr val="accent4"/>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511969</xdr:colOff>
      <xdr:row>55</xdr:row>
      <xdr:rowOff>160326</xdr:rowOff>
    </xdr:from>
    <xdr:to>
      <xdr:col>3</xdr:col>
      <xdr:colOff>597625</xdr:colOff>
      <xdr:row>55</xdr:row>
      <xdr:rowOff>160734</xdr:rowOff>
    </xdr:to>
    <xdr:cxnSp macro="">
      <xdr:nvCxnSpPr>
        <xdr:cNvPr id="187" name="Straight Arrow Connector 186">
          <a:extLst>
            <a:ext uri="{FF2B5EF4-FFF2-40B4-BE49-F238E27FC236}">
              <a16:creationId xmlns:a16="http://schemas.microsoft.com/office/drawing/2014/main" id="{00000000-0008-0000-0300-0000BB000000}"/>
            </a:ext>
          </a:extLst>
        </xdr:cNvPr>
        <xdr:cNvCxnSpPr/>
      </xdr:nvCxnSpPr>
      <xdr:spPr>
        <a:xfrm flipV="1">
          <a:off x="2904295" y="4025704"/>
          <a:ext cx="694813" cy="408"/>
        </a:xfrm>
        <a:prstGeom prst="straightConnector1">
          <a:avLst/>
        </a:prstGeom>
        <a:ln w="19050">
          <a:solidFill>
            <a:schemeClr val="accent4"/>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509588</xdr:colOff>
      <xdr:row>56</xdr:row>
      <xdr:rowOff>92461</xdr:rowOff>
    </xdr:from>
    <xdr:to>
      <xdr:col>3</xdr:col>
      <xdr:colOff>595244</xdr:colOff>
      <xdr:row>56</xdr:row>
      <xdr:rowOff>92869</xdr:rowOff>
    </xdr:to>
    <xdr:cxnSp macro="">
      <xdr:nvCxnSpPr>
        <xdr:cNvPr id="189" name="Straight Arrow Connector 188">
          <a:extLst>
            <a:ext uri="{FF2B5EF4-FFF2-40B4-BE49-F238E27FC236}">
              <a16:creationId xmlns:a16="http://schemas.microsoft.com/office/drawing/2014/main" id="{00000000-0008-0000-0300-0000BD000000}"/>
            </a:ext>
          </a:extLst>
        </xdr:cNvPr>
        <xdr:cNvCxnSpPr/>
      </xdr:nvCxnSpPr>
      <xdr:spPr>
        <a:xfrm flipV="1">
          <a:off x="2901914" y="4256880"/>
          <a:ext cx="694813" cy="408"/>
        </a:xfrm>
        <a:prstGeom prst="straightConnector1">
          <a:avLst/>
        </a:prstGeom>
        <a:ln w="19050">
          <a:solidFill>
            <a:schemeClr val="accent4"/>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517922</xdr:colOff>
      <xdr:row>53</xdr:row>
      <xdr:rowOff>17859</xdr:rowOff>
    </xdr:from>
    <xdr:to>
      <xdr:col>2</xdr:col>
      <xdr:colOff>517922</xdr:colOff>
      <xdr:row>55</xdr:row>
      <xdr:rowOff>154781</xdr:rowOff>
    </xdr:to>
    <xdr:cxnSp macro="">
      <xdr:nvCxnSpPr>
        <xdr:cNvPr id="190" name="Straight Connector 189">
          <a:extLst>
            <a:ext uri="{FF2B5EF4-FFF2-40B4-BE49-F238E27FC236}">
              <a16:creationId xmlns:a16="http://schemas.microsoft.com/office/drawing/2014/main" id="{00000000-0008-0000-0300-0000BE000000}"/>
            </a:ext>
          </a:extLst>
        </xdr:cNvPr>
        <xdr:cNvCxnSpPr/>
      </xdr:nvCxnSpPr>
      <xdr:spPr>
        <a:xfrm flipV="1">
          <a:off x="2910248" y="3484516"/>
          <a:ext cx="0" cy="535643"/>
        </a:xfrm>
        <a:prstGeom prst="line">
          <a:avLst/>
        </a:prstGeom>
        <a:ln w="19050"/>
      </xdr:spPr>
      <xdr:style>
        <a:lnRef idx="1">
          <a:schemeClr val="accent4"/>
        </a:lnRef>
        <a:fillRef idx="0">
          <a:schemeClr val="accent4"/>
        </a:fillRef>
        <a:effectRef idx="0">
          <a:schemeClr val="accent4"/>
        </a:effectRef>
        <a:fontRef idx="minor">
          <a:schemeClr val="tx1"/>
        </a:fontRef>
      </xdr:style>
    </xdr:cxnSp>
    <xdr:clientData/>
  </xdr:twoCellAnchor>
  <xdr:twoCellAnchor>
    <xdr:from>
      <xdr:col>2</xdr:col>
      <xdr:colOff>515541</xdr:colOff>
      <xdr:row>56</xdr:row>
      <xdr:rowOff>98821</xdr:rowOff>
    </xdr:from>
    <xdr:to>
      <xdr:col>2</xdr:col>
      <xdr:colOff>515541</xdr:colOff>
      <xdr:row>58</xdr:row>
      <xdr:rowOff>140494</xdr:rowOff>
    </xdr:to>
    <xdr:cxnSp macro="">
      <xdr:nvCxnSpPr>
        <xdr:cNvPr id="191" name="Straight Connector 190">
          <a:extLst>
            <a:ext uri="{FF2B5EF4-FFF2-40B4-BE49-F238E27FC236}">
              <a16:creationId xmlns:a16="http://schemas.microsoft.com/office/drawing/2014/main" id="{00000000-0008-0000-0300-0000BF000000}"/>
            </a:ext>
          </a:extLst>
        </xdr:cNvPr>
        <xdr:cNvCxnSpPr/>
      </xdr:nvCxnSpPr>
      <xdr:spPr>
        <a:xfrm flipV="1">
          <a:off x="2907867" y="4263240"/>
          <a:ext cx="0" cy="540074"/>
        </a:xfrm>
        <a:prstGeom prst="line">
          <a:avLst/>
        </a:prstGeom>
        <a:ln w="19050"/>
      </xdr:spPr>
      <xdr:style>
        <a:lnRef idx="1">
          <a:schemeClr val="accent4"/>
        </a:lnRef>
        <a:fillRef idx="0">
          <a:schemeClr val="accent4"/>
        </a:fillRef>
        <a:effectRef idx="0">
          <a:schemeClr val="accent4"/>
        </a:effectRef>
        <a:fontRef idx="minor">
          <a:schemeClr val="tx1"/>
        </a:fontRef>
      </xdr:style>
    </xdr:cxnSp>
    <xdr:clientData/>
  </xdr:twoCellAnchor>
  <xdr:twoCellAnchor>
    <xdr:from>
      <xdr:col>5</xdr:col>
      <xdr:colOff>360760</xdr:colOff>
      <xdr:row>50</xdr:row>
      <xdr:rowOff>177363</xdr:rowOff>
    </xdr:from>
    <xdr:to>
      <xdr:col>5</xdr:col>
      <xdr:colOff>361293</xdr:colOff>
      <xdr:row>56</xdr:row>
      <xdr:rowOff>0</xdr:rowOff>
    </xdr:to>
    <xdr:cxnSp macro="">
      <xdr:nvCxnSpPr>
        <xdr:cNvPr id="192" name="Straight Connector 191">
          <a:extLst>
            <a:ext uri="{FF2B5EF4-FFF2-40B4-BE49-F238E27FC236}">
              <a16:creationId xmlns:a16="http://schemas.microsoft.com/office/drawing/2014/main" id="{00000000-0008-0000-0300-0000C0000000}"/>
            </a:ext>
          </a:extLst>
        </xdr:cNvPr>
        <xdr:cNvCxnSpPr/>
      </xdr:nvCxnSpPr>
      <xdr:spPr>
        <a:xfrm flipV="1">
          <a:off x="4867070" y="10372397"/>
          <a:ext cx="533" cy="1090448"/>
        </a:xfrm>
        <a:prstGeom prst="line">
          <a:avLst/>
        </a:prstGeom>
        <a:ln w="19050"/>
      </xdr:spPr>
      <xdr:style>
        <a:lnRef idx="1">
          <a:schemeClr val="accent4"/>
        </a:lnRef>
        <a:fillRef idx="0">
          <a:schemeClr val="accent4"/>
        </a:fillRef>
        <a:effectRef idx="0">
          <a:schemeClr val="accent4"/>
        </a:effectRef>
        <a:fontRef idx="minor">
          <a:schemeClr val="tx1"/>
        </a:fontRef>
      </xdr:style>
    </xdr:cxnSp>
    <xdr:clientData/>
  </xdr:twoCellAnchor>
  <xdr:twoCellAnchor>
    <xdr:from>
      <xdr:col>3</xdr:col>
      <xdr:colOff>360759</xdr:colOff>
      <xdr:row>50</xdr:row>
      <xdr:rowOff>23812</xdr:rowOff>
    </xdr:from>
    <xdr:to>
      <xdr:col>3</xdr:col>
      <xdr:colOff>360759</xdr:colOff>
      <xdr:row>55</xdr:row>
      <xdr:rowOff>57151</xdr:rowOff>
    </xdr:to>
    <xdr:cxnSp macro="">
      <xdr:nvCxnSpPr>
        <xdr:cNvPr id="193" name="Straight Connector 192">
          <a:extLst>
            <a:ext uri="{FF2B5EF4-FFF2-40B4-BE49-F238E27FC236}">
              <a16:creationId xmlns:a16="http://schemas.microsoft.com/office/drawing/2014/main" id="{00000000-0008-0000-0300-0000C1000000}"/>
            </a:ext>
          </a:extLst>
        </xdr:cNvPr>
        <xdr:cNvCxnSpPr/>
      </xdr:nvCxnSpPr>
      <xdr:spPr>
        <a:xfrm flipV="1">
          <a:off x="3362242" y="2903463"/>
          <a:ext cx="0" cy="1019066"/>
        </a:xfrm>
        <a:prstGeom prst="line">
          <a:avLst/>
        </a:prstGeom>
        <a:ln w="19050"/>
      </xdr:spPr>
      <xdr:style>
        <a:lnRef idx="1">
          <a:schemeClr val="accent4"/>
        </a:lnRef>
        <a:fillRef idx="0">
          <a:schemeClr val="accent4"/>
        </a:fillRef>
        <a:effectRef idx="0">
          <a:schemeClr val="accent4"/>
        </a:effectRef>
        <a:fontRef idx="minor">
          <a:schemeClr val="tx1"/>
        </a:fontRef>
      </xdr:style>
    </xdr:cxnSp>
    <xdr:clientData/>
  </xdr:twoCellAnchor>
  <xdr:twoCellAnchor>
    <xdr:from>
      <xdr:col>3</xdr:col>
      <xdr:colOff>364330</xdr:colOff>
      <xdr:row>56</xdr:row>
      <xdr:rowOff>217885</xdr:rowOff>
    </xdr:from>
    <xdr:to>
      <xdr:col>3</xdr:col>
      <xdr:colOff>364330</xdr:colOff>
      <xdr:row>61</xdr:row>
      <xdr:rowOff>144068</xdr:rowOff>
    </xdr:to>
    <xdr:cxnSp macro="">
      <xdr:nvCxnSpPr>
        <xdr:cNvPr id="194" name="Straight Connector 193">
          <a:extLst>
            <a:ext uri="{FF2B5EF4-FFF2-40B4-BE49-F238E27FC236}">
              <a16:creationId xmlns:a16="http://schemas.microsoft.com/office/drawing/2014/main" id="{00000000-0008-0000-0300-0000C2000000}"/>
            </a:ext>
          </a:extLst>
        </xdr:cNvPr>
        <xdr:cNvCxnSpPr/>
      </xdr:nvCxnSpPr>
      <xdr:spPr>
        <a:xfrm flipV="1">
          <a:off x="3365813" y="4382304"/>
          <a:ext cx="0" cy="1022665"/>
        </a:xfrm>
        <a:prstGeom prst="line">
          <a:avLst/>
        </a:prstGeom>
        <a:ln w="19050"/>
      </xdr:spPr>
      <xdr:style>
        <a:lnRef idx="1">
          <a:schemeClr val="accent4"/>
        </a:lnRef>
        <a:fillRef idx="0">
          <a:schemeClr val="accent4"/>
        </a:fillRef>
        <a:effectRef idx="0">
          <a:schemeClr val="accent4"/>
        </a:effectRef>
        <a:fontRef idx="minor">
          <a:schemeClr val="tx1"/>
        </a:fontRef>
      </xdr:style>
    </xdr:cxnSp>
    <xdr:clientData/>
  </xdr:twoCellAnchor>
  <xdr:twoCellAnchor>
    <xdr:from>
      <xdr:col>2</xdr:col>
      <xdr:colOff>0</xdr:colOff>
      <xdr:row>50</xdr:row>
      <xdr:rowOff>23812</xdr:rowOff>
    </xdr:from>
    <xdr:to>
      <xdr:col>3</xdr:col>
      <xdr:colOff>369094</xdr:colOff>
      <xdr:row>50</xdr:row>
      <xdr:rowOff>23812</xdr:rowOff>
    </xdr:to>
    <xdr:cxnSp macro="">
      <xdr:nvCxnSpPr>
        <xdr:cNvPr id="195" name="Straight Connector 194">
          <a:extLst>
            <a:ext uri="{FF2B5EF4-FFF2-40B4-BE49-F238E27FC236}">
              <a16:creationId xmlns:a16="http://schemas.microsoft.com/office/drawing/2014/main" id="{00000000-0008-0000-0300-0000C3000000}"/>
            </a:ext>
          </a:extLst>
        </xdr:cNvPr>
        <xdr:cNvCxnSpPr/>
      </xdr:nvCxnSpPr>
      <xdr:spPr>
        <a:xfrm flipH="1">
          <a:off x="2392326" y="2903463"/>
          <a:ext cx="978251" cy="0"/>
        </a:xfrm>
        <a:prstGeom prst="line">
          <a:avLst/>
        </a:prstGeom>
        <a:ln w="19050"/>
      </xdr:spPr>
      <xdr:style>
        <a:lnRef idx="1">
          <a:schemeClr val="accent4"/>
        </a:lnRef>
        <a:fillRef idx="0">
          <a:schemeClr val="accent4"/>
        </a:fillRef>
        <a:effectRef idx="0">
          <a:schemeClr val="accent4"/>
        </a:effectRef>
        <a:fontRef idx="minor">
          <a:schemeClr val="tx1"/>
        </a:fontRef>
      </xdr:style>
    </xdr:cxnSp>
    <xdr:clientData/>
  </xdr:twoCellAnchor>
  <xdr:twoCellAnchor>
    <xdr:from>
      <xdr:col>1</xdr:col>
      <xdr:colOff>1777603</xdr:colOff>
      <xdr:row>61</xdr:row>
      <xdr:rowOff>140494</xdr:rowOff>
    </xdr:from>
    <xdr:to>
      <xdr:col>3</xdr:col>
      <xdr:colOff>366713</xdr:colOff>
      <xdr:row>61</xdr:row>
      <xdr:rowOff>140494</xdr:rowOff>
    </xdr:to>
    <xdr:cxnSp macro="">
      <xdr:nvCxnSpPr>
        <xdr:cNvPr id="196" name="Straight Connector 195">
          <a:extLst>
            <a:ext uri="{FF2B5EF4-FFF2-40B4-BE49-F238E27FC236}">
              <a16:creationId xmlns:a16="http://schemas.microsoft.com/office/drawing/2014/main" id="{00000000-0008-0000-0300-0000C4000000}"/>
            </a:ext>
          </a:extLst>
        </xdr:cNvPr>
        <xdr:cNvCxnSpPr/>
      </xdr:nvCxnSpPr>
      <xdr:spPr>
        <a:xfrm flipH="1">
          <a:off x="2386760" y="5401395"/>
          <a:ext cx="981436" cy="0"/>
        </a:xfrm>
        <a:prstGeom prst="line">
          <a:avLst/>
        </a:prstGeom>
        <a:ln w="19050"/>
      </xdr:spPr>
      <xdr:style>
        <a:lnRef idx="1">
          <a:schemeClr val="accent4"/>
        </a:lnRef>
        <a:fillRef idx="0">
          <a:schemeClr val="accent4"/>
        </a:fillRef>
        <a:effectRef idx="0">
          <a:schemeClr val="accent4"/>
        </a:effectRef>
        <a:fontRef idx="minor">
          <a:schemeClr val="tx1"/>
        </a:fontRef>
      </xdr:style>
    </xdr:cxnSp>
    <xdr:clientData/>
  </xdr:twoCellAnchor>
  <xdr:twoCellAnchor>
    <xdr:from>
      <xdr:col>1</xdr:col>
      <xdr:colOff>1777606</xdr:colOff>
      <xdr:row>53</xdr:row>
      <xdr:rowOff>11906</xdr:rowOff>
    </xdr:from>
    <xdr:to>
      <xdr:col>2</xdr:col>
      <xdr:colOff>523875</xdr:colOff>
      <xdr:row>53</xdr:row>
      <xdr:rowOff>11906</xdr:rowOff>
    </xdr:to>
    <xdr:cxnSp macro="">
      <xdr:nvCxnSpPr>
        <xdr:cNvPr id="197" name="Straight Connector 196">
          <a:extLst>
            <a:ext uri="{FF2B5EF4-FFF2-40B4-BE49-F238E27FC236}">
              <a16:creationId xmlns:a16="http://schemas.microsoft.com/office/drawing/2014/main" id="{00000000-0008-0000-0300-0000C5000000}"/>
            </a:ext>
          </a:extLst>
        </xdr:cNvPr>
        <xdr:cNvCxnSpPr/>
      </xdr:nvCxnSpPr>
      <xdr:spPr>
        <a:xfrm flipH="1">
          <a:off x="2386763" y="3478563"/>
          <a:ext cx="529438" cy="0"/>
        </a:xfrm>
        <a:prstGeom prst="line">
          <a:avLst/>
        </a:prstGeom>
        <a:ln w="19050"/>
      </xdr:spPr>
      <xdr:style>
        <a:lnRef idx="1">
          <a:schemeClr val="accent4"/>
        </a:lnRef>
        <a:fillRef idx="0">
          <a:schemeClr val="accent4"/>
        </a:fillRef>
        <a:effectRef idx="0">
          <a:schemeClr val="accent4"/>
        </a:effectRef>
        <a:fontRef idx="minor">
          <a:schemeClr val="tx1"/>
        </a:fontRef>
      </xdr:style>
    </xdr:cxnSp>
    <xdr:clientData/>
  </xdr:twoCellAnchor>
  <xdr:twoCellAnchor>
    <xdr:from>
      <xdr:col>1</xdr:col>
      <xdr:colOff>1775225</xdr:colOff>
      <xdr:row>58</xdr:row>
      <xdr:rowOff>144066</xdr:rowOff>
    </xdr:from>
    <xdr:to>
      <xdr:col>2</xdr:col>
      <xdr:colOff>523874</xdr:colOff>
      <xdr:row>58</xdr:row>
      <xdr:rowOff>144066</xdr:rowOff>
    </xdr:to>
    <xdr:cxnSp macro="">
      <xdr:nvCxnSpPr>
        <xdr:cNvPr id="198" name="Straight Connector 197">
          <a:extLst>
            <a:ext uri="{FF2B5EF4-FFF2-40B4-BE49-F238E27FC236}">
              <a16:creationId xmlns:a16="http://schemas.microsoft.com/office/drawing/2014/main" id="{00000000-0008-0000-0300-0000C6000000}"/>
            </a:ext>
          </a:extLst>
        </xdr:cNvPr>
        <xdr:cNvCxnSpPr/>
      </xdr:nvCxnSpPr>
      <xdr:spPr>
        <a:xfrm flipH="1" flipV="1">
          <a:off x="2384382" y="4806886"/>
          <a:ext cx="531818" cy="0"/>
        </a:xfrm>
        <a:prstGeom prst="line">
          <a:avLst/>
        </a:prstGeom>
        <a:ln w="19050"/>
      </xdr:spPr>
      <xdr:style>
        <a:lnRef idx="1">
          <a:schemeClr val="accent4"/>
        </a:lnRef>
        <a:fillRef idx="0">
          <a:schemeClr val="accent4"/>
        </a:fillRef>
        <a:effectRef idx="0">
          <a:schemeClr val="accent4"/>
        </a:effectRef>
        <a:fontRef idx="minor">
          <a:schemeClr val="tx1"/>
        </a:fontRef>
      </xdr:style>
    </xdr:cxnSp>
    <xdr:clientData/>
  </xdr:twoCellAnchor>
  <xdr:twoCellAnchor>
    <xdr:from>
      <xdr:col>5</xdr:col>
      <xdr:colOff>1194</xdr:colOff>
      <xdr:row>55</xdr:row>
      <xdr:rowOff>295275</xdr:rowOff>
    </xdr:from>
    <xdr:to>
      <xdr:col>5</xdr:col>
      <xdr:colOff>363140</xdr:colOff>
      <xdr:row>55</xdr:row>
      <xdr:rowOff>295275</xdr:rowOff>
    </xdr:to>
    <xdr:cxnSp macro="">
      <xdr:nvCxnSpPr>
        <xdr:cNvPr id="199" name="Straight Connector 198">
          <a:extLst>
            <a:ext uri="{FF2B5EF4-FFF2-40B4-BE49-F238E27FC236}">
              <a16:creationId xmlns:a16="http://schemas.microsoft.com/office/drawing/2014/main" id="{00000000-0008-0000-0300-0000C7000000}"/>
            </a:ext>
          </a:extLst>
        </xdr:cNvPr>
        <xdr:cNvCxnSpPr/>
      </xdr:nvCxnSpPr>
      <xdr:spPr>
        <a:xfrm flipH="1" flipV="1">
          <a:off x="4508956" y="4160653"/>
          <a:ext cx="361946" cy="0"/>
        </a:xfrm>
        <a:prstGeom prst="line">
          <a:avLst/>
        </a:prstGeom>
        <a:ln w="19050"/>
      </xdr:spPr>
      <xdr:style>
        <a:lnRef idx="1">
          <a:schemeClr val="accent4"/>
        </a:lnRef>
        <a:fillRef idx="0">
          <a:schemeClr val="accent4"/>
        </a:fillRef>
        <a:effectRef idx="0">
          <a:schemeClr val="accent4"/>
        </a:effectRef>
        <a:fontRef idx="minor">
          <a:schemeClr val="tx1"/>
        </a:fontRef>
      </xdr:style>
    </xdr:cxnSp>
    <xdr:clientData/>
  </xdr:twoCellAnchor>
  <xdr:twoCellAnchor>
    <xdr:from>
      <xdr:col>1</xdr:col>
      <xdr:colOff>1777603</xdr:colOff>
      <xdr:row>46</xdr:row>
      <xdr:rowOff>0</xdr:rowOff>
    </xdr:from>
    <xdr:to>
      <xdr:col>5</xdr:col>
      <xdr:colOff>371427</xdr:colOff>
      <xdr:row>46</xdr:row>
      <xdr:rowOff>0</xdr:rowOff>
    </xdr:to>
    <xdr:cxnSp macro="">
      <xdr:nvCxnSpPr>
        <xdr:cNvPr id="200" name="Straight Connector 199">
          <a:extLst>
            <a:ext uri="{FF2B5EF4-FFF2-40B4-BE49-F238E27FC236}">
              <a16:creationId xmlns:a16="http://schemas.microsoft.com/office/drawing/2014/main" id="{00000000-0008-0000-0300-0000C8000000}"/>
            </a:ext>
          </a:extLst>
        </xdr:cNvPr>
        <xdr:cNvCxnSpPr/>
      </xdr:nvCxnSpPr>
      <xdr:spPr>
        <a:xfrm flipH="1">
          <a:off x="2386760" y="2104360"/>
          <a:ext cx="2492429" cy="0"/>
        </a:xfrm>
        <a:prstGeom prst="line">
          <a:avLst/>
        </a:prstGeom>
        <a:ln w="19050">
          <a:solidFill>
            <a:schemeClr val="accent3"/>
          </a:solidFill>
        </a:ln>
      </xdr:spPr>
      <xdr:style>
        <a:lnRef idx="1">
          <a:schemeClr val="accent4"/>
        </a:lnRef>
        <a:fillRef idx="0">
          <a:schemeClr val="accent4"/>
        </a:fillRef>
        <a:effectRef idx="0">
          <a:schemeClr val="accent4"/>
        </a:effectRef>
        <a:fontRef idx="minor">
          <a:schemeClr val="tx1"/>
        </a:fontRef>
      </xdr:style>
    </xdr:cxnSp>
    <xdr:clientData/>
  </xdr:twoCellAnchor>
  <xdr:twoCellAnchor>
    <xdr:from>
      <xdr:col>5</xdr:col>
      <xdr:colOff>367862</xdr:colOff>
      <xdr:row>45</xdr:row>
      <xdr:rowOff>184548</xdr:rowOff>
    </xdr:from>
    <xdr:to>
      <xdr:col>5</xdr:col>
      <xdr:colOff>369093</xdr:colOff>
      <xdr:row>50</xdr:row>
      <xdr:rowOff>39414</xdr:rowOff>
    </xdr:to>
    <xdr:cxnSp macro="">
      <xdr:nvCxnSpPr>
        <xdr:cNvPr id="201" name="Straight Connector 200">
          <a:extLst>
            <a:ext uri="{FF2B5EF4-FFF2-40B4-BE49-F238E27FC236}">
              <a16:creationId xmlns:a16="http://schemas.microsoft.com/office/drawing/2014/main" id="{00000000-0008-0000-0300-0000C9000000}"/>
            </a:ext>
          </a:extLst>
        </xdr:cNvPr>
        <xdr:cNvCxnSpPr/>
      </xdr:nvCxnSpPr>
      <xdr:spPr>
        <a:xfrm flipV="1">
          <a:off x="4874172" y="9413945"/>
          <a:ext cx="1231" cy="820503"/>
        </a:xfrm>
        <a:prstGeom prst="line">
          <a:avLst/>
        </a:prstGeom>
        <a:ln w="19050">
          <a:solidFill>
            <a:schemeClr val="accent3"/>
          </a:solidFill>
        </a:ln>
      </xdr:spPr>
      <xdr:style>
        <a:lnRef idx="1">
          <a:schemeClr val="accent4"/>
        </a:lnRef>
        <a:fillRef idx="0">
          <a:schemeClr val="accent4"/>
        </a:fillRef>
        <a:effectRef idx="0">
          <a:schemeClr val="accent4"/>
        </a:effectRef>
        <a:fontRef idx="minor">
          <a:schemeClr val="tx1"/>
        </a:fontRef>
      </xdr:style>
    </xdr:cxnSp>
    <xdr:clientData/>
  </xdr:twoCellAnchor>
  <xdr:twoCellAnchor>
    <xdr:from>
      <xdr:col>1</xdr:col>
      <xdr:colOff>1771742</xdr:colOff>
      <xdr:row>65</xdr:row>
      <xdr:rowOff>139944</xdr:rowOff>
    </xdr:from>
    <xdr:to>
      <xdr:col>7</xdr:col>
      <xdr:colOff>232996</xdr:colOff>
      <xdr:row>65</xdr:row>
      <xdr:rowOff>139944</xdr:rowOff>
    </xdr:to>
    <xdr:cxnSp macro="">
      <xdr:nvCxnSpPr>
        <xdr:cNvPr id="202" name="Straight Connector 201">
          <a:extLst>
            <a:ext uri="{FF2B5EF4-FFF2-40B4-BE49-F238E27FC236}">
              <a16:creationId xmlns:a16="http://schemas.microsoft.com/office/drawing/2014/main" id="{00000000-0008-0000-0300-0000CA000000}"/>
            </a:ext>
          </a:extLst>
        </xdr:cNvPr>
        <xdr:cNvCxnSpPr/>
      </xdr:nvCxnSpPr>
      <xdr:spPr>
        <a:xfrm flipH="1">
          <a:off x="2380899" y="6187211"/>
          <a:ext cx="3866138" cy="0"/>
        </a:xfrm>
        <a:prstGeom prst="line">
          <a:avLst/>
        </a:prstGeom>
        <a:ln w="19050">
          <a:solidFill>
            <a:schemeClr val="tx2"/>
          </a:solidFill>
        </a:ln>
      </xdr:spPr>
      <xdr:style>
        <a:lnRef idx="1">
          <a:schemeClr val="accent4"/>
        </a:lnRef>
        <a:fillRef idx="0">
          <a:schemeClr val="accent4"/>
        </a:fillRef>
        <a:effectRef idx="0">
          <a:schemeClr val="accent4"/>
        </a:effectRef>
        <a:fontRef idx="minor">
          <a:schemeClr val="tx1"/>
        </a:fontRef>
      </xdr:style>
    </xdr:cxnSp>
    <xdr:clientData/>
  </xdr:twoCellAnchor>
  <xdr:twoCellAnchor>
    <xdr:from>
      <xdr:col>7</xdr:col>
      <xdr:colOff>758</xdr:colOff>
      <xdr:row>50</xdr:row>
      <xdr:rowOff>98535</xdr:rowOff>
    </xdr:from>
    <xdr:to>
      <xdr:col>7</xdr:col>
      <xdr:colOff>219833</xdr:colOff>
      <xdr:row>50</xdr:row>
      <xdr:rowOff>98535</xdr:rowOff>
    </xdr:to>
    <xdr:cxnSp macro="">
      <xdr:nvCxnSpPr>
        <xdr:cNvPr id="203" name="Straight Connector 202">
          <a:extLst>
            <a:ext uri="{FF2B5EF4-FFF2-40B4-BE49-F238E27FC236}">
              <a16:creationId xmlns:a16="http://schemas.microsoft.com/office/drawing/2014/main" id="{00000000-0008-0000-0300-0000CB000000}"/>
            </a:ext>
          </a:extLst>
        </xdr:cNvPr>
        <xdr:cNvCxnSpPr/>
      </xdr:nvCxnSpPr>
      <xdr:spPr>
        <a:xfrm flipH="1" flipV="1">
          <a:off x="6011361" y="10293569"/>
          <a:ext cx="219075" cy="0"/>
        </a:xfrm>
        <a:prstGeom prst="line">
          <a:avLst/>
        </a:prstGeom>
        <a:ln w="19050">
          <a:solidFill>
            <a:schemeClr val="accent2"/>
          </a:solidFill>
        </a:ln>
      </xdr:spPr>
      <xdr:style>
        <a:lnRef idx="1">
          <a:schemeClr val="accent4"/>
        </a:lnRef>
        <a:fillRef idx="0">
          <a:schemeClr val="accent4"/>
        </a:fillRef>
        <a:effectRef idx="0">
          <a:schemeClr val="accent4"/>
        </a:effectRef>
        <a:fontRef idx="minor">
          <a:schemeClr val="tx1"/>
        </a:fontRef>
      </xdr:style>
    </xdr:cxnSp>
    <xdr:clientData/>
  </xdr:twoCellAnchor>
  <xdr:twoCellAnchor>
    <xdr:from>
      <xdr:col>7</xdr:col>
      <xdr:colOff>223471</xdr:colOff>
      <xdr:row>58</xdr:row>
      <xdr:rowOff>98607</xdr:rowOff>
    </xdr:from>
    <xdr:to>
      <xdr:col>7</xdr:col>
      <xdr:colOff>595119</xdr:colOff>
      <xdr:row>58</xdr:row>
      <xdr:rowOff>98607</xdr:rowOff>
    </xdr:to>
    <xdr:cxnSp macro="">
      <xdr:nvCxnSpPr>
        <xdr:cNvPr id="204" name="Straight Arrow Connector 203">
          <a:extLst>
            <a:ext uri="{FF2B5EF4-FFF2-40B4-BE49-F238E27FC236}">
              <a16:creationId xmlns:a16="http://schemas.microsoft.com/office/drawing/2014/main" id="{00000000-0008-0000-0300-0000CC000000}"/>
            </a:ext>
          </a:extLst>
        </xdr:cNvPr>
        <xdr:cNvCxnSpPr/>
      </xdr:nvCxnSpPr>
      <xdr:spPr>
        <a:xfrm flipV="1">
          <a:off x="6234074" y="12047555"/>
          <a:ext cx="371648" cy="0"/>
        </a:xfrm>
        <a:prstGeom prst="straightConnector1">
          <a:avLst/>
        </a:prstGeom>
        <a:ln w="1905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229914</xdr:colOff>
      <xdr:row>50</xdr:row>
      <xdr:rowOff>105105</xdr:rowOff>
    </xdr:from>
    <xdr:to>
      <xdr:col>7</xdr:col>
      <xdr:colOff>229914</xdr:colOff>
      <xdr:row>58</xdr:row>
      <xdr:rowOff>98535</xdr:rowOff>
    </xdr:to>
    <xdr:cxnSp macro="">
      <xdr:nvCxnSpPr>
        <xdr:cNvPr id="205" name="Straight Connector 204">
          <a:extLst>
            <a:ext uri="{FF2B5EF4-FFF2-40B4-BE49-F238E27FC236}">
              <a16:creationId xmlns:a16="http://schemas.microsoft.com/office/drawing/2014/main" id="{00000000-0008-0000-0300-0000CD000000}"/>
            </a:ext>
          </a:extLst>
        </xdr:cNvPr>
        <xdr:cNvCxnSpPr/>
      </xdr:nvCxnSpPr>
      <xdr:spPr>
        <a:xfrm flipH="1" flipV="1">
          <a:off x="6240517" y="10300139"/>
          <a:ext cx="0" cy="1747344"/>
        </a:xfrm>
        <a:prstGeom prst="line">
          <a:avLst/>
        </a:prstGeom>
        <a:ln w="19050">
          <a:solidFill>
            <a:schemeClr val="accent2"/>
          </a:solidFill>
        </a:ln>
      </xdr:spPr>
      <xdr:style>
        <a:lnRef idx="1">
          <a:schemeClr val="accent4"/>
        </a:lnRef>
        <a:fillRef idx="0">
          <a:schemeClr val="accent4"/>
        </a:fillRef>
        <a:effectRef idx="0">
          <a:schemeClr val="accent4"/>
        </a:effectRef>
        <a:fontRef idx="minor">
          <a:schemeClr val="tx1"/>
        </a:fontRef>
      </xdr:style>
    </xdr:cxnSp>
    <xdr:clientData/>
  </xdr:twoCellAnchor>
  <xdr:twoCellAnchor>
    <xdr:from>
      <xdr:col>7</xdr:col>
      <xdr:colOff>222031</xdr:colOff>
      <xdr:row>59</xdr:row>
      <xdr:rowOff>59546</xdr:rowOff>
    </xdr:from>
    <xdr:to>
      <xdr:col>7</xdr:col>
      <xdr:colOff>592946</xdr:colOff>
      <xdr:row>59</xdr:row>
      <xdr:rowOff>59546</xdr:rowOff>
    </xdr:to>
    <xdr:cxnSp macro="">
      <xdr:nvCxnSpPr>
        <xdr:cNvPr id="206" name="Straight Arrow Connector 205">
          <a:extLst>
            <a:ext uri="{FF2B5EF4-FFF2-40B4-BE49-F238E27FC236}">
              <a16:creationId xmlns:a16="http://schemas.microsoft.com/office/drawing/2014/main" id="{00000000-0008-0000-0300-0000CE000000}"/>
            </a:ext>
          </a:extLst>
        </xdr:cNvPr>
        <xdr:cNvCxnSpPr/>
      </xdr:nvCxnSpPr>
      <xdr:spPr>
        <a:xfrm flipV="1">
          <a:off x="6232634" y="12198994"/>
          <a:ext cx="370915" cy="0"/>
        </a:xfrm>
        <a:prstGeom prst="straightConnector1">
          <a:avLst/>
        </a:prstGeom>
        <a:ln w="19050">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229914</xdr:colOff>
      <xdr:row>59</xdr:row>
      <xdr:rowOff>65690</xdr:rowOff>
    </xdr:from>
    <xdr:to>
      <xdr:col>7</xdr:col>
      <xdr:colOff>229914</xdr:colOff>
      <xdr:row>65</xdr:row>
      <xdr:rowOff>149471</xdr:rowOff>
    </xdr:to>
    <xdr:cxnSp macro="">
      <xdr:nvCxnSpPr>
        <xdr:cNvPr id="207" name="Straight Connector 206">
          <a:extLst>
            <a:ext uri="{FF2B5EF4-FFF2-40B4-BE49-F238E27FC236}">
              <a16:creationId xmlns:a16="http://schemas.microsoft.com/office/drawing/2014/main" id="{00000000-0008-0000-0300-0000CF000000}"/>
            </a:ext>
          </a:extLst>
        </xdr:cNvPr>
        <xdr:cNvCxnSpPr/>
      </xdr:nvCxnSpPr>
      <xdr:spPr>
        <a:xfrm flipH="1" flipV="1">
          <a:off x="6240517" y="12205138"/>
          <a:ext cx="0" cy="1253057"/>
        </a:xfrm>
        <a:prstGeom prst="line">
          <a:avLst/>
        </a:prstGeom>
        <a:ln w="19050">
          <a:solidFill>
            <a:schemeClr val="tx2"/>
          </a:solidFill>
        </a:ln>
      </xdr:spPr>
      <xdr:style>
        <a:lnRef idx="1">
          <a:schemeClr val="accent4"/>
        </a:lnRef>
        <a:fillRef idx="0">
          <a:schemeClr val="accent4"/>
        </a:fillRef>
        <a:effectRef idx="0">
          <a:schemeClr val="accent4"/>
        </a:effectRef>
        <a:fontRef idx="minor">
          <a:schemeClr val="tx1"/>
        </a:fontRef>
      </xdr:style>
    </xdr:cxnSp>
    <xdr:clientData/>
  </xdr:twoCellAnchor>
  <xdr:twoCellAnchor>
    <xdr:from>
      <xdr:col>2</xdr:col>
      <xdr:colOff>516548</xdr:colOff>
      <xdr:row>53</xdr:row>
      <xdr:rowOff>14196</xdr:rowOff>
    </xdr:from>
    <xdr:to>
      <xdr:col>2</xdr:col>
      <xdr:colOff>516548</xdr:colOff>
      <xdr:row>55</xdr:row>
      <xdr:rowOff>151118</xdr:rowOff>
    </xdr:to>
    <xdr:cxnSp macro="">
      <xdr:nvCxnSpPr>
        <xdr:cNvPr id="209" name="Straight Connector 208">
          <a:extLst>
            <a:ext uri="{FF2B5EF4-FFF2-40B4-BE49-F238E27FC236}">
              <a16:creationId xmlns:a16="http://schemas.microsoft.com/office/drawing/2014/main" id="{00000000-0008-0000-0300-0000D1000000}"/>
            </a:ext>
          </a:extLst>
        </xdr:cNvPr>
        <xdr:cNvCxnSpPr/>
      </xdr:nvCxnSpPr>
      <xdr:spPr>
        <a:xfrm flipV="1">
          <a:off x="2908874" y="3480853"/>
          <a:ext cx="0" cy="535643"/>
        </a:xfrm>
        <a:prstGeom prst="line">
          <a:avLst/>
        </a:prstGeom>
        <a:ln w="19050"/>
      </xdr:spPr>
      <xdr:style>
        <a:lnRef idx="1">
          <a:schemeClr val="accent4"/>
        </a:lnRef>
        <a:fillRef idx="0">
          <a:schemeClr val="accent4"/>
        </a:fillRef>
        <a:effectRef idx="0">
          <a:schemeClr val="accent4"/>
        </a:effectRef>
        <a:fontRef idx="minor">
          <a:schemeClr val="tx1"/>
        </a:fontRef>
      </xdr:style>
    </xdr:cxnSp>
    <xdr:clientData/>
  </xdr:twoCellAnchor>
  <xdr:twoCellAnchor>
    <xdr:from>
      <xdr:col>1</xdr:col>
      <xdr:colOff>1769358</xdr:colOff>
      <xdr:row>69</xdr:row>
      <xdr:rowOff>166134</xdr:rowOff>
    </xdr:from>
    <xdr:to>
      <xdr:col>9</xdr:col>
      <xdr:colOff>221511</xdr:colOff>
      <xdr:row>69</xdr:row>
      <xdr:rowOff>166134</xdr:rowOff>
    </xdr:to>
    <xdr:cxnSp macro="">
      <xdr:nvCxnSpPr>
        <xdr:cNvPr id="215" name="Straight Connector 214">
          <a:extLst>
            <a:ext uri="{FF2B5EF4-FFF2-40B4-BE49-F238E27FC236}">
              <a16:creationId xmlns:a16="http://schemas.microsoft.com/office/drawing/2014/main" id="{00000000-0008-0000-0300-0000D7000000}"/>
            </a:ext>
          </a:extLst>
        </xdr:cNvPr>
        <xdr:cNvCxnSpPr/>
      </xdr:nvCxnSpPr>
      <xdr:spPr>
        <a:xfrm flipH="1">
          <a:off x="2378515" y="14320727"/>
          <a:ext cx="5363316" cy="0"/>
        </a:xfrm>
        <a:prstGeom prst="line">
          <a:avLst/>
        </a:prstGeom>
        <a:ln w="19050">
          <a:solidFill>
            <a:schemeClr val="accent6"/>
          </a:solidFill>
        </a:ln>
      </xdr:spPr>
      <xdr:style>
        <a:lnRef idx="1">
          <a:schemeClr val="accent4"/>
        </a:lnRef>
        <a:fillRef idx="0">
          <a:schemeClr val="accent4"/>
        </a:fillRef>
        <a:effectRef idx="0">
          <a:schemeClr val="accent4"/>
        </a:effectRef>
        <a:fontRef idx="minor">
          <a:schemeClr val="tx1"/>
        </a:fontRef>
      </xdr:style>
    </xdr:cxnSp>
    <xdr:clientData/>
  </xdr:twoCellAnchor>
  <xdr:twoCellAnchor>
    <xdr:from>
      <xdr:col>9</xdr:col>
      <xdr:colOff>226569</xdr:colOff>
      <xdr:row>65</xdr:row>
      <xdr:rowOff>96909</xdr:rowOff>
    </xdr:from>
    <xdr:to>
      <xdr:col>10</xdr:col>
      <xdr:colOff>442</xdr:colOff>
      <xdr:row>65</xdr:row>
      <xdr:rowOff>96909</xdr:rowOff>
    </xdr:to>
    <xdr:cxnSp macro="">
      <xdr:nvCxnSpPr>
        <xdr:cNvPr id="216" name="Straight Arrow Connector 215">
          <a:extLst>
            <a:ext uri="{FF2B5EF4-FFF2-40B4-BE49-F238E27FC236}">
              <a16:creationId xmlns:a16="http://schemas.microsoft.com/office/drawing/2014/main" id="{00000000-0008-0000-0300-0000D8000000}"/>
            </a:ext>
          </a:extLst>
        </xdr:cNvPr>
        <xdr:cNvCxnSpPr/>
      </xdr:nvCxnSpPr>
      <xdr:spPr>
        <a:xfrm flipV="1">
          <a:off x="7741466" y="13405633"/>
          <a:ext cx="371648" cy="0"/>
        </a:xfrm>
        <a:prstGeom prst="straightConnector1">
          <a:avLst/>
        </a:prstGeom>
        <a:ln w="19050">
          <a:solidFill>
            <a:schemeClr val="accent5"/>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220771</xdr:colOff>
      <xdr:row>66</xdr:row>
      <xdr:rowOff>53229</xdr:rowOff>
    </xdr:from>
    <xdr:to>
      <xdr:col>9</xdr:col>
      <xdr:colOff>588566</xdr:colOff>
      <xdr:row>66</xdr:row>
      <xdr:rowOff>53229</xdr:rowOff>
    </xdr:to>
    <xdr:cxnSp macro="">
      <xdr:nvCxnSpPr>
        <xdr:cNvPr id="217" name="Straight Arrow Connector 216">
          <a:extLst>
            <a:ext uri="{FF2B5EF4-FFF2-40B4-BE49-F238E27FC236}">
              <a16:creationId xmlns:a16="http://schemas.microsoft.com/office/drawing/2014/main" id="{00000000-0008-0000-0300-0000D9000000}"/>
            </a:ext>
          </a:extLst>
        </xdr:cNvPr>
        <xdr:cNvCxnSpPr/>
      </xdr:nvCxnSpPr>
      <xdr:spPr>
        <a:xfrm flipV="1">
          <a:off x="7735668" y="13552453"/>
          <a:ext cx="367795" cy="0"/>
        </a:xfrm>
        <a:prstGeom prst="straightConnector1">
          <a:avLst/>
        </a:prstGeom>
        <a:ln w="19050">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216775</xdr:colOff>
      <xdr:row>58</xdr:row>
      <xdr:rowOff>23813</xdr:rowOff>
    </xdr:from>
    <xdr:to>
      <xdr:col>9</xdr:col>
      <xdr:colOff>216775</xdr:colOff>
      <xdr:row>65</xdr:row>
      <xdr:rowOff>105104</xdr:rowOff>
    </xdr:to>
    <xdr:cxnSp macro="">
      <xdr:nvCxnSpPr>
        <xdr:cNvPr id="219" name="Straight Connector 218">
          <a:extLst>
            <a:ext uri="{FF2B5EF4-FFF2-40B4-BE49-F238E27FC236}">
              <a16:creationId xmlns:a16="http://schemas.microsoft.com/office/drawing/2014/main" id="{00000000-0008-0000-0300-0000DB000000}"/>
            </a:ext>
          </a:extLst>
        </xdr:cNvPr>
        <xdr:cNvCxnSpPr/>
      </xdr:nvCxnSpPr>
      <xdr:spPr>
        <a:xfrm flipV="1">
          <a:off x="7731672" y="11972761"/>
          <a:ext cx="0" cy="1441067"/>
        </a:xfrm>
        <a:prstGeom prst="line">
          <a:avLst/>
        </a:prstGeom>
        <a:ln w="19050">
          <a:solidFill>
            <a:schemeClr val="accent5"/>
          </a:solidFill>
        </a:ln>
      </xdr:spPr>
      <xdr:style>
        <a:lnRef idx="1">
          <a:schemeClr val="accent4"/>
        </a:lnRef>
        <a:fillRef idx="0">
          <a:schemeClr val="accent4"/>
        </a:fillRef>
        <a:effectRef idx="0">
          <a:schemeClr val="accent4"/>
        </a:effectRef>
        <a:fontRef idx="minor">
          <a:schemeClr val="tx1"/>
        </a:fontRef>
      </xdr:style>
    </xdr:cxnSp>
    <xdr:clientData/>
  </xdr:twoCellAnchor>
  <xdr:twoCellAnchor>
    <xdr:from>
      <xdr:col>9</xdr:col>
      <xdr:colOff>221511</xdr:colOff>
      <xdr:row>66</xdr:row>
      <xdr:rowOff>52552</xdr:rowOff>
    </xdr:from>
    <xdr:to>
      <xdr:col>9</xdr:col>
      <xdr:colOff>221511</xdr:colOff>
      <xdr:row>69</xdr:row>
      <xdr:rowOff>166135</xdr:rowOff>
    </xdr:to>
    <xdr:cxnSp macro="">
      <xdr:nvCxnSpPr>
        <xdr:cNvPr id="220" name="Straight Connector 219">
          <a:extLst>
            <a:ext uri="{FF2B5EF4-FFF2-40B4-BE49-F238E27FC236}">
              <a16:creationId xmlns:a16="http://schemas.microsoft.com/office/drawing/2014/main" id="{00000000-0008-0000-0300-0000DC000000}"/>
            </a:ext>
          </a:extLst>
        </xdr:cNvPr>
        <xdr:cNvCxnSpPr/>
      </xdr:nvCxnSpPr>
      <xdr:spPr>
        <a:xfrm flipV="1">
          <a:off x="7736408" y="13551776"/>
          <a:ext cx="0" cy="704790"/>
        </a:xfrm>
        <a:prstGeom prst="line">
          <a:avLst/>
        </a:prstGeom>
        <a:ln w="19050">
          <a:solidFill>
            <a:schemeClr val="accent6"/>
          </a:solidFill>
        </a:ln>
      </xdr:spPr>
      <xdr:style>
        <a:lnRef idx="1">
          <a:schemeClr val="accent4"/>
        </a:lnRef>
        <a:fillRef idx="0">
          <a:schemeClr val="accent4"/>
        </a:fillRef>
        <a:effectRef idx="0">
          <a:schemeClr val="accent4"/>
        </a:effectRef>
        <a:fontRef idx="minor">
          <a:schemeClr val="tx1"/>
        </a:fontRef>
      </xdr:style>
    </xdr:cxnSp>
    <xdr:clientData/>
  </xdr:twoCellAnchor>
  <xdr:twoCellAnchor>
    <xdr:from>
      <xdr:col>8</xdr:col>
      <xdr:colOff>903393</xdr:colOff>
      <xdr:row>58</xdr:row>
      <xdr:rowOff>32082</xdr:rowOff>
    </xdr:from>
    <xdr:to>
      <xdr:col>9</xdr:col>
      <xdr:colOff>217593</xdr:colOff>
      <xdr:row>58</xdr:row>
      <xdr:rowOff>32082</xdr:rowOff>
    </xdr:to>
    <xdr:cxnSp macro="">
      <xdr:nvCxnSpPr>
        <xdr:cNvPr id="221" name="Straight Connector 220">
          <a:extLst>
            <a:ext uri="{FF2B5EF4-FFF2-40B4-BE49-F238E27FC236}">
              <a16:creationId xmlns:a16="http://schemas.microsoft.com/office/drawing/2014/main" id="{00000000-0008-0000-0300-0000DD000000}"/>
            </a:ext>
          </a:extLst>
        </xdr:cNvPr>
        <xdr:cNvCxnSpPr/>
      </xdr:nvCxnSpPr>
      <xdr:spPr>
        <a:xfrm flipH="1" flipV="1">
          <a:off x="7515515" y="4694902"/>
          <a:ext cx="222398" cy="0"/>
        </a:xfrm>
        <a:prstGeom prst="line">
          <a:avLst/>
        </a:prstGeom>
        <a:ln w="19050">
          <a:solidFill>
            <a:schemeClr val="accent5"/>
          </a:solidFill>
        </a:ln>
      </xdr:spPr>
      <xdr:style>
        <a:lnRef idx="1">
          <a:schemeClr val="accent4"/>
        </a:lnRef>
        <a:fillRef idx="0">
          <a:schemeClr val="accent4"/>
        </a:fillRef>
        <a:effectRef idx="0">
          <a:schemeClr val="accent4"/>
        </a:effectRef>
        <a:fontRef idx="minor">
          <a:schemeClr val="tx1"/>
        </a:fontRef>
      </xdr:style>
    </xdr:cxnSp>
    <xdr:clientData/>
  </xdr:twoCellAnchor>
  <xdr:twoCellAnchor>
    <xdr:from>
      <xdr:col>5</xdr:col>
      <xdr:colOff>358588</xdr:colOff>
      <xdr:row>86</xdr:row>
      <xdr:rowOff>163837</xdr:rowOff>
    </xdr:from>
    <xdr:to>
      <xdr:col>6</xdr:col>
      <xdr:colOff>0</xdr:colOff>
      <xdr:row>86</xdr:row>
      <xdr:rowOff>163837</xdr:rowOff>
    </xdr:to>
    <xdr:cxnSp macro="">
      <xdr:nvCxnSpPr>
        <xdr:cNvPr id="222" name="Straight Arrow Connector 221">
          <a:extLst>
            <a:ext uri="{FF2B5EF4-FFF2-40B4-BE49-F238E27FC236}">
              <a16:creationId xmlns:a16="http://schemas.microsoft.com/office/drawing/2014/main" id="{00000000-0008-0000-0300-0000DE000000}"/>
            </a:ext>
          </a:extLst>
        </xdr:cNvPr>
        <xdr:cNvCxnSpPr/>
      </xdr:nvCxnSpPr>
      <xdr:spPr>
        <a:xfrm>
          <a:off x="4864898" y="17630716"/>
          <a:ext cx="239188" cy="0"/>
        </a:xfrm>
        <a:prstGeom prst="straightConnector1">
          <a:avLst/>
        </a:prstGeom>
        <a:ln w="19050">
          <a:solidFill>
            <a:schemeClr val="accent4"/>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358743</xdr:colOff>
      <xdr:row>86</xdr:row>
      <xdr:rowOff>26817</xdr:rowOff>
    </xdr:from>
    <xdr:to>
      <xdr:col>6</xdr:col>
      <xdr:colOff>155</xdr:colOff>
      <xdr:row>86</xdr:row>
      <xdr:rowOff>26817</xdr:rowOff>
    </xdr:to>
    <xdr:cxnSp macro="">
      <xdr:nvCxnSpPr>
        <xdr:cNvPr id="223" name="Straight Arrow Connector 222">
          <a:extLst>
            <a:ext uri="{FF2B5EF4-FFF2-40B4-BE49-F238E27FC236}">
              <a16:creationId xmlns:a16="http://schemas.microsoft.com/office/drawing/2014/main" id="{00000000-0008-0000-0300-0000DF000000}"/>
            </a:ext>
          </a:extLst>
        </xdr:cNvPr>
        <xdr:cNvCxnSpPr/>
      </xdr:nvCxnSpPr>
      <xdr:spPr>
        <a:xfrm>
          <a:off x="4865053" y="17493696"/>
          <a:ext cx="239188" cy="0"/>
        </a:xfrm>
        <a:prstGeom prst="straightConnector1">
          <a:avLst/>
        </a:prstGeom>
        <a:ln w="19050">
          <a:solidFill>
            <a:schemeClr val="accent3"/>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365312</xdr:colOff>
      <xdr:row>91</xdr:row>
      <xdr:rowOff>51547</xdr:rowOff>
    </xdr:from>
    <xdr:to>
      <xdr:col>4</xdr:col>
      <xdr:colOff>6724</xdr:colOff>
      <xdr:row>91</xdr:row>
      <xdr:rowOff>51547</xdr:rowOff>
    </xdr:to>
    <xdr:cxnSp macro="">
      <xdr:nvCxnSpPr>
        <xdr:cNvPr id="224" name="Straight Arrow Connector 223">
          <a:extLst>
            <a:ext uri="{FF2B5EF4-FFF2-40B4-BE49-F238E27FC236}">
              <a16:creationId xmlns:a16="http://schemas.microsoft.com/office/drawing/2014/main" id="{00000000-0008-0000-0300-0000E0000000}"/>
            </a:ext>
          </a:extLst>
        </xdr:cNvPr>
        <xdr:cNvCxnSpPr/>
      </xdr:nvCxnSpPr>
      <xdr:spPr>
        <a:xfrm>
          <a:off x="3366795" y="3916925"/>
          <a:ext cx="239493" cy="0"/>
        </a:xfrm>
        <a:prstGeom prst="straightConnector1">
          <a:avLst/>
        </a:prstGeom>
        <a:ln w="19050">
          <a:solidFill>
            <a:schemeClr val="accent4"/>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511969</xdr:colOff>
      <xdr:row>91</xdr:row>
      <xdr:rowOff>160326</xdr:rowOff>
    </xdr:from>
    <xdr:to>
      <xdr:col>3</xdr:col>
      <xdr:colOff>597625</xdr:colOff>
      <xdr:row>91</xdr:row>
      <xdr:rowOff>160734</xdr:rowOff>
    </xdr:to>
    <xdr:cxnSp macro="">
      <xdr:nvCxnSpPr>
        <xdr:cNvPr id="226" name="Straight Arrow Connector 225">
          <a:extLst>
            <a:ext uri="{FF2B5EF4-FFF2-40B4-BE49-F238E27FC236}">
              <a16:creationId xmlns:a16="http://schemas.microsoft.com/office/drawing/2014/main" id="{00000000-0008-0000-0300-0000E2000000}"/>
            </a:ext>
          </a:extLst>
        </xdr:cNvPr>
        <xdr:cNvCxnSpPr/>
      </xdr:nvCxnSpPr>
      <xdr:spPr>
        <a:xfrm flipV="1">
          <a:off x="2904295" y="4025704"/>
          <a:ext cx="694813" cy="408"/>
        </a:xfrm>
        <a:prstGeom prst="straightConnector1">
          <a:avLst/>
        </a:prstGeom>
        <a:ln w="19050">
          <a:solidFill>
            <a:schemeClr val="accent4"/>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91</xdr:row>
      <xdr:rowOff>278423</xdr:rowOff>
    </xdr:from>
    <xdr:to>
      <xdr:col>4</xdr:col>
      <xdr:colOff>0</xdr:colOff>
      <xdr:row>91</xdr:row>
      <xdr:rowOff>278425</xdr:rowOff>
    </xdr:to>
    <xdr:cxnSp macro="">
      <xdr:nvCxnSpPr>
        <xdr:cNvPr id="227" name="Straight Arrow Connector 226">
          <a:extLst>
            <a:ext uri="{FF2B5EF4-FFF2-40B4-BE49-F238E27FC236}">
              <a16:creationId xmlns:a16="http://schemas.microsoft.com/office/drawing/2014/main" id="{00000000-0008-0000-0300-0000E3000000}"/>
            </a:ext>
          </a:extLst>
        </xdr:cNvPr>
        <xdr:cNvCxnSpPr/>
      </xdr:nvCxnSpPr>
      <xdr:spPr>
        <a:xfrm flipV="1">
          <a:off x="2392326" y="4143801"/>
          <a:ext cx="1207238" cy="2"/>
        </a:xfrm>
        <a:prstGeom prst="straightConnector1">
          <a:avLst/>
        </a:prstGeom>
        <a:ln w="19050">
          <a:solidFill>
            <a:schemeClr val="accent4"/>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517922</xdr:colOff>
      <xdr:row>89</xdr:row>
      <xdr:rowOff>17859</xdr:rowOff>
    </xdr:from>
    <xdr:to>
      <xdr:col>2</xdr:col>
      <xdr:colOff>517922</xdr:colOff>
      <xdr:row>91</xdr:row>
      <xdr:rowOff>154781</xdr:rowOff>
    </xdr:to>
    <xdr:cxnSp macro="">
      <xdr:nvCxnSpPr>
        <xdr:cNvPr id="229" name="Straight Connector 228">
          <a:extLst>
            <a:ext uri="{FF2B5EF4-FFF2-40B4-BE49-F238E27FC236}">
              <a16:creationId xmlns:a16="http://schemas.microsoft.com/office/drawing/2014/main" id="{00000000-0008-0000-0300-0000E5000000}"/>
            </a:ext>
          </a:extLst>
        </xdr:cNvPr>
        <xdr:cNvCxnSpPr/>
      </xdr:nvCxnSpPr>
      <xdr:spPr>
        <a:xfrm flipV="1">
          <a:off x="2910248" y="3484516"/>
          <a:ext cx="0" cy="535643"/>
        </a:xfrm>
        <a:prstGeom prst="line">
          <a:avLst/>
        </a:prstGeom>
        <a:ln w="19050"/>
      </xdr:spPr>
      <xdr:style>
        <a:lnRef idx="1">
          <a:schemeClr val="accent4"/>
        </a:lnRef>
        <a:fillRef idx="0">
          <a:schemeClr val="accent4"/>
        </a:fillRef>
        <a:effectRef idx="0">
          <a:schemeClr val="accent4"/>
        </a:effectRef>
        <a:fontRef idx="minor">
          <a:schemeClr val="tx1"/>
        </a:fontRef>
      </xdr:style>
    </xdr:cxnSp>
    <xdr:clientData/>
  </xdr:twoCellAnchor>
  <xdr:twoCellAnchor>
    <xdr:from>
      <xdr:col>5</xdr:col>
      <xdr:colOff>360760</xdr:colOff>
      <xdr:row>86</xdr:row>
      <xdr:rowOff>164224</xdr:rowOff>
    </xdr:from>
    <xdr:to>
      <xdr:col>5</xdr:col>
      <xdr:colOff>360760</xdr:colOff>
      <xdr:row>92</xdr:row>
      <xdr:rowOff>0</xdr:rowOff>
    </xdr:to>
    <xdr:cxnSp macro="">
      <xdr:nvCxnSpPr>
        <xdr:cNvPr id="231" name="Straight Connector 230">
          <a:extLst>
            <a:ext uri="{FF2B5EF4-FFF2-40B4-BE49-F238E27FC236}">
              <a16:creationId xmlns:a16="http://schemas.microsoft.com/office/drawing/2014/main" id="{00000000-0008-0000-0300-0000E7000000}"/>
            </a:ext>
          </a:extLst>
        </xdr:cNvPr>
        <xdr:cNvCxnSpPr/>
      </xdr:nvCxnSpPr>
      <xdr:spPr>
        <a:xfrm flipV="1">
          <a:off x="4867070" y="17631103"/>
          <a:ext cx="0" cy="1103587"/>
        </a:xfrm>
        <a:prstGeom prst="line">
          <a:avLst/>
        </a:prstGeom>
        <a:ln w="19050"/>
      </xdr:spPr>
      <xdr:style>
        <a:lnRef idx="1">
          <a:schemeClr val="accent4"/>
        </a:lnRef>
        <a:fillRef idx="0">
          <a:schemeClr val="accent4"/>
        </a:fillRef>
        <a:effectRef idx="0">
          <a:schemeClr val="accent4"/>
        </a:effectRef>
        <a:fontRef idx="minor">
          <a:schemeClr val="tx1"/>
        </a:fontRef>
      </xdr:style>
    </xdr:cxnSp>
    <xdr:clientData/>
  </xdr:twoCellAnchor>
  <xdr:twoCellAnchor>
    <xdr:from>
      <xdr:col>3</xdr:col>
      <xdr:colOff>360759</xdr:colOff>
      <xdr:row>86</xdr:row>
      <xdr:rowOff>23812</xdr:rowOff>
    </xdr:from>
    <xdr:to>
      <xdr:col>3</xdr:col>
      <xdr:colOff>360759</xdr:colOff>
      <xdr:row>91</xdr:row>
      <xdr:rowOff>57151</xdr:rowOff>
    </xdr:to>
    <xdr:cxnSp macro="">
      <xdr:nvCxnSpPr>
        <xdr:cNvPr id="232" name="Straight Connector 231">
          <a:extLst>
            <a:ext uri="{FF2B5EF4-FFF2-40B4-BE49-F238E27FC236}">
              <a16:creationId xmlns:a16="http://schemas.microsoft.com/office/drawing/2014/main" id="{00000000-0008-0000-0300-0000E8000000}"/>
            </a:ext>
          </a:extLst>
        </xdr:cNvPr>
        <xdr:cNvCxnSpPr/>
      </xdr:nvCxnSpPr>
      <xdr:spPr>
        <a:xfrm flipV="1">
          <a:off x="3362242" y="2903463"/>
          <a:ext cx="0" cy="1019066"/>
        </a:xfrm>
        <a:prstGeom prst="line">
          <a:avLst/>
        </a:prstGeom>
        <a:ln w="19050"/>
      </xdr:spPr>
      <xdr:style>
        <a:lnRef idx="1">
          <a:schemeClr val="accent4"/>
        </a:lnRef>
        <a:fillRef idx="0">
          <a:schemeClr val="accent4"/>
        </a:fillRef>
        <a:effectRef idx="0">
          <a:schemeClr val="accent4"/>
        </a:effectRef>
        <a:fontRef idx="minor">
          <a:schemeClr val="tx1"/>
        </a:fontRef>
      </xdr:style>
    </xdr:cxnSp>
    <xdr:clientData/>
  </xdr:twoCellAnchor>
  <xdr:twoCellAnchor>
    <xdr:from>
      <xdr:col>2</xdr:col>
      <xdr:colOff>0</xdr:colOff>
      <xdr:row>86</xdr:row>
      <xdr:rowOff>23812</xdr:rowOff>
    </xdr:from>
    <xdr:to>
      <xdr:col>3</xdr:col>
      <xdr:colOff>369094</xdr:colOff>
      <xdr:row>86</xdr:row>
      <xdr:rowOff>23812</xdr:rowOff>
    </xdr:to>
    <xdr:cxnSp macro="">
      <xdr:nvCxnSpPr>
        <xdr:cNvPr id="234" name="Straight Connector 233">
          <a:extLst>
            <a:ext uri="{FF2B5EF4-FFF2-40B4-BE49-F238E27FC236}">
              <a16:creationId xmlns:a16="http://schemas.microsoft.com/office/drawing/2014/main" id="{00000000-0008-0000-0300-0000EA000000}"/>
            </a:ext>
          </a:extLst>
        </xdr:cNvPr>
        <xdr:cNvCxnSpPr/>
      </xdr:nvCxnSpPr>
      <xdr:spPr>
        <a:xfrm flipH="1">
          <a:off x="2392326" y="2903463"/>
          <a:ext cx="978251" cy="0"/>
        </a:xfrm>
        <a:prstGeom prst="line">
          <a:avLst/>
        </a:prstGeom>
        <a:ln w="19050"/>
      </xdr:spPr>
      <xdr:style>
        <a:lnRef idx="1">
          <a:schemeClr val="accent4"/>
        </a:lnRef>
        <a:fillRef idx="0">
          <a:schemeClr val="accent4"/>
        </a:fillRef>
        <a:effectRef idx="0">
          <a:schemeClr val="accent4"/>
        </a:effectRef>
        <a:fontRef idx="minor">
          <a:schemeClr val="tx1"/>
        </a:fontRef>
      </xdr:style>
    </xdr:cxnSp>
    <xdr:clientData/>
  </xdr:twoCellAnchor>
  <xdr:twoCellAnchor>
    <xdr:from>
      <xdr:col>1</xdr:col>
      <xdr:colOff>1777606</xdr:colOff>
      <xdr:row>89</xdr:row>
      <xdr:rowOff>11906</xdr:rowOff>
    </xdr:from>
    <xdr:to>
      <xdr:col>2</xdr:col>
      <xdr:colOff>523875</xdr:colOff>
      <xdr:row>89</xdr:row>
      <xdr:rowOff>11906</xdr:rowOff>
    </xdr:to>
    <xdr:cxnSp macro="">
      <xdr:nvCxnSpPr>
        <xdr:cNvPr id="236" name="Straight Connector 235">
          <a:extLst>
            <a:ext uri="{FF2B5EF4-FFF2-40B4-BE49-F238E27FC236}">
              <a16:creationId xmlns:a16="http://schemas.microsoft.com/office/drawing/2014/main" id="{00000000-0008-0000-0300-0000EC000000}"/>
            </a:ext>
          </a:extLst>
        </xdr:cNvPr>
        <xdr:cNvCxnSpPr/>
      </xdr:nvCxnSpPr>
      <xdr:spPr>
        <a:xfrm flipH="1">
          <a:off x="2386763" y="3478563"/>
          <a:ext cx="529438" cy="0"/>
        </a:xfrm>
        <a:prstGeom prst="line">
          <a:avLst/>
        </a:prstGeom>
        <a:ln w="19050"/>
      </xdr:spPr>
      <xdr:style>
        <a:lnRef idx="1">
          <a:schemeClr val="accent4"/>
        </a:lnRef>
        <a:fillRef idx="0">
          <a:schemeClr val="accent4"/>
        </a:fillRef>
        <a:effectRef idx="0">
          <a:schemeClr val="accent4"/>
        </a:effectRef>
        <a:fontRef idx="minor">
          <a:schemeClr val="tx1"/>
        </a:fontRef>
      </xdr:style>
    </xdr:cxnSp>
    <xdr:clientData/>
  </xdr:twoCellAnchor>
  <xdr:twoCellAnchor>
    <xdr:from>
      <xdr:col>5</xdr:col>
      <xdr:colOff>1194</xdr:colOff>
      <xdr:row>91</xdr:row>
      <xdr:rowOff>295275</xdr:rowOff>
    </xdr:from>
    <xdr:to>
      <xdr:col>5</xdr:col>
      <xdr:colOff>363140</xdr:colOff>
      <xdr:row>91</xdr:row>
      <xdr:rowOff>295275</xdr:rowOff>
    </xdr:to>
    <xdr:cxnSp macro="">
      <xdr:nvCxnSpPr>
        <xdr:cNvPr id="238" name="Straight Connector 237">
          <a:extLst>
            <a:ext uri="{FF2B5EF4-FFF2-40B4-BE49-F238E27FC236}">
              <a16:creationId xmlns:a16="http://schemas.microsoft.com/office/drawing/2014/main" id="{00000000-0008-0000-0300-0000EE000000}"/>
            </a:ext>
          </a:extLst>
        </xdr:cNvPr>
        <xdr:cNvCxnSpPr/>
      </xdr:nvCxnSpPr>
      <xdr:spPr>
        <a:xfrm flipH="1" flipV="1">
          <a:off x="4508956" y="4160653"/>
          <a:ext cx="361946" cy="0"/>
        </a:xfrm>
        <a:prstGeom prst="line">
          <a:avLst/>
        </a:prstGeom>
        <a:ln w="19050"/>
      </xdr:spPr>
      <xdr:style>
        <a:lnRef idx="1">
          <a:schemeClr val="accent4"/>
        </a:lnRef>
        <a:fillRef idx="0">
          <a:schemeClr val="accent4"/>
        </a:fillRef>
        <a:effectRef idx="0">
          <a:schemeClr val="accent4"/>
        </a:effectRef>
        <a:fontRef idx="minor">
          <a:schemeClr val="tx1"/>
        </a:fontRef>
      </xdr:style>
    </xdr:cxnSp>
    <xdr:clientData/>
  </xdr:twoCellAnchor>
  <xdr:twoCellAnchor>
    <xdr:from>
      <xdr:col>1</xdr:col>
      <xdr:colOff>1777603</xdr:colOff>
      <xdr:row>82</xdr:row>
      <xdr:rowOff>0</xdr:rowOff>
    </xdr:from>
    <xdr:to>
      <xdr:col>5</xdr:col>
      <xdr:colOff>371427</xdr:colOff>
      <xdr:row>82</xdr:row>
      <xdr:rowOff>0</xdr:rowOff>
    </xdr:to>
    <xdr:cxnSp macro="">
      <xdr:nvCxnSpPr>
        <xdr:cNvPr id="239" name="Straight Connector 238">
          <a:extLst>
            <a:ext uri="{FF2B5EF4-FFF2-40B4-BE49-F238E27FC236}">
              <a16:creationId xmlns:a16="http://schemas.microsoft.com/office/drawing/2014/main" id="{00000000-0008-0000-0300-0000EF000000}"/>
            </a:ext>
          </a:extLst>
        </xdr:cNvPr>
        <xdr:cNvCxnSpPr/>
      </xdr:nvCxnSpPr>
      <xdr:spPr>
        <a:xfrm flipH="1">
          <a:off x="2386760" y="2104360"/>
          <a:ext cx="2492429" cy="0"/>
        </a:xfrm>
        <a:prstGeom prst="line">
          <a:avLst/>
        </a:prstGeom>
        <a:ln w="19050">
          <a:solidFill>
            <a:schemeClr val="accent3"/>
          </a:solidFill>
        </a:ln>
      </xdr:spPr>
      <xdr:style>
        <a:lnRef idx="1">
          <a:schemeClr val="accent4"/>
        </a:lnRef>
        <a:fillRef idx="0">
          <a:schemeClr val="accent4"/>
        </a:fillRef>
        <a:effectRef idx="0">
          <a:schemeClr val="accent4"/>
        </a:effectRef>
        <a:fontRef idx="minor">
          <a:schemeClr val="tx1"/>
        </a:fontRef>
      </xdr:style>
    </xdr:cxnSp>
    <xdr:clientData/>
  </xdr:twoCellAnchor>
  <xdr:twoCellAnchor>
    <xdr:from>
      <xdr:col>5</xdr:col>
      <xdr:colOff>367862</xdr:colOff>
      <xdr:row>81</xdr:row>
      <xdr:rowOff>184547</xdr:rowOff>
    </xdr:from>
    <xdr:to>
      <xdr:col>5</xdr:col>
      <xdr:colOff>367862</xdr:colOff>
      <xdr:row>86</xdr:row>
      <xdr:rowOff>26276</xdr:rowOff>
    </xdr:to>
    <xdr:cxnSp macro="">
      <xdr:nvCxnSpPr>
        <xdr:cNvPr id="240" name="Straight Connector 239">
          <a:extLst>
            <a:ext uri="{FF2B5EF4-FFF2-40B4-BE49-F238E27FC236}">
              <a16:creationId xmlns:a16="http://schemas.microsoft.com/office/drawing/2014/main" id="{00000000-0008-0000-0300-0000F0000000}"/>
            </a:ext>
          </a:extLst>
        </xdr:cNvPr>
        <xdr:cNvCxnSpPr/>
      </xdr:nvCxnSpPr>
      <xdr:spPr>
        <a:xfrm flipV="1">
          <a:off x="4874172" y="16685788"/>
          <a:ext cx="0" cy="807367"/>
        </a:xfrm>
        <a:prstGeom prst="line">
          <a:avLst/>
        </a:prstGeom>
        <a:ln w="19050">
          <a:solidFill>
            <a:schemeClr val="accent3"/>
          </a:solidFill>
        </a:ln>
      </xdr:spPr>
      <xdr:style>
        <a:lnRef idx="1">
          <a:schemeClr val="accent4"/>
        </a:lnRef>
        <a:fillRef idx="0">
          <a:schemeClr val="accent4"/>
        </a:fillRef>
        <a:effectRef idx="0">
          <a:schemeClr val="accent4"/>
        </a:effectRef>
        <a:fontRef idx="minor">
          <a:schemeClr val="tx1"/>
        </a:fontRef>
      </xdr:style>
    </xdr:cxnSp>
    <xdr:clientData/>
  </xdr:twoCellAnchor>
  <xdr:twoCellAnchor>
    <xdr:from>
      <xdr:col>1</xdr:col>
      <xdr:colOff>1771742</xdr:colOff>
      <xdr:row>101</xdr:row>
      <xdr:rowOff>139944</xdr:rowOff>
    </xdr:from>
    <xdr:to>
      <xdr:col>7</xdr:col>
      <xdr:colOff>232996</xdr:colOff>
      <xdr:row>101</xdr:row>
      <xdr:rowOff>139944</xdr:rowOff>
    </xdr:to>
    <xdr:cxnSp macro="">
      <xdr:nvCxnSpPr>
        <xdr:cNvPr id="241" name="Straight Connector 240">
          <a:extLst>
            <a:ext uri="{FF2B5EF4-FFF2-40B4-BE49-F238E27FC236}">
              <a16:creationId xmlns:a16="http://schemas.microsoft.com/office/drawing/2014/main" id="{00000000-0008-0000-0300-0000F1000000}"/>
            </a:ext>
          </a:extLst>
        </xdr:cNvPr>
        <xdr:cNvCxnSpPr/>
      </xdr:nvCxnSpPr>
      <xdr:spPr>
        <a:xfrm flipH="1">
          <a:off x="2380899" y="6187211"/>
          <a:ext cx="3866138" cy="0"/>
        </a:xfrm>
        <a:prstGeom prst="line">
          <a:avLst/>
        </a:prstGeom>
        <a:ln w="19050">
          <a:solidFill>
            <a:schemeClr val="tx2"/>
          </a:solidFill>
        </a:ln>
      </xdr:spPr>
      <xdr:style>
        <a:lnRef idx="1">
          <a:schemeClr val="accent4"/>
        </a:lnRef>
        <a:fillRef idx="0">
          <a:schemeClr val="accent4"/>
        </a:fillRef>
        <a:effectRef idx="0">
          <a:schemeClr val="accent4"/>
        </a:effectRef>
        <a:fontRef idx="minor">
          <a:schemeClr val="tx1"/>
        </a:fontRef>
      </xdr:style>
    </xdr:cxnSp>
    <xdr:clientData/>
  </xdr:twoCellAnchor>
  <xdr:twoCellAnchor>
    <xdr:from>
      <xdr:col>7</xdr:col>
      <xdr:colOff>758</xdr:colOff>
      <xdr:row>86</xdr:row>
      <xdr:rowOff>98535</xdr:rowOff>
    </xdr:from>
    <xdr:to>
      <xdr:col>7</xdr:col>
      <xdr:colOff>219833</xdr:colOff>
      <xdr:row>86</xdr:row>
      <xdr:rowOff>98535</xdr:rowOff>
    </xdr:to>
    <xdr:cxnSp macro="">
      <xdr:nvCxnSpPr>
        <xdr:cNvPr id="242" name="Straight Connector 241">
          <a:extLst>
            <a:ext uri="{FF2B5EF4-FFF2-40B4-BE49-F238E27FC236}">
              <a16:creationId xmlns:a16="http://schemas.microsoft.com/office/drawing/2014/main" id="{00000000-0008-0000-0300-0000F2000000}"/>
            </a:ext>
          </a:extLst>
        </xdr:cNvPr>
        <xdr:cNvCxnSpPr/>
      </xdr:nvCxnSpPr>
      <xdr:spPr>
        <a:xfrm flipH="1" flipV="1">
          <a:off x="6011361" y="17565414"/>
          <a:ext cx="219075" cy="0"/>
        </a:xfrm>
        <a:prstGeom prst="line">
          <a:avLst/>
        </a:prstGeom>
        <a:ln w="19050">
          <a:solidFill>
            <a:schemeClr val="accent2"/>
          </a:solidFill>
        </a:ln>
      </xdr:spPr>
      <xdr:style>
        <a:lnRef idx="1">
          <a:schemeClr val="accent4"/>
        </a:lnRef>
        <a:fillRef idx="0">
          <a:schemeClr val="accent4"/>
        </a:fillRef>
        <a:effectRef idx="0">
          <a:schemeClr val="accent4"/>
        </a:effectRef>
        <a:fontRef idx="minor">
          <a:schemeClr val="tx1"/>
        </a:fontRef>
      </xdr:style>
    </xdr:cxnSp>
    <xdr:clientData/>
  </xdr:twoCellAnchor>
  <xdr:twoCellAnchor>
    <xdr:from>
      <xdr:col>7</xdr:col>
      <xdr:colOff>223471</xdr:colOff>
      <xdr:row>94</xdr:row>
      <xdr:rowOff>131451</xdr:rowOff>
    </xdr:from>
    <xdr:to>
      <xdr:col>7</xdr:col>
      <xdr:colOff>595119</xdr:colOff>
      <xdr:row>94</xdr:row>
      <xdr:rowOff>131451</xdr:rowOff>
    </xdr:to>
    <xdr:cxnSp macro="">
      <xdr:nvCxnSpPr>
        <xdr:cNvPr id="243" name="Straight Arrow Connector 242">
          <a:extLst>
            <a:ext uri="{FF2B5EF4-FFF2-40B4-BE49-F238E27FC236}">
              <a16:creationId xmlns:a16="http://schemas.microsoft.com/office/drawing/2014/main" id="{00000000-0008-0000-0300-0000F3000000}"/>
            </a:ext>
          </a:extLst>
        </xdr:cNvPr>
        <xdr:cNvCxnSpPr/>
      </xdr:nvCxnSpPr>
      <xdr:spPr>
        <a:xfrm flipV="1">
          <a:off x="6234074" y="19352244"/>
          <a:ext cx="371648" cy="0"/>
        </a:xfrm>
        <a:prstGeom prst="straightConnector1">
          <a:avLst/>
        </a:prstGeom>
        <a:ln w="1905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222031</xdr:colOff>
      <xdr:row>95</xdr:row>
      <xdr:rowOff>59546</xdr:rowOff>
    </xdr:from>
    <xdr:to>
      <xdr:col>7</xdr:col>
      <xdr:colOff>592946</xdr:colOff>
      <xdr:row>95</xdr:row>
      <xdr:rowOff>59546</xdr:rowOff>
    </xdr:to>
    <xdr:cxnSp macro="">
      <xdr:nvCxnSpPr>
        <xdr:cNvPr id="245" name="Straight Arrow Connector 244">
          <a:extLst>
            <a:ext uri="{FF2B5EF4-FFF2-40B4-BE49-F238E27FC236}">
              <a16:creationId xmlns:a16="http://schemas.microsoft.com/office/drawing/2014/main" id="{00000000-0008-0000-0300-0000F5000000}"/>
            </a:ext>
          </a:extLst>
        </xdr:cNvPr>
        <xdr:cNvCxnSpPr/>
      </xdr:nvCxnSpPr>
      <xdr:spPr>
        <a:xfrm flipV="1">
          <a:off x="6232634" y="19470839"/>
          <a:ext cx="370915" cy="0"/>
        </a:xfrm>
        <a:prstGeom prst="straightConnector1">
          <a:avLst/>
        </a:prstGeom>
        <a:ln w="19050">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230799</xdr:colOff>
      <xdr:row>95</xdr:row>
      <xdr:rowOff>65690</xdr:rowOff>
    </xdr:from>
    <xdr:to>
      <xdr:col>7</xdr:col>
      <xdr:colOff>230799</xdr:colOff>
      <xdr:row>101</xdr:row>
      <xdr:rowOff>149470</xdr:rowOff>
    </xdr:to>
    <xdr:cxnSp macro="">
      <xdr:nvCxnSpPr>
        <xdr:cNvPr id="246" name="Straight Connector 245">
          <a:extLst>
            <a:ext uri="{FF2B5EF4-FFF2-40B4-BE49-F238E27FC236}">
              <a16:creationId xmlns:a16="http://schemas.microsoft.com/office/drawing/2014/main" id="{00000000-0008-0000-0300-0000F6000000}"/>
            </a:ext>
          </a:extLst>
        </xdr:cNvPr>
        <xdr:cNvCxnSpPr/>
      </xdr:nvCxnSpPr>
      <xdr:spPr>
        <a:xfrm flipV="1">
          <a:off x="6241402" y="19476983"/>
          <a:ext cx="0" cy="1259625"/>
        </a:xfrm>
        <a:prstGeom prst="line">
          <a:avLst/>
        </a:prstGeom>
        <a:ln w="19050">
          <a:solidFill>
            <a:schemeClr val="tx2"/>
          </a:solidFill>
        </a:ln>
      </xdr:spPr>
      <xdr:style>
        <a:lnRef idx="1">
          <a:schemeClr val="accent4"/>
        </a:lnRef>
        <a:fillRef idx="0">
          <a:schemeClr val="accent4"/>
        </a:fillRef>
        <a:effectRef idx="0">
          <a:schemeClr val="accent4"/>
        </a:effectRef>
        <a:fontRef idx="minor">
          <a:schemeClr val="tx1"/>
        </a:fontRef>
      </xdr:style>
    </xdr:cxnSp>
    <xdr:clientData/>
  </xdr:twoCellAnchor>
  <xdr:twoCellAnchor>
    <xdr:from>
      <xdr:col>2</xdr:col>
      <xdr:colOff>516548</xdr:colOff>
      <xdr:row>89</xdr:row>
      <xdr:rowOff>14196</xdr:rowOff>
    </xdr:from>
    <xdr:to>
      <xdr:col>2</xdr:col>
      <xdr:colOff>516548</xdr:colOff>
      <xdr:row>91</xdr:row>
      <xdr:rowOff>151118</xdr:rowOff>
    </xdr:to>
    <xdr:cxnSp macro="">
      <xdr:nvCxnSpPr>
        <xdr:cNvPr id="248" name="Straight Connector 247">
          <a:extLst>
            <a:ext uri="{FF2B5EF4-FFF2-40B4-BE49-F238E27FC236}">
              <a16:creationId xmlns:a16="http://schemas.microsoft.com/office/drawing/2014/main" id="{00000000-0008-0000-0300-0000F8000000}"/>
            </a:ext>
          </a:extLst>
        </xdr:cNvPr>
        <xdr:cNvCxnSpPr/>
      </xdr:nvCxnSpPr>
      <xdr:spPr>
        <a:xfrm flipV="1">
          <a:off x="2908874" y="3480853"/>
          <a:ext cx="0" cy="535643"/>
        </a:xfrm>
        <a:prstGeom prst="line">
          <a:avLst/>
        </a:prstGeom>
        <a:ln w="19050"/>
      </xdr:spPr>
      <xdr:style>
        <a:lnRef idx="1">
          <a:schemeClr val="accent4"/>
        </a:lnRef>
        <a:fillRef idx="0">
          <a:schemeClr val="accent4"/>
        </a:fillRef>
        <a:effectRef idx="0">
          <a:schemeClr val="accent4"/>
        </a:effectRef>
        <a:fontRef idx="minor">
          <a:schemeClr val="tx1"/>
        </a:fontRef>
      </xdr:style>
    </xdr:cxnSp>
    <xdr:clientData/>
  </xdr:twoCellAnchor>
  <xdr:twoCellAnchor>
    <xdr:from>
      <xdr:col>1</xdr:col>
      <xdr:colOff>1780433</xdr:colOff>
      <xdr:row>109</xdr:row>
      <xdr:rowOff>6865</xdr:rowOff>
    </xdr:from>
    <xdr:to>
      <xdr:col>9</xdr:col>
      <xdr:colOff>232587</xdr:colOff>
      <xdr:row>109</xdr:row>
      <xdr:rowOff>6865</xdr:rowOff>
    </xdr:to>
    <xdr:cxnSp macro="">
      <xdr:nvCxnSpPr>
        <xdr:cNvPr id="254" name="Straight Connector 253">
          <a:extLst>
            <a:ext uri="{FF2B5EF4-FFF2-40B4-BE49-F238E27FC236}">
              <a16:creationId xmlns:a16="http://schemas.microsoft.com/office/drawing/2014/main" id="{00000000-0008-0000-0300-0000FE000000}"/>
            </a:ext>
          </a:extLst>
        </xdr:cNvPr>
        <xdr:cNvCxnSpPr/>
      </xdr:nvCxnSpPr>
      <xdr:spPr>
        <a:xfrm flipH="1" flipV="1">
          <a:off x="2389590" y="22213406"/>
          <a:ext cx="5363317" cy="0"/>
        </a:xfrm>
        <a:prstGeom prst="line">
          <a:avLst/>
        </a:prstGeom>
        <a:ln w="19050">
          <a:solidFill>
            <a:schemeClr val="accent6"/>
          </a:solidFill>
        </a:ln>
      </xdr:spPr>
      <xdr:style>
        <a:lnRef idx="1">
          <a:schemeClr val="accent4"/>
        </a:lnRef>
        <a:fillRef idx="0">
          <a:schemeClr val="accent4"/>
        </a:fillRef>
        <a:effectRef idx="0">
          <a:schemeClr val="accent4"/>
        </a:effectRef>
        <a:fontRef idx="minor">
          <a:schemeClr val="tx1"/>
        </a:fontRef>
      </xdr:style>
    </xdr:cxnSp>
    <xdr:clientData/>
  </xdr:twoCellAnchor>
  <xdr:twoCellAnchor>
    <xdr:from>
      <xdr:col>9</xdr:col>
      <xdr:colOff>226569</xdr:colOff>
      <xdr:row>101</xdr:row>
      <xdr:rowOff>123184</xdr:rowOff>
    </xdr:from>
    <xdr:to>
      <xdr:col>10</xdr:col>
      <xdr:colOff>442</xdr:colOff>
      <xdr:row>101</xdr:row>
      <xdr:rowOff>123184</xdr:rowOff>
    </xdr:to>
    <xdr:cxnSp macro="">
      <xdr:nvCxnSpPr>
        <xdr:cNvPr id="255" name="Straight Arrow Connector 254">
          <a:extLst>
            <a:ext uri="{FF2B5EF4-FFF2-40B4-BE49-F238E27FC236}">
              <a16:creationId xmlns:a16="http://schemas.microsoft.com/office/drawing/2014/main" id="{00000000-0008-0000-0300-0000FF000000}"/>
            </a:ext>
          </a:extLst>
        </xdr:cNvPr>
        <xdr:cNvCxnSpPr/>
      </xdr:nvCxnSpPr>
      <xdr:spPr>
        <a:xfrm flipV="1">
          <a:off x="7741466" y="20710322"/>
          <a:ext cx="371648" cy="0"/>
        </a:xfrm>
        <a:prstGeom prst="straightConnector1">
          <a:avLst/>
        </a:prstGeom>
        <a:ln w="19050">
          <a:solidFill>
            <a:schemeClr val="accent5"/>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220771</xdr:colOff>
      <xdr:row>102</xdr:row>
      <xdr:rowOff>66367</xdr:rowOff>
    </xdr:from>
    <xdr:to>
      <xdr:col>9</xdr:col>
      <xdr:colOff>588566</xdr:colOff>
      <xdr:row>102</xdr:row>
      <xdr:rowOff>66367</xdr:rowOff>
    </xdr:to>
    <xdr:cxnSp macro="">
      <xdr:nvCxnSpPr>
        <xdr:cNvPr id="256" name="Straight Arrow Connector 255">
          <a:extLst>
            <a:ext uri="{FF2B5EF4-FFF2-40B4-BE49-F238E27FC236}">
              <a16:creationId xmlns:a16="http://schemas.microsoft.com/office/drawing/2014/main" id="{00000000-0008-0000-0300-000000010000}"/>
            </a:ext>
          </a:extLst>
        </xdr:cNvPr>
        <xdr:cNvCxnSpPr/>
      </xdr:nvCxnSpPr>
      <xdr:spPr>
        <a:xfrm flipV="1">
          <a:off x="7735668" y="20844005"/>
          <a:ext cx="367795" cy="0"/>
        </a:xfrm>
        <a:prstGeom prst="straightConnector1">
          <a:avLst/>
        </a:prstGeom>
        <a:ln w="19050">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223345</xdr:colOff>
      <xdr:row>86</xdr:row>
      <xdr:rowOff>106234</xdr:rowOff>
    </xdr:from>
    <xdr:to>
      <xdr:col>7</xdr:col>
      <xdr:colOff>223345</xdr:colOff>
      <xdr:row>94</xdr:row>
      <xdr:rowOff>124810</xdr:rowOff>
    </xdr:to>
    <xdr:cxnSp macro="">
      <xdr:nvCxnSpPr>
        <xdr:cNvPr id="257" name="Straight Connector 256">
          <a:extLst>
            <a:ext uri="{FF2B5EF4-FFF2-40B4-BE49-F238E27FC236}">
              <a16:creationId xmlns:a16="http://schemas.microsoft.com/office/drawing/2014/main" id="{00000000-0008-0000-0300-000001010000}"/>
            </a:ext>
          </a:extLst>
        </xdr:cNvPr>
        <xdr:cNvCxnSpPr/>
      </xdr:nvCxnSpPr>
      <xdr:spPr>
        <a:xfrm flipV="1">
          <a:off x="6233948" y="17573113"/>
          <a:ext cx="0" cy="1772490"/>
        </a:xfrm>
        <a:prstGeom prst="line">
          <a:avLst/>
        </a:prstGeom>
        <a:ln w="19050">
          <a:solidFill>
            <a:schemeClr val="accent2"/>
          </a:solidFill>
        </a:ln>
      </xdr:spPr>
      <xdr:style>
        <a:lnRef idx="1">
          <a:schemeClr val="accent4"/>
        </a:lnRef>
        <a:fillRef idx="0">
          <a:schemeClr val="accent4"/>
        </a:fillRef>
        <a:effectRef idx="0">
          <a:schemeClr val="accent4"/>
        </a:effectRef>
        <a:fontRef idx="minor">
          <a:schemeClr val="tx1"/>
        </a:fontRef>
      </xdr:style>
    </xdr:cxnSp>
    <xdr:clientData/>
  </xdr:twoCellAnchor>
  <xdr:twoCellAnchor>
    <xdr:from>
      <xdr:col>9</xdr:col>
      <xdr:colOff>217464</xdr:colOff>
      <xdr:row>94</xdr:row>
      <xdr:rowOff>23814</xdr:rowOff>
    </xdr:from>
    <xdr:to>
      <xdr:col>9</xdr:col>
      <xdr:colOff>217464</xdr:colOff>
      <xdr:row>101</xdr:row>
      <xdr:rowOff>124810</xdr:rowOff>
    </xdr:to>
    <xdr:cxnSp macro="">
      <xdr:nvCxnSpPr>
        <xdr:cNvPr id="258" name="Straight Connector 257">
          <a:extLst>
            <a:ext uri="{FF2B5EF4-FFF2-40B4-BE49-F238E27FC236}">
              <a16:creationId xmlns:a16="http://schemas.microsoft.com/office/drawing/2014/main" id="{00000000-0008-0000-0300-000002010000}"/>
            </a:ext>
          </a:extLst>
        </xdr:cNvPr>
        <xdr:cNvCxnSpPr/>
      </xdr:nvCxnSpPr>
      <xdr:spPr>
        <a:xfrm flipH="1" flipV="1">
          <a:off x="7732361" y="19244607"/>
          <a:ext cx="0" cy="1467341"/>
        </a:xfrm>
        <a:prstGeom prst="line">
          <a:avLst/>
        </a:prstGeom>
        <a:ln w="19050">
          <a:solidFill>
            <a:schemeClr val="accent5"/>
          </a:solidFill>
        </a:ln>
      </xdr:spPr>
      <xdr:style>
        <a:lnRef idx="1">
          <a:schemeClr val="accent4"/>
        </a:lnRef>
        <a:fillRef idx="0">
          <a:schemeClr val="accent4"/>
        </a:fillRef>
        <a:effectRef idx="0">
          <a:schemeClr val="accent4"/>
        </a:effectRef>
        <a:fontRef idx="minor">
          <a:schemeClr val="tx1"/>
        </a:fontRef>
      </xdr:style>
    </xdr:cxnSp>
    <xdr:clientData/>
  </xdr:twoCellAnchor>
  <xdr:twoCellAnchor>
    <xdr:from>
      <xdr:col>9</xdr:col>
      <xdr:colOff>224187</xdr:colOff>
      <xdr:row>102</xdr:row>
      <xdr:rowOff>72259</xdr:rowOff>
    </xdr:from>
    <xdr:to>
      <xdr:col>9</xdr:col>
      <xdr:colOff>224187</xdr:colOff>
      <xdr:row>109</xdr:row>
      <xdr:rowOff>22151</xdr:rowOff>
    </xdr:to>
    <xdr:cxnSp macro="">
      <xdr:nvCxnSpPr>
        <xdr:cNvPr id="259" name="Straight Connector 258">
          <a:extLst>
            <a:ext uri="{FF2B5EF4-FFF2-40B4-BE49-F238E27FC236}">
              <a16:creationId xmlns:a16="http://schemas.microsoft.com/office/drawing/2014/main" id="{00000000-0008-0000-0300-000003010000}"/>
            </a:ext>
          </a:extLst>
        </xdr:cNvPr>
        <xdr:cNvCxnSpPr/>
      </xdr:nvCxnSpPr>
      <xdr:spPr>
        <a:xfrm flipV="1">
          <a:off x="7739084" y="20849897"/>
          <a:ext cx="0" cy="1316237"/>
        </a:xfrm>
        <a:prstGeom prst="line">
          <a:avLst/>
        </a:prstGeom>
        <a:ln w="19050">
          <a:solidFill>
            <a:schemeClr val="accent6"/>
          </a:solidFill>
        </a:ln>
      </xdr:spPr>
      <xdr:style>
        <a:lnRef idx="1">
          <a:schemeClr val="accent4"/>
        </a:lnRef>
        <a:fillRef idx="0">
          <a:schemeClr val="accent4"/>
        </a:fillRef>
        <a:effectRef idx="0">
          <a:schemeClr val="accent4"/>
        </a:effectRef>
        <a:fontRef idx="minor">
          <a:schemeClr val="tx1"/>
        </a:fontRef>
      </xdr:style>
    </xdr:cxnSp>
    <xdr:clientData/>
  </xdr:twoCellAnchor>
  <xdr:twoCellAnchor>
    <xdr:from>
      <xdr:col>8</xdr:col>
      <xdr:colOff>903393</xdr:colOff>
      <xdr:row>94</xdr:row>
      <xdr:rowOff>32082</xdr:rowOff>
    </xdr:from>
    <xdr:to>
      <xdr:col>9</xdr:col>
      <xdr:colOff>217593</xdr:colOff>
      <xdr:row>94</xdr:row>
      <xdr:rowOff>32082</xdr:rowOff>
    </xdr:to>
    <xdr:cxnSp macro="">
      <xdr:nvCxnSpPr>
        <xdr:cNvPr id="260" name="Straight Connector 259">
          <a:extLst>
            <a:ext uri="{FF2B5EF4-FFF2-40B4-BE49-F238E27FC236}">
              <a16:creationId xmlns:a16="http://schemas.microsoft.com/office/drawing/2014/main" id="{00000000-0008-0000-0300-000004010000}"/>
            </a:ext>
          </a:extLst>
        </xdr:cNvPr>
        <xdr:cNvCxnSpPr/>
      </xdr:nvCxnSpPr>
      <xdr:spPr>
        <a:xfrm flipH="1" flipV="1">
          <a:off x="7515515" y="4694902"/>
          <a:ext cx="222398" cy="0"/>
        </a:xfrm>
        <a:prstGeom prst="line">
          <a:avLst/>
        </a:prstGeom>
        <a:ln w="19050">
          <a:solidFill>
            <a:schemeClr val="accent5"/>
          </a:solidFill>
        </a:ln>
      </xdr:spPr>
      <xdr:style>
        <a:lnRef idx="1">
          <a:schemeClr val="accent4"/>
        </a:lnRef>
        <a:fillRef idx="0">
          <a:schemeClr val="accent4"/>
        </a:fillRef>
        <a:effectRef idx="0">
          <a:schemeClr val="accent4"/>
        </a:effectRef>
        <a:fontRef idx="minor">
          <a:schemeClr val="tx1"/>
        </a:fontRef>
      </xdr:style>
    </xdr:cxnSp>
    <xdr:clientData/>
  </xdr:twoCellAnchor>
  <xdr:twoCellAnchor>
    <xdr:from>
      <xdr:col>1</xdr:col>
      <xdr:colOff>1775225</xdr:colOff>
      <xdr:row>58</xdr:row>
      <xdr:rowOff>144066</xdr:rowOff>
    </xdr:from>
    <xdr:to>
      <xdr:col>2</xdr:col>
      <xdr:colOff>523874</xdr:colOff>
      <xdr:row>58</xdr:row>
      <xdr:rowOff>144066</xdr:rowOff>
    </xdr:to>
    <xdr:cxnSp macro="">
      <xdr:nvCxnSpPr>
        <xdr:cNvPr id="104" name="Straight Connector 103">
          <a:extLst>
            <a:ext uri="{FF2B5EF4-FFF2-40B4-BE49-F238E27FC236}">
              <a16:creationId xmlns:a16="http://schemas.microsoft.com/office/drawing/2014/main" id="{00000000-0008-0000-0300-000068000000}"/>
            </a:ext>
          </a:extLst>
        </xdr:cNvPr>
        <xdr:cNvCxnSpPr/>
      </xdr:nvCxnSpPr>
      <xdr:spPr>
        <a:xfrm flipH="1" flipV="1">
          <a:off x="2384382" y="5737235"/>
          <a:ext cx="531818" cy="0"/>
        </a:xfrm>
        <a:prstGeom prst="line">
          <a:avLst/>
        </a:prstGeom>
        <a:ln w="19050"/>
      </xdr:spPr>
      <xdr:style>
        <a:lnRef idx="1">
          <a:schemeClr val="accent4"/>
        </a:lnRef>
        <a:fillRef idx="0">
          <a:schemeClr val="accent4"/>
        </a:fillRef>
        <a:effectRef idx="0">
          <a:schemeClr val="accent4"/>
        </a:effectRef>
        <a:fontRef idx="minor">
          <a:schemeClr val="tx1"/>
        </a:fontRef>
      </xdr:style>
    </xdr:cxnSp>
    <xdr:clientData/>
  </xdr:twoCellAnchor>
  <xdr:twoCellAnchor>
    <xdr:from>
      <xdr:col>9</xdr:col>
      <xdr:colOff>0</xdr:colOff>
      <xdr:row>79</xdr:row>
      <xdr:rowOff>0</xdr:rowOff>
    </xdr:from>
    <xdr:to>
      <xdr:col>10</xdr:col>
      <xdr:colOff>830669</xdr:colOff>
      <xdr:row>80</xdr:row>
      <xdr:rowOff>137389</xdr:rowOff>
    </xdr:to>
    <xdr:sp macro="" textlink="">
      <xdr:nvSpPr>
        <xdr:cNvPr id="107" name="Rounded Rectangle 106">
          <a:hlinkClick xmlns:r="http://schemas.openxmlformats.org/officeDocument/2006/relationships" r:id="rId2"/>
          <a:extLst>
            <a:ext uri="{FF2B5EF4-FFF2-40B4-BE49-F238E27FC236}">
              <a16:creationId xmlns:a16="http://schemas.microsoft.com/office/drawing/2014/main" id="{00000000-0008-0000-0300-00006B000000}"/>
            </a:ext>
          </a:extLst>
        </xdr:cNvPr>
        <xdr:cNvSpPr/>
      </xdr:nvSpPr>
      <xdr:spPr>
        <a:xfrm>
          <a:off x="7520320" y="16978866"/>
          <a:ext cx="1428750" cy="425354"/>
        </a:xfrm>
        <a:prstGeom prst="roundRect">
          <a:avLst/>
        </a:prstGeom>
        <a:gradFill>
          <a:gsLst>
            <a:gs pos="0">
              <a:srgbClr val="23AF84"/>
            </a:gs>
            <a:gs pos="50000">
              <a:srgbClr val="6DDDA8"/>
            </a:gs>
            <a:gs pos="70000">
              <a:srgbClr val="70EAB9"/>
            </a:gs>
            <a:gs pos="100000">
              <a:srgbClr val="99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400">
              <a:latin typeface="+mj-lt"/>
            </a:rPr>
            <a:t>Return to Top</a:t>
          </a:r>
        </a:p>
      </xdr:txBody>
    </xdr:sp>
    <xdr:clientData/>
  </xdr:twoCellAnchor>
  <xdr:twoCellAnchor>
    <xdr:from>
      <xdr:col>9</xdr:col>
      <xdr:colOff>0</xdr:colOff>
      <xdr:row>43</xdr:row>
      <xdr:rowOff>0</xdr:rowOff>
    </xdr:from>
    <xdr:to>
      <xdr:col>10</xdr:col>
      <xdr:colOff>830669</xdr:colOff>
      <xdr:row>44</xdr:row>
      <xdr:rowOff>137389</xdr:rowOff>
    </xdr:to>
    <xdr:sp macro="" textlink="">
      <xdr:nvSpPr>
        <xdr:cNvPr id="108" name="Rounded Rectangle 107">
          <a:hlinkClick xmlns:r="http://schemas.openxmlformats.org/officeDocument/2006/relationships" r:id="rId2"/>
          <a:extLst>
            <a:ext uri="{FF2B5EF4-FFF2-40B4-BE49-F238E27FC236}">
              <a16:creationId xmlns:a16="http://schemas.microsoft.com/office/drawing/2014/main" id="{00000000-0008-0000-0300-00006C000000}"/>
            </a:ext>
          </a:extLst>
        </xdr:cNvPr>
        <xdr:cNvSpPr/>
      </xdr:nvSpPr>
      <xdr:spPr>
        <a:xfrm>
          <a:off x="7520320" y="9702209"/>
          <a:ext cx="1428750" cy="425354"/>
        </a:xfrm>
        <a:prstGeom prst="roundRect">
          <a:avLst/>
        </a:prstGeom>
        <a:gradFill>
          <a:gsLst>
            <a:gs pos="0">
              <a:srgbClr val="23AF84"/>
            </a:gs>
            <a:gs pos="50000">
              <a:srgbClr val="6DDDA8"/>
            </a:gs>
            <a:gs pos="70000">
              <a:srgbClr val="70EAB9"/>
            </a:gs>
            <a:gs pos="100000">
              <a:srgbClr val="99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400">
              <a:latin typeface="+mj-lt"/>
            </a:rPr>
            <a:t>Return to Top</a:t>
          </a:r>
        </a:p>
      </xdr:txBody>
    </xdr:sp>
    <xdr:clientData/>
  </xdr:twoCellAnchor>
  <xdr:twoCellAnchor>
    <xdr:from>
      <xdr:col>1</xdr:col>
      <xdr:colOff>1777606</xdr:colOff>
      <xdr:row>53</xdr:row>
      <xdr:rowOff>11906</xdr:rowOff>
    </xdr:from>
    <xdr:to>
      <xdr:col>2</xdr:col>
      <xdr:colOff>523875</xdr:colOff>
      <xdr:row>53</xdr:row>
      <xdr:rowOff>11906</xdr:rowOff>
    </xdr:to>
    <xdr:cxnSp macro="">
      <xdr:nvCxnSpPr>
        <xdr:cNvPr id="109" name="Straight Connector 108">
          <a:extLst>
            <a:ext uri="{FF2B5EF4-FFF2-40B4-BE49-F238E27FC236}">
              <a16:creationId xmlns:a16="http://schemas.microsoft.com/office/drawing/2014/main" id="{00000000-0008-0000-0300-00006D000000}"/>
            </a:ext>
          </a:extLst>
        </xdr:cNvPr>
        <xdr:cNvCxnSpPr/>
      </xdr:nvCxnSpPr>
      <xdr:spPr>
        <a:xfrm flipH="1">
          <a:off x="2386763" y="4408912"/>
          <a:ext cx="529438" cy="0"/>
        </a:xfrm>
        <a:prstGeom prst="line">
          <a:avLst/>
        </a:prstGeom>
        <a:ln w="19050"/>
      </xdr:spPr>
      <xdr:style>
        <a:lnRef idx="1">
          <a:schemeClr val="accent4"/>
        </a:lnRef>
        <a:fillRef idx="0">
          <a:schemeClr val="accent4"/>
        </a:fillRef>
        <a:effectRef idx="0">
          <a:schemeClr val="accent4"/>
        </a:effectRef>
        <a:fontRef idx="minor">
          <a:schemeClr val="tx1"/>
        </a:fontRef>
      </xdr:style>
    </xdr:cxnSp>
    <xdr:clientData/>
  </xdr:twoCellAnchor>
  <xdr:twoCellAnchor>
    <xdr:from>
      <xdr:col>1</xdr:col>
      <xdr:colOff>1777606</xdr:colOff>
      <xdr:row>89</xdr:row>
      <xdr:rowOff>11906</xdr:rowOff>
    </xdr:from>
    <xdr:to>
      <xdr:col>2</xdr:col>
      <xdr:colOff>523875</xdr:colOff>
      <xdr:row>89</xdr:row>
      <xdr:rowOff>11906</xdr:rowOff>
    </xdr:to>
    <xdr:cxnSp macro="">
      <xdr:nvCxnSpPr>
        <xdr:cNvPr id="110" name="Straight Connector 109">
          <a:extLst>
            <a:ext uri="{FF2B5EF4-FFF2-40B4-BE49-F238E27FC236}">
              <a16:creationId xmlns:a16="http://schemas.microsoft.com/office/drawing/2014/main" id="{00000000-0008-0000-0300-00006E000000}"/>
            </a:ext>
          </a:extLst>
        </xdr:cNvPr>
        <xdr:cNvCxnSpPr/>
      </xdr:nvCxnSpPr>
      <xdr:spPr>
        <a:xfrm flipH="1">
          <a:off x="2386763" y="4408912"/>
          <a:ext cx="529438" cy="0"/>
        </a:xfrm>
        <a:prstGeom prst="line">
          <a:avLst/>
        </a:prstGeom>
        <a:ln w="19050"/>
      </xdr:spPr>
      <xdr:style>
        <a:lnRef idx="1">
          <a:schemeClr val="accent4"/>
        </a:lnRef>
        <a:fillRef idx="0">
          <a:schemeClr val="accent4"/>
        </a:fillRef>
        <a:effectRef idx="0">
          <a:schemeClr val="accent4"/>
        </a:effectRef>
        <a:fontRef idx="minor">
          <a:schemeClr val="tx1"/>
        </a:fontRef>
      </xdr:style>
    </xdr:cxnSp>
    <xdr:clientData/>
  </xdr:twoCellAnchor>
  <xdr:twoCellAnchor>
    <xdr:from>
      <xdr:col>1</xdr:col>
      <xdr:colOff>1775225</xdr:colOff>
      <xdr:row>58</xdr:row>
      <xdr:rowOff>144066</xdr:rowOff>
    </xdr:from>
    <xdr:to>
      <xdr:col>2</xdr:col>
      <xdr:colOff>523874</xdr:colOff>
      <xdr:row>58</xdr:row>
      <xdr:rowOff>144066</xdr:rowOff>
    </xdr:to>
    <xdr:cxnSp macro="">
      <xdr:nvCxnSpPr>
        <xdr:cNvPr id="111" name="Straight Connector 110">
          <a:extLst>
            <a:ext uri="{FF2B5EF4-FFF2-40B4-BE49-F238E27FC236}">
              <a16:creationId xmlns:a16="http://schemas.microsoft.com/office/drawing/2014/main" id="{00000000-0008-0000-0300-00006F000000}"/>
            </a:ext>
          </a:extLst>
        </xdr:cNvPr>
        <xdr:cNvCxnSpPr/>
      </xdr:nvCxnSpPr>
      <xdr:spPr>
        <a:xfrm flipH="1" flipV="1">
          <a:off x="2384382" y="5737235"/>
          <a:ext cx="531818" cy="0"/>
        </a:xfrm>
        <a:prstGeom prst="line">
          <a:avLst/>
        </a:prstGeom>
        <a:ln w="19050"/>
      </xdr:spPr>
      <xdr:style>
        <a:lnRef idx="1">
          <a:schemeClr val="accent4"/>
        </a:lnRef>
        <a:fillRef idx="0">
          <a:schemeClr val="accent4"/>
        </a:fillRef>
        <a:effectRef idx="0">
          <a:schemeClr val="accent4"/>
        </a:effectRef>
        <a:fontRef idx="minor">
          <a:schemeClr val="tx1"/>
        </a:fontRef>
      </xdr:style>
    </xdr:cxnSp>
    <xdr:clientData/>
  </xdr:twoCellAnchor>
  <xdr:twoCellAnchor>
    <xdr:from>
      <xdr:col>1</xdr:col>
      <xdr:colOff>1176616</xdr:colOff>
      <xdr:row>113</xdr:row>
      <xdr:rowOff>0</xdr:rowOff>
    </xdr:from>
    <xdr:to>
      <xdr:col>11</xdr:col>
      <xdr:colOff>11204</xdr:colOff>
      <xdr:row>113</xdr:row>
      <xdr:rowOff>67237</xdr:rowOff>
    </xdr:to>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1781734" y="24126266"/>
          <a:ext cx="7272617" cy="840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This Public Health Risk Assessment Tool was developed by the Drexel University School of Public Health Center for Public Health Readiness and Communication, for the Pennsylvania Department of Health.  The project was supported by Cooperative Agreement Number 2U90TP316967–11 from the Centers for Disease Control and Prevention (CDC).  Its contents are solely the responsibility of the authors and do not represent the official views of CDC.</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7</xdr:col>
      <xdr:colOff>0</xdr:colOff>
      <xdr:row>1</xdr:row>
      <xdr:rowOff>0</xdr:rowOff>
    </xdr:from>
    <xdr:to>
      <xdr:col>8</xdr:col>
      <xdr:colOff>24092</xdr:colOff>
      <xdr:row>1</xdr:row>
      <xdr:rowOff>414618</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2700-000003000000}"/>
            </a:ext>
          </a:extLst>
        </xdr:cNvPr>
        <xdr:cNvSpPr/>
      </xdr:nvSpPr>
      <xdr:spPr>
        <a:xfrm>
          <a:off x="10708821" y="190500"/>
          <a:ext cx="1466450" cy="414618"/>
        </a:xfrm>
        <a:prstGeom prst="roundRect">
          <a:avLst/>
        </a:prstGeom>
        <a:gradFill>
          <a:gsLst>
            <a:gs pos="0">
              <a:srgbClr val="23AF84"/>
            </a:gs>
            <a:gs pos="50000">
              <a:srgbClr val="6DDDA8"/>
            </a:gs>
            <a:gs pos="70000">
              <a:srgbClr val="70EAB9"/>
            </a:gs>
            <a:gs pos="100000">
              <a:srgbClr val="99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400">
              <a:latin typeface="+mj-lt"/>
            </a:rPr>
            <a:t>Main</a:t>
          </a:r>
          <a:r>
            <a:rPr lang="en-US" sz="1400" baseline="0">
              <a:latin typeface="+mj-lt"/>
            </a:rPr>
            <a:t> Menu</a:t>
          </a:r>
          <a:endParaRPr lang="en-US" sz="1400">
            <a:latin typeface="+mj-lt"/>
          </a:endParaRP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12</xdr:col>
      <xdr:colOff>0</xdr:colOff>
      <xdr:row>1</xdr:row>
      <xdr:rowOff>0</xdr:rowOff>
    </xdr:from>
    <xdr:to>
      <xdr:col>13</xdr:col>
      <xdr:colOff>595593</xdr:colOff>
      <xdr:row>1</xdr:row>
      <xdr:rowOff>414618</xdr:rowOff>
    </xdr:to>
    <xdr:sp macro="" textlink="">
      <xdr:nvSpPr>
        <xdr:cNvPr id="7" name="Rounded Rectangle 6">
          <a:hlinkClick xmlns:r="http://schemas.openxmlformats.org/officeDocument/2006/relationships" r:id="rId1"/>
          <a:extLst>
            <a:ext uri="{FF2B5EF4-FFF2-40B4-BE49-F238E27FC236}">
              <a16:creationId xmlns:a16="http://schemas.microsoft.com/office/drawing/2014/main" id="{00000000-0008-0000-2800-000007000000}"/>
            </a:ext>
          </a:extLst>
        </xdr:cNvPr>
        <xdr:cNvSpPr/>
      </xdr:nvSpPr>
      <xdr:spPr>
        <a:xfrm>
          <a:off x="7315200" y="190500"/>
          <a:ext cx="1205193" cy="414618"/>
        </a:xfrm>
        <a:prstGeom prst="roundRect">
          <a:avLst/>
        </a:prstGeom>
        <a:gradFill>
          <a:gsLst>
            <a:gs pos="0">
              <a:srgbClr val="23AF84"/>
            </a:gs>
            <a:gs pos="50000">
              <a:srgbClr val="6DDDA8"/>
            </a:gs>
            <a:gs pos="70000">
              <a:srgbClr val="70EAB9"/>
            </a:gs>
            <a:gs pos="100000">
              <a:srgbClr val="99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400">
              <a:latin typeface="+mj-lt"/>
            </a:rPr>
            <a:t>Main</a:t>
          </a:r>
          <a:r>
            <a:rPr lang="en-US" sz="1400" baseline="0">
              <a:latin typeface="+mj-lt"/>
            </a:rPr>
            <a:t> Menu</a:t>
          </a:r>
          <a:endParaRPr lang="en-US" sz="1400">
            <a:latin typeface="+mj-lt"/>
          </a:endParaRPr>
        </a:p>
      </xdr:txBody>
    </xdr:sp>
    <xdr:clientData/>
  </xdr:twoCellAnchor>
  <xdr:twoCellAnchor>
    <xdr:from>
      <xdr:col>1</xdr:col>
      <xdr:colOff>0</xdr:colOff>
      <xdr:row>4</xdr:row>
      <xdr:rowOff>0</xdr:rowOff>
    </xdr:from>
    <xdr:to>
      <xdr:col>13</xdr:col>
      <xdr:colOff>371475</xdr:colOff>
      <xdr:row>31</xdr:row>
      <xdr:rowOff>85725</xdr:rowOff>
    </xdr:to>
    <xdr:graphicFrame macro="">
      <xdr:nvGraphicFramePr>
        <xdr:cNvPr id="8" name="Chart 7">
          <a:extLst>
            <a:ext uri="{FF2B5EF4-FFF2-40B4-BE49-F238E27FC236}">
              <a16:creationId xmlns:a16="http://schemas.microsoft.com/office/drawing/2014/main" id="{00000000-0008-0000-2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1</xdr:col>
      <xdr:colOff>0</xdr:colOff>
      <xdr:row>33</xdr:row>
      <xdr:rowOff>0</xdr:rowOff>
    </xdr:from>
    <xdr:to>
      <xdr:col>13</xdr:col>
      <xdr:colOff>371475</xdr:colOff>
      <xdr:row>60</xdr:row>
      <xdr:rowOff>85725</xdr:rowOff>
    </xdr:to>
    <xdr:graphicFrame macro="">
      <xdr:nvGraphicFramePr>
        <xdr:cNvPr id="11" name="Chart 10">
          <a:extLst>
            <a:ext uri="{FF2B5EF4-FFF2-40B4-BE49-F238E27FC236}">
              <a16:creationId xmlns:a16="http://schemas.microsoft.com/office/drawing/2014/main" id="{00000000-0008-0000-28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xdr:from>
      <xdr:col>1</xdr:col>
      <xdr:colOff>0</xdr:colOff>
      <xdr:row>62</xdr:row>
      <xdr:rowOff>0</xdr:rowOff>
    </xdr:from>
    <xdr:to>
      <xdr:col>13</xdr:col>
      <xdr:colOff>371475</xdr:colOff>
      <xdr:row>89</xdr:row>
      <xdr:rowOff>85725</xdr:rowOff>
    </xdr:to>
    <xdr:graphicFrame macro="">
      <xdr:nvGraphicFramePr>
        <xdr:cNvPr id="12" name="Chart 11">
          <a:extLst>
            <a:ext uri="{FF2B5EF4-FFF2-40B4-BE49-F238E27FC236}">
              <a16:creationId xmlns:a16="http://schemas.microsoft.com/office/drawing/2014/main" id="{00000000-0008-0000-28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1</xdr:col>
      <xdr:colOff>0</xdr:colOff>
      <xdr:row>91</xdr:row>
      <xdr:rowOff>0</xdr:rowOff>
    </xdr:from>
    <xdr:to>
      <xdr:col>13</xdr:col>
      <xdr:colOff>371475</xdr:colOff>
      <xdr:row>118</xdr:row>
      <xdr:rowOff>85725</xdr:rowOff>
    </xdr:to>
    <xdr:graphicFrame macro="">
      <xdr:nvGraphicFramePr>
        <xdr:cNvPr id="13" name="Chart 12">
          <a:extLst>
            <a:ext uri="{FF2B5EF4-FFF2-40B4-BE49-F238E27FC236}">
              <a16:creationId xmlns:a16="http://schemas.microsoft.com/office/drawing/2014/main" id="{00000000-0008-0000-28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xdr:from>
      <xdr:col>1</xdr:col>
      <xdr:colOff>0</xdr:colOff>
      <xdr:row>120</xdr:row>
      <xdr:rowOff>0</xdr:rowOff>
    </xdr:from>
    <xdr:to>
      <xdr:col>13</xdr:col>
      <xdr:colOff>371475</xdr:colOff>
      <xdr:row>147</xdr:row>
      <xdr:rowOff>85725</xdr:rowOff>
    </xdr:to>
    <xdr:graphicFrame macro="">
      <xdr:nvGraphicFramePr>
        <xdr:cNvPr id="14" name="Chart 13">
          <a:extLst>
            <a:ext uri="{FF2B5EF4-FFF2-40B4-BE49-F238E27FC236}">
              <a16:creationId xmlns:a16="http://schemas.microsoft.com/office/drawing/2014/main" id="{00000000-0008-0000-28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twoCellAnchor>
</xdr:wsDr>
</file>

<file path=xl/drawings/drawing42.xml><?xml version="1.0" encoding="utf-8"?>
<xdr:wsDr xmlns:xdr="http://schemas.openxmlformats.org/drawingml/2006/spreadsheetDrawing" xmlns:a="http://schemas.openxmlformats.org/drawingml/2006/main">
  <xdr:twoCellAnchor>
    <xdr:from>
      <xdr:col>11</xdr:col>
      <xdr:colOff>0</xdr:colOff>
      <xdr:row>1</xdr:row>
      <xdr:rowOff>0</xdr:rowOff>
    </xdr:from>
    <xdr:to>
      <xdr:col>12</xdr:col>
      <xdr:colOff>595593</xdr:colOff>
      <xdr:row>1</xdr:row>
      <xdr:rowOff>414618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900-000002000000}"/>
            </a:ext>
          </a:extLst>
        </xdr:cNvPr>
        <xdr:cNvSpPr/>
      </xdr:nvSpPr>
      <xdr:spPr>
        <a:xfrm>
          <a:off x="6705600" y="190500"/>
          <a:ext cx="1205193" cy="414618"/>
        </a:xfrm>
        <a:prstGeom prst="roundRect">
          <a:avLst/>
        </a:prstGeom>
        <a:gradFill>
          <a:gsLst>
            <a:gs pos="0">
              <a:srgbClr val="23AF84"/>
            </a:gs>
            <a:gs pos="50000">
              <a:srgbClr val="6DDDA8"/>
            </a:gs>
            <a:gs pos="70000">
              <a:srgbClr val="70EAB9"/>
            </a:gs>
            <a:gs pos="100000">
              <a:srgbClr val="99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400">
              <a:latin typeface="+mj-lt"/>
            </a:rPr>
            <a:t>Main</a:t>
          </a:r>
          <a:r>
            <a:rPr lang="en-US" sz="1400" baseline="0">
              <a:latin typeface="+mj-lt"/>
            </a:rPr>
            <a:t> Menu</a:t>
          </a:r>
          <a:endParaRPr lang="en-US" sz="1400">
            <a:latin typeface="+mj-lt"/>
          </a:endParaRP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10</xdr:col>
      <xdr:colOff>0</xdr:colOff>
      <xdr:row>1</xdr:row>
      <xdr:rowOff>0</xdr:rowOff>
    </xdr:from>
    <xdr:to>
      <xdr:col>11</xdr:col>
      <xdr:colOff>595592</xdr:colOff>
      <xdr:row>2</xdr:row>
      <xdr:rowOff>0</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2A00-000003000000}"/>
            </a:ext>
          </a:extLst>
        </xdr:cNvPr>
        <xdr:cNvSpPr/>
      </xdr:nvSpPr>
      <xdr:spPr>
        <a:xfrm>
          <a:off x="9144000" y="190500"/>
          <a:ext cx="1570504" cy="414618"/>
        </a:xfrm>
        <a:prstGeom prst="roundRect">
          <a:avLst/>
        </a:prstGeom>
        <a:gradFill>
          <a:gsLst>
            <a:gs pos="0">
              <a:srgbClr val="23AF84"/>
            </a:gs>
            <a:gs pos="50000">
              <a:srgbClr val="6DDDA8"/>
            </a:gs>
            <a:gs pos="70000">
              <a:srgbClr val="70EAB9"/>
            </a:gs>
            <a:gs pos="100000">
              <a:srgbClr val="99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400">
              <a:latin typeface="+mj-lt"/>
            </a:rPr>
            <a:t>Main</a:t>
          </a:r>
          <a:r>
            <a:rPr lang="en-US" sz="1400" baseline="0">
              <a:latin typeface="+mj-lt"/>
            </a:rPr>
            <a:t> Menu</a:t>
          </a:r>
          <a:endParaRPr lang="en-US" sz="1400">
            <a:latin typeface="+mj-lt"/>
          </a:endParaRP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1</xdr:col>
      <xdr:colOff>0</xdr:colOff>
      <xdr:row>6</xdr:row>
      <xdr:rowOff>0</xdr:rowOff>
    </xdr:from>
    <xdr:to>
      <xdr:col>13</xdr:col>
      <xdr:colOff>371475</xdr:colOff>
      <xdr:row>33</xdr:row>
      <xdr:rowOff>85725</xdr:rowOff>
    </xdr:to>
    <xdr:graphicFrame macro="">
      <xdr:nvGraphicFramePr>
        <xdr:cNvPr id="2" name="Chart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12</xdr:col>
      <xdr:colOff>0</xdr:colOff>
      <xdr:row>1</xdr:row>
      <xdr:rowOff>0</xdr:rowOff>
    </xdr:from>
    <xdr:to>
      <xdr:col>13</xdr:col>
      <xdr:colOff>595593</xdr:colOff>
      <xdr:row>1</xdr:row>
      <xdr:rowOff>414618</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2B00-000003000000}"/>
            </a:ext>
          </a:extLst>
        </xdr:cNvPr>
        <xdr:cNvSpPr/>
      </xdr:nvSpPr>
      <xdr:spPr>
        <a:xfrm>
          <a:off x="6981825" y="190500"/>
          <a:ext cx="1205193" cy="414618"/>
        </a:xfrm>
        <a:prstGeom prst="roundRect">
          <a:avLst/>
        </a:prstGeom>
        <a:gradFill>
          <a:gsLst>
            <a:gs pos="0">
              <a:srgbClr val="23AF84"/>
            </a:gs>
            <a:gs pos="50000">
              <a:srgbClr val="6DDDA8"/>
            </a:gs>
            <a:gs pos="70000">
              <a:srgbClr val="70EAB9"/>
            </a:gs>
            <a:gs pos="100000">
              <a:srgbClr val="99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400">
              <a:latin typeface="+mj-lt"/>
            </a:rPr>
            <a:t>Main</a:t>
          </a:r>
          <a:r>
            <a:rPr lang="en-US" sz="1400" baseline="0">
              <a:latin typeface="+mj-lt"/>
            </a:rPr>
            <a:t> Menu</a:t>
          </a:r>
          <a:endParaRPr lang="en-US" sz="1400">
            <a:latin typeface="+mj-lt"/>
          </a:endParaRPr>
        </a:p>
      </xdr:txBody>
    </xdr:sp>
    <xdr:clientData/>
  </xdr:twoCellAnchor>
  <xdr:twoCellAnchor>
    <xdr:from>
      <xdr:col>1</xdr:col>
      <xdr:colOff>0</xdr:colOff>
      <xdr:row>35</xdr:row>
      <xdr:rowOff>0</xdr:rowOff>
    </xdr:from>
    <xdr:to>
      <xdr:col>13</xdr:col>
      <xdr:colOff>371475</xdr:colOff>
      <xdr:row>62</xdr:row>
      <xdr:rowOff>85725</xdr:rowOff>
    </xdr:to>
    <xdr:graphicFrame macro="">
      <xdr:nvGraphicFramePr>
        <xdr:cNvPr id="4" name="Chart 3">
          <a:extLst>
            <a:ext uri="{FF2B5EF4-FFF2-40B4-BE49-F238E27FC236}">
              <a16:creationId xmlns:a16="http://schemas.microsoft.com/office/drawing/2014/main" id="{00000000-0008-0000-2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xdr:from>
      <xdr:col>1</xdr:col>
      <xdr:colOff>0</xdr:colOff>
      <xdr:row>64</xdr:row>
      <xdr:rowOff>0</xdr:rowOff>
    </xdr:from>
    <xdr:to>
      <xdr:col>13</xdr:col>
      <xdr:colOff>371475</xdr:colOff>
      <xdr:row>91</xdr:row>
      <xdr:rowOff>85725</xdr:rowOff>
    </xdr:to>
    <xdr:graphicFrame macro="">
      <xdr:nvGraphicFramePr>
        <xdr:cNvPr id="5" name="Chart 4">
          <a:extLst>
            <a:ext uri="{FF2B5EF4-FFF2-40B4-BE49-F238E27FC236}">
              <a16:creationId xmlns:a16="http://schemas.microsoft.com/office/drawing/2014/main" id="{00000000-0008-0000-2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1</xdr:col>
      <xdr:colOff>0</xdr:colOff>
      <xdr:row>93</xdr:row>
      <xdr:rowOff>0</xdr:rowOff>
    </xdr:from>
    <xdr:to>
      <xdr:col>13</xdr:col>
      <xdr:colOff>371475</xdr:colOff>
      <xdr:row>120</xdr:row>
      <xdr:rowOff>85725</xdr:rowOff>
    </xdr:to>
    <xdr:graphicFrame macro="">
      <xdr:nvGraphicFramePr>
        <xdr:cNvPr id="6" name="Chart 5">
          <a:extLst>
            <a:ext uri="{FF2B5EF4-FFF2-40B4-BE49-F238E27FC236}">
              <a16:creationId xmlns:a16="http://schemas.microsoft.com/office/drawing/2014/main" id="{00000000-0008-0000-2B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xdr:from>
      <xdr:col>1</xdr:col>
      <xdr:colOff>0</xdr:colOff>
      <xdr:row>122</xdr:row>
      <xdr:rowOff>0</xdr:rowOff>
    </xdr:from>
    <xdr:to>
      <xdr:col>13</xdr:col>
      <xdr:colOff>371475</xdr:colOff>
      <xdr:row>149</xdr:row>
      <xdr:rowOff>85725</xdr:rowOff>
    </xdr:to>
    <xdr:graphicFrame macro="">
      <xdr:nvGraphicFramePr>
        <xdr:cNvPr id="7" name="Chart 6">
          <a:extLst>
            <a:ext uri="{FF2B5EF4-FFF2-40B4-BE49-F238E27FC236}">
              <a16:creationId xmlns:a16="http://schemas.microsoft.com/office/drawing/2014/main" id="{00000000-0008-0000-2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twoCellAnchor>
</xdr:wsDr>
</file>

<file path=xl/drawings/drawing45.xml><?xml version="1.0" encoding="utf-8"?>
<xdr:wsDr xmlns:xdr="http://schemas.openxmlformats.org/drawingml/2006/spreadsheetDrawing" xmlns:a="http://schemas.openxmlformats.org/drawingml/2006/main">
  <xdr:twoCellAnchor>
    <xdr:from>
      <xdr:col>12</xdr:col>
      <xdr:colOff>0</xdr:colOff>
      <xdr:row>1</xdr:row>
      <xdr:rowOff>0</xdr:rowOff>
    </xdr:from>
    <xdr:to>
      <xdr:col>13</xdr:col>
      <xdr:colOff>595593</xdr:colOff>
      <xdr:row>1</xdr:row>
      <xdr:rowOff>414618</xdr:rowOff>
    </xdr:to>
    <xdr:sp macro="" textlink="">
      <xdr:nvSpPr>
        <xdr:cNvPr id="7" name="Rounded Rectangle 6">
          <a:hlinkClick xmlns:r="http://schemas.openxmlformats.org/officeDocument/2006/relationships" r:id="rId1"/>
          <a:extLst>
            <a:ext uri="{FF2B5EF4-FFF2-40B4-BE49-F238E27FC236}">
              <a16:creationId xmlns:a16="http://schemas.microsoft.com/office/drawing/2014/main" id="{00000000-0008-0000-2C00-000007000000}"/>
            </a:ext>
          </a:extLst>
        </xdr:cNvPr>
        <xdr:cNvSpPr/>
      </xdr:nvSpPr>
      <xdr:spPr>
        <a:xfrm>
          <a:off x="6981825" y="190500"/>
          <a:ext cx="1205193" cy="414618"/>
        </a:xfrm>
        <a:prstGeom prst="roundRect">
          <a:avLst/>
        </a:prstGeom>
        <a:gradFill>
          <a:gsLst>
            <a:gs pos="0">
              <a:srgbClr val="23AF84"/>
            </a:gs>
            <a:gs pos="50000">
              <a:srgbClr val="6DDDA8"/>
            </a:gs>
            <a:gs pos="70000">
              <a:srgbClr val="70EAB9"/>
            </a:gs>
            <a:gs pos="100000">
              <a:srgbClr val="99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400">
              <a:latin typeface="+mj-lt"/>
            </a:rPr>
            <a:t>Main</a:t>
          </a:r>
          <a:r>
            <a:rPr lang="en-US" sz="1400" baseline="0">
              <a:latin typeface="+mj-lt"/>
            </a:rPr>
            <a:t> Menu</a:t>
          </a:r>
          <a:endParaRPr lang="en-US" sz="1400">
            <a:latin typeface="+mj-lt"/>
          </a:endParaRPr>
        </a:p>
      </xdr:txBody>
    </xdr:sp>
    <xdr:clientData/>
  </xdr:twoCellAnchor>
  <xdr:twoCellAnchor>
    <xdr:from>
      <xdr:col>1</xdr:col>
      <xdr:colOff>0</xdr:colOff>
      <xdr:row>5</xdr:row>
      <xdr:rowOff>0</xdr:rowOff>
    </xdr:from>
    <xdr:to>
      <xdr:col>13</xdr:col>
      <xdr:colOff>371475</xdr:colOff>
      <xdr:row>32</xdr:row>
      <xdr:rowOff>85725</xdr:rowOff>
    </xdr:to>
    <xdr:graphicFrame macro="">
      <xdr:nvGraphicFramePr>
        <xdr:cNvPr id="15" name="Chart 14">
          <a:extLst>
            <a:ext uri="{FF2B5EF4-FFF2-40B4-BE49-F238E27FC236}">
              <a16:creationId xmlns:a16="http://schemas.microsoft.com/office/drawing/2014/main" id="{00000000-0008-0000-2C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1</xdr:col>
      <xdr:colOff>0</xdr:colOff>
      <xdr:row>34</xdr:row>
      <xdr:rowOff>0</xdr:rowOff>
    </xdr:from>
    <xdr:to>
      <xdr:col>13</xdr:col>
      <xdr:colOff>371475</xdr:colOff>
      <xdr:row>61</xdr:row>
      <xdr:rowOff>85725</xdr:rowOff>
    </xdr:to>
    <xdr:graphicFrame macro="">
      <xdr:nvGraphicFramePr>
        <xdr:cNvPr id="16" name="Chart 15">
          <a:extLst>
            <a:ext uri="{FF2B5EF4-FFF2-40B4-BE49-F238E27FC236}">
              <a16:creationId xmlns:a16="http://schemas.microsoft.com/office/drawing/2014/main" id="{00000000-0008-0000-2C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xdr:from>
      <xdr:col>1</xdr:col>
      <xdr:colOff>0</xdr:colOff>
      <xdr:row>63</xdr:row>
      <xdr:rowOff>0</xdr:rowOff>
    </xdr:from>
    <xdr:to>
      <xdr:col>13</xdr:col>
      <xdr:colOff>371475</xdr:colOff>
      <xdr:row>90</xdr:row>
      <xdr:rowOff>85725</xdr:rowOff>
    </xdr:to>
    <xdr:graphicFrame macro="">
      <xdr:nvGraphicFramePr>
        <xdr:cNvPr id="17" name="Chart 16">
          <a:extLst>
            <a:ext uri="{FF2B5EF4-FFF2-40B4-BE49-F238E27FC236}">
              <a16:creationId xmlns:a16="http://schemas.microsoft.com/office/drawing/2014/main" id="{00000000-0008-0000-2C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wsDr>
</file>

<file path=xl/drawings/drawing46.xml><?xml version="1.0" encoding="utf-8"?>
<xdr:wsDr xmlns:xdr="http://schemas.openxmlformats.org/drawingml/2006/spreadsheetDrawing" xmlns:a="http://schemas.openxmlformats.org/drawingml/2006/main">
  <xdr:twoCellAnchor>
    <xdr:from>
      <xdr:col>12</xdr:col>
      <xdr:colOff>0</xdr:colOff>
      <xdr:row>1</xdr:row>
      <xdr:rowOff>0</xdr:rowOff>
    </xdr:from>
    <xdr:to>
      <xdr:col>13</xdr:col>
      <xdr:colOff>595593</xdr:colOff>
      <xdr:row>1</xdr:row>
      <xdr:rowOff>414618</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2D00-000003000000}"/>
            </a:ext>
          </a:extLst>
        </xdr:cNvPr>
        <xdr:cNvSpPr/>
      </xdr:nvSpPr>
      <xdr:spPr>
        <a:xfrm>
          <a:off x="6962775" y="190500"/>
          <a:ext cx="1205193" cy="414618"/>
        </a:xfrm>
        <a:prstGeom prst="roundRect">
          <a:avLst/>
        </a:prstGeom>
        <a:gradFill>
          <a:gsLst>
            <a:gs pos="0">
              <a:srgbClr val="23AF84"/>
            </a:gs>
            <a:gs pos="50000">
              <a:srgbClr val="6DDDA8"/>
            </a:gs>
            <a:gs pos="70000">
              <a:srgbClr val="70EAB9"/>
            </a:gs>
            <a:gs pos="100000">
              <a:srgbClr val="99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400">
              <a:latin typeface="+mj-lt"/>
            </a:rPr>
            <a:t>Main</a:t>
          </a:r>
          <a:r>
            <a:rPr lang="en-US" sz="1400" baseline="0">
              <a:latin typeface="+mj-lt"/>
            </a:rPr>
            <a:t> Menu</a:t>
          </a:r>
          <a:endParaRPr lang="en-US" sz="1400">
            <a:latin typeface="+mj-lt"/>
          </a:endParaRPr>
        </a:p>
      </xdr:txBody>
    </xdr:sp>
    <xdr:clientData/>
  </xdr:twoCellAnchor>
  <xdr:twoCellAnchor>
    <xdr:from>
      <xdr:col>1</xdr:col>
      <xdr:colOff>0</xdr:colOff>
      <xdr:row>63</xdr:row>
      <xdr:rowOff>0</xdr:rowOff>
    </xdr:from>
    <xdr:to>
      <xdr:col>13</xdr:col>
      <xdr:colOff>371475</xdr:colOff>
      <xdr:row>90</xdr:row>
      <xdr:rowOff>85725</xdr:rowOff>
    </xdr:to>
    <xdr:graphicFrame macro="">
      <xdr:nvGraphicFramePr>
        <xdr:cNvPr id="7" name="Chart 6">
          <a:extLst>
            <a:ext uri="{FF2B5EF4-FFF2-40B4-BE49-F238E27FC236}">
              <a16:creationId xmlns:a16="http://schemas.microsoft.com/office/drawing/2014/main" id="{00000000-0008-0000-2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1</xdr:col>
      <xdr:colOff>0</xdr:colOff>
      <xdr:row>5</xdr:row>
      <xdr:rowOff>0</xdr:rowOff>
    </xdr:from>
    <xdr:to>
      <xdr:col>13</xdr:col>
      <xdr:colOff>371475</xdr:colOff>
      <xdr:row>32</xdr:row>
      <xdr:rowOff>85725</xdr:rowOff>
    </xdr:to>
    <xdr:graphicFrame macro="">
      <xdr:nvGraphicFramePr>
        <xdr:cNvPr id="9" name="Chart 8">
          <a:extLst>
            <a:ext uri="{FF2B5EF4-FFF2-40B4-BE49-F238E27FC236}">
              <a16:creationId xmlns:a16="http://schemas.microsoft.com/office/drawing/2014/main" id="{00000000-0008-0000-2D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xdr:from>
      <xdr:col>1</xdr:col>
      <xdr:colOff>0</xdr:colOff>
      <xdr:row>34</xdr:row>
      <xdr:rowOff>0</xdr:rowOff>
    </xdr:from>
    <xdr:to>
      <xdr:col>13</xdr:col>
      <xdr:colOff>371475</xdr:colOff>
      <xdr:row>61</xdr:row>
      <xdr:rowOff>85725</xdr:rowOff>
    </xdr:to>
    <xdr:graphicFrame macro="">
      <xdr:nvGraphicFramePr>
        <xdr:cNvPr id="10" name="Chart 9">
          <a:extLst>
            <a:ext uri="{FF2B5EF4-FFF2-40B4-BE49-F238E27FC236}">
              <a16:creationId xmlns:a16="http://schemas.microsoft.com/office/drawing/2014/main" id="{00000000-0008-0000-2D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wsDr>
</file>

<file path=xl/drawings/drawing47.xml><?xml version="1.0" encoding="utf-8"?>
<xdr:wsDr xmlns:xdr="http://schemas.openxmlformats.org/drawingml/2006/spreadsheetDrawing" xmlns:a="http://schemas.openxmlformats.org/drawingml/2006/main">
  <xdr:twoCellAnchor>
    <xdr:from>
      <xdr:col>1</xdr:col>
      <xdr:colOff>0</xdr:colOff>
      <xdr:row>5</xdr:row>
      <xdr:rowOff>0</xdr:rowOff>
    </xdr:from>
    <xdr:to>
      <xdr:col>13</xdr:col>
      <xdr:colOff>371475</xdr:colOff>
      <xdr:row>32</xdr:row>
      <xdr:rowOff>85725</xdr:rowOff>
    </xdr:to>
    <xdr:graphicFrame macro="">
      <xdr:nvGraphicFramePr>
        <xdr:cNvPr id="2" name="Chart 1">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12</xdr:col>
      <xdr:colOff>0</xdr:colOff>
      <xdr:row>1</xdr:row>
      <xdr:rowOff>0</xdr:rowOff>
    </xdr:from>
    <xdr:to>
      <xdr:col>13</xdr:col>
      <xdr:colOff>595593</xdr:colOff>
      <xdr:row>1</xdr:row>
      <xdr:rowOff>414618</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2E00-000003000000}"/>
            </a:ext>
          </a:extLst>
        </xdr:cNvPr>
        <xdr:cNvSpPr/>
      </xdr:nvSpPr>
      <xdr:spPr>
        <a:xfrm>
          <a:off x="6962775" y="190500"/>
          <a:ext cx="1205193" cy="414618"/>
        </a:xfrm>
        <a:prstGeom prst="roundRect">
          <a:avLst/>
        </a:prstGeom>
        <a:gradFill>
          <a:gsLst>
            <a:gs pos="0">
              <a:srgbClr val="23AF84"/>
            </a:gs>
            <a:gs pos="50000">
              <a:srgbClr val="6DDDA8"/>
            </a:gs>
            <a:gs pos="70000">
              <a:srgbClr val="70EAB9"/>
            </a:gs>
            <a:gs pos="100000">
              <a:srgbClr val="99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400">
              <a:latin typeface="+mj-lt"/>
            </a:rPr>
            <a:t>Main</a:t>
          </a:r>
          <a:r>
            <a:rPr lang="en-US" sz="1400" baseline="0">
              <a:latin typeface="+mj-lt"/>
            </a:rPr>
            <a:t> Menu</a:t>
          </a:r>
          <a:endParaRPr lang="en-US" sz="1400">
            <a:latin typeface="+mj-lt"/>
          </a:endParaRP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13</xdr:col>
      <xdr:colOff>0</xdr:colOff>
      <xdr:row>1</xdr:row>
      <xdr:rowOff>0</xdr:rowOff>
    </xdr:from>
    <xdr:to>
      <xdr:col>14</xdr:col>
      <xdr:colOff>595593</xdr:colOff>
      <xdr:row>1</xdr:row>
      <xdr:rowOff>414618</xdr:rowOff>
    </xdr:to>
    <xdr:sp macro="" textlink="">
      <xdr:nvSpPr>
        <xdr:cNvPr id="5" name="Rounded Rectangle 4">
          <a:hlinkClick xmlns:r="http://schemas.openxmlformats.org/officeDocument/2006/relationships" r:id="rId1"/>
          <a:extLst>
            <a:ext uri="{FF2B5EF4-FFF2-40B4-BE49-F238E27FC236}">
              <a16:creationId xmlns:a16="http://schemas.microsoft.com/office/drawing/2014/main" id="{00000000-0008-0000-2F00-000005000000}"/>
            </a:ext>
          </a:extLst>
        </xdr:cNvPr>
        <xdr:cNvSpPr/>
      </xdr:nvSpPr>
      <xdr:spPr>
        <a:xfrm>
          <a:off x="7924800" y="1524000"/>
          <a:ext cx="1205193" cy="414618"/>
        </a:xfrm>
        <a:prstGeom prst="roundRect">
          <a:avLst/>
        </a:prstGeom>
        <a:gradFill>
          <a:gsLst>
            <a:gs pos="0">
              <a:srgbClr val="23AF84"/>
            </a:gs>
            <a:gs pos="50000">
              <a:srgbClr val="6DDDA8"/>
            </a:gs>
            <a:gs pos="70000">
              <a:srgbClr val="70EAB9"/>
            </a:gs>
            <a:gs pos="100000">
              <a:srgbClr val="99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400">
              <a:latin typeface="+mj-lt"/>
            </a:rPr>
            <a:t>Main</a:t>
          </a:r>
          <a:r>
            <a:rPr lang="en-US" sz="1400" baseline="0">
              <a:latin typeface="+mj-lt"/>
            </a:rPr>
            <a:t> Menu</a:t>
          </a:r>
          <a:endParaRPr lang="en-US" sz="1400">
            <a:latin typeface="+mj-lt"/>
          </a:endParaRPr>
        </a:p>
      </xdr:txBody>
    </xdr:sp>
    <xdr:clientData/>
  </xdr:twoCellAnchor>
  <xdr:twoCellAnchor>
    <xdr:from>
      <xdr:col>6</xdr:col>
      <xdr:colOff>0</xdr:colOff>
      <xdr:row>6</xdr:row>
      <xdr:rowOff>0</xdr:rowOff>
    </xdr:from>
    <xdr:to>
      <xdr:col>9</xdr:col>
      <xdr:colOff>0</xdr:colOff>
      <xdr:row>7</xdr:row>
      <xdr:rowOff>9525</xdr:rowOff>
    </xdr:to>
    <xdr:sp macro="" textlink="">
      <xdr:nvSpPr>
        <xdr:cNvPr id="6" name="Rounded Rectangle 5">
          <a:hlinkClick xmlns:r="http://schemas.openxmlformats.org/officeDocument/2006/relationships" r:id="rId2"/>
          <a:extLst>
            <a:ext uri="{FF2B5EF4-FFF2-40B4-BE49-F238E27FC236}">
              <a16:creationId xmlns:a16="http://schemas.microsoft.com/office/drawing/2014/main" id="{00000000-0008-0000-2F00-000006000000}"/>
            </a:ext>
          </a:extLst>
        </xdr:cNvPr>
        <xdr:cNvSpPr/>
      </xdr:nvSpPr>
      <xdr:spPr>
        <a:xfrm>
          <a:off x="3657600" y="2781300"/>
          <a:ext cx="1828800" cy="219075"/>
        </a:xfrm>
        <a:prstGeom prst="roundRect">
          <a:avLst/>
        </a:prstGeom>
        <a:gradFill>
          <a:gsLst>
            <a:gs pos="0">
              <a:srgbClr val="DCCD72"/>
            </a:gs>
            <a:gs pos="50000">
              <a:srgbClr val="FFFF99"/>
            </a:gs>
            <a:gs pos="70000">
              <a:srgbClr val="FFFFCC"/>
            </a:gs>
            <a:gs pos="100000">
              <a:srgbClr val="FFFFCC"/>
            </a:gs>
          </a:gsLst>
        </a:gradFill>
        <a:ln w="19050">
          <a:solidFill>
            <a:schemeClr val="tx1"/>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1100" baseline="0">
              <a:solidFill>
                <a:schemeClr val="tx1"/>
              </a:solidFill>
            </a:rPr>
            <a:t>Active Shooter</a:t>
          </a:r>
          <a:endParaRPr lang="en-US" sz="1100">
            <a:solidFill>
              <a:schemeClr val="tx1"/>
            </a:solidFill>
          </a:endParaRPr>
        </a:p>
      </xdr:txBody>
    </xdr:sp>
    <xdr:clientData/>
  </xdr:twoCellAnchor>
  <xdr:twoCellAnchor>
    <xdr:from>
      <xdr:col>6</xdr:col>
      <xdr:colOff>0</xdr:colOff>
      <xdr:row>8</xdr:row>
      <xdr:rowOff>0</xdr:rowOff>
    </xdr:from>
    <xdr:to>
      <xdr:col>9</xdr:col>
      <xdr:colOff>0</xdr:colOff>
      <xdr:row>9</xdr:row>
      <xdr:rowOff>9525</xdr:rowOff>
    </xdr:to>
    <xdr:sp macro="" textlink="">
      <xdr:nvSpPr>
        <xdr:cNvPr id="7" name="Rounded Rectangle 6">
          <a:hlinkClick xmlns:r="http://schemas.openxmlformats.org/officeDocument/2006/relationships" r:id="rId3"/>
          <a:extLst>
            <a:ext uri="{FF2B5EF4-FFF2-40B4-BE49-F238E27FC236}">
              <a16:creationId xmlns:a16="http://schemas.microsoft.com/office/drawing/2014/main" id="{00000000-0008-0000-2F00-000007000000}"/>
            </a:ext>
          </a:extLst>
        </xdr:cNvPr>
        <xdr:cNvSpPr/>
      </xdr:nvSpPr>
      <xdr:spPr>
        <a:xfrm>
          <a:off x="3657600" y="3200400"/>
          <a:ext cx="1828800" cy="219075"/>
        </a:xfrm>
        <a:prstGeom prst="roundRect">
          <a:avLst/>
        </a:prstGeom>
        <a:gradFill>
          <a:gsLst>
            <a:gs pos="0">
              <a:srgbClr val="DCCD72"/>
            </a:gs>
            <a:gs pos="50000">
              <a:srgbClr val="FFFF99"/>
            </a:gs>
            <a:gs pos="70000">
              <a:srgbClr val="FFFFCC"/>
            </a:gs>
            <a:gs pos="100000">
              <a:srgbClr val="FFFFCC"/>
            </a:gs>
          </a:gsLst>
        </a:gradFill>
        <a:ln w="19050">
          <a:solidFill>
            <a:schemeClr val="tx1"/>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1100">
              <a:solidFill>
                <a:schemeClr val="tx1"/>
              </a:solidFill>
            </a:rPr>
            <a:t>Biological Terrorism</a:t>
          </a:r>
        </a:p>
      </xdr:txBody>
    </xdr:sp>
    <xdr:clientData/>
  </xdr:twoCellAnchor>
  <xdr:twoCellAnchor>
    <xdr:from>
      <xdr:col>6</xdr:col>
      <xdr:colOff>0</xdr:colOff>
      <xdr:row>10</xdr:row>
      <xdr:rowOff>0</xdr:rowOff>
    </xdr:from>
    <xdr:to>
      <xdr:col>9</xdr:col>
      <xdr:colOff>0</xdr:colOff>
      <xdr:row>11</xdr:row>
      <xdr:rowOff>9525</xdr:rowOff>
    </xdr:to>
    <xdr:sp macro="" textlink="">
      <xdr:nvSpPr>
        <xdr:cNvPr id="8" name="Rounded Rectangle 7">
          <a:hlinkClick xmlns:r="http://schemas.openxmlformats.org/officeDocument/2006/relationships" r:id="rId4"/>
          <a:extLst>
            <a:ext uri="{FF2B5EF4-FFF2-40B4-BE49-F238E27FC236}">
              <a16:creationId xmlns:a16="http://schemas.microsoft.com/office/drawing/2014/main" id="{00000000-0008-0000-2F00-000008000000}"/>
            </a:ext>
          </a:extLst>
        </xdr:cNvPr>
        <xdr:cNvSpPr/>
      </xdr:nvSpPr>
      <xdr:spPr>
        <a:xfrm>
          <a:off x="3657600" y="3619500"/>
          <a:ext cx="1828800" cy="219075"/>
        </a:xfrm>
        <a:prstGeom prst="roundRect">
          <a:avLst/>
        </a:prstGeom>
        <a:gradFill>
          <a:gsLst>
            <a:gs pos="0">
              <a:srgbClr val="DCCD72"/>
            </a:gs>
            <a:gs pos="50000">
              <a:srgbClr val="FFFF99"/>
            </a:gs>
            <a:gs pos="70000">
              <a:srgbClr val="FFFFCC"/>
            </a:gs>
            <a:gs pos="100000">
              <a:srgbClr val="FFFFCC"/>
            </a:gs>
          </a:gsLst>
        </a:gradFill>
        <a:ln w="19050">
          <a:solidFill>
            <a:schemeClr val="tx1"/>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1100">
              <a:solidFill>
                <a:schemeClr val="tx1"/>
              </a:solidFill>
            </a:rPr>
            <a:t>Chemical Terrorism</a:t>
          </a:r>
        </a:p>
      </xdr:txBody>
    </xdr:sp>
    <xdr:clientData/>
  </xdr:twoCellAnchor>
  <xdr:twoCellAnchor>
    <xdr:from>
      <xdr:col>6</xdr:col>
      <xdr:colOff>0</xdr:colOff>
      <xdr:row>12</xdr:row>
      <xdr:rowOff>0</xdr:rowOff>
    </xdr:from>
    <xdr:to>
      <xdr:col>9</xdr:col>
      <xdr:colOff>0</xdr:colOff>
      <xdr:row>13</xdr:row>
      <xdr:rowOff>9525</xdr:rowOff>
    </xdr:to>
    <xdr:sp macro="" textlink="">
      <xdr:nvSpPr>
        <xdr:cNvPr id="9" name="Rounded Rectangle 8">
          <a:hlinkClick xmlns:r="http://schemas.openxmlformats.org/officeDocument/2006/relationships" r:id="rId5"/>
          <a:extLst>
            <a:ext uri="{FF2B5EF4-FFF2-40B4-BE49-F238E27FC236}">
              <a16:creationId xmlns:a16="http://schemas.microsoft.com/office/drawing/2014/main" id="{00000000-0008-0000-2F00-000009000000}"/>
            </a:ext>
          </a:extLst>
        </xdr:cNvPr>
        <xdr:cNvSpPr/>
      </xdr:nvSpPr>
      <xdr:spPr>
        <a:xfrm>
          <a:off x="3657600" y="4038600"/>
          <a:ext cx="1828800" cy="219075"/>
        </a:xfrm>
        <a:prstGeom prst="roundRect">
          <a:avLst/>
        </a:prstGeom>
        <a:gradFill>
          <a:gsLst>
            <a:gs pos="0">
              <a:srgbClr val="DCCD72"/>
            </a:gs>
            <a:gs pos="50000">
              <a:srgbClr val="FFFF99"/>
            </a:gs>
            <a:gs pos="70000">
              <a:srgbClr val="FFFFCC"/>
            </a:gs>
            <a:gs pos="100000">
              <a:srgbClr val="FFFFCC"/>
            </a:gs>
          </a:gsLst>
        </a:gradFill>
        <a:ln w="19050">
          <a:solidFill>
            <a:schemeClr val="tx1"/>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1100">
              <a:solidFill>
                <a:schemeClr val="tx1"/>
              </a:solidFill>
            </a:rPr>
            <a:t>Civil Disturbance</a:t>
          </a:r>
        </a:p>
      </xdr:txBody>
    </xdr:sp>
    <xdr:clientData/>
  </xdr:twoCellAnchor>
  <xdr:twoCellAnchor>
    <xdr:from>
      <xdr:col>6</xdr:col>
      <xdr:colOff>0</xdr:colOff>
      <xdr:row>14</xdr:row>
      <xdr:rowOff>0</xdr:rowOff>
    </xdr:from>
    <xdr:to>
      <xdr:col>9</xdr:col>
      <xdr:colOff>0</xdr:colOff>
      <xdr:row>15</xdr:row>
      <xdr:rowOff>9525</xdr:rowOff>
    </xdr:to>
    <xdr:sp macro="" textlink="">
      <xdr:nvSpPr>
        <xdr:cNvPr id="10" name="Rounded Rectangle 9">
          <a:hlinkClick xmlns:r="http://schemas.openxmlformats.org/officeDocument/2006/relationships" r:id="rId6"/>
          <a:extLst>
            <a:ext uri="{FF2B5EF4-FFF2-40B4-BE49-F238E27FC236}">
              <a16:creationId xmlns:a16="http://schemas.microsoft.com/office/drawing/2014/main" id="{00000000-0008-0000-2F00-00000A000000}"/>
            </a:ext>
          </a:extLst>
        </xdr:cNvPr>
        <xdr:cNvSpPr/>
      </xdr:nvSpPr>
      <xdr:spPr>
        <a:xfrm>
          <a:off x="3657600" y="4457700"/>
          <a:ext cx="1828800" cy="219075"/>
        </a:xfrm>
        <a:prstGeom prst="roundRect">
          <a:avLst/>
        </a:prstGeom>
        <a:gradFill>
          <a:gsLst>
            <a:gs pos="0">
              <a:srgbClr val="DCCD72"/>
            </a:gs>
            <a:gs pos="50000">
              <a:srgbClr val="FFFF99"/>
            </a:gs>
            <a:gs pos="70000">
              <a:srgbClr val="FFFFCC"/>
            </a:gs>
            <a:gs pos="100000">
              <a:srgbClr val="FFFFCC"/>
            </a:gs>
          </a:gsLst>
        </a:gradFill>
        <a:ln w="19050">
          <a:solidFill>
            <a:schemeClr val="tx1"/>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1100">
              <a:solidFill>
                <a:schemeClr val="tx1"/>
              </a:solidFill>
            </a:rPr>
            <a:t>Coastal Storm</a:t>
          </a:r>
        </a:p>
      </xdr:txBody>
    </xdr:sp>
    <xdr:clientData/>
  </xdr:twoCellAnchor>
  <xdr:twoCellAnchor>
    <xdr:from>
      <xdr:col>6</xdr:col>
      <xdr:colOff>0</xdr:colOff>
      <xdr:row>16</xdr:row>
      <xdr:rowOff>0</xdr:rowOff>
    </xdr:from>
    <xdr:to>
      <xdr:col>9</xdr:col>
      <xdr:colOff>0</xdr:colOff>
      <xdr:row>17</xdr:row>
      <xdr:rowOff>9525</xdr:rowOff>
    </xdr:to>
    <xdr:sp macro="" textlink="">
      <xdr:nvSpPr>
        <xdr:cNvPr id="11" name="Rounded Rectangle 10">
          <a:hlinkClick xmlns:r="http://schemas.openxmlformats.org/officeDocument/2006/relationships" r:id="rId7"/>
          <a:extLst>
            <a:ext uri="{FF2B5EF4-FFF2-40B4-BE49-F238E27FC236}">
              <a16:creationId xmlns:a16="http://schemas.microsoft.com/office/drawing/2014/main" id="{00000000-0008-0000-2F00-00000B000000}"/>
            </a:ext>
          </a:extLst>
        </xdr:cNvPr>
        <xdr:cNvSpPr/>
      </xdr:nvSpPr>
      <xdr:spPr>
        <a:xfrm>
          <a:off x="3657600" y="4876800"/>
          <a:ext cx="1828800" cy="219075"/>
        </a:xfrm>
        <a:prstGeom prst="roundRect">
          <a:avLst/>
        </a:prstGeom>
        <a:gradFill>
          <a:gsLst>
            <a:gs pos="0">
              <a:srgbClr val="DCCD72"/>
            </a:gs>
            <a:gs pos="50000">
              <a:srgbClr val="FFFF99"/>
            </a:gs>
            <a:gs pos="70000">
              <a:srgbClr val="FFFFCC"/>
            </a:gs>
            <a:gs pos="100000">
              <a:srgbClr val="FFFFCC"/>
            </a:gs>
          </a:gsLst>
        </a:gradFill>
        <a:ln w="19050">
          <a:solidFill>
            <a:schemeClr val="tx1"/>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1100">
              <a:solidFill>
                <a:schemeClr val="tx1"/>
              </a:solidFill>
            </a:rPr>
            <a:t>Conventional Explosive</a:t>
          </a:r>
        </a:p>
      </xdr:txBody>
    </xdr:sp>
    <xdr:clientData/>
  </xdr:twoCellAnchor>
  <xdr:twoCellAnchor>
    <xdr:from>
      <xdr:col>6</xdr:col>
      <xdr:colOff>0</xdr:colOff>
      <xdr:row>18</xdr:row>
      <xdr:rowOff>0</xdr:rowOff>
    </xdr:from>
    <xdr:to>
      <xdr:col>9</xdr:col>
      <xdr:colOff>0</xdr:colOff>
      <xdr:row>19</xdr:row>
      <xdr:rowOff>9525</xdr:rowOff>
    </xdr:to>
    <xdr:sp macro="" textlink="">
      <xdr:nvSpPr>
        <xdr:cNvPr id="12" name="Rounded Rectangle 11">
          <a:hlinkClick xmlns:r="http://schemas.openxmlformats.org/officeDocument/2006/relationships" r:id="rId8"/>
          <a:extLst>
            <a:ext uri="{FF2B5EF4-FFF2-40B4-BE49-F238E27FC236}">
              <a16:creationId xmlns:a16="http://schemas.microsoft.com/office/drawing/2014/main" id="{00000000-0008-0000-2F00-00000C000000}"/>
            </a:ext>
          </a:extLst>
        </xdr:cNvPr>
        <xdr:cNvSpPr/>
      </xdr:nvSpPr>
      <xdr:spPr>
        <a:xfrm>
          <a:off x="3657600" y="5295900"/>
          <a:ext cx="1828800" cy="219075"/>
        </a:xfrm>
        <a:prstGeom prst="roundRect">
          <a:avLst/>
        </a:prstGeom>
        <a:gradFill>
          <a:gsLst>
            <a:gs pos="0">
              <a:srgbClr val="DCCD72"/>
            </a:gs>
            <a:gs pos="50000">
              <a:srgbClr val="FFFF99"/>
            </a:gs>
            <a:gs pos="70000">
              <a:srgbClr val="FFFFCC"/>
            </a:gs>
            <a:gs pos="100000">
              <a:srgbClr val="FFFFCC"/>
            </a:gs>
          </a:gsLst>
        </a:gradFill>
        <a:ln w="19050">
          <a:solidFill>
            <a:schemeClr val="tx1"/>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1100">
              <a:solidFill>
                <a:schemeClr val="tx1"/>
              </a:solidFill>
            </a:rPr>
            <a:t>Cyber Terrorism</a:t>
          </a:r>
        </a:p>
      </xdr:txBody>
    </xdr:sp>
    <xdr:clientData/>
  </xdr:twoCellAnchor>
  <xdr:twoCellAnchor>
    <xdr:from>
      <xdr:col>6</xdr:col>
      <xdr:colOff>0</xdr:colOff>
      <xdr:row>20</xdr:row>
      <xdr:rowOff>0</xdr:rowOff>
    </xdr:from>
    <xdr:to>
      <xdr:col>9</xdr:col>
      <xdr:colOff>0</xdr:colOff>
      <xdr:row>21</xdr:row>
      <xdr:rowOff>9525</xdr:rowOff>
    </xdr:to>
    <xdr:sp macro="" textlink="">
      <xdr:nvSpPr>
        <xdr:cNvPr id="13" name="Rounded Rectangle 12">
          <a:hlinkClick xmlns:r="http://schemas.openxmlformats.org/officeDocument/2006/relationships" r:id="rId9"/>
          <a:extLst>
            <a:ext uri="{FF2B5EF4-FFF2-40B4-BE49-F238E27FC236}">
              <a16:creationId xmlns:a16="http://schemas.microsoft.com/office/drawing/2014/main" id="{00000000-0008-0000-2F00-00000D000000}"/>
            </a:ext>
          </a:extLst>
        </xdr:cNvPr>
        <xdr:cNvSpPr/>
      </xdr:nvSpPr>
      <xdr:spPr>
        <a:xfrm>
          <a:off x="3657600" y="5715000"/>
          <a:ext cx="1828800" cy="219075"/>
        </a:xfrm>
        <a:prstGeom prst="roundRect">
          <a:avLst/>
        </a:prstGeom>
        <a:gradFill>
          <a:gsLst>
            <a:gs pos="0">
              <a:srgbClr val="DCCD72"/>
            </a:gs>
            <a:gs pos="50000">
              <a:srgbClr val="FFFF99"/>
            </a:gs>
            <a:gs pos="70000">
              <a:srgbClr val="FFFFCC"/>
            </a:gs>
            <a:gs pos="100000">
              <a:srgbClr val="FFFFCC"/>
            </a:gs>
          </a:gsLst>
        </a:gradFill>
        <a:ln w="19050">
          <a:solidFill>
            <a:schemeClr val="tx1"/>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1100">
              <a:solidFill>
                <a:schemeClr val="tx1"/>
              </a:solidFill>
            </a:rPr>
            <a:t>Drought</a:t>
          </a:r>
        </a:p>
      </xdr:txBody>
    </xdr:sp>
    <xdr:clientData/>
  </xdr:twoCellAnchor>
  <xdr:twoCellAnchor>
    <xdr:from>
      <xdr:col>6</xdr:col>
      <xdr:colOff>0</xdr:colOff>
      <xdr:row>22</xdr:row>
      <xdr:rowOff>0</xdr:rowOff>
    </xdr:from>
    <xdr:to>
      <xdr:col>9</xdr:col>
      <xdr:colOff>0</xdr:colOff>
      <xdr:row>23</xdr:row>
      <xdr:rowOff>9525</xdr:rowOff>
    </xdr:to>
    <xdr:sp macro="" textlink="">
      <xdr:nvSpPr>
        <xdr:cNvPr id="14" name="Rounded Rectangle 13">
          <a:hlinkClick xmlns:r="http://schemas.openxmlformats.org/officeDocument/2006/relationships" r:id="rId10"/>
          <a:extLst>
            <a:ext uri="{FF2B5EF4-FFF2-40B4-BE49-F238E27FC236}">
              <a16:creationId xmlns:a16="http://schemas.microsoft.com/office/drawing/2014/main" id="{00000000-0008-0000-2F00-00000E000000}"/>
            </a:ext>
          </a:extLst>
        </xdr:cNvPr>
        <xdr:cNvSpPr/>
      </xdr:nvSpPr>
      <xdr:spPr>
        <a:xfrm>
          <a:off x="3657600" y="6134100"/>
          <a:ext cx="1828800" cy="219075"/>
        </a:xfrm>
        <a:prstGeom prst="roundRect">
          <a:avLst/>
        </a:prstGeom>
        <a:gradFill>
          <a:gsLst>
            <a:gs pos="0">
              <a:srgbClr val="DCCD72"/>
            </a:gs>
            <a:gs pos="50000">
              <a:srgbClr val="FFFF99"/>
            </a:gs>
            <a:gs pos="70000">
              <a:srgbClr val="FFFFCC"/>
            </a:gs>
            <a:gs pos="100000">
              <a:srgbClr val="FFFFCC"/>
            </a:gs>
          </a:gsLst>
        </a:gradFill>
        <a:ln w="19050">
          <a:solidFill>
            <a:schemeClr val="tx1"/>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1100">
              <a:solidFill>
                <a:schemeClr val="tx1"/>
              </a:solidFill>
            </a:rPr>
            <a:t>Earthquake</a:t>
          </a:r>
        </a:p>
      </xdr:txBody>
    </xdr:sp>
    <xdr:clientData/>
  </xdr:twoCellAnchor>
  <xdr:twoCellAnchor>
    <xdr:from>
      <xdr:col>6</xdr:col>
      <xdr:colOff>0</xdr:colOff>
      <xdr:row>24</xdr:row>
      <xdr:rowOff>0</xdr:rowOff>
    </xdr:from>
    <xdr:to>
      <xdr:col>9</xdr:col>
      <xdr:colOff>0</xdr:colOff>
      <xdr:row>25</xdr:row>
      <xdr:rowOff>9525</xdr:rowOff>
    </xdr:to>
    <xdr:sp macro="" textlink="">
      <xdr:nvSpPr>
        <xdr:cNvPr id="15" name="Rounded Rectangle 14">
          <a:hlinkClick xmlns:r="http://schemas.openxmlformats.org/officeDocument/2006/relationships" r:id="rId11"/>
          <a:extLst>
            <a:ext uri="{FF2B5EF4-FFF2-40B4-BE49-F238E27FC236}">
              <a16:creationId xmlns:a16="http://schemas.microsoft.com/office/drawing/2014/main" id="{00000000-0008-0000-2F00-00000F000000}"/>
            </a:ext>
          </a:extLst>
        </xdr:cNvPr>
        <xdr:cNvSpPr/>
      </xdr:nvSpPr>
      <xdr:spPr>
        <a:xfrm>
          <a:off x="3657600" y="6553200"/>
          <a:ext cx="1828800" cy="219075"/>
        </a:xfrm>
        <a:prstGeom prst="roundRect">
          <a:avLst/>
        </a:prstGeom>
        <a:gradFill>
          <a:gsLst>
            <a:gs pos="0">
              <a:srgbClr val="DCCD72"/>
            </a:gs>
            <a:gs pos="50000">
              <a:srgbClr val="FFFF99"/>
            </a:gs>
            <a:gs pos="70000">
              <a:srgbClr val="FFFFCC"/>
            </a:gs>
            <a:gs pos="100000">
              <a:srgbClr val="FFFFCC"/>
            </a:gs>
          </a:gsLst>
        </a:gradFill>
        <a:ln w="19050">
          <a:solidFill>
            <a:schemeClr val="tx1"/>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1100">
              <a:solidFill>
                <a:schemeClr val="tx1"/>
              </a:solidFill>
            </a:rPr>
            <a:t>Fire</a:t>
          </a:r>
        </a:p>
      </xdr:txBody>
    </xdr:sp>
    <xdr:clientData/>
  </xdr:twoCellAnchor>
  <xdr:twoCellAnchor>
    <xdr:from>
      <xdr:col>6</xdr:col>
      <xdr:colOff>0</xdr:colOff>
      <xdr:row>26</xdr:row>
      <xdr:rowOff>0</xdr:rowOff>
    </xdr:from>
    <xdr:to>
      <xdr:col>9</xdr:col>
      <xdr:colOff>0</xdr:colOff>
      <xdr:row>27</xdr:row>
      <xdr:rowOff>9525</xdr:rowOff>
    </xdr:to>
    <xdr:sp macro="" textlink="">
      <xdr:nvSpPr>
        <xdr:cNvPr id="16" name="Rounded Rectangle 15">
          <a:hlinkClick xmlns:r="http://schemas.openxmlformats.org/officeDocument/2006/relationships" r:id="rId12"/>
          <a:extLst>
            <a:ext uri="{FF2B5EF4-FFF2-40B4-BE49-F238E27FC236}">
              <a16:creationId xmlns:a16="http://schemas.microsoft.com/office/drawing/2014/main" id="{00000000-0008-0000-2F00-000010000000}"/>
            </a:ext>
          </a:extLst>
        </xdr:cNvPr>
        <xdr:cNvSpPr/>
      </xdr:nvSpPr>
      <xdr:spPr>
        <a:xfrm>
          <a:off x="3657600" y="6972300"/>
          <a:ext cx="1828800" cy="219075"/>
        </a:xfrm>
        <a:prstGeom prst="roundRect">
          <a:avLst/>
        </a:prstGeom>
        <a:gradFill>
          <a:gsLst>
            <a:gs pos="0">
              <a:srgbClr val="DCCD72"/>
            </a:gs>
            <a:gs pos="50000">
              <a:srgbClr val="FFFF99"/>
            </a:gs>
            <a:gs pos="70000">
              <a:srgbClr val="FFFFCC"/>
            </a:gs>
            <a:gs pos="100000">
              <a:srgbClr val="FFFFCC"/>
            </a:gs>
          </a:gsLst>
        </a:gradFill>
        <a:ln w="19050">
          <a:solidFill>
            <a:schemeClr val="tx1"/>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1100">
              <a:solidFill>
                <a:schemeClr val="tx1"/>
              </a:solidFill>
            </a:rPr>
            <a:t>Flood</a:t>
          </a:r>
        </a:p>
      </xdr:txBody>
    </xdr:sp>
    <xdr:clientData/>
  </xdr:twoCellAnchor>
  <xdr:twoCellAnchor>
    <xdr:from>
      <xdr:col>6</xdr:col>
      <xdr:colOff>0</xdr:colOff>
      <xdr:row>28</xdr:row>
      <xdr:rowOff>0</xdr:rowOff>
    </xdr:from>
    <xdr:to>
      <xdr:col>9</xdr:col>
      <xdr:colOff>0</xdr:colOff>
      <xdr:row>29</xdr:row>
      <xdr:rowOff>9525</xdr:rowOff>
    </xdr:to>
    <xdr:sp macro="" textlink="">
      <xdr:nvSpPr>
        <xdr:cNvPr id="17" name="Rounded Rectangle 16">
          <a:hlinkClick xmlns:r="http://schemas.openxmlformats.org/officeDocument/2006/relationships" r:id="rId13"/>
          <a:extLst>
            <a:ext uri="{FF2B5EF4-FFF2-40B4-BE49-F238E27FC236}">
              <a16:creationId xmlns:a16="http://schemas.microsoft.com/office/drawing/2014/main" id="{00000000-0008-0000-2F00-000011000000}"/>
            </a:ext>
          </a:extLst>
        </xdr:cNvPr>
        <xdr:cNvSpPr/>
      </xdr:nvSpPr>
      <xdr:spPr>
        <a:xfrm>
          <a:off x="3657600" y="7391400"/>
          <a:ext cx="1828800" cy="219075"/>
        </a:xfrm>
        <a:prstGeom prst="roundRect">
          <a:avLst/>
        </a:prstGeom>
        <a:gradFill>
          <a:gsLst>
            <a:gs pos="0">
              <a:srgbClr val="DCCD72"/>
            </a:gs>
            <a:gs pos="50000">
              <a:srgbClr val="FFFF99"/>
            </a:gs>
            <a:gs pos="70000">
              <a:srgbClr val="FFFFCC"/>
            </a:gs>
            <a:gs pos="100000">
              <a:srgbClr val="FFFFCC"/>
            </a:gs>
          </a:gsLst>
        </a:gradFill>
        <a:ln w="19050">
          <a:solidFill>
            <a:schemeClr val="tx1"/>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1100">
              <a:solidFill>
                <a:schemeClr val="tx1"/>
              </a:solidFill>
            </a:rPr>
            <a:t>HazMat Release</a:t>
          </a:r>
        </a:p>
      </xdr:txBody>
    </xdr:sp>
    <xdr:clientData/>
  </xdr:twoCellAnchor>
  <xdr:twoCellAnchor>
    <xdr:from>
      <xdr:col>6</xdr:col>
      <xdr:colOff>0</xdr:colOff>
      <xdr:row>30</xdr:row>
      <xdr:rowOff>0</xdr:rowOff>
    </xdr:from>
    <xdr:to>
      <xdr:col>9</xdr:col>
      <xdr:colOff>0</xdr:colOff>
      <xdr:row>31</xdr:row>
      <xdr:rowOff>9525</xdr:rowOff>
    </xdr:to>
    <xdr:sp macro="" textlink="">
      <xdr:nvSpPr>
        <xdr:cNvPr id="18" name="Rounded Rectangle 17">
          <a:hlinkClick xmlns:r="http://schemas.openxmlformats.org/officeDocument/2006/relationships" r:id="rId14"/>
          <a:extLst>
            <a:ext uri="{FF2B5EF4-FFF2-40B4-BE49-F238E27FC236}">
              <a16:creationId xmlns:a16="http://schemas.microsoft.com/office/drawing/2014/main" id="{00000000-0008-0000-2F00-000012000000}"/>
            </a:ext>
          </a:extLst>
        </xdr:cNvPr>
        <xdr:cNvSpPr/>
      </xdr:nvSpPr>
      <xdr:spPr>
        <a:xfrm>
          <a:off x="3657600" y="7810500"/>
          <a:ext cx="1828800" cy="219075"/>
        </a:xfrm>
        <a:prstGeom prst="roundRect">
          <a:avLst/>
        </a:prstGeom>
        <a:gradFill>
          <a:gsLst>
            <a:gs pos="0">
              <a:srgbClr val="DCCD72"/>
            </a:gs>
            <a:gs pos="50000">
              <a:srgbClr val="FFFF99"/>
            </a:gs>
            <a:gs pos="70000">
              <a:srgbClr val="FFFFCC"/>
            </a:gs>
            <a:gs pos="100000">
              <a:srgbClr val="FFFFCC"/>
            </a:gs>
          </a:gsLst>
        </a:gradFill>
        <a:ln w="19050">
          <a:solidFill>
            <a:schemeClr val="tx1"/>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1100">
              <a:solidFill>
                <a:schemeClr val="tx1"/>
              </a:solidFill>
            </a:rPr>
            <a:t>Localized Infectious Disease</a:t>
          </a:r>
        </a:p>
      </xdr:txBody>
    </xdr:sp>
    <xdr:clientData/>
  </xdr:twoCellAnchor>
  <xdr:twoCellAnchor>
    <xdr:from>
      <xdr:col>6</xdr:col>
      <xdr:colOff>0</xdr:colOff>
      <xdr:row>32</xdr:row>
      <xdr:rowOff>0</xdr:rowOff>
    </xdr:from>
    <xdr:to>
      <xdr:col>9</xdr:col>
      <xdr:colOff>0</xdr:colOff>
      <xdr:row>33</xdr:row>
      <xdr:rowOff>9525</xdr:rowOff>
    </xdr:to>
    <xdr:sp macro="" textlink="">
      <xdr:nvSpPr>
        <xdr:cNvPr id="19" name="Rounded Rectangle 18">
          <a:hlinkClick xmlns:r="http://schemas.openxmlformats.org/officeDocument/2006/relationships" r:id="rId15"/>
          <a:extLst>
            <a:ext uri="{FF2B5EF4-FFF2-40B4-BE49-F238E27FC236}">
              <a16:creationId xmlns:a16="http://schemas.microsoft.com/office/drawing/2014/main" id="{00000000-0008-0000-2F00-000013000000}"/>
            </a:ext>
          </a:extLst>
        </xdr:cNvPr>
        <xdr:cNvSpPr/>
      </xdr:nvSpPr>
      <xdr:spPr>
        <a:xfrm>
          <a:off x="3657600" y="8229600"/>
          <a:ext cx="1828800" cy="219075"/>
        </a:xfrm>
        <a:prstGeom prst="roundRect">
          <a:avLst/>
        </a:prstGeom>
        <a:gradFill>
          <a:gsLst>
            <a:gs pos="0">
              <a:srgbClr val="DCCD72"/>
            </a:gs>
            <a:gs pos="50000">
              <a:srgbClr val="FFFF99"/>
            </a:gs>
            <a:gs pos="70000">
              <a:srgbClr val="FFFFCC"/>
            </a:gs>
            <a:gs pos="100000">
              <a:srgbClr val="FFFFCC"/>
            </a:gs>
          </a:gsLst>
        </a:gradFill>
        <a:ln w="19050">
          <a:solidFill>
            <a:schemeClr val="tx1"/>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1100">
              <a:solidFill>
                <a:schemeClr val="tx1"/>
              </a:solidFill>
            </a:rPr>
            <a:t>Nuclear Facility Accident</a:t>
          </a:r>
        </a:p>
      </xdr:txBody>
    </xdr:sp>
    <xdr:clientData/>
  </xdr:twoCellAnchor>
  <xdr:twoCellAnchor>
    <xdr:from>
      <xdr:col>6</xdr:col>
      <xdr:colOff>0</xdr:colOff>
      <xdr:row>34</xdr:row>
      <xdr:rowOff>0</xdr:rowOff>
    </xdr:from>
    <xdr:to>
      <xdr:col>9</xdr:col>
      <xdr:colOff>0</xdr:colOff>
      <xdr:row>35</xdr:row>
      <xdr:rowOff>9525</xdr:rowOff>
    </xdr:to>
    <xdr:sp macro="" textlink="">
      <xdr:nvSpPr>
        <xdr:cNvPr id="20" name="Rounded Rectangle 19">
          <a:hlinkClick xmlns:r="http://schemas.openxmlformats.org/officeDocument/2006/relationships" r:id="rId16"/>
          <a:extLst>
            <a:ext uri="{FF2B5EF4-FFF2-40B4-BE49-F238E27FC236}">
              <a16:creationId xmlns:a16="http://schemas.microsoft.com/office/drawing/2014/main" id="{00000000-0008-0000-2F00-000014000000}"/>
            </a:ext>
          </a:extLst>
        </xdr:cNvPr>
        <xdr:cNvSpPr/>
      </xdr:nvSpPr>
      <xdr:spPr>
        <a:xfrm>
          <a:off x="3657600" y="8648700"/>
          <a:ext cx="1828800" cy="219075"/>
        </a:xfrm>
        <a:prstGeom prst="roundRect">
          <a:avLst/>
        </a:prstGeom>
        <a:gradFill>
          <a:gsLst>
            <a:gs pos="0">
              <a:srgbClr val="DCCD72"/>
            </a:gs>
            <a:gs pos="50000">
              <a:srgbClr val="FFFF99"/>
            </a:gs>
            <a:gs pos="70000">
              <a:srgbClr val="FFFFCC"/>
            </a:gs>
            <a:gs pos="100000">
              <a:srgbClr val="FFFFCC"/>
            </a:gs>
          </a:gsLst>
        </a:gradFill>
        <a:ln w="19050">
          <a:solidFill>
            <a:schemeClr val="tx1"/>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1100">
              <a:solidFill>
                <a:schemeClr val="tx1"/>
              </a:solidFill>
            </a:rPr>
            <a:t>Pandemic</a:t>
          </a:r>
        </a:p>
      </xdr:txBody>
    </xdr:sp>
    <xdr:clientData/>
  </xdr:twoCellAnchor>
  <xdr:twoCellAnchor>
    <xdr:from>
      <xdr:col>6</xdr:col>
      <xdr:colOff>0</xdr:colOff>
      <xdr:row>36</xdr:row>
      <xdr:rowOff>0</xdr:rowOff>
    </xdr:from>
    <xdr:to>
      <xdr:col>9</xdr:col>
      <xdr:colOff>0</xdr:colOff>
      <xdr:row>37</xdr:row>
      <xdr:rowOff>9525</xdr:rowOff>
    </xdr:to>
    <xdr:sp macro="" textlink="">
      <xdr:nvSpPr>
        <xdr:cNvPr id="21" name="Rounded Rectangle 20">
          <a:hlinkClick xmlns:r="http://schemas.openxmlformats.org/officeDocument/2006/relationships" r:id="rId17"/>
          <a:extLst>
            <a:ext uri="{FF2B5EF4-FFF2-40B4-BE49-F238E27FC236}">
              <a16:creationId xmlns:a16="http://schemas.microsoft.com/office/drawing/2014/main" id="{00000000-0008-0000-2F00-000015000000}"/>
            </a:ext>
          </a:extLst>
        </xdr:cNvPr>
        <xdr:cNvSpPr/>
      </xdr:nvSpPr>
      <xdr:spPr>
        <a:xfrm>
          <a:off x="3657600" y="9067800"/>
          <a:ext cx="1828800" cy="219075"/>
        </a:xfrm>
        <a:prstGeom prst="roundRect">
          <a:avLst/>
        </a:prstGeom>
        <a:gradFill>
          <a:gsLst>
            <a:gs pos="0">
              <a:srgbClr val="DCCD72"/>
            </a:gs>
            <a:gs pos="50000">
              <a:srgbClr val="FFFF99"/>
            </a:gs>
            <a:gs pos="70000">
              <a:srgbClr val="FFFFCC"/>
            </a:gs>
            <a:gs pos="100000">
              <a:srgbClr val="FFFFCC"/>
            </a:gs>
          </a:gsLst>
        </a:gradFill>
        <a:ln w="19050">
          <a:solidFill>
            <a:schemeClr val="tx1"/>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1100">
              <a:solidFill>
                <a:schemeClr val="tx1"/>
              </a:solidFill>
            </a:rPr>
            <a:t>Radiation Dispersal Device</a:t>
          </a:r>
        </a:p>
      </xdr:txBody>
    </xdr:sp>
    <xdr:clientData/>
  </xdr:twoCellAnchor>
  <xdr:twoCellAnchor>
    <xdr:from>
      <xdr:col>6</xdr:col>
      <xdr:colOff>0</xdr:colOff>
      <xdr:row>38</xdr:row>
      <xdr:rowOff>0</xdr:rowOff>
    </xdr:from>
    <xdr:to>
      <xdr:col>9</xdr:col>
      <xdr:colOff>0</xdr:colOff>
      <xdr:row>39</xdr:row>
      <xdr:rowOff>9525</xdr:rowOff>
    </xdr:to>
    <xdr:sp macro="" textlink="">
      <xdr:nvSpPr>
        <xdr:cNvPr id="22" name="Rounded Rectangle 21">
          <a:hlinkClick xmlns:r="http://schemas.openxmlformats.org/officeDocument/2006/relationships" r:id="rId18"/>
          <a:extLst>
            <a:ext uri="{FF2B5EF4-FFF2-40B4-BE49-F238E27FC236}">
              <a16:creationId xmlns:a16="http://schemas.microsoft.com/office/drawing/2014/main" id="{00000000-0008-0000-2F00-000016000000}"/>
            </a:ext>
          </a:extLst>
        </xdr:cNvPr>
        <xdr:cNvSpPr/>
      </xdr:nvSpPr>
      <xdr:spPr>
        <a:xfrm>
          <a:off x="3657600" y="9486900"/>
          <a:ext cx="1828800" cy="219075"/>
        </a:xfrm>
        <a:prstGeom prst="roundRect">
          <a:avLst/>
        </a:prstGeom>
        <a:gradFill>
          <a:gsLst>
            <a:gs pos="0">
              <a:srgbClr val="DCCD72"/>
            </a:gs>
            <a:gs pos="50000">
              <a:srgbClr val="FFFF99"/>
            </a:gs>
            <a:gs pos="70000">
              <a:srgbClr val="FFFFCC"/>
            </a:gs>
            <a:gs pos="100000">
              <a:srgbClr val="FFFFCC"/>
            </a:gs>
          </a:gsLst>
        </a:gradFill>
        <a:ln w="19050">
          <a:solidFill>
            <a:schemeClr val="tx1"/>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1100">
              <a:solidFill>
                <a:schemeClr val="tx1"/>
              </a:solidFill>
            </a:rPr>
            <a:t>Temperature Extremes</a:t>
          </a:r>
        </a:p>
      </xdr:txBody>
    </xdr:sp>
    <xdr:clientData/>
  </xdr:twoCellAnchor>
  <xdr:twoCellAnchor>
    <xdr:from>
      <xdr:col>6</xdr:col>
      <xdr:colOff>0</xdr:colOff>
      <xdr:row>40</xdr:row>
      <xdr:rowOff>0</xdr:rowOff>
    </xdr:from>
    <xdr:to>
      <xdr:col>9</xdr:col>
      <xdr:colOff>0</xdr:colOff>
      <xdr:row>41</xdr:row>
      <xdr:rowOff>9525</xdr:rowOff>
    </xdr:to>
    <xdr:sp macro="" textlink="">
      <xdr:nvSpPr>
        <xdr:cNvPr id="23" name="Rounded Rectangle 22">
          <a:hlinkClick xmlns:r="http://schemas.openxmlformats.org/officeDocument/2006/relationships" r:id="rId19"/>
          <a:extLst>
            <a:ext uri="{FF2B5EF4-FFF2-40B4-BE49-F238E27FC236}">
              <a16:creationId xmlns:a16="http://schemas.microsoft.com/office/drawing/2014/main" id="{00000000-0008-0000-2F00-000017000000}"/>
            </a:ext>
          </a:extLst>
        </xdr:cNvPr>
        <xdr:cNvSpPr/>
      </xdr:nvSpPr>
      <xdr:spPr>
        <a:xfrm>
          <a:off x="3657600" y="9906000"/>
          <a:ext cx="1828800" cy="219075"/>
        </a:xfrm>
        <a:prstGeom prst="roundRect">
          <a:avLst/>
        </a:prstGeom>
        <a:gradFill>
          <a:gsLst>
            <a:gs pos="0">
              <a:srgbClr val="DCCD72"/>
            </a:gs>
            <a:gs pos="50000">
              <a:srgbClr val="FFFF99"/>
            </a:gs>
            <a:gs pos="70000">
              <a:srgbClr val="FFFFCC"/>
            </a:gs>
            <a:gs pos="100000">
              <a:srgbClr val="FFFFCC"/>
            </a:gs>
          </a:gsLst>
        </a:gradFill>
        <a:ln w="19050">
          <a:solidFill>
            <a:schemeClr val="tx1"/>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1100">
              <a:solidFill>
                <a:schemeClr val="tx1"/>
              </a:solidFill>
            </a:rPr>
            <a:t>Tornado</a:t>
          </a:r>
        </a:p>
      </xdr:txBody>
    </xdr:sp>
    <xdr:clientData/>
  </xdr:twoCellAnchor>
  <xdr:twoCellAnchor>
    <xdr:from>
      <xdr:col>6</xdr:col>
      <xdr:colOff>0</xdr:colOff>
      <xdr:row>42</xdr:row>
      <xdr:rowOff>0</xdr:rowOff>
    </xdr:from>
    <xdr:to>
      <xdr:col>9</xdr:col>
      <xdr:colOff>0</xdr:colOff>
      <xdr:row>43</xdr:row>
      <xdr:rowOff>9525</xdr:rowOff>
    </xdr:to>
    <xdr:sp macro="" textlink="">
      <xdr:nvSpPr>
        <xdr:cNvPr id="24" name="Rounded Rectangle 23">
          <a:hlinkClick xmlns:r="http://schemas.openxmlformats.org/officeDocument/2006/relationships" r:id="rId20"/>
          <a:extLst>
            <a:ext uri="{FF2B5EF4-FFF2-40B4-BE49-F238E27FC236}">
              <a16:creationId xmlns:a16="http://schemas.microsoft.com/office/drawing/2014/main" id="{00000000-0008-0000-2F00-000018000000}"/>
            </a:ext>
          </a:extLst>
        </xdr:cNvPr>
        <xdr:cNvSpPr/>
      </xdr:nvSpPr>
      <xdr:spPr>
        <a:xfrm>
          <a:off x="3657600" y="10325100"/>
          <a:ext cx="1828800" cy="219075"/>
        </a:xfrm>
        <a:prstGeom prst="roundRect">
          <a:avLst/>
        </a:prstGeom>
        <a:gradFill>
          <a:gsLst>
            <a:gs pos="0">
              <a:srgbClr val="DCCD72"/>
            </a:gs>
            <a:gs pos="50000">
              <a:srgbClr val="FFFF99"/>
            </a:gs>
            <a:gs pos="70000">
              <a:srgbClr val="FFFFCC"/>
            </a:gs>
            <a:gs pos="100000">
              <a:srgbClr val="FFFFCC"/>
            </a:gs>
          </a:gsLst>
        </a:gradFill>
        <a:ln w="19050">
          <a:solidFill>
            <a:schemeClr val="tx1"/>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1100">
              <a:solidFill>
                <a:schemeClr val="tx1"/>
              </a:solidFill>
            </a:rPr>
            <a:t>Utility Interruption</a:t>
          </a:r>
        </a:p>
      </xdr:txBody>
    </xdr:sp>
    <xdr:clientData/>
  </xdr:twoCellAnchor>
  <xdr:twoCellAnchor>
    <xdr:from>
      <xdr:col>6</xdr:col>
      <xdr:colOff>0</xdr:colOff>
      <xdr:row>44</xdr:row>
      <xdr:rowOff>0</xdr:rowOff>
    </xdr:from>
    <xdr:to>
      <xdr:col>9</xdr:col>
      <xdr:colOff>0</xdr:colOff>
      <xdr:row>45</xdr:row>
      <xdr:rowOff>9525</xdr:rowOff>
    </xdr:to>
    <xdr:sp macro="" textlink="">
      <xdr:nvSpPr>
        <xdr:cNvPr id="25" name="Rounded Rectangle 24">
          <a:hlinkClick xmlns:r="http://schemas.openxmlformats.org/officeDocument/2006/relationships" r:id="rId21"/>
          <a:extLst>
            <a:ext uri="{FF2B5EF4-FFF2-40B4-BE49-F238E27FC236}">
              <a16:creationId xmlns:a16="http://schemas.microsoft.com/office/drawing/2014/main" id="{00000000-0008-0000-2F00-000019000000}"/>
            </a:ext>
          </a:extLst>
        </xdr:cNvPr>
        <xdr:cNvSpPr/>
      </xdr:nvSpPr>
      <xdr:spPr>
        <a:xfrm>
          <a:off x="3657600" y="10744200"/>
          <a:ext cx="1828800" cy="219075"/>
        </a:xfrm>
        <a:prstGeom prst="roundRect">
          <a:avLst/>
        </a:prstGeom>
        <a:gradFill>
          <a:gsLst>
            <a:gs pos="0">
              <a:srgbClr val="DCCD72"/>
            </a:gs>
            <a:gs pos="50000">
              <a:srgbClr val="FFFF99"/>
            </a:gs>
            <a:gs pos="70000">
              <a:srgbClr val="FFFFCC"/>
            </a:gs>
            <a:gs pos="100000">
              <a:srgbClr val="FFFFCC"/>
            </a:gs>
          </a:gsLst>
        </a:gradFill>
        <a:ln w="19050">
          <a:solidFill>
            <a:schemeClr val="tx1"/>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1100">
              <a:solidFill>
                <a:schemeClr val="tx1"/>
              </a:solidFill>
            </a:rPr>
            <a:t>Winter Storm</a:t>
          </a:r>
        </a:p>
      </xdr:txBody>
    </xdr:sp>
    <xdr:clientData/>
  </xdr:twoCellAnchor>
  <xdr:twoCellAnchor>
    <xdr:from>
      <xdr:col>6</xdr:col>
      <xdr:colOff>0</xdr:colOff>
      <xdr:row>46</xdr:row>
      <xdr:rowOff>0</xdr:rowOff>
    </xdr:from>
    <xdr:to>
      <xdr:col>9</xdr:col>
      <xdr:colOff>0</xdr:colOff>
      <xdr:row>47</xdr:row>
      <xdr:rowOff>31937</xdr:rowOff>
    </xdr:to>
    <xdr:sp macro="" textlink="'Summary of Impacts'!W6">
      <xdr:nvSpPr>
        <xdr:cNvPr id="26" name="Rounded Rectangle 25">
          <a:hlinkClick xmlns:r="http://schemas.openxmlformats.org/officeDocument/2006/relationships" r:id="rId22"/>
          <a:extLst>
            <a:ext uri="{FF2B5EF4-FFF2-40B4-BE49-F238E27FC236}">
              <a16:creationId xmlns:a16="http://schemas.microsoft.com/office/drawing/2014/main" id="{00000000-0008-0000-2F00-00001A000000}"/>
            </a:ext>
          </a:extLst>
        </xdr:cNvPr>
        <xdr:cNvSpPr/>
      </xdr:nvSpPr>
      <xdr:spPr>
        <a:xfrm>
          <a:off x="3630706" y="9950824"/>
          <a:ext cx="1815353" cy="222437"/>
        </a:xfrm>
        <a:prstGeom prst="roundRect">
          <a:avLst/>
        </a:prstGeom>
        <a:gradFill>
          <a:gsLst>
            <a:gs pos="0">
              <a:srgbClr val="DCCD72"/>
            </a:gs>
            <a:gs pos="50000">
              <a:srgbClr val="FFFF99"/>
            </a:gs>
            <a:gs pos="70000">
              <a:srgbClr val="FFFFCC"/>
            </a:gs>
            <a:gs pos="100000">
              <a:srgbClr val="FFFFCC"/>
            </a:gs>
          </a:gsLst>
        </a:gradFill>
        <a:ln w="19050">
          <a:solidFill>
            <a:schemeClr val="tx1"/>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fld id="{D80F2CFD-A3DA-4E1D-A2BC-E2FE010949A2}" type="TxLink">
            <a:rPr lang="en-US" sz="1100">
              <a:solidFill>
                <a:schemeClr val="tx1"/>
              </a:solidFill>
            </a:rPr>
            <a:pPr algn="ctr"/>
            <a:t>Additional Hazard 1</a:t>
          </a:fld>
          <a:endParaRPr lang="en-US" sz="1100">
            <a:solidFill>
              <a:schemeClr val="tx1"/>
            </a:solidFill>
          </a:endParaRPr>
        </a:p>
      </xdr:txBody>
    </xdr:sp>
    <xdr:clientData/>
  </xdr:twoCellAnchor>
  <xdr:twoCellAnchor>
    <xdr:from>
      <xdr:col>6</xdr:col>
      <xdr:colOff>0</xdr:colOff>
      <xdr:row>48</xdr:row>
      <xdr:rowOff>0</xdr:rowOff>
    </xdr:from>
    <xdr:to>
      <xdr:col>9</xdr:col>
      <xdr:colOff>0</xdr:colOff>
      <xdr:row>49</xdr:row>
      <xdr:rowOff>31937</xdr:rowOff>
    </xdr:to>
    <xdr:sp macro="" textlink="'Summary of Impacts'!X6">
      <xdr:nvSpPr>
        <xdr:cNvPr id="27" name="Rounded Rectangle 26">
          <a:hlinkClick xmlns:r="http://schemas.openxmlformats.org/officeDocument/2006/relationships" r:id="rId23"/>
          <a:extLst>
            <a:ext uri="{FF2B5EF4-FFF2-40B4-BE49-F238E27FC236}">
              <a16:creationId xmlns:a16="http://schemas.microsoft.com/office/drawing/2014/main" id="{00000000-0008-0000-2F00-00001B000000}"/>
            </a:ext>
          </a:extLst>
        </xdr:cNvPr>
        <xdr:cNvSpPr/>
      </xdr:nvSpPr>
      <xdr:spPr>
        <a:xfrm>
          <a:off x="3630706" y="10331824"/>
          <a:ext cx="1815353" cy="222437"/>
        </a:xfrm>
        <a:prstGeom prst="roundRect">
          <a:avLst/>
        </a:prstGeom>
        <a:gradFill>
          <a:gsLst>
            <a:gs pos="0">
              <a:srgbClr val="DCCD72"/>
            </a:gs>
            <a:gs pos="50000">
              <a:srgbClr val="FFFF99"/>
            </a:gs>
            <a:gs pos="70000">
              <a:srgbClr val="FFFFCC"/>
            </a:gs>
            <a:gs pos="100000">
              <a:srgbClr val="FFFFCC"/>
            </a:gs>
          </a:gsLst>
        </a:gradFill>
        <a:ln w="19050">
          <a:solidFill>
            <a:schemeClr val="tx1"/>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fld id="{2C378545-115F-43C2-89D1-62092C97CFFD}" type="TxLink">
            <a:rPr lang="en-US" sz="1100">
              <a:solidFill>
                <a:schemeClr val="tx1"/>
              </a:solidFill>
            </a:rPr>
            <a:pPr algn="ctr"/>
            <a:t>Additional Hazard 2</a:t>
          </a:fld>
          <a:endParaRPr lang="en-US" sz="1100">
            <a:solidFill>
              <a:schemeClr val="tx1"/>
            </a:solidFill>
          </a:endParaRPr>
        </a:p>
      </xdr:txBody>
    </xdr:sp>
    <xdr:clientData/>
  </xdr:twoCellAnchor>
  <xdr:twoCellAnchor>
    <xdr:from>
      <xdr:col>6</xdr:col>
      <xdr:colOff>0</xdr:colOff>
      <xdr:row>50</xdr:row>
      <xdr:rowOff>0</xdr:rowOff>
    </xdr:from>
    <xdr:to>
      <xdr:col>9</xdr:col>
      <xdr:colOff>0</xdr:colOff>
      <xdr:row>51</xdr:row>
      <xdr:rowOff>31937</xdr:rowOff>
    </xdr:to>
    <xdr:sp macro="" textlink="'Summary of Impacts'!Y6">
      <xdr:nvSpPr>
        <xdr:cNvPr id="28" name="Rounded Rectangle 27">
          <a:hlinkClick xmlns:r="http://schemas.openxmlformats.org/officeDocument/2006/relationships" r:id="rId24"/>
          <a:extLst>
            <a:ext uri="{FF2B5EF4-FFF2-40B4-BE49-F238E27FC236}">
              <a16:creationId xmlns:a16="http://schemas.microsoft.com/office/drawing/2014/main" id="{00000000-0008-0000-2F00-00001C000000}"/>
            </a:ext>
          </a:extLst>
        </xdr:cNvPr>
        <xdr:cNvSpPr/>
      </xdr:nvSpPr>
      <xdr:spPr>
        <a:xfrm>
          <a:off x="3630706" y="10712824"/>
          <a:ext cx="1815353" cy="222437"/>
        </a:xfrm>
        <a:prstGeom prst="roundRect">
          <a:avLst/>
        </a:prstGeom>
        <a:gradFill>
          <a:gsLst>
            <a:gs pos="0">
              <a:srgbClr val="DCCD72"/>
            </a:gs>
            <a:gs pos="50000">
              <a:srgbClr val="FFFF99"/>
            </a:gs>
            <a:gs pos="70000">
              <a:srgbClr val="FFFFCC"/>
            </a:gs>
            <a:gs pos="100000">
              <a:srgbClr val="FFFFCC"/>
            </a:gs>
          </a:gsLst>
        </a:gradFill>
        <a:ln w="19050">
          <a:solidFill>
            <a:schemeClr val="tx1"/>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fld id="{736FF95D-96E4-4961-AD4F-CE977320B44A}" type="TxLink">
            <a:rPr lang="en-US" sz="1100">
              <a:solidFill>
                <a:schemeClr val="tx1"/>
              </a:solidFill>
            </a:rPr>
            <a:pPr algn="ctr"/>
            <a:t>Additional Hazard 3</a:t>
          </a:fld>
          <a:endParaRPr lang="en-US" sz="1100">
            <a:solidFill>
              <a:schemeClr val="tx1"/>
            </a:solidFill>
          </a:endParaRPr>
        </a:p>
      </xdr:txBody>
    </xdr:sp>
    <xdr:clientData/>
  </xdr:twoCellAnchor>
  <xdr:twoCellAnchor>
    <xdr:from>
      <xdr:col>6</xdr:col>
      <xdr:colOff>0</xdr:colOff>
      <xdr:row>52</xdr:row>
      <xdr:rowOff>0</xdr:rowOff>
    </xdr:from>
    <xdr:to>
      <xdr:col>9</xdr:col>
      <xdr:colOff>0</xdr:colOff>
      <xdr:row>53</xdr:row>
      <xdr:rowOff>31937</xdr:rowOff>
    </xdr:to>
    <xdr:sp macro="" textlink="'Summary of Impacts'!Z6">
      <xdr:nvSpPr>
        <xdr:cNvPr id="29" name="Rounded Rectangle 28">
          <a:hlinkClick xmlns:r="http://schemas.openxmlformats.org/officeDocument/2006/relationships" r:id="rId25"/>
          <a:extLst>
            <a:ext uri="{FF2B5EF4-FFF2-40B4-BE49-F238E27FC236}">
              <a16:creationId xmlns:a16="http://schemas.microsoft.com/office/drawing/2014/main" id="{00000000-0008-0000-2F00-00001D000000}"/>
            </a:ext>
          </a:extLst>
        </xdr:cNvPr>
        <xdr:cNvSpPr/>
      </xdr:nvSpPr>
      <xdr:spPr>
        <a:xfrm>
          <a:off x="3630706" y="11093824"/>
          <a:ext cx="1815353" cy="222437"/>
        </a:xfrm>
        <a:prstGeom prst="roundRect">
          <a:avLst/>
        </a:prstGeom>
        <a:gradFill>
          <a:gsLst>
            <a:gs pos="0">
              <a:srgbClr val="DCCD72"/>
            </a:gs>
            <a:gs pos="50000">
              <a:srgbClr val="FFFF99"/>
            </a:gs>
            <a:gs pos="70000">
              <a:srgbClr val="FFFFCC"/>
            </a:gs>
            <a:gs pos="100000">
              <a:srgbClr val="FFFFCC"/>
            </a:gs>
          </a:gsLst>
        </a:gradFill>
        <a:ln w="19050">
          <a:solidFill>
            <a:schemeClr val="tx1"/>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fld id="{1FCDAA41-AAA7-4D38-BBFB-82AC27F2FE63}" type="TxLink">
            <a:rPr lang="en-US" sz="1100">
              <a:solidFill>
                <a:schemeClr val="tx1"/>
              </a:solidFill>
            </a:rPr>
            <a:pPr algn="ctr"/>
            <a:t>Additional Hazard 4</a:t>
          </a:fld>
          <a:endParaRPr lang="en-US" sz="1100">
            <a:solidFill>
              <a:schemeClr val="tx1"/>
            </a:solidFill>
          </a:endParaRPr>
        </a:p>
      </xdr:txBody>
    </xdr:sp>
    <xdr:clientData/>
  </xdr:twoCellAnchor>
  <xdr:twoCellAnchor>
    <xdr:from>
      <xdr:col>6</xdr:col>
      <xdr:colOff>0</xdr:colOff>
      <xdr:row>54</xdr:row>
      <xdr:rowOff>0</xdr:rowOff>
    </xdr:from>
    <xdr:to>
      <xdr:col>9</xdr:col>
      <xdr:colOff>0</xdr:colOff>
      <xdr:row>55</xdr:row>
      <xdr:rowOff>31937</xdr:rowOff>
    </xdr:to>
    <xdr:sp macro="" textlink="'Summary of Impacts'!AA6">
      <xdr:nvSpPr>
        <xdr:cNvPr id="30" name="Rounded Rectangle 29">
          <a:hlinkClick xmlns:r="http://schemas.openxmlformats.org/officeDocument/2006/relationships" r:id="rId26"/>
          <a:extLst>
            <a:ext uri="{FF2B5EF4-FFF2-40B4-BE49-F238E27FC236}">
              <a16:creationId xmlns:a16="http://schemas.microsoft.com/office/drawing/2014/main" id="{00000000-0008-0000-2F00-00001E000000}"/>
            </a:ext>
          </a:extLst>
        </xdr:cNvPr>
        <xdr:cNvSpPr/>
      </xdr:nvSpPr>
      <xdr:spPr>
        <a:xfrm>
          <a:off x="3630706" y="11474824"/>
          <a:ext cx="1815353" cy="222437"/>
        </a:xfrm>
        <a:prstGeom prst="roundRect">
          <a:avLst/>
        </a:prstGeom>
        <a:gradFill>
          <a:gsLst>
            <a:gs pos="0">
              <a:srgbClr val="DCCD72"/>
            </a:gs>
            <a:gs pos="50000">
              <a:srgbClr val="FFFF99"/>
            </a:gs>
            <a:gs pos="70000">
              <a:srgbClr val="FFFFCC"/>
            </a:gs>
            <a:gs pos="100000">
              <a:srgbClr val="FFFFCC"/>
            </a:gs>
          </a:gsLst>
        </a:gradFill>
        <a:ln w="19050">
          <a:solidFill>
            <a:schemeClr val="tx1"/>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fld id="{6625F833-FD00-4EAE-A461-9CFF04BDB496}" type="TxLink">
            <a:rPr lang="en-US" sz="1100">
              <a:solidFill>
                <a:schemeClr val="tx1"/>
              </a:solidFill>
            </a:rPr>
            <a:pPr algn="ctr"/>
            <a:t>Additional Hazard 5</a:t>
          </a:fld>
          <a:endParaRPr lang="en-US" sz="1100">
            <a:solidFill>
              <a:schemeClr val="tx1"/>
            </a:solidFill>
          </a:endParaRPr>
        </a:p>
      </xdr:txBody>
    </xdr:sp>
    <xdr:clientData/>
  </xdr:twoCellAnchor>
  <xdr:twoCellAnchor>
    <xdr:from>
      <xdr:col>6</xdr:col>
      <xdr:colOff>0</xdr:colOff>
      <xdr:row>56</xdr:row>
      <xdr:rowOff>0</xdr:rowOff>
    </xdr:from>
    <xdr:to>
      <xdr:col>9</xdr:col>
      <xdr:colOff>0</xdr:colOff>
      <xdr:row>57</xdr:row>
      <xdr:rowOff>31937</xdr:rowOff>
    </xdr:to>
    <xdr:sp macro="" textlink="'Summary of Impacts'!AB6">
      <xdr:nvSpPr>
        <xdr:cNvPr id="31" name="Rounded Rectangle 30">
          <a:hlinkClick xmlns:r="http://schemas.openxmlformats.org/officeDocument/2006/relationships" r:id="rId27"/>
          <a:extLst>
            <a:ext uri="{FF2B5EF4-FFF2-40B4-BE49-F238E27FC236}">
              <a16:creationId xmlns:a16="http://schemas.microsoft.com/office/drawing/2014/main" id="{00000000-0008-0000-2F00-00001F000000}"/>
            </a:ext>
          </a:extLst>
        </xdr:cNvPr>
        <xdr:cNvSpPr/>
      </xdr:nvSpPr>
      <xdr:spPr>
        <a:xfrm>
          <a:off x="3630706" y="11855824"/>
          <a:ext cx="1815353" cy="222437"/>
        </a:xfrm>
        <a:prstGeom prst="roundRect">
          <a:avLst/>
        </a:prstGeom>
        <a:gradFill>
          <a:gsLst>
            <a:gs pos="0">
              <a:srgbClr val="DCCD72"/>
            </a:gs>
            <a:gs pos="50000">
              <a:srgbClr val="FFFF99"/>
            </a:gs>
            <a:gs pos="70000">
              <a:srgbClr val="FFFFCC"/>
            </a:gs>
            <a:gs pos="100000">
              <a:srgbClr val="FFFFCC"/>
            </a:gs>
          </a:gsLst>
        </a:gradFill>
        <a:ln w="19050">
          <a:solidFill>
            <a:schemeClr val="tx1"/>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fld id="{3E80D898-3F7F-4308-B9A4-8CA0A60F2197}" type="TxLink">
            <a:rPr lang="en-US" sz="1100">
              <a:solidFill>
                <a:schemeClr val="tx1"/>
              </a:solidFill>
            </a:rPr>
            <a:pPr algn="ctr"/>
            <a:t>Additional Hazard 6</a:t>
          </a:fld>
          <a:endParaRPr lang="en-US" sz="1100">
            <a:solidFill>
              <a:schemeClr val="tx1"/>
            </a:solidFill>
          </a:endParaRPr>
        </a:p>
      </xdr:txBody>
    </xdr:sp>
    <xdr:clientData/>
  </xdr:twoCellAnchor>
  <xdr:twoCellAnchor>
    <xdr:from>
      <xdr:col>6</xdr:col>
      <xdr:colOff>0</xdr:colOff>
      <xdr:row>58</xdr:row>
      <xdr:rowOff>0</xdr:rowOff>
    </xdr:from>
    <xdr:to>
      <xdr:col>9</xdr:col>
      <xdr:colOff>0</xdr:colOff>
      <xdr:row>59</xdr:row>
      <xdr:rowOff>31937</xdr:rowOff>
    </xdr:to>
    <xdr:sp macro="" textlink="'Summary of Impacts'!AC6">
      <xdr:nvSpPr>
        <xdr:cNvPr id="32" name="Rounded Rectangle 31">
          <a:hlinkClick xmlns:r="http://schemas.openxmlformats.org/officeDocument/2006/relationships" r:id="rId28"/>
          <a:extLst>
            <a:ext uri="{FF2B5EF4-FFF2-40B4-BE49-F238E27FC236}">
              <a16:creationId xmlns:a16="http://schemas.microsoft.com/office/drawing/2014/main" id="{00000000-0008-0000-2F00-000020000000}"/>
            </a:ext>
          </a:extLst>
        </xdr:cNvPr>
        <xdr:cNvSpPr/>
      </xdr:nvSpPr>
      <xdr:spPr>
        <a:xfrm>
          <a:off x="3630706" y="12236824"/>
          <a:ext cx="1815353" cy="222437"/>
        </a:xfrm>
        <a:prstGeom prst="roundRect">
          <a:avLst/>
        </a:prstGeom>
        <a:gradFill>
          <a:gsLst>
            <a:gs pos="0">
              <a:srgbClr val="DCCD72"/>
            </a:gs>
            <a:gs pos="50000">
              <a:srgbClr val="FFFF99"/>
            </a:gs>
            <a:gs pos="70000">
              <a:srgbClr val="FFFFCC"/>
            </a:gs>
            <a:gs pos="100000">
              <a:srgbClr val="FFFFCC"/>
            </a:gs>
          </a:gsLst>
        </a:gradFill>
        <a:ln w="19050">
          <a:solidFill>
            <a:schemeClr val="tx1"/>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fld id="{EC4C3614-781A-4335-BF17-61AA27F07D60}" type="TxLink">
            <a:rPr lang="en-US" sz="1100">
              <a:solidFill>
                <a:schemeClr val="tx1"/>
              </a:solidFill>
            </a:rPr>
            <a:pPr algn="ctr"/>
            <a:t>Additional Hazard 7</a:t>
          </a:fld>
          <a:endParaRPr lang="en-US" sz="1100">
            <a:solidFill>
              <a:schemeClr val="tx1"/>
            </a:solidFill>
          </a:endParaRPr>
        </a:p>
      </xdr:txBody>
    </xdr:sp>
    <xdr:clientData/>
  </xdr:twoCellAnchor>
  <xdr:twoCellAnchor>
    <xdr:from>
      <xdr:col>6</xdr:col>
      <xdr:colOff>0</xdr:colOff>
      <xdr:row>60</xdr:row>
      <xdr:rowOff>0</xdr:rowOff>
    </xdr:from>
    <xdr:to>
      <xdr:col>9</xdr:col>
      <xdr:colOff>0</xdr:colOff>
      <xdr:row>61</xdr:row>
      <xdr:rowOff>31937</xdr:rowOff>
    </xdr:to>
    <xdr:sp macro="" textlink="'Summary of Impacts'!AD6">
      <xdr:nvSpPr>
        <xdr:cNvPr id="33" name="Rounded Rectangle 32">
          <a:hlinkClick xmlns:r="http://schemas.openxmlformats.org/officeDocument/2006/relationships" r:id="rId29"/>
          <a:extLst>
            <a:ext uri="{FF2B5EF4-FFF2-40B4-BE49-F238E27FC236}">
              <a16:creationId xmlns:a16="http://schemas.microsoft.com/office/drawing/2014/main" id="{00000000-0008-0000-2F00-000021000000}"/>
            </a:ext>
          </a:extLst>
        </xdr:cNvPr>
        <xdr:cNvSpPr/>
      </xdr:nvSpPr>
      <xdr:spPr>
        <a:xfrm>
          <a:off x="3630706" y="12617824"/>
          <a:ext cx="1815353" cy="222437"/>
        </a:xfrm>
        <a:prstGeom prst="roundRect">
          <a:avLst/>
        </a:prstGeom>
        <a:gradFill>
          <a:gsLst>
            <a:gs pos="0">
              <a:srgbClr val="DCCD72"/>
            </a:gs>
            <a:gs pos="50000">
              <a:srgbClr val="FFFF99"/>
            </a:gs>
            <a:gs pos="70000">
              <a:srgbClr val="FFFFCC"/>
            </a:gs>
            <a:gs pos="100000">
              <a:srgbClr val="FFFFCC"/>
            </a:gs>
          </a:gsLst>
        </a:gradFill>
        <a:ln w="19050">
          <a:solidFill>
            <a:schemeClr val="tx1"/>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fld id="{B23AC766-3355-491F-A56B-814914517F1E}" type="TxLink">
            <a:rPr lang="en-US" sz="1100">
              <a:solidFill>
                <a:schemeClr val="tx1"/>
              </a:solidFill>
            </a:rPr>
            <a:pPr algn="ctr"/>
            <a:t>Additional Hazard 8</a:t>
          </a:fld>
          <a:endParaRPr lang="en-US" sz="1100">
            <a:solidFill>
              <a:schemeClr val="tx1"/>
            </a:solidFill>
          </a:endParaRPr>
        </a:p>
      </xdr:txBody>
    </xdr:sp>
    <xdr:clientData/>
  </xdr:twoCellAnchor>
  <xdr:twoCellAnchor>
    <xdr:from>
      <xdr:col>6</xdr:col>
      <xdr:colOff>0</xdr:colOff>
      <xdr:row>62</xdr:row>
      <xdr:rowOff>0</xdr:rowOff>
    </xdr:from>
    <xdr:to>
      <xdr:col>9</xdr:col>
      <xdr:colOff>0</xdr:colOff>
      <xdr:row>63</xdr:row>
      <xdr:rowOff>31937</xdr:rowOff>
    </xdr:to>
    <xdr:sp macro="" textlink="'Summary of Impacts'!AE6">
      <xdr:nvSpPr>
        <xdr:cNvPr id="34" name="Rounded Rectangle 33">
          <a:hlinkClick xmlns:r="http://schemas.openxmlformats.org/officeDocument/2006/relationships" r:id="rId30"/>
          <a:extLst>
            <a:ext uri="{FF2B5EF4-FFF2-40B4-BE49-F238E27FC236}">
              <a16:creationId xmlns:a16="http://schemas.microsoft.com/office/drawing/2014/main" id="{00000000-0008-0000-2F00-000022000000}"/>
            </a:ext>
          </a:extLst>
        </xdr:cNvPr>
        <xdr:cNvSpPr/>
      </xdr:nvSpPr>
      <xdr:spPr>
        <a:xfrm>
          <a:off x="3630706" y="12998824"/>
          <a:ext cx="1815353" cy="222437"/>
        </a:xfrm>
        <a:prstGeom prst="roundRect">
          <a:avLst/>
        </a:prstGeom>
        <a:gradFill>
          <a:gsLst>
            <a:gs pos="0">
              <a:srgbClr val="DCCD72"/>
            </a:gs>
            <a:gs pos="50000">
              <a:srgbClr val="FFFF99"/>
            </a:gs>
            <a:gs pos="70000">
              <a:srgbClr val="FFFFCC"/>
            </a:gs>
            <a:gs pos="100000">
              <a:srgbClr val="FFFFCC"/>
            </a:gs>
          </a:gsLst>
        </a:gradFill>
        <a:ln w="19050">
          <a:solidFill>
            <a:schemeClr val="tx1"/>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fld id="{DC3D4545-2B0F-4910-B499-5FA0915E68AC}" type="TxLink">
            <a:rPr lang="en-US" sz="1100">
              <a:solidFill>
                <a:schemeClr val="tx1"/>
              </a:solidFill>
            </a:rPr>
            <a:pPr algn="ctr"/>
            <a:t>Additional Hazard 9</a:t>
          </a:fld>
          <a:endParaRPr lang="en-US" sz="1100">
            <a:solidFill>
              <a:schemeClr val="tx1"/>
            </a:solidFill>
          </a:endParaRPr>
        </a:p>
      </xdr:txBody>
    </xdr:sp>
    <xdr:clientData/>
  </xdr:twoCellAnchor>
  <xdr:twoCellAnchor>
    <xdr:from>
      <xdr:col>6</xdr:col>
      <xdr:colOff>0</xdr:colOff>
      <xdr:row>64</xdr:row>
      <xdr:rowOff>0</xdr:rowOff>
    </xdr:from>
    <xdr:to>
      <xdr:col>9</xdr:col>
      <xdr:colOff>0</xdr:colOff>
      <xdr:row>65</xdr:row>
      <xdr:rowOff>31937</xdr:rowOff>
    </xdr:to>
    <xdr:sp macro="" textlink="'Summary of Impacts'!AF6">
      <xdr:nvSpPr>
        <xdr:cNvPr id="35" name="Rounded Rectangle 34">
          <a:hlinkClick xmlns:r="http://schemas.openxmlformats.org/officeDocument/2006/relationships" r:id="rId31"/>
          <a:extLst>
            <a:ext uri="{FF2B5EF4-FFF2-40B4-BE49-F238E27FC236}">
              <a16:creationId xmlns:a16="http://schemas.microsoft.com/office/drawing/2014/main" id="{00000000-0008-0000-2F00-000023000000}"/>
            </a:ext>
          </a:extLst>
        </xdr:cNvPr>
        <xdr:cNvSpPr/>
      </xdr:nvSpPr>
      <xdr:spPr>
        <a:xfrm>
          <a:off x="3630706" y="13379824"/>
          <a:ext cx="1815353" cy="222437"/>
        </a:xfrm>
        <a:prstGeom prst="roundRect">
          <a:avLst/>
        </a:prstGeom>
        <a:gradFill>
          <a:gsLst>
            <a:gs pos="0">
              <a:srgbClr val="DCCD72"/>
            </a:gs>
            <a:gs pos="50000">
              <a:srgbClr val="FFFF99"/>
            </a:gs>
            <a:gs pos="70000">
              <a:srgbClr val="FFFFCC"/>
            </a:gs>
            <a:gs pos="100000">
              <a:srgbClr val="FFFFCC"/>
            </a:gs>
          </a:gsLst>
        </a:gradFill>
        <a:ln w="19050">
          <a:solidFill>
            <a:schemeClr val="tx1"/>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fld id="{4DB648E2-AD13-4CA8-A155-1AC5BC0146D4}" type="TxLink">
            <a:rPr lang="en-US" sz="1100">
              <a:solidFill>
                <a:schemeClr val="tx1"/>
              </a:solidFill>
            </a:rPr>
            <a:pPr algn="ctr"/>
            <a:t>Additional Hazard 10</a:t>
          </a:fld>
          <a:endParaRPr lang="en-US" sz="1100">
            <a:solidFill>
              <a:schemeClr val="tx1"/>
            </a:solidFill>
          </a:endParaRP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1</xdr:col>
      <xdr:colOff>0</xdr:colOff>
      <xdr:row>5</xdr:row>
      <xdr:rowOff>0</xdr:rowOff>
    </xdr:from>
    <xdr:to>
      <xdr:col>13</xdr:col>
      <xdr:colOff>371475</xdr:colOff>
      <xdr:row>32</xdr:row>
      <xdr:rowOff>85725</xdr:rowOff>
    </xdr:to>
    <xdr:graphicFrame macro="">
      <xdr:nvGraphicFramePr>
        <xdr:cNvPr id="5" name="Chart 4">
          <a:extLst>
            <a:ext uri="{FF2B5EF4-FFF2-40B4-BE49-F238E27FC236}">
              <a16:creationId xmlns:a16="http://schemas.microsoft.com/office/drawing/2014/main" id="{00000000-0008-0000-3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1</xdr:col>
      <xdr:colOff>0</xdr:colOff>
      <xdr:row>34</xdr:row>
      <xdr:rowOff>0</xdr:rowOff>
    </xdr:from>
    <xdr:to>
      <xdr:col>13</xdr:col>
      <xdr:colOff>371475</xdr:colOff>
      <xdr:row>61</xdr:row>
      <xdr:rowOff>85725</xdr:rowOff>
    </xdr:to>
    <xdr:graphicFrame macro="">
      <xdr:nvGraphicFramePr>
        <xdr:cNvPr id="6" name="Chart 5">
          <a:extLst>
            <a:ext uri="{FF2B5EF4-FFF2-40B4-BE49-F238E27FC236}">
              <a16:creationId xmlns:a16="http://schemas.microsoft.com/office/drawing/2014/main" id="{00000000-0008-0000-3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1</xdr:col>
      <xdr:colOff>0</xdr:colOff>
      <xdr:row>63</xdr:row>
      <xdr:rowOff>0</xdr:rowOff>
    </xdr:from>
    <xdr:to>
      <xdr:col>13</xdr:col>
      <xdr:colOff>371475</xdr:colOff>
      <xdr:row>90</xdr:row>
      <xdr:rowOff>85725</xdr:rowOff>
    </xdr:to>
    <xdr:graphicFrame macro="">
      <xdr:nvGraphicFramePr>
        <xdr:cNvPr id="7" name="Chart 6">
          <a:extLst>
            <a:ext uri="{FF2B5EF4-FFF2-40B4-BE49-F238E27FC236}">
              <a16:creationId xmlns:a16="http://schemas.microsoft.com/office/drawing/2014/main" id="{00000000-0008-0000-3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xdr:from>
      <xdr:col>12</xdr:col>
      <xdr:colOff>0</xdr:colOff>
      <xdr:row>1</xdr:row>
      <xdr:rowOff>0</xdr:rowOff>
    </xdr:from>
    <xdr:to>
      <xdr:col>13</xdr:col>
      <xdr:colOff>595593</xdr:colOff>
      <xdr:row>1</xdr:row>
      <xdr:rowOff>414618</xdr:rowOff>
    </xdr:to>
    <xdr:sp macro="" textlink="">
      <xdr:nvSpPr>
        <xdr:cNvPr id="9" name="Rounded Rectangle 8">
          <a:hlinkClick xmlns:r="http://schemas.openxmlformats.org/officeDocument/2006/relationships" r:id="rId4"/>
          <a:extLst>
            <a:ext uri="{FF2B5EF4-FFF2-40B4-BE49-F238E27FC236}">
              <a16:creationId xmlns:a16="http://schemas.microsoft.com/office/drawing/2014/main" id="{00000000-0008-0000-3000-000009000000}"/>
            </a:ext>
          </a:extLst>
        </xdr:cNvPr>
        <xdr:cNvSpPr/>
      </xdr:nvSpPr>
      <xdr:spPr>
        <a:xfrm>
          <a:off x="6981825" y="190500"/>
          <a:ext cx="1205193" cy="414618"/>
        </a:xfrm>
        <a:prstGeom prst="roundRect">
          <a:avLst/>
        </a:prstGeom>
        <a:gradFill>
          <a:gsLst>
            <a:gs pos="0">
              <a:srgbClr val="23AF84"/>
            </a:gs>
            <a:gs pos="50000">
              <a:srgbClr val="6DDDA8"/>
            </a:gs>
            <a:gs pos="70000">
              <a:srgbClr val="70EAB9"/>
            </a:gs>
            <a:gs pos="100000">
              <a:srgbClr val="99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a:latin typeface="+mj-lt"/>
            </a:rPr>
            <a:t>Hazards</a:t>
          </a:r>
          <a:r>
            <a:rPr lang="en-US" sz="1100" baseline="0">
              <a:latin typeface="+mj-lt"/>
            </a:rPr>
            <a:t> Menu</a:t>
          </a:r>
          <a:endParaRPr lang="en-US" sz="1100">
            <a:latin typeface="+mj-lt"/>
          </a:endParaRPr>
        </a:p>
      </xdr:txBody>
    </xdr:sp>
    <xdr:clientData/>
  </xdr:twoCellAnchor>
  <xdr:twoCellAnchor>
    <xdr:from>
      <xdr:col>12</xdr:col>
      <xdr:colOff>0</xdr:colOff>
      <xdr:row>3</xdr:row>
      <xdr:rowOff>0</xdr:rowOff>
    </xdr:from>
    <xdr:to>
      <xdr:col>13</xdr:col>
      <xdr:colOff>595593</xdr:colOff>
      <xdr:row>4</xdr:row>
      <xdr:rowOff>57150</xdr:rowOff>
    </xdr:to>
    <xdr:sp macro="" textlink="">
      <xdr:nvSpPr>
        <xdr:cNvPr id="10" name="Rounded Rectangle 9">
          <a:hlinkClick xmlns:r="http://schemas.openxmlformats.org/officeDocument/2006/relationships" r:id="rId5"/>
          <a:extLst>
            <a:ext uri="{FF2B5EF4-FFF2-40B4-BE49-F238E27FC236}">
              <a16:creationId xmlns:a16="http://schemas.microsoft.com/office/drawing/2014/main" id="{00000000-0008-0000-3000-00000A000000}"/>
            </a:ext>
          </a:extLst>
        </xdr:cNvPr>
        <xdr:cNvSpPr/>
      </xdr:nvSpPr>
      <xdr:spPr>
        <a:xfrm>
          <a:off x="6981825" y="895350"/>
          <a:ext cx="1205193" cy="485775"/>
        </a:xfrm>
        <a:prstGeom prst="roundRect">
          <a:avLst/>
        </a:prstGeom>
        <a:gradFill>
          <a:gsLst>
            <a:gs pos="0">
              <a:srgbClr val="DCCD72"/>
            </a:gs>
            <a:gs pos="50000">
              <a:srgbClr val="FFFF99"/>
            </a:gs>
            <a:gs pos="70000">
              <a:srgbClr val="FFFFCC"/>
            </a:gs>
            <a:gs pos="100000">
              <a:srgbClr val="FF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000">
              <a:solidFill>
                <a:schemeClr val="tx1"/>
              </a:solidFill>
              <a:latin typeface="+mj-lt"/>
            </a:rPr>
            <a:t>Active Shooter Worksheet</a:t>
          </a:r>
        </a:p>
      </xdr:txBody>
    </xdr:sp>
    <xdr:clientData/>
  </xdr:twoCellAnchor>
  <xdr:twoCellAnchor>
    <xdr:from>
      <xdr:col>1</xdr:col>
      <xdr:colOff>0</xdr:colOff>
      <xdr:row>92</xdr:row>
      <xdr:rowOff>0</xdr:rowOff>
    </xdr:from>
    <xdr:to>
      <xdr:col>13</xdr:col>
      <xdr:colOff>371475</xdr:colOff>
      <xdr:row>119</xdr:row>
      <xdr:rowOff>85725</xdr:rowOff>
    </xdr:to>
    <xdr:graphicFrame macro="">
      <xdr:nvGraphicFramePr>
        <xdr:cNvPr id="8" name="Chart 7">
          <a:extLst>
            <a:ext uri="{FF2B5EF4-FFF2-40B4-BE49-F238E27FC236}">
              <a16:creationId xmlns:a16="http://schemas.microsoft.com/office/drawing/2014/main" id="{00000000-0008-0000-3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twoCellAnchor>
</xdr:wsDr>
</file>

<file path=xl/drawings/drawing5.xml><?xml version="1.0" encoding="utf-8"?>
<xdr:wsDr xmlns:xdr="http://schemas.openxmlformats.org/drawingml/2006/spreadsheetDrawing" xmlns:a="http://schemas.openxmlformats.org/drawingml/2006/main">
  <xdr:twoCellAnchor>
    <xdr:from>
      <xdr:col>9</xdr:col>
      <xdr:colOff>0</xdr:colOff>
      <xdr:row>1</xdr:row>
      <xdr:rowOff>0</xdr:rowOff>
    </xdr:from>
    <xdr:to>
      <xdr:col>10</xdr:col>
      <xdr:colOff>600075</xdr:colOff>
      <xdr:row>2</xdr:row>
      <xdr:rowOff>0</xdr:rowOff>
    </xdr:to>
    <xdr:sp macro="" textlink="">
      <xdr:nvSpPr>
        <xdr:cNvPr id="4" name="Rounded Rectangle 3">
          <a:hlinkClick xmlns:r="http://schemas.openxmlformats.org/officeDocument/2006/relationships" r:id="rId1"/>
          <a:extLst>
            <a:ext uri="{FF2B5EF4-FFF2-40B4-BE49-F238E27FC236}">
              <a16:creationId xmlns:a16="http://schemas.microsoft.com/office/drawing/2014/main" id="{00000000-0008-0000-0400-000004000000}"/>
            </a:ext>
          </a:extLst>
        </xdr:cNvPr>
        <xdr:cNvSpPr/>
      </xdr:nvSpPr>
      <xdr:spPr>
        <a:xfrm>
          <a:off x="6257925" y="190500"/>
          <a:ext cx="1209675" cy="419100"/>
        </a:xfrm>
        <a:prstGeom prst="roundRect">
          <a:avLst/>
        </a:prstGeom>
        <a:gradFill>
          <a:gsLst>
            <a:gs pos="0">
              <a:srgbClr val="23AF84"/>
            </a:gs>
            <a:gs pos="50000">
              <a:srgbClr val="6DDDA8"/>
            </a:gs>
            <a:gs pos="70000">
              <a:srgbClr val="70EAB9"/>
            </a:gs>
            <a:gs pos="100000">
              <a:srgbClr val="99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400">
              <a:latin typeface="+mj-lt"/>
            </a:rPr>
            <a:t>Main</a:t>
          </a:r>
          <a:r>
            <a:rPr lang="en-US" sz="1400" baseline="0">
              <a:latin typeface="+mj-lt"/>
            </a:rPr>
            <a:t> Menu</a:t>
          </a:r>
          <a:endParaRPr lang="en-US" sz="1400">
            <a:latin typeface="+mj-lt"/>
          </a:endParaRP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1</xdr:col>
      <xdr:colOff>0</xdr:colOff>
      <xdr:row>5</xdr:row>
      <xdr:rowOff>0</xdr:rowOff>
    </xdr:from>
    <xdr:to>
      <xdr:col>13</xdr:col>
      <xdr:colOff>371475</xdr:colOff>
      <xdr:row>32</xdr:row>
      <xdr:rowOff>85725</xdr:rowOff>
    </xdr:to>
    <xdr:graphicFrame macro="">
      <xdr:nvGraphicFramePr>
        <xdr:cNvPr id="2" name="Chart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1</xdr:col>
      <xdr:colOff>0</xdr:colOff>
      <xdr:row>34</xdr:row>
      <xdr:rowOff>0</xdr:rowOff>
    </xdr:from>
    <xdr:to>
      <xdr:col>13</xdr:col>
      <xdr:colOff>371475</xdr:colOff>
      <xdr:row>61</xdr:row>
      <xdr:rowOff>85725</xdr:rowOff>
    </xdr:to>
    <xdr:graphicFrame macro="">
      <xdr:nvGraphicFramePr>
        <xdr:cNvPr id="3" name="Chart 2">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1</xdr:col>
      <xdr:colOff>0</xdr:colOff>
      <xdr:row>63</xdr:row>
      <xdr:rowOff>0</xdr:rowOff>
    </xdr:from>
    <xdr:to>
      <xdr:col>13</xdr:col>
      <xdr:colOff>371475</xdr:colOff>
      <xdr:row>90</xdr:row>
      <xdr:rowOff>85725</xdr:rowOff>
    </xdr:to>
    <xdr:graphicFrame macro="">
      <xdr:nvGraphicFramePr>
        <xdr:cNvPr id="4" name="Chart 3">
          <a:extLst>
            <a:ext uri="{FF2B5EF4-FFF2-40B4-BE49-F238E27FC236}">
              <a16:creationId xmlns:a16="http://schemas.microsoft.com/office/drawing/2014/main" id="{00000000-0008-0000-3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xdr:from>
      <xdr:col>12</xdr:col>
      <xdr:colOff>0</xdr:colOff>
      <xdr:row>1</xdr:row>
      <xdr:rowOff>0</xdr:rowOff>
    </xdr:from>
    <xdr:to>
      <xdr:col>13</xdr:col>
      <xdr:colOff>595593</xdr:colOff>
      <xdr:row>1</xdr:row>
      <xdr:rowOff>414618</xdr:rowOff>
    </xdr:to>
    <xdr:sp macro="" textlink="">
      <xdr:nvSpPr>
        <xdr:cNvPr id="5" name="Rounded Rectangle 4">
          <a:hlinkClick xmlns:r="http://schemas.openxmlformats.org/officeDocument/2006/relationships" r:id="rId4"/>
          <a:extLst>
            <a:ext uri="{FF2B5EF4-FFF2-40B4-BE49-F238E27FC236}">
              <a16:creationId xmlns:a16="http://schemas.microsoft.com/office/drawing/2014/main" id="{00000000-0008-0000-3100-000005000000}"/>
            </a:ext>
          </a:extLst>
        </xdr:cNvPr>
        <xdr:cNvSpPr/>
      </xdr:nvSpPr>
      <xdr:spPr>
        <a:xfrm>
          <a:off x="6981825" y="190500"/>
          <a:ext cx="1205193" cy="414618"/>
        </a:xfrm>
        <a:prstGeom prst="roundRect">
          <a:avLst/>
        </a:prstGeom>
        <a:gradFill>
          <a:gsLst>
            <a:gs pos="0">
              <a:srgbClr val="23AF84"/>
            </a:gs>
            <a:gs pos="50000">
              <a:srgbClr val="6DDDA8"/>
            </a:gs>
            <a:gs pos="70000">
              <a:srgbClr val="70EAB9"/>
            </a:gs>
            <a:gs pos="100000">
              <a:srgbClr val="99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a:latin typeface="+mj-lt"/>
            </a:rPr>
            <a:t>Hazards</a:t>
          </a:r>
          <a:r>
            <a:rPr lang="en-US" sz="1100" baseline="0">
              <a:latin typeface="+mj-lt"/>
            </a:rPr>
            <a:t> Menu</a:t>
          </a:r>
          <a:endParaRPr lang="en-US" sz="1100">
            <a:latin typeface="+mj-lt"/>
          </a:endParaRPr>
        </a:p>
      </xdr:txBody>
    </xdr:sp>
    <xdr:clientData/>
  </xdr:twoCellAnchor>
  <xdr:twoCellAnchor>
    <xdr:from>
      <xdr:col>12</xdr:col>
      <xdr:colOff>0</xdr:colOff>
      <xdr:row>3</xdr:row>
      <xdr:rowOff>0</xdr:rowOff>
    </xdr:from>
    <xdr:to>
      <xdr:col>13</xdr:col>
      <xdr:colOff>595593</xdr:colOff>
      <xdr:row>4</xdr:row>
      <xdr:rowOff>57150</xdr:rowOff>
    </xdr:to>
    <xdr:sp macro="" textlink="">
      <xdr:nvSpPr>
        <xdr:cNvPr id="6" name="Rounded Rectangle 5">
          <a:hlinkClick xmlns:r="http://schemas.openxmlformats.org/officeDocument/2006/relationships" r:id="rId5"/>
          <a:extLst>
            <a:ext uri="{FF2B5EF4-FFF2-40B4-BE49-F238E27FC236}">
              <a16:creationId xmlns:a16="http://schemas.microsoft.com/office/drawing/2014/main" id="{00000000-0008-0000-3100-000006000000}"/>
            </a:ext>
          </a:extLst>
        </xdr:cNvPr>
        <xdr:cNvSpPr/>
      </xdr:nvSpPr>
      <xdr:spPr>
        <a:xfrm>
          <a:off x="6981825" y="895350"/>
          <a:ext cx="1205193" cy="485775"/>
        </a:xfrm>
        <a:prstGeom prst="roundRect">
          <a:avLst/>
        </a:prstGeom>
        <a:gradFill>
          <a:gsLst>
            <a:gs pos="0">
              <a:srgbClr val="DCCD72"/>
            </a:gs>
            <a:gs pos="50000">
              <a:srgbClr val="FFFF99"/>
            </a:gs>
            <a:gs pos="70000">
              <a:srgbClr val="FFFFCC"/>
            </a:gs>
            <a:gs pos="100000">
              <a:srgbClr val="FF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000">
              <a:solidFill>
                <a:schemeClr val="tx1"/>
              </a:solidFill>
              <a:latin typeface="+mj-lt"/>
            </a:rPr>
            <a:t>Bio Terrorism Worksheet</a:t>
          </a:r>
        </a:p>
      </xdr:txBody>
    </xdr:sp>
    <xdr:clientData/>
  </xdr:twoCellAnchor>
  <xdr:twoCellAnchor>
    <xdr:from>
      <xdr:col>1</xdr:col>
      <xdr:colOff>0</xdr:colOff>
      <xdr:row>92</xdr:row>
      <xdr:rowOff>0</xdr:rowOff>
    </xdr:from>
    <xdr:to>
      <xdr:col>13</xdr:col>
      <xdr:colOff>371475</xdr:colOff>
      <xdr:row>119</xdr:row>
      <xdr:rowOff>85725</xdr:rowOff>
    </xdr:to>
    <xdr:graphicFrame macro="">
      <xdr:nvGraphicFramePr>
        <xdr:cNvPr id="7" name="Chart 6">
          <a:extLst>
            <a:ext uri="{FF2B5EF4-FFF2-40B4-BE49-F238E27FC236}">
              <a16:creationId xmlns:a16="http://schemas.microsoft.com/office/drawing/2014/main" id="{00000000-0008-0000-3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twoCellAnchor>
</xdr:wsDr>
</file>

<file path=xl/drawings/drawing51.xml><?xml version="1.0" encoding="utf-8"?>
<xdr:wsDr xmlns:xdr="http://schemas.openxmlformats.org/drawingml/2006/spreadsheetDrawing" xmlns:a="http://schemas.openxmlformats.org/drawingml/2006/main">
  <xdr:twoCellAnchor>
    <xdr:from>
      <xdr:col>12</xdr:col>
      <xdr:colOff>0</xdr:colOff>
      <xdr:row>1</xdr:row>
      <xdr:rowOff>0</xdr:rowOff>
    </xdr:from>
    <xdr:to>
      <xdr:col>13</xdr:col>
      <xdr:colOff>595593</xdr:colOff>
      <xdr:row>1</xdr:row>
      <xdr:rowOff>414618</xdr:rowOff>
    </xdr:to>
    <xdr:sp macro="" textlink="">
      <xdr:nvSpPr>
        <xdr:cNvPr id="6" name="Rounded Rectangle 5">
          <a:hlinkClick xmlns:r="http://schemas.openxmlformats.org/officeDocument/2006/relationships" r:id="rId1"/>
          <a:extLst>
            <a:ext uri="{FF2B5EF4-FFF2-40B4-BE49-F238E27FC236}">
              <a16:creationId xmlns:a16="http://schemas.microsoft.com/office/drawing/2014/main" id="{00000000-0008-0000-3200-000006000000}"/>
            </a:ext>
          </a:extLst>
        </xdr:cNvPr>
        <xdr:cNvSpPr/>
      </xdr:nvSpPr>
      <xdr:spPr>
        <a:xfrm>
          <a:off x="6981825" y="190500"/>
          <a:ext cx="1205193" cy="414618"/>
        </a:xfrm>
        <a:prstGeom prst="roundRect">
          <a:avLst/>
        </a:prstGeom>
        <a:gradFill>
          <a:gsLst>
            <a:gs pos="0">
              <a:srgbClr val="23AF84"/>
            </a:gs>
            <a:gs pos="50000">
              <a:srgbClr val="6DDDA8"/>
            </a:gs>
            <a:gs pos="70000">
              <a:srgbClr val="70EAB9"/>
            </a:gs>
            <a:gs pos="100000">
              <a:srgbClr val="99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a:latin typeface="+mj-lt"/>
            </a:rPr>
            <a:t>Hazards</a:t>
          </a:r>
          <a:r>
            <a:rPr lang="en-US" sz="1100" baseline="0">
              <a:latin typeface="+mj-lt"/>
            </a:rPr>
            <a:t> Menu</a:t>
          </a:r>
          <a:endParaRPr lang="en-US" sz="1100">
            <a:latin typeface="+mj-lt"/>
          </a:endParaRPr>
        </a:p>
      </xdr:txBody>
    </xdr:sp>
    <xdr:clientData/>
  </xdr:twoCellAnchor>
  <xdr:twoCellAnchor>
    <xdr:from>
      <xdr:col>12</xdr:col>
      <xdr:colOff>0</xdr:colOff>
      <xdr:row>3</xdr:row>
      <xdr:rowOff>0</xdr:rowOff>
    </xdr:from>
    <xdr:to>
      <xdr:col>13</xdr:col>
      <xdr:colOff>595593</xdr:colOff>
      <xdr:row>4</xdr:row>
      <xdr:rowOff>57150</xdr:rowOff>
    </xdr:to>
    <xdr:sp macro="" textlink="">
      <xdr:nvSpPr>
        <xdr:cNvPr id="7" name="Rounded Rectangle 6">
          <a:hlinkClick xmlns:r="http://schemas.openxmlformats.org/officeDocument/2006/relationships" r:id="rId2"/>
          <a:extLst>
            <a:ext uri="{FF2B5EF4-FFF2-40B4-BE49-F238E27FC236}">
              <a16:creationId xmlns:a16="http://schemas.microsoft.com/office/drawing/2014/main" id="{00000000-0008-0000-3200-000007000000}"/>
            </a:ext>
          </a:extLst>
        </xdr:cNvPr>
        <xdr:cNvSpPr/>
      </xdr:nvSpPr>
      <xdr:spPr>
        <a:xfrm>
          <a:off x="6981825" y="895350"/>
          <a:ext cx="1205193" cy="485775"/>
        </a:xfrm>
        <a:prstGeom prst="roundRect">
          <a:avLst/>
        </a:prstGeom>
        <a:gradFill>
          <a:gsLst>
            <a:gs pos="0">
              <a:srgbClr val="DCCD72"/>
            </a:gs>
            <a:gs pos="50000">
              <a:srgbClr val="FFFF99"/>
            </a:gs>
            <a:gs pos="70000">
              <a:srgbClr val="FFFFCC"/>
            </a:gs>
            <a:gs pos="100000">
              <a:srgbClr val="FF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000">
              <a:solidFill>
                <a:schemeClr val="tx1"/>
              </a:solidFill>
              <a:latin typeface="+mj-lt"/>
            </a:rPr>
            <a:t>Chem Terrorism</a:t>
          </a:r>
          <a:r>
            <a:rPr lang="en-US" sz="1000" baseline="0">
              <a:solidFill>
                <a:schemeClr val="tx1"/>
              </a:solidFill>
              <a:latin typeface="+mj-lt"/>
            </a:rPr>
            <a:t> </a:t>
          </a:r>
          <a:r>
            <a:rPr lang="en-US" sz="1000">
              <a:solidFill>
                <a:schemeClr val="tx1"/>
              </a:solidFill>
              <a:latin typeface="+mj-lt"/>
            </a:rPr>
            <a:t>Worksheet</a:t>
          </a:r>
        </a:p>
      </xdr:txBody>
    </xdr:sp>
    <xdr:clientData/>
  </xdr:twoCellAnchor>
  <xdr:twoCellAnchor>
    <xdr:from>
      <xdr:col>1</xdr:col>
      <xdr:colOff>0</xdr:colOff>
      <xdr:row>34</xdr:row>
      <xdr:rowOff>0</xdr:rowOff>
    </xdr:from>
    <xdr:to>
      <xdr:col>13</xdr:col>
      <xdr:colOff>371475</xdr:colOff>
      <xdr:row>61</xdr:row>
      <xdr:rowOff>85725</xdr:rowOff>
    </xdr:to>
    <xdr:graphicFrame macro="">
      <xdr:nvGraphicFramePr>
        <xdr:cNvPr id="10" name="Chart 9">
          <a:extLst>
            <a:ext uri="{FF2B5EF4-FFF2-40B4-BE49-F238E27FC236}">
              <a16:creationId xmlns:a16="http://schemas.microsoft.com/office/drawing/2014/main" id="{00000000-0008-0000-3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xdr:from>
      <xdr:col>1</xdr:col>
      <xdr:colOff>0</xdr:colOff>
      <xdr:row>5</xdr:row>
      <xdr:rowOff>0</xdr:rowOff>
    </xdr:from>
    <xdr:to>
      <xdr:col>13</xdr:col>
      <xdr:colOff>371475</xdr:colOff>
      <xdr:row>32</xdr:row>
      <xdr:rowOff>85725</xdr:rowOff>
    </xdr:to>
    <xdr:graphicFrame macro="">
      <xdr:nvGraphicFramePr>
        <xdr:cNvPr id="11" name="Chart 10">
          <a:extLst>
            <a:ext uri="{FF2B5EF4-FFF2-40B4-BE49-F238E27FC236}">
              <a16:creationId xmlns:a16="http://schemas.microsoft.com/office/drawing/2014/main" id="{00000000-0008-0000-3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1</xdr:col>
      <xdr:colOff>0</xdr:colOff>
      <xdr:row>63</xdr:row>
      <xdr:rowOff>0</xdr:rowOff>
    </xdr:from>
    <xdr:to>
      <xdr:col>13</xdr:col>
      <xdr:colOff>371475</xdr:colOff>
      <xdr:row>90</xdr:row>
      <xdr:rowOff>85725</xdr:rowOff>
    </xdr:to>
    <xdr:graphicFrame macro="">
      <xdr:nvGraphicFramePr>
        <xdr:cNvPr id="12" name="Chart 11">
          <a:extLst>
            <a:ext uri="{FF2B5EF4-FFF2-40B4-BE49-F238E27FC236}">
              <a16:creationId xmlns:a16="http://schemas.microsoft.com/office/drawing/2014/main" id="{00000000-0008-0000-3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xdr:from>
      <xdr:col>1</xdr:col>
      <xdr:colOff>0</xdr:colOff>
      <xdr:row>92</xdr:row>
      <xdr:rowOff>0</xdr:rowOff>
    </xdr:from>
    <xdr:to>
      <xdr:col>13</xdr:col>
      <xdr:colOff>371475</xdr:colOff>
      <xdr:row>119</xdr:row>
      <xdr:rowOff>85725</xdr:rowOff>
    </xdr:to>
    <xdr:graphicFrame macro="">
      <xdr:nvGraphicFramePr>
        <xdr:cNvPr id="13" name="Chart 12">
          <a:extLst>
            <a:ext uri="{FF2B5EF4-FFF2-40B4-BE49-F238E27FC236}">
              <a16:creationId xmlns:a16="http://schemas.microsoft.com/office/drawing/2014/main" id="{00000000-0008-0000-3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twoCellAnchor>
</xdr:wsDr>
</file>

<file path=xl/drawings/drawing52.xml><?xml version="1.0" encoding="utf-8"?>
<xdr:wsDr xmlns:xdr="http://schemas.openxmlformats.org/drawingml/2006/spreadsheetDrawing" xmlns:a="http://schemas.openxmlformats.org/drawingml/2006/main">
  <xdr:twoCellAnchor>
    <xdr:from>
      <xdr:col>1</xdr:col>
      <xdr:colOff>0</xdr:colOff>
      <xdr:row>34</xdr:row>
      <xdr:rowOff>0</xdr:rowOff>
    </xdr:from>
    <xdr:to>
      <xdr:col>13</xdr:col>
      <xdr:colOff>371475</xdr:colOff>
      <xdr:row>61</xdr:row>
      <xdr:rowOff>85725</xdr:rowOff>
    </xdr:to>
    <xdr:graphicFrame macro="">
      <xdr:nvGraphicFramePr>
        <xdr:cNvPr id="3" name="Chart 2">
          <a:extLst>
            <a:ext uri="{FF2B5EF4-FFF2-40B4-BE49-F238E27FC236}">
              <a16:creationId xmlns:a16="http://schemas.microsoft.com/office/drawing/2014/main" id="{00000000-0008-0000-3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1</xdr:col>
      <xdr:colOff>0</xdr:colOff>
      <xdr:row>63</xdr:row>
      <xdr:rowOff>0</xdr:rowOff>
    </xdr:from>
    <xdr:to>
      <xdr:col>13</xdr:col>
      <xdr:colOff>371475</xdr:colOff>
      <xdr:row>90</xdr:row>
      <xdr:rowOff>85725</xdr:rowOff>
    </xdr:to>
    <xdr:graphicFrame macro="">
      <xdr:nvGraphicFramePr>
        <xdr:cNvPr id="4" name="Chart 3">
          <a:extLst>
            <a:ext uri="{FF2B5EF4-FFF2-40B4-BE49-F238E27FC236}">
              <a16:creationId xmlns:a16="http://schemas.microsoft.com/office/drawing/2014/main" id="{00000000-0008-0000-3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1</xdr:col>
      <xdr:colOff>0</xdr:colOff>
      <xdr:row>5</xdr:row>
      <xdr:rowOff>0</xdr:rowOff>
    </xdr:from>
    <xdr:to>
      <xdr:col>13</xdr:col>
      <xdr:colOff>371475</xdr:colOff>
      <xdr:row>32</xdr:row>
      <xdr:rowOff>85725</xdr:rowOff>
    </xdr:to>
    <xdr:graphicFrame macro="">
      <xdr:nvGraphicFramePr>
        <xdr:cNvPr id="5" name="Chart 4">
          <a:extLst>
            <a:ext uri="{FF2B5EF4-FFF2-40B4-BE49-F238E27FC236}">
              <a16:creationId xmlns:a16="http://schemas.microsoft.com/office/drawing/2014/main" id="{00000000-0008-0000-3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xdr:from>
      <xdr:col>12</xdr:col>
      <xdr:colOff>0</xdr:colOff>
      <xdr:row>1</xdr:row>
      <xdr:rowOff>0</xdr:rowOff>
    </xdr:from>
    <xdr:to>
      <xdr:col>13</xdr:col>
      <xdr:colOff>595593</xdr:colOff>
      <xdr:row>1</xdr:row>
      <xdr:rowOff>414618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3300-000006000000}"/>
            </a:ext>
          </a:extLst>
        </xdr:cNvPr>
        <xdr:cNvSpPr/>
      </xdr:nvSpPr>
      <xdr:spPr>
        <a:xfrm>
          <a:off x="6981825" y="190500"/>
          <a:ext cx="1205193" cy="414618"/>
        </a:xfrm>
        <a:prstGeom prst="roundRect">
          <a:avLst/>
        </a:prstGeom>
        <a:gradFill>
          <a:gsLst>
            <a:gs pos="0">
              <a:srgbClr val="23AF84"/>
            </a:gs>
            <a:gs pos="50000">
              <a:srgbClr val="6DDDA8"/>
            </a:gs>
            <a:gs pos="70000">
              <a:srgbClr val="70EAB9"/>
            </a:gs>
            <a:gs pos="100000">
              <a:srgbClr val="99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a:latin typeface="+mj-lt"/>
            </a:rPr>
            <a:t>Hazards</a:t>
          </a:r>
          <a:r>
            <a:rPr lang="en-US" sz="1100" baseline="0">
              <a:latin typeface="+mj-lt"/>
            </a:rPr>
            <a:t> Menu</a:t>
          </a:r>
          <a:endParaRPr lang="en-US" sz="1100">
            <a:latin typeface="+mj-lt"/>
          </a:endParaRPr>
        </a:p>
      </xdr:txBody>
    </xdr:sp>
    <xdr:clientData/>
  </xdr:twoCellAnchor>
  <xdr:twoCellAnchor>
    <xdr:from>
      <xdr:col>12</xdr:col>
      <xdr:colOff>0</xdr:colOff>
      <xdr:row>3</xdr:row>
      <xdr:rowOff>0</xdr:rowOff>
    </xdr:from>
    <xdr:to>
      <xdr:col>13</xdr:col>
      <xdr:colOff>595593</xdr:colOff>
      <xdr:row>4</xdr:row>
      <xdr:rowOff>57150</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3300-000007000000}"/>
            </a:ext>
          </a:extLst>
        </xdr:cNvPr>
        <xdr:cNvSpPr/>
      </xdr:nvSpPr>
      <xdr:spPr>
        <a:xfrm>
          <a:off x="6981825" y="895350"/>
          <a:ext cx="1205193" cy="485775"/>
        </a:xfrm>
        <a:prstGeom prst="roundRect">
          <a:avLst/>
        </a:prstGeom>
        <a:gradFill>
          <a:gsLst>
            <a:gs pos="0">
              <a:srgbClr val="DCCD72"/>
            </a:gs>
            <a:gs pos="50000">
              <a:srgbClr val="FFFF99"/>
            </a:gs>
            <a:gs pos="70000">
              <a:srgbClr val="FFFFCC"/>
            </a:gs>
            <a:gs pos="100000">
              <a:srgbClr val="FF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000">
              <a:solidFill>
                <a:schemeClr val="tx1"/>
              </a:solidFill>
              <a:latin typeface="+mj-lt"/>
            </a:rPr>
            <a:t>Civil Disturbance Worksheet</a:t>
          </a:r>
        </a:p>
      </xdr:txBody>
    </xdr:sp>
    <xdr:clientData/>
  </xdr:twoCellAnchor>
  <xdr:twoCellAnchor>
    <xdr:from>
      <xdr:col>1</xdr:col>
      <xdr:colOff>0</xdr:colOff>
      <xdr:row>92</xdr:row>
      <xdr:rowOff>0</xdr:rowOff>
    </xdr:from>
    <xdr:to>
      <xdr:col>13</xdr:col>
      <xdr:colOff>371475</xdr:colOff>
      <xdr:row>119</xdr:row>
      <xdr:rowOff>85725</xdr:rowOff>
    </xdr:to>
    <xdr:graphicFrame macro="">
      <xdr:nvGraphicFramePr>
        <xdr:cNvPr id="8" name="Chart 7">
          <a:extLst>
            <a:ext uri="{FF2B5EF4-FFF2-40B4-BE49-F238E27FC236}">
              <a16:creationId xmlns:a16="http://schemas.microsoft.com/office/drawing/2014/main" id="{00000000-0008-0000-3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twoCellAnchor>
</xdr:wsDr>
</file>

<file path=xl/drawings/drawing53.xml><?xml version="1.0" encoding="utf-8"?>
<xdr:wsDr xmlns:xdr="http://schemas.openxmlformats.org/drawingml/2006/spreadsheetDrawing" xmlns:a="http://schemas.openxmlformats.org/drawingml/2006/main">
  <xdr:twoCellAnchor>
    <xdr:from>
      <xdr:col>1</xdr:col>
      <xdr:colOff>0</xdr:colOff>
      <xdr:row>5</xdr:row>
      <xdr:rowOff>0</xdr:rowOff>
    </xdr:from>
    <xdr:to>
      <xdr:col>13</xdr:col>
      <xdr:colOff>371475</xdr:colOff>
      <xdr:row>32</xdr:row>
      <xdr:rowOff>85725</xdr:rowOff>
    </xdr:to>
    <xdr:graphicFrame macro="">
      <xdr:nvGraphicFramePr>
        <xdr:cNvPr id="2" name="Chart 1">
          <a:extLst>
            <a:ext uri="{FF2B5EF4-FFF2-40B4-BE49-F238E27FC236}">
              <a16:creationId xmlns:a16="http://schemas.microsoft.com/office/drawing/2014/main" id="{00000000-0008-0000-3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1</xdr:col>
      <xdr:colOff>0</xdr:colOff>
      <xdr:row>34</xdr:row>
      <xdr:rowOff>0</xdr:rowOff>
    </xdr:from>
    <xdr:to>
      <xdr:col>13</xdr:col>
      <xdr:colOff>371475</xdr:colOff>
      <xdr:row>61</xdr:row>
      <xdr:rowOff>85725</xdr:rowOff>
    </xdr:to>
    <xdr:graphicFrame macro="">
      <xdr:nvGraphicFramePr>
        <xdr:cNvPr id="3" name="Chart 2">
          <a:extLst>
            <a:ext uri="{FF2B5EF4-FFF2-40B4-BE49-F238E27FC236}">
              <a16:creationId xmlns:a16="http://schemas.microsoft.com/office/drawing/2014/main" id="{00000000-0008-0000-3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1</xdr:col>
      <xdr:colOff>0</xdr:colOff>
      <xdr:row>63</xdr:row>
      <xdr:rowOff>0</xdr:rowOff>
    </xdr:from>
    <xdr:to>
      <xdr:col>13</xdr:col>
      <xdr:colOff>371475</xdr:colOff>
      <xdr:row>90</xdr:row>
      <xdr:rowOff>85725</xdr:rowOff>
    </xdr:to>
    <xdr:graphicFrame macro="">
      <xdr:nvGraphicFramePr>
        <xdr:cNvPr id="4" name="Chart 3">
          <a:extLst>
            <a:ext uri="{FF2B5EF4-FFF2-40B4-BE49-F238E27FC236}">
              <a16:creationId xmlns:a16="http://schemas.microsoft.com/office/drawing/2014/main" id="{00000000-0008-0000-3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xdr:from>
      <xdr:col>12</xdr:col>
      <xdr:colOff>0</xdr:colOff>
      <xdr:row>1</xdr:row>
      <xdr:rowOff>0</xdr:rowOff>
    </xdr:from>
    <xdr:to>
      <xdr:col>13</xdr:col>
      <xdr:colOff>595593</xdr:colOff>
      <xdr:row>1</xdr:row>
      <xdr:rowOff>414618</xdr:rowOff>
    </xdr:to>
    <xdr:sp macro="" textlink="">
      <xdr:nvSpPr>
        <xdr:cNvPr id="5" name="Rounded Rectangle 4">
          <a:hlinkClick xmlns:r="http://schemas.openxmlformats.org/officeDocument/2006/relationships" r:id="rId4"/>
          <a:extLst>
            <a:ext uri="{FF2B5EF4-FFF2-40B4-BE49-F238E27FC236}">
              <a16:creationId xmlns:a16="http://schemas.microsoft.com/office/drawing/2014/main" id="{00000000-0008-0000-3400-000005000000}"/>
            </a:ext>
          </a:extLst>
        </xdr:cNvPr>
        <xdr:cNvSpPr/>
      </xdr:nvSpPr>
      <xdr:spPr>
        <a:xfrm>
          <a:off x="6981825" y="190500"/>
          <a:ext cx="1205193" cy="414618"/>
        </a:xfrm>
        <a:prstGeom prst="roundRect">
          <a:avLst/>
        </a:prstGeom>
        <a:gradFill>
          <a:gsLst>
            <a:gs pos="0">
              <a:srgbClr val="23AF84"/>
            </a:gs>
            <a:gs pos="50000">
              <a:srgbClr val="6DDDA8"/>
            </a:gs>
            <a:gs pos="70000">
              <a:srgbClr val="70EAB9"/>
            </a:gs>
            <a:gs pos="100000">
              <a:srgbClr val="99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a:latin typeface="+mj-lt"/>
            </a:rPr>
            <a:t>Hazards</a:t>
          </a:r>
          <a:r>
            <a:rPr lang="en-US" sz="1100" baseline="0">
              <a:latin typeface="+mj-lt"/>
            </a:rPr>
            <a:t> Menu</a:t>
          </a:r>
          <a:endParaRPr lang="en-US" sz="1100">
            <a:latin typeface="+mj-lt"/>
          </a:endParaRPr>
        </a:p>
      </xdr:txBody>
    </xdr:sp>
    <xdr:clientData/>
  </xdr:twoCellAnchor>
  <xdr:twoCellAnchor>
    <xdr:from>
      <xdr:col>12</xdr:col>
      <xdr:colOff>0</xdr:colOff>
      <xdr:row>3</xdr:row>
      <xdr:rowOff>0</xdr:rowOff>
    </xdr:from>
    <xdr:to>
      <xdr:col>13</xdr:col>
      <xdr:colOff>595593</xdr:colOff>
      <xdr:row>4</xdr:row>
      <xdr:rowOff>57150</xdr:rowOff>
    </xdr:to>
    <xdr:sp macro="" textlink="">
      <xdr:nvSpPr>
        <xdr:cNvPr id="6" name="Rounded Rectangle 5">
          <a:hlinkClick xmlns:r="http://schemas.openxmlformats.org/officeDocument/2006/relationships" r:id="rId5"/>
          <a:extLst>
            <a:ext uri="{FF2B5EF4-FFF2-40B4-BE49-F238E27FC236}">
              <a16:creationId xmlns:a16="http://schemas.microsoft.com/office/drawing/2014/main" id="{00000000-0008-0000-3400-000006000000}"/>
            </a:ext>
          </a:extLst>
        </xdr:cNvPr>
        <xdr:cNvSpPr/>
      </xdr:nvSpPr>
      <xdr:spPr>
        <a:xfrm>
          <a:off x="6981825" y="895350"/>
          <a:ext cx="1205193" cy="485775"/>
        </a:xfrm>
        <a:prstGeom prst="roundRect">
          <a:avLst/>
        </a:prstGeom>
        <a:gradFill>
          <a:gsLst>
            <a:gs pos="0">
              <a:srgbClr val="DCCD72"/>
            </a:gs>
            <a:gs pos="50000">
              <a:srgbClr val="FFFF99"/>
            </a:gs>
            <a:gs pos="70000">
              <a:srgbClr val="FFFFCC"/>
            </a:gs>
            <a:gs pos="100000">
              <a:srgbClr val="FF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000">
              <a:solidFill>
                <a:schemeClr val="tx1"/>
              </a:solidFill>
              <a:latin typeface="+mj-lt"/>
            </a:rPr>
            <a:t>Coastal Storm Worksheet</a:t>
          </a:r>
        </a:p>
      </xdr:txBody>
    </xdr:sp>
    <xdr:clientData/>
  </xdr:twoCellAnchor>
  <xdr:twoCellAnchor>
    <xdr:from>
      <xdr:col>1</xdr:col>
      <xdr:colOff>0</xdr:colOff>
      <xdr:row>92</xdr:row>
      <xdr:rowOff>0</xdr:rowOff>
    </xdr:from>
    <xdr:to>
      <xdr:col>13</xdr:col>
      <xdr:colOff>371475</xdr:colOff>
      <xdr:row>119</xdr:row>
      <xdr:rowOff>85725</xdr:rowOff>
    </xdr:to>
    <xdr:graphicFrame macro="">
      <xdr:nvGraphicFramePr>
        <xdr:cNvPr id="7" name="Chart 6">
          <a:extLst>
            <a:ext uri="{FF2B5EF4-FFF2-40B4-BE49-F238E27FC236}">
              <a16:creationId xmlns:a16="http://schemas.microsoft.com/office/drawing/2014/main" id="{00000000-0008-0000-3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twoCellAnchor>
</xdr:wsDr>
</file>

<file path=xl/drawings/drawing54.xml><?xml version="1.0" encoding="utf-8"?>
<xdr:wsDr xmlns:xdr="http://schemas.openxmlformats.org/drawingml/2006/spreadsheetDrawing" xmlns:a="http://schemas.openxmlformats.org/drawingml/2006/main">
  <xdr:twoCellAnchor>
    <xdr:from>
      <xdr:col>1</xdr:col>
      <xdr:colOff>0</xdr:colOff>
      <xdr:row>5</xdr:row>
      <xdr:rowOff>0</xdr:rowOff>
    </xdr:from>
    <xdr:to>
      <xdr:col>13</xdr:col>
      <xdr:colOff>371475</xdr:colOff>
      <xdr:row>32</xdr:row>
      <xdr:rowOff>85725</xdr:rowOff>
    </xdr:to>
    <xdr:graphicFrame macro="">
      <xdr:nvGraphicFramePr>
        <xdr:cNvPr id="2" name="Chart 1">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1</xdr:col>
      <xdr:colOff>0</xdr:colOff>
      <xdr:row>34</xdr:row>
      <xdr:rowOff>0</xdr:rowOff>
    </xdr:from>
    <xdr:to>
      <xdr:col>13</xdr:col>
      <xdr:colOff>371475</xdr:colOff>
      <xdr:row>61</xdr:row>
      <xdr:rowOff>85725</xdr:rowOff>
    </xdr:to>
    <xdr:graphicFrame macro="">
      <xdr:nvGraphicFramePr>
        <xdr:cNvPr id="3" name="Chart 2">
          <a:extLst>
            <a:ext uri="{FF2B5EF4-FFF2-40B4-BE49-F238E27FC236}">
              <a16:creationId xmlns:a16="http://schemas.microsoft.com/office/drawing/2014/main" id="{00000000-0008-0000-3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1</xdr:col>
      <xdr:colOff>0</xdr:colOff>
      <xdr:row>63</xdr:row>
      <xdr:rowOff>0</xdr:rowOff>
    </xdr:from>
    <xdr:to>
      <xdr:col>13</xdr:col>
      <xdr:colOff>371475</xdr:colOff>
      <xdr:row>90</xdr:row>
      <xdr:rowOff>85725</xdr:rowOff>
    </xdr:to>
    <xdr:graphicFrame macro="">
      <xdr:nvGraphicFramePr>
        <xdr:cNvPr id="4" name="Chart 3">
          <a:extLst>
            <a:ext uri="{FF2B5EF4-FFF2-40B4-BE49-F238E27FC236}">
              <a16:creationId xmlns:a16="http://schemas.microsoft.com/office/drawing/2014/main" id="{00000000-0008-0000-3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xdr:from>
      <xdr:col>12</xdr:col>
      <xdr:colOff>0</xdr:colOff>
      <xdr:row>1</xdr:row>
      <xdr:rowOff>0</xdr:rowOff>
    </xdr:from>
    <xdr:to>
      <xdr:col>13</xdr:col>
      <xdr:colOff>595593</xdr:colOff>
      <xdr:row>1</xdr:row>
      <xdr:rowOff>414618</xdr:rowOff>
    </xdr:to>
    <xdr:sp macro="" textlink="">
      <xdr:nvSpPr>
        <xdr:cNvPr id="5" name="Rounded Rectangle 4">
          <a:hlinkClick xmlns:r="http://schemas.openxmlformats.org/officeDocument/2006/relationships" r:id="rId4"/>
          <a:extLst>
            <a:ext uri="{FF2B5EF4-FFF2-40B4-BE49-F238E27FC236}">
              <a16:creationId xmlns:a16="http://schemas.microsoft.com/office/drawing/2014/main" id="{00000000-0008-0000-3500-000005000000}"/>
            </a:ext>
          </a:extLst>
        </xdr:cNvPr>
        <xdr:cNvSpPr/>
      </xdr:nvSpPr>
      <xdr:spPr>
        <a:xfrm>
          <a:off x="6981825" y="190500"/>
          <a:ext cx="1205193" cy="414618"/>
        </a:xfrm>
        <a:prstGeom prst="roundRect">
          <a:avLst/>
        </a:prstGeom>
        <a:gradFill>
          <a:gsLst>
            <a:gs pos="0">
              <a:srgbClr val="23AF84"/>
            </a:gs>
            <a:gs pos="50000">
              <a:srgbClr val="6DDDA8"/>
            </a:gs>
            <a:gs pos="70000">
              <a:srgbClr val="70EAB9"/>
            </a:gs>
            <a:gs pos="100000">
              <a:srgbClr val="99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a:latin typeface="+mj-lt"/>
            </a:rPr>
            <a:t>Hazards</a:t>
          </a:r>
          <a:r>
            <a:rPr lang="en-US" sz="1100" baseline="0">
              <a:latin typeface="+mj-lt"/>
            </a:rPr>
            <a:t> Menu</a:t>
          </a:r>
          <a:endParaRPr lang="en-US" sz="1100">
            <a:latin typeface="+mj-lt"/>
          </a:endParaRPr>
        </a:p>
      </xdr:txBody>
    </xdr:sp>
    <xdr:clientData/>
  </xdr:twoCellAnchor>
  <xdr:twoCellAnchor>
    <xdr:from>
      <xdr:col>12</xdr:col>
      <xdr:colOff>0</xdr:colOff>
      <xdr:row>3</xdr:row>
      <xdr:rowOff>0</xdr:rowOff>
    </xdr:from>
    <xdr:to>
      <xdr:col>13</xdr:col>
      <xdr:colOff>595593</xdr:colOff>
      <xdr:row>4</xdr:row>
      <xdr:rowOff>57150</xdr:rowOff>
    </xdr:to>
    <xdr:sp macro="" textlink="">
      <xdr:nvSpPr>
        <xdr:cNvPr id="6" name="Rounded Rectangle 5">
          <a:hlinkClick xmlns:r="http://schemas.openxmlformats.org/officeDocument/2006/relationships" r:id="rId5"/>
          <a:extLst>
            <a:ext uri="{FF2B5EF4-FFF2-40B4-BE49-F238E27FC236}">
              <a16:creationId xmlns:a16="http://schemas.microsoft.com/office/drawing/2014/main" id="{00000000-0008-0000-3500-000006000000}"/>
            </a:ext>
          </a:extLst>
        </xdr:cNvPr>
        <xdr:cNvSpPr/>
      </xdr:nvSpPr>
      <xdr:spPr>
        <a:xfrm>
          <a:off x="6981825" y="895350"/>
          <a:ext cx="1205193" cy="485775"/>
        </a:xfrm>
        <a:prstGeom prst="roundRect">
          <a:avLst/>
        </a:prstGeom>
        <a:gradFill>
          <a:gsLst>
            <a:gs pos="0">
              <a:srgbClr val="DCCD72"/>
            </a:gs>
            <a:gs pos="50000">
              <a:srgbClr val="FFFF99"/>
            </a:gs>
            <a:gs pos="70000">
              <a:srgbClr val="FFFFCC"/>
            </a:gs>
            <a:gs pos="100000">
              <a:srgbClr val="FF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000">
              <a:solidFill>
                <a:schemeClr val="tx1"/>
              </a:solidFill>
              <a:latin typeface="+mj-lt"/>
            </a:rPr>
            <a:t>Conv Explosive Worksheet</a:t>
          </a:r>
        </a:p>
      </xdr:txBody>
    </xdr:sp>
    <xdr:clientData/>
  </xdr:twoCellAnchor>
  <xdr:twoCellAnchor>
    <xdr:from>
      <xdr:col>1</xdr:col>
      <xdr:colOff>0</xdr:colOff>
      <xdr:row>92</xdr:row>
      <xdr:rowOff>0</xdr:rowOff>
    </xdr:from>
    <xdr:to>
      <xdr:col>13</xdr:col>
      <xdr:colOff>371475</xdr:colOff>
      <xdr:row>119</xdr:row>
      <xdr:rowOff>85725</xdr:rowOff>
    </xdr:to>
    <xdr:graphicFrame macro="">
      <xdr:nvGraphicFramePr>
        <xdr:cNvPr id="7" name="Chart 6">
          <a:extLst>
            <a:ext uri="{FF2B5EF4-FFF2-40B4-BE49-F238E27FC236}">
              <a16:creationId xmlns:a16="http://schemas.microsoft.com/office/drawing/2014/main" id="{00000000-0008-0000-3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twoCellAnchor>
</xdr:wsDr>
</file>

<file path=xl/drawings/drawing55.xml><?xml version="1.0" encoding="utf-8"?>
<xdr:wsDr xmlns:xdr="http://schemas.openxmlformats.org/drawingml/2006/spreadsheetDrawing" xmlns:a="http://schemas.openxmlformats.org/drawingml/2006/main">
  <xdr:twoCellAnchor>
    <xdr:from>
      <xdr:col>1</xdr:col>
      <xdr:colOff>0</xdr:colOff>
      <xdr:row>5</xdr:row>
      <xdr:rowOff>0</xdr:rowOff>
    </xdr:from>
    <xdr:to>
      <xdr:col>13</xdr:col>
      <xdr:colOff>371475</xdr:colOff>
      <xdr:row>32</xdr:row>
      <xdr:rowOff>85725</xdr:rowOff>
    </xdr:to>
    <xdr:graphicFrame macro="">
      <xdr:nvGraphicFramePr>
        <xdr:cNvPr id="2" name="Chart 1">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1</xdr:col>
      <xdr:colOff>0</xdr:colOff>
      <xdr:row>34</xdr:row>
      <xdr:rowOff>0</xdr:rowOff>
    </xdr:from>
    <xdr:to>
      <xdr:col>13</xdr:col>
      <xdr:colOff>371475</xdr:colOff>
      <xdr:row>61</xdr:row>
      <xdr:rowOff>85725</xdr:rowOff>
    </xdr:to>
    <xdr:graphicFrame macro="">
      <xdr:nvGraphicFramePr>
        <xdr:cNvPr id="3" name="Chart 2">
          <a:extLst>
            <a:ext uri="{FF2B5EF4-FFF2-40B4-BE49-F238E27FC236}">
              <a16:creationId xmlns:a16="http://schemas.microsoft.com/office/drawing/2014/main" id="{00000000-0008-0000-3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1</xdr:col>
      <xdr:colOff>0</xdr:colOff>
      <xdr:row>63</xdr:row>
      <xdr:rowOff>0</xdr:rowOff>
    </xdr:from>
    <xdr:to>
      <xdr:col>13</xdr:col>
      <xdr:colOff>371475</xdr:colOff>
      <xdr:row>90</xdr:row>
      <xdr:rowOff>85725</xdr:rowOff>
    </xdr:to>
    <xdr:graphicFrame macro="">
      <xdr:nvGraphicFramePr>
        <xdr:cNvPr id="4" name="Chart 3">
          <a:extLst>
            <a:ext uri="{FF2B5EF4-FFF2-40B4-BE49-F238E27FC236}">
              <a16:creationId xmlns:a16="http://schemas.microsoft.com/office/drawing/2014/main" id="{00000000-0008-0000-3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xdr:from>
      <xdr:col>12</xdr:col>
      <xdr:colOff>0</xdr:colOff>
      <xdr:row>1</xdr:row>
      <xdr:rowOff>0</xdr:rowOff>
    </xdr:from>
    <xdr:to>
      <xdr:col>13</xdr:col>
      <xdr:colOff>595593</xdr:colOff>
      <xdr:row>1</xdr:row>
      <xdr:rowOff>414618</xdr:rowOff>
    </xdr:to>
    <xdr:sp macro="" textlink="">
      <xdr:nvSpPr>
        <xdr:cNvPr id="5" name="Rounded Rectangle 4">
          <a:hlinkClick xmlns:r="http://schemas.openxmlformats.org/officeDocument/2006/relationships" r:id="rId4"/>
          <a:extLst>
            <a:ext uri="{FF2B5EF4-FFF2-40B4-BE49-F238E27FC236}">
              <a16:creationId xmlns:a16="http://schemas.microsoft.com/office/drawing/2014/main" id="{00000000-0008-0000-3600-000005000000}"/>
            </a:ext>
          </a:extLst>
        </xdr:cNvPr>
        <xdr:cNvSpPr/>
      </xdr:nvSpPr>
      <xdr:spPr>
        <a:xfrm>
          <a:off x="6981825" y="190500"/>
          <a:ext cx="1205193" cy="414618"/>
        </a:xfrm>
        <a:prstGeom prst="roundRect">
          <a:avLst/>
        </a:prstGeom>
        <a:gradFill>
          <a:gsLst>
            <a:gs pos="0">
              <a:srgbClr val="23AF84"/>
            </a:gs>
            <a:gs pos="50000">
              <a:srgbClr val="6DDDA8"/>
            </a:gs>
            <a:gs pos="70000">
              <a:srgbClr val="70EAB9"/>
            </a:gs>
            <a:gs pos="100000">
              <a:srgbClr val="99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a:latin typeface="+mj-lt"/>
            </a:rPr>
            <a:t>Hazards</a:t>
          </a:r>
          <a:r>
            <a:rPr lang="en-US" sz="1100" baseline="0">
              <a:latin typeface="+mj-lt"/>
            </a:rPr>
            <a:t> Menu</a:t>
          </a:r>
          <a:endParaRPr lang="en-US" sz="1100">
            <a:latin typeface="+mj-lt"/>
          </a:endParaRPr>
        </a:p>
      </xdr:txBody>
    </xdr:sp>
    <xdr:clientData/>
  </xdr:twoCellAnchor>
  <xdr:twoCellAnchor>
    <xdr:from>
      <xdr:col>12</xdr:col>
      <xdr:colOff>0</xdr:colOff>
      <xdr:row>3</xdr:row>
      <xdr:rowOff>0</xdr:rowOff>
    </xdr:from>
    <xdr:to>
      <xdr:col>13</xdr:col>
      <xdr:colOff>595593</xdr:colOff>
      <xdr:row>4</xdr:row>
      <xdr:rowOff>57150</xdr:rowOff>
    </xdr:to>
    <xdr:sp macro="" textlink="">
      <xdr:nvSpPr>
        <xdr:cNvPr id="6" name="Rounded Rectangle 5">
          <a:hlinkClick xmlns:r="http://schemas.openxmlformats.org/officeDocument/2006/relationships" r:id="rId5"/>
          <a:extLst>
            <a:ext uri="{FF2B5EF4-FFF2-40B4-BE49-F238E27FC236}">
              <a16:creationId xmlns:a16="http://schemas.microsoft.com/office/drawing/2014/main" id="{00000000-0008-0000-3600-000006000000}"/>
            </a:ext>
          </a:extLst>
        </xdr:cNvPr>
        <xdr:cNvSpPr/>
      </xdr:nvSpPr>
      <xdr:spPr>
        <a:xfrm>
          <a:off x="6981825" y="895350"/>
          <a:ext cx="1205193" cy="485775"/>
        </a:xfrm>
        <a:prstGeom prst="roundRect">
          <a:avLst/>
        </a:prstGeom>
        <a:gradFill>
          <a:gsLst>
            <a:gs pos="0">
              <a:srgbClr val="DCCD72"/>
            </a:gs>
            <a:gs pos="50000">
              <a:srgbClr val="FFFF99"/>
            </a:gs>
            <a:gs pos="70000">
              <a:srgbClr val="FFFFCC"/>
            </a:gs>
            <a:gs pos="100000">
              <a:srgbClr val="FF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000">
              <a:solidFill>
                <a:schemeClr val="tx1"/>
              </a:solidFill>
              <a:latin typeface="+mj-lt"/>
            </a:rPr>
            <a:t>Cyber Terrorism Worksheet</a:t>
          </a:r>
        </a:p>
      </xdr:txBody>
    </xdr:sp>
    <xdr:clientData/>
  </xdr:twoCellAnchor>
  <xdr:twoCellAnchor>
    <xdr:from>
      <xdr:col>1</xdr:col>
      <xdr:colOff>0</xdr:colOff>
      <xdr:row>92</xdr:row>
      <xdr:rowOff>0</xdr:rowOff>
    </xdr:from>
    <xdr:to>
      <xdr:col>13</xdr:col>
      <xdr:colOff>371475</xdr:colOff>
      <xdr:row>119</xdr:row>
      <xdr:rowOff>85725</xdr:rowOff>
    </xdr:to>
    <xdr:graphicFrame macro="">
      <xdr:nvGraphicFramePr>
        <xdr:cNvPr id="7" name="Chart 6">
          <a:extLst>
            <a:ext uri="{FF2B5EF4-FFF2-40B4-BE49-F238E27FC236}">
              <a16:creationId xmlns:a16="http://schemas.microsoft.com/office/drawing/2014/main" id="{00000000-0008-0000-3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twoCellAnchor>
</xdr:wsDr>
</file>

<file path=xl/drawings/drawing56.xml><?xml version="1.0" encoding="utf-8"?>
<xdr:wsDr xmlns:xdr="http://schemas.openxmlformats.org/drawingml/2006/spreadsheetDrawing" xmlns:a="http://schemas.openxmlformats.org/drawingml/2006/main">
  <xdr:twoCellAnchor>
    <xdr:from>
      <xdr:col>1</xdr:col>
      <xdr:colOff>0</xdr:colOff>
      <xdr:row>5</xdr:row>
      <xdr:rowOff>0</xdr:rowOff>
    </xdr:from>
    <xdr:to>
      <xdr:col>13</xdr:col>
      <xdr:colOff>371475</xdr:colOff>
      <xdr:row>32</xdr:row>
      <xdr:rowOff>85725</xdr:rowOff>
    </xdr:to>
    <xdr:graphicFrame macro="">
      <xdr:nvGraphicFramePr>
        <xdr:cNvPr id="2" name="Chart 1">
          <a:extLst>
            <a:ext uri="{FF2B5EF4-FFF2-40B4-BE49-F238E27FC236}">
              <a16:creationId xmlns:a16="http://schemas.microsoft.com/office/drawing/2014/main" id="{00000000-0008-0000-3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1</xdr:col>
      <xdr:colOff>0</xdr:colOff>
      <xdr:row>34</xdr:row>
      <xdr:rowOff>0</xdr:rowOff>
    </xdr:from>
    <xdr:to>
      <xdr:col>13</xdr:col>
      <xdr:colOff>371475</xdr:colOff>
      <xdr:row>61</xdr:row>
      <xdr:rowOff>85725</xdr:rowOff>
    </xdr:to>
    <xdr:graphicFrame macro="">
      <xdr:nvGraphicFramePr>
        <xdr:cNvPr id="3" name="Chart 2">
          <a:extLst>
            <a:ext uri="{FF2B5EF4-FFF2-40B4-BE49-F238E27FC236}">
              <a16:creationId xmlns:a16="http://schemas.microsoft.com/office/drawing/2014/main" id="{00000000-0008-0000-3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1</xdr:col>
      <xdr:colOff>0</xdr:colOff>
      <xdr:row>63</xdr:row>
      <xdr:rowOff>0</xdr:rowOff>
    </xdr:from>
    <xdr:to>
      <xdr:col>13</xdr:col>
      <xdr:colOff>371475</xdr:colOff>
      <xdr:row>90</xdr:row>
      <xdr:rowOff>85725</xdr:rowOff>
    </xdr:to>
    <xdr:graphicFrame macro="">
      <xdr:nvGraphicFramePr>
        <xdr:cNvPr id="4" name="Chart 3">
          <a:extLst>
            <a:ext uri="{FF2B5EF4-FFF2-40B4-BE49-F238E27FC236}">
              <a16:creationId xmlns:a16="http://schemas.microsoft.com/office/drawing/2014/main" id="{00000000-0008-0000-3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xdr:from>
      <xdr:col>12</xdr:col>
      <xdr:colOff>0</xdr:colOff>
      <xdr:row>1</xdr:row>
      <xdr:rowOff>0</xdr:rowOff>
    </xdr:from>
    <xdr:to>
      <xdr:col>13</xdr:col>
      <xdr:colOff>595593</xdr:colOff>
      <xdr:row>1</xdr:row>
      <xdr:rowOff>414618</xdr:rowOff>
    </xdr:to>
    <xdr:sp macro="" textlink="">
      <xdr:nvSpPr>
        <xdr:cNvPr id="5" name="Rounded Rectangle 4">
          <a:hlinkClick xmlns:r="http://schemas.openxmlformats.org/officeDocument/2006/relationships" r:id="rId4"/>
          <a:extLst>
            <a:ext uri="{FF2B5EF4-FFF2-40B4-BE49-F238E27FC236}">
              <a16:creationId xmlns:a16="http://schemas.microsoft.com/office/drawing/2014/main" id="{00000000-0008-0000-3700-000005000000}"/>
            </a:ext>
          </a:extLst>
        </xdr:cNvPr>
        <xdr:cNvSpPr/>
      </xdr:nvSpPr>
      <xdr:spPr>
        <a:xfrm>
          <a:off x="6981825" y="190500"/>
          <a:ext cx="1205193" cy="414618"/>
        </a:xfrm>
        <a:prstGeom prst="roundRect">
          <a:avLst/>
        </a:prstGeom>
        <a:gradFill>
          <a:gsLst>
            <a:gs pos="0">
              <a:srgbClr val="23AF84"/>
            </a:gs>
            <a:gs pos="50000">
              <a:srgbClr val="6DDDA8"/>
            </a:gs>
            <a:gs pos="70000">
              <a:srgbClr val="70EAB9"/>
            </a:gs>
            <a:gs pos="100000">
              <a:srgbClr val="99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a:latin typeface="+mj-lt"/>
            </a:rPr>
            <a:t>Hazards</a:t>
          </a:r>
          <a:r>
            <a:rPr lang="en-US" sz="1100" baseline="0">
              <a:latin typeface="+mj-lt"/>
            </a:rPr>
            <a:t> Menu</a:t>
          </a:r>
          <a:endParaRPr lang="en-US" sz="1100">
            <a:latin typeface="+mj-lt"/>
          </a:endParaRPr>
        </a:p>
      </xdr:txBody>
    </xdr:sp>
    <xdr:clientData/>
  </xdr:twoCellAnchor>
  <xdr:twoCellAnchor>
    <xdr:from>
      <xdr:col>12</xdr:col>
      <xdr:colOff>0</xdr:colOff>
      <xdr:row>3</xdr:row>
      <xdr:rowOff>0</xdr:rowOff>
    </xdr:from>
    <xdr:to>
      <xdr:col>13</xdr:col>
      <xdr:colOff>595593</xdr:colOff>
      <xdr:row>4</xdr:row>
      <xdr:rowOff>57150</xdr:rowOff>
    </xdr:to>
    <xdr:sp macro="" textlink="">
      <xdr:nvSpPr>
        <xdr:cNvPr id="6" name="Rounded Rectangle 5">
          <a:hlinkClick xmlns:r="http://schemas.openxmlformats.org/officeDocument/2006/relationships" r:id="rId5"/>
          <a:extLst>
            <a:ext uri="{FF2B5EF4-FFF2-40B4-BE49-F238E27FC236}">
              <a16:creationId xmlns:a16="http://schemas.microsoft.com/office/drawing/2014/main" id="{00000000-0008-0000-3700-000006000000}"/>
            </a:ext>
          </a:extLst>
        </xdr:cNvPr>
        <xdr:cNvSpPr/>
      </xdr:nvSpPr>
      <xdr:spPr>
        <a:xfrm>
          <a:off x="6981825" y="895350"/>
          <a:ext cx="1205193" cy="485775"/>
        </a:xfrm>
        <a:prstGeom prst="roundRect">
          <a:avLst/>
        </a:prstGeom>
        <a:gradFill>
          <a:gsLst>
            <a:gs pos="0">
              <a:srgbClr val="DCCD72"/>
            </a:gs>
            <a:gs pos="50000">
              <a:srgbClr val="FFFF99"/>
            </a:gs>
            <a:gs pos="70000">
              <a:srgbClr val="FFFFCC"/>
            </a:gs>
            <a:gs pos="100000">
              <a:srgbClr val="FF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000">
              <a:solidFill>
                <a:schemeClr val="tx1"/>
              </a:solidFill>
              <a:latin typeface="+mj-lt"/>
            </a:rPr>
            <a:t>Drought Worksheet</a:t>
          </a:r>
        </a:p>
      </xdr:txBody>
    </xdr:sp>
    <xdr:clientData/>
  </xdr:twoCellAnchor>
  <xdr:twoCellAnchor>
    <xdr:from>
      <xdr:col>1</xdr:col>
      <xdr:colOff>0</xdr:colOff>
      <xdr:row>92</xdr:row>
      <xdr:rowOff>0</xdr:rowOff>
    </xdr:from>
    <xdr:to>
      <xdr:col>13</xdr:col>
      <xdr:colOff>371475</xdr:colOff>
      <xdr:row>119</xdr:row>
      <xdr:rowOff>85725</xdr:rowOff>
    </xdr:to>
    <xdr:graphicFrame macro="">
      <xdr:nvGraphicFramePr>
        <xdr:cNvPr id="7" name="Chart 6">
          <a:extLst>
            <a:ext uri="{FF2B5EF4-FFF2-40B4-BE49-F238E27FC236}">
              <a16:creationId xmlns:a16="http://schemas.microsoft.com/office/drawing/2014/main" id="{00000000-0008-0000-3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twoCellAnchor>
</xdr:wsDr>
</file>

<file path=xl/drawings/drawing57.xml><?xml version="1.0" encoding="utf-8"?>
<xdr:wsDr xmlns:xdr="http://schemas.openxmlformats.org/drawingml/2006/spreadsheetDrawing" xmlns:a="http://schemas.openxmlformats.org/drawingml/2006/main">
  <xdr:twoCellAnchor>
    <xdr:from>
      <xdr:col>1</xdr:col>
      <xdr:colOff>33618</xdr:colOff>
      <xdr:row>5</xdr:row>
      <xdr:rowOff>0</xdr:rowOff>
    </xdr:from>
    <xdr:to>
      <xdr:col>13</xdr:col>
      <xdr:colOff>405093</xdr:colOff>
      <xdr:row>32</xdr:row>
      <xdr:rowOff>85725</xdr:rowOff>
    </xdr:to>
    <xdr:graphicFrame macro="">
      <xdr:nvGraphicFramePr>
        <xdr:cNvPr id="2" name="Chart 1">
          <a:extLst>
            <a:ext uri="{FF2B5EF4-FFF2-40B4-BE49-F238E27FC236}">
              <a16:creationId xmlns:a16="http://schemas.microsoft.com/office/drawing/2014/main" id="{00000000-0008-0000-3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1</xdr:col>
      <xdr:colOff>0</xdr:colOff>
      <xdr:row>34</xdr:row>
      <xdr:rowOff>0</xdr:rowOff>
    </xdr:from>
    <xdr:to>
      <xdr:col>13</xdr:col>
      <xdr:colOff>371475</xdr:colOff>
      <xdr:row>61</xdr:row>
      <xdr:rowOff>85725</xdr:rowOff>
    </xdr:to>
    <xdr:graphicFrame macro="">
      <xdr:nvGraphicFramePr>
        <xdr:cNvPr id="5" name="Chart 4">
          <a:extLst>
            <a:ext uri="{FF2B5EF4-FFF2-40B4-BE49-F238E27FC236}">
              <a16:creationId xmlns:a16="http://schemas.microsoft.com/office/drawing/2014/main" id="{00000000-0008-0000-3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1</xdr:col>
      <xdr:colOff>0</xdr:colOff>
      <xdr:row>63</xdr:row>
      <xdr:rowOff>0</xdr:rowOff>
    </xdr:from>
    <xdr:to>
      <xdr:col>13</xdr:col>
      <xdr:colOff>371475</xdr:colOff>
      <xdr:row>90</xdr:row>
      <xdr:rowOff>85725</xdr:rowOff>
    </xdr:to>
    <xdr:graphicFrame macro="">
      <xdr:nvGraphicFramePr>
        <xdr:cNvPr id="6" name="Chart 5">
          <a:extLst>
            <a:ext uri="{FF2B5EF4-FFF2-40B4-BE49-F238E27FC236}">
              <a16:creationId xmlns:a16="http://schemas.microsoft.com/office/drawing/2014/main" id="{00000000-0008-0000-3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xdr:from>
      <xdr:col>12</xdr:col>
      <xdr:colOff>0</xdr:colOff>
      <xdr:row>1</xdr:row>
      <xdr:rowOff>0</xdr:rowOff>
    </xdr:from>
    <xdr:to>
      <xdr:col>13</xdr:col>
      <xdr:colOff>595593</xdr:colOff>
      <xdr:row>1</xdr:row>
      <xdr:rowOff>414618</xdr:rowOff>
    </xdr:to>
    <xdr:sp macro="" textlink="">
      <xdr:nvSpPr>
        <xdr:cNvPr id="7" name="Rounded Rectangle 6">
          <a:hlinkClick xmlns:r="http://schemas.openxmlformats.org/officeDocument/2006/relationships" r:id="rId4"/>
          <a:extLst>
            <a:ext uri="{FF2B5EF4-FFF2-40B4-BE49-F238E27FC236}">
              <a16:creationId xmlns:a16="http://schemas.microsoft.com/office/drawing/2014/main" id="{00000000-0008-0000-3800-000007000000}"/>
            </a:ext>
          </a:extLst>
        </xdr:cNvPr>
        <xdr:cNvSpPr/>
      </xdr:nvSpPr>
      <xdr:spPr>
        <a:xfrm>
          <a:off x="6981825" y="190500"/>
          <a:ext cx="1205193" cy="414618"/>
        </a:xfrm>
        <a:prstGeom prst="roundRect">
          <a:avLst/>
        </a:prstGeom>
        <a:gradFill>
          <a:gsLst>
            <a:gs pos="0">
              <a:srgbClr val="23AF84"/>
            </a:gs>
            <a:gs pos="50000">
              <a:srgbClr val="6DDDA8"/>
            </a:gs>
            <a:gs pos="70000">
              <a:srgbClr val="70EAB9"/>
            </a:gs>
            <a:gs pos="100000">
              <a:srgbClr val="99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a:latin typeface="+mj-lt"/>
            </a:rPr>
            <a:t>Hazards</a:t>
          </a:r>
          <a:r>
            <a:rPr lang="en-US" sz="1100" baseline="0">
              <a:latin typeface="+mj-lt"/>
            </a:rPr>
            <a:t> Menu</a:t>
          </a:r>
          <a:endParaRPr lang="en-US" sz="1100">
            <a:latin typeface="+mj-lt"/>
          </a:endParaRPr>
        </a:p>
      </xdr:txBody>
    </xdr:sp>
    <xdr:clientData/>
  </xdr:twoCellAnchor>
  <xdr:twoCellAnchor>
    <xdr:from>
      <xdr:col>12</xdr:col>
      <xdr:colOff>0</xdr:colOff>
      <xdr:row>3</xdr:row>
      <xdr:rowOff>0</xdr:rowOff>
    </xdr:from>
    <xdr:to>
      <xdr:col>13</xdr:col>
      <xdr:colOff>595593</xdr:colOff>
      <xdr:row>4</xdr:row>
      <xdr:rowOff>57150</xdr:rowOff>
    </xdr:to>
    <xdr:sp macro="" textlink="">
      <xdr:nvSpPr>
        <xdr:cNvPr id="8" name="Rounded Rectangle 7">
          <a:hlinkClick xmlns:r="http://schemas.openxmlformats.org/officeDocument/2006/relationships" r:id="rId5"/>
          <a:extLst>
            <a:ext uri="{FF2B5EF4-FFF2-40B4-BE49-F238E27FC236}">
              <a16:creationId xmlns:a16="http://schemas.microsoft.com/office/drawing/2014/main" id="{00000000-0008-0000-3800-000008000000}"/>
            </a:ext>
          </a:extLst>
        </xdr:cNvPr>
        <xdr:cNvSpPr/>
      </xdr:nvSpPr>
      <xdr:spPr>
        <a:xfrm>
          <a:off x="6981825" y="895350"/>
          <a:ext cx="1205193" cy="485775"/>
        </a:xfrm>
        <a:prstGeom prst="roundRect">
          <a:avLst/>
        </a:prstGeom>
        <a:gradFill>
          <a:gsLst>
            <a:gs pos="0">
              <a:srgbClr val="DCCD72"/>
            </a:gs>
            <a:gs pos="50000">
              <a:srgbClr val="FFFF99"/>
            </a:gs>
            <a:gs pos="70000">
              <a:srgbClr val="FFFFCC"/>
            </a:gs>
            <a:gs pos="100000">
              <a:srgbClr val="FF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000">
              <a:solidFill>
                <a:schemeClr val="tx1"/>
              </a:solidFill>
              <a:latin typeface="+mj-lt"/>
            </a:rPr>
            <a:t>Earthquake Worksheet</a:t>
          </a:r>
        </a:p>
      </xdr:txBody>
    </xdr:sp>
    <xdr:clientData/>
  </xdr:twoCellAnchor>
  <xdr:twoCellAnchor>
    <xdr:from>
      <xdr:col>1</xdr:col>
      <xdr:colOff>0</xdr:colOff>
      <xdr:row>92</xdr:row>
      <xdr:rowOff>0</xdr:rowOff>
    </xdr:from>
    <xdr:to>
      <xdr:col>13</xdr:col>
      <xdr:colOff>371475</xdr:colOff>
      <xdr:row>119</xdr:row>
      <xdr:rowOff>85725</xdr:rowOff>
    </xdr:to>
    <xdr:graphicFrame macro="">
      <xdr:nvGraphicFramePr>
        <xdr:cNvPr id="9" name="Chart 8">
          <a:extLst>
            <a:ext uri="{FF2B5EF4-FFF2-40B4-BE49-F238E27FC236}">
              <a16:creationId xmlns:a16="http://schemas.microsoft.com/office/drawing/2014/main" id="{00000000-0008-0000-3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twoCellAnchor>
</xdr:wsDr>
</file>

<file path=xl/drawings/drawing58.xml><?xml version="1.0" encoding="utf-8"?>
<xdr:wsDr xmlns:xdr="http://schemas.openxmlformats.org/drawingml/2006/spreadsheetDrawing" xmlns:a="http://schemas.openxmlformats.org/drawingml/2006/main">
  <xdr:twoCellAnchor>
    <xdr:from>
      <xdr:col>1</xdr:col>
      <xdr:colOff>0</xdr:colOff>
      <xdr:row>5</xdr:row>
      <xdr:rowOff>0</xdr:rowOff>
    </xdr:from>
    <xdr:to>
      <xdr:col>13</xdr:col>
      <xdr:colOff>371475</xdr:colOff>
      <xdr:row>32</xdr:row>
      <xdr:rowOff>85725</xdr:rowOff>
    </xdr:to>
    <xdr:graphicFrame macro="">
      <xdr:nvGraphicFramePr>
        <xdr:cNvPr id="2" name="Chart 1">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1</xdr:col>
      <xdr:colOff>0</xdr:colOff>
      <xdr:row>34</xdr:row>
      <xdr:rowOff>0</xdr:rowOff>
    </xdr:from>
    <xdr:to>
      <xdr:col>13</xdr:col>
      <xdr:colOff>371475</xdr:colOff>
      <xdr:row>61</xdr:row>
      <xdr:rowOff>85725</xdr:rowOff>
    </xdr:to>
    <xdr:graphicFrame macro="">
      <xdr:nvGraphicFramePr>
        <xdr:cNvPr id="5" name="Chart 4">
          <a:extLst>
            <a:ext uri="{FF2B5EF4-FFF2-40B4-BE49-F238E27FC236}">
              <a16:creationId xmlns:a16="http://schemas.microsoft.com/office/drawing/2014/main" id="{00000000-0008-0000-3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1</xdr:col>
      <xdr:colOff>0</xdr:colOff>
      <xdr:row>63</xdr:row>
      <xdr:rowOff>0</xdr:rowOff>
    </xdr:from>
    <xdr:to>
      <xdr:col>13</xdr:col>
      <xdr:colOff>371475</xdr:colOff>
      <xdr:row>90</xdr:row>
      <xdr:rowOff>85725</xdr:rowOff>
    </xdr:to>
    <xdr:graphicFrame macro="">
      <xdr:nvGraphicFramePr>
        <xdr:cNvPr id="6" name="Chart 5">
          <a:extLst>
            <a:ext uri="{FF2B5EF4-FFF2-40B4-BE49-F238E27FC236}">
              <a16:creationId xmlns:a16="http://schemas.microsoft.com/office/drawing/2014/main" id="{00000000-0008-0000-3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xdr:from>
      <xdr:col>12</xdr:col>
      <xdr:colOff>0</xdr:colOff>
      <xdr:row>1</xdr:row>
      <xdr:rowOff>0</xdr:rowOff>
    </xdr:from>
    <xdr:to>
      <xdr:col>13</xdr:col>
      <xdr:colOff>595593</xdr:colOff>
      <xdr:row>1</xdr:row>
      <xdr:rowOff>414618</xdr:rowOff>
    </xdr:to>
    <xdr:sp macro="" textlink="">
      <xdr:nvSpPr>
        <xdr:cNvPr id="7" name="Rounded Rectangle 6">
          <a:hlinkClick xmlns:r="http://schemas.openxmlformats.org/officeDocument/2006/relationships" r:id="rId4"/>
          <a:extLst>
            <a:ext uri="{FF2B5EF4-FFF2-40B4-BE49-F238E27FC236}">
              <a16:creationId xmlns:a16="http://schemas.microsoft.com/office/drawing/2014/main" id="{00000000-0008-0000-3900-000007000000}"/>
            </a:ext>
          </a:extLst>
        </xdr:cNvPr>
        <xdr:cNvSpPr/>
      </xdr:nvSpPr>
      <xdr:spPr>
        <a:xfrm>
          <a:off x="6981825" y="190500"/>
          <a:ext cx="1205193" cy="414618"/>
        </a:xfrm>
        <a:prstGeom prst="roundRect">
          <a:avLst/>
        </a:prstGeom>
        <a:gradFill>
          <a:gsLst>
            <a:gs pos="0">
              <a:srgbClr val="23AF84"/>
            </a:gs>
            <a:gs pos="50000">
              <a:srgbClr val="6DDDA8"/>
            </a:gs>
            <a:gs pos="70000">
              <a:srgbClr val="70EAB9"/>
            </a:gs>
            <a:gs pos="100000">
              <a:srgbClr val="99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a:latin typeface="+mj-lt"/>
            </a:rPr>
            <a:t>Hazards</a:t>
          </a:r>
          <a:r>
            <a:rPr lang="en-US" sz="1100" baseline="0">
              <a:latin typeface="+mj-lt"/>
            </a:rPr>
            <a:t> Menu</a:t>
          </a:r>
          <a:endParaRPr lang="en-US" sz="1100">
            <a:latin typeface="+mj-lt"/>
          </a:endParaRPr>
        </a:p>
      </xdr:txBody>
    </xdr:sp>
    <xdr:clientData/>
  </xdr:twoCellAnchor>
  <xdr:twoCellAnchor>
    <xdr:from>
      <xdr:col>12</xdr:col>
      <xdr:colOff>0</xdr:colOff>
      <xdr:row>3</xdr:row>
      <xdr:rowOff>0</xdr:rowOff>
    </xdr:from>
    <xdr:to>
      <xdr:col>13</xdr:col>
      <xdr:colOff>595593</xdr:colOff>
      <xdr:row>4</xdr:row>
      <xdr:rowOff>57150</xdr:rowOff>
    </xdr:to>
    <xdr:sp macro="" textlink="">
      <xdr:nvSpPr>
        <xdr:cNvPr id="8" name="Rounded Rectangle 7">
          <a:hlinkClick xmlns:r="http://schemas.openxmlformats.org/officeDocument/2006/relationships" r:id="rId5"/>
          <a:extLst>
            <a:ext uri="{FF2B5EF4-FFF2-40B4-BE49-F238E27FC236}">
              <a16:creationId xmlns:a16="http://schemas.microsoft.com/office/drawing/2014/main" id="{00000000-0008-0000-3900-000008000000}"/>
            </a:ext>
          </a:extLst>
        </xdr:cNvPr>
        <xdr:cNvSpPr/>
      </xdr:nvSpPr>
      <xdr:spPr>
        <a:xfrm>
          <a:off x="6981825" y="895350"/>
          <a:ext cx="1205193" cy="485775"/>
        </a:xfrm>
        <a:prstGeom prst="roundRect">
          <a:avLst/>
        </a:prstGeom>
        <a:gradFill>
          <a:gsLst>
            <a:gs pos="0">
              <a:srgbClr val="DCCD72"/>
            </a:gs>
            <a:gs pos="50000">
              <a:srgbClr val="FFFF99"/>
            </a:gs>
            <a:gs pos="70000">
              <a:srgbClr val="FFFFCC"/>
            </a:gs>
            <a:gs pos="100000">
              <a:srgbClr val="FF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000">
              <a:solidFill>
                <a:schemeClr val="tx1"/>
              </a:solidFill>
              <a:latin typeface="+mj-lt"/>
            </a:rPr>
            <a:t>Fire Worksheet</a:t>
          </a:r>
        </a:p>
      </xdr:txBody>
    </xdr:sp>
    <xdr:clientData/>
  </xdr:twoCellAnchor>
  <xdr:twoCellAnchor>
    <xdr:from>
      <xdr:col>1</xdr:col>
      <xdr:colOff>0</xdr:colOff>
      <xdr:row>92</xdr:row>
      <xdr:rowOff>0</xdr:rowOff>
    </xdr:from>
    <xdr:to>
      <xdr:col>13</xdr:col>
      <xdr:colOff>371475</xdr:colOff>
      <xdr:row>119</xdr:row>
      <xdr:rowOff>85725</xdr:rowOff>
    </xdr:to>
    <xdr:graphicFrame macro="">
      <xdr:nvGraphicFramePr>
        <xdr:cNvPr id="9" name="Chart 8">
          <a:extLst>
            <a:ext uri="{FF2B5EF4-FFF2-40B4-BE49-F238E27FC236}">
              <a16:creationId xmlns:a16="http://schemas.microsoft.com/office/drawing/2014/main" id="{00000000-0008-0000-3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twoCellAnchor>
</xdr:wsDr>
</file>

<file path=xl/drawings/drawing59.xml><?xml version="1.0" encoding="utf-8"?>
<xdr:wsDr xmlns:xdr="http://schemas.openxmlformats.org/drawingml/2006/spreadsheetDrawing" xmlns:a="http://schemas.openxmlformats.org/drawingml/2006/main">
  <xdr:twoCellAnchor>
    <xdr:from>
      <xdr:col>1</xdr:col>
      <xdr:colOff>0</xdr:colOff>
      <xdr:row>5</xdr:row>
      <xdr:rowOff>0</xdr:rowOff>
    </xdr:from>
    <xdr:to>
      <xdr:col>13</xdr:col>
      <xdr:colOff>371475</xdr:colOff>
      <xdr:row>32</xdr:row>
      <xdr:rowOff>85725</xdr:rowOff>
    </xdr:to>
    <xdr:graphicFrame macro="">
      <xdr:nvGraphicFramePr>
        <xdr:cNvPr id="2" name="Chart 1">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1</xdr:col>
      <xdr:colOff>0</xdr:colOff>
      <xdr:row>34</xdr:row>
      <xdr:rowOff>0</xdr:rowOff>
    </xdr:from>
    <xdr:to>
      <xdr:col>13</xdr:col>
      <xdr:colOff>371475</xdr:colOff>
      <xdr:row>61</xdr:row>
      <xdr:rowOff>85725</xdr:rowOff>
    </xdr:to>
    <xdr:graphicFrame macro="">
      <xdr:nvGraphicFramePr>
        <xdr:cNvPr id="5" name="Chart 4">
          <a:extLst>
            <a:ext uri="{FF2B5EF4-FFF2-40B4-BE49-F238E27FC236}">
              <a16:creationId xmlns:a16="http://schemas.microsoft.com/office/drawing/2014/main" id="{00000000-0008-0000-3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1</xdr:col>
      <xdr:colOff>0</xdr:colOff>
      <xdr:row>63</xdr:row>
      <xdr:rowOff>0</xdr:rowOff>
    </xdr:from>
    <xdr:to>
      <xdr:col>13</xdr:col>
      <xdr:colOff>371475</xdr:colOff>
      <xdr:row>90</xdr:row>
      <xdr:rowOff>85725</xdr:rowOff>
    </xdr:to>
    <xdr:graphicFrame macro="">
      <xdr:nvGraphicFramePr>
        <xdr:cNvPr id="6" name="Chart 5">
          <a:extLst>
            <a:ext uri="{FF2B5EF4-FFF2-40B4-BE49-F238E27FC236}">
              <a16:creationId xmlns:a16="http://schemas.microsoft.com/office/drawing/2014/main" id="{00000000-0008-0000-3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xdr:from>
      <xdr:col>12</xdr:col>
      <xdr:colOff>0</xdr:colOff>
      <xdr:row>1</xdr:row>
      <xdr:rowOff>0</xdr:rowOff>
    </xdr:from>
    <xdr:to>
      <xdr:col>13</xdr:col>
      <xdr:colOff>595593</xdr:colOff>
      <xdr:row>1</xdr:row>
      <xdr:rowOff>414618</xdr:rowOff>
    </xdr:to>
    <xdr:sp macro="" textlink="">
      <xdr:nvSpPr>
        <xdr:cNvPr id="7" name="Rounded Rectangle 6">
          <a:hlinkClick xmlns:r="http://schemas.openxmlformats.org/officeDocument/2006/relationships" r:id="rId4"/>
          <a:extLst>
            <a:ext uri="{FF2B5EF4-FFF2-40B4-BE49-F238E27FC236}">
              <a16:creationId xmlns:a16="http://schemas.microsoft.com/office/drawing/2014/main" id="{00000000-0008-0000-3A00-000007000000}"/>
            </a:ext>
          </a:extLst>
        </xdr:cNvPr>
        <xdr:cNvSpPr/>
      </xdr:nvSpPr>
      <xdr:spPr>
        <a:xfrm>
          <a:off x="6981825" y="190500"/>
          <a:ext cx="1205193" cy="414618"/>
        </a:xfrm>
        <a:prstGeom prst="roundRect">
          <a:avLst/>
        </a:prstGeom>
        <a:gradFill>
          <a:gsLst>
            <a:gs pos="0">
              <a:srgbClr val="23AF84"/>
            </a:gs>
            <a:gs pos="50000">
              <a:srgbClr val="6DDDA8"/>
            </a:gs>
            <a:gs pos="70000">
              <a:srgbClr val="70EAB9"/>
            </a:gs>
            <a:gs pos="100000">
              <a:srgbClr val="99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a:latin typeface="+mj-lt"/>
            </a:rPr>
            <a:t>Hazards</a:t>
          </a:r>
          <a:r>
            <a:rPr lang="en-US" sz="1100" baseline="0">
              <a:latin typeface="+mj-lt"/>
            </a:rPr>
            <a:t> Menu</a:t>
          </a:r>
          <a:endParaRPr lang="en-US" sz="1100">
            <a:latin typeface="+mj-lt"/>
          </a:endParaRPr>
        </a:p>
      </xdr:txBody>
    </xdr:sp>
    <xdr:clientData/>
  </xdr:twoCellAnchor>
  <xdr:twoCellAnchor>
    <xdr:from>
      <xdr:col>12</xdr:col>
      <xdr:colOff>0</xdr:colOff>
      <xdr:row>3</xdr:row>
      <xdr:rowOff>0</xdr:rowOff>
    </xdr:from>
    <xdr:to>
      <xdr:col>13</xdr:col>
      <xdr:colOff>595593</xdr:colOff>
      <xdr:row>4</xdr:row>
      <xdr:rowOff>57150</xdr:rowOff>
    </xdr:to>
    <xdr:sp macro="" textlink="">
      <xdr:nvSpPr>
        <xdr:cNvPr id="8" name="Rounded Rectangle 7">
          <a:hlinkClick xmlns:r="http://schemas.openxmlformats.org/officeDocument/2006/relationships" r:id="rId5"/>
          <a:extLst>
            <a:ext uri="{FF2B5EF4-FFF2-40B4-BE49-F238E27FC236}">
              <a16:creationId xmlns:a16="http://schemas.microsoft.com/office/drawing/2014/main" id="{00000000-0008-0000-3A00-000008000000}"/>
            </a:ext>
          </a:extLst>
        </xdr:cNvPr>
        <xdr:cNvSpPr/>
      </xdr:nvSpPr>
      <xdr:spPr>
        <a:xfrm>
          <a:off x="6981825" y="895350"/>
          <a:ext cx="1205193" cy="485775"/>
        </a:xfrm>
        <a:prstGeom prst="roundRect">
          <a:avLst/>
        </a:prstGeom>
        <a:gradFill>
          <a:gsLst>
            <a:gs pos="0">
              <a:srgbClr val="DCCD72"/>
            </a:gs>
            <a:gs pos="50000">
              <a:srgbClr val="FFFF99"/>
            </a:gs>
            <a:gs pos="70000">
              <a:srgbClr val="FFFFCC"/>
            </a:gs>
            <a:gs pos="100000">
              <a:srgbClr val="FF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000">
              <a:solidFill>
                <a:schemeClr val="tx1"/>
              </a:solidFill>
              <a:latin typeface="+mj-lt"/>
            </a:rPr>
            <a:t>Flood Worksheet</a:t>
          </a:r>
        </a:p>
      </xdr:txBody>
    </xdr:sp>
    <xdr:clientData/>
  </xdr:twoCellAnchor>
  <xdr:twoCellAnchor>
    <xdr:from>
      <xdr:col>1</xdr:col>
      <xdr:colOff>0</xdr:colOff>
      <xdr:row>92</xdr:row>
      <xdr:rowOff>0</xdr:rowOff>
    </xdr:from>
    <xdr:to>
      <xdr:col>13</xdr:col>
      <xdr:colOff>371475</xdr:colOff>
      <xdr:row>119</xdr:row>
      <xdr:rowOff>85725</xdr:rowOff>
    </xdr:to>
    <xdr:graphicFrame macro="">
      <xdr:nvGraphicFramePr>
        <xdr:cNvPr id="9" name="Chart 8">
          <a:extLst>
            <a:ext uri="{FF2B5EF4-FFF2-40B4-BE49-F238E27FC236}">
              <a16:creationId xmlns:a16="http://schemas.microsoft.com/office/drawing/2014/main" id="{00000000-0008-0000-3A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twoCellAnchor>
</xdr:wsDr>
</file>

<file path=xl/drawings/drawing6.xml><?xml version="1.0" encoding="utf-8"?>
<xdr:wsDr xmlns:xdr="http://schemas.openxmlformats.org/drawingml/2006/spreadsheetDrawing" xmlns:a="http://schemas.openxmlformats.org/drawingml/2006/main">
  <xdr:twoCellAnchor>
    <xdr:from>
      <xdr:col>10</xdr:col>
      <xdr:colOff>0</xdr:colOff>
      <xdr:row>1</xdr:row>
      <xdr:rowOff>0</xdr:rowOff>
    </xdr:from>
    <xdr:to>
      <xdr:col>11</xdr:col>
      <xdr:colOff>595593</xdr:colOff>
      <xdr:row>1</xdr:row>
      <xdr:rowOff>376518</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500-000003000000}"/>
            </a:ext>
          </a:extLst>
        </xdr:cNvPr>
        <xdr:cNvSpPr/>
      </xdr:nvSpPr>
      <xdr:spPr>
        <a:xfrm>
          <a:off x="6096000" y="190500"/>
          <a:ext cx="1205193" cy="376518"/>
        </a:xfrm>
        <a:prstGeom prst="roundRect">
          <a:avLst/>
        </a:prstGeom>
        <a:gradFill>
          <a:gsLst>
            <a:gs pos="0">
              <a:srgbClr val="23AF84"/>
            </a:gs>
            <a:gs pos="50000">
              <a:srgbClr val="6DDDA8"/>
            </a:gs>
            <a:gs pos="70000">
              <a:srgbClr val="70EAB9"/>
            </a:gs>
            <a:gs pos="100000">
              <a:srgbClr val="99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400">
              <a:latin typeface="+mj-lt"/>
            </a:rPr>
            <a:t>Main</a:t>
          </a:r>
          <a:r>
            <a:rPr lang="en-US" sz="1400" baseline="0">
              <a:latin typeface="+mj-lt"/>
            </a:rPr>
            <a:t> Menu</a:t>
          </a:r>
          <a:endParaRPr lang="en-US" sz="1400">
            <a:latin typeface="+mj-lt"/>
          </a:endParaRP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1</xdr:col>
      <xdr:colOff>0</xdr:colOff>
      <xdr:row>5</xdr:row>
      <xdr:rowOff>0</xdr:rowOff>
    </xdr:from>
    <xdr:to>
      <xdr:col>13</xdr:col>
      <xdr:colOff>371475</xdr:colOff>
      <xdr:row>32</xdr:row>
      <xdr:rowOff>85725</xdr:rowOff>
    </xdr:to>
    <xdr:graphicFrame macro="">
      <xdr:nvGraphicFramePr>
        <xdr:cNvPr id="2" name="Chart 1">
          <a:extLst>
            <a:ext uri="{FF2B5EF4-FFF2-40B4-BE49-F238E27FC236}">
              <a16:creationId xmlns:a16="http://schemas.microsoft.com/office/drawing/2014/main" id="{00000000-0008-0000-3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1</xdr:col>
      <xdr:colOff>0</xdr:colOff>
      <xdr:row>34</xdr:row>
      <xdr:rowOff>0</xdr:rowOff>
    </xdr:from>
    <xdr:to>
      <xdr:col>13</xdr:col>
      <xdr:colOff>371475</xdr:colOff>
      <xdr:row>61</xdr:row>
      <xdr:rowOff>85725</xdr:rowOff>
    </xdr:to>
    <xdr:graphicFrame macro="">
      <xdr:nvGraphicFramePr>
        <xdr:cNvPr id="5" name="Chart 4">
          <a:extLst>
            <a:ext uri="{FF2B5EF4-FFF2-40B4-BE49-F238E27FC236}">
              <a16:creationId xmlns:a16="http://schemas.microsoft.com/office/drawing/2014/main" id="{00000000-0008-0000-3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1</xdr:col>
      <xdr:colOff>0</xdr:colOff>
      <xdr:row>63</xdr:row>
      <xdr:rowOff>0</xdr:rowOff>
    </xdr:from>
    <xdr:to>
      <xdr:col>13</xdr:col>
      <xdr:colOff>371475</xdr:colOff>
      <xdr:row>90</xdr:row>
      <xdr:rowOff>85725</xdr:rowOff>
    </xdr:to>
    <xdr:graphicFrame macro="">
      <xdr:nvGraphicFramePr>
        <xdr:cNvPr id="6" name="Chart 5">
          <a:extLst>
            <a:ext uri="{FF2B5EF4-FFF2-40B4-BE49-F238E27FC236}">
              <a16:creationId xmlns:a16="http://schemas.microsoft.com/office/drawing/2014/main" id="{00000000-0008-0000-3B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xdr:from>
      <xdr:col>12</xdr:col>
      <xdr:colOff>0</xdr:colOff>
      <xdr:row>1</xdr:row>
      <xdr:rowOff>0</xdr:rowOff>
    </xdr:from>
    <xdr:to>
      <xdr:col>13</xdr:col>
      <xdr:colOff>595593</xdr:colOff>
      <xdr:row>1</xdr:row>
      <xdr:rowOff>414618</xdr:rowOff>
    </xdr:to>
    <xdr:sp macro="" textlink="">
      <xdr:nvSpPr>
        <xdr:cNvPr id="7" name="Rounded Rectangle 6">
          <a:hlinkClick xmlns:r="http://schemas.openxmlformats.org/officeDocument/2006/relationships" r:id="rId4"/>
          <a:extLst>
            <a:ext uri="{FF2B5EF4-FFF2-40B4-BE49-F238E27FC236}">
              <a16:creationId xmlns:a16="http://schemas.microsoft.com/office/drawing/2014/main" id="{00000000-0008-0000-3B00-000007000000}"/>
            </a:ext>
          </a:extLst>
        </xdr:cNvPr>
        <xdr:cNvSpPr/>
      </xdr:nvSpPr>
      <xdr:spPr>
        <a:xfrm>
          <a:off x="6981825" y="190500"/>
          <a:ext cx="1205193" cy="414618"/>
        </a:xfrm>
        <a:prstGeom prst="roundRect">
          <a:avLst/>
        </a:prstGeom>
        <a:gradFill>
          <a:gsLst>
            <a:gs pos="0">
              <a:srgbClr val="23AF84"/>
            </a:gs>
            <a:gs pos="50000">
              <a:srgbClr val="6DDDA8"/>
            </a:gs>
            <a:gs pos="70000">
              <a:srgbClr val="70EAB9"/>
            </a:gs>
            <a:gs pos="100000">
              <a:srgbClr val="99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a:latin typeface="+mj-lt"/>
            </a:rPr>
            <a:t>Hazards</a:t>
          </a:r>
          <a:r>
            <a:rPr lang="en-US" sz="1100" baseline="0">
              <a:latin typeface="+mj-lt"/>
            </a:rPr>
            <a:t> Menu</a:t>
          </a:r>
          <a:endParaRPr lang="en-US" sz="1100">
            <a:latin typeface="+mj-lt"/>
          </a:endParaRPr>
        </a:p>
      </xdr:txBody>
    </xdr:sp>
    <xdr:clientData/>
  </xdr:twoCellAnchor>
  <xdr:twoCellAnchor>
    <xdr:from>
      <xdr:col>12</xdr:col>
      <xdr:colOff>0</xdr:colOff>
      <xdr:row>3</xdr:row>
      <xdr:rowOff>0</xdr:rowOff>
    </xdr:from>
    <xdr:to>
      <xdr:col>13</xdr:col>
      <xdr:colOff>595593</xdr:colOff>
      <xdr:row>4</xdr:row>
      <xdr:rowOff>57150</xdr:rowOff>
    </xdr:to>
    <xdr:sp macro="" textlink="">
      <xdr:nvSpPr>
        <xdr:cNvPr id="8" name="Rounded Rectangle 7">
          <a:hlinkClick xmlns:r="http://schemas.openxmlformats.org/officeDocument/2006/relationships" r:id="rId5"/>
          <a:extLst>
            <a:ext uri="{FF2B5EF4-FFF2-40B4-BE49-F238E27FC236}">
              <a16:creationId xmlns:a16="http://schemas.microsoft.com/office/drawing/2014/main" id="{00000000-0008-0000-3B00-000008000000}"/>
            </a:ext>
          </a:extLst>
        </xdr:cNvPr>
        <xdr:cNvSpPr/>
      </xdr:nvSpPr>
      <xdr:spPr>
        <a:xfrm>
          <a:off x="6981825" y="895350"/>
          <a:ext cx="1205193" cy="485775"/>
        </a:xfrm>
        <a:prstGeom prst="roundRect">
          <a:avLst/>
        </a:prstGeom>
        <a:gradFill>
          <a:gsLst>
            <a:gs pos="0">
              <a:srgbClr val="DCCD72"/>
            </a:gs>
            <a:gs pos="50000">
              <a:srgbClr val="FFFF99"/>
            </a:gs>
            <a:gs pos="70000">
              <a:srgbClr val="FFFFCC"/>
            </a:gs>
            <a:gs pos="100000">
              <a:srgbClr val="FF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000">
              <a:solidFill>
                <a:schemeClr val="tx1"/>
              </a:solidFill>
              <a:latin typeface="+mj-lt"/>
            </a:rPr>
            <a:t>HazMat Release</a:t>
          </a:r>
          <a:r>
            <a:rPr lang="en-US" sz="1000" baseline="0">
              <a:solidFill>
                <a:schemeClr val="tx1"/>
              </a:solidFill>
              <a:latin typeface="+mj-lt"/>
            </a:rPr>
            <a:t> Worksheet</a:t>
          </a:r>
          <a:endParaRPr lang="en-US" sz="1000">
            <a:solidFill>
              <a:schemeClr val="tx1"/>
            </a:solidFill>
            <a:latin typeface="+mj-lt"/>
          </a:endParaRPr>
        </a:p>
      </xdr:txBody>
    </xdr:sp>
    <xdr:clientData/>
  </xdr:twoCellAnchor>
  <xdr:twoCellAnchor>
    <xdr:from>
      <xdr:col>1</xdr:col>
      <xdr:colOff>0</xdr:colOff>
      <xdr:row>92</xdr:row>
      <xdr:rowOff>0</xdr:rowOff>
    </xdr:from>
    <xdr:to>
      <xdr:col>13</xdr:col>
      <xdr:colOff>371475</xdr:colOff>
      <xdr:row>119</xdr:row>
      <xdr:rowOff>85725</xdr:rowOff>
    </xdr:to>
    <xdr:graphicFrame macro="">
      <xdr:nvGraphicFramePr>
        <xdr:cNvPr id="9" name="Chart 8">
          <a:extLst>
            <a:ext uri="{FF2B5EF4-FFF2-40B4-BE49-F238E27FC236}">
              <a16:creationId xmlns:a16="http://schemas.microsoft.com/office/drawing/2014/main" id="{00000000-0008-0000-3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twoCellAnchor>
</xdr:wsDr>
</file>

<file path=xl/drawings/drawing61.xml><?xml version="1.0" encoding="utf-8"?>
<xdr:wsDr xmlns:xdr="http://schemas.openxmlformats.org/drawingml/2006/spreadsheetDrawing" xmlns:a="http://schemas.openxmlformats.org/drawingml/2006/main">
  <xdr:twoCellAnchor>
    <xdr:from>
      <xdr:col>1</xdr:col>
      <xdr:colOff>0</xdr:colOff>
      <xdr:row>5</xdr:row>
      <xdr:rowOff>0</xdr:rowOff>
    </xdr:from>
    <xdr:to>
      <xdr:col>13</xdr:col>
      <xdr:colOff>371475</xdr:colOff>
      <xdr:row>32</xdr:row>
      <xdr:rowOff>85725</xdr:rowOff>
    </xdr:to>
    <xdr:graphicFrame macro="">
      <xdr:nvGraphicFramePr>
        <xdr:cNvPr id="2" name="Chart 1">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1</xdr:col>
      <xdr:colOff>0</xdr:colOff>
      <xdr:row>34</xdr:row>
      <xdr:rowOff>0</xdr:rowOff>
    </xdr:from>
    <xdr:to>
      <xdr:col>13</xdr:col>
      <xdr:colOff>371475</xdr:colOff>
      <xdr:row>61</xdr:row>
      <xdr:rowOff>85725</xdr:rowOff>
    </xdr:to>
    <xdr:graphicFrame macro="">
      <xdr:nvGraphicFramePr>
        <xdr:cNvPr id="5" name="Chart 4">
          <a:extLst>
            <a:ext uri="{FF2B5EF4-FFF2-40B4-BE49-F238E27FC236}">
              <a16:creationId xmlns:a16="http://schemas.microsoft.com/office/drawing/2014/main" id="{00000000-0008-0000-3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1</xdr:col>
      <xdr:colOff>0</xdr:colOff>
      <xdr:row>63</xdr:row>
      <xdr:rowOff>0</xdr:rowOff>
    </xdr:from>
    <xdr:to>
      <xdr:col>13</xdr:col>
      <xdr:colOff>371475</xdr:colOff>
      <xdr:row>90</xdr:row>
      <xdr:rowOff>85725</xdr:rowOff>
    </xdr:to>
    <xdr:graphicFrame macro="">
      <xdr:nvGraphicFramePr>
        <xdr:cNvPr id="6" name="Chart 5">
          <a:extLst>
            <a:ext uri="{FF2B5EF4-FFF2-40B4-BE49-F238E27FC236}">
              <a16:creationId xmlns:a16="http://schemas.microsoft.com/office/drawing/2014/main" id="{00000000-0008-0000-3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xdr:from>
      <xdr:col>12</xdr:col>
      <xdr:colOff>0</xdr:colOff>
      <xdr:row>1</xdr:row>
      <xdr:rowOff>0</xdr:rowOff>
    </xdr:from>
    <xdr:to>
      <xdr:col>13</xdr:col>
      <xdr:colOff>595593</xdr:colOff>
      <xdr:row>1</xdr:row>
      <xdr:rowOff>414618</xdr:rowOff>
    </xdr:to>
    <xdr:sp macro="" textlink="">
      <xdr:nvSpPr>
        <xdr:cNvPr id="7" name="Rounded Rectangle 6">
          <a:hlinkClick xmlns:r="http://schemas.openxmlformats.org/officeDocument/2006/relationships" r:id="rId4"/>
          <a:extLst>
            <a:ext uri="{FF2B5EF4-FFF2-40B4-BE49-F238E27FC236}">
              <a16:creationId xmlns:a16="http://schemas.microsoft.com/office/drawing/2014/main" id="{00000000-0008-0000-3C00-000007000000}"/>
            </a:ext>
          </a:extLst>
        </xdr:cNvPr>
        <xdr:cNvSpPr/>
      </xdr:nvSpPr>
      <xdr:spPr>
        <a:xfrm>
          <a:off x="6981825" y="190500"/>
          <a:ext cx="1205193" cy="414618"/>
        </a:xfrm>
        <a:prstGeom prst="roundRect">
          <a:avLst/>
        </a:prstGeom>
        <a:gradFill>
          <a:gsLst>
            <a:gs pos="0">
              <a:srgbClr val="23AF84"/>
            </a:gs>
            <a:gs pos="50000">
              <a:srgbClr val="6DDDA8"/>
            </a:gs>
            <a:gs pos="70000">
              <a:srgbClr val="70EAB9"/>
            </a:gs>
            <a:gs pos="100000">
              <a:srgbClr val="99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a:latin typeface="+mj-lt"/>
            </a:rPr>
            <a:t>Hazards</a:t>
          </a:r>
          <a:r>
            <a:rPr lang="en-US" sz="1100" baseline="0">
              <a:latin typeface="+mj-lt"/>
            </a:rPr>
            <a:t> Menu</a:t>
          </a:r>
          <a:endParaRPr lang="en-US" sz="1100">
            <a:latin typeface="+mj-lt"/>
          </a:endParaRPr>
        </a:p>
      </xdr:txBody>
    </xdr:sp>
    <xdr:clientData/>
  </xdr:twoCellAnchor>
  <xdr:twoCellAnchor>
    <xdr:from>
      <xdr:col>12</xdr:col>
      <xdr:colOff>0</xdr:colOff>
      <xdr:row>3</xdr:row>
      <xdr:rowOff>0</xdr:rowOff>
    </xdr:from>
    <xdr:to>
      <xdr:col>13</xdr:col>
      <xdr:colOff>595593</xdr:colOff>
      <xdr:row>4</xdr:row>
      <xdr:rowOff>57150</xdr:rowOff>
    </xdr:to>
    <xdr:sp macro="" textlink="">
      <xdr:nvSpPr>
        <xdr:cNvPr id="8" name="Rounded Rectangle 7">
          <a:hlinkClick xmlns:r="http://schemas.openxmlformats.org/officeDocument/2006/relationships" r:id="rId5"/>
          <a:extLst>
            <a:ext uri="{FF2B5EF4-FFF2-40B4-BE49-F238E27FC236}">
              <a16:creationId xmlns:a16="http://schemas.microsoft.com/office/drawing/2014/main" id="{00000000-0008-0000-3C00-000008000000}"/>
            </a:ext>
          </a:extLst>
        </xdr:cNvPr>
        <xdr:cNvSpPr/>
      </xdr:nvSpPr>
      <xdr:spPr>
        <a:xfrm>
          <a:off x="6981825" y="895350"/>
          <a:ext cx="1205193" cy="485775"/>
        </a:xfrm>
        <a:prstGeom prst="roundRect">
          <a:avLst/>
        </a:prstGeom>
        <a:gradFill>
          <a:gsLst>
            <a:gs pos="0">
              <a:srgbClr val="DCCD72"/>
            </a:gs>
            <a:gs pos="50000">
              <a:srgbClr val="FFFF99"/>
            </a:gs>
            <a:gs pos="70000">
              <a:srgbClr val="FFFFCC"/>
            </a:gs>
            <a:gs pos="100000">
              <a:srgbClr val="FF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000">
              <a:solidFill>
                <a:schemeClr val="tx1"/>
              </a:solidFill>
              <a:latin typeface="+mj-lt"/>
            </a:rPr>
            <a:t>Localized ID Worksheet</a:t>
          </a:r>
        </a:p>
      </xdr:txBody>
    </xdr:sp>
    <xdr:clientData/>
  </xdr:twoCellAnchor>
  <xdr:twoCellAnchor>
    <xdr:from>
      <xdr:col>1</xdr:col>
      <xdr:colOff>0</xdr:colOff>
      <xdr:row>92</xdr:row>
      <xdr:rowOff>0</xdr:rowOff>
    </xdr:from>
    <xdr:to>
      <xdr:col>13</xdr:col>
      <xdr:colOff>371475</xdr:colOff>
      <xdr:row>119</xdr:row>
      <xdr:rowOff>85725</xdr:rowOff>
    </xdr:to>
    <xdr:graphicFrame macro="">
      <xdr:nvGraphicFramePr>
        <xdr:cNvPr id="10" name="Chart 9">
          <a:extLst>
            <a:ext uri="{FF2B5EF4-FFF2-40B4-BE49-F238E27FC236}">
              <a16:creationId xmlns:a16="http://schemas.microsoft.com/office/drawing/2014/main" id="{00000000-0008-0000-3C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twoCellAnchor>
</xdr:wsDr>
</file>

<file path=xl/drawings/drawing62.xml><?xml version="1.0" encoding="utf-8"?>
<xdr:wsDr xmlns:xdr="http://schemas.openxmlformats.org/drawingml/2006/spreadsheetDrawing" xmlns:a="http://schemas.openxmlformats.org/drawingml/2006/main">
  <xdr:twoCellAnchor>
    <xdr:from>
      <xdr:col>1</xdr:col>
      <xdr:colOff>0</xdr:colOff>
      <xdr:row>5</xdr:row>
      <xdr:rowOff>0</xdr:rowOff>
    </xdr:from>
    <xdr:to>
      <xdr:col>13</xdr:col>
      <xdr:colOff>371475</xdr:colOff>
      <xdr:row>32</xdr:row>
      <xdr:rowOff>85725</xdr:rowOff>
    </xdr:to>
    <xdr:graphicFrame macro="">
      <xdr:nvGraphicFramePr>
        <xdr:cNvPr id="2" name="Chart 1">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1</xdr:col>
      <xdr:colOff>0</xdr:colOff>
      <xdr:row>63</xdr:row>
      <xdr:rowOff>0</xdr:rowOff>
    </xdr:from>
    <xdr:to>
      <xdr:col>13</xdr:col>
      <xdr:colOff>371475</xdr:colOff>
      <xdr:row>90</xdr:row>
      <xdr:rowOff>85725</xdr:rowOff>
    </xdr:to>
    <xdr:graphicFrame macro="">
      <xdr:nvGraphicFramePr>
        <xdr:cNvPr id="6" name="Chart 5">
          <a:extLst>
            <a:ext uri="{FF2B5EF4-FFF2-40B4-BE49-F238E27FC236}">
              <a16:creationId xmlns:a16="http://schemas.microsoft.com/office/drawing/2014/main" id="{00000000-0008-0000-3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12</xdr:col>
      <xdr:colOff>0</xdr:colOff>
      <xdr:row>1</xdr:row>
      <xdr:rowOff>0</xdr:rowOff>
    </xdr:from>
    <xdr:to>
      <xdr:col>13</xdr:col>
      <xdr:colOff>595593</xdr:colOff>
      <xdr:row>1</xdr:row>
      <xdr:rowOff>414618</xdr:rowOff>
    </xdr:to>
    <xdr:sp macro="" textlink="">
      <xdr:nvSpPr>
        <xdr:cNvPr id="7" name="Rounded Rectangle 6">
          <a:hlinkClick xmlns:r="http://schemas.openxmlformats.org/officeDocument/2006/relationships" r:id="rId3"/>
          <a:extLst>
            <a:ext uri="{FF2B5EF4-FFF2-40B4-BE49-F238E27FC236}">
              <a16:creationId xmlns:a16="http://schemas.microsoft.com/office/drawing/2014/main" id="{00000000-0008-0000-3D00-000007000000}"/>
            </a:ext>
          </a:extLst>
        </xdr:cNvPr>
        <xdr:cNvSpPr/>
      </xdr:nvSpPr>
      <xdr:spPr>
        <a:xfrm>
          <a:off x="6981825" y="190500"/>
          <a:ext cx="1205193" cy="414618"/>
        </a:xfrm>
        <a:prstGeom prst="roundRect">
          <a:avLst/>
        </a:prstGeom>
        <a:gradFill>
          <a:gsLst>
            <a:gs pos="0">
              <a:srgbClr val="23AF84"/>
            </a:gs>
            <a:gs pos="50000">
              <a:srgbClr val="6DDDA8"/>
            </a:gs>
            <a:gs pos="70000">
              <a:srgbClr val="70EAB9"/>
            </a:gs>
            <a:gs pos="100000">
              <a:srgbClr val="99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a:latin typeface="+mj-lt"/>
            </a:rPr>
            <a:t>Hazards</a:t>
          </a:r>
          <a:r>
            <a:rPr lang="en-US" sz="1100" baseline="0">
              <a:latin typeface="+mj-lt"/>
            </a:rPr>
            <a:t> Menu</a:t>
          </a:r>
          <a:endParaRPr lang="en-US" sz="1100">
            <a:latin typeface="+mj-lt"/>
          </a:endParaRPr>
        </a:p>
      </xdr:txBody>
    </xdr:sp>
    <xdr:clientData/>
  </xdr:twoCellAnchor>
  <xdr:twoCellAnchor>
    <xdr:from>
      <xdr:col>12</xdr:col>
      <xdr:colOff>0</xdr:colOff>
      <xdr:row>3</xdr:row>
      <xdr:rowOff>0</xdr:rowOff>
    </xdr:from>
    <xdr:to>
      <xdr:col>13</xdr:col>
      <xdr:colOff>595593</xdr:colOff>
      <xdr:row>4</xdr:row>
      <xdr:rowOff>57150</xdr:rowOff>
    </xdr:to>
    <xdr:sp macro="" textlink="">
      <xdr:nvSpPr>
        <xdr:cNvPr id="8" name="Rounded Rectangle 7">
          <a:hlinkClick xmlns:r="http://schemas.openxmlformats.org/officeDocument/2006/relationships" r:id="rId4"/>
          <a:extLst>
            <a:ext uri="{FF2B5EF4-FFF2-40B4-BE49-F238E27FC236}">
              <a16:creationId xmlns:a16="http://schemas.microsoft.com/office/drawing/2014/main" id="{00000000-0008-0000-3D00-000008000000}"/>
            </a:ext>
          </a:extLst>
        </xdr:cNvPr>
        <xdr:cNvSpPr/>
      </xdr:nvSpPr>
      <xdr:spPr>
        <a:xfrm>
          <a:off x="6981825" y="895350"/>
          <a:ext cx="1205193" cy="485775"/>
        </a:xfrm>
        <a:prstGeom prst="roundRect">
          <a:avLst/>
        </a:prstGeom>
        <a:gradFill>
          <a:gsLst>
            <a:gs pos="0">
              <a:srgbClr val="DCCD72"/>
            </a:gs>
            <a:gs pos="50000">
              <a:srgbClr val="FFFF99"/>
            </a:gs>
            <a:gs pos="70000">
              <a:srgbClr val="FFFFCC"/>
            </a:gs>
            <a:gs pos="100000">
              <a:srgbClr val="FF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000">
              <a:solidFill>
                <a:schemeClr val="tx1"/>
              </a:solidFill>
              <a:latin typeface="+mj-lt"/>
            </a:rPr>
            <a:t>Nuclear Accident</a:t>
          </a:r>
          <a:r>
            <a:rPr lang="en-US" sz="1000" baseline="0">
              <a:solidFill>
                <a:schemeClr val="tx1"/>
              </a:solidFill>
              <a:latin typeface="+mj-lt"/>
            </a:rPr>
            <a:t> Worksheet</a:t>
          </a:r>
          <a:endParaRPr lang="en-US" sz="1000">
            <a:solidFill>
              <a:schemeClr val="tx1"/>
            </a:solidFill>
            <a:latin typeface="+mj-lt"/>
          </a:endParaRPr>
        </a:p>
      </xdr:txBody>
    </xdr:sp>
    <xdr:clientData/>
  </xdr:twoCellAnchor>
  <xdr:twoCellAnchor>
    <xdr:from>
      <xdr:col>1</xdr:col>
      <xdr:colOff>0</xdr:colOff>
      <xdr:row>92</xdr:row>
      <xdr:rowOff>0</xdr:rowOff>
    </xdr:from>
    <xdr:to>
      <xdr:col>13</xdr:col>
      <xdr:colOff>371475</xdr:colOff>
      <xdr:row>119</xdr:row>
      <xdr:rowOff>85725</xdr:rowOff>
    </xdr:to>
    <xdr:graphicFrame macro="">
      <xdr:nvGraphicFramePr>
        <xdr:cNvPr id="9" name="Chart 8">
          <a:extLst>
            <a:ext uri="{FF2B5EF4-FFF2-40B4-BE49-F238E27FC236}">
              <a16:creationId xmlns:a16="http://schemas.microsoft.com/office/drawing/2014/main" id="{00000000-0008-0000-3D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xdr:from>
      <xdr:col>1</xdr:col>
      <xdr:colOff>0</xdr:colOff>
      <xdr:row>34</xdr:row>
      <xdr:rowOff>0</xdr:rowOff>
    </xdr:from>
    <xdr:to>
      <xdr:col>13</xdr:col>
      <xdr:colOff>371475</xdr:colOff>
      <xdr:row>61</xdr:row>
      <xdr:rowOff>85725</xdr:rowOff>
    </xdr:to>
    <xdr:graphicFrame macro="">
      <xdr:nvGraphicFramePr>
        <xdr:cNvPr id="10" name="Chart 9">
          <a:extLst>
            <a:ext uri="{FF2B5EF4-FFF2-40B4-BE49-F238E27FC236}">
              <a16:creationId xmlns:a16="http://schemas.microsoft.com/office/drawing/2014/main" id="{00000000-0008-0000-3D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twoCellAnchor>
</xdr:wsDr>
</file>

<file path=xl/drawings/drawing63.xml><?xml version="1.0" encoding="utf-8"?>
<xdr:wsDr xmlns:xdr="http://schemas.openxmlformats.org/drawingml/2006/spreadsheetDrawing" xmlns:a="http://schemas.openxmlformats.org/drawingml/2006/main">
  <xdr:twoCellAnchor>
    <xdr:from>
      <xdr:col>1</xdr:col>
      <xdr:colOff>0</xdr:colOff>
      <xdr:row>5</xdr:row>
      <xdr:rowOff>0</xdr:rowOff>
    </xdr:from>
    <xdr:to>
      <xdr:col>13</xdr:col>
      <xdr:colOff>371475</xdr:colOff>
      <xdr:row>32</xdr:row>
      <xdr:rowOff>85725</xdr:rowOff>
    </xdr:to>
    <xdr:graphicFrame macro="">
      <xdr:nvGraphicFramePr>
        <xdr:cNvPr id="2" name="Chart 1">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1</xdr:col>
      <xdr:colOff>0</xdr:colOff>
      <xdr:row>34</xdr:row>
      <xdr:rowOff>0</xdr:rowOff>
    </xdr:from>
    <xdr:to>
      <xdr:col>13</xdr:col>
      <xdr:colOff>371475</xdr:colOff>
      <xdr:row>61</xdr:row>
      <xdr:rowOff>85725</xdr:rowOff>
    </xdr:to>
    <xdr:graphicFrame macro="">
      <xdr:nvGraphicFramePr>
        <xdr:cNvPr id="5" name="Chart 4">
          <a:extLst>
            <a:ext uri="{FF2B5EF4-FFF2-40B4-BE49-F238E27FC236}">
              <a16:creationId xmlns:a16="http://schemas.microsoft.com/office/drawing/2014/main" id="{00000000-0008-0000-3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1</xdr:col>
      <xdr:colOff>0</xdr:colOff>
      <xdr:row>63</xdr:row>
      <xdr:rowOff>0</xdr:rowOff>
    </xdr:from>
    <xdr:to>
      <xdr:col>13</xdr:col>
      <xdr:colOff>371475</xdr:colOff>
      <xdr:row>90</xdr:row>
      <xdr:rowOff>85725</xdr:rowOff>
    </xdr:to>
    <xdr:graphicFrame macro="">
      <xdr:nvGraphicFramePr>
        <xdr:cNvPr id="6" name="Chart 5">
          <a:extLst>
            <a:ext uri="{FF2B5EF4-FFF2-40B4-BE49-F238E27FC236}">
              <a16:creationId xmlns:a16="http://schemas.microsoft.com/office/drawing/2014/main" id="{00000000-0008-0000-3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xdr:from>
      <xdr:col>12</xdr:col>
      <xdr:colOff>0</xdr:colOff>
      <xdr:row>1</xdr:row>
      <xdr:rowOff>0</xdr:rowOff>
    </xdr:from>
    <xdr:to>
      <xdr:col>13</xdr:col>
      <xdr:colOff>595593</xdr:colOff>
      <xdr:row>1</xdr:row>
      <xdr:rowOff>414618</xdr:rowOff>
    </xdr:to>
    <xdr:sp macro="" textlink="">
      <xdr:nvSpPr>
        <xdr:cNvPr id="7" name="Rounded Rectangle 6">
          <a:hlinkClick xmlns:r="http://schemas.openxmlformats.org/officeDocument/2006/relationships" r:id="rId4"/>
          <a:extLst>
            <a:ext uri="{FF2B5EF4-FFF2-40B4-BE49-F238E27FC236}">
              <a16:creationId xmlns:a16="http://schemas.microsoft.com/office/drawing/2014/main" id="{00000000-0008-0000-3E00-000007000000}"/>
            </a:ext>
          </a:extLst>
        </xdr:cNvPr>
        <xdr:cNvSpPr/>
      </xdr:nvSpPr>
      <xdr:spPr>
        <a:xfrm>
          <a:off x="6981825" y="190500"/>
          <a:ext cx="1205193" cy="414618"/>
        </a:xfrm>
        <a:prstGeom prst="roundRect">
          <a:avLst/>
        </a:prstGeom>
        <a:gradFill>
          <a:gsLst>
            <a:gs pos="0">
              <a:srgbClr val="23AF84"/>
            </a:gs>
            <a:gs pos="50000">
              <a:srgbClr val="6DDDA8"/>
            </a:gs>
            <a:gs pos="70000">
              <a:srgbClr val="70EAB9"/>
            </a:gs>
            <a:gs pos="100000">
              <a:srgbClr val="99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a:latin typeface="+mj-lt"/>
            </a:rPr>
            <a:t>Hazards</a:t>
          </a:r>
          <a:r>
            <a:rPr lang="en-US" sz="1100" baseline="0">
              <a:latin typeface="+mj-lt"/>
            </a:rPr>
            <a:t> Menu</a:t>
          </a:r>
          <a:endParaRPr lang="en-US" sz="1100">
            <a:latin typeface="+mj-lt"/>
          </a:endParaRPr>
        </a:p>
      </xdr:txBody>
    </xdr:sp>
    <xdr:clientData/>
  </xdr:twoCellAnchor>
  <xdr:twoCellAnchor>
    <xdr:from>
      <xdr:col>12</xdr:col>
      <xdr:colOff>0</xdr:colOff>
      <xdr:row>3</xdr:row>
      <xdr:rowOff>0</xdr:rowOff>
    </xdr:from>
    <xdr:to>
      <xdr:col>13</xdr:col>
      <xdr:colOff>595593</xdr:colOff>
      <xdr:row>4</xdr:row>
      <xdr:rowOff>57150</xdr:rowOff>
    </xdr:to>
    <xdr:sp macro="" textlink="">
      <xdr:nvSpPr>
        <xdr:cNvPr id="8" name="Rounded Rectangle 7">
          <a:hlinkClick xmlns:r="http://schemas.openxmlformats.org/officeDocument/2006/relationships" r:id="rId5"/>
          <a:extLst>
            <a:ext uri="{FF2B5EF4-FFF2-40B4-BE49-F238E27FC236}">
              <a16:creationId xmlns:a16="http://schemas.microsoft.com/office/drawing/2014/main" id="{00000000-0008-0000-3E00-000008000000}"/>
            </a:ext>
          </a:extLst>
        </xdr:cNvPr>
        <xdr:cNvSpPr/>
      </xdr:nvSpPr>
      <xdr:spPr>
        <a:xfrm>
          <a:off x="6981825" y="895350"/>
          <a:ext cx="1205193" cy="485775"/>
        </a:xfrm>
        <a:prstGeom prst="roundRect">
          <a:avLst/>
        </a:prstGeom>
        <a:gradFill>
          <a:gsLst>
            <a:gs pos="0">
              <a:srgbClr val="DCCD72"/>
            </a:gs>
            <a:gs pos="50000">
              <a:srgbClr val="FFFF99"/>
            </a:gs>
            <a:gs pos="70000">
              <a:srgbClr val="FFFFCC"/>
            </a:gs>
            <a:gs pos="100000">
              <a:srgbClr val="FF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000">
              <a:solidFill>
                <a:schemeClr val="tx1"/>
              </a:solidFill>
              <a:latin typeface="+mj-lt"/>
            </a:rPr>
            <a:t>Pandemic Worksheet</a:t>
          </a:r>
        </a:p>
      </xdr:txBody>
    </xdr:sp>
    <xdr:clientData/>
  </xdr:twoCellAnchor>
  <xdr:twoCellAnchor>
    <xdr:from>
      <xdr:col>1</xdr:col>
      <xdr:colOff>0</xdr:colOff>
      <xdr:row>92</xdr:row>
      <xdr:rowOff>0</xdr:rowOff>
    </xdr:from>
    <xdr:to>
      <xdr:col>13</xdr:col>
      <xdr:colOff>371475</xdr:colOff>
      <xdr:row>119</xdr:row>
      <xdr:rowOff>85725</xdr:rowOff>
    </xdr:to>
    <xdr:graphicFrame macro="">
      <xdr:nvGraphicFramePr>
        <xdr:cNvPr id="9" name="Chart 8">
          <a:extLst>
            <a:ext uri="{FF2B5EF4-FFF2-40B4-BE49-F238E27FC236}">
              <a16:creationId xmlns:a16="http://schemas.microsoft.com/office/drawing/2014/main" id="{00000000-0008-0000-3E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twoCellAnchor>
</xdr:wsDr>
</file>

<file path=xl/drawings/drawing64.xml><?xml version="1.0" encoding="utf-8"?>
<xdr:wsDr xmlns:xdr="http://schemas.openxmlformats.org/drawingml/2006/spreadsheetDrawing" xmlns:a="http://schemas.openxmlformats.org/drawingml/2006/main">
  <xdr:twoCellAnchor>
    <xdr:from>
      <xdr:col>1</xdr:col>
      <xdr:colOff>0</xdr:colOff>
      <xdr:row>5</xdr:row>
      <xdr:rowOff>0</xdr:rowOff>
    </xdr:from>
    <xdr:to>
      <xdr:col>13</xdr:col>
      <xdr:colOff>371475</xdr:colOff>
      <xdr:row>32</xdr:row>
      <xdr:rowOff>85725</xdr:rowOff>
    </xdr:to>
    <xdr:graphicFrame macro="">
      <xdr:nvGraphicFramePr>
        <xdr:cNvPr id="2" name="Chart 1">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1</xdr:col>
      <xdr:colOff>0</xdr:colOff>
      <xdr:row>34</xdr:row>
      <xdr:rowOff>0</xdr:rowOff>
    </xdr:from>
    <xdr:to>
      <xdr:col>13</xdr:col>
      <xdr:colOff>371475</xdr:colOff>
      <xdr:row>61</xdr:row>
      <xdr:rowOff>85725</xdr:rowOff>
    </xdr:to>
    <xdr:graphicFrame macro="">
      <xdr:nvGraphicFramePr>
        <xdr:cNvPr id="5" name="Chart 4">
          <a:extLst>
            <a:ext uri="{FF2B5EF4-FFF2-40B4-BE49-F238E27FC236}">
              <a16:creationId xmlns:a16="http://schemas.microsoft.com/office/drawing/2014/main" id="{00000000-0008-0000-3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1</xdr:col>
      <xdr:colOff>0</xdr:colOff>
      <xdr:row>63</xdr:row>
      <xdr:rowOff>0</xdr:rowOff>
    </xdr:from>
    <xdr:to>
      <xdr:col>13</xdr:col>
      <xdr:colOff>371475</xdr:colOff>
      <xdr:row>90</xdr:row>
      <xdr:rowOff>85725</xdr:rowOff>
    </xdr:to>
    <xdr:graphicFrame macro="">
      <xdr:nvGraphicFramePr>
        <xdr:cNvPr id="6" name="Chart 5">
          <a:extLst>
            <a:ext uri="{FF2B5EF4-FFF2-40B4-BE49-F238E27FC236}">
              <a16:creationId xmlns:a16="http://schemas.microsoft.com/office/drawing/2014/main" id="{00000000-0008-0000-3F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xdr:from>
      <xdr:col>12</xdr:col>
      <xdr:colOff>0</xdr:colOff>
      <xdr:row>1</xdr:row>
      <xdr:rowOff>0</xdr:rowOff>
    </xdr:from>
    <xdr:to>
      <xdr:col>13</xdr:col>
      <xdr:colOff>595593</xdr:colOff>
      <xdr:row>1</xdr:row>
      <xdr:rowOff>414618</xdr:rowOff>
    </xdr:to>
    <xdr:sp macro="" textlink="">
      <xdr:nvSpPr>
        <xdr:cNvPr id="7" name="Rounded Rectangle 6">
          <a:hlinkClick xmlns:r="http://schemas.openxmlformats.org/officeDocument/2006/relationships" r:id="rId4"/>
          <a:extLst>
            <a:ext uri="{FF2B5EF4-FFF2-40B4-BE49-F238E27FC236}">
              <a16:creationId xmlns:a16="http://schemas.microsoft.com/office/drawing/2014/main" id="{00000000-0008-0000-3F00-000007000000}"/>
            </a:ext>
          </a:extLst>
        </xdr:cNvPr>
        <xdr:cNvSpPr/>
      </xdr:nvSpPr>
      <xdr:spPr>
        <a:xfrm>
          <a:off x="6981825" y="190500"/>
          <a:ext cx="1205193" cy="414618"/>
        </a:xfrm>
        <a:prstGeom prst="roundRect">
          <a:avLst/>
        </a:prstGeom>
        <a:gradFill>
          <a:gsLst>
            <a:gs pos="0">
              <a:srgbClr val="23AF84"/>
            </a:gs>
            <a:gs pos="50000">
              <a:srgbClr val="6DDDA8"/>
            </a:gs>
            <a:gs pos="70000">
              <a:srgbClr val="70EAB9"/>
            </a:gs>
            <a:gs pos="100000">
              <a:srgbClr val="99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a:latin typeface="+mj-lt"/>
            </a:rPr>
            <a:t>Hazards</a:t>
          </a:r>
          <a:r>
            <a:rPr lang="en-US" sz="1100" baseline="0">
              <a:latin typeface="+mj-lt"/>
            </a:rPr>
            <a:t> Menu</a:t>
          </a:r>
          <a:endParaRPr lang="en-US" sz="1100">
            <a:latin typeface="+mj-lt"/>
          </a:endParaRPr>
        </a:p>
      </xdr:txBody>
    </xdr:sp>
    <xdr:clientData/>
  </xdr:twoCellAnchor>
  <xdr:twoCellAnchor>
    <xdr:from>
      <xdr:col>12</xdr:col>
      <xdr:colOff>0</xdr:colOff>
      <xdr:row>3</xdr:row>
      <xdr:rowOff>0</xdr:rowOff>
    </xdr:from>
    <xdr:to>
      <xdr:col>13</xdr:col>
      <xdr:colOff>595593</xdr:colOff>
      <xdr:row>4</xdr:row>
      <xdr:rowOff>57150</xdr:rowOff>
    </xdr:to>
    <xdr:sp macro="" textlink="">
      <xdr:nvSpPr>
        <xdr:cNvPr id="8" name="Rounded Rectangle 7">
          <a:hlinkClick xmlns:r="http://schemas.openxmlformats.org/officeDocument/2006/relationships" r:id="rId5"/>
          <a:extLst>
            <a:ext uri="{FF2B5EF4-FFF2-40B4-BE49-F238E27FC236}">
              <a16:creationId xmlns:a16="http://schemas.microsoft.com/office/drawing/2014/main" id="{00000000-0008-0000-3F00-000008000000}"/>
            </a:ext>
          </a:extLst>
        </xdr:cNvPr>
        <xdr:cNvSpPr/>
      </xdr:nvSpPr>
      <xdr:spPr>
        <a:xfrm>
          <a:off x="6981825" y="895350"/>
          <a:ext cx="1205193" cy="485775"/>
        </a:xfrm>
        <a:prstGeom prst="roundRect">
          <a:avLst/>
        </a:prstGeom>
        <a:gradFill>
          <a:gsLst>
            <a:gs pos="0">
              <a:srgbClr val="DCCD72"/>
            </a:gs>
            <a:gs pos="50000">
              <a:srgbClr val="FFFF99"/>
            </a:gs>
            <a:gs pos="70000">
              <a:srgbClr val="FFFFCC"/>
            </a:gs>
            <a:gs pos="100000">
              <a:srgbClr val="FF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000">
              <a:solidFill>
                <a:schemeClr val="tx1"/>
              </a:solidFill>
              <a:latin typeface="+mj-lt"/>
            </a:rPr>
            <a:t>RDD Worksheet</a:t>
          </a:r>
        </a:p>
      </xdr:txBody>
    </xdr:sp>
    <xdr:clientData/>
  </xdr:twoCellAnchor>
  <xdr:twoCellAnchor>
    <xdr:from>
      <xdr:col>1</xdr:col>
      <xdr:colOff>0</xdr:colOff>
      <xdr:row>92</xdr:row>
      <xdr:rowOff>0</xdr:rowOff>
    </xdr:from>
    <xdr:to>
      <xdr:col>13</xdr:col>
      <xdr:colOff>371475</xdr:colOff>
      <xdr:row>119</xdr:row>
      <xdr:rowOff>85725</xdr:rowOff>
    </xdr:to>
    <xdr:graphicFrame macro="">
      <xdr:nvGraphicFramePr>
        <xdr:cNvPr id="9" name="Chart 8">
          <a:extLst>
            <a:ext uri="{FF2B5EF4-FFF2-40B4-BE49-F238E27FC236}">
              <a16:creationId xmlns:a16="http://schemas.microsoft.com/office/drawing/2014/main" id="{00000000-0008-0000-3F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twoCellAnchor>
</xdr:wsDr>
</file>

<file path=xl/drawings/drawing65.xml><?xml version="1.0" encoding="utf-8"?>
<xdr:wsDr xmlns:xdr="http://schemas.openxmlformats.org/drawingml/2006/spreadsheetDrawing" xmlns:a="http://schemas.openxmlformats.org/drawingml/2006/main">
  <xdr:twoCellAnchor>
    <xdr:from>
      <xdr:col>1</xdr:col>
      <xdr:colOff>0</xdr:colOff>
      <xdr:row>5</xdr:row>
      <xdr:rowOff>0</xdr:rowOff>
    </xdr:from>
    <xdr:to>
      <xdr:col>13</xdr:col>
      <xdr:colOff>371475</xdr:colOff>
      <xdr:row>32</xdr:row>
      <xdr:rowOff>85725</xdr:rowOff>
    </xdr:to>
    <xdr:graphicFrame macro="">
      <xdr:nvGraphicFramePr>
        <xdr:cNvPr id="2" name="Chart 1">
          <a:extLst>
            <a:ext uri="{FF2B5EF4-FFF2-40B4-BE49-F238E27FC236}">
              <a16:creationId xmlns:a16="http://schemas.microsoft.com/office/drawing/2014/main" id="{00000000-0008-0000-4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1</xdr:col>
      <xdr:colOff>0</xdr:colOff>
      <xdr:row>34</xdr:row>
      <xdr:rowOff>0</xdr:rowOff>
    </xdr:from>
    <xdr:to>
      <xdr:col>13</xdr:col>
      <xdr:colOff>371475</xdr:colOff>
      <xdr:row>61</xdr:row>
      <xdr:rowOff>85725</xdr:rowOff>
    </xdr:to>
    <xdr:graphicFrame macro="">
      <xdr:nvGraphicFramePr>
        <xdr:cNvPr id="5" name="Chart 4">
          <a:extLst>
            <a:ext uri="{FF2B5EF4-FFF2-40B4-BE49-F238E27FC236}">
              <a16:creationId xmlns:a16="http://schemas.microsoft.com/office/drawing/2014/main" id="{00000000-0008-0000-4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1</xdr:col>
      <xdr:colOff>0</xdr:colOff>
      <xdr:row>63</xdr:row>
      <xdr:rowOff>0</xdr:rowOff>
    </xdr:from>
    <xdr:to>
      <xdr:col>13</xdr:col>
      <xdr:colOff>371475</xdr:colOff>
      <xdr:row>90</xdr:row>
      <xdr:rowOff>85725</xdr:rowOff>
    </xdr:to>
    <xdr:graphicFrame macro="">
      <xdr:nvGraphicFramePr>
        <xdr:cNvPr id="6" name="Chart 5">
          <a:extLst>
            <a:ext uri="{FF2B5EF4-FFF2-40B4-BE49-F238E27FC236}">
              <a16:creationId xmlns:a16="http://schemas.microsoft.com/office/drawing/2014/main" id="{00000000-0008-0000-4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xdr:from>
      <xdr:col>12</xdr:col>
      <xdr:colOff>0</xdr:colOff>
      <xdr:row>1</xdr:row>
      <xdr:rowOff>0</xdr:rowOff>
    </xdr:from>
    <xdr:to>
      <xdr:col>13</xdr:col>
      <xdr:colOff>595593</xdr:colOff>
      <xdr:row>1</xdr:row>
      <xdr:rowOff>414618</xdr:rowOff>
    </xdr:to>
    <xdr:sp macro="" textlink="">
      <xdr:nvSpPr>
        <xdr:cNvPr id="7" name="Rounded Rectangle 6">
          <a:hlinkClick xmlns:r="http://schemas.openxmlformats.org/officeDocument/2006/relationships" r:id="rId4"/>
          <a:extLst>
            <a:ext uri="{FF2B5EF4-FFF2-40B4-BE49-F238E27FC236}">
              <a16:creationId xmlns:a16="http://schemas.microsoft.com/office/drawing/2014/main" id="{00000000-0008-0000-4000-000007000000}"/>
            </a:ext>
          </a:extLst>
        </xdr:cNvPr>
        <xdr:cNvSpPr/>
      </xdr:nvSpPr>
      <xdr:spPr>
        <a:xfrm>
          <a:off x="6981825" y="190500"/>
          <a:ext cx="1205193" cy="414618"/>
        </a:xfrm>
        <a:prstGeom prst="roundRect">
          <a:avLst/>
        </a:prstGeom>
        <a:gradFill>
          <a:gsLst>
            <a:gs pos="0">
              <a:srgbClr val="23AF84"/>
            </a:gs>
            <a:gs pos="50000">
              <a:srgbClr val="6DDDA8"/>
            </a:gs>
            <a:gs pos="70000">
              <a:srgbClr val="70EAB9"/>
            </a:gs>
            <a:gs pos="100000">
              <a:srgbClr val="99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a:latin typeface="+mj-lt"/>
            </a:rPr>
            <a:t>Hazards</a:t>
          </a:r>
          <a:r>
            <a:rPr lang="en-US" sz="1100" baseline="0">
              <a:latin typeface="+mj-lt"/>
            </a:rPr>
            <a:t> Menu</a:t>
          </a:r>
          <a:endParaRPr lang="en-US" sz="1100">
            <a:latin typeface="+mj-lt"/>
          </a:endParaRPr>
        </a:p>
      </xdr:txBody>
    </xdr:sp>
    <xdr:clientData/>
  </xdr:twoCellAnchor>
  <xdr:twoCellAnchor>
    <xdr:from>
      <xdr:col>12</xdr:col>
      <xdr:colOff>0</xdr:colOff>
      <xdr:row>3</xdr:row>
      <xdr:rowOff>0</xdr:rowOff>
    </xdr:from>
    <xdr:to>
      <xdr:col>13</xdr:col>
      <xdr:colOff>595593</xdr:colOff>
      <xdr:row>4</xdr:row>
      <xdr:rowOff>57150</xdr:rowOff>
    </xdr:to>
    <xdr:sp macro="" textlink="">
      <xdr:nvSpPr>
        <xdr:cNvPr id="8" name="Rounded Rectangle 7">
          <a:hlinkClick xmlns:r="http://schemas.openxmlformats.org/officeDocument/2006/relationships" r:id="rId5"/>
          <a:extLst>
            <a:ext uri="{FF2B5EF4-FFF2-40B4-BE49-F238E27FC236}">
              <a16:creationId xmlns:a16="http://schemas.microsoft.com/office/drawing/2014/main" id="{00000000-0008-0000-4000-000008000000}"/>
            </a:ext>
          </a:extLst>
        </xdr:cNvPr>
        <xdr:cNvSpPr/>
      </xdr:nvSpPr>
      <xdr:spPr>
        <a:xfrm>
          <a:off x="6981825" y="895350"/>
          <a:ext cx="1205193" cy="485775"/>
        </a:xfrm>
        <a:prstGeom prst="roundRect">
          <a:avLst/>
        </a:prstGeom>
        <a:gradFill>
          <a:gsLst>
            <a:gs pos="0">
              <a:srgbClr val="DCCD72"/>
            </a:gs>
            <a:gs pos="50000">
              <a:srgbClr val="FFFF99"/>
            </a:gs>
            <a:gs pos="70000">
              <a:srgbClr val="FFFFCC"/>
            </a:gs>
            <a:gs pos="100000">
              <a:srgbClr val="FF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000">
              <a:solidFill>
                <a:schemeClr val="tx1"/>
              </a:solidFill>
              <a:latin typeface="+mj-lt"/>
            </a:rPr>
            <a:t>Temp Extremes Worksheet</a:t>
          </a:r>
        </a:p>
      </xdr:txBody>
    </xdr:sp>
    <xdr:clientData/>
  </xdr:twoCellAnchor>
  <xdr:twoCellAnchor>
    <xdr:from>
      <xdr:col>1</xdr:col>
      <xdr:colOff>0</xdr:colOff>
      <xdr:row>92</xdr:row>
      <xdr:rowOff>0</xdr:rowOff>
    </xdr:from>
    <xdr:to>
      <xdr:col>13</xdr:col>
      <xdr:colOff>371475</xdr:colOff>
      <xdr:row>119</xdr:row>
      <xdr:rowOff>85725</xdr:rowOff>
    </xdr:to>
    <xdr:graphicFrame macro="">
      <xdr:nvGraphicFramePr>
        <xdr:cNvPr id="9" name="Chart 8">
          <a:extLst>
            <a:ext uri="{FF2B5EF4-FFF2-40B4-BE49-F238E27FC236}">
              <a16:creationId xmlns:a16="http://schemas.microsoft.com/office/drawing/2014/main" id="{00000000-0008-0000-4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twoCellAnchor>
</xdr:wsDr>
</file>

<file path=xl/drawings/drawing66.xml><?xml version="1.0" encoding="utf-8"?>
<xdr:wsDr xmlns:xdr="http://schemas.openxmlformats.org/drawingml/2006/spreadsheetDrawing" xmlns:a="http://schemas.openxmlformats.org/drawingml/2006/main">
  <xdr:twoCellAnchor>
    <xdr:from>
      <xdr:col>1</xdr:col>
      <xdr:colOff>0</xdr:colOff>
      <xdr:row>5</xdr:row>
      <xdr:rowOff>0</xdr:rowOff>
    </xdr:from>
    <xdr:to>
      <xdr:col>13</xdr:col>
      <xdr:colOff>371475</xdr:colOff>
      <xdr:row>32</xdr:row>
      <xdr:rowOff>85725</xdr:rowOff>
    </xdr:to>
    <xdr:graphicFrame macro="">
      <xdr:nvGraphicFramePr>
        <xdr:cNvPr id="2" name="Chart 1">
          <a:extLst>
            <a:ext uri="{FF2B5EF4-FFF2-40B4-BE49-F238E27FC236}">
              <a16:creationId xmlns:a16="http://schemas.microsoft.com/office/drawing/2014/main" id="{00000000-0008-0000-4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1</xdr:col>
      <xdr:colOff>0</xdr:colOff>
      <xdr:row>34</xdr:row>
      <xdr:rowOff>0</xdr:rowOff>
    </xdr:from>
    <xdr:to>
      <xdr:col>13</xdr:col>
      <xdr:colOff>371475</xdr:colOff>
      <xdr:row>61</xdr:row>
      <xdr:rowOff>85725</xdr:rowOff>
    </xdr:to>
    <xdr:graphicFrame macro="">
      <xdr:nvGraphicFramePr>
        <xdr:cNvPr id="5" name="Chart 4">
          <a:extLst>
            <a:ext uri="{FF2B5EF4-FFF2-40B4-BE49-F238E27FC236}">
              <a16:creationId xmlns:a16="http://schemas.microsoft.com/office/drawing/2014/main" id="{00000000-0008-0000-4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1</xdr:col>
      <xdr:colOff>0</xdr:colOff>
      <xdr:row>63</xdr:row>
      <xdr:rowOff>0</xdr:rowOff>
    </xdr:from>
    <xdr:to>
      <xdr:col>13</xdr:col>
      <xdr:colOff>371475</xdr:colOff>
      <xdr:row>90</xdr:row>
      <xdr:rowOff>85725</xdr:rowOff>
    </xdr:to>
    <xdr:graphicFrame macro="">
      <xdr:nvGraphicFramePr>
        <xdr:cNvPr id="6" name="Chart 5">
          <a:extLst>
            <a:ext uri="{FF2B5EF4-FFF2-40B4-BE49-F238E27FC236}">
              <a16:creationId xmlns:a16="http://schemas.microsoft.com/office/drawing/2014/main" id="{00000000-0008-0000-4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xdr:from>
      <xdr:col>12</xdr:col>
      <xdr:colOff>0</xdr:colOff>
      <xdr:row>1</xdr:row>
      <xdr:rowOff>0</xdr:rowOff>
    </xdr:from>
    <xdr:to>
      <xdr:col>13</xdr:col>
      <xdr:colOff>595593</xdr:colOff>
      <xdr:row>1</xdr:row>
      <xdr:rowOff>414618</xdr:rowOff>
    </xdr:to>
    <xdr:sp macro="" textlink="">
      <xdr:nvSpPr>
        <xdr:cNvPr id="7" name="Rounded Rectangle 6">
          <a:hlinkClick xmlns:r="http://schemas.openxmlformats.org/officeDocument/2006/relationships" r:id="rId4"/>
          <a:extLst>
            <a:ext uri="{FF2B5EF4-FFF2-40B4-BE49-F238E27FC236}">
              <a16:creationId xmlns:a16="http://schemas.microsoft.com/office/drawing/2014/main" id="{00000000-0008-0000-4100-000007000000}"/>
            </a:ext>
          </a:extLst>
        </xdr:cNvPr>
        <xdr:cNvSpPr/>
      </xdr:nvSpPr>
      <xdr:spPr>
        <a:xfrm>
          <a:off x="6981825" y="190500"/>
          <a:ext cx="1205193" cy="414618"/>
        </a:xfrm>
        <a:prstGeom prst="roundRect">
          <a:avLst/>
        </a:prstGeom>
        <a:gradFill>
          <a:gsLst>
            <a:gs pos="0">
              <a:srgbClr val="23AF84"/>
            </a:gs>
            <a:gs pos="50000">
              <a:srgbClr val="6DDDA8"/>
            </a:gs>
            <a:gs pos="70000">
              <a:srgbClr val="70EAB9"/>
            </a:gs>
            <a:gs pos="100000">
              <a:srgbClr val="99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a:latin typeface="+mj-lt"/>
            </a:rPr>
            <a:t>Hazards</a:t>
          </a:r>
          <a:r>
            <a:rPr lang="en-US" sz="1100" baseline="0">
              <a:latin typeface="+mj-lt"/>
            </a:rPr>
            <a:t> Menu</a:t>
          </a:r>
          <a:endParaRPr lang="en-US" sz="1100">
            <a:latin typeface="+mj-lt"/>
          </a:endParaRPr>
        </a:p>
      </xdr:txBody>
    </xdr:sp>
    <xdr:clientData/>
  </xdr:twoCellAnchor>
  <xdr:twoCellAnchor>
    <xdr:from>
      <xdr:col>12</xdr:col>
      <xdr:colOff>0</xdr:colOff>
      <xdr:row>3</xdr:row>
      <xdr:rowOff>0</xdr:rowOff>
    </xdr:from>
    <xdr:to>
      <xdr:col>13</xdr:col>
      <xdr:colOff>595593</xdr:colOff>
      <xdr:row>4</xdr:row>
      <xdr:rowOff>57150</xdr:rowOff>
    </xdr:to>
    <xdr:sp macro="" textlink="">
      <xdr:nvSpPr>
        <xdr:cNvPr id="8" name="Rounded Rectangle 7">
          <a:hlinkClick xmlns:r="http://schemas.openxmlformats.org/officeDocument/2006/relationships" r:id="rId5"/>
          <a:extLst>
            <a:ext uri="{FF2B5EF4-FFF2-40B4-BE49-F238E27FC236}">
              <a16:creationId xmlns:a16="http://schemas.microsoft.com/office/drawing/2014/main" id="{00000000-0008-0000-4100-000008000000}"/>
            </a:ext>
          </a:extLst>
        </xdr:cNvPr>
        <xdr:cNvSpPr/>
      </xdr:nvSpPr>
      <xdr:spPr>
        <a:xfrm>
          <a:off x="6981825" y="895350"/>
          <a:ext cx="1205193" cy="485775"/>
        </a:xfrm>
        <a:prstGeom prst="roundRect">
          <a:avLst/>
        </a:prstGeom>
        <a:gradFill>
          <a:gsLst>
            <a:gs pos="0">
              <a:srgbClr val="DCCD72"/>
            </a:gs>
            <a:gs pos="50000">
              <a:srgbClr val="FFFF99"/>
            </a:gs>
            <a:gs pos="70000">
              <a:srgbClr val="FFFFCC"/>
            </a:gs>
            <a:gs pos="100000">
              <a:srgbClr val="FF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000">
              <a:solidFill>
                <a:schemeClr val="tx1"/>
              </a:solidFill>
              <a:latin typeface="+mj-lt"/>
            </a:rPr>
            <a:t>Tornado Worksheet</a:t>
          </a:r>
        </a:p>
      </xdr:txBody>
    </xdr:sp>
    <xdr:clientData/>
  </xdr:twoCellAnchor>
  <xdr:twoCellAnchor>
    <xdr:from>
      <xdr:col>1</xdr:col>
      <xdr:colOff>0</xdr:colOff>
      <xdr:row>92</xdr:row>
      <xdr:rowOff>0</xdr:rowOff>
    </xdr:from>
    <xdr:to>
      <xdr:col>13</xdr:col>
      <xdr:colOff>371475</xdr:colOff>
      <xdr:row>119</xdr:row>
      <xdr:rowOff>85725</xdr:rowOff>
    </xdr:to>
    <xdr:graphicFrame macro="">
      <xdr:nvGraphicFramePr>
        <xdr:cNvPr id="9" name="Chart 8">
          <a:extLst>
            <a:ext uri="{FF2B5EF4-FFF2-40B4-BE49-F238E27FC236}">
              <a16:creationId xmlns:a16="http://schemas.microsoft.com/office/drawing/2014/main" id="{00000000-0008-0000-4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twoCellAnchor>
</xdr:wsDr>
</file>

<file path=xl/drawings/drawing67.xml><?xml version="1.0" encoding="utf-8"?>
<xdr:wsDr xmlns:xdr="http://schemas.openxmlformats.org/drawingml/2006/spreadsheetDrawing" xmlns:a="http://schemas.openxmlformats.org/drawingml/2006/main">
  <xdr:twoCellAnchor>
    <xdr:from>
      <xdr:col>1</xdr:col>
      <xdr:colOff>0</xdr:colOff>
      <xdr:row>5</xdr:row>
      <xdr:rowOff>0</xdr:rowOff>
    </xdr:from>
    <xdr:to>
      <xdr:col>13</xdr:col>
      <xdr:colOff>371475</xdr:colOff>
      <xdr:row>32</xdr:row>
      <xdr:rowOff>85725</xdr:rowOff>
    </xdr:to>
    <xdr:graphicFrame macro="">
      <xdr:nvGraphicFramePr>
        <xdr:cNvPr id="2" name="Chart 1">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1</xdr:col>
      <xdr:colOff>0</xdr:colOff>
      <xdr:row>34</xdr:row>
      <xdr:rowOff>0</xdr:rowOff>
    </xdr:from>
    <xdr:to>
      <xdr:col>13</xdr:col>
      <xdr:colOff>371475</xdr:colOff>
      <xdr:row>61</xdr:row>
      <xdr:rowOff>85725</xdr:rowOff>
    </xdr:to>
    <xdr:graphicFrame macro="">
      <xdr:nvGraphicFramePr>
        <xdr:cNvPr id="5" name="Chart 4">
          <a:extLst>
            <a:ext uri="{FF2B5EF4-FFF2-40B4-BE49-F238E27FC236}">
              <a16:creationId xmlns:a16="http://schemas.microsoft.com/office/drawing/2014/main" id="{00000000-0008-0000-4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1</xdr:col>
      <xdr:colOff>0</xdr:colOff>
      <xdr:row>63</xdr:row>
      <xdr:rowOff>0</xdr:rowOff>
    </xdr:from>
    <xdr:to>
      <xdr:col>13</xdr:col>
      <xdr:colOff>371475</xdr:colOff>
      <xdr:row>90</xdr:row>
      <xdr:rowOff>85725</xdr:rowOff>
    </xdr:to>
    <xdr:graphicFrame macro="">
      <xdr:nvGraphicFramePr>
        <xdr:cNvPr id="6" name="Chart 5">
          <a:extLst>
            <a:ext uri="{FF2B5EF4-FFF2-40B4-BE49-F238E27FC236}">
              <a16:creationId xmlns:a16="http://schemas.microsoft.com/office/drawing/2014/main" id="{00000000-0008-0000-4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xdr:from>
      <xdr:col>12</xdr:col>
      <xdr:colOff>0</xdr:colOff>
      <xdr:row>1</xdr:row>
      <xdr:rowOff>0</xdr:rowOff>
    </xdr:from>
    <xdr:to>
      <xdr:col>13</xdr:col>
      <xdr:colOff>595593</xdr:colOff>
      <xdr:row>1</xdr:row>
      <xdr:rowOff>414618</xdr:rowOff>
    </xdr:to>
    <xdr:sp macro="" textlink="">
      <xdr:nvSpPr>
        <xdr:cNvPr id="7" name="Rounded Rectangle 6">
          <a:hlinkClick xmlns:r="http://schemas.openxmlformats.org/officeDocument/2006/relationships" r:id="rId4"/>
          <a:extLst>
            <a:ext uri="{FF2B5EF4-FFF2-40B4-BE49-F238E27FC236}">
              <a16:creationId xmlns:a16="http://schemas.microsoft.com/office/drawing/2014/main" id="{00000000-0008-0000-4200-000007000000}"/>
            </a:ext>
          </a:extLst>
        </xdr:cNvPr>
        <xdr:cNvSpPr/>
      </xdr:nvSpPr>
      <xdr:spPr>
        <a:xfrm>
          <a:off x="6981825" y="190500"/>
          <a:ext cx="1205193" cy="414618"/>
        </a:xfrm>
        <a:prstGeom prst="roundRect">
          <a:avLst/>
        </a:prstGeom>
        <a:gradFill>
          <a:gsLst>
            <a:gs pos="0">
              <a:srgbClr val="23AF84"/>
            </a:gs>
            <a:gs pos="50000">
              <a:srgbClr val="6DDDA8"/>
            </a:gs>
            <a:gs pos="70000">
              <a:srgbClr val="70EAB9"/>
            </a:gs>
            <a:gs pos="100000">
              <a:srgbClr val="99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a:latin typeface="+mj-lt"/>
            </a:rPr>
            <a:t>Hazards</a:t>
          </a:r>
          <a:r>
            <a:rPr lang="en-US" sz="1100" baseline="0">
              <a:latin typeface="+mj-lt"/>
            </a:rPr>
            <a:t> Menu</a:t>
          </a:r>
          <a:endParaRPr lang="en-US" sz="1100">
            <a:latin typeface="+mj-lt"/>
          </a:endParaRPr>
        </a:p>
      </xdr:txBody>
    </xdr:sp>
    <xdr:clientData/>
  </xdr:twoCellAnchor>
  <xdr:twoCellAnchor>
    <xdr:from>
      <xdr:col>12</xdr:col>
      <xdr:colOff>0</xdr:colOff>
      <xdr:row>3</xdr:row>
      <xdr:rowOff>0</xdr:rowOff>
    </xdr:from>
    <xdr:to>
      <xdr:col>13</xdr:col>
      <xdr:colOff>595593</xdr:colOff>
      <xdr:row>4</xdr:row>
      <xdr:rowOff>57150</xdr:rowOff>
    </xdr:to>
    <xdr:sp macro="" textlink="">
      <xdr:nvSpPr>
        <xdr:cNvPr id="8" name="Rounded Rectangle 7">
          <a:hlinkClick xmlns:r="http://schemas.openxmlformats.org/officeDocument/2006/relationships" r:id="rId5"/>
          <a:extLst>
            <a:ext uri="{FF2B5EF4-FFF2-40B4-BE49-F238E27FC236}">
              <a16:creationId xmlns:a16="http://schemas.microsoft.com/office/drawing/2014/main" id="{00000000-0008-0000-4200-000008000000}"/>
            </a:ext>
          </a:extLst>
        </xdr:cNvPr>
        <xdr:cNvSpPr/>
      </xdr:nvSpPr>
      <xdr:spPr>
        <a:xfrm>
          <a:off x="6981825" y="895350"/>
          <a:ext cx="1205193" cy="485775"/>
        </a:xfrm>
        <a:prstGeom prst="roundRect">
          <a:avLst/>
        </a:prstGeom>
        <a:gradFill>
          <a:gsLst>
            <a:gs pos="0">
              <a:srgbClr val="DCCD72"/>
            </a:gs>
            <a:gs pos="50000">
              <a:srgbClr val="FFFF99"/>
            </a:gs>
            <a:gs pos="70000">
              <a:srgbClr val="FFFFCC"/>
            </a:gs>
            <a:gs pos="100000">
              <a:srgbClr val="FF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000">
              <a:solidFill>
                <a:schemeClr val="tx1"/>
              </a:solidFill>
              <a:latin typeface="+mj-lt"/>
            </a:rPr>
            <a:t>Utility Interr</a:t>
          </a:r>
          <a:r>
            <a:rPr lang="en-US" sz="1000" baseline="0">
              <a:solidFill>
                <a:schemeClr val="tx1"/>
              </a:solidFill>
              <a:latin typeface="+mj-lt"/>
            </a:rPr>
            <a:t> Worksheet</a:t>
          </a:r>
          <a:endParaRPr lang="en-US" sz="1000">
            <a:solidFill>
              <a:schemeClr val="tx1"/>
            </a:solidFill>
            <a:latin typeface="+mj-lt"/>
          </a:endParaRPr>
        </a:p>
      </xdr:txBody>
    </xdr:sp>
    <xdr:clientData/>
  </xdr:twoCellAnchor>
  <xdr:twoCellAnchor>
    <xdr:from>
      <xdr:col>1</xdr:col>
      <xdr:colOff>0</xdr:colOff>
      <xdr:row>91</xdr:row>
      <xdr:rowOff>156882</xdr:rowOff>
    </xdr:from>
    <xdr:to>
      <xdr:col>13</xdr:col>
      <xdr:colOff>371475</xdr:colOff>
      <xdr:row>119</xdr:row>
      <xdr:rowOff>52107</xdr:rowOff>
    </xdr:to>
    <xdr:graphicFrame macro="">
      <xdr:nvGraphicFramePr>
        <xdr:cNvPr id="9" name="Chart 8">
          <a:extLst>
            <a:ext uri="{FF2B5EF4-FFF2-40B4-BE49-F238E27FC236}">
              <a16:creationId xmlns:a16="http://schemas.microsoft.com/office/drawing/2014/main" id="{00000000-0008-0000-4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twoCellAnchor>
</xdr:wsDr>
</file>

<file path=xl/drawings/drawing68.xml><?xml version="1.0" encoding="utf-8"?>
<xdr:wsDr xmlns:xdr="http://schemas.openxmlformats.org/drawingml/2006/spreadsheetDrawing" xmlns:a="http://schemas.openxmlformats.org/drawingml/2006/main">
  <xdr:twoCellAnchor>
    <xdr:from>
      <xdr:col>1</xdr:col>
      <xdr:colOff>0</xdr:colOff>
      <xdr:row>5</xdr:row>
      <xdr:rowOff>0</xdr:rowOff>
    </xdr:from>
    <xdr:to>
      <xdr:col>13</xdr:col>
      <xdr:colOff>371475</xdr:colOff>
      <xdr:row>32</xdr:row>
      <xdr:rowOff>85725</xdr:rowOff>
    </xdr:to>
    <xdr:graphicFrame macro="">
      <xdr:nvGraphicFramePr>
        <xdr:cNvPr id="2" name="Chart 1">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1</xdr:col>
      <xdr:colOff>0</xdr:colOff>
      <xdr:row>34</xdr:row>
      <xdr:rowOff>0</xdr:rowOff>
    </xdr:from>
    <xdr:to>
      <xdr:col>13</xdr:col>
      <xdr:colOff>371475</xdr:colOff>
      <xdr:row>61</xdr:row>
      <xdr:rowOff>85725</xdr:rowOff>
    </xdr:to>
    <xdr:graphicFrame macro="">
      <xdr:nvGraphicFramePr>
        <xdr:cNvPr id="5" name="Chart 4">
          <a:extLst>
            <a:ext uri="{FF2B5EF4-FFF2-40B4-BE49-F238E27FC236}">
              <a16:creationId xmlns:a16="http://schemas.microsoft.com/office/drawing/2014/main" id="{00000000-0008-0000-4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1</xdr:col>
      <xdr:colOff>0</xdr:colOff>
      <xdr:row>63</xdr:row>
      <xdr:rowOff>0</xdr:rowOff>
    </xdr:from>
    <xdr:to>
      <xdr:col>13</xdr:col>
      <xdr:colOff>371475</xdr:colOff>
      <xdr:row>90</xdr:row>
      <xdr:rowOff>85725</xdr:rowOff>
    </xdr:to>
    <xdr:graphicFrame macro="">
      <xdr:nvGraphicFramePr>
        <xdr:cNvPr id="6" name="Chart 5">
          <a:extLst>
            <a:ext uri="{FF2B5EF4-FFF2-40B4-BE49-F238E27FC236}">
              <a16:creationId xmlns:a16="http://schemas.microsoft.com/office/drawing/2014/main" id="{00000000-0008-0000-4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xdr:from>
      <xdr:col>12</xdr:col>
      <xdr:colOff>0</xdr:colOff>
      <xdr:row>1</xdr:row>
      <xdr:rowOff>0</xdr:rowOff>
    </xdr:from>
    <xdr:to>
      <xdr:col>13</xdr:col>
      <xdr:colOff>595593</xdr:colOff>
      <xdr:row>1</xdr:row>
      <xdr:rowOff>414618</xdr:rowOff>
    </xdr:to>
    <xdr:sp macro="" textlink="">
      <xdr:nvSpPr>
        <xdr:cNvPr id="7" name="Rounded Rectangle 6">
          <a:hlinkClick xmlns:r="http://schemas.openxmlformats.org/officeDocument/2006/relationships" r:id="rId4"/>
          <a:extLst>
            <a:ext uri="{FF2B5EF4-FFF2-40B4-BE49-F238E27FC236}">
              <a16:creationId xmlns:a16="http://schemas.microsoft.com/office/drawing/2014/main" id="{00000000-0008-0000-4300-000007000000}"/>
            </a:ext>
          </a:extLst>
        </xdr:cNvPr>
        <xdr:cNvSpPr/>
      </xdr:nvSpPr>
      <xdr:spPr>
        <a:xfrm>
          <a:off x="6981825" y="190500"/>
          <a:ext cx="1205193" cy="414618"/>
        </a:xfrm>
        <a:prstGeom prst="roundRect">
          <a:avLst/>
        </a:prstGeom>
        <a:gradFill>
          <a:gsLst>
            <a:gs pos="0">
              <a:srgbClr val="23AF84"/>
            </a:gs>
            <a:gs pos="50000">
              <a:srgbClr val="6DDDA8"/>
            </a:gs>
            <a:gs pos="70000">
              <a:srgbClr val="70EAB9"/>
            </a:gs>
            <a:gs pos="100000">
              <a:srgbClr val="99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a:latin typeface="+mj-lt"/>
            </a:rPr>
            <a:t>Hazards</a:t>
          </a:r>
          <a:r>
            <a:rPr lang="en-US" sz="1100" baseline="0">
              <a:latin typeface="+mj-lt"/>
            </a:rPr>
            <a:t> Menu</a:t>
          </a:r>
          <a:endParaRPr lang="en-US" sz="1100">
            <a:latin typeface="+mj-lt"/>
          </a:endParaRPr>
        </a:p>
      </xdr:txBody>
    </xdr:sp>
    <xdr:clientData/>
  </xdr:twoCellAnchor>
  <xdr:twoCellAnchor>
    <xdr:from>
      <xdr:col>12</xdr:col>
      <xdr:colOff>0</xdr:colOff>
      <xdr:row>3</xdr:row>
      <xdr:rowOff>0</xdr:rowOff>
    </xdr:from>
    <xdr:to>
      <xdr:col>13</xdr:col>
      <xdr:colOff>595593</xdr:colOff>
      <xdr:row>4</xdr:row>
      <xdr:rowOff>57150</xdr:rowOff>
    </xdr:to>
    <xdr:sp macro="" textlink="">
      <xdr:nvSpPr>
        <xdr:cNvPr id="8" name="Rounded Rectangle 7">
          <a:hlinkClick xmlns:r="http://schemas.openxmlformats.org/officeDocument/2006/relationships" r:id="rId5"/>
          <a:extLst>
            <a:ext uri="{FF2B5EF4-FFF2-40B4-BE49-F238E27FC236}">
              <a16:creationId xmlns:a16="http://schemas.microsoft.com/office/drawing/2014/main" id="{00000000-0008-0000-4300-000008000000}"/>
            </a:ext>
          </a:extLst>
        </xdr:cNvPr>
        <xdr:cNvSpPr/>
      </xdr:nvSpPr>
      <xdr:spPr>
        <a:xfrm>
          <a:off x="6981825" y="895350"/>
          <a:ext cx="1205193" cy="485775"/>
        </a:xfrm>
        <a:prstGeom prst="roundRect">
          <a:avLst/>
        </a:prstGeom>
        <a:gradFill>
          <a:gsLst>
            <a:gs pos="0">
              <a:srgbClr val="DCCD72"/>
            </a:gs>
            <a:gs pos="50000">
              <a:srgbClr val="FFFF99"/>
            </a:gs>
            <a:gs pos="70000">
              <a:srgbClr val="FFFFCC"/>
            </a:gs>
            <a:gs pos="100000">
              <a:srgbClr val="FF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000">
              <a:solidFill>
                <a:schemeClr val="tx1"/>
              </a:solidFill>
              <a:latin typeface="+mj-lt"/>
            </a:rPr>
            <a:t>Winter Storm Worksheet</a:t>
          </a:r>
        </a:p>
      </xdr:txBody>
    </xdr:sp>
    <xdr:clientData/>
  </xdr:twoCellAnchor>
  <xdr:twoCellAnchor>
    <xdr:from>
      <xdr:col>0</xdr:col>
      <xdr:colOff>246530</xdr:colOff>
      <xdr:row>92</xdr:row>
      <xdr:rowOff>78441</xdr:rowOff>
    </xdr:from>
    <xdr:to>
      <xdr:col>13</xdr:col>
      <xdr:colOff>337858</xdr:colOff>
      <xdr:row>119</xdr:row>
      <xdr:rowOff>164166</xdr:rowOff>
    </xdr:to>
    <xdr:graphicFrame macro="">
      <xdr:nvGraphicFramePr>
        <xdr:cNvPr id="9" name="Chart 8">
          <a:extLst>
            <a:ext uri="{FF2B5EF4-FFF2-40B4-BE49-F238E27FC236}">
              <a16:creationId xmlns:a16="http://schemas.microsoft.com/office/drawing/2014/main" id="{00000000-0008-0000-4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twoCellAnchor>
</xdr:wsDr>
</file>

<file path=xl/drawings/drawing69.xml><?xml version="1.0" encoding="utf-8"?>
<xdr:wsDr xmlns:xdr="http://schemas.openxmlformats.org/drawingml/2006/spreadsheetDrawing" xmlns:a="http://schemas.openxmlformats.org/drawingml/2006/main">
  <xdr:twoCellAnchor>
    <xdr:from>
      <xdr:col>1</xdr:col>
      <xdr:colOff>0</xdr:colOff>
      <xdr:row>5</xdr:row>
      <xdr:rowOff>0</xdr:rowOff>
    </xdr:from>
    <xdr:to>
      <xdr:col>13</xdr:col>
      <xdr:colOff>371475</xdr:colOff>
      <xdr:row>32</xdr:row>
      <xdr:rowOff>85725</xdr:rowOff>
    </xdr:to>
    <xdr:graphicFrame macro="">
      <xdr:nvGraphicFramePr>
        <xdr:cNvPr id="2" name="Chart 1">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1</xdr:col>
      <xdr:colOff>0</xdr:colOff>
      <xdr:row>34</xdr:row>
      <xdr:rowOff>0</xdr:rowOff>
    </xdr:from>
    <xdr:to>
      <xdr:col>13</xdr:col>
      <xdr:colOff>371475</xdr:colOff>
      <xdr:row>61</xdr:row>
      <xdr:rowOff>85725</xdr:rowOff>
    </xdr:to>
    <xdr:graphicFrame macro="">
      <xdr:nvGraphicFramePr>
        <xdr:cNvPr id="3" name="Chart 2">
          <a:extLst>
            <a:ext uri="{FF2B5EF4-FFF2-40B4-BE49-F238E27FC236}">
              <a16:creationId xmlns:a16="http://schemas.microsoft.com/office/drawing/2014/main" id="{00000000-0008-0000-4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1</xdr:col>
      <xdr:colOff>0</xdr:colOff>
      <xdr:row>63</xdr:row>
      <xdr:rowOff>0</xdr:rowOff>
    </xdr:from>
    <xdr:to>
      <xdr:col>13</xdr:col>
      <xdr:colOff>371475</xdr:colOff>
      <xdr:row>90</xdr:row>
      <xdr:rowOff>85725</xdr:rowOff>
    </xdr:to>
    <xdr:graphicFrame macro="">
      <xdr:nvGraphicFramePr>
        <xdr:cNvPr id="4" name="Chart 3">
          <a:extLst>
            <a:ext uri="{FF2B5EF4-FFF2-40B4-BE49-F238E27FC236}">
              <a16:creationId xmlns:a16="http://schemas.microsoft.com/office/drawing/2014/main" id="{00000000-0008-0000-4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xdr:from>
      <xdr:col>12</xdr:col>
      <xdr:colOff>0</xdr:colOff>
      <xdr:row>1</xdr:row>
      <xdr:rowOff>0</xdr:rowOff>
    </xdr:from>
    <xdr:to>
      <xdr:col>13</xdr:col>
      <xdr:colOff>595593</xdr:colOff>
      <xdr:row>1</xdr:row>
      <xdr:rowOff>414618</xdr:rowOff>
    </xdr:to>
    <xdr:sp macro="" textlink="">
      <xdr:nvSpPr>
        <xdr:cNvPr id="5" name="Rounded Rectangle 4">
          <a:hlinkClick xmlns:r="http://schemas.openxmlformats.org/officeDocument/2006/relationships" r:id="rId4"/>
          <a:extLst>
            <a:ext uri="{FF2B5EF4-FFF2-40B4-BE49-F238E27FC236}">
              <a16:creationId xmlns:a16="http://schemas.microsoft.com/office/drawing/2014/main" id="{00000000-0008-0000-4400-000005000000}"/>
            </a:ext>
          </a:extLst>
        </xdr:cNvPr>
        <xdr:cNvSpPr/>
      </xdr:nvSpPr>
      <xdr:spPr>
        <a:xfrm>
          <a:off x="6981825" y="190500"/>
          <a:ext cx="1205193" cy="414618"/>
        </a:xfrm>
        <a:prstGeom prst="roundRect">
          <a:avLst/>
        </a:prstGeom>
        <a:gradFill>
          <a:gsLst>
            <a:gs pos="0">
              <a:srgbClr val="23AF84"/>
            </a:gs>
            <a:gs pos="50000">
              <a:srgbClr val="6DDDA8"/>
            </a:gs>
            <a:gs pos="70000">
              <a:srgbClr val="70EAB9"/>
            </a:gs>
            <a:gs pos="100000">
              <a:srgbClr val="99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a:latin typeface="+mj-lt"/>
            </a:rPr>
            <a:t>Hazards</a:t>
          </a:r>
          <a:r>
            <a:rPr lang="en-US" sz="1100" baseline="0">
              <a:latin typeface="+mj-lt"/>
            </a:rPr>
            <a:t> Menu</a:t>
          </a:r>
          <a:endParaRPr lang="en-US" sz="1100">
            <a:latin typeface="+mj-lt"/>
          </a:endParaRPr>
        </a:p>
      </xdr:txBody>
    </xdr:sp>
    <xdr:clientData/>
  </xdr:twoCellAnchor>
  <xdr:twoCellAnchor>
    <xdr:from>
      <xdr:col>12</xdr:col>
      <xdr:colOff>0</xdr:colOff>
      <xdr:row>3</xdr:row>
      <xdr:rowOff>0</xdr:rowOff>
    </xdr:from>
    <xdr:to>
      <xdr:col>13</xdr:col>
      <xdr:colOff>595593</xdr:colOff>
      <xdr:row>4</xdr:row>
      <xdr:rowOff>57150</xdr:rowOff>
    </xdr:to>
    <xdr:sp macro="" textlink="">
      <xdr:nvSpPr>
        <xdr:cNvPr id="6" name="Rounded Rectangle 5">
          <a:hlinkClick xmlns:r="http://schemas.openxmlformats.org/officeDocument/2006/relationships" r:id="rId5"/>
          <a:extLst>
            <a:ext uri="{FF2B5EF4-FFF2-40B4-BE49-F238E27FC236}">
              <a16:creationId xmlns:a16="http://schemas.microsoft.com/office/drawing/2014/main" id="{00000000-0008-0000-4400-000006000000}"/>
            </a:ext>
          </a:extLst>
        </xdr:cNvPr>
        <xdr:cNvSpPr/>
      </xdr:nvSpPr>
      <xdr:spPr>
        <a:xfrm>
          <a:off x="6981825" y="895350"/>
          <a:ext cx="1205193" cy="485775"/>
        </a:xfrm>
        <a:prstGeom prst="roundRect">
          <a:avLst/>
        </a:prstGeom>
        <a:gradFill>
          <a:gsLst>
            <a:gs pos="0">
              <a:srgbClr val="DCCD72"/>
            </a:gs>
            <a:gs pos="50000">
              <a:srgbClr val="FFFF99"/>
            </a:gs>
            <a:gs pos="70000">
              <a:srgbClr val="FFFFCC"/>
            </a:gs>
            <a:gs pos="100000">
              <a:srgbClr val="FF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000" baseline="0">
              <a:solidFill>
                <a:schemeClr val="tx1"/>
              </a:solidFill>
              <a:latin typeface="+mj-lt"/>
            </a:rPr>
            <a:t>Hazard </a:t>
          </a:r>
          <a:r>
            <a:rPr lang="en-US" sz="1000">
              <a:solidFill>
                <a:schemeClr val="tx1"/>
              </a:solidFill>
              <a:latin typeface="+mj-lt"/>
            </a:rPr>
            <a:t>Worksheet</a:t>
          </a:r>
        </a:p>
      </xdr:txBody>
    </xdr:sp>
    <xdr:clientData/>
  </xdr:twoCellAnchor>
  <xdr:twoCellAnchor>
    <xdr:from>
      <xdr:col>0</xdr:col>
      <xdr:colOff>246530</xdr:colOff>
      <xdr:row>92</xdr:row>
      <xdr:rowOff>78441</xdr:rowOff>
    </xdr:from>
    <xdr:to>
      <xdr:col>13</xdr:col>
      <xdr:colOff>337858</xdr:colOff>
      <xdr:row>119</xdr:row>
      <xdr:rowOff>164166</xdr:rowOff>
    </xdr:to>
    <xdr:graphicFrame macro="">
      <xdr:nvGraphicFramePr>
        <xdr:cNvPr id="7" name="Chart 6">
          <a:extLst>
            <a:ext uri="{FF2B5EF4-FFF2-40B4-BE49-F238E27FC236}">
              <a16:creationId xmlns:a16="http://schemas.microsoft.com/office/drawing/2014/main" id="{00000000-0008-0000-4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1</xdr:row>
      <xdr:rowOff>0</xdr:rowOff>
    </xdr:from>
    <xdr:to>
      <xdr:col>11</xdr:col>
      <xdr:colOff>595593</xdr:colOff>
      <xdr:row>2</xdr:row>
      <xdr:rowOff>0</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600-000003000000}"/>
            </a:ext>
          </a:extLst>
        </xdr:cNvPr>
        <xdr:cNvSpPr/>
      </xdr:nvSpPr>
      <xdr:spPr>
        <a:xfrm>
          <a:off x="7575176" y="190500"/>
          <a:ext cx="1200711" cy="414618"/>
        </a:xfrm>
        <a:prstGeom prst="roundRect">
          <a:avLst/>
        </a:prstGeom>
        <a:gradFill>
          <a:gsLst>
            <a:gs pos="0">
              <a:srgbClr val="23AF84"/>
            </a:gs>
            <a:gs pos="50000">
              <a:srgbClr val="6DDDA8"/>
            </a:gs>
            <a:gs pos="70000">
              <a:srgbClr val="70EAB9"/>
            </a:gs>
            <a:gs pos="100000">
              <a:srgbClr val="99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400">
              <a:latin typeface="+mj-lt"/>
            </a:rPr>
            <a:t>Main</a:t>
          </a:r>
          <a:r>
            <a:rPr lang="en-US" sz="1400" baseline="0">
              <a:latin typeface="+mj-lt"/>
            </a:rPr>
            <a:t> Menu</a:t>
          </a:r>
          <a:endParaRPr lang="en-US" sz="1400">
            <a:latin typeface="+mj-lt"/>
          </a:endParaRP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1</xdr:col>
      <xdr:colOff>0</xdr:colOff>
      <xdr:row>5</xdr:row>
      <xdr:rowOff>0</xdr:rowOff>
    </xdr:from>
    <xdr:to>
      <xdr:col>13</xdr:col>
      <xdr:colOff>371475</xdr:colOff>
      <xdr:row>32</xdr:row>
      <xdr:rowOff>85725</xdr:rowOff>
    </xdr:to>
    <xdr:graphicFrame macro="">
      <xdr:nvGraphicFramePr>
        <xdr:cNvPr id="2" name="Chart 1">
          <a:extLst>
            <a:ext uri="{FF2B5EF4-FFF2-40B4-BE49-F238E27FC236}">
              <a16:creationId xmlns:a16="http://schemas.microsoft.com/office/drawing/2014/main" id="{00000000-0008-0000-4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1</xdr:col>
      <xdr:colOff>0</xdr:colOff>
      <xdr:row>34</xdr:row>
      <xdr:rowOff>0</xdr:rowOff>
    </xdr:from>
    <xdr:to>
      <xdr:col>13</xdr:col>
      <xdr:colOff>371475</xdr:colOff>
      <xdr:row>61</xdr:row>
      <xdr:rowOff>85725</xdr:rowOff>
    </xdr:to>
    <xdr:graphicFrame macro="">
      <xdr:nvGraphicFramePr>
        <xdr:cNvPr id="3" name="Chart 2">
          <a:extLst>
            <a:ext uri="{FF2B5EF4-FFF2-40B4-BE49-F238E27FC236}">
              <a16:creationId xmlns:a16="http://schemas.microsoft.com/office/drawing/2014/main" id="{00000000-0008-0000-4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1</xdr:col>
      <xdr:colOff>0</xdr:colOff>
      <xdr:row>63</xdr:row>
      <xdr:rowOff>0</xdr:rowOff>
    </xdr:from>
    <xdr:to>
      <xdr:col>13</xdr:col>
      <xdr:colOff>371475</xdr:colOff>
      <xdr:row>90</xdr:row>
      <xdr:rowOff>85725</xdr:rowOff>
    </xdr:to>
    <xdr:graphicFrame macro="">
      <xdr:nvGraphicFramePr>
        <xdr:cNvPr id="4" name="Chart 3">
          <a:extLst>
            <a:ext uri="{FF2B5EF4-FFF2-40B4-BE49-F238E27FC236}">
              <a16:creationId xmlns:a16="http://schemas.microsoft.com/office/drawing/2014/main" id="{00000000-0008-0000-4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xdr:from>
      <xdr:col>12</xdr:col>
      <xdr:colOff>0</xdr:colOff>
      <xdr:row>1</xdr:row>
      <xdr:rowOff>0</xdr:rowOff>
    </xdr:from>
    <xdr:to>
      <xdr:col>13</xdr:col>
      <xdr:colOff>595593</xdr:colOff>
      <xdr:row>1</xdr:row>
      <xdr:rowOff>414618</xdr:rowOff>
    </xdr:to>
    <xdr:sp macro="" textlink="">
      <xdr:nvSpPr>
        <xdr:cNvPr id="5" name="Rounded Rectangle 4">
          <a:hlinkClick xmlns:r="http://schemas.openxmlformats.org/officeDocument/2006/relationships" r:id="rId4"/>
          <a:extLst>
            <a:ext uri="{FF2B5EF4-FFF2-40B4-BE49-F238E27FC236}">
              <a16:creationId xmlns:a16="http://schemas.microsoft.com/office/drawing/2014/main" id="{00000000-0008-0000-4500-000005000000}"/>
            </a:ext>
          </a:extLst>
        </xdr:cNvPr>
        <xdr:cNvSpPr/>
      </xdr:nvSpPr>
      <xdr:spPr>
        <a:xfrm>
          <a:off x="6981825" y="190500"/>
          <a:ext cx="1205193" cy="414618"/>
        </a:xfrm>
        <a:prstGeom prst="roundRect">
          <a:avLst/>
        </a:prstGeom>
        <a:gradFill>
          <a:gsLst>
            <a:gs pos="0">
              <a:srgbClr val="23AF84"/>
            </a:gs>
            <a:gs pos="50000">
              <a:srgbClr val="6DDDA8"/>
            </a:gs>
            <a:gs pos="70000">
              <a:srgbClr val="70EAB9"/>
            </a:gs>
            <a:gs pos="100000">
              <a:srgbClr val="99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a:latin typeface="+mj-lt"/>
            </a:rPr>
            <a:t>Hazards</a:t>
          </a:r>
          <a:r>
            <a:rPr lang="en-US" sz="1100" baseline="0">
              <a:latin typeface="+mj-lt"/>
            </a:rPr>
            <a:t> Menu</a:t>
          </a:r>
          <a:endParaRPr lang="en-US" sz="1100">
            <a:latin typeface="+mj-lt"/>
          </a:endParaRPr>
        </a:p>
      </xdr:txBody>
    </xdr:sp>
    <xdr:clientData/>
  </xdr:twoCellAnchor>
  <xdr:twoCellAnchor>
    <xdr:from>
      <xdr:col>12</xdr:col>
      <xdr:colOff>0</xdr:colOff>
      <xdr:row>3</xdr:row>
      <xdr:rowOff>0</xdr:rowOff>
    </xdr:from>
    <xdr:to>
      <xdr:col>13</xdr:col>
      <xdr:colOff>595593</xdr:colOff>
      <xdr:row>4</xdr:row>
      <xdr:rowOff>57150</xdr:rowOff>
    </xdr:to>
    <xdr:sp macro="" textlink="">
      <xdr:nvSpPr>
        <xdr:cNvPr id="6" name="Rounded Rectangle 5">
          <a:hlinkClick xmlns:r="http://schemas.openxmlformats.org/officeDocument/2006/relationships" r:id="rId5"/>
          <a:extLst>
            <a:ext uri="{FF2B5EF4-FFF2-40B4-BE49-F238E27FC236}">
              <a16:creationId xmlns:a16="http://schemas.microsoft.com/office/drawing/2014/main" id="{00000000-0008-0000-4500-000006000000}"/>
            </a:ext>
          </a:extLst>
        </xdr:cNvPr>
        <xdr:cNvSpPr/>
      </xdr:nvSpPr>
      <xdr:spPr>
        <a:xfrm>
          <a:off x="6981825" y="895350"/>
          <a:ext cx="1205193" cy="485775"/>
        </a:xfrm>
        <a:prstGeom prst="roundRect">
          <a:avLst/>
        </a:prstGeom>
        <a:gradFill>
          <a:gsLst>
            <a:gs pos="0">
              <a:srgbClr val="DCCD72"/>
            </a:gs>
            <a:gs pos="50000">
              <a:srgbClr val="FFFF99"/>
            </a:gs>
            <a:gs pos="70000">
              <a:srgbClr val="FFFFCC"/>
            </a:gs>
            <a:gs pos="100000">
              <a:srgbClr val="FF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000" baseline="0">
              <a:solidFill>
                <a:schemeClr val="tx1"/>
              </a:solidFill>
              <a:latin typeface="+mj-lt"/>
            </a:rPr>
            <a:t>Hazard </a:t>
          </a:r>
          <a:r>
            <a:rPr lang="en-US" sz="1000">
              <a:solidFill>
                <a:schemeClr val="tx1"/>
              </a:solidFill>
              <a:latin typeface="+mj-lt"/>
            </a:rPr>
            <a:t>Worksheet</a:t>
          </a:r>
        </a:p>
      </xdr:txBody>
    </xdr:sp>
    <xdr:clientData/>
  </xdr:twoCellAnchor>
  <xdr:twoCellAnchor>
    <xdr:from>
      <xdr:col>0</xdr:col>
      <xdr:colOff>246530</xdr:colOff>
      <xdr:row>92</xdr:row>
      <xdr:rowOff>78441</xdr:rowOff>
    </xdr:from>
    <xdr:to>
      <xdr:col>13</xdr:col>
      <xdr:colOff>337858</xdr:colOff>
      <xdr:row>119</xdr:row>
      <xdr:rowOff>164166</xdr:rowOff>
    </xdr:to>
    <xdr:graphicFrame macro="">
      <xdr:nvGraphicFramePr>
        <xdr:cNvPr id="7" name="Chart 6">
          <a:extLst>
            <a:ext uri="{FF2B5EF4-FFF2-40B4-BE49-F238E27FC236}">
              <a16:creationId xmlns:a16="http://schemas.microsoft.com/office/drawing/2014/main" id="{00000000-0008-0000-4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twoCellAnchor>
</xdr:wsDr>
</file>

<file path=xl/drawings/drawing71.xml><?xml version="1.0" encoding="utf-8"?>
<xdr:wsDr xmlns:xdr="http://schemas.openxmlformats.org/drawingml/2006/spreadsheetDrawing" xmlns:a="http://schemas.openxmlformats.org/drawingml/2006/main">
  <xdr:twoCellAnchor>
    <xdr:from>
      <xdr:col>1</xdr:col>
      <xdr:colOff>0</xdr:colOff>
      <xdr:row>5</xdr:row>
      <xdr:rowOff>0</xdr:rowOff>
    </xdr:from>
    <xdr:to>
      <xdr:col>13</xdr:col>
      <xdr:colOff>371475</xdr:colOff>
      <xdr:row>32</xdr:row>
      <xdr:rowOff>85725</xdr:rowOff>
    </xdr:to>
    <xdr:graphicFrame macro="">
      <xdr:nvGraphicFramePr>
        <xdr:cNvPr id="2" name="Chart 1">
          <a:extLst>
            <a:ext uri="{FF2B5EF4-FFF2-40B4-BE49-F238E27FC236}">
              <a16:creationId xmlns:a16="http://schemas.microsoft.com/office/drawing/2014/main" id="{00000000-0008-0000-4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1</xdr:col>
      <xdr:colOff>0</xdr:colOff>
      <xdr:row>34</xdr:row>
      <xdr:rowOff>0</xdr:rowOff>
    </xdr:from>
    <xdr:to>
      <xdr:col>13</xdr:col>
      <xdr:colOff>371475</xdr:colOff>
      <xdr:row>61</xdr:row>
      <xdr:rowOff>85725</xdr:rowOff>
    </xdr:to>
    <xdr:graphicFrame macro="">
      <xdr:nvGraphicFramePr>
        <xdr:cNvPr id="3" name="Chart 2">
          <a:extLst>
            <a:ext uri="{FF2B5EF4-FFF2-40B4-BE49-F238E27FC236}">
              <a16:creationId xmlns:a16="http://schemas.microsoft.com/office/drawing/2014/main" id="{00000000-0008-0000-4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1</xdr:col>
      <xdr:colOff>0</xdr:colOff>
      <xdr:row>63</xdr:row>
      <xdr:rowOff>0</xdr:rowOff>
    </xdr:from>
    <xdr:to>
      <xdr:col>13</xdr:col>
      <xdr:colOff>371475</xdr:colOff>
      <xdr:row>90</xdr:row>
      <xdr:rowOff>85725</xdr:rowOff>
    </xdr:to>
    <xdr:graphicFrame macro="">
      <xdr:nvGraphicFramePr>
        <xdr:cNvPr id="4" name="Chart 3">
          <a:extLst>
            <a:ext uri="{FF2B5EF4-FFF2-40B4-BE49-F238E27FC236}">
              <a16:creationId xmlns:a16="http://schemas.microsoft.com/office/drawing/2014/main" id="{00000000-0008-0000-4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xdr:from>
      <xdr:col>12</xdr:col>
      <xdr:colOff>0</xdr:colOff>
      <xdr:row>1</xdr:row>
      <xdr:rowOff>0</xdr:rowOff>
    </xdr:from>
    <xdr:to>
      <xdr:col>13</xdr:col>
      <xdr:colOff>595593</xdr:colOff>
      <xdr:row>1</xdr:row>
      <xdr:rowOff>414618</xdr:rowOff>
    </xdr:to>
    <xdr:sp macro="" textlink="">
      <xdr:nvSpPr>
        <xdr:cNvPr id="5" name="Rounded Rectangle 4">
          <a:hlinkClick xmlns:r="http://schemas.openxmlformats.org/officeDocument/2006/relationships" r:id="rId4"/>
          <a:extLst>
            <a:ext uri="{FF2B5EF4-FFF2-40B4-BE49-F238E27FC236}">
              <a16:creationId xmlns:a16="http://schemas.microsoft.com/office/drawing/2014/main" id="{00000000-0008-0000-4600-000005000000}"/>
            </a:ext>
          </a:extLst>
        </xdr:cNvPr>
        <xdr:cNvSpPr/>
      </xdr:nvSpPr>
      <xdr:spPr>
        <a:xfrm>
          <a:off x="6981825" y="190500"/>
          <a:ext cx="1205193" cy="414618"/>
        </a:xfrm>
        <a:prstGeom prst="roundRect">
          <a:avLst/>
        </a:prstGeom>
        <a:gradFill>
          <a:gsLst>
            <a:gs pos="0">
              <a:srgbClr val="23AF84"/>
            </a:gs>
            <a:gs pos="50000">
              <a:srgbClr val="6DDDA8"/>
            </a:gs>
            <a:gs pos="70000">
              <a:srgbClr val="70EAB9"/>
            </a:gs>
            <a:gs pos="100000">
              <a:srgbClr val="99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a:latin typeface="+mj-lt"/>
            </a:rPr>
            <a:t>Hazards</a:t>
          </a:r>
          <a:r>
            <a:rPr lang="en-US" sz="1100" baseline="0">
              <a:latin typeface="+mj-lt"/>
            </a:rPr>
            <a:t> Menu</a:t>
          </a:r>
          <a:endParaRPr lang="en-US" sz="1100">
            <a:latin typeface="+mj-lt"/>
          </a:endParaRPr>
        </a:p>
      </xdr:txBody>
    </xdr:sp>
    <xdr:clientData/>
  </xdr:twoCellAnchor>
  <xdr:twoCellAnchor>
    <xdr:from>
      <xdr:col>12</xdr:col>
      <xdr:colOff>0</xdr:colOff>
      <xdr:row>3</xdr:row>
      <xdr:rowOff>0</xdr:rowOff>
    </xdr:from>
    <xdr:to>
      <xdr:col>13</xdr:col>
      <xdr:colOff>595593</xdr:colOff>
      <xdr:row>4</xdr:row>
      <xdr:rowOff>57150</xdr:rowOff>
    </xdr:to>
    <xdr:sp macro="" textlink="">
      <xdr:nvSpPr>
        <xdr:cNvPr id="6" name="Rounded Rectangle 5">
          <a:hlinkClick xmlns:r="http://schemas.openxmlformats.org/officeDocument/2006/relationships" r:id="rId5"/>
          <a:extLst>
            <a:ext uri="{FF2B5EF4-FFF2-40B4-BE49-F238E27FC236}">
              <a16:creationId xmlns:a16="http://schemas.microsoft.com/office/drawing/2014/main" id="{00000000-0008-0000-4600-000006000000}"/>
            </a:ext>
          </a:extLst>
        </xdr:cNvPr>
        <xdr:cNvSpPr/>
      </xdr:nvSpPr>
      <xdr:spPr>
        <a:xfrm>
          <a:off x="6981825" y="895350"/>
          <a:ext cx="1205193" cy="485775"/>
        </a:xfrm>
        <a:prstGeom prst="roundRect">
          <a:avLst/>
        </a:prstGeom>
        <a:gradFill>
          <a:gsLst>
            <a:gs pos="0">
              <a:srgbClr val="DCCD72"/>
            </a:gs>
            <a:gs pos="50000">
              <a:srgbClr val="FFFF99"/>
            </a:gs>
            <a:gs pos="70000">
              <a:srgbClr val="FFFFCC"/>
            </a:gs>
            <a:gs pos="100000">
              <a:srgbClr val="FF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000" baseline="0">
              <a:solidFill>
                <a:schemeClr val="tx1"/>
              </a:solidFill>
              <a:latin typeface="+mj-lt"/>
            </a:rPr>
            <a:t>Hazard </a:t>
          </a:r>
          <a:r>
            <a:rPr lang="en-US" sz="1000">
              <a:solidFill>
                <a:schemeClr val="tx1"/>
              </a:solidFill>
              <a:latin typeface="+mj-lt"/>
            </a:rPr>
            <a:t>Worksheet</a:t>
          </a:r>
        </a:p>
      </xdr:txBody>
    </xdr:sp>
    <xdr:clientData/>
  </xdr:twoCellAnchor>
  <xdr:twoCellAnchor>
    <xdr:from>
      <xdr:col>0</xdr:col>
      <xdr:colOff>246530</xdr:colOff>
      <xdr:row>92</xdr:row>
      <xdr:rowOff>78441</xdr:rowOff>
    </xdr:from>
    <xdr:to>
      <xdr:col>13</xdr:col>
      <xdr:colOff>337858</xdr:colOff>
      <xdr:row>119</xdr:row>
      <xdr:rowOff>164166</xdr:rowOff>
    </xdr:to>
    <xdr:graphicFrame macro="">
      <xdr:nvGraphicFramePr>
        <xdr:cNvPr id="7" name="Chart 6">
          <a:extLst>
            <a:ext uri="{FF2B5EF4-FFF2-40B4-BE49-F238E27FC236}">
              <a16:creationId xmlns:a16="http://schemas.microsoft.com/office/drawing/2014/main" id="{00000000-0008-0000-4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twoCellAnchor>
</xdr:wsDr>
</file>

<file path=xl/drawings/drawing72.xml><?xml version="1.0" encoding="utf-8"?>
<xdr:wsDr xmlns:xdr="http://schemas.openxmlformats.org/drawingml/2006/spreadsheetDrawing" xmlns:a="http://schemas.openxmlformats.org/drawingml/2006/main">
  <xdr:twoCellAnchor>
    <xdr:from>
      <xdr:col>1</xdr:col>
      <xdr:colOff>0</xdr:colOff>
      <xdr:row>5</xdr:row>
      <xdr:rowOff>0</xdr:rowOff>
    </xdr:from>
    <xdr:to>
      <xdr:col>13</xdr:col>
      <xdr:colOff>371475</xdr:colOff>
      <xdr:row>32</xdr:row>
      <xdr:rowOff>85725</xdr:rowOff>
    </xdr:to>
    <xdr:graphicFrame macro="">
      <xdr:nvGraphicFramePr>
        <xdr:cNvPr id="2" name="Chart 1">
          <a:extLst>
            <a:ext uri="{FF2B5EF4-FFF2-40B4-BE49-F238E27FC236}">
              <a16:creationId xmlns:a16="http://schemas.microsoft.com/office/drawing/2014/main" id="{00000000-0008-0000-4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1</xdr:col>
      <xdr:colOff>0</xdr:colOff>
      <xdr:row>34</xdr:row>
      <xdr:rowOff>0</xdr:rowOff>
    </xdr:from>
    <xdr:to>
      <xdr:col>13</xdr:col>
      <xdr:colOff>371475</xdr:colOff>
      <xdr:row>61</xdr:row>
      <xdr:rowOff>85725</xdr:rowOff>
    </xdr:to>
    <xdr:graphicFrame macro="">
      <xdr:nvGraphicFramePr>
        <xdr:cNvPr id="3" name="Chart 2">
          <a:extLst>
            <a:ext uri="{FF2B5EF4-FFF2-40B4-BE49-F238E27FC236}">
              <a16:creationId xmlns:a16="http://schemas.microsoft.com/office/drawing/2014/main" id="{00000000-0008-0000-4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1</xdr:col>
      <xdr:colOff>0</xdr:colOff>
      <xdr:row>63</xdr:row>
      <xdr:rowOff>0</xdr:rowOff>
    </xdr:from>
    <xdr:to>
      <xdr:col>13</xdr:col>
      <xdr:colOff>371475</xdr:colOff>
      <xdr:row>90</xdr:row>
      <xdr:rowOff>85725</xdr:rowOff>
    </xdr:to>
    <xdr:graphicFrame macro="">
      <xdr:nvGraphicFramePr>
        <xdr:cNvPr id="4" name="Chart 3">
          <a:extLst>
            <a:ext uri="{FF2B5EF4-FFF2-40B4-BE49-F238E27FC236}">
              <a16:creationId xmlns:a16="http://schemas.microsoft.com/office/drawing/2014/main" id="{00000000-0008-0000-4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xdr:from>
      <xdr:col>12</xdr:col>
      <xdr:colOff>0</xdr:colOff>
      <xdr:row>1</xdr:row>
      <xdr:rowOff>0</xdr:rowOff>
    </xdr:from>
    <xdr:to>
      <xdr:col>13</xdr:col>
      <xdr:colOff>595593</xdr:colOff>
      <xdr:row>1</xdr:row>
      <xdr:rowOff>414618</xdr:rowOff>
    </xdr:to>
    <xdr:sp macro="" textlink="">
      <xdr:nvSpPr>
        <xdr:cNvPr id="5" name="Rounded Rectangle 4">
          <a:hlinkClick xmlns:r="http://schemas.openxmlformats.org/officeDocument/2006/relationships" r:id="rId4"/>
          <a:extLst>
            <a:ext uri="{FF2B5EF4-FFF2-40B4-BE49-F238E27FC236}">
              <a16:creationId xmlns:a16="http://schemas.microsoft.com/office/drawing/2014/main" id="{00000000-0008-0000-4700-000005000000}"/>
            </a:ext>
          </a:extLst>
        </xdr:cNvPr>
        <xdr:cNvSpPr/>
      </xdr:nvSpPr>
      <xdr:spPr>
        <a:xfrm>
          <a:off x="6981825" y="190500"/>
          <a:ext cx="1205193" cy="414618"/>
        </a:xfrm>
        <a:prstGeom prst="roundRect">
          <a:avLst/>
        </a:prstGeom>
        <a:gradFill>
          <a:gsLst>
            <a:gs pos="0">
              <a:srgbClr val="23AF84"/>
            </a:gs>
            <a:gs pos="50000">
              <a:srgbClr val="6DDDA8"/>
            </a:gs>
            <a:gs pos="70000">
              <a:srgbClr val="70EAB9"/>
            </a:gs>
            <a:gs pos="100000">
              <a:srgbClr val="99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a:latin typeface="+mj-lt"/>
            </a:rPr>
            <a:t>Hazards</a:t>
          </a:r>
          <a:r>
            <a:rPr lang="en-US" sz="1100" baseline="0">
              <a:latin typeface="+mj-lt"/>
            </a:rPr>
            <a:t> Menu</a:t>
          </a:r>
          <a:endParaRPr lang="en-US" sz="1100">
            <a:latin typeface="+mj-lt"/>
          </a:endParaRPr>
        </a:p>
      </xdr:txBody>
    </xdr:sp>
    <xdr:clientData/>
  </xdr:twoCellAnchor>
  <xdr:twoCellAnchor>
    <xdr:from>
      <xdr:col>12</xdr:col>
      <xdr:colOff>0</xdr:colOff>
      <xdr:row>3</xdr:row>
      <xdr:rowOff>0</xdr:rowOff>
    </xdr:from>
    <xdr:to>
      <xdr:col>13</xdr:col>
      <xdr:colOff>595593</xdr:colOff>
      <xdr:row>4</xdr:row>
      <xdr:rowOff>57150</xdr:rowOff>
    </xdr:to>
    <xdr:sp macro="" textlink="">
      <xdr:nvSpPr>
        <xdr:cNvPr id="6" name="Rounded Rectangle 5">
          <a:hlinkClick xmlns:r="http://schemas.openxmlformats.org/officeDocument/2006/relationships" r:id="rId5"/>
          <a:extLst>
            <a:ext uri="{FF2B5EF4-FFF2-40B4-BE49-F238E27FC236}">
              <a16:creationId xmlns:a16="http://schemas.microsoft.com/office/drawing/2014/main" id="{00000000-0008-0000-4700-000006000000}"/>
            </a:ext>
          </a:extLst>
        </xdr:cNvPr>
        <xdr:cNvSpPr/>
      </xdr:nvSpPr>
      <xdr:spPr>
        <a:xfrm>
          <a:off x="6981825" y="895350"/>
          <a:ext cx="1205193" cy="485775"/>
        </a:xfrm>
        <a:prstGeom prst="roundRect">
          <a:avLst/>
        </a:prstGeom>
        <a:gradFill>
          <a:gsLst>
            <a:gs pos="0">
              <a:srgbClr val="DCCD72"/>
            </a:gs>
            <a:gs pos="50000">
              <a:srgbClr val="FFFF99"/>
            </a:gs>
            <a:gs pos="70000">
              <a:srgbClr val="FFFFCC"/>
            </a:gs>
            <a:gs pos="100000">
              <a:srgbClr val="FF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000" baseline="0">
              <a:solidFill>
                <a:schemeClr val="tx1"/>
              </a:solidFill>
              <a:latin typeface="+mj-lt"/>
            </a:rPr>
            <a:t>Hazard </a:t>
          </a:r>
          <a:r>
            <a:rPr lang="en-US" sz="1000">
              <a:solidFill>
                <a:schemeClr val="tx1"/>
              </a:solidFill>
              <a:latin typeface="+mj-lt"/>
            </a:rPr>
            <a:t>Worksheet</a:t>
          </a:r>
        </a:p>
      </xdr:txBody>
    </xdr:sp>
    <xdr:clientData/>
  </xdr:twoCellAnchor>
  <xdr:twoCellAnchor>
    <xdr:from>
      <xdr:col>0</xdr:col>
      <xdr:colOff>246530</xdr:colOff>
      <xdr:row>92</xdr:row>
      <xdr:rowOff>78441</xdr:rowOff>
    </xdr:from>
    <xdr:to>
      <xdr:col>13</xdr:col>
      <xdr:colOff>337858</xdr:colOff>
      <xdr:row>119</xdr:row>
      <xdr:rowOff>164166</xdr:rowOff>
    </xdr:to>
    <xdr:graphicFrame macro="">
      <xdr:nvGraphicFramePr>
        <xdr:cNvPr id="7" name="Chart 6">
          <a:extLst>
            <a:ext uri="{FF2B5EF4-FFF2-40B4-BE49-F238E27FC236}">
              <a16:creationId xmlns:a16="http://schemas.microsoft.com/office/drawing/2014/main" id="{00000000-0008-0000-4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twoCellAnchor>
</xdr:wsDr>
</file>

<file path=xl/drawings/drawing73.xml><?xml version="1.0" encoding="utf-8"?>
<xdr:wsDr xmlns:xdr="http://schemas.openxmlformats.org/drawingml/2006/spreadsheetDrawing" xmlns:a="http://schemas.openxmlformats.org/drawingml/2006/main">
  <xdr:twoCellAnchor>
    <xdr:from>
      <xdr:col>1</xdr:col>
      <xdr:colOff>0</xdr:colOff>
      <xdr:row>5</xdr:row>
      <xdr:rowOff>0</xdr:rowOff>
    </xdr:from>
    <xdr:to>
      <xdr:col>13</xdr:col>
      <xdr:colOff>371475</xdr:colOff>
      <xdr:row>32</xdr:row>
      <xdr:rowOff>85725</xdr:rowOff>
    </xdr:to>
    <xdr:graphicFrame macro="">
      <xdr:nvGraphicFramePr>
        <xdr:cNvPr id="2" name="Chart 1">
          <a:extLst>
            <a:ext uri="{FF2B5EF4-FFF2-40B4-BE49-F238E27FC236}">
              <a16:creationId xmlns:a16="http://schemas.microsoft.com/office/drawing/2014/main" id="{00000000-0008-0000-4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1</xdr:col>
      <xdr:colOff>0</xdr:colOff>
      <xdr:row>34</xdr:row>
      <xdr:rowOff>0</xdr:rowOff>
    </xdr:from>
    <xdr:to>
      <xdr:col>13</xdr:col>
      <xdr:colOff>371475</xdr:colOff>
      <xdr:row>61</xdr:row>
      <xdr:rowOff>85725</xdr:rowOff>
    </xdr:to>
    <xdr:graphicFrame macro="">
      <xdr:nvGraphicFramePr>
        <xdr:cNvPr id="3" name="Chart 2">
          <a:extLst>
            <a:ext uri="{FF2B5EF4-FFF2-40B4-BE49-F238E27FC236}">
              <a16:creationId xmlns:a16="http://schemas.microsoft.com/office/drawing/2014/main" id="{00000000-0008-0000-4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1</xdr:col>
      <xdr:colOff>0</xdr:colOff>
      <xdr:row>63</xdr:row>
      <xdr:rowOff>0</xdr:rowOff>
    </xdr:from>
    <xdr:to>
      <xdr:col>13</xdr:col>
      <xdr:colOff>371475</xdr:colOff>
      <xdr:row>90</xdr:row>
      <xdr:rowOff>85725</xdr:rowOff>
    </xdr:to>
    <xdr:graphicFrame macro="">
      <xdr:nvGraphicFramePr>
        <xdr:cNvPr id="4" name="Chart 3">
          <a:extLst>
            <a:ext uri="{FF2B5EF4-FFF2-40B4-BE49-F238E27FC236}">
              <a16:creationId xmlns:a16="http://schemas.microsoft.com/office/drawing/2014/main" id="{00000000-0008-0000-4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xdr:from>
      <xdr:col>12</xdr:col>
      <xdr:colOff>0</xdr:colOff>
      <xdr:row>1</xdr:row>
      <xdr:rowOff>0</xdr:rowOff>
    </xdr:from>
    <xdr:to>
      <xdr:col>13</xdr:col>
      <xdr:colOff>595593</xdr:colOff>
      <xdr:row>1</xdr:row>
      <xdr:rowOff>414618</xdr:rowOff>
    </xdr:to>
    <xdr:sp macro="" textlink="">
      <xdr:nvSpPr>
        <xdr:cNvPr id="5" name="Rounded Rectangle 4">
          <a:hlinkClick xmlns:r="http://schemas.openxmlformats.org/officeDocument/2006/relationships" r:id="rId4"/>
          <a:extLst>
            <a:ext uri="{FF2B5EF4-FFF2-40B4-BE49-F238E27FC236}">
              <a16:creationId xmlns:a16="http://schemas.microsoft.com/office/drawing/2014/main" id="{00000000-0008-0000-4800-000005000000}"/>
            </a:ext>
          </a:extLst>
        </xdr:cNvPr>
        <xdr:cNvSpPr/>
      </xdr:nvSpPr>
      <xdr:spPr>
        <a:xfrm>
          <a:off x="6981825" y="190500"/>
          <a:ext cx="1205193" cy="414618"/>
        </a:xfrm>
        <a:prstGeom prst="roundRect">
          <a:avLst/>
        </a:prstGeom>
        <a:gradFill>
          <a:gsLst>
            <a:gs pos="0">
              <a:srgbClr val="23AF84"/>
            </a:gs>
            <a:gs pos="50000">
              <a:srgbClr val="6DDDA8"/>
            </a:gs>
            <a:gs pos="70000">
              <a:srgbClr val="70EAB9"/>
            </a:gs>
            <a:gs pos="100000">
              <a:srgbClr val="99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a:latin typeface="+mj-lt"/>
            </a:rPr>
            <a:t>Hazards</a:t>
          </a:r>
          <a:r>
            <a:rPr lang="en-US" sz="1100" baseline="0">
              <a:latin typeface="+mj-lt"/>
            </a:rPr>
            <a:t> Menu</a:t>
          </a:r>
          <a:endParaRPr lang="en-US" sz="1100">
            <a:latin typeface="+mj-lt"/>
          </a:endParaRPr>
        </a:p>
      </xdr:txBody>
    </xdr:sp>
    <xdr:clientData/>
  </xdr:twoCellAnchor>
  <xdr:twoCellAnchor>
    <xdr:from>
      <xdr:col>12</xdr:col>
      <xdr:colOff>0</xdr:colOff>
      <xdr:row>3</xdr:row>
      <xdr:rowOff>0</xdr:rowOff>
    </xdr:from>
    <xdr:to>
      <xdr:col>13</xdr:col>
      <xdr:colOff>595593</xdr:colOff>
      <xdr:row>4</xdr:row>
      <xdr:rowOff>57150</xdr:rowOff>
    </xdr:to>
    <xdr:sp macro="" textlink="">
      <xdr:nvSpPr>
        <xdr:cNvPr id="6" name="Rounded Rectangle 5">
          <a:hlinkClick xmlns:r="http://schemas.openxmlformats.org/officeDocument/2006/relationships" r:id="rId5"/>
          <a:extLst>
            <a:ext uri="{FF2B5EF4-FFF2-40B4-BE49-F238E27FC236}">
              <a16:creationId xmlns:a16="http://schemas.microsoft.com/office/drawing/2014/main" id="{00000000-0008-0000-4800-000006000000}"/>
            </a:ext>
          </a:extLst>
        </xdr:cNvPr>
        <xdr:cNvSpPr/>
      </xdr:nvSpPr>
      <xdr:spPr>
        <a:xfrm>
          <a:off x="6981825" y="895350"/>
          <a:ext cx="1205193" cy="485775"/>
        </a:xfrm>
        <a:prstGeom prst="roundRect">
          <a:avLst/>
        </a:prstGeom>
        <a:gradFill>
          <a:gsLst>
            <a:gs pos="0">
              <a:srgbClr val="DCCD72"/>
            </a:gs>
            <a:gs pos="50000">
              <a:srgbClr val="FFFF99"/>
            </a:gs>
            <a:gs pos="70000">
              <a:srgbClr val="FFFFCC"/>
            </a:gs>
            <a:gs pos="100000">
              <a:srgbClr val="FF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000" baseline="0">
              <a:solidFill>
                <a:schemeClr val="tx1"/>
              </a:solidFill>
              <a:latin typeface="+mj-lt"/>
            </a:rPr>
            <a:t>Hazard </a:t>
          </a:r>
          <a:r>
            <a:rPr lang="en-US" sz="1000">
              <a:solidFill>
                <a:schemeClr val="tx1"/>
              </a:solidFill>
              <a:latin typeface="+mj-lt"/>
            </a:rPr>
            <a:t>Worksheet</a:t>
          </a:r>
        </a:p>
      </xdr:txBody>
    </xdr:sp>
    <xdr:clientData/>
  </xdr:twoCellAnchor>
  <xdr:twoCellAnchor>
    <xdr:from>
      <xdr:col>0</xdr:col>
      <xdr:colOff>246530</xdr:colOff>
      <xdr:row>92</xdr:row>
      <xdr:rowOff>78441</xdr:rowOff>
    </xdr:from>
    <xdr:to>
      <xdr:col>13</xdr:col>
      <xdr:colOff>337858</xdr:colOff>
      <xdr:row>119</xdr:row>
      <xdr:rowOff>164166</xdr:rowOff>
    </xdr:to>
    <xdr:graphicFrame macro="">
      <xdr:nvGraphicFramePr>
        <xdr:cNvPr id="7" name="Chart 6">
          <a:extLst>
            <a:ext uri="{FF2B5EF4-FFF2-40B4-BE49-F238E27FC236}">
              <a16:creationId xmlns:a16="http://schemas.microsoft.com/office/drawing/2014/main" id="{00000000-0008-0000-4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twoCellAnchor>
</xdr:wsDr>
</file>

<file path=xl/drawings/drawing74.xml><?xml version="1.0" encoding="utf-8"?>
<xdr:wsDr xmlns:xdr="http://schemas.openxmlformats.org/drawingml/2006/spreadsheetDrawing" xmlns:a="http://schemas.openxmlformats.org/drawingml/2006/main">
  <xdr:twoCellAnchor>
    <xdr:from>
      <xdr:col>1</xdr:col>
      <xdr:colOff>0</xdr:colOff>
      <xdr:row>5</xdr:row>
      <xdr:rowOff>0</xdr:rowOff>
    </xdr:from>
    <xdr:to>
      <xdr:col>13</xdr:col>
      <xdr:colOff>371475</xdr:colOff>
      <xdr:row>32</xdr:row>
      <xdr:rowOff>85725</xdr:rowOff>
    </xdr:to>
    <xdr:graphicFrame macro="">
      <xdr:nvGraphicFramePr>
        <xdr:cNvPr id="2" name="Chart 1">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1</xdr:col>
      <xdr:colOff>0</xdr:colOff>
      <xdr:row>34</xdr:row>
      <xdr:rowOff>0</xdr:rowOff>
    </xdr:from>
    <xdr:to>
      <xdr:col>13</xdr:col>
      <xdr:colOff>371475</xdr:colOff>
      <xdr:row>61</xdr:row>
      <xdr:rowOff>85725</xdr:rowOff>
    </xdr:to>
    <xdr:graphicFrame macro="">
      <xdr:nvGraphicFramePr>
        <xdr:cNvPr id="3" name="Chart 2">
          <a:extLst>
            <a:ext uri="{FF2B5EF4-FFF2-40B4-BE49-F238E27FC236}">
              <a16:creationId xmlns:a16="http://schemas.microsoft.com/office/drawing/2014/main" id="{00000000-0008-0000-4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1</xdr:col>
      <xdr:colOff>0</xdr:colOff>
      <xdr:row>63</xdr:row>
      <xdr:rowOff>0</xdr:rowOff>
    </xdr:from>
    <xdr:to>
      <xdr:col>13</xdr:col>
      <xdr:colOff>371475</xdr:colOff>
      <xdr:row>90</xdr:row>
      <xdr:rowOff>85725</xdr:rowOff>
    </xdr:to>
    <xdr:graphicFrame macro="">
      <xdr:nvGraphicFramePr>
        <xdr:cNvPr id="4" name="Chart 3">
          <a:extLst>
            <a:ext uri="{FF2B5EF4-FFF2-40B4-BE49-F238E27FC236}">
              <a16:creationId xmlns:a16="http://schemas.microsoft.com/office/drawing/2014/main" id="{00000000-0008-0000-4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xdr:from>
      <xdr:col>12</xdr:col>
      <xdr:colOff>0</xdr:colOff>
      <xdr:row>1</xdr:row>
      <xdr:rowOff>0</xdr:rowOff>
    </xdr:from>
    <xdr:to>
      <xdr:col>13</xdr:col>
      <xdr:colOff>595593</xdr:colOff>
      <xdr:row>1</xdr:row>
      <xdr:rowOff>414618</xdr:rowOff>
    </xdr:to>
    <xdr:sp macro="" textlink="">
      <xdr:nvSpPr>
        <xdr:cNvPr id="5" name="Rounded Rectangle 4">
          <a:hlinkClick xmlns:r="http://schemas.openxmlformats.org/officeDocument/2006/relationships" r:id="rId4"/>
          <a:extLst>
            <a:ext uri="{FF2B5EF4-FFF2-40B4-BE49-F238E27FC236}">
              <a16:creationId xmlns:a16="http://schemas.microsoft.com/office/drawing/2014/main" id="{00000000-0008-0000-4900-000005000000}"/>
            </a:ext>
          </a:extLst>
        </xdr:cNvPr>
        <xdr:cNvSpPr/>
      </xdr:nvSpPr>
      <xdr:spPr>
        <a:xfrm>
          <a:off x="6981825" y="190500"/>
          <a:ext cx="1205193" cy="414618"/>
        </a:xfrm>
        <a:prstGeom prst="roundRect">
          <a:avLst/>
        </a:prstGeom>
        <a:gradFill>
          <a:gsLst>
            <a:gs pos="0">
              <a:srgbClr val="23AF84"/>
            </a:gs>
            <a:gs pos="50000">
              <a:srgbClr val="6DDDA8"/>
            </a:gs>
            <a:gs pos="70000">
              <a:srgbClr val="70EAB9"/>
            </a:gs>
            <a:gs pos="100000">
              <a:srgbClr val="99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a:latin typeface="+mj-lt"/>
            </a:rPr>
            <a:t>Hazards</a:t>
          </a:r>
          <a:r>
            <a:rPr lang="en-US" sz="1100" baseline="0">
              <a:latin typeface="+mj-lt"/>
            </a:rPr>
            <a:t> Menu</a:t>
          </a:r>
          <a:endParaRPr lang="en-US" sz="1100">
            <a:latin typeface="+mj-lt"/>
          </a:endParaRPr>
        </a:p>
      </xdr:txBody>
    </xdr:sp>
    <xdr:clientData/>
  </xdr:twoCellAnchor>
  <xdr:twoCellAnchor>
    <xdr:from>
      <xdr:col>12</xdr:col>
      <xdr:colOff>0</xdr:colOff>
      <xdr:row>3</xdr:row>
      <xdr:rowOff>0</xdr:rowOff>
    </xdr:from>
    <xdr:to>
      <xdr:col>13</xdr:col>
      <xdr:colOff>595593</xdr:colOff>
      <xdr:row>4</xdr:row>
      <xdr:rowOff>57150</xdr:rowOff>
    </xdr:to>
    <xdr:sp macro="" textlink="">
      <xdr:nvSpPr>
        <xdr:cNvPr id="6" name="Rounded Rectangle 5">
          <a:hlinkClick xmlns:r="http://schemas.openxmlformats.org/officeDocument/2006/relationships" r:id="rId5"/>
          <a:extLst>
            <a:ext uri="{FF2B5EF4-FFF2-40B4-BE49-F238E27FC236}">
              <a16:creationId xmlns:a16="http://schemas.microsoft.com/office/drawing/2014/main" id="{00000000-0008-0000-4900-000006000000}"/>
            </a:ext>
          </a:extLst>
        </xdr:cNvPr>
        <xdr:cNvSpPr/>
      </xdr:nvSpPr>
      <xdr:spPr>
        <a:xfrm>
          <a:off x="6981825" y="895350"/>
          <a:ext cx="1205193" cy="485775"/>
        </a:xfrm>
        <a:prstGeom prst="roundRect">
          <a:avLst/>
        </a:prstGeom>
        <a:gradFill>
          <a:gsLst>
            <a:gs pos="0">
              <a:srgbClr val="DCCD72"/>
            </a:gs>
            <a:gs pos="50000">
              <a:srgbClr val="FFFF99"/>
            </a:gs>
            <a:gs pos="70000">
              <a:srgbClr val="FFFFCC"/>
            </a:gs>
            <a:gs pos="100000">
              <a:srgbClr val="FF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000" baseline="0">
              <a:solidFill>
                <a:schemeClr val="tx1"/>
              </a:solidFill>
              <a:latin typeface="+mj-lt"/>
            </a:rPr>
            <a:t>Hazard </a:t>
          </a:r>
          <a:r>
            <a:rPr lang="en-US" sz="1000">
              <a:solidFill>
                <a:schemeClr val="tx1"/>
              </a:solidFill>
              <a:latin typeface="+mj-lt"/>
            </a:rPr>
            <a:t>Worksheet</a:t>
          </a:r>
        </a:p>
      </xdr:txBody>
    </xdr:sp>
    <xdr:clientData/>
  </xdr:twoCellAnchor>
  <xdr:twoCellAnchor>
    <xdr:from>
      <xdr:col>0</xdr:col>
      <xdr:colOff>246530</xdr:colOff>
      <xdr:row>92</xdr:row>
      <xdr:rowOff>78441</xdr:rowOff>
    </xdr:from>
    <xdr:to>
      <xdr:col>13</xdr:col>
      <xdr:colOff>337858</xdr:colOff>
      <xdr:row>119</xdr:row>
      <xdr:rowOff>164166</xdr:rowOff>
    </xdr:to>
    <xdr:graphicFrame macro="">
      <xdr:nvGraphicFramePr>
        <xdr:cNvPr id="7" name="Chart 6">
          <a:extLst>
            <a:ext uri="{FF2B5EF4-FFF2-40B4-BE49-F238E27FC236}">
              <a16:creationId xmlns:a16="http://schemas.microsoft.com/office/drawing/2014/main" id="{00000000-0008-0000-4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twoCellAnchor>
</xdr:wsDr>
</file>

<file path=xl/drawings/drawing75.xml><?xml version="1.0" encoding="utf-8"?>
<xdr:wsDr xmlns:xdr="http://schemas.openxmlformats.org/drawingml/2006/spreadsheetDrawing" xmlns:a="http://schemas.openxmlformats.org/drawingml/2006/main">
  <xdr:twoCellAnchor>
    <xdr:from>
      <xdr:col>1</xdr:col>
      <xdr:colOff>0</xdr:colOff>
      <xdr:row>5</xdr:row>
      <xdr:rowOff>0</xdr:rowOff>
    </xdr:from>
    <xdr:to>
      <xdr:col>13</xdr:col>
      <xdr:colOff>371475</xdr:colOff>
      <xdr:row>32</xdr:row>
      <xdr:rowOff>85725</xdr:rowOff>
    </xdr:to>
    <xdr:graphicFrame macro="">
      <xdr:nvGraphicFramePr>
        <xdr:cNvPr id="2" name="Chart 1">
          <a:extLst>
            <a:ext uri="{FF2B5EF4-FFF2-40B4-BE49-F238E27FC236}">
              <a16:creationId xmlns:a16="http://schemas.microsoft.com/office/drawing/2014/main" id="{00000000-0008-0000-4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1</xdr:col>
      <xdr:colOff>0</xdr:colOff>
      <xdr:row>34</xdr:row>
      <xdr:rowOff>0</xdr:rowOff>
    </xdr:from>
    <xdr:to>
      <xdr:col>13</xdr:col>
      <xdr:colOff>371475</xdr:colOff>
      <xdr:row>61</xdr:row>
      <xdr:rowOff>85725</xdr:rowOff>
    </xdr:to>
    <xdr:graphicFrame macro="">
      <xdr:nvGraphicFramePr>
        <xdr:cNvPr id="3" name="Chart 2">
          <a:extLst>
            <a:ext uri="{FF2B5EF4-FFF2-40B4-BE49-F238E27FC236}">
              <a16:creationId xmlns:a16="http://schemas.microsoft.com/office/drawing/2014/main" id="{00000000-0008-0000-4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1</xdr:col>
      <xdr:colOff>0</xdr:colOff>
      <xdr:row>63</xdr:row>
      <xdr:rowOff>0</xdr:rowOff>
    </xdr:from>
    <xdr:to>
      <xdr:col>13</xdr:col>
      <xdr:colOff>371475</xdr:colOff>
      <xdr:row>90</xdr:row>
      <xdr:rowOff>85725</xdr:rowOff>
    </xdr:to>
    <xdr:graphicFrame macro="">
      <xdr:nvGraphicFramePr>
        <xdr:cNvPr id="4" name="Chart 3">
          <a:extLst>
            <a:ext uri="{FF2B5EF4-FFF2-40B4-BE49-F238E27FC236}">
              <a16:creationId xmlns:a16="http://schemas.microsoft.com/office/drawing/2014/main" id="{00000000-0008-0000-4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xdr:from>
      <xdr:col>12</xdr:col>
      <xdr:colOff>0</xdr:colOff>
      <xdr:row>1</xdr:row>
      <xdr:rowOff>0</xdr:rowOff>
    </xdr:from>
    <xdr:to>
      <xdr:col>13</xdr:col>
      <xdr:colOff>595593</xdr:colOff>
      <xdr:row>1</xdr:row>
      <xdr:rowOff>414618</xdr:rowOff>
    </xdr:to>
    <xdr:sp macro="" textlink="">
      <xdr:nvSpPr>
        <xdr:cNvPr id="5" name="Rounded Rectangle 4">
          <a:hlinkClick xmlns:r="http://schemas.openxmlformats.org/officeDocument/2006/relationships" r:id="rId4"/>
          <a:extLst>
            <a:ext uri="{FF2B5EF4-FFF2-40B4-BE49-F238E27FC236}">
              <a16:creationId xmlns:a16="http://schemas.microsoft.com/office/drawing/2014/main" id="{00000000-0008-0000-4A00-000005000000}"/>
            </a:ext>
          </a:extLst>
        </xdr:cNvPr>
        <xdr:cNvSpPr/>
      </xdr:nvSpPr>
      <xdr:spPr>
        <a:xfrm>
          <a:off x="6981825" y="190500"/>
          <a:ext cx="1205193" cy="414618"/>
        </a:xfrm>
        <a:prstGeom prst="roundRect">
          <a:avLst/>
        </a:prstGeom>
        <a:gradFill>
          <a:gsLst>
            <a:gs pos="0">
              <a:srgbClr val="23AF84"/>
            </a:gs>
            <a:gs pos="50000">
              <a:srgbClr val="6DDDA8"/>
            </a:gs>
            <a:gs pos="70000">
              <a:srgbClr val="70EAB9"/>
            </a:gs>
            <a:gs pos="100000">
              <a:srgbClr val="99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a:latin typeface="+mj-lt"/>
            </a:rPr>
            <a:t>Hazards</a:t>
          </a:r>
          <a:r>
            <a:rPr lang="en-US" sz="1100" baseline="0">
              <a:latin typeface="+mj-lt"/>
            </a:rPr>
            <a:t> Menu</a:t>
          </a:r>
          <a:endParaRPr lang="en-US" sz="1100">
            <a:latin typeface="+mj-lt"/>
          </a:endParaRPr>
        </a:p>
      </xdr:txBody>
    </xdr:sp>
    <xdr:clientData/>
  </xdr:twoCellAnchor>
  <xdr:twoCellAnchor>
    <xdr:from>
      <xdr:col>12</xdr:col>
      <xdr:colOff>0</xdr:colOff>
      <xdr:row>3</xdr:row>
      <xdr:rowOff>0</xdr:rowOff>
    </xdr:from>
    <xdr:to>
      <xdr:col>13</xdr:col>
      <xdr:colOff>595593</xdr:colOff>
      <xdr:row>4</xdr:row>
      <xdr:rowOff>57150</xdr:rowOff>
    </xdr:to>
    <xdr:sp macro="" textlink="">
      <xdr:nvSpPr>
        <xdr:cNvPr id="6" name="Rounded Rectangle 5">
          <a:hlinkClick xmlns:r="http://schemas.openxmlformats.org/officeDocument/2006/relationships" r:id="rId5"/>
          <a:extLst>
            <a:ext uri="{FF2B5EF4-FFF2-40B4-BE49-F238E27FC236}">
              <a16:creationId xmlns:a16="http://schemas.microsoft.com/office/drawing/2014/main" id="{00000000-0008-0000-4A00-000006000000}"/>
            </a:ext>
          </a:extLst>
        </xdr:cNvPr>
        <xdr:cNvSpPr/>
      </xdr:nvSpPr>
      <xdr:spPr>
        <a:xfrm>
          <a:off x="6981825" y="895350"/>
          <a:ext cx="1205193" cy="485775"/>
        </a:xfrm>
        <a:prstGeom prst="roundRect">
          <a:avLst/>
        </a:prstGeom>
        <a:gradFill>
          <a:gsLst>
            <a:gs pos="0">
              <a:srgbClr val="DCCD72"/>
            </a:gs>
            <a:gs pos="50000">
              <a:srgbClr val="FFFF99"/>
            </a:gs>
            <a:gs pos="70000">
              <a:srgbClr val="FFFFCC"/>
            </a:gs>
            <a:gs pos="100000">
              <a:srgbClr val="FF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000" baseline="0">
              <a:solidFill>
                <a:schemeClr val="tx1"/>
              </a:solidFill>
              <a:latin typeface="+mj-lt"/>
            </a:rPr>
            <a:t>Hazard </a:t>
          </a:r>
          <a:r>
            <a:rPr lang="en-US" sz="1000">
              <a:solidFill>
                <a:schemeClr val="tx1"/>
              </a:solidFill>
              <a:latin typeface="+mj-lt"/>
            </a:rPr>
            <a:t>Worksheet</a:t>
          </a:r>
        </a:p>
      </xdr:txBody>
    </xdr:sp>
    <xdr:clientData/>
  </xdr:twoCellAnchor>
  <xdr:twoCellAnchor>
    <xdr:from>
      <xdr:col>0</xdr:col>
      <xdr:colOff>246530</xdr:colOff>
      <xdr:row>92</xdr:row>
      <xdr:rowOff>78441</xdr:rowOff>
    </xdr:from>
    <xdr:to>
      <xdr:col>13</xdr:col>
      <xdr:colOff>337858</xdr:colOff>
      <xdr:row>119</xdr:row>
      <xdr:rowOff>164166</xdr:rowOff>
    </xdr:to>
    <xdr:graphicFrame macro="">
      <xdr:nvGraphicFramePr>
        <xdr:cNvPr id="7" name="Chart 6">
          <a:extLst>
            <a:ext uri="{FF2B5EF4-FFF2-40B4-BE49-F238E27FC236}">
              <a16:creationId xmlns:a16="http://schemas.microsoft.com/office/drawing/2014/main" id="{00000000-0008-0000-4A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twoCellAnchor>
</xdr:wsDr>
</file>

<file path=xl/drawings/drawing76.xml><?xml version="1.0" encoding="utf-8"?>
<xdr:wsDr xmlns:xdr="http://schemas.openxmlformats.org/drawingml/2006/spreadsheetDrawing" xmlns:a="http://schemas.openxmlformats.org/drawingml/2006/main">
  <xdr:twoCellAnchor>
    <xdr:from>
      <xdr:col>1</xdr:col>
      <xdr:colOff>0</xdr:colOff>
      <xdr:row>5</xdr:row>
      <xdr:rowOff>0</xdr:rowOff>
    </xdr:from>
    <xdr:to>
      <xdr:col>13</xdr:col>
      <xdr:colOff>371475</xdr:colOff>
      <xdr:row>32</xdr:row>
      <xdr:rowOff>85725</xdr:rowOff>
    </xdr:to>
    <xdr:graphicFrame macro="">
      <xdr:nvGraphicFramePr>
        <xdr:cNvPr id="2" name="Chart 1">
          <a:extLst>
            <a:ext uri="{FF2B5EF4-FFF2-40B4-BE49-F238E27FC236}">
              <a16:creationId xmlns:a16="http://schemas.microsoft.com/office/drawing/2014/main" id="{00000000-0008-0000-4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1</xdr:col>
      <xdr:colOff>0</xdr:colOff>
      <xdr:row>34</xdr:row>
      <xdr:rowOff>0</xdr:rowOff>
    </xdr:from>
    <xdr:to>
      <xdr:col>13</xdr:col>
      <xdr:colOff>371475</xdr:colOff>
      <xdr:row>61</xdr:row>
      <xdr:rowOff>85725</xdr:rowOff>
    </xdr:to>
    <xdr:graphicFrame macro="">
      <xdr:nvGraphicFramePr>
        <xdr:cNvPr id="3" name="Chart 2">
          <a:extLst>
            <a:ext uri="{FF2B5EF4-FFF2-40B4-BE49-F238E27FC236}">
              <a16:creationId xmlns:a16="http://schemas.microsoft.com/office/drawing/2014/main" id="{00000000-0008-0000-4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1</xdr:col>
      <xdr:colOff>0</xdr:colOff>
      <xdr:row>63</xdr:row>
      <xdr:rowOff>0</xdr:rowOff>
    </xdr:from>
    <xdr:to>
      <xdr:col>13</xdr:col>
      <xdr:colOff>371475</xdr:colOff>
      <xdr:row>90</xdr:row>
      <xdr:rowOff>85725</xdr:rowOff>
    </xdr:to>
    <xdr:graphicFrame macro="">
      <xdr:nvGraphicFramePr>
        <xdr:cNvPr id="4" name="Chart 3">
          <a:extLst>
            <a:ext uri="{FF2B5EF4-FFF2-40B4-BE49-F238E27FC236}">
              <a16:creationId xmlns:a16="http://schemas.microsoft.com/office/drawing/2014/main" id="{00000000-0008-0000-4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xdr:from>
      <xdr:col>12</xdr:col>
      <xdr:colOff>0</xdr:colOff>
      <xdr:row>1</xdr:row>
      <xdr:rowOff>0</xdr:rowOff>
    </xdr:from>
    <xdr:to>
      <xdr:col>13</xdr:col>
      <xdr:colOff>595593</xdr:colOff>
      <xdr:row>1</xdr:row>
      <xdr:rowOff>414618</xdr:rowOff>
    </xdr:to>
    <xdr:sp macro="" textlink="">
      <xdr:nvSpPr>
        <xdr:cNvPr id="5" name="Rounded Rectangle 4">
          <a:hlinkClick xmlns:r="http://schemas.openxmlformats.org/officeDocument/2006/relationships" r:id="rId4"/>
          <a:extLst>
            <a:ext uri="{FF2B5EF4-FFF2-40B4-BE49-F238E27FC236}">
              <a16:creationId xmlns:a16="http://schemas.microsoft.com/office/drawing/2014/main" id="{00000000-0008-0000-4B00-000005000000}"/>
            </a:ext>
          </a:extLst>
        </xdr:cNvPr>
        <xdr:cNvSpPr/>
      </xdr:nvSpPr>
      <xdr:spPr>
        <a:xfrm>
          <a:off x="6981825" y="190500"/>
          <a:ext cx="1205193" cy="414618"/>
        </a:xfrm>
        <a:prstGeom prst="roundRect">
          <a:avLst/>
        </a:prstGeom>
        <a:gradFill>
          <a:gsLst>
            <a:gs pos="0">
              <a:srgbClr val="23AF84"/>
            </a:gs>
            <a:gs pos="50000">
              <a:srgbClr val="6DDDA8"/>
            </a:gs>
            <a:gs pos="70000">
              <a:srgbClr val="70EAB9"/>
            </a:gs>
            <a:gs pos="100000">
              <a:srgbClr val="99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a:latin typeface="+mj-lt"/>
            </a:rPr>
            <a:t>Hazards</a:t>
          </a:r>
          <a:r>
            <a:rPr lang="en-US" sz="1100" baseline="0">
              <a:latin typeface="+mj-lt"/>
            </a:rPr>
            <a:t> Menu</a:t>
          </a:r>
          <a:endParaRPr lang="en-US" sz="1100">
            <a:latin typeface="+mj-lt"/>
          </a:endParaRPr>
        </a:p>
      </xdr:txBody>
    </xdr:sp>
    <xdr:clientData/>
  </xdr:twoCellAnchor>
  <xdr:twoCellAnchor>
    <xdr:from>
      <xdr:col>12</xdr:col>
      <xdr:colOff>0</xdr:colOff>
      <xdr:row>3</xdr:row>
      <xdr:rowOff>0</xdr:rowOff>
    </xdr:from>
    <xdr:to>
      <xdr:col>13</xdr:col>
      <xdr:colOff>595593</xdr:colOff>
      <xdr:row>4</xdr:row>
      <xdr:rowOff>57150</xdr:rowOff>
    </xdr:to>
    <xdr:sp macro="" textlink="">
      <xdr:nvSpPr>
        <xdr:cNvPr id="6" name="Rounded Rectangle 5">
          <a:hlinkClick xmlns:r="http://schemas.openxmlformats.org/officeDocument/2006/relationships" r:id="rId5"/>
          <a:extLst>
            <a:ext uri="{FF2B5EF4-FFF2-40B4-BE49-F238E27FC236}">
              <a16:creationId xmlns:a16="http://schemas.microsoft.com/office/drawing/2014/main" id="{00000000-0008-0000-4B00-000006000000}"/>
            </a:ext>
          </a:extLst>
        </xdr:cNvPr>
        <xdr:cNvSpPr/>
      </xdr:nvSpPr>
      <xdr:spPr>
        <a:xfrm>
          <a:off x="6981825" y="895350"/>
          <a:ext cx="1205193" cy="485775"/>
        </a:xfrm>
        <a:prstGeom prst="roundRect">
          <a:avLst/>
        </a:prstGeom>
        <a:gradFill>
          <a:gsLst>
            <a:gs pos="0">
              <a:srgbClr val="DCCD72"/>
            </a:gs>
            <a:gs pos="50000">
              <a:srgbClr val="FFFF99"/>
            </a:gs>
            <a:gs pos="70000">
              <a:srgbClr val="FFFFCC"/>
            </a:gs>
            <a:gs pos="100000">
              <a:srgbClr val="FF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000" baseline="0">
              <a:solidFill>
                <a:schemeClr val="tx1"/>
              </a:solidFill>
              <a:latin typeface="+mj-lt"/>
            </a:rPr>
            <a:t>Hazard </a:t>
          </a:r>
          <a:r>
            <a:rPr lang="en-US" sz="1000">
              <a:solidFill>
                <a:schemeClr val="tx1"/>
              </a:solidFill>
              <a:latin typeface="+mj-lt"/>
            </a:rPr>
            <a:t>Worksheet</a:t>
          </a:r>
        </a:p>
      </xdr:txBody>
    </xdr:sp>
    <xdr:clientData/>
  </xdr:twoCellAnchor>
  <xdr:twoCellAnchor>
    <xdr:from>
      <xdr:col>0</xdr:col>
      <xdr:colOff>246530</xdr:colOff>
      <xdr:row>92</xdr:row>
      <xdr:rowOff>78441</xdr:rowOff>
    </xdr:from>
    <xdr:to>
      <xdr:col>13</xdr:col>
      <xdr:colOff>337858</xdr:colOff>
      <xdr:row>119</xdr:row>
      <xdr:rowOff>164166</xdr:rowOff>
    </xdr:to>
    <xdr:graphicFrame macro="">
      <xdr:nvGraphicFramePr>
        <xdr:cNvPr id="7" name="Chart 6">
          <a:extLst>
            <a:ext uri="{FF2B5EF4-FFF2-40B4-BE49-F238E27FC236}">
              <a16:creationId xmlns:a16="http://schemas.microsoft.com/office/drawing/2014/main" id="{00000000-0008-0000-4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twoCellAnchor>
</xdr:wsDr>
</file>

<file path=xl/drawings/drawing77.xml><?xml version="1.0" encoding="utf-8"?>
<xdr:wsDr xmlns:xdr="http://schemas.openxmlformats.org/drawingml/2006/spreadsheetDrawing" xmlns:a="http://schemas.openxmlformats.org/drawingml/2006/main">
  <xdr:twoCellAnchor>
    <xdr:from>
      <xdr:col>1</xdr:col>
      <xdr:colOff>0</xdr:colOff>
      <xdr:row>5</xdr:row>
      <xdr:rowOff>0</xdr:rowOff>
    </xdr:from>
    <xdr:to>
      <xdr:col>13</xdr:col>
      <xdr:colOff>371475</xdr:colOff>
      <xdr:row>32</xdr:row>
      <xdr:rowOff>85725</xdr:rowOff>
    </xdr:to>
    <xdr:graphicFrame macro="">
      <xdr:nvGraphicFramePr>
        <xdr:cNvPr id="2" name="Chart 1">
          <a:extLst>
            <a:ext uri="{FF2B5EF4-FFF2-40B4-BE49-F238E27FC236}">
              <a16:creationId xmlns:a16="http://schemas.microsoft.com/office/drawing/2014/main" id="{00000000-0008-0000-4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1</xdr:col>
      <xdr:colOff>0</xdr:colOff>
      <xdr:row>34</xdr:row>
      <xdr:rowOff>0</xdr:rowOff>
    </xdr:from>
    <xdr:to>
      <xdr:col>13</xdr:col>
      <xdr:colOff>371475</xdr:colOff>
      <xdr:row>61</xdr:row>
      <xdr:rowOff>85725</xdr:rowOff>
    </xdr:to>
    <xdr:graphicFrame macro="">
      <xdr:nvGraphicFramePr>
        <xdr:cNvPr id="3" name="Chart 2">
          <a:extLst>
            <a:ext uri="{FF2B5EF4-FFF2-40B4-BE49-F238E27FC236}">
              <a16:creationId xmlns:a16="http://schemas.microsoft.com/office/drawing/2014/main" id="{00000000-0008-0000-4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1</xdr:col>
      <xdr:colOff>0</xdr:colOff>
      <xdr:row>63</xdr:row>
      <xdr:rowOff>0</xdr:rowOff>
    </xdr:from>
    <xdr:to>
      <xdr:col>13</xdr:col>
      <xdr:colOff>371475</xdr:colOff>
      <xdr:row>90</xdr:row>
      <xdr:rowOff>85725</xdr:rowOff>
    </xdr:to>
    <xdr:graphicFrame macro="">
      <xdr:nvGraphicFramePr>
        <xdr:cNvPr id="4" name="Chart 3">
          <a:extLst>
            <a:ext uri="{FF2B5EF4-FFF2-40B4-BE49-F238E27FC236}">
              <a16:creationId xmlns:a16="http://schemas.microsoft.com/office/drawing/2014/main" id="{00000000-0008-0000-4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xdr:from>
      <xdr:col>12</xdr:col>
      <xdr:colOff>0</xdr:colOff>
      <xdr:row>1</xdr:row>
      <xdr:rowOff>0</xdr:rowOff>
    </xdr:from>
    <xdr:to>
      <xdr:col>13</xdr:col>
      <xdr:colOff>595593</xdr:colOff>
      <xdr:row>1</xdr:row>
      <xdr:rowOff>414618</xdr:rowOff>
    </xdr:to>
    <xdr:sp macro="" textlink="">
      <xdr:nvSpPr>
        <xdr:cNvPr id="5" name="Rounded Rectangle 4">
          <a:hlinkClick xmlns:r="http://schemas.openxmlformats.org/officeDocument/2006/relationships" r:id="rId4"/>
          <a:extLst>
            <a:ext uri="{FF2B5EF4-FFF2-40B4-BE49-F238E27FC236}">
              <a16:creationId xmlns:a16="http://schemas.microsoft.com/office/drawing/2014/main" id="{00000000-0008-0000-4C00-000005000000}"/>
            </a:ext>
          </a:extLst>
        </xdr:cNvPr>
        <xdr:cNvSpPr/>
      </xdr:nvSpPr>
      <xdr:spPr>
        <a:xfrm>
          <a:off x="6981825" y="190500"/>
          <a:ext cx="1205193" cy="414618"/>
        </a:xfrm>
        <a:prstGeom prst="roundRect">
          <a:avLst/>
        </a:prstGeom>
        <a:gradFill>
          <a:gsLst>
            <a:gs pos="0">
              <a:srgbClr val="23AF84"/>
            </a:gs>
            <a:gs pos="50000">
              <a:srgbClr val="6DDDA8"/>
            </a:gs>
            <a:gs pos="70000">
              <a:srgbClr val="70EAB9"/>
            </a:gs>
            <a:gs pos="100000">
              <a:srgbClr val="99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a:latin typeface="+mj-lt"/>
            </a:rPr>
            <a:t>Hazards</a:t>
          </a:r>
          <a:r>
            <a:rPr lang="en-US" sz="1100" baseline="0">
              <a:latin typeface="+mj-lt"/>
            </a:rPr>
            <a:t> Menu</a:t>
          </a:r>
          <a:endParaRPr lang="en-US" sz="1100">
            <a:latin typeface="+mj-lt"/>
          </a:endParaRPr>
        </a:p>
      </xdr:txBody>
    </xdr:sp>
    <xdr:clientData/>
  </xdr:twoCellAnchor>
  <xdr:twoCellAnchor>
    <xdr:from>
      <xdr:col>12</xdr:col>
      <xdr:colOff>0</xdr:colOff>
      <xdr:row>3</xdr:row>
      <xdr:rowOff>0</xdr:rowOff>
    </xdr:from>
    <xdr:to>
      <xdr:col>13</xdr:col>
      <xdr:colOff>595593</xdr:colOff>
      <xdr:row>4</xdr:row>
      <xdr:rowOff>57150</xdr:rowOff>
    </xdr:to>
    <xdr:sp macro="" textlink="">
      <xdr:nvSpPr>
        <xdr:cNvPr id="6" name="Rounded Rectangle 5">
          <a:hlinkClick xmlns:r="http://schemas.openxmlformats.org/officeDocument/2006/relationships" r:id="rId5"/>
          <a:extLst>
            <a:ext uri="{FF2B5EF4-FFF2-40B4-BE49-F238E27FC236}">
              <a16:creationId xmlns:a16="http://schemas.microsoft.com/office/drawing/2014/main" id="{00000000-0008-0000-4C00-000006000000}"/>
            </a:ext>
          </a:extLst>
        </xdr:cNvPr>
        <xdr:cNvSpPr/>
      </xdr:nvSpPr>
      <xdr:spPr>
        <a:xfrm>
          <a:off x="6981825" y="895350"/>
          <a:ext cx="1205193" cy="485775"/>
        </a:xfrm>
        <a:prstGeom prst="roundRect">
          <a:avLst/>
        </a:prstGeom>
        <a:gradFill>
          <a:gsLst>
            <a:gs pos="0">
              <a:srgbClr val="DCCD72"/>
            </a:gs>
            <a:gs pos="50000">
              <a:srgbClr val="FFFF99"/>
            </a:gs>
            <a:gs pos="70000">
              <a:srgbClr val="FFFFCC"/>
            </a:gs>
            <a:gs pos="100000">
              <a:srgbClr val="FF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000" baseline="0">
              <a:solidFill>
                <a:schemeClr val="tx1"/>
              </a:solidFill>
              <a:latin typeface="+mj-lt"/>
            </a:rPr>
            <a:t>Hazard </a:t>
          </a:r>
          <a:r>
            <a:rPr lang="en-US" sz="1000">
              <a:solidFill>
                <a:schemeClr val="tx1"/>
              </a:solidFill>
              <a:latin typeface="+mj-lt"/>
            </a:rPr>
            <a:t>Worksheet</a:t>
          </a:r>
        </a:p>
      </xdr:txBody>
    </xdr:sp>
    <xdr:clientData/>
  </xdr:twoCellAnchor>
  <xdr:twoCellAnchor>
    <xdr:from>
      <xdr:col>0</xdr:col>
      <xdr:colOff>246530</xdr:colOff>
      <xdr:row>92</xdr:row>
      <xdr:rowOff>78441</xdr:rowOff>
    </xdr:from>
    <xdr:to>
      <xdr:col>13</xdr:col>
      <xdr:colOff>337858</xdr:colOff>
      <xdr:row>119</xdr:row>
      <xdr:rowOff>164166</xdr:rowOff>
    </xdr:to>
    <xdr:graphicFrame macro="">
      <xdr:nvGraphicFramePr>
        <xdr:cNvPr id="7" name="Chart 6">
          <a:extLst>
            <a:ext uri="{FF2B5EF4-FFF2-40B4-BE49-F238E27FC236}">
              <a16:creationId xmlns:a16="http://schemas.microsoft.com/office/drawing/2014/main" id="{00000000-0008-0000-4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twoCellAnchor>
</xdr:wsDr>
</file>

<file path=xl/drawings/drawing78.xml><?xml version="1.0" encoding="utf-8"?>
<xdr:wsDr xmlns:xdr="http://schemas.openxmlformats.org/drawingml/2006/spreadsheetDrawing" xmlns:a="http://schemas.openxmlformats.org/drawingml/2006/main">
  <xdr:twoCellAnchor>
    <xdr:from>
      <xdr:col>1</xdr:col>
      <xdr:colOff>0</xdr:colOff>
      <xdr:row>5</xdr:row>
      <xdr:rowOff>0</xdr:rowOff>
    </xdr:from>
    <xdr:to>
      <xdr:col>13</xdr:col>
      <xdr:colOff>371475</xdr:colOff>
      <xdr:row>32</xdr:row>
      <xdr:rowOff>85725</xdr:rowOff>
    </xdr:to>
    <xdr:graphicFrame macro="">
      <xdr:nvGraphicFramePr>
        <xdr:cNvPr id="2" name="Chart 1">
          <a:extLst>
            <a:ext uri="{FF2B5EF4-FFF2-40B4-BE49-F238E27FC236}">
              <a16:creationId xmlns:a16="http://schemas.microsoft.com/office/drawing/2014/main" id="{00000000-0008-0000-4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1</xdr:col>
      <xdr:colOff>0</xdr:colOff>
      <xdr:row>34</xdr:row>
      <xdr:rowOff>0</xdr:rowOff>
    </xdr:from>
    <xdr:to>
      <xdr:col>13</xdr:col>
      <xdr:colOff>371475</xdr:colOff>
      <xdr:row>61</xdr:row>
      <xdr:rowOff>85725</xdr:rowOff>
    </xdr:to>
    <xdr:graphicFrame macro="">
      <xdr:nvGraphicFramePr>
        <xdr:cNvPr id="3" name="Chart 2">
          <a:extLst>
            <a:ext uri="{FF2B5EF4-FFF2-40B4-BE49-F238E27FC236}">
              <a16:creationId xmlns:a16="http://schemas.microsoft.com/office/drawing/2014/main" id="{00000000-0008-0000-4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1</xdr:col>
      <xdr:colOff>0</xdr:colOff>
      <xdr:row>63</xdr:row>
      <xdr:rowOff>0</xdr:rowOff>
    </xdr:from>
    <xdr:to>
      <xdr:col>13</xdr:col>
      <xdr:colOff>371475</xdr:colOff>
      <xdr:row>90</xdr:row>
      <xdr:rowOff>85725</xdr:rowOff>
    </xdr:to>
    <xdr:graphicFrame macro="">
      <xdr:nvGraphicFramePr>
        <xdr:cNvPr id="4" name="Chart 3">
          <a:extLst>
            <a:ext uri="{FF2B5EF4-FFF2-40B4-BE49-F238E27FC236}">
              <a16:creationId xmlns:a16="http://schemas.microsoft.com/office/drawing/2014/main" id="{00000000-0008-0000-4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xdr:from>
      <xdr:col>12</xdr:col>
      <xdr:colOff>0</xdr:colOff>
      <xdr:row>1</xdr:row>
      <xdr:rowOff>0</xdr:rowOff>
    </xdr:from>
    <xdr:to>
      <xdr:col>13</xdr:col>
      <xdr:colOff>595593</xdr:colOff>
      <xdr:row>1</xdr:row>
      <xdr:rowOff>414618</xdr:rowOff>
    </xdr:to>
    <xdr:sp macro="" textlink="">
      <xdr:nvSpPr>
        <xdr:cNvPr id="5" name="Rounded Rectangle 4">
          <a:hlinkClick xmlns:r="http://schemas.openxmlformats.org/officeDocument/2006/relationships" r:id="rId4"/>
          <a:extLst>
            <a:ext uri="{FF2B5EF4-FFF2-40B4-BE49-F238E27FC236}">
              <a16:creationId xmlns:a16="http://schemas.microsoft.com/office/drawing/2014/main" id="{00000000-0008-0000-4D00-000005000000}"/>
            </a:ext>
          </a:extLst>
        </xdr:cNvPr>
        <xdr:cNvSpPr/>
      </xdr:nvSpPr>
      <xdr:spPr>
        <a:xfrm>
          <a:off x="6981825" y="190500"/>
          <a:ext cx="1205193" cy="414618"/>
        </a:xfrm>
        <a:prstGeom prst="roundRect">
          <a:avLst/>
        </a:prstGeom>
        <a:gradFill>
          <a:gsLst>
            <a:gs pos="0">
              <a:srgbClr val="23AF84"/>
            </a:gs>
            <a:gs pos="50000">
              <a:srgbClr val="6DDDA8"/>
            </a:gs>
            <a:gs pos="70000">
              <a:srgbClr val="70EAB9"/>
            </a:gs>
            <a:gs pos="100000">
              <a:srgbClr val="99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a:latin typeface="+mj-lt"/>
            </a:rPr>
            <a:t>Hazards</a:t>
          </a:r>
          <a:r>
            <a:rPr lang="en-US" sz="1100" baseline="0">
              <a:latin typeface="+mj-lt"/>
            </a:rPr>
            <a:t> Menu</a:t>
          </a:r>
          <a:endParaRPr lang="en-US" sz="1100">
            <a:latin typeface="+mj-lt"/>
          </a:endParaRPr>
        </a:p>
      </xdr:txBody>
    </xdr:sp>
    <xdr:clientData/>
  </xdr:twoCellAnchor>
  <xdr:twoCellAnchor>
    <xdr:from>
      <xdr:col>12</xdr:col>
      <xdr:colOff>0</xdr:colOff>
      <xdr:row>3</xdr:row>
      <xdr:rowOff>0</xdr:rowOff>
    </xdr:from>
    <xdr:to>
      <xdr:col>13</xdr:col>
      <xdr:colOff>595593</xdr:colOff>
      <xdr:row>4</xdr:row>
      <xdr:rowOff>57150</xdr:rowOff>
    </xdr:to>
    <xdr:sp macro="" textlink="">
      <xdr:nvSpPr>
        <xdr:cNvPr id="6" name="Rounded Rectangle 5">
          <a:hlinkClick xmlns:r="http://schemas.openxmlformats.org/officeDocument/2006/relationships" r:id="rId5"/>
          <a:extLst>
            <a:ext uri="{FF2B5EF4-FFF2-40B4-BE49-F238E27FC236}">
              <a16:creationId xmlns:a16="http://schemas.microsoft.com/office/drawing/2014/main" id="{00000000-0008-0000-4D00-000006000000}"/>
            </a:ext>
          </a:extLst>
        </xdr:cNvPr>
        <xdr:cNvSpPr/>
      </xdr:nvSpPr>
      <xdr:spPr>
        <a:xfrm>
          <a:off x="6981825" y="895350"/>
          <a:ext cx="1205193" cy="485775"/>
        </a:xfrm>
        <a:prstGeom prst="roundRect">
          <a:avLst/>
        </a:prstGeom>
        <a:gradFill>
          <a:gsLst>
            <a:gs pos="0">
              <a:srgbClr val="DCCD72"/>
            </a:gs>
            <a:gs pos="50000">
              <a:srgbClr val="FFFF99"/>
            </a:gs>
            <a:gs pos="70000">
              <a:srgbClr val="FFFFCC"/>
            </a:gs>
            <a:gs pos="100000">
              <a:srgbClr val="FF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000" baseline="0">
              <a:solidFill>
                <a:schemeClr val="tx1"/>
              </a:solidFill>
              <a:latin typeface="+mj-lt"/>
            </a:rPr>
            <a:t>Hazard </a:t>
          </a:r>
          <a:r>
            <a:rPr lang="en-US" sz="1000">
              <a:solidFill>
                <a:schemeClr val="tx1"/>
              </a:solidFill>
              <a:latin typeface="+mj-lt"/>
            </a:rPr>
            <a:t>Worksheet</a:t>
          </a:r>
        </a:p>
      </xdr:txBody>
    </xdr:sp>
    <xdr:clientData/>
  </xdr:twoCellAnchor>
  <xdr:twoCellAnchor>
    <xdr:from>
      <xdr:col>0</xdr:col>
      <xdr:colOff>246530</xdr:colOff>
      <xdr:row>92</xdr:row>
      <xdr:rowOff>78441</xdr:rowOff>
    </xdr:from>
    <xdr:to>
      <xdr:col>13</xdr:col>
      <xdr:colOff>337858</xdr:colOff>
      <xdr:row>119</xdr:row>
      <xdr:rowOff>164166</xdr:rowOff>
    </xdr:to>
    <xdr:graphicFrame macro="">
      <xdr:nvGraphicFramePr>
        <xdr:cNvPr id="7" name="Chart 6">
          <a:extLst>
            <a:ext uri="{FF2B5EF4-FFF2-40B4-BE49-F238E27FC236}">
              <a16:creationId xmlns:a16="http://schemas.microsoft.com/office/drawing/2014/main" id="{00000000-0008-0000-4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twoCellAnchor>
</xdr:wsDr>
</file>

<file path=xl/drawings/drawing8.xml><?xml version="1.0" encoding="utf-8"?>
<xdr:wsDr xmlns:xdr="http://schemas.openxmlformats.org/drawingml/2006/spreadsheetDrawing" xmlns:a="http://schemas.openxmlformats.org/drawingml/2006/main">
  <xdr:twoCellAnchor>
    <xdr:from>
      <xdr:col>10</xdr:col>
      <xdr:colOff>0</xdr:colOff>
      <xdr:row>1</xdr:row>
      <xdr:rowOff>0</xdr:rowOff>
    </xdr:from>
    <xdr:to>
      <xdr:col>11</xdr:col>
      <xdr:colOff>595593</xdr:colOff>
      <xdr:row>2</xdr:row>
      <xdr:rowOff>0</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700-000003000000}"/>
            </a:ext>
          </a:extLst>
        </xdr:cNvPr>
        <xdr:cNvSpPr/>
      </xdr:nvSpPr>
      <xdr:spPr>
        <a:xfrm>
          <a:off x="7575176" y="190500"/>
          <a:ext cx="1200711" cy="414618"/>
        </a:xfrm>
        <a:prstGeom prst="roundRect">
          <a:avLst/>
        </a:prstGeom>
        <a:gradFill>
          <a:gsLst>
            <a:gs pos="0">
              <a:srgbClr val="23AF84"/>
            </a:gs>
            <a:gs pos="50000">
              <a:srgbClr val="6DDDA8"/>
            </a:gs>
            <a:gs pos="70000">
              <a:srgbClr val="70EAB9"/>
            </a:gs>
            <a:gs pos="100000">
              <a:srgbClr val="99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400">
              <a:latin typeface="+mj-lt"/>
            </a:rPr>
            <a:t>Main</a:t>
          </a:r>
          <a:r>
            <a:rPr lang="en-US" sz="1400" baseline="0">
              <a:latin typeface="+mj-lt"/>
            </a:rPr>
            <a:t> Menu</a:t>
          </a:r>
          <a:endParaRPr lang="en-US" sz="1400">
            <a:latin typeface="+mj-lt"/>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9</xdr:col>
      <xdr:colOff>0</xdr:colOff>
      <xdr:row>1</xdr:row>
      <xdr:rowOff>0</xdr:rowOff>
    </xdr:from>
    <xdr:to>
      <xdr:col>10</xdr:col>
      <xdr:colOff>595593</xdr:colOff>
      <xdr:row>1</xdr:row>
      <xdr:rowOff>414618</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800-000003000000}"/>
            </a:ext>
          </a:extLst>
        </xdr:cNvPr>
        <xdr:cNvSpPr/>
      </xdr:nvSpPr>
      <xdr:spPr>
        <a:xfrm>
          <a:off x="6257925" y="190500"/>
          <a:ext cx="1205193" cy="414618"/>
        </a:xfrm>
        <a:prstGeom prst="roundRect">
          <a:avLst/>
        </a:prstGeom>
        <a:gradFill>
          <a:gsLst>
            <a:gs pos="0">
              <a:srgbClr val="23AF84"/>
            </a:gs>
            <a:gs pos="50000">
              <a:srgbClr val="6DDDA8"/>
            </a:gs>
            <a:gs pos="70000">
              <a:srgbClr val="70EAB9"/>
            </a:gs>
            <a:gs pos="100000">
              <a:srgbClr val="99FFCC"/>
            </a:gs>
          </a:gsLst>
        </a:gradFill>
        <a:ln w="19050">
          <a:solidFill>
            <a:schemeClr val="tx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400">
              <a:latin typeface="+mj-lt"/>
            </a:rPr>
            <a:t>Main</a:t>
          </a:r>
          <a:r>
            <a:rPr lang="en-US" sz="1400" baseline="0">
              <a:latin typeface="+mj-lt"/>
            </a:rPr>
            <a:t> Menu</a:t>
          </a:r>
          <a:endParaRPr lang="en-US" sz="1400">
            <a:latin typeface="+mj-lt"/>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Thatch">
      <a:fillStyleLst>
        <a:solidFill>
          <a:schemeClr val="phClr"/>
        </a:solidFill>
        <a:gradFill rotWithShape="1">
          <a:gsLst>
            <a:gs pos="0">
              <a:schemeClr val="phClr">
                <a:tint val="79000"/>
                <a:satMod val="180000"/>
              </a:schemeClr>
            </a:gs>
            <a:gs pos="65000">
              <a:schemeClr val="phClr">
                <a:tint val="52000"/>
                <a:satMod val="250000"/>
              </a:schemeClr>
            </a:gs>
            <a:gs pos="100000">
              <a:schemeClr val="phClr">
                <a:tint val="29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15875" cap="flat" cmpd="sng" algn="ctr">
          <a:solidFill>
            <a:schemeClr val="phClr"/>
          </a:solidFill>
          <a:prstDash val="solid"/>
        </a:ln>
        <a:ln w="38100" cap="flat" cmpd="sng" algn="ctr">
          <a:solidFill>
            <a:schemeClr val="phClr"/>
          </a:solidFill>
          <a:prstDash val="solid"/>
        </a:ln>
      </a:lnStyleLst>
      <a:effectStyleLst>
        <a:effectStyle>
          <a:effectLst>
            <a:outerShdw blurRad="63500" dist="25400" dir="5400000" rotWithShape="0">
              <a:srgbClr val="000000">
                <a:alpha val="43000"/>
              </a:srgbClr>
            </a:outerShdw>
          </a:effectLst>
        </a:effectStyle>
        <a:effectStyle>
          <a:effectLst>
            <a:outerShdw blurRad="63500" dist="25400" dir="5400000" rotWithShape="0">
              <a:srgbClr val="000000">
                <a:alpha val="43000"/>
              </a:srgbClr>
            </a:outerShdw>
          </a:effectLst>
          <a:scene3d>
            <a:camera prst="orthographicFront">
              <a:rot lat="0" lon="0" rev="0"/>
            </a:camera>
            <a:lightRig rig="brightRoom" dir="t">
              <a:rot lat="0" lon="0" rev="8700000"/>
            </a:lightRig>
          </a:scene3d>
          <a:sp3d contourW="12700" prstMaterial="dkEdge">
            <a:bevelT w="0" h="0" prst="relaxedInset"/>
            <a:contourClr>
              <a:schemeClr val="phClr">
                <a:shade val="65000"/>
                <a:satMod val="150000"/>
              </a:schemeClr>
            </a:contourClr>
          </a:sp3d>
        </a:effectStyle>
        <a:effectStyle>
          <a:effectLst>
            <a:outerShdw blurRad="63500" dist="25400" dir="5400000" rotWithShape="0">
              <a:srgbClr val="000000">
                <a:alpha val="43000"/>
              </a:srgbClr>
            </a:outerShdw>
          </a:effectLst>
          <a:scene3d>
            <a:camera prst="orthographicFront">
              <a:rot lat="0" lon="0" rev="0"/>
            </a:camera>
            <a:lightRig rig="glow" dir="t">
              <a:rot lat="0" lon="0" rev="13200000"/>
            </a:lightRig>
          </a:scene3d>
          <a:sp3d prstMaterial="dkEdge">
            <a:bevelT w="63500" h="50800" prst="relaxedInset"/>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doh.sd.gov/documents/Providers/Prepare/Joplin.pdf" TargetMode="External"/><Relationship Id="rId7" Type="http://schemas.openxmlformats.org/officeDocument/2006/relationships/drawing" Target="../drawings/drawing26.xml"/><Relationship Id="rId2" Type="http://schemas.openxmlformats.org/officeDocument/2006/relationships/hyperlink" Target="https://pubmed.ncbi.nlm.nih.gov/23264280/" TargetMode="External"/><Relationship Id="rId1" Type="http://schemas.openxmlformats.org/officeDocument/2006/relationships/hyperlink" Target="https://www.mercy.net/about/history/joplin/joplin-tornado/" TargetMode="External"/><Relationship Id="rId6" Type="http://schemas.openxmlformats.org/officeDocument/2006/relationships/printerSettings" Target="../printerSettings/printerSettings26.bin"/><Relationship Id="rId5" Type="http://schemas.openxmlformats.org/officeDocument/2006/relationships/hyperlink" Target="https://www.nist.gov/system/files/documents/2017/05/09/NCSTACJoplin110411.pdf" TargetMode="External"/><Relationship Id="rId4" Type="http://schemas.openxmlformats.org/officeDocument/2006/relationships/hyperlink" Target="https://www.joplinglobe.com/news/local_news/joplin-tornado-by-the-numbers/article_5bd98ce2-ba68-11eb-bfe1-9fb2325fe9a0.html" TargetMode="Externa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hyperlink" Target="https://www.fema.gov/about/reports-and-data/resilience-analysis-planning-tool" TargetMode="External"/><Relationship Id="rId3" Type="http://schemas.openxmlformats.org/officeDocument/2006/relationships/hyperlink" Target="https://www.fema.gov/emergency-managers/practitioners/resilience-analysis-and-planning-tool" TargetMode="External"/><Relationship Id="rId7" Type="http://schemas.openxmlformats.org/officeDocument/2006/relationships/hyperlink" Target="https://www.census.gov/quickfacts/fact/table/US" TargetMode="External"/><Relationship Id="rId2" Type="http://schemas.openxmlformats.org/officeDocument/2006/relationships/hyperlink" Target="http://www.worldpopulationreview.com/" TargetMode="External"/><Relationship Id="rId1" Type="http://schemas.openxmlformats.org/officeDocument/2006/relationships/hyperlink" Target="http://www.city-data.com/" TargetMode="External"/><Relationship Id="rId6" Type="http://schemas.openxmlformats.org/officeDocument/2006/relationships/hyperlink" Target="https://www.census.gov/quickfacts/fact/table/US" TargetMode="External"/><Relationship Id="rId5" Type="http://schemas.openxmlformats.org/officeDocument/2006/relationships/hyperlink" Target="https://www.census.gov/quickfacts/fact/table/US" TargetMode="External"/><Relationship Id="rId10" Type="http://schemas.openxmlformats.org/officeDocument/2006/relationships/drawing" Target="../drawings/drawing9.xml"/><Relationship Id="rId4" Type="http://schemas.openxmlformats.org/officeDocument/2006/relationships/hyperlink" Target="http://www.city-data.com/" TargetMode="External"/><Relationship Id="rId9"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L113"/>
  <sheetViews>
    <sheetView showGridLines="0" showRowColHeaders="0" tabSelected="1" zoomScaleNormal="100" workbookViewId="0"/>
  </sheetViews>
  <sheetFormatPr baseColWidth="10" defaultColWidth="9.1640625" defaultRowHeight="15" x14ac:dyDescent="0.2"/>
  <cols>
    <col min="1" max="2" width="9.1640625" style="12"/>
    <col min="3" max="3" width="9.1640625" style="12" customWidth="1"/>
    <col min="4" max="4" width="9.1640625" style="12"/>
    <col min="5" max="6" width="9.1640625" style="12" customWidth="1"/>
    <col min="7" max="8" width="9.1640625" style="12"/>
    <col min="9" max="9" width="9" style="15" customWidth="1"/>
    <col min="10" max="10" width="27.33203125" style="15" customWidth="1"/>
    <col min="11" max="11" width="9.1640625" style="12" customWidth="1"/>
    <col min="12" max="16384" width="9.1640625" style="12"/>
  </cols>
  <sheetData>
    <row r="1" spans="1:11" s="303" customFormat="1" x14ac:dyDescent="0.2">
      <c r="A1"/>
      <c r="I1" s="304"/>
      <c r="J1" s="304"/>
    </row>
    <row r="2" spans="1:11" s="303" customFormat="1" x14ac:dyDescent="0.2">
      <c r="I2" s="304"/>
      <c r="J2" s="304"/>
    </row>
    <row r="3" spans="1:11" s="303" customFormat="1" x14ac:dyDescent="0.2">
      <c r="B3" s="305"/>
      <c r="I3" s="304"/>
      <c r="J3" s="304"/>
    </row>
    <row r="4" spans="1:11" s="303" customFormat="1" ht="16" x14ac:dyDescent="0.2">
      <c r="I4" s="304"/>
      <c r="J4" s="331" t="s">
        <v>1283</v>
      </c>
    </row>
    <row r="5" spans="1:11" s="303" customFormat="1" x14ac:dyDescent="0.2">
      <c r="I5" s="304"/>
      <c r="J5" s="331"/>
    </row>
    <row r="6" spans="1:11" s="303" customFormat="1" x14ac:dyDescent="0.2">
      <c r="I6" s="304"/>
      <c r="J6" s="304"/>
    </row>
    <row r="7" spans="1:11" s="303" customFormat="1" x14ac:dyDescent="0.2">
      <c r="I7" s="304"/>
      <c r="J7" s="304"/>
    </row>
    <row r="8" spans="1:11" ht="33" x14ac:dyDescent="0.2">
      <c r="H8" s="16" t="s">
        <v>1038</v>
      </c>
    </row>
    <row r="9" spans="1:11" ht="16.5" customHeight="1" thickBot="1" x14ac:dyDescent="0.25">
      <c r="H9" s="16"/>
    </row>
    <row r="10" spans="1:11" ht="16.5" customHeight="1" x14ac:dyDescent="0.2">
      <c r="C10" s="17"/>
      <c r="D10" s="18"/>
      <c r="E10" s="18"/>
      <c r="F10" s="18"/>
      <c r="G10" s="18"/>
      <c r="H10" s="119"/>
      <c r="I10" s="19"/>
      <c r="J10" s="19"/>
      <c r="K10" s="20"/>
    </row>
    <row r="11" spans="1:11" ht="16.5" customHeight="1" x14ac:dyDescent="0.25">
      <c r="C11" s="21"/>
      <c r="D11" s="122" t="s">
        <v>417</v>
      </c>
      <c r="E11"/>
      <c r="F11"/>
      <c r="G11"/>
      <c r="H11" s="120"/>
      <c r="I11" s="23"/>
      <c r="J11" s="23"/>
      <c r="K11" s="24"/>
    </row>
    <row r="12" spans="1:11" ht="16.5" customHeight="1" x14ac:dyDescent="0.2">
      <c r="C12" s="21"/>
      <c r="D12"/>
      <c r="E12"/>
      <c r="F12"/>
      <c r="G12"/>
      <c r="H12" s="120"/>
      <c r="I12" s="23"/>
      <c r="J12" s="23"/>
      <c r="K12" s="24"/>
    </row>
    <row r="13" spans="1:11" ht="16.5" customHeight="1" x14ac:dyDescent="0.2">
      <c r="C13" s="21"/>
      <c r="D13"/>
      <c r="E13"/>
      <c r="F13"/>
      <c r="G13"/>
      <c r="H13" s="120"/>
      <c r="I13" s="23"/>
      <c r="J13"/>
      <c r="K13" s="24"/>
    </row>
    <row r="14" spans="1:11" ht="16.5" customHeight="1" x14ac:dyDescent="0.2">
      <c r="C14" s="21"/>
      <c r="D14"/>
      <c r="E14"/>
      <c r="F14"/>
      <c r="G14"/>
      <c r="H14" s="120"/>
      <c r="I14" s="23"/>
      <c r="J14" s="23"/>
      <c r="K14" s="24"/>
    </row>
    <row r="15" spans="1:11" ht="16.5" customHeight="1" x14ac:dyDescent="0.2">
      <c r="C15" s="21"/>
      <c r="D15"/>
      <c r="E15"/>
      <c r="F15"/>
      <c r="G15"/>
      <c r="H15" s="120"/>
      <c r="I15" s="23"/>
      <c r="J15"/>
      <c r="K15" s="24"/>
    </row>
    <row r="16" spans="1:11" ht="16.5" customHeight="1" thickBot="1" x14ac:dyDescent="0.25">
      <c r="C16" s="25"/>
      <c r="D16" s="26"/>
      <c r="E16" s="26"/>
      <c r="F16" s="26"/>
      <c r="G16" s="26"/>
      <c r="H16" s="121"/>
      <c r="I16" s="27"/>
      <c r="J16" s="27"/>
      <c r="K16" s="28"/>
    </row>
    <row r="17" spans="3:12" ht="16.5" customHeight="1" thickBot="1" x14ac:dyDescent="0.25">
      <c r="H17" s="16"/>
    </row>
    <row r="18" spans="3:12" x14ac:dyDescent="0.2">
      <c r="C18" s="17"/>
      <c r="D18" s="18"/>
      <c r="E18" s="18"/>
      <c r="F18" s="18"/>
      <c r="G18" s="18"/>
      <c r="H18" s="18"/>
      <c r="I18" s="19"/>
      <c r="J18" s="19"/>
      <c r="K18" s="20"/>
    </row>
    <row r="19" spans="3:12" ht="39.75" customHeight="1" x14ac:dyDescent="0.2">
      <c r="C19" s="21"/>
      <c r="D19" s="22" t="s">
        <v>0</v>
      </c>
      <c r="E19"/>
      <c r="F19"/>
      <c r="G19"/>
      <c r="H19"/>
      <c r="I19"/>
      <c r="J19"/>
      <c r="K19" s="24"/>
      <c r="L19" s="12" t="s">
        <v>1129</v>
      </c>
    </row>
    <row r="20" spans="3:12" x14ac:dyDescent="0.2">
      <c r="C20" s="21"/>
      <c r="D20" t="s">
        <v>1128</v>
      </c>
      <c r="E20"/>
      <c r="F20"/>
      <c r="G20"/>
      <c r="H20"/>
      <c r="I20"/>
      <c r="J20" s="23"/>
      <c r="K20" s="24"/>
    </row>
    <row r="21" spans="3:12" ht="39.75" customHeight="1" x14ac:dyDescent="0.2">
      <c r="C21" s="21"/>
      <c r="D21"/>
      <c r="E21"/>
      <c r="F21"/>
      <c r="G21"/>
      <c r="H21"/>
      <c r="I21"/>
      <c r="J21"/>
      <c r="K21" s="24"/>
      <c r="L21" s="12" t="s">
        <v>1347</v>
      </c>
    </row>
    <row r="22" spans="3:12" x14ac:dyDescent="0.2">
      <c r="C22" s="21"/>
      <c r="D22"/>
      <c r="E22"/>
      <c r="F22"/>
      <c r="G22"/>
      <c r="H22"/>
      <c r="I22"/>
      <c r="J22" s="23"/>
      <c r="K22" s="24"/>
    </row>
    <row r="23" spans="3:12" ht="39.75" customHeight="1" x14ac:dyDescent="0.2">
      <c r="C23" s="21"/>
      <c r="D23"/>
      <c r="E23"/>
      <c r="F23"/>
      <c r="G23"/>
      <c r="H23"/>
      <c r="I23"/>
      <c r="J23"/>
      <c r="K23" s="24"/>
      <c r="L23" s="12" t="s">
        <v>1131</v>
      </c>
    </row>
    <row r="24" spans="3:12" x14ac:dyDescent="0.2">
      <c r="C24" s="21"/>
      <c r="D24"/>
      <c r="E24"/>
      <c r="F24"/>
      <c r="G24"/>
      <c r="H24"/>
      <c r="I24"/>
      <c r="J24" s="23"/>
      <c r="K24" s="24"/>
    </row>
    <row r="25" spans="3:12" ht="39.75" customHeight="1" x14ac:dyDescent="0.2">
      <c r="C25" s="21"/>
      <c r="D25"/>
      <c r="E25"/>
      <c r="F25"/>
      <c r="G25"/>
      <c r="H25"/>
      <c r="I25"/>
      <c r="J25"/>
      <c r="K25" s="24"/>
      <c r="L25" s="12" t="s">
        <v>1132</v>
      </c>
    </row>
    <row r="26" spans="3:12" x14ac:dyDescent="0.2">
      <c r="C26" s="21"/>
      <c r="D26"/>
      <c r="E26"/>
      <c r="F26"/>
      <c r="G26"/>
      <c r="H26"/>
      <c r="I26"/>
      <c r="J26" s="23"/>
      <c r="K26" s="24"/>
    </row>
    <row r="27" spans="3:12" ht="30.75" customHeight="1" x14ac:dyDescent="0.2">
      <c r="C27" s="21"/>
      <c r="D27"/>
      <c r="E27"/>
      <c r="F27"/>
      <c r="G27"/>
      <c r="H27"/>
      <c r="I27"/>
      <c r="J27"/>
      <c r="K27" s="24"/>
      <c r="L27" s="12" t="s">
        <v>1130</v>
      </c>
    </row>
    <row r="28" spans="3:12" ht="16" thickBot="1" x14ac:dyDescent="0.25">
      <c r="C28" s="25"/>
      <c r="D28" s="26"/>
      <c r="E28" s="26"/>
      <c r="F28" s="26"/>
      <c r="G28" s="26"/>
      <c r="H28" s="26"/>
      <c r="I28" s="27"/>
      <c r="J28" s="27"/>
      <c r="K28" s="28"/>
    </row>
    <row r="29" spans="3:12" ht="30.75" customHeight="1" thickBot="1" x14ac:dyDescent="0.25"/>
    <row r="30" spans="3:12" x14ac:dyDescent="0.2">
      <c r="C30" s="17"/>
      <c r="D30" s="18"/>
      <c r="E30" s="18"/>
      <c r="F30" s="18"/>
      <c r="G30" s="18"/>
      <c r="H30" s="18"/>
      <c r="I30" s="19"/>
      <c r="J30" s="19"/>
      <c r="K30" s="20"/>
    </row>
    <row r="31" spans="3:12" ht="30.75" customHeight="1" x14ac:dyDescent="0.2">
      <c r="C31" s="21"/>
      <c r="D31" s="22" t="s">
        <v>2</v>
      </c>
      <c r="E31"/>
      <c r="F31"/>
      <c r="G31"/>
      <c r="H31"/>
      <c r="I31" s="23"/>
      <c r="J31"/>
      <c r="K31" s="24"/>
      <c r="L31" s="12" t="s">
        <v>1181</v>
      </c>
    </row>
    <row r="32" spans="3:12" x14ac:dyDescent="0.2">
      <c r="C32" s="21"/>
      <c r="D32"/>
      <c r="E32"/>
      <c r="F32"/>
      <c r="G32"/>
      <c r="H32"/>
      <c r="I32" s="23"/>
      <c r="J32" s="23"/>
      <c r="K32" s="24"/>
    </row>
    <row r="33" spans="3:12" ht="30.75" customHeight="1" x14ac:dyDescent="0.2">
      <c r="C33" s="21"/>
      <c r="D33"/>
      <c r="E33"/>
      <c r="F33"/>
      <c r="G33"/>
      <c r="H33"/>
      <c r="I33" s="23"/>
      <c r="J33"/>
      <c r="K33" s="24"/>
      <c r="L33" s="12" t="s">
        <v>1242</v>
      </c>
    </row>
    <row r="34" spans="3:12" x14ac:dyDescent="0.2">
      <c r="C34" s="21"/>
      <c r="D34"/>
      <c r="E34"/>
      <c r="F34"/>
      <c r="G34"/>
      <c r="H34"/>
      <c r="I34" s="23"/>
      <c r="J34" s="23"/>
      <c r="K34" s="24"/>
    </row>
    <row r="35" spans="3:12" ht="30.75" customHeight="1" x14ac:dyDescent="0.2">
      <c r="C35" s="21"/>
      <c r="D35"/>
      <c r="E35"/>
      <c r="F35"/>
      <c r="G35"/>
      <c r="H35"/>
      <c r="I35" s="23"/>
      <c r="J35"/>
      <c r="K35" s="24"/>
      <c r="L35" s="12" t="s">
        <v>1182</v>
      </c>
    </row>
    <row r="36" spans="3:12" x14ac:dyDescent="0.2">
      <c r="C36" s="21"/>
      <c r="D36"/>
      <c r="E36"/>
      <c r="F36"/>
      <c r="G36"/>
      <c r="H36"/>
      <c r="I36" s="23"/>
      <c r="J36" s="23"/>
      <c r="K36" s="24"/>
    </row>
    <row r="37" spans="3:12" ht="30.75" customHeight="1" x14ac:dyDescent="0.2">
      <c r="C37" s="21"/>
      <c r="D37"/>
      <c r="E37"/>
      <c r="F37"/>
      <c r="G37"/>
      <c r="H37"/>
      <c r="I37" s="23"/>
      <c r="J37"/>
      <c r="K37" s="24"/>
      <c r="L37" s="12" t="s">
        <v>1202</v>
      </c>
    </row>
    <row r="38" spans="3:12" x14ac:dyDescent="0.2">
      <c r="C38" s="21"/>
      <c r="D38"/>
      <c r="E38"/>
      <c r="F38"/>
      <c r="G38"/>
      <c r="H38"/>
      <c r="I38" s="23"/>
      <c r="J38" s="23"/>
      <c r="K38" s="24"/>
    </row>
    <row r="39" spans="3:12" ht="30.75" customHeight="1" x14ac:dyDescent="0.2">
      <c r="C39" s="21"/>
      <c r="D39"/>
      <c r="E39"/>
      <c r="F39"/>
      <c r="G39"/>
      <c r="H39"/>
      <c r="I39" s="23"/>
      <c r="J39"/>
      <c r="K39" s="24"/>
      <c r="L39" s="12" t="s">
        <v>1316</v>
      </c>
    </row>
    <row r="40" spans="3:12" x14ac:dyDescent="0.2">
      <c r="C40" s="21"/>
      <c r="D40"/>
      <c r="E40"/>
      <c r="F40"/>
      <c r="G40"/>
      <c r="H40"/>
      <c r="I40" s="23"/>
      <c r="J40" s="23"/>
      <c r="K40" s="24"/>
    </row>
    <row r="41" spans="3:12" ht="30.75" customHeight="1" x14ac:dyDescent="0.2">
      <c r="C41" s="21"/>
      <c r="D41"/>
      <c r="E41"/>
      <c r="F41"/>
      <c r="G41"/>
      <c r="H41"/>
      <c r="I41" s="23"/>
      <c r="J41"/>
      <c r="K41" s="24"/>
      <c r="L41" s="12" t="s">
        <v>1183</v>
      </c>
    </row>
    <row r="42" spans="3:12" x14ac:dyDescent="0.2">
      <c r="C42" s="21"/>
      <c r="D42"/>
      <c r="E42"/>
      <c r="F42"/>
      <c r="G42"/>
      <c r="H42"/>
      <c r="I42" s="23"/>
      <c r="J42" s="23"/>
      <c r="K42" s="24"/>
    </row>
    <row r="43" spans="3:12" ht="30.75" customHeight="1" x14ac:dyDescent="0.2">
      <c r="C43" s="21"/>
      <c r="D43"/>
      <c r="E43"/>
      <c r="F43"/>
      <c r="G43"/>
      <c r="H43"/>
      <c r="I43" s="23"/>
      <c r="J43"/>
      <c r="K43" s="24"/>
      <c r="L43" s="12" t="s">
        <v>1207</v>
      </c>
    </row>
    <row r="44" spans="3:12" x14ac:dyDescent="0.2">
      <c r="C44" s="21"/>
      <c r="D44"/>
      <c r="E44"/>
      <c r="F44"/>
      <c r="G44"/>
      <c r="H44"/>
      <c r="I44" s="23"/>
      <c r="J44" s="23"/>
      <c r="K44" s="24"/>
    </row>
    <row r="45" spans="3:12" ht="30.75" customHeight="1" x14ac:dyDescent="0.2">
      <c r="C45" s="21"/>
      <c r="D45"/>
      <c r="E45"/>
      <c r="F45"/>
      <c r="G45"/>
      <c r="H45"/>
      <c r="I45" s="23"/>
      <c r="J45"/>
      <c r="K45" s="24"/>
      <c r="L45" s="12" t="s">
        <v>1184</v>
      </c>
    </row>
    <row r="46" spans="3:12" x14ac:dyDescent="0.2">
      <c r="C46" s="21"/>
      <c r="D46"/>
      <c r="E46"/>
      <c r="F46"/>
      <c r="G46"/>
      <c r="H46"/>
      <c r="I46" s="23"/>
      <c r="J46" s="23"/>
      <c r="K46" s="24"/>
    </row>
    <row r="47" spans="3:12" ht="30.75" customHeight="1" x14ac:dyDescent="0.2">
      <c r="C47" s="21"/>
      <c r="D47"/>
      <c r="E47"/>
      <c r="F47"/>
      <c r="G47"/>
      <c r="H47"/>
      <c r="I47" s="23"/>
      <c r="J47"/>
      <c r="K47" s="24"/>
      <c r="L47" s="12" t="s">
        <v>1185</v>
      </c>
    </row>
    <row r="48" spans="3:12" x14ac:dyDescent="0.2">
      <c r="C48" s="21"/>
      <c r="D48"/>
      <c r="E48"/>
      <c r="F48"/>
      <c r="G48"/>
      <c r="H48"/>
      <c r="I48" s="23"/>
      <c r="J48" s="23"/>
      <c r="K48" s="24"/>
    </row>
    <row r="49" spans="3:12" ht="30.75" customHeight="1" x14ac:dyDescent="0.2">
      <c r="C49" s="21"/>
      <c r="D49"/>
      <c r="E49"/>
      <c r="F49"/>
      <c r="G49"/>
      <c r="H49"/>
      <c r="I49" s="23"/>
      <c r="J49"/>
      <c r="K49" s="24"/>
      <c r="L49" s="12" t="s">
        <v>1186</v>
      </c>
    </row>
    <row r="50" spans="3:12" x14ac:dyDescent="0.2">
      <c r="C50" s="21"/>
      <c r="D50"/>
      <c r="E50"/>
      <c r="F50"/>
      <c r="G50"/>
      <c r="H50"/>
      <c r="I50" s="23"/>
      <c r="J50" s="23"/>
      <c r="K50" s="24"/>
    </row>
    <row r="51" spans="3:12" ht="39.75" customHeight="1" x14ac:dyDescent="0.2">
      <c r="C51" s="21"/>
      <c r="D51"/>
      <c r="E51"/>
      <c r="F51"/>
      <c r="G51"/>
      <c r="H51"/>
      <c r="I51" s="23"/>
      <c r="J51"/>
      <c r="K51" s="24"/>
      <c r="L51" s="12" t="s">
        <v>1187</v>
      </c>
    </row>
    <row r="52" spans="3:12" x14ac:dyDescent="0.2">
      <c r="C52" s="21"/>
      <c r="D52"/>
      <c r="E52"/>
      <c r="F52"/>
      <c r="G52"/>
      <c r="H52"/>
      <c r="I52" s="23"/>
      <c r="J52" s="23"/>
      <c r="K52" s="24"/>
    </row>
    <row r="53" spans="3:12" ht="30.75" customHeight="1" x14ac:dyDescent="0.2">
      <c r="C53" s="21"/>
      <c r="D53"/>
      <c r="E53"/>
      <c r="F53"/>
      <c r="G53"/>
      <c r="H53"/>
      <c r="I53" s="23"/>
      <c r="J53"/>
      <c r="K53" s="24"/>
      <c r="L53" s="12" t="s">
        <v>1260</v>
      </c>
    </row>
    <row r="54" spans="3:12" x14ac:dyDescent="0.2">
      <c r="C54" s="21"/>
      <c r="D54"/>
      <c r="E54"/>
      <c r="F54"/>
      <c r="G54"/>
      <c r="H54"/>
      <c r="I54" s="23"/>
      <c r="J54" s="23"/>
      <c r="K54" s="24"/>
    </row>
    <row r="55" spans="3:12" ht="30.75" customHeight="1" x14ac:dyDescent="0.2">
      <c r="C55" s="21"/>
      <c r="D55"/>
      <c r="E55"/>
      <c r="F55"/>
      <c r="G55"/>
      <c r="H55"/>
      <c r="I55" s="23"/>
      <c r="J55"/>
      <c r="K55" s="24"/>
      <c r="L55" s="12" t="s">
        <v>1188</v>
      </c>
    </row>
    <row r="56" spans="3:12" x14ac:dyDescent="0.2">
      <c r="C56" s="21"/>
      <c r="D56"/>
      <c r="E56"/>
      <c r="F56"/>
      <c r="G56"/>
      <c r="H56"/>
      <c r="I56" s="23"/>
      <c r="J56" s="23"/>
      <c r="K56" s="24"/>
    </row>
    <row r="57" spans="3:12" ht="30.75" customHeight="1" x14ac:dyDescent="0.2">
      <c r="C57" s="21"/>
      <c r="D57"/>
      <c r="E57"/>
      <c r="F57"/>
      <c r="G57"/>
      <c r="H57"/>
      <c r="I57" s="23"/>
      <c r="J57"/>
      <c r="K57" s="24"/>
      <c r="L57" s="12" t="s">
        <v>1239</v>
      </c>
    </row>
    <row r="58" spans="3:12" x14ac:dyDescent="0.2">
      <c r="C58" s="21"/>
      <c r="D58"/>
      <c r="E58"/>
      <c r="F58"/>
      <c r="G58"/>
      <c r="H58"/>
      <c r="I58" s="23"/>
      <c r="J58" s="23"/>
      <c r="K58" s="24"/>
    </row>
    <row r="59" spans="3:12" ht="30.75" customHeight="1" x14ac:dyDescent="0.2">
      <c r="C59" s="21"/>
      <c r="D59"/>
      <c r="E59"/>
      <c r="F59"/>
      <c r="G59"/>
      <c r="H59"/>
      <c r="I59" s="23"/>
      <c r="J59"/>
      <c r="K59" s="24"/>
      <c r="L59" s="12" t="s">
        <v>1189</v>
      </c>
    </row>
    <row r="60" spans="3:12" x14ac:dyDescent="0.2">
      <c r="C60" s="21"/>
      <c r="D60"/>
      <c r="E60"/>
      <c r="F60"/>
      <c r="G60"/>
      <c r="H60"/>
      <c r="I60" s="23"/>
      <c r="J60" s="23"/>
      <c r="K60" s="24"/>
    </row>
    <row r="61" spans="3:12" ht="30.75" customHeight="1" x14ac:dyDescent="0.2">
      <c r="C61" s="21"/>
      <c r="D61"/>
      <c r="E61"/>
      <c r="F61"/>
      <c r="G61"/>
      <c r="H61"/>
      <c r="I61" s="23"/>
      <c r="J61"/>
      <c r="K61" s="24"/>
      <c r="L61" s="12" t="s">
        <v>1190</v>
      </c>
    </row>
    <row r="62" spans="3:12" x14ac:dyDescent="0.2">
      <c r="C62" s="21"/>
      <c r="D62"/>
      <c r="E62"/>
      <c r="F62"/>
      <c r="G62"/>
      <c r="H62"/>
      <c r="I62" s="23"/>
      <c r="J62" s="23"/>
      <c r="K62" s="24"/>
    </row>
    <row r="63" spans="3:12" ht="30.75" customHeight="1" x14ac:dyDescent="0.2">
      <c r="C63" s="21"/>
      <c r="D63"/>
      <c r="E63"/>
      <c r="F63"/>
      <c r="G63"/>
      <c r="H63"/>
      <c r="I63" s="23"/>
      <c r="J63"/>
      <c r="K63" s="24"/>
      <c r="L63" s="12" t="s">
        <v>1243</v>
      </c>
    </row>
    <row r="64" spans="3:12" x14ac:dyDescent="0.2">
      <c r="C64" s="21"/>
      <c r="D64"/>
      <c r="E64"/>
      <c r="F64"/>
      <c r="G64"/>
      <c r="H64"/>
      <c r="I64" s="23"/>
      <c r="J64" s="23"/>
      <c r="K64" s="24"/>
    </row>
    <row r="65" spans="3:12" ht="30.75" customHeight="1" x14ac:dyDescent="0.2">
      <c r="C65" s="21"/>
      <c r="D65"/>
      <c r="E65"/>
      <c r="F65"/>
      <c r="G65"/>
      <c r="H65"/>
      <c r="I65" s="23"/>
      <c r="J65"/>
      <c r="K65" s="24"/>
      <c r="L65" s="12" t="s">
        <v>1191</v>
      </c>
    </row>
    <row r="66" spans="3:12" x14ac:dyDescent="0.2">
      <c r="C66" s="21"/>
      <c r="D66"/>
      <c r="E66"/>
      <c r="F66"/>
      <c r="G66"/>
      <c r="H66"/>
      <c r="I66" s="23"/>
      <c r="J66" s="23"/>
      <c r="K66" s="24"/>
    </row>
    <row r="67" spans="3:12" ht="30.75" customHeight="1" x14ac:dyDescent="0.2">
      <c r="C67" s="21"/>
      <c r="D67"/>
      <c r="E67"/>
      <c r="F67"/>
      <c r="G67"/>
      <c r="H67"/>
      <c r="I67" s="23"/>
      <c r="J67"/>
      <c r="K67" s="24"/>
      <c r="L67" s="12" t="s">
        <v>1342</v>
      </c>
    </row>
    <row r="68" spans="3:12" x14ac:dyDescent="0.2">
      <c r="C68" s="21"/>
      <c r="D68"/>
      <c r="E68"/>
      <c r="F68"/>
      <c r="G68"/>
      <c r="H68"/>
      <c r="I68" s="23"/>
      <c r="J68" s="23"/>
      <c r="K68" s="24"/>
    </row>
    <row r="69" spans="3:12" ht="30.75" customHeight="1" x14ac:dyDescent="0.2">
      <c r="C69" s="21"/>
      <c r="D69"/>
      <c r="E69"/>
      <c r="F69"/>
      <c r="G69"/>
      <c r="H69"/>
      <c r="I69" s="23"/>
      <c r="J69"/>
      <c r="K69" s="24"/>
      <c r="L69" s="12" t="s">
        <v>1192</v>
      </c>
    </row>
    <row r="70" spans="3:12" x14ac:dyDescent="0.2">
      <c r="C70" s="21"/>
      <c r="D70"/>
      <c r="E70"/>
      <c r="F70"/>
      <c r="G70"/>
      <c r="H70"/>
      <c r="I70" s="23"/>
      <c r="J70" s="23"/>
      <c r="K70" s="24"/>
    </row>
    <row r="71" spans="3:12" ht="30.75" customHeight="1" x14ac:dyDescent="0.2">
      <c r="C71" s="21"/>
      <c r="D71"/>
      <c r="E71"/>
      <c r="F71"/>
      <c r="G71"/>
      <c r="H71"/>
      <c r="I71" s="23"/>
      <c r="J71" s="23"/>
      <c r="K71" s="24"/>
      <c r="L71" s="12" t="s">
        <v>1282</v>
      </c>
    </row>
    <row r="72" spans="3:12" x14ac:dyDescent="0.2">
      <c r="C72" s="21"/>
      <c r="D72"/>
      <c r="E72"/>
      <c r="F72"/>
      <c r="G72"/>
      <c r="H72"/>
      <c r="I72" s="23"/>
      <c r="J72" s="23"/>
      <c r="K72" s="24"/>
    </row>
    <row r="73" spans="3:12" ht="30.75" customHeight="1" x14ac:dyDescent="0.2">
      <c r="C73" s="21"/>
      <c r="D73"/>
      <c r="E73"/>
      <c r="F73"/>
      <c r="G73"/>
      <c r="H73"/>
      <c r="I73" s="23"/>
      <c r="J73" s="23"/>
      <c r="K73" s="24"/>
    </row>
    <row r="74" spans="3:12" x14ac:dyDescent="0.2">
      <c r="C74" s="21"/>
      <c r="D74"/>
      <c r="E74"/>
      <c r="F74"/>
      <c r="G74"/>
      <c r="H74"/>
      <c r="I74" s="23"/>
      <c r="J74" s="23"/>
      <c r="K74" s="24"/>
    </row>
    <row r="75" spans="3:12" ht="30.75" customHeight="1" x14ac:dyDescent="0.2">
      <c r="C75" s="21"/>
      <c r="D75"/>
      <c r="E75"/>
      <c r="F75"/>
      <c r="G75"/>
      <c r="H75"/>
      <c r="I75" s="23"/>
      <c r="J75" s="23"/>
      <c r="K75" s="24"/>
    </row>
    <row r="76" spans="3:12" x14ac:dyDescent="0.2">
      <c r="C76" s="21"/>
      <c r="D76"/>
      <c r="E76"/>
      <c r="F76"/>
      <c r="G76"/>
      <c r="H76"/>
      <c r="I76" s="23"/>
      <c r="J76" s="23"/>
      <c r="K76" s="24"/>
    </row>
    <row r="77" spans="3:12" ht="30.75" customHeight="1" x14ac:dyDescent="0.2">
      <c r="C77" s="21"/>
      <c r="D77"/>
      <c r="E77"/>
      <c r="F77"/>
      <c r="G77"/>
      <c r="H77"/>
      <c r="I77" s="23"/>
      <c r="J77" s="23"/>
      <c r="K77" s="24"/>
    </row>
    <row r="78" spans="3:12" x14ac:dyDescent="0.2">
      <c r="C78" s="21"/>
      <c r="D78"/>
      <c r="E78"/>
      <c r="F78"/>
      <c r="G78"/>
      <c r="H78"/>
      <c r="I78" s="23"/>
      <c r="J78" s="23"/>
      <c r="K78" s="24"/>
    </row>
    <row r="79" spans="3:12" ht="30.75" customHeight="1" x14ac:dyDescent="0.2">
      <c r="C79" s="21"/>
      <c r="D79"/>
      <c r="E79"/>
      <c r="F79"/>
      <c r="G79"/>
      <c r="H79"/>
      <c r="I79" s="23"/>
      <c r="J79" s="23"/>
      <c r="K79" s="24"/>
    </row>
    <row r="80" spans="3:12" x14ac:dyDescent="0.2">
      <c r="C80" s="21"/>
      <c r="D80"/>
      <c r="E80"/>
      <c r="F80"/>
      <c r="G80"/>
      <c r="H80"/>
      <c r="I80" s="23"/>
      <c r="J80" s="23"/>
      <c r="K80" s="24"/>
    </row>
    <row r="81" spans="3:12" ht="30.75" customHeight="1" x14ac:dyDescent="0.2">
      <c r="C81" s="21"/>
      <c r="D81"/>
      <c r="E81"/>
      <c r="F81"/>
      <c r="G81"/>
      <c r="H81"/>
      <c r="I81" s="23"/>
      <c r="J81" s="23"/>
      <c r="K81" s="24"/>
    </row>
    <row r="82" spans="3:12" x14ac:dyDescent="0.2">
      <c r="C82" s="21"/>
      <c r="D82"/>
      <c r="E82"/>
      <c r="F82"/>
      <c r="G82"/>
      <c r="H82"/>
      <c r="I82" s="23"/>
      <c r="J82" s="23"/>
      <c r="K82" s="24"/>
    </row>
    <row r="83" spans="3:12" ht="30.75" customHeight="1" x14ac:dyDescent="0.2">
      <c r="C83" s="21"/>
      <c r="D83"/>
      <c r="E83"/>
      <c r="F83"/>
      <c r="G83"/>
      <c r="H83"/>
      <c r="I83" s="23"/>
      <c r="J83" s="23"/>
      <c r="K83" s="24"/>
    </row>
    <row r="84" spans="3:12" x14ac:dyDescent="0.2">
      <c r="C84" s="21"/>
      <c r="D84"/>
      <c r="E84"/>
      <c r="F84"/>
      <c r="G84"/>
      <c r="H84"/>
      <c r="I84" s="23"/>
      <c r="J84" s="23"/>
      <c r="K84" s="24"/>
    </row>
    <row r="85" spans="3:12" ht="30.75" customHeight="1" x14ac:dyDescent="0.2">
      <c r="C85" s="21"/>
      <c r="D85"/>
      <c r="E85"/>
      <c r="F85"/>
      <c r="G85"/>
      <c r="H85"/>
      <c r="I85" s="23"/>
      <c r="J85" s="23"/>
      <c r="K85" s="24"/>
    </row>
    <row r="86" spans="3:12" x14ac:dyDescent="0.2">
      <c r="C86" s="21"/>
      <c r="D86"/>
      <c r="E86"/>
      <c r="F86"/>
      <c r="G86"/>
      <c r="H86"/>
      <c r="I86" s="23"/>
      <c r="J86" s="23"/>
      <c r="K86" s="24"/>
    </row>
    <row r="87" spans="3:12" ht="30.75" customHeight="1" x14ac:dyDescent="0.2">
      <c r="C87" s="21"/>
      <c r="D87"/>
      <c r="E87"/>
      <c r="F87"/>
      <c r="G87"/>
      <c r="H87"/>
      <c r="I87" s="23"/>
      <c r="J87" s="23"/>
      <c r="K87" s="24"/>
    </row>
    <row r="88" spans="3:12" x14ac:dyDescent="0.2">
      <c r="C88" s="21"/>
      <c r="D88"/>
      <c r="E88"/>
      <c r="F88"/>
      <c r="G88"/>
      <c r="H88"/>
      <c r="I88" s="23"/>
      <c r="J88" s="23"/>
      <c r="K88" s="24"/>
    </row>
    <row r="89" spans="3:12" ht="30.75" customHeight="1" x14ac:dyDescent="0.2">
      <c r="C89" s="21"/>
      <c r="D89"/>
      <c r="E89"/>
      <c r="F89"/>
      <c r="G89"/>
      <c r="H89"/>
      <c r="I89" s="23"/>
      <c r="J89" s="23"/>
      <c r="K89" s="24"/>
    </row>
    <row r="90" spans="3:12" ht="16" thickBot="1" x14ac:dyDescent="0.25">
      <c r="C90" s="25"/>
      <c r="D90" s="26"/>
      <c r="E90" s="26"/>
      <c r="F90" s="26"/>
      <c r="G90" s="26"/>
      <c r="H90" s="26"/>
      <c r="I90" s="27"/>
      <c r="J90" s="27"/>
      <c r="K90" s="28"/>
    </row>
    <row r="91" spans="3:12" ht="16" thickBot="1" x14ac:dyDescent="0.25"/>
    <row r="92" spans="3:12" x14ac:dyDescent="0.2">
      <c r="C92" s="17"/>
      <c r="D92" s="18"/>
      <c r="E92" s="18"/>
      <c r="F92" s="18"/>
      <c r="G92" s="18"/>
      <c r="H92" s="18"/>
      <c r="I92" s="19"/>
      <c r="J92" s="19"/>
      <c r="K92" s="20"/>
    </row>
    <row r="93" spans="3:12" ht="30.75" customHeight="1" x14ac:dyDescent="0.2">
      <c r="C93" s="21"/>
      <c r="D93" s="22" t="s">
        <v>22</v>
      </c>
      <c r="E93"/>
      <c r="F93"/>
      <c r="G93"/>
      <c r="H93"/>
      <c r="I93" s="23"/>
      <c r="J93" s="129"/>
      <c r="K93" s="24"/>
      <c r="L93" s="12" t="s">
        <v>1123</v>
      </c>
    </row>
    <row r="94" spans="3:12" x14ac:dyDescent="0.2">
      <c r="C94" s="21"/>
      <c r="D94"/>
      <c r="E94"/>
      <c r="F94"/>
      <c r="G94"/>
      <c r="H94"/>
      <c r="I94" s="23"/>
      <c r="J94" s="23"/>
      <c r="K94" s="24"/>
    </row>
    <row r="95" spans="3:12" ht="30.75" customHeight="1" x14ac:dyDescent="0.2">
      <c r="C95" s="21"/>
      <c r="D95" s="22"/>
      <c r="E95"/>
      <c r="F95"/>
      <c r="G95"/>
      <c r="H95"/>
      <c r="I95" s="23"/>
      <c r="J95" s="129"/>
      <c r="K95" s="24"/>
      <c r="L95" s="12" t="s">
        <v>1122</v>
      </c>
    </row>
    <row r="96" spans="3:12" x14ac:dyDescent="0.2">
      <c r="C96" s="21"/>
      <c r="D96"/>
      <c r="E96"/>
      <c r="F96"/>
      <c r="G96"/>
      <c r="H96"/>
      <c r="I96" s="23"/>
      <c r="J96" s="23"/>
      <c r="K96" s="24"/>
    </row>
    <row r="97" spans="3:12" ht="30.75" customHeight="1" x14ac:dyDescent="0.2">
      <c r="C97" s="21"/>
      <c r="D97"/>
      <c r="E97"/>
      <c r="F97"/>
      <c r="G97"/>
      <c r="H97"/>
      <c r="I97" s="23"/>
      <c r="J97"/>
      <c r="K97" s="24"/>
      <c r="L97" s="12" t="s">
        <v>1125</v>
      </c>
    </row>
    <row r="98" spans="3:12" x14ac:dyDescent="0.2">
      <c r="C98" s="21"/>
      <c r="D98"/>
      <c r="E98"/>
      <c r="F98"/>
      <c r="G98"/>
      <c r="H98"/>
      <c r="I98" s="23"/>
      <c r="J98" s="23"/>
      <c r="K98" s="24"/>
    </row>
    <row r="99" spans="3:12" ht="30.75" customHeight="1" x14ac:dyDescent="0.2">
      <c r="C99" s="21"/>
      <c r="D99"/>
      <c r="E99"/>
      <c r="F99"/>
      <c r="G99"/>
      <c r="H99"/>
      <c r="I99" s="23"/>
      <c r="J99"/>
      <c r="K99" s="24"/>
      <c r="L99" s="12" t="s">
        <v>1124</v>
      </c>
    </row>
    <row r="100" spans="3:12" x14ac:dyDescent="0.2">
      <c r="C100" s="21"/>
      <c r="D100"/>
      <c r="E100"/>
      <c r="F100"/>
      <c r="G100"/>
      <c r="H100"/>
      <c r="I100" s="23"/>
      <c r="J100" s="23"/>
      <c r="K100" s="24"/>
    </row>
    <row r="101" spans="3:12" ht="30.75" customHeight="1" x14ac:dyDescent="0.2">
      <c r="C101" s="21"/>
      <c r="D101"/>
      <c r="E101"/>
      <c r="F101"/>
      <c r="G101"/>
      <c r="H101"/>
      <c r="I101" s="23"/>
      <c r="J101"/>
      <c r="K101" s="24"/>
      <c r="L101" s="12" t="s">
        <v>1126</v>
      </c>
    </row>
    <row r="102" spans="3:12" x14ac:dyDescent="0.2">
      <c r="C102" s="21"/>
      <c r="D102"/>
      <c r="E102"/>
      <c r="F102"/>
      <c r="G102"/>
      <c r="H102"/>
      <c r="I102" s="23"/>
      <c r="J102" s="23"/>
      <c r="K102" s="24"/>
    </row>
    <row r="103" spans="3:12" ht="30.75" customHeight="1" x14ac:dyDescent="0.2">
      <c r="C103" s="21"/>
      <c r="D103"/>
      <c r="E103"/>
      <c r="F103"/>
      <c r="G103"/>
      <c r="H103"/>
      <c r="I103" s="23"/>
      <c r="J103"/>
      <c r="K103" s="24"/>
    </row>
    <row r="104" spans="3:12" x14ac:dyDescent="0.2">
      <c r="C104" s="21"/>
      <c r="D104"/>
      <c r="E104"/>
      <c r="F104"/>
      <c r="G104"/>
      <c r="H104"/>
      <c r="I104" s="23"/>
      <c r="J104" s="23"/>
      <c r="K104" s="24"/>
    </row>
    <row r="105" spans="3:12" ht="39.75" customHeight="1" x14ac:dyDescent="0.2">
      <c r="C105" s="21"/>
      <c r="D105"/>
      <c r="E105"/>
      <c r="F105"/>
      <c r="G105"/>
      <c r="H105"/>
      <c r="I105" s="23"/>
      <c r="J105"/>
      <c r="K105" s="24"/>
      <c r="L105" s="12" t="s">
        <v>1127</v>
      </c>
    </row>
    <row r="106" spans="3:12" x14ac:dyDescent="0.2">
      <c r="C106" s="21"/>
      <c r="D106"/>
      <c r="E106"/>
      <c r="F106"/>
      <c r="G106"/>
      <c r="H106"/>
      <c r="I106" s="23"/>
      <c r="J106" s="23"/>
      <c r="K106" s="24"/>
    </row>
    <row r="107" spans="3:12" ht="30.75" customHeight="1" x14ac:dyDescent="0.2">
      <c r="C107" s="21"/>
      <c r="D107"/>
      <c r="E107"/>
      <c r="F107"/>
      <c r="G107"/>
      <c r="H107"/>
      <c r="I107" s="23"/>
      <c r="J107"/>
      <c r="K107" s="24"/>
    </row>
    <row r="108" spans="3:12" x14ac:dyDescent="0.2">
      <c r="C108" s="21"/>
      <c r="D108"/>
      <c r="E108"/>
      <c r="F108"/>
      <c r="G108"/>
      <c r="H108"/>
      <c r="I108" s="23"/>
      <c r="J108" s="23"/>
      <c r="K108" s="24"/>
    </row>
    <row r="109" spans="3:12" ht="30.75" customHeight="1" x14ac:dyDescent="0.2">
      <c r="C109" s="21"/>
      <c r="D109"/>
      <c r="E109"/>
      <c r="F109"/>
      <c r="G109"/>
      <c r="H109"/>
      <c r="I109" s="23"/>
      <c r="J109"/>
      <c r="K109" s="24"/>
    </row>
    <row r="110" spans="3:12" ht="16" thickBot="1" x14ac:dyDescent="0.25">
      <c r="C110" s="25"/>
      <c r="D110" s="26"/>
      <c r="E110" s="26"/>
      <c r="F110" s="26"/>
      <c r="G110" s="26"/>
      <c r="H110" s="26"/>
      <c r="I110" s="27"/>
      <c r="J110" s="27"/>
      <c r="K110" s="28"/>
    </row>
    <row r="112" spans="3:12" ht="48" customHeight="1" x14ac:dyDescent="0.2">
      <c r="C112" s="340"/>
      <c r="D112" s="340"/>
      <c r="E112" s="340"/>
      <c r="F112" s="340"/>
      <c r="G112" s="340"/>
      <c r="H112" s="340"/>
      <c r="I112" s="340"/>
      <c r="J112" s="340"/>
      <c r="K112" s="340"/>
    </row>
    <row r="113" spans="3:11" x14ac:dyDescent="0.2">
      <c r="C113" s="319"/>
      <c r="F113" s="320"/>
      <c r="G113" s="320"/>
      <c r="H113" s="320"/>
      <c r="I113" s="320"/>
      <c r="J113" s="320"/>
      <c r="K113" s="320"/>
    </row>
  </sheetData>
  <sheetProtection selectLockedCells="1" selectUnlockedCells="1"/>
  <sortState xmlns:xlrd2="http://schemas.microsoft.com/office/spreadsheetml/2017/richdata2" ref="J28:J66">
    <sortCondition ref="J28:J66"/>
  </sortState>
  <mergeCells count="1">
    <mergeCell ref="C112:K112"/>
  </mergeCells>
  <pageMargins left="0.7" right="0.7" top="0.75" bottom="0.75" header="0.3" footer="0.3"/>
  <pageSetup scale="61"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N1029"/>
  <sheetViews>
    <sheetView showGridLines="0" showRowColHeaders="0" zoomScaleNormal="100" workbookViewId="0"/>
  </sheetViews>
  <sheetFormatPr baseColWidth="10" defaultColWidth="9.1640625" defaultRowHeight="15" x14ac:dyDescent="0.2"/>
  <cols>
    <col min="1" max="1" width="9.1640625" style="12"/>
    <col min="2" max="3" width="9.1640625" style="12" customWidth="1"/>
    <col min="4" max="4" width="9.1640625" style="12"/>
    <col min="5" max="5" width="9.1640625" style="12" customWidth="1"/>
    <col min="6" max="9" width="9.1640625" style="12"/>
    <col min="10" max="10" width="25.6640625" style="12" customWidth="1"/>
    <col min="11" max="12" width="9.1640625" style="12"/>
    <col min="13" max="13" width="9.1640625" style="12" customWidth="1"/>
    <col min="14" max="14" width="9.1640625" style="12" hidden="1" customWidth="1"/>
    <col min="15" max="16384" width="9.1640625" style="12"/>
  </cols>
  <sheetData>
    <row r="1" spans="2:13" x14ac:dyDescent="0.2">
      <c r="I1" s="29"/>
    </row>
    <row r="2" spans="2:13" ht="33" x14ac:dyDescent="0.2">
      <c r="G2" s="16" t="s">
        <v>1038</v>
      </c>
      <c r="I2" s="29"/>
    </row>
    <row r="3" spans="2:13" ht="23" x14ac:dyDescent="0.25">
      <c r="G3" s="30" t="s">
        <v>15</v>
      </c>
      <c r="I3" s="29"/>
      <c r="L3" s="157"/>
      <c r="M3" s="157"/>
    </row>
    <row r="4" spans="2:13" x14ac:dyDescent="0.2">
      <c r="G4" s="98"/>
      <c r="I4" s="29"/>
      <c r="L4" s="158"/>
      <c r="M4" s="157"/>
    </row>
    <row r="5" spans="2:13" ht="90" customHeight="1" x14ac:dyDescent="0.2">
      <c r="B5" s="426" t="s">
        <v>663</v>
      </c>
      <c r="C5" s="427"/>
      <c r="D5" s="427"/>
      <c r="E5" s="427"/>
      <c r="F5" s="427"/>
      <c r="G5" s="427"/>
      <c r="H5" s="427"/>
      <c r="I5" s="427"/>
      <c r="J5" s="427"/>
      <c r="K5" s="427"/>
    </row>
    <row r="6" spans="2:13" x14ac:dyDescent="0.2">
      <c r="B6" s="426"/>
      <c r="C6" s="426"/>
      <c r="D6" s="426"/>
      <c r="E6" s="426"/>
      <c r="F6" s="426"/>
      <c r="G6" s="426"/>
      <c r="H6" s="426"/>
      <c r="I6" s="426"/>
      <c r="J6" s="426"/>
      <c r="K6" s="426"/>
    </row>
    <row r="7" spans="2:13" ht="60" customHeight="1" x14ac:dyDescent="0.2">
      <c r="B7" s="425" t="s">
        <v>664</v>
      </c>
      <c r="C7" s="341"/>
      <c r="D7" s="341"/>
      <c r="E7" s="341"/>
      <c r="F7" s="341"/>
      <c r="G7" s="341"/>
      <c r="H7" s="341"/>
      <c r="I7" s="341"/>
      <c r="J7" s="341"/>
      <c r="K7" s="341"/>
    </row>
    <row r="8" spans="2:13" x14ac:dyDescent="0.2">
      <c r="B8" s="426"/>
      <c r="C8" s="426"/>
      <c r="D8" s="426"/>
      <c r="E8" s="426"/>
      <c r="F8" s="426"/>
      <c r="G8" s="426"/>
      <c r="H8" s="426"/>
      <c r="I8" s="426"/>
      <c r="J8" s="426"/>
      <c r="K8" s="426"/>
    </row>
    <row r="9" spans="2:13" ht="30" customHeight="1" x14ac:dyDescent="0.2">
      <c r="B9" s="426" t="s">
        <v>665</v>
      </c>
      <c r="C9" s="427"/>
      <c r="D9" s="427"/>
      <c r="E9" s="427"/>
      <c r="F9" s="427"/>
      <c r="G9" s="427"/>
      <c r="H9" s="427"/>
      <c r="I9" s="427"/>
      <c r="J9" s="427"/>
      <c r="K9" s="427"/>
    </row>
    <row r="10" spans="2:13" ht="45" customHeight="1" x14ac:dyDescent="0.2">
      <c r="B10" s="428" t="s">
        <v>1318</v>
      </c>
      <c r="C10" s="429"/>
      <c r="D10" s="429"/>
      <c r="E10" s="429"/>
      <c r="F10" s="429"/>
      <c r="G10" s="429"/>
      <c r="H10" s="429"/>
      <c r="I10" s="429"/>
      <c r="J10" s="429"/>
      <c r="K10" s="430"/>
    </row>
    <row r="11" spans="2:13" ht="16" thickBot="1" x14ac:dyDescent="0.25">
      <c r="G11" s="98"/>
    </row>
    <row r="12" spans="2:13" x14ac:dyDescent="0.2">
      <c r="B12" s="159"/>
      <c r="C12" s="160"/>
      <c r="D12" s="160"/>
      <c r="E12" s="160"/>
      <c r="F12" s="160"/>
      <c r="G12" s="160"/>
      <c r="H12" s="160"/>
      <c r="I12" s="160"/>
      <c r="J12" s="160"/>
      <c r="K12" s="161"/>
    </row>
    <row r="13" spans="2:13" ht="21" x14ac:dyDescent="0.25">
      <c r="B13" s="162"/>
      <c r="C13" s="163"/>
      <c r="D13" s="163"/>
      <c r="E13" s="163"/>
      <c r="F13" s="163"/>
      <c r="G13" s="164" t="s">
        <v>226</v>
      </c>
      <c r="H13" s="163"/>
      <c r="I13" s="163"/>
      <c r="J13" s="163"/>
      <c r="K13" s="165"/>
    </row>
    <row r="14" spans="2:13" ht="21" x14ac:dyDescent="0.25">
      <c r="B14" s="162"/>
      <c r="C14" s="163"/>
      <c r="D14" s="163"/>
      <c r="E14" s="163"/>
      <c r="F14" s="163"/>
      <c r="G14" s="164"/>
      <c r="H14" s="163"/>
      <c r="I14" s="163"/>
      <c r="J14" s="163"/>
      <c r="K14" s="165"/>
    </row>
    <row r="15" spans="2:13" ht="26.25" customHeight="1" x14ac:dyDescent="0.2">
      <c r="B15" s="162"/>
      <c r="C15" s="163" t="s">
        <v>255</v>
      </c>
      <c r="D15" s="163"/>
      <c r="E15" s="412" t="s">
        <v>242</v>
      </c>
      <c r="F15" s="413"/>
      <c r="G15" s="413"/>
      <c r="H15" s="413"/>
      <c r="I15" s="413"/>
      <c r="J15" s="414"/>
      <c r="K15" s="165"/>
    </row>
    <row r="16" spans="2:13" x14ac:dyDescent="0.2">
      <c r="B16" s="162"/>
      <c r="C16" s="163"/>
      <c r="D16" s="163"/>
      <c r="E16" s="163"/>
      <c r="F16" s="163"/>
      <c r="G16" s="163"/>
      <c r="H16" s="163"/>
      <c r="I16" s="163"/>
      <c r="J16" s="163"/>
      <c r="K16" s="165"/>
    </row>
    <row r="17" spans="2:14" x14ac:dyDescent="0.2">
      <c r="B17" s="162"/>
      <c r="C17" s="166" t="s">
        <v>256</v>
      </c>
      <c r="D17" s="163"/>
      <c r="E17" s="167">
        <f>IF(E15=$C$966,$A$966,IF(E15=$C$967,$A$967,IF(E15=$C$968,$A$968,IF(E15=$C$969,$A$969,IF(E15=$C$970,$A$970,"Not Calculated")))))</f>
        <v>2</v>
      </c>
      <c r="F17" s="163"/>
      <c r="G17" s="163"/>
      <c r="H17" s="163"/>
      <c r="I17" s="163"/>
      <c r="J17" s="163"/>
      <c r="K17" s="165"/>
    </row>
    <row r="18" spans="2:14" x14ac:dyDescent="0.2">
      <c r="B18" s="162"/>
      <c r="C18" s="163"/>
      <c r="D18" s="163"/>
      <c r="E18" s="167" t="str">
        <f>IF(E15=$C$966,$B$966,IF(E15=$C$967,$B$967,IF(E15=$C$968,$B$968,IF(E15=$C$969,$B$969,IF(E15=$C$970,$B$970,"Not Calculated")))))</f>
        <v>Occasional</v>
      </c>
      <c r="F18" s="163"/>
      <c r="G18" s="163"/>
      <c r="H18" s="163"/>
      <c r="I18" s="163"/>
      <c r="J18" s="163"/>
      <c r="K18" s="165"/>
    </row>
    <row r="19" spans="2:14" ht="16" thickBot="1" x14ac:dyDescent="0.25">
      <c r="B19" s="168"/>
      <c r="C19" s="169"/>
      <c r="D19" s="169"/>
      <c r="E19" s="169"/>
      <c r="F19" s="169"/>
      <c r="G19" s="169"/>
      <c r="H19" s="169"/>
      <c r="I19" s="169"/>
      <c r="J19" s="169"/>
      <c r="K19" s="170"/>
    </row>
    <row r="20" spans="2:14" ht="16" thickBot="1" x14ac:dyDescent="0.25"/>
    <row r="21" spans="2:14" x14ac:dyDescent="0.2">
      <c r="B21" s="33"/>
      <c r="C21" s="34"/>
      <c r="D21" s="34"/>
      <c r="E21" s="34"/>
      <c r="F21" s="34"/>
      <c r="G21" s="34"/>
      <c r="H21" s="34"/>
      <c r="I21" s="34"/>
      <c r="J21" s="34"/>
      <c r="K21" s="37"/>
    </row>
    <row r="22" spans="2:14" ht="21" x14ac:dyDescent="0.25">
      <c r="B22" s="38"/>
      <c r="C22" s="171"/>
      <c r="D22" s="40"/>
      <c r="E22" s="40"/>
      <c r="F22" s="40"/>
      <c r="G22" s="172" t="s">
        <v>26</v>
      </c>
      <c r="H22" s="40"/>
      <c r="I22" s="40"/>
      <c r="J22" s="40"/>
      <c r="K22" s="41"/>
    </row>
    <row r="23" spans="2:14" x14ac:dyDescent="0.2">
      <c r="B23" s="38"/>
      <c r="C23" s="40"/>
      <c r="D23" s="40"/>
      <c r="E23" s="40"/>
      <c r="F23" s="40"/>
      <c r="G23" s="40"/>
      <c r="H23" s="40"/>
      <c r="I23" s="40"/>
      <c r="J23" s="40"/>
      <c r="K23" s="41"/>
    </row>
    <row r="24" spans="2:14" ht="16" x14ac:dyDescent="0.2">
      <c r="B24" s="38"/>
      <c r="C24" s="45" t="s">
        <v>61</v>
      </c>
      <c r="D24" s="40"/>
      <c r="E24" s="40"/>
      <c r="F24" s="40"/>
      <c r="G24" s="40"/>
      <c r="H24" s="40"/>
      <c r="I24" s="40"/>
      <c r="J24" s="40"/>
      <c r="K24" s="41"/>
    </row>
    <row r="25" spans="2:14" x14ac:dyDescent="0.2">
      <c r="B25" s="38"/>
      <c r="C25" s="40" t="s">
        <v>434</v>
      </c>
      <c r="D25" s="40"/>
      <c r="E25" s="40"/>
      <c r="F25" s="40"/>
      <c r="G25" s="40"/>
      <c r="H25" s="40"/>
      <c r="I25" s="40"/>
      <c r="J25" s="252">
        <f>'Baseline Health'!G11</f>
        <v>0</v>
      </c>
      <c r="K25" s="41"/>
    </row>
    <row r="26" spans="2:14" x14ac:dyDescent="0.2">
      <c r="B26" s="38"/>
      <c r="C26" s="40" t="s">
        <v>288</v>
      </c>
      <c r="D26" s="40"/>
      <c r="E26" s="40"/>
      <c r="F26" s="40"/>
      <c r="G26" s="40"/>
      <c r="H26" s="40"/>
      <c r="I26" s="40"/>
      <c r="J26" s="264">
        <v>33</v>
      </c>
      <c r="K26" s="41"/>
    </row>
    <row r="27" spans="2:14" x14ac:dyDescent="0.2">
      <c r="B27" s="38"/>
      <c r="C27" s="40" t="s">
        <v>260</v>
      </c>
      <c r="D27" s="40"/>
      <c r="E27" s="40"/>
      <c r="F27" s="40"/>
      <c r="G27" s="40"/>
      <c r="H27" s="40"/>
      <c r="I27" s="40"/>
      <c r="J27" s="248" t="str">
        <f>IF(OR(J25=0,J25="Not Calculated")=TRUE,"Not Calculated",(IF(((J26+J25)/J25)&lt;=1,0,IF(((J26+J25)/J25)&lt;=1.05,1,IF(((J26+J25)/J25)&lt;=1.5, 2,IF(((J26+J25)/J25)&lt;=2,3,4))))))</f>
        <v>Not Calculated</v>
      </c>
      <c r="K27" s="41"/>
    </row>
    <row r="28" spans="2:14" ht="9.75" customHeight="1" x14ac:dyDescent="0.2">
      <c r="B28" s="38"/>
      <c r="C28" s="279" t="str">
        <f>"0:"</f>
        <v>0:</v>
      </c>
      <c r="D28" s="281" t="s">
        <v>918</v>
      </c>
      <c r="E28" s="40"/>
      <c r="F28" s="40"/>
      <c r="G28" s="40"/>
      <c r="H28" s="40"/>
      <c r="I28" s="40"/>
      <c r="J28" s="40"/>
      <c r="K28" s="41"/>
    </row>
    <row r="29" spans="2:14" ht="9.75" customHeight="1" x14ac:dyDescent="0.2">
      <c r="B29" s="38"/>
      <c r="C29" s="280" t="str">
        <f>"1:"</f>
        <v>1:</v>
      </c>
      <c r="D29" s="281" t="s">
        <v>919</v>
      </c>
      <c r="E29" s="40"/>
      <c r="F29" s="40"/>
      <c r="G29" s="40"/>
      <c r="H29" s="40"/>
      <c r="I29" s="40"/>
      <c r="J29" s="40"/>
      <c r="K29" s="41"/>
    </row>
    <row r="30" spans="2:14" ht="9.75" customHeight="1" x14ac:dyDescent="0.2">
      <c r="B30" s="38"/>
      <c r="C30" s="280" t="str">
        <f>"2:"</f>
        <v>2:</v>
      </c>
      <c r="D30" s="281" t="s">
        <v>920</v>
      </c>
      <c r="E30" s="40"/>
      <c r="F30" s="40"/>
      <c r="G30" s="40"/>
      <c r="H30" s="40"/>
      <c r="I30" s="40"/>
      <c r="J30" s="40"/>
      <c r="K30" s="41"/>
    </row>
    <row r="31" spans="2:14" ht="9.75" customHeight="1" x14ac:dyDescent="0.2">
      <c r="B31" s="38"/>
      <c r="C31" s="280" t="str">
        <f>"3:"</f>
        <v>3:</v>
      </c>
      <c r="D31" s="281" t="s">
        <v>921</v>
      </c>
      <c r="E31" s="40"/>
      <c r="F31" s="40"/>
      <c r="G31" s="40"/>
      <c r="H31" s="40"/>
      <c r="I31" s="40"/>
      <c r="J31" s="40"/>
      <c r="K31" s="41"/>
    </row>
    <row r="32" spans="2:14" ht="9.75" customHeight="1" x14ac:dyDescent="0.2">
      <c r="B32" s="38"/>
      <c r="C32" s="280" t="str">
        <f>"4:"</f>
        <v>4:</v>
      </c>
      <c r="D32" s="281" t="s">
        <v>922</v>
      </c>
      <c r="E32" s="40"/>
      <c r="F32" s="40"/>
      <c r="G32" s="40"/>
      <c r="H32" s="40"/>
      <c r="I32" s="40"/>
      <c r="J32" s="40"/>
      <c r="K32" s="41"/>
      <c r="M32" s="173"/>
      <c r="N32" s="12" t="s">
        <v>661</v>
      </c>
    </row>
    <row r="33" spans="2:14" x14ac:dyDescent="0.2">
      <c r="B33" s="38"/>
      <c r="C33" s="174" t="s">
        <v>662</v>
      </c>
      <c r="D33" s="40"/>
      <c r="E33" s="40"/>
      <c r="F33" s="40"/>
      <c r="G33" s="40"/>
      <c r="H33" s="40"/>
      <c r="I33" s="40"/>
      <c r="J33" s="265" t="s">
        <v>661</v>
      </c>
      <c r="K33" s="41"/>
      <c r="N33" s="12" t="s">
        <v>894</v>
      </c>
    </row>
    <row r="34" spans="2:14" x14ac:dyDescent="0.2">
      <c r="B34" s="38"/>
      <c r="C34" s="174" t="s">
        <v>660</v>
      </c>
      <c r="D34" s="40"/>
      <c r="E34" s="40"/>
      <c r="F34" s="40"/>
      <c r="G34" s="40"/>
      <c r="H34" s="40"/>
      <c r="I34" s="40"/>
      <c r="J34" s="246" t="str">
        <f>IF(J33=N32,"N/A",IF(J33=N33,0,IF(J33=N34,1,IF(J33=N35,2,IF(J33=N36,3,IF(J33=N37,4,"N/A"))))))</f>
        <v>N/A</v>
      </c>
      <c r="K34" s="41"/>
      <c r="N34" s="12" t="s">
        <v>895</v>
      </c>
    </row>
    <row r="35" spans="2:14" x14ac:dyDescent="0.2">
      <c r="B35" s="38"/>
      <c r="C35" s="40" t="s">
        <v>257</v>
      </c>
      <c r="D35" s="40"/>
      <c r="E35" s="40"/>
      <c r="F35" s="40"/>
      <c r="G35" s="40"/>
      <c r="H35" s="40"/>
      <c r="I35" s="40"/>
      <c r="J35" s="266" t="s">
        <v>879</v>
      </c>
      <c r="K35" s="41"/>
      <c r="N35" s="12" t="s">
        <v>896</v>
      </c>
    </row>
    <row r="36" spans="2:14" x14ac:dyDescent="0.2">
      <c r="B36" s="38"/>
      <c r="C36" s="40" t="s">
        <v>261</v>
      </c>
      <c r="D36" s="40"/>
      <c r="E36" s="40"/>
      <c r="F36" s="40"/>
      <c r="G36" s="40"/>
      <c r="H36" s="40"/>
      <c r="I36" s="40"/>
      <c r="J36" s="248">
        <f>IF(J35=$B$973,$A$973,IF(J35=$B$974,$A$974,IF(J35=$B$975,$A$975,IF(J35=$B$976,$A$976,IF(J35=$B$977,$A$977,"Not Calculated")))))</f>
        <v>1</v>
      </c>
      <c r="K36" s="41"/>
      <c r="N36" s="12" t="s">
        <v>897</v>
      </c>
    </row>
    <row r="37" spans="2:14" x14ac:dyDescent="0.2">
      <c r="B37" s="38"/>
      <c r="C37" s="40" t="s">
        <v>893</v>
      </c>
      <c r="D37" s="40"/>
      <c r="E37" s="40"/>
      <c r="F37" s="40"/>
      <c r="G37" s="40"/>
      <c r="H37" s="40"/>
      <c r="I37" s="40"/>
      <c r="J37" s="175"/>
      <c r="K37" s="41"/>
      <c r="N37" s="12" t="s">
        <v>898</v>
      </c>
    </row>
    <row r="38" spans="2:14" s="178" customFormat="1" ht="30" customHeight="1" x14ac:dyDescent="0.2">
      <c r="B38" s="176"/>
      <c r="C38" s="415" t="s">
        <v>644</v>
      </c>
      <c r="D38" s="400"/>
      <c r="E38" s="400"/>
      <c r="F38" s="400"/>
      <c r="G38" s="400"/>
      <c r="H38" s="400"/>
      <c r="I38" s="400"/>
      <c r="J38" s="401"/>
      <c r="K38" s="177"/>
    </row>
    <row r="39" spans="2:14" x14ac:dyDescent="0.2">
      <c r="B39" s="38"/>
      <c r="C39" s="40"/>
      <c r="D39" s="40"/>
      <c r="E39" s="40"/>
      <c r="F39" s="40"/>
      <c r="G39" s="40"/>
      <c r="H39" s="40"/>
      <c r="I39" s="40"/>
      <c r="J39" s="40"/>
      <c r="K39" s="41"/>
    </row>
    <row r="40" spans="2:14" x14ac:dyDescent="0.2">
      <c r="B40" s="38"/>
      <c r="C40" s="179" t="s">
        <v>258</v>
      </c>
      <c r="D40" s="40"/>
      <c r="E40" s="40"/>
      <c r="F40" s="40"/>
      <c r="G40" s="40"/>
      <c r="H40" s="40"/>
      <c r="I40" s="40"/>
      <c r="J40" s="245" t="str">
        <f>IF(J34="N/A",IF(OR(J27="Not Calculated",J36="Not Calculated")=TRUE,"Not Calculated",AVERAGE(J27,J36)),AVERAGE(J34,J36))</f>
        <v>Not Calculated</v>
      </c>
      <c r="K40" s="41"/>
    </row>
    <row r="41" spans="2:14" x14ac:dyDescent="0.2">
      <c r="B41" s="38"/>
      <c r="C41" s="179"/>
      <c r="D41" s="40"/>
      <c r="E41" s="40"/>
      <c r="F41" s="40"/>
      <c r="G41" s="40"/>
      <c r="H41" s="40"/>
      <c r="I41" s="40"/>
      <c r="J41" s="245"/>
      <c r="K41" s="41"/>
    </row>
    <row r="42" spans="2:14" x14ac:dyDescent="0.2">
      <c r="B42" s="38"/>
      <c r="C42" s="40"/>
      <c r="D42" s="40"/>
      <c r="E42" s="40"/>
      <c r="F42" s="40"/>
      <c r="G42" s="40"/>
      <c r="H42" s="40"/>
      <c r="I42" s="40"/>
      <c r="J42" s="40"/>
      <c r="K42" s="41"/>
    </row>
    <row r="43" spans="2:14" ht="16" x14ac:dyDescent="0.2">
      <c r="B43" s="38"/>
      <c r="C43" s="45" t="s">
        <v>51</v>
      </c>
      <c r="D43" s="40"/>
      <c r="E43" s="40"/>
      <c r="F43" s="40"/>
      <c r="G43" s="40"/>
      <c r="H43" s="40"/>
      <c r="I43" s="40"/>
      <c r="J43" s="40"/>
      <c r="K43" s="41"/>
    </row>
    <row r="44" spans="2:14" x14ac:dyDescent="0.2">
      <c r="B44" s="38"/>
      <c r="C44" s="40" t="s">
        <v>435</v>
      </c>
      <c r="D44" s="40"/>
      <c r="E44" s="40"/>
      <c r="F44" s="40"/>
      <c r="G44" s="40"/>
      <c r="H44" s="40"/>
      <c r="I44" s="40"/>
      <c r="J44" s="252">
        <f>'Baseline Health'!G17</f>
        <v>0</v>
      </c>
      <c r="K44" s="41"/>
    </row>
    <row r="45" spans="2:14" x14ac:dyDescent="0.2">
      <c r="B45" s="38"/>
      <c r="C45" s="40" t="s">
        <v>287</v>
      </c>
      <c r="D45" s="40"/>
      <c r="E45" s="40"/>
      <c r="F45" s="40"/>
      <c r="G45" s="40"/>
      <c r="H45" s="40"/>
      <c r="I45" s="40"/>
      <c r="J45" s="264">
        <v>17</v>
      </c>
      <c r="K45" s="41"/>
    </row>
    <row r="46" spans="2:14" x14ac:dyDescent="0.2">
      <c r="B46" s="38"/>
      <c r="C46" s="40" t="s">
        <v>260</v>
      </c>
      <c r="D46" s="40"/>
      <c r="E46" s="40"/>
      <c r="F46" s="40"/>
      <c r="G46" s="40"/>
      <c r="H46" s="40"/>
      <c r="I46" s="40"/>
      <c r="J46" s="248" t="str">
        <f>IF(OR(J44=0,J44="Not Calculated")=TRUE,"Not Calculated",(IF(((J45+J44)/J44)&lt;=1,0,IF(((J45+J44)/J44)&lt;=1.05,1,IF(((J45+J44)/J44)&lt;=1.5, 2,IF(((J45+J44)/J44)&lt;=2,3,4))))))</f>
        <v>Not Calculated</v>
      </c>
      <c r="K46" s="41"/>
    </row>
    <row r="47" spans="2:14" ht="9.75" customHeight="1" x14ac:dyDescent="0.2">
      <c r="B47" s="38"/>
      <c r="C47" s="279" t="str">
        <f>"0:"</f>
        <v>0:</v>
      </c>
      <c r="D47" s="281" t="s">
        <v>918</v>
      </c>
      <c r="E47" s="40"/>
      <c r="F47" s="40"/>
      <c r="G47" s="40"/>
      <c r="H47" s="40"/>
      <c r="I47" s="40"/>
      <c r="J47" s="40"/>
      <c r="K47" s="41"/>
    </row>
    <row r="48" spans="2:14" ht="9.75" customHeight="1" x14ac:dyDescent="0.2">
      <c r="B48" s="38"/>
      <c r="C48" s="280" t="str">
        <f>"1:"</f>
        <v>1:</v>
      </c>
      <c r="D48" s="281" t="s">
        <v>919</v>
      </c>
      <c r="E48" s="40"/>
      <c r="F48" s="40"/>
      <c r="G48" s="40"/>
      <c r="H48" s="40"/>
      <c r="I48" s="40"/>
      <c r="J48" s="40"/>
      <c r="K48" s="41"/>
    </row>
    <row r="49" spans="2:14" ht="9.75" customHeight="1" x14ac:dyDescent="0.2">
      <c r="B49" s="38"/>
      <c r="C49" s="280" t="str">
        <f>"2:"</f>
        <v>2:</v>
      </c>
      <c r="D49" s="281" t="s">
        <v>920</v>
      </c>
      <c r="E49" s="40"/>
      <c r="F49" s="40"/>
      <c r="G49" s="40"/>
      <c r="H49" s="40"/>
      <c r="I49" s="40"/>
      <c r="J49" s="40"/>
      <c r="K49" s="41"/>
    </row>
    <row r="50" spans="2:14" ht="9.75" customHeight="1" x14ac:dyDescent="0.2">
      <c r="B50" s="38"/>
      <c r="C50" s="280" t="str">
        <f>"3:"</f>
        <v>3:</v>
      </c>
      <c r="D50" s="281" t="s">
        <v>921</v>
      </c>
      <c r="E50" s="40"/>
      <c r="F50" s="40"/>
      <c r="G50" s="40"/>
      <c r="H50" s="40"/>
      <c r="I50" s="40"/>
      <c r="J50" s="40"/>
      <c r="K50" s="41"/>
    </row>
    <row r="51" spans="2:14" ht="9.75" customHeight="1" x14ac:dyDescent="0.2">
      <c r="B51" s="38"/>
      <c r="C51" s="280" t="str">
        <f>"4:"</f>
        <v>4:</v>
      </c>
      <c r="D51" s="281" t="s">
        <v>922</v>
      </c>
      <c r="E51" s="40"/>
      <c r="F51" s="40"/>
      <c r="G51" s="40"/>
      <c r="H51" s="40"/>
      <c r="I51" s="40"/>
      <c r="J51" s="40"/>
      <c r="K51" s="41"/>
      <c r="M51" s="173"/>
      <c r="N51" s="12" t="s">
        <v>661</v>
      </c>
    </row>
    <row r="52" spans="2:14" x14ac:dyDescent="0.2">
      <c r="B52" s="38"/>
      <c r="C52" s="174" t="s">
        <v>662</v>
      </c>
      <c r="D52" s="40"/>
      <c r="E52" s="40"/>
      <c r="F52" s="40"/>
      <c r="G52" s="40"/>
      <c r="H52" s="40"/>
      <c r="I52" s="40"/>
      <c r="J52" s="265" t="s">
        <v>661</v>
      </c>
      <c r="K52" s="41"/>
      <c r="N52" s="12" t="s">
        <v>894</v>
      </c>
    </row>
    <row r="53" spans="2:14" x14ac:dyDescent="0.2">
      <c r="B53" s="38"/>
      <c r="C53" s="174" t="s">
        <v>660</v>
      </c>
      <c r="D53" s="40"/>
      <c r="E53" s="40"/>
      <c r="F53" s="40"/>
      <c r="G53" s="40"/>
      <c r="H53" s="40"/>
      <c r="I53" s="40"/>
      <c r="J53" s="246" t="str">
        <f>IF(J52=N51,"N/A",IF(J52=N52,0,IF(J52=N53,1,IF(J52=N54,2,IF(J52=N55,3,IF(J52=N56,4,"N/A"))))))</f>
        <v>N/A</v>
      </c>
      <c r="K53" s="41"/>
      <c r="N53" s="12" t="s">
        <v>895</v>
      </c>
    </row>
    <row r="54" spans="2:14" x14ac:dyDescent="0.2">
      <c r="B54" s="38"/>
      <c r="C54" s="40" t="s">
        <v>257</v>
      </c>
      <c r="D54" s="40"/>
      <c r="E54" s="40"/>
      <c r="F54" s="40"/>
      <c r="G54" s="40"/>
      <c r="H54" s="40"/>
      <c r="I54" s="40"/>
      <c r="J54" s="266" t="s">
        <v>879</v>
      </c>
      <c r="K54" s="41"/>
      <c r="N54" s="12" t="s">
        <v>896</v>
      </c>
    </row>
    <row r="55" spans="2:14" x14ac:dyDescent="0.2">
      <c r="B55" s="38"/>
      <c r="C55" s="40" t="s">
        <v>261</v>
      </c>
      <c r="D55" s="40"/>
      <c r="E55" s="40"/>
      <c r="F55" s="40"/>
      <c r="G55" s="40"/>
      <c r="H55" s="40"/>
      <c r="I55" s="40"/>
      <c r="J55" s="248">
        <f>IF(J54=$B$973,$A$973,IF(J54=$B$974,$A$974,IF(J54=$B$975,$A$975,IF(J54=$B$976,$A$976,IF(J54=$B$977,$A$977,"Not Calculated")))))</f>
        <v>1</v>
      </c>
      <c r="K55" s="41"/>
      <c r="N55" s="12" t="s">
        <v>897</v>
      </c>
    </row>
    <row r="56" spans="2:14" x14ac:dyDescent="0.2">
      <c r="B56" s="38"/>
      <c r="C56" s="40" t="s">
        <v>893</v>
      </c>
      <c r="D56" s="40"/>
      <c r="E56" s="40"/>
      <c r="F56" s="40"/>
      <c r="G56" s="40"/>
      <c r="H56" s="40"/>
      <c r="I56" s="40"/>
      <c r="J56" s="175"/>
      <c r="K56" s="41"/>
      <c r="N56" s="12" t="s">
        <v>898</v>
      </c>
    </row>
    <row r="57" spans="2:14" s="178" customFormat="1" ht="30" customHeight="1" x14ac:dyDescent="0.2">
      <c r="B57" s="176"/>
      <c r="C57" s="415" t="s">
        <v>1285</v>
      </c>
      <c r="D57" s="400"/>
      <c r="E57" s="400"/>
      <c r="F57" s="400"/>
      <c r="G57" s="400"/>
      <c r="H57" s="400"/>
      <c r="I57" s="400"/>
      <c r="J57" s="401"/>
      <c r="K57" s="177"/>
    </row>
    <row r="58" spans="2:14" x14ac:dyDescent="0.2">
      <c r="B58" s="38"/>
      <c r="C58" s="40"/>
      <c r="D58" s="40"/>
      <c r="E58" s="40"/>
      <c r="F58" s="40"/>
      <c r="G58" s="40"/>
      <c r="H58" s="40"/>
      <c r="I58" s="40"/>
      <c r="J58" s="40"/>
      <c r="K58" s="41"/>
    </row>
    <row r="59" spans="2:14" x14ac:dyDescent="0.2">
      <c r="B59" s="38"/>
      <c r="C59" s="179" t="s">
        <v>263</v>
      </c>
      <c r="D59" s="40"/>
      <c r="E59" s="40"/>
      <c r="F59" s="40"/>
      <c r="G59" s="40"/>
      <c r="H59" s="40"/>
      <c r="I59" s="40"/>
      <c r="J59" s="245" t="str">
        <f>IF(J53="N/A",IF(OR(J46="Not Calculated",J55="Not Calculated")=TRUE,"Not Calculated",AVERAGE(J46,J55)),AVERAGE(J53,J55))</f>
        <v>Not Calculated</v>
      </c>
      <c r="K59" s="41"/>
    </row>
    <row r="60" spans="2:14" x14ac:dyDescent="0.2">
      <c r="B60" s="38"/>
      <c r="C60" s="40"/>
      <c r="D60" s="40"/>
      <c r="E60" s="40"/>
      <c r="F60" s="40"/>
      <c r="G60" s="40"/>
      <c r="H60" s="40"/>
      <c r="I60" s="40"/>
      <c r="J60" s="40"/>
      <c r="K60" s="41"/>
    </row>
    <row r="61" spans="2:14" x14ac:dyDescent="0.2">
      <c r="B61" s="38"/>
      <c r="C61" s="40"/>
      <c r="D61" s="40"/>
      <c r="E61" s="40"/>
      <c r="F61" s="40"/>
      <c r="G61" s="40"/>
      <c r="H61" s="40"/>
      <c r="I61" s="40"/>
      <c r="J61" s="40"/>
      <c r="K61" s="41"/>
    </row>
    <row r="62" spans="2:14" ht="16" x14ac:dyDescent="0.2">
      <c r="B62" s="38"/>
      <c r="C62" s="45" t="s">
        <v>54</v>
      </c>
      <c r="D62" s="40"/>
      <c r="E62" s="40"/>
      <c r="F62" s="40"/>
      <c r="G62" s="40"/>
      <c r="H62" s="40"/>
      <c r="I62" s="40"/>
      <c r="J62" s="40"/>
      <c r="K62" s="41"/>
    </row>
    <row r="63" spans="2:14" x14ac:dyDescent="0.2">
      <c r="B63" s="38"/>
      <c r="C63" s="40" t="s">
        <v>436</v>
      </c>
      <c r="D63" s="40"/>
      <c r="E63" s="40"/>
      <c r="F63" s="40"/>
      <c r="G63" s="40"/>
      <c r="H63" s="40"/>
      <c r="I63" s="40"/>
      <c r="J63" s="252">
        <f>'Baseline Health'!G23</f>
        <v>0</v>
      </c>
      <c r="K63" s="41"/>
    </row>
    <row r="64" spans="2:14" x14ac:dyDescent="0.2">
      <c r="B64" s="38"/>
      <c r="C64" s="40" t="s">
        <v>289</v>
      </c>
      <c r="D64" s="40"/>
      <c r="E64" s="40"/>
      <c r="F64" s="40"/>
      <c r="G64" s="40"/>
      <c r="H64" s="40"/>
      <c r="I64" s="40"/>
      <c r="J64" s="264">
        <v>27</v>
      </c>
      <c r="K64" s="41"/>
    </row>
    <row r="65" spans="2:14" x14ac:dyDescent="0.2">
      <c r="B65" s="38"/>
      <c r="C65" s="40" t="s">
        <v>260</v>
      </c>
      <c r="D65" s="40"/>
      <c r="E65" s="40"/>
      <c r="F65" s="40"/>
      <c r="G65" s="40"/>
      <c r="H65" s="40"/>
      <c r="I65" s="40"/>
      <c r="J65" s="248" t="str">
        <f>IF(OR(J63=0,J63="Not Calculated")=TRUE,"Not Calculated",(IF(((J64+J63)/J63)&lt;=1,0,IF(((J64+J63)/J63)&lt;=1.05,1,IF(((J64+J63)/J63)&lt;=1.5, 2,IF(((J64+J63)/J63)&lt;=2,3,4))))))</f>
        <v>Not Calculated</v>
      </c>
      <c r="K65" s="41"/>
    </row>
    <row r="66" spans="2:14" ht="9.75" customHeight="1" x14ac:dyDescent="0.2">
      <c r="B66" s="38"/>
      <c r="C66" s="279" t="str">
        <f>"0:"</f>
        <v>0:</v>
      </c>
      <c r="D66" s="281" t="s">
        <v>918</v>
      </c>
      <c r="E66" s="40"/>
      <c r="F66" s="40"/>
      <c r="G66" s="40"/>
      <c r="H66" s="40"/>
      <c r="I66" s="40"/>
      <c r="J66" s="40"/>
      <c r="K66" s="41"/>
    </row>
    <row r="67" spans="2:14" ht="9.75" customHeight="1" x14ac:dyDescent="0.2">
      <c r="B67" s="38"/>
      <c r="C67" s="280" t="str">
        <f>"1:"</f>
        <v>1:</v>
      </c>
      <c r="D67" s="281" t="s">
        <v>919</v>
      </c>
      <c r="E67" s="40"/>
      <c r="F67" s="40"/>
      <c r="G67" s="40"/>
      <c r="H67" s="40"/>
      <c r="I67" s="40"/>
      <c r="J67" s="40"/>
      <c r="K67" s="41"/>
    </row>
    <row r="68" spans="2:14" ht="9.75" customHeight="1" x14ac:dyDescent="0.2">
      <c r="B68" s="38"/>
      <c r="C68" s="280" t="str">
        <f>"2:"</f>
        <v>2:</v>
      </c>
      <c r="D68" s="281" t="s">
        <v>920</v>
      </c>
      <c r="E68" s="40"/>
      <c r="F68" s="40"/>
      <c r="G68" s="40"/>
      <c r="H68" s="40"/>
      <c r="I68" s="40"/>
      <c r="J68" s="40"/>
      <c r="K68" s="41"/>
    </row>
    <row r="69" spans="2:14" ht="9.75" customHeight="1" x14ac:dyDescent="0.2">
      <c r="B69" s="38"/>
      <c r="C69" s="280" t="str">
        <f>"3:"</f>
        <v>3:</v>
      </c>
      <c r="D69" s="281" t="s">
        <v>921</v>
      </c>
      <c r="E69" s="40"/>
      <c r="F69" s="40"/>
      <c r="G69" s="40"/>
      <c r="H69" s="40"/>
      <c r="I69" s="40"/>
      <c r="J69" s="40"/>
      <c r="K69" s="41"/>
    </row>
    <row r="70" spans="2:14" ht="9.75" customHeight="1" x14ac:dyDescent="0.2">
      <c r="B70" s="38"/>
      <c r="C70" s="280" t="str">
        <f>"4:"</f>
        <v>4:</v>
      </c>
      <c r="D70" s="281" t="s">
        <v>922</v>
      </c>
      <c r="E70" s="40"/>
      <c r="F70" s="40"/>
      <c r="G70" s="40"/>
      <c r="H70" s="40"/>
      <c r="I70" s="40"/>
      <c r="J70" s="40"/>
      <c r="K70" s="41"/>
      <c r="M70" s="173"/>
      <c r="N70" s="12" t="s">
        <v>661</v>
      </c>
    </row>
    <row r="71" spans="2:14" x14ac:dyDescent="0.2">
      <c r="B71" s="38"/>
      <c r="C71" s="174" t="s">
        <v>662</v>
      </c>
      <c r="D71" s="40"/>
      <c r="E71" s="40"/>
      <c r="F71" s="40"/>
      <c r="G71" s="40"/>
      <c r="H71" s="40"/>
      <c r="I71" s="40"/>
      <c r="J71" s="265" t="s">
        <v>661</v>
      </c>
      <c r="K71" s="41"/>
      <c r="N71" s="12" t="s">
        <v>894</v>
      </c>
    </row>
    <row r="72" spans="2:14" x14ac:dyDescent="0.2">
      <c r="B72" s="38"/>
      <c r="C72" s="174" t="s">
        <v>660</v>
      </c>
      <c r="D72" s="40"/>
      <c r="E72" s="40"/>
      <c r="F72" s="40"/>
      <c r="G72" s="40"/>
      <c r="H72" s="40"/>
      <c r="I72" s="40"/>
      <c r="J72" s="246" t="str">
        <f>IF(J71=N70,"N/A",IF(J71=N71,0,IF(J71=N72,1,IF(J71=N73,2,IF(J71=N74,3,IF(J71=N75,4,"N/A"))))))</f>
        <v>N/A</v>
      </c>
      <c r="K72" s="41"/>
      <c r="N72" s="12" t="s">
        <v>895</v>
      </c>
    </row>
    <row r="73" spans="2:14" x14ac:dyDescent="0.2">
      <c r="B73" s="38"/>
      <c r="C73" s="40" t="s">
        <v>257</v>
      </c>
      <c r="D73" s="40"/>
      <c r="E73" s="40"/>
      <c r="F73" s="40"/>
      <c r="G73" s="40"/>
      <c r="H73" s="40"/>
      <c r="I73" s="40"/>
      <c r="J73" s="266" t="s">
        <v>879</v>
      </c>
      <c r="K73" s="41"/>
      <c r="N73" s="12" t="s">
        <v>896</v>
      </c>
    </row>
    <row r="74" spans="2:14" x14ac:dyDescent="0.2">
      <c r="B74" s="38"/>
      <c r="C74" s="40" t="s">
        <v>261</v>
      </c>
      <c r="D74" s="40"/>
      <c r="E74" s="40"/>
      <c r="F74" s="40"/>
      <c r="G74" s="40"/>
      <c r="H74" s="40"/>
      <c r="I74" s="40"/>
      <c r="J74" s="248">
        <f>IF(J73=$B$973,$A$973,IF(J73=$B$974,$A$974,IF(J73=$B$975,$A$975,IF(J73=$B$976,$A$976,IF(J73=$B$977,$A$977,"Not Calculated")))))</f>
        <v>1</v>
      </c>
      <c r="K74" s="41"/>
      <c r="N74" s="12" t="s">
        <v>897</v>
      </c>
    </row>
    <row r="75" spans="2:14" x14ac:dyDescent="0.2">
      <c r="B75" s="38"/>
      <c r="C75" s="40" t="s">
        <v>893</v>
      </c>
      <c r="D75" s="40"/>
      <c r="E75" s="40"/>
      <c r="F75" s="40"/>
      <c r="G75" s="40"/>
      <c r="H75" s="40"/>
      <c r="I75" s="40"/>
      <c r="J75" s="175"/>
      <c r="K75" s="41"/>
      <c r="N75" s="12" t="s">
        <v>898</v>
      </c>
    </row>
    <row r="76" spans="2:14" s="178" customFormat="1" ht="30" customHeight="1" x14ac:dyDescent="0.2">
      <c r="B76" s="176"/>
      <c r="C76" s="415" t="s">
        <v>349</v>
      </c>
      <c r="D76" s="400"/>
      <c r="E76" s="400"/>
      <c r="F76" s="400"/>
      <c r="G76" s="400"/>
      <c r="H76" s="400"/>
      <c r="I76" s="400"/>
      <c r="J76" s="401"/>
      <c r="K76" s="177"/>
    </row>
    <row r="77" spans="2:14" x14ac:dyDescent="0.2">
      <c r="B77" s="38"/>
      <c r="C77" s="40"/>
      <c r="D77" s="40"/>
      <c r="E77" s="40"/>
      <c r="F77" s="40"/>
      <c r="G77" s="40"/>
      <c r="H77" s="40"/>
      <c r="I77" s="40"/>
      <c r="J77" s="40"/>
      <c r="K77" s="41"/>
    </row>
    <row r="78" spans="2:14" x14ac:dyDescent="0.2">
      <c r="B78" s="38"/>
      <c r="C78" s="179" t="s">
        <v>264</v>
      </c>
      <c r="D78" s="40"/>
      <c r="E78" s="40"/>
      <c r="F78" s="40"/>
      <c r="G78" s="40"/>
      <c r="H78" s="40"/>
      <c r="I78" s="40"/>
      <c r="J78" s="245" t="str">
        <f>IF(J72="N/A",IF(OR(J65="Not Calculated",J74="Not Calculated")=TRUE,"Not Calculated",AVERAGE(J65,J74)),AVERAGE(J72,J74))</f>
        <v>Not Calculated</v>
      </c>
      <c r="K78" s="41"/>
    </row>
    <row r="79" spans="2:14" x14ac:dyDescent="0.2">
      <c r="B79" s="38"/>
      <c r="C79" s="40"/>
      <c r="D79" s="40"/>
      <c r="E79" s="40"/>
      <c r="F79" s="40"/>
      <c r="G79" s="40"/>
      <c r="H79" s="40"/>
      <c r="I79" s="40"/>
      <c r="J79" s="40"/>
      <c r="K79" s="41"/>
    </row>
    <row r="80" spans="2:14" x14ac:dyDescent="0.2">
      <c r="B80" s="38"/>
      <c r="C80" s="40"/>
      <c r="D80" s="40"/>
      <c r="E80" s="40"/>
      <c r="F80" s="40"/>
      <c r="G80" s="40"/>
      <c r="H80" s="40"/>
      <c r="I80" s="40"/>
      <c r="J80" s="40"/>
      <c r="K80" s="41"/>
    </row>
    <row r="81" spans="2:14" ht="16" x14ac:dyDescent="0.2">
      <c r="B81" s="38"/>
      <c r="C81" s="45" t="s">
        <v>57</v>
      </c>
      <c r="D81" s="40"/>
      <c r="E81" s="40"/>
      <c r="F81" s="40"/>
      <c r="G81" s="40"/>
      <c r="H81" s="40"/>
      <c r="I81" s="40"/>
      <c r="J81" s="40"/>
      <c r="K81" s="41"/>
    </row>
    <row r="82" spans="2:14" x14ac:dyDescent="0.2">
      <c r="B82" s="38"/>
      <c r="C82" s="40" t="s">
        <v>437</v>
      </c>
      <c r="D82" s="40"/>
      <c r="E82" s="40"/>
      <c r="F82" s="40"/>
      <c r="G82" s="40"/>
      <c r="H82" s="40"/>
      <c r="I82" s="40"/>
      <c r="J82" s="252">
        <f>'Baseline Health'!G29</f>
        <v>0</v>
      </c>
      <c r="K82" s="41"/>
    </row>
    <row r="83" spans="2:14" x14ac:dyDescent="0.2">
      <c r="B83" s="38"/>
      <c r="C83" s="40" t="s">
        <v>290</v>
      </c>
      <c r="D83" s="40"/>
      <c r="E83" s="40"/>
      <c r="F83" s="40"/>
      <c r="G83" s="40"/>
      <c r="H83" s="40"/>
      <c r="I83" s="40"/>
      <c r="J83" s="264">
        <v>0</v>
      </c>
      <c r="K83" s="41"/>
    </row>
    <row r="84" spans="2:14" x14ac:dyDescent="0.2">
      <c r="B84" s="38"/>
      <c r="C84" s="40" t="s">
        <v>260</v>
      </c>
      <c r="D84" s="40"/>
      <c r="E84" s="40"/>
      <c r="F84" s="40"/>
      <c r="G84" s="40"/>
      <c r="H84" s="40"/>
      <c r="I84" s="40"/>
      <c r="J84" s="248" t="str">
        <f>IF(OR(J82=0,J82="Not Calculated")=TRUE,"Not Calculated",(IF(((J83+J82)/J82)&lt;=1,0,IF(((J83+J82)/J82)&lt;=1.05,1,IF(((J83+J82)/J82)&lt;=1.5, 2,IF(((J83+J82)/J82)&lt;=2,3,4))))))</f>
        <v>Not Calculated</v>
      </c>
      <c r="K84" s="41"/>
    </row>
    <row r="85" spans="2:14" ht="9.75" customHeight="1" x14ac:dyDescent="0.2">
      <c r="B85" s="38"/>
      <c r="C85" s="279" t="str">
        <f>"0:"</f>
        <v>0:</v>
      </c>
      <c r="D85" s="281" t="s">
        <v>918</v>
      </c>
      <c r="E85" s="40"/>
      <c r="F85" s="40"/>
      <c r="G85" s="40"/>
      <c r="H85" s="40"/>
      <c r="I85" s="40"/>
      <c r="J85" s="40"/>
      <c r="K85" s="41"/>
    </row>
    <row r="86" spans="2:14" ht="9.75" customHeight="1" x14ac:dyDescent="0.2">
      <c r="B86" s="38"/>
      <c r="C86" s="280" t="str">
        <f>"1:"</f>
        <v>1:</v>
      </c>
      <c r="D86" s="281" t="s">
        <v>919</v>
      </c>
      <c r="E86" s="40"/>
      <c r="F86" s="40"/>
      <c r="G86" s="40"/>
      <c r="H86" s="40"/>
      <c r="I86" s="40"/>
      <c r="J86" s="40"/>
      <c r="K86" s="41"/>
    </row>
    <row r="87" spans="2:14" ht="9.75" customHeight="1" x14ac:dyDescent="0.2">
      <c r="B87" s="38"/>
      <c r="C87" s="280" t="str">
        <f>"2:"</f>
        <v>2:</v>
      </c>
      <c r="D87" s="281" t="s">
        <v>920</v>
      </c>
      <c r="E87" s="40"/>
      <c r="F87" s="40"/>
      <c r="G87" s="40"/>
      <c r="H87" s="40"/>
      <c r="I87" s="40"/>
      <c r="J87" s="40"/>
      <c r="K87" s="41"/>
    </row>
    <row r="88" spans="2:14" ht="9.75" customHeight="1" x14ac:dyDescent="0.2">
      <c r="B88" s="38"/>
      <c r="C88" s="280" t="str">
        <f>"3:"</f>
        <v>3:</v>
      </c>
      <c r="D88" s="281" t="s">
        <v>921</v>
      </c>
      <c r="E88" s="40"/>
      <c r="F88" s="40"/>
      <c r="G88" s="40"/>
      <c r="H88" s="40"/>
      <c r="I88" s="40"/>
      <c r="J88" s="40"/>
      <c r="K88" s="41"/>
    </row>
    <row r="89" spans="2:14" ht="9.75" customHeight="1" x14ac:dyDescent="0.2">
      <c r="B89" s="38"/>
      <c r="C89" s="280" t="str">
        <f>"4:"</f>
        <v>4:</v>
      </c>
      <c r="D89" s="281" t="s">
        <v>922</v>
      </c>
      <c r="E89" s="40"/>
      <c r="F89" s="40"/>
      <c r="G89" s="40"/>
      <c r="H89" s="40"/>
      <c r="I89" s="40"/>
      <c r="J89" s="40"/>
      <c r="K89" s="41"/>
      <c r="M89" s="173"/>
      <c r="N89" s="12" t="s">
        <v>661</v>
      </c>
    </row>
    <row r="90" spans="2:14" x14ac:dyDescent="0.2">
      <c r="B90" s="38"/>
      <c r="C90" s="174" t="s">
        <v>662</v>
      </c>
      <c r="D90" s="40"/>
      <c r="E90" s="40"/>
      <c r="F90" s="40"/>
      <c r="G90" s="40"/>
      <c r="H90" s="40"/>
      <c r="I90" s="40"/>
      <c r="J90" s="265" t="s">
        <v>661</v>
      </c>
      <c r="K90" s="41"/>
      <c r="N90" s="12" t="s">
        <v>894</v>
      </c>
    </row>
    <row r="91" spans="2:14" x14ac:dyDescent="0.2">
      <c r="B91" s="38"/>
      <c r="C91" s="174" t="s">
        <v>660</v>
      </c>
      <c r="D91" s="40"/>
      <c r="E91" s="40"/>
      <c r="F91" s="40"/>
      <c r="G91" s="40"/>
      <c r="H91" s="40"/>
      <c r="I91" s="40"/>
      <c r="J91" s="246" t="str">
        <f>IF(J90=N89,"N/A",IF(J90=N90,0,IF(J90=N91,1,IF(J90=N92,2,IF(J90=N93,3,IF(J90=N94,4,"N/A"))))))</f>
        <v>N/A</v>
      </c>
      <c r="K91" s="41"/>
      <c r="N91" s="12" t="s">
        <v>895</v>
      </c>
    </row>
    <row r="92" spans="2:14" x14ac:dyDescent="0.2">
      <c r="B92" s="38"/>
      <c r="C92" s="40" t="s">
        <v>257</v>
      </c>
      <c r="D92" s="40"/>
      <c r="E92" s="40"/>
      <c r="F92" s="40"/>
      <c r="G92" s="40"/>
      <c r="H92" s="40"/>
      <c r="I92" s="40"/>
      <c r="J92" s="266" t="s">
        <v>870</v>
      </c>
      <c r="K92" s="41"/>
      <c r="N92" s="12" t="s">
        <v>896</v>
      </c>
    </row>
    <row r="93" spans="2:14" x14ac:dyDescent="0.2">
      <c r="B93" s="38"/>
      <c r="C93" s="40" t="s">
        <v>261</v>
      </c>
      <c r="D93" s="40"/>
      <c r="E93" s="40"/>
      <c r="F93" s="40"/>
      <c r="G93" s="40"/>
      <c r="H93" s="40"/>
      <c r="I93" s="40"/>
      <c r="J93" s="248">
        <f>IF(J92=$B$973,$A$973,IF(J92=$B$974,$A$974,IF(J92=$B$975,$A$975,IF(J92=$B$976,$A$976,IF(J92=$B$977,$A$977,"Not Calculated")))))</f>
        <v>0</v>
      </c>
      <c r="K93" s="41"/>
      <c r="N93" s="12" t="s">
        <v>897</v>
      </c>
    </row>
    <row r="94" spans="2:14" x14ac:dyDescent="0.2">
      <c r="B94" s="38"/>
      <c r="C94" s="40" t="s">
        <v>893</v>
      </c>
      <c r="D94" s="40"/>
      <c r="E94" s="40"/>
      <c r="F94" s="40"/>
      <c r="G94" s="40"/>
      <c r="H94" s="40"/>
      <c r="I94" s="40"/>
      <c r="J94" s="175"/>
      <c r="K94" s="41"/>
      <c r="N94" s="12" t="s">
        <v>898</v>
      </c>
    </row>
    <row r="95" spans="2:14" s="178" customFormat="1" ht="15" customHeight="1" x14ac:dyDescent="0.2">
      <c r="B95" s="176"/>
      <c r="C95" s="415"/>
      <c r="D95" s="400"/>
      <c r="E95" s="400"/>
      <c r="F95" s="400"/>
      <c r="G95" s="400"/>
      <c r="H95" s="400"/>
      <c r="I95" s="400"/>
      <c r="J95" s="401"/>
      <c r="K95" s="177"/>
    </row>
    <row r="96" spans="2:14" x14ac:dyDescent="0.2">
      <c r="B96" s="38"/>
      <c r="C96" s="40"/>
      <c r="D96" s="40"/>
      <c r="E96" s="40"/>
      <c r="F96" s="40"/>
      <c r="G96" s="40"/>
      <c r="H96" s="40"/>
      <c r="I96" s="40"/>
      <c r="J96" s="40"/>
      <c r="K96" s="41"/>
    </row>
    <row r="97" spans="2:14" x14ac:dyDescent="0.2">
      <c r="B97" s="38"/>
      <c r="C97" s="179" t="s">
        <v>265</v>
      </c>
      <c r="D97" s="40"/>
      <c r="E97" s="40"/>
      <c r="F97" s="40"/>
      <c r="G97" s="40"/>
      <c r="H97" s="40"/>
      <c r="I97" s="40"/>
      <c r="J97" s="245" t="str">
        <f>IF(J91="N/A",IF(OR(J84="Not Calculated",J93="Not Calculated")=TRUE,"Not Calculated",AVERAGE(J84,J93)),AVERAGE(J91,J93))</f>
        <v>Not Calculated</v>
      </c>
      <c r="K97" s="41"/>
    </row>
    <row r="98" spans="2:14" x14ac:dyDescent="0.2">
      <c r="B98" s="38"/>
      <c r="C98" s="40"/>
      <c r="D98" s="40"/>
      <c r="E98" s="40"/>
      <c r="F98" s="40"/>
      <c r="G98" s="40"/>
      <c r="H98" s="40"/>
      <c r="I98" s="40"/>
      <c r="J98" s="40"/>
      <c r="K98" s="41"/>
    </row>
    <row r="99" spans="2:14" x14ac:dyDescent="0.2">
      <c r="B99" s="38"/>
      <c r="C99" s="40"/>
      <c r="D99" s="40"/>
      <c r="E99" s="40"/>
      <c r="F99" s="40"/>
      <c r="G99" s="40"/>
      <c r="H99" s="40"/>
      <c r="I99" s="40"/>
      <c r="J99" s="40"/>
      <c r="K99" s="41"/>
    </row>
    <row r="100" spans="2:14" ht="16" x14ac:dyDescent="0.2">
      <c r="B100" s="38"/>
      <c r="C100" s="45" t="s">
        <v>60</v>
      </c>
      <c r="D100" s="40"/>
      <c r="E100" s="40"/>
      <c r="F100" s="40"/>
      <c r="G100" s="40"/>
      <c r="H100" s="40"/>
      <c r="I100" s="40"/>
      <c r="J100" s="40"/>
      <c r="K100" s="41"/>
    </row>
    <row r="101" spans="2:14" x14ac:dyDescent="0.2">
      <c r="B101" s="38"/>
      <c r="C101" s="40" t="s">
        <v>438</v>
      </c>
      <c r="D101" s="40"/>
      <c r="E101" s="40"/>
      <c r="F101" s="40"/>
      <c r="G101" s="40"/>
      <c r="H101" s="40"/>
      <c r="I101" s="40"/>
      <c r="J101" s="252">
        <f>'Baseline Health'!G35</f>
        <v>0</v>
      </c>
      <c r="K101" s="41"/>
    </row>
    <row r="102" spans="2:14" x14ac:dyDescent="0.2">
      <c r="B102" s="38"/>
      <c r="C102" s="40" t="s">
        <v>291</v>
      </c>
      <c r="D102" s="40"/>
      <c r="E102" s="40"/>
      <c r="F102" s="40"/>
      <c r="G102" s="40"/>
      <c r="H102" s="40"/>
      <c r="I102" s="40"/>
      <c r="J102" s="264">
        <v>12</v>
      </c>
      <c r="K102" s="41"/>
    </row>
    <row r="103" spans="2:14" x14ac:dyDescent="0.2">
      <c r="B103" s="38"/>
      <c r="C103" s="40" t="s">
        <v>260</v>
      </c>
      <c r="D103" s="40"/>
      <c r="E103" s="40"/>
      <c r="F103" s="40"/>
      <c r="G103" s="40"/>
      <c r="H103" s="40"/>
      <c r="I103" s="40"/>
      <c r="J103" s="248" t="str">
        <f>IF(OR(J101=0,J101="Not Calculated")=TRUE,"Not Calculated",(IF(((J102+J101)/J101)&lt;=1,0,IF(((J102+J101)/J101)&lt;=1.05,1,IF(((J102+J101)/J101)&lt;=1.5, 2,IF(((J102+J101)/J101)&lt;=2,3,4))))))</f>
        <v>Not Calculated</v>
      </c>
      <c r="K103" s="41"/>
    </row>
    <row r="104" spans="2:14" ht="9.75" customHeight="1" x14ac:dyDescent="0.2">
      <c r="B104" s="38"/>
      <c r="C104" s="279" t="str">
        <f>"0:"</f>
        <v>0:</v>
      </c>
      <c r="D104" s="281" t="s">
        <v>918</v>
      </c>
      <c r="E104" s="40"/>
      <c r="F104" s="40"/>
      <c r="G104" s="40"/>
      <c r="H104" s="40"/>
      <c r="I104" s="40"/>
      <c r="J104" s="40"/>
      <c r="K104" s="41"/>
    </row>
    <row r="105" spans="2:14" ht="9.75" customHeight="1" x14ac:dyDescent="0.2">
      <c r="B105" s="38"/>
      <c r="C105" s="280" t="str">
        <f>"1:"</f>
        <v>1:</v>
      </c>
      <c r="D105" s="281" t="s">
        <v>919</v>
      </c>
      <c r="E105" s="40"/>
      <c r="F105" s="40"/>
      <c r="G105" s="40"/>
      <c r="H105" s="40"/>
      <c r="I105" s="40"/>
      <c r="J105" s="40"/>
      <c r="K105" s="41"/>
    </row>
    <row r="106" spans="2:14" ht="9.75" customHeight="1" x14ac:dyDescent="0.2">
      <c r="B106" s="38"/>
      <c r="C106" s="280" t="str">
        <f>"2:"</f>
        <v>2:</v>
      </c>
      <c r="D106" s="281" t="s">
        <v>920</v>
      </c>
      <c r="E106" s="40"/>
      <c r="F106" s="40"/>
      <c r="G106" s="40"/>
      <c r="H106" s="40"/>
      <c r="I106" s="40"/>
      <c r="J106" s="40"/>
      <c r="K106" s="41"/>
    </row>
    <row r="107" spans="2:14" ht="9.75" customHeight="1" x14ac:dyDescent="0.2">
      <c r="B107" s="38"/>
      <c r="C107" s="280" t="str">
        <f>"3:"</f>
        <v>3:</v>
      </c>
      <c r="D107" s="281" t="s">
        <v>921</v>
      </c>
      <c r="E107" s="40"/>
      <c r="F107" s="40"/>
      <c r="G107" s="40"/>
      <c r="H107" s="40"/>
      <c r="I107" s="40"/>
      <c r="J107" s="40"/>
      <c r="K107" s="41"/>
    </row>
    <row r="108" spans="2:14" ht="9.75" customHeight="1" x14ac:dyDescent="0.2">
      <c r="B108" s="38"/>
      <c r="C108" s="280" t="str">
        <f>"4:"</f>
        <v>4:</v>
      </c>
      <c r="D108" s="281" t="s">
        <v>922</v>
      </c>
      <c r="E108" s="40"/>
      <c r="F108" s="40"/>
      <c r="G108" s="40"/>
      <c r="H108" s="40"/>
      <c r="I108" s="40"/>
      <c r="J108" s="40"/>
      <c r="K108" s="41"/>
      <c r="M108" s="173"/>
      <c r="N108" s="12" t="s">
        <v>661</v>
      </c>
    </row>
    <row r="109" spans="2:14" x14ac:dyDescent="0.2">
      <c r="B109" s="38"/>
      <c r="C109" s="174" t="s">
        <v>662</v>
      </c>
      <c r="D109" s="40"/>
      <c r="E109" s="40"/>
      <c r="F109" s="40"/>
      <c r="G109" s="40"/>
      <c r="H109" s="40"/>
      <c r="I109" s="40"/>
      <c r="J109" s="265" t="s">
        <v>661</v>
      </c>
      <c r="K109" s="41"/>
      <c r="N109" s="12" t="s">
        <v>894</v>
      </c>
    </row>
    <row r="110" spans="2:14" x14ac:dyDescent="0.2">
      <c r="B110" s="38"/>
      <c r="C110" s="174" t="s">
        <v>660</v>
      </c>
      <c r="D110" s="40"/>
      <c r="E110" s="40"/>
      <c r="F110" s="40"/>
      <c r="G110" s="40"/>
      <c r="H110" s="40"/>
      <c r="I110" s="40"/>
      <c r="J110" s="246" t="str">
        <f>IF(J109=N108,"N/A",IF(J109=N109,0,IF(J109=N110,1,IF(J109=N111,2,IF(J109=N112,3,IF(J109=N113,4,"N/A"))))))</f>
        <v>N/A</v>
      </c>
      <c r="K110" s="41"/>
      <c r="N110" s="12" t="s">
        <v>895</v>
      </c>
    </row>
    <row r="111" spans="2:14" x14ac:dyDescent="0.2">
      <c r="B111" s="38"/>
      <c r="C111" s="40" t="s">
        <v>257</v>
      </c>
      <c r="D111" s="40"/>
      <c r="E111" s="40"/>
      <c r="F111" s="40"/>
      <c r="G111" s="40"/>
      <c r="H111" s="40"/>
      <c r="I111" s="40"/>
      <c r="J111" s="266" t="s">
        <v>879</v>
      </c>
      <c r="K111" s="41"/>
      <c r="N111" s="12" t="s">
        <v>896</v>
      </c>
    </row>
    <row r="112" spans="2:14" x14ac:dyDescent="0.2">
      <c r="B112" s="38"/>
      <c r="C112" s="40" t="s">
        <v>261</v>
      </c>
      <c r="D112" s="40"/>
      <c r="E112" s="40"/>
      <c r="F112" s="40"/>
      <c r="G112" s="40"/>
      <c r="H112" s="40"/>
      <c r="I112" s="40"/>
      <c r="J112" s="248">
        <f>IF(J111=$B$973,$A$973,IF(J111=$B$974,$A$974,IF(J111=$B$975,$A$975,IF(J111=$B$976,$A$976,IF(J111=$B$977,$A$977,"Not Calculated")))))</f>
        <v>1</v>
      </c>
      <c r="K112" s="41"/>
      <c r="N112" s="12" t="s">
        <v>897</v>
      </c>
    </row>
    <row r="113" spans="2:14" x14ac:dyDescent="0.2">
      <c r="B113" s="38"/>
      <c r="C113" s="40" t="s">
        <v>893</v>
      </c>
      <c r="D113" s="40"/>
      <c r="E113" s="40"/>
      <c r="F113" s="40"/>
      <c r="G113" s="40"/>
      <c r="H113" s="40"/>
      <c r="I113" s="40"/>
      <c r="J113" s="175"/>
      <c r="K113" s="41"/>
      <c r="N113" s="12" t="s">
        <v>898</v>
      </c>
    </row>
    <row r="114" spans="2:14" s="178" customFormat="1" ht="30" customHeight="1" x14ac:dyDescent="0.2">
      <c r="B114" s="176"/>
      <c r="C114" s="415" t="s">
        <v>350</v>
      </c>
      <c r="D114" s="400"/>
      <c r="E114" s="400"/>
      <c r="F114" s="400"/>
      <c r="G114" s="400"/>
      <c r="H114" s="400"/>
      <c r="I114" s="400"/>
      <c r="J114" s="401"/>
      <c r="K114" s="177"/>
    </row>
    <row r="115" spans="2:14" x14ac:dyDescent="0.2">
      <c r="B115" s="38"/>
      <c r="C115" s="40"/>
      <c r="D115" s="40"/>
      <c r="E115" s="40"/>
      <c r="F115" s="40"/>
      <c r="G115" s="40"/>
      <c r="H115" s="40"/>
      <c r="I115" s="40"/>
      <c r="J115" s="40"/>
      <c r="K115" s="41"/>
    </row>
    <row r="116" spans="2:14" x14ac:dyDescent="0.2">
      <c r="B116" s="38"/>
      <c r="C116" s="179" t="s">
        <v>266</v>
      </c>
      <c r="D116" s="40"/>
      <c r="E116" s="40"/>
      <c r="F116" s="40"/>
      <c r="G116" s="40"/>
      <c r="H116" s="40"/>
      <c r="I116" s="40"/>
      <c r="J116" s="245" t="str">
        <f>IF(J110="N/A",IF(OR(J103="Not Calculated",J112="Not Calculated")=TRUE,"Not Calculated",AVERAGE(J103,J112)),AVERAGE(J110,J112))</f>
        <v>Not Calculated</v>
      </c>
      <c r="K116" s="41"/>
    </row>
    <row r="117" spans="2:14" x14ac:dyDescent="0.2">
      <c r="B117" s="38"/>
      <c r="C117" s="40"/>
      <c r="D117" s="40"/>
      <c r="E117" s="40"/>
      <c r="F117" s="40"/>
      <c r="G117" s="40"/>
      <c r="H117" s="40"/>
      <c r="I117" s="40"/>
      <c r="J117" s="40"/>
      <c r="K117" s="41"/>
    </row>
    <row r="118" spans="2:14" x14ac:dyDescent="0.2">
      <c r="B118" s="38"/>
      <c r="C118" s="40"/>
      <c r="D118" s="40"/>
      <c r="E118" s="40"/>
      <c r="F118" s="40"/>
      <c r="G118" s="40"/>
      <c r="H118" s="40"/>
      <c r="I118" s="40"/>
      <c r="J118" s="40"/>
      <c r="K118" s="41"/>
    </row>
    <row r="119" spans="2:14" ht="16" x14ac:dyDescent="0.2">
      <c r="B119" s="38"/>
      <c r="C119" s="45" t="s">
        <v>262</v>
      </c>
      <c r="D119" s="40"/>
      <c r="E119" s="40"/>
      <c r="F119" s="40"/>
      <c r="G119" s="40"/>
      <c r="H119" s="40"/>
      <c r="I119" s="40"/>
      <c r="J119" s="40"/>
      <c r="K119" s="41"/>
    </row>
    <row r="120" spans="2:14" ht="15" customHeight="1" x14ac:dyDescent="0.2">
      <c r="B120" s="38"/>
      <c r="C120" s="422" t="s">
        <v>268</v>
      </c>
      <c r="D120" s="422"/>
      <c r="E120" s="422"/>
      <c r="F120" s="422"/>
      <c r="G120" s="422"/>
      <c r="H120" s="422"/>
      <c r="I120" s="422"/>
      <c r="J120" s="422"/>
      <c r="K120" s="41"/>
    </row>
    <row r="121" spans="2:14" x14ac:dyDescent="0.2">
      <c r="B121" s="38"/>
      <c r="C121" s="422"/>
      <c r="D121" s="422"/>
      <c r="E121" s="422"/>
      <c r="F121" s="422"/>
      <c r="G121" s="422"/>
      <c r="H121" s="422"/>
      <c r="I121" s="422"/>
      <c r="J121" s="422"/>
      <c r="K121" s="41"/>
    </row>
    <row r="122" spans="2:14" x14ac:dyDescent="0.2">
      <c r="B122" s="38"/>
      <c r="C122" s="423"/>
      <c r="D122" s="423"/>
      <c r="E122" s="423"/>
      <c r="F122" s="423"/>
      <c r="G122" s="423"/>
      <c r="H122" s="423"/>
      <c r="I122" s="423"/>
      <c r="J122" s="423"/>
      <c r="K122" s="41"/>
    </row>
    <row r="123" spans="2:14" ht="15" customHeight="1" x14ac:dyDescent="0.2">
      <c r="B123" s="38"/>
      <c r="C123" s="416" t="s">
        <v>229</v>
      </c>
      <c r="D123" s="417"/>
      <c r="E123" s="417"/>
      <c r="F123" s="417"/>
      <c r="G123" s="417"/>
      <c r="H123" s="417"/>
      <c r="I123" s="417"/>
      <c r="J123" s="418"/>
      <c r="K123" s="41"/>
    </row>
    <row r="124" spans="2:14" x14ac:dyDescent="0.2">
      <c r="B124" s="38"/>
      <c r="C124" s="419"/>
      <c r="D124" s="420"/>
      <c r="E124" s="420"/>
      <c r="F124" s="420"/>
      <c r="G124" s="420"/>
      <c r="H124" s="420"/>
      <c r="I124" s="420"/>
      <c r="J124" s="421"/>
      <c r="K124" s="41"/>
    </row>
    <row r="125" spans="2:14" x14ac:dyDescent="0.2">
      <c r="B125" s="38"/>
      <c r="C125" s="40" t="s">
        <v>260</v>
      </c>
      <c r="D125" s="40"/>
      <c r="E125" s="40"/>
      <c r="F125" s="40"/>
      <c r="G125" s="40"/>
      <c r="H125" s="40"/>
      <c r="I125" s="40"/>
      <c r="J125" s="246">
        <f>IF(C123=B987,A987,IF(C123=B988,A988,IF(C123=B989,A989,IF(C123=B990,A990,IF(C123=B991,A991,"Not Calculated")))))</f>
        <v>3</v>
      </c>
      <c r="K125" s="41"/>
    </row>
    <row r="126" spans="2:14" x14ac:dyDescent="0.2">
      <c r="B126" s="38"/>
      <c r="C126" s="40" t="s">
        <v>257</v>
      </c>
      <c r="D126" s="40"/>
      <c r="E126" s="40"/>
      <c r="F126" s="40"/>
      <c r="G126" s="40"/>
      <c r="H126" s="40"/>
      <c r="I126" s="40"/>
      <c r="J126" s="266" t="s">
        <v>874</v>
      </c>
      <c r="K126" s="41"/>
    </row>
    <row r="127" spans="2:14" x14ac:dyDescent="0.2">
      <c r="B127" s="38"/>
      <c r="C127" s="40" t="s">
        <v>261</v>
      </c>
      <c r="D127" s="40"/>
      <c r="E127" s="40"/>
      <c r="F127" s="40"/>
      <c r="G127" s="40"/>
      <c r="H127" s="40"/>
      <c r="I127" s="40"/>
      <c r="J127" s="248">
        <f>IF(J126=$B$973,$A$973,IF(J126=$B$974,$A$974,IF(J126=$B$975,$A$975,IF(J126=$B$976,$A$976,IF(J126=$B$977,$A$977,"Not Calculated")))))</f>
        <v>4</v>
      </c>
      <c r="K127" s="41"/>
    </row>
    <row r="128" spans="2:14" x14ac:dyDescent="0.2">
      <c r="B128" s="38"/>
      <c r="C128" s="40" t="s">
        <v>893</v>
      </c>
      <c r="D128" s="40"/>
      <c r="E128" s="40"/>
      <c r="F128" s="40"/>
      <c r="G128" s="40"/>
      <c r="H128" s="40"/>
      <c r="I128" s="40"/>
      <c r="J128" s="175"/>
      <c r="K128" s="41"/>
    </row>
    <row r="129" spans="2:11" s="178" customFormat="1" ht="60" customHeight="1" x14ac:dyDescent="0.2">
      <c r="B129" s="176"/>
      <c r="C129" s="415" t="s">
        <v>352</v>
      </c>
      <c r="D129" s="400"/>
      <c r="E129" s="400"/>
      <c r="F129" s="400"/>
      <c r="G129" s="400"/>
      <c r="H129" s="400"/>
      <c r="I129" s="400"/>
      <c r="J129" s="401"/>
      <c r="K129" s="177"/>
    </row>
    <row r="130" spans="2:11" x14ac:dyDescent="0.2">
      <c r="B130" s="38"/>
      <c r="C130" s="40"/>
      <c r="D130" s="40"/>
      <c r="E130" s="40"/>
      <c r="F130" s="40"/>
      <c r="G130" s="40"/>
      <c r="H130" s="40"/>
      <c r="I130" s="40"/>
      <c r="J130" s="40"/>
      <c r="K130" s="41"/>
    </row>
    <row r="131" spans="2:11" x14ac:dyDescent="0.2">
      <c r="B131" s="38"/>
      <c r="C131" s="179" t="s">
        <v>267</v>
      </c>
      <c r="D131" s="40"/>
      <c r="E131" s="40"/>
      <c r="F131" s="40"/>
      <c r="G131" s="40"/>
      <c r="H131" s="40"/>
      <c r="I131" s="40"/>
      <c r="J131" s="245">
        <f>IF(OR(J125="Not Calculated",J127="Not Calculated")=TRUE,"Not Calculated",AVERAGE(J125,J127))</f>
        <v>3.5</v>
      </c>
      <c r="K131" s="41"/>
    </row>
    <row r="132" spans="2:11" x14ac:dyDescent="0.2">
      <c r="B132" s="38"/>
      <c r="C132" s="179"/>
      <c r="D132" s="40"/>
      <c r="E132" s="40"/>
      <c r="F132" s="40"/>
      <c r="G132" s="40"/>
      <c r="H132" s="40"/>
      <c r="I132" s="40"/>
      <c r="J132" s="245"/>
      <c r="K132" s="41"/>
    </row>
    <row r="133" spans="2:11" ht="18" x14ac:dyDescent="0.2">
      <c r="B133" s="38"/>
      <c r="C133" s="180" t="s">
        <v>269</v>
      </c>
      <c r="D133" s="40"/>
      <c r="E133" s="40"/>
      <c r="F133" s="40"/>
      <c r="G133" s="40"/>
      <c r="H133" s="40"/>
      <c r="I133" s="40"/>
      <c r="J133" s="244" t="str">
        <f>IF(OR(J40="Not Calculated",J59="Not Calculated",J78="Not Calculated",J97="Not Calculated",J116="Not Calculated",J131="Not Calculated",)=TRUE,"Not Calculated",AVERAGE(J40,J59,J78,J97,J116,J131))</f>
        <v>Not Calculated</v>
      </c>
      <c r="K133" s="41"/>
    </row>
    <row r="134" spans="2:11" ht="16" thickBot="1" x14ac:dyDescent="0.25">
      <c r="B134" s="46"/>
      <c r="C134" s="47"/>
      <c r="D134" s="47"/>
      <c r="E134" s="47"/>
      <c r="F134" s="47"/>
      <c r="G134" s="47"/>
      <c r="H134" s="47"/>
      <c r="I134" s="47"/>
      <c r="J134" s="47"/>
      <c r="K134" s="49"/>
    </row>
    <row r="135" spans="2:11" ht="16" thickBot="1" x14ac:dyDescent="0.25"/>
    <row r="136" spans="2:11" x14ac:dyDescent="0.2">
      <c r="B136" s="33"/>
      <c r="C136" s="34"/>
      <c r="D136" s="34"/>
      <c r="E136" s="34"/>
      <c r="F136" s="34"/>
      <c r="G136" s="34"/>
      <c r="H136" s="34"/>
      <c r="I136" s="34"/>
      <c r="J136" s="34"/>
      <c r="K136" s="37"/>
    </row>
    <row r="137" spans="2:11" ht="21" x14ac:dyDescent="0.25">
      <c r="B137" s="38"/>
      <c r="C137" s="171"/>
      <c r="D137" s="40"/>
      <c r="E137" s="40"/>
      <c r="F137" s="40"/>
      <c r="G137" s="172" t="s">
        <v>27</v>
      </c>
      <c r="H137" s="40"/>
      <c r="I137" s="40"/>
      <c r="J137" s="40"/>
      <c r="K137" s="41"/>
    </row>
    <row r="138" spans="2:11" x14ac:dyDescent="0.2">
      <c r="B138" s="38"/>
      <c r="C138" s="40"/>
      <c r="D138" s="40"/>
      <c r="E138" s="40"/>
      <c r="F138" s="40"/>
      <c r="G138" s="40"/>
      <c r="H138" s="40"/>
      <c r="I138" s="40"/>
      <c r="J138" s="40"/>
      <c r="K138" s="41"/>
    </row>
    <row r="139" spans="2:11" ht="16" x14ac:dyDescent="0.2">
      <c r="B139" s="38"/>
      <c r="C139" s="45" t="s">
        <v>72</v>
      </c>
      <c r="D139" s="40"/>
      <c r="E139" s="40"/>
      <c r="F139" s="40"/>
      <c r="G139" s="40"/>
      <c r="H139" s="40"/>
      <c r="I139" s="40"/>
      <c r="J139" s="40"/>
      <c r="K139" s="41"/>
    </row>
    <row r="140" spans="2:11" x14ac:dyDescent="0.2">
      <c r="B140" s="38"/>
      <c r="C140" s="40" t="s">
        <v>440</v>
      </c>
      <c r="D140" s="40"/>
      <c r="E140" s="40"/>
      <c r="F140" s="40"/>
      <c r="G140" s="40"/>
      <c r="H140" s="40"/>
      <c r="I140" s="40"/>
      <c r="J140" s="252">
        <f>'Baseline Health'!G45</f>
        <v>0</v>
      </c>
      <c r="K140" s="41"/>
    </row>
    <row r="141" spans="2:11" x14ac:dyDescent="0.2">
      <c r="B141" s="38"/>
      <c r="C141" s="40" t="s">
        <v>270</v>
      </c>
      <c r="D141" s="40"/>
      <c r="E141" s="40"/>
      <c r="F141" s="40"/>
      <c r="G141" s="40"/>
      <c r="H141" s="40"/>
      <c r="I141" s="40"/>
      <c r="J141" s="264">
        <v>0</v>
      </c>
      <c r="K141" s="41"/>
    </row>
    <row r="142" spans="2:11" x14ac:dyDescent="0.2">
      <c r="B142" s="38"/>
      <c r="C142" s="40" t="s">
        <v>439</v>
      </c>
      <c r="D142" s="40"/>
      <c r="E142" s="40"/>
      <c r="F142" s="40"/>
      <c r="G142" s="40"/>
      <c r="H142" s="40"/>
      <c r="I142" s="40"/>
      <c r="J142" s="255">
        <f>J83/20</f>
        <v>0</v>
      </c>
      <c r="K142" s="41"/>
    </row>
    <row r="143" spans="2:11" x14ac:dyDescent="0.2">
      <c r="B143" s="38"/>
      <c r="C143" s="40"/>
      <c r="D143" s="40" t="s">
        <v>351</v>
      </c>
      <c r="E143" s="40"/>
      <c r="F143" s="40"/>
      <c r="G143" s="40"/>
      <c r="H143" s="40"/>
      <c r="I143" s="40"/>
      <c r="J143" s="40"/>
      <c r="K143" s="41"/>
    </row>
    <row r="144" spans="2:11" x14ac:dyDescent="0.2">
      <c r="B144" s="38"/>
      <c r="C144" s="40" t="s">
        <v>260</v>
      </c>
      <c r="D144" s="40"/>
      <c r="E144" s="40"/>
      <c r="F144" s="40"/>
      <c r="G144" s="40"/>
      <c r="H144" s="40"/>
      <c r="I144" s="40"/>
      <c r="J144" s="245" t="str">
        <f>IF(OR(J140=0,J140="Not Calculated")=TRUE,"Not Calculated",IF((J140-J141)&lt;=0,4,IF(((J140+J142)/(J140-J141))&lt;=1,0,IF(((J140+J142)/(J140-J141))&lt;=1.05,1,IF(((J140+J142)/(J140-J141))&lt;=1.5, 2,IF(((J140+J142)/(J140-J141))&lt;=2,3,4))))))</f>
        <v>Not Calculated</v>
      </c>
      <c r="K144" s="41"/>
    </row>
    <row r="145" spans="2:14" ht="9.75" customHeight="1" x14ac:dyDescent="0.2">
      <c r="B145" s="38"/>
      <c r="C145" s="279" t="str">
        <f>"0:"</f>
        <v>0:</v>
      </c>
      <c r="D145" s="278" t="s">
        <v>918</v>
      </c>
      <c r="E145" s="40"/>
      <c r="F145" s="40"/>
      <c r="G145" s="40"/>
      <c r="H145" s="40"/>
      <c r="I145" s="40"/>
      <c r="J145" s="40"/>
      <c r="K145" s="41"/>
    </row>
    <row r="146" spans="2:14" ht="9.75" customHeight="1" x14ac:dyDescent="0.2">
      <c r="B146" s="38"/>
      <c r="C146" s="280" t="str">
        <f>"1:"</f>
        <v>1:</v>
      </c>
      <c r="D146" s="278" t="s">
        <v>923</v>
      </c>
      <c r="E146" s="40"/>
      <c r="F146" s="40"/>
      <c r="G146" s="40"/>
      <c r="H146" s="40"/>
      <c r="I146" s="40"/>
      <c r="J146" s="40"/>
      <c r="K146" s="41"/>
    </row>
    <row r="147" spans="2:14" ht="9.75" customHeight="1" x14ac:dyDescent="0.2">
      <c r="B147" s="38"/>
      <c r="C147" s="280" t="str">
        <f>"2:"</f>
        <v>2:</v>
      </c>
      <c r="D147" s="278" t="s">
        <v>924</v>
      </c>
      <c r="E147" s="40"/>
      <c r="F147" s="40"/>
      <c r="G147" s="40"/>
      <c r="H147" s="40"/>
      <c r="I147" s="40"/>
      <c r="J147" s="40"/>
      <c r="K147" s="41"/>
    </row>
    <row r="148" spans="2:14" ht="9.75" customHeight="1" x14ac:dyDescent="0.2">
      <c r="B148" s="38"/>
      <c r="C148" s="280" t="str">
        <f>"3:"</f>
        <v>3:</v>
      </c>
      <c r="D148" s="278" t="s">
        <v>925</v>
      </c>
      <c r="E148" s="40"/>
      <c r="F148" s="40"/>
      <c r="G148" s="40"/>
      <c r="H148" s="40"/>
      <c r="I148" s="40"/>
      <c r="J148" s="40"/>
      <c r="K148" s="41"/>
    </row>
    <row r="149" spans="2:14" ht="9.75" customHeight="1" x14ac:dyDescent="0.2">
      <c r="B149" s="38"/>
      <c r="C149" s="280" t="str">
        <f>"4:"</f>
        <v>4:</v>
      </c>
      <c r="D149" s="278" t="s">
        <v>926</v>
      </c>
      <c r="E149" s="40"/>
      <c r="F149" s="40"/>
      <c r="G149" s="40"/>
      <c r="H149" s="40"/>
      <c r="I149" s="40"/>
      <c r="J149" s="40"/>
      <c r="K149" s="41"/>
      <c r="N149" s="12" t="s">
        <v>661</v>
      </c>
    </row>
    <row r="150" spans="2:14" x14ac:dyDescent="0.2">
      <c r="B150" s="38"/>
      <c r="C150" s="174" t="s">
        <v>662</v>
      </c>
      <c r="D150" s="40"/>
      <c r="E150" s="40"/>
      <c r="F150" s="40"/>
      <c r="G150" s="40"/>
      <c r="H150" s="40"/>
      <c r="I150" s="40"/>
      <c r="J150" s="265" t="s">
        <v>661</v>
      </c>
      <c r="K150" s="41"/>
      <c r="N150" s="12" t="s">
        <v>894</v>
      </c>
    </row>
    <row r="151" spans="2:14" x14ac:dyDescent="0.2">
      <c r="B151" s="38"/>
      <c r="C151" s="174" t="s">
        <v>660</v>
      </c>
      <c r="D151" s="40"/>
      <c r="E151" s="40"/>
      <c r="F151" s="40"/>
      <c r="G151" s="40"/>
      <c r="H151" s="40"/>
      <c r="I151" s="40"/>
      <c r="J151" s="246" t="str">
        <f>IF(J150=N149,"N/A",IF(J150=N150,0,IF(J150=N151,1,IF(J150=N152,2,IF(J150=N153,3,IF(J150=N154,4,"N/A"))))))</f>
        <v>N/A</v>
      </c>
      <c r="K151" s="41"/>
      <c r="N151" s="12" t="s">
        <v>899</v>
      </c>
    </row>
    <row r="152" spans="2:14" x14ac:dyDescent="0.2">
      <c r="B152" s="38"/>
      <c r="C152" s="40" t="s">
        <v>257</v>
      </c>
      <c r="D152" s="40"/>
      <c r="E152" s="40"/>
      <c r="F152" s="40"/>
      <c r="G152" s="40"/>
      <c r="H152" s="40"/>
      <c r="I152" s="40"/>
      <c r="J152" s="266" t="s">
        <v>872</v>
      </c>
      <c r="K152" s="41"/>
      <c r="N152" s="12" t="s">
        <v>900</v>
      </c>
    </row>
    <row r="153" spans="2:14" x14ac:dyDescent="0.2">
      <c r="B153" s="38"/>
      <c r="C153" s="40" t="s">
        <v>261</v>
      </c>
      <c r="D153" s="40"/>
      <c r="E153" s="40"/>
      <c r="F153" s="40"/>
      <c r="G153" s="40"/>
      <c r="H153" s="40"/>
      <c r="I153" s="40"/>
      <c r="J153" s="248">
        <f>IF(J152=$B$973,$A$973,IF(J152=$B$974,$A$974,IF(J152=$B$975,$A$975,IF(J152=$B$976,$A$976,IF(J152=$B$977,$A$977,"Not Calculated")))))</f>
        <v>2</v>
      </c>
      <c r="K153" s="41"/>
      <c r="N153" s="12" t="s">
        <v>901</v>
      </c>
    </row>
    <row r="154" spans="2:14" x14ac:dyDescent="0.2">
      <c r="B154" s="38"/>
      <c r="C154" s="40" t="s">
        <v>893</v>
      </c>
      <c r="D154" s="40"/>
      <c r="E154" s="40"/>
      <c r="F154" s="40"/>
      <c r="G154" s="40"/>
      <c r="H154" s="40"/>
      <c r="I154" s="40"/>
      <c r="J154" s="40"/>
      <c r="K154" s="41"/>
      <c r="N154" s="12" t="s">
        <v>902</v>
      </c>
    </row>
    <row r="155" spans="2:14" ht="15" customHeight="1" x14ac:dyDescent="0.2">
      <c r="B155" s="38"/>
      <c r="C155" s="399"/>
      <c r="D155" s="400"/>
      <c r="E155" s="400"/>
      <c r="F155" s="400"/>
      <c r="G155" s="400"/>
      <c r="H155" s="400"/>
      <c r="I155" s="400"/>
      <c r="J155" s="401"/>
      <c r="K155" s="41"/>
    </row>
    <row r="156" spans="2:14" x14ac:dyDescent="0.2">
      <c r="B156" s="38"/>
      <c r="C156" s="40"/>
      <c r="D156" s="40"/>
      <c r="E156" s="40"/>
      <c r="F156" s="40"/>
      <c r="G156" s="40"/>
      <c r="H156" s="40"/>
      <c r="I156" s="40"/>
      <c r="J156" s="40"/>
      <c r="K156" s="41"/>
    </row>
    <row r="157" spans="2:14" x14ac:dyDescent="0.2">
      <c r="B157" s="38"/>
      <c r="C157" s="179" t="s">
        <v>271</v>
      </c>
      <c r="D157" s="40"/>
      <c r="E157" s="40"/>
      <c r="F157" s="40"/>
      <c r="G157" s="40"/>
      <c r="H157" s="40"/>
      <c r="I157" s="40"/>
      <c r="J157" s="245" t="str">
        <f>IF(J151="N/A",IF(OR(J144="Not Calculated",J153="Not Calculated")=TRUE,"Not Calculated",AVERAGE(J144,J153)),AVERAGE(J151,J153))</f>
        <v>Not Calculated</v>
      </c>
      <c r="K157" s="41"/>
    </row>
    <row r="158" spans="2:14" x14ac:dyDescent="0.2">
      <c r="B158" s="38"/>
      <c r="C158" s="40"/>
      <c r="D158" s="40"/>
      <c r="E158" s="40"/>
      <c r="F158" s="40"/>
      <c r="G158" s="40"/>
      <c r="H158" s="40"/>
      <c r="I158" s="40"/>
      <c r="J158" s="40"/>
      <c r="K158" s="41"/>
    </row>
    <row r="159" spans="2:14" x14ac:dyDescent="0.2">
      <c r="B159" s="38"/>
      <c r="C159" s="40"/>
      <c r="D159" s="40"/>
      <c r="E159" s="40"/>
      <c r="F159" s="40"/>
      <c r="G159" s="40"/>
      <c r="H159" s="40"/>
      <c r="I159" s="40"/>
      <c r="J159" s="40"/>
      <c r="K159" s="41"/>
    </row>
    <row r="160" spans="2:14" ht="16" x14ac:dyDescent="0.2">
      <c r="B160" s="38"/>
      <c r="C160" s="45" t="s">
        <v>273</v>
      </c>
      <c r="D160" s="40"/>
      <c r="E160" s="40"/>
      <c r="F160" s="40"/>
      <c r="G160" s="40"/>
      <c r="H160" s="40"/>
      <c r="I160" s="40"/>
      <c r="J160" s="40"/>
      <c r="K160" s="41"/>
    </row>
    <row r="161" spans="2:14" x14ac:dyDescent="0.2">
      <c r="B161" s="38"/>
      <c r="C161" s="40" t="s">
        <v>441</v>
      </c>
      <c r="D161" s="40"/>
      <c r="E161" s="40"/>
      <c r="F161" s="40"/>
      <c r="G161" s="40"/>
      <c r="H161" s="40"/>
      <c r="I161" s="40"/>
      <c r="J161" s="252">
        <f>'Baseline Health'!G51</f>
        <v>0</v>
      </c>
      <c r="K161" s="41"/>
    </row>
    <row r="162" spans="2:14" x14ac:dyDescent="0.2">
      <c r="B162" s="38"/>
      <c r="C162" s="40" t="s">
        <v>280</v>
      </c>
      <c r="D162" s="40"/>
      <c r="E162" s="40"/>
      <c r="F162" s="40"/>
      <c r="G162" s="40"/>
      <c r="H162" s="40"/>
      <c r="I162" s="40"/>
      <c r="J162" s="264">
        <v>0</v>
      </c>
      <c r="K162" s="41"/>
    </row>
    <row r="163" spans="2:14" x14ac:dyDescent="0.2">
      <c r="B163" s="38"/>
      <c r="C163" s="40" t="s">
        <v>442</v>
      </c>
      <c r="D163" s="40"/>
      <c r="E163" s="40"/>
      <c r="F163" s="40"/>
      <c r="G163" s="40"/>
      <c r="H163" s="40"/>
      <c r="I163" s="40"/>
      <c r="J163" s="255">
        <f>(J64)/4.5</f>
        <v>6</v>
      </c>
      <c r="K163" s="41"/>
    </row>
    <row r="164" spans="2:14" x14ac:dyDescent="0.2">
      <c r="B164" s="38"/>
      <c r="C164" s="40"/>
      <c r="D164" s="40" t="s">
        <v>353</v>
      </c>
      <c r="E164" s="40"/>
      <c r="F164" s="40"/>
      <c r="G164" s="40"/>
      <c r="H164" s="40"/>
      <c r="I164" s="40"/>
      <c r="J164" s="40"/>
      <c r="K164" s="41"/>
    </row>
    <row r="165" spans="2:14" x14ac:dyDescent="0.2">
      <c r="B165" s="38"/>
      <c r="C165" s="40" t="s">
        <v>260</v>
      </c>
      <c r="D165" s="40"/>
      <c r="E165" s="40"/>
      <c r="F165" s="40"/>
      <c r="G165" s="40"/>
      <c r="H165" s="40"/>
      <c r="I165" s="40"/>
      <c r="J165" s="245" t="str">
        <f>IF(OR(J161=0,J161="Not Calculated")=TRUE,"Not Calculated",IF((J161-J162)&lt;=0,4,IF(((J161+J163)/(J161-J162))&lt;=1,0,IF(((J161+J163)/(J161-J162))&lt;=1.05,1,IF(((J161+J163)/(J161-J162))&lt;=1.5, 2,IF(((J161+J163)/(J161-J162))&lt;=2,3,4))))))</f>
        <v>Not Calculated</v>
      </c>
      <c r="K165" s="41"/>
    </row>
    <row r="166" spans="2:14" ht="9.75" customHeight="1" x14ac:dyDescent="0.2">
      <c r="B166" s="38"/>
      <c r="C166" s="279" t="str">
        <f>"0:"</f>
        <v>0:</v>
      </c>
      <c r="D166" s="278" t="s">
        <v>918</v>
      </c>
      <c r="E166" s="40"/>
      <c r="F166" s="40"/>
      <c r="G166" s="40"/>
      <c r="H166" s="40"/>
      <c r="I166" s="40"/>
      <c r="J166" s="40"/>
      <c r="K166" s="41"/>
    </row>
    <row r="167" spans="2:14" ht="9.75" customHeight="1" x14ac:dyDescent="0.2">
      <c r="B167" s="38"/>
      <c r="C167" s="280" t="str">
        <f>"1:"</f>
        <v>1:</v>
      </c>
      <c r="D167" s="278" t="s">
        <v>923</v>
      </c>
      <c r="E167" s="40"/>
      <c r="F167" s="40"/>
      <c r="G167" s="40"/>
      <c r="H167" s="40"/>
      <c r="I167" s="40"/>
      <c r="J167" s="40"/>
      <c r="K167" s="41"/>
    </row>
    <row r="168" spans="2:14" ht="9.75" customHeight="1" x14ac:dyDescent="0.2">
      <c r="B168" s="38"/>
      <c r="C168" s="280" t="str">
        <f>"2:"</f>
        <v>2:</v>
      </c>
      <c r="D168" s="278" t="s">
        <v>924</v>
      </c>
      <c r="E168" s="40"/>
      <c r="F168" s="40"/>
      <c r="G168" s="40"/>
      <c r="H168" s="40"/>
      <c r="I168" s="40"/>
      <c r="J168" s="40"/>
      <c r="K168" s="41"/>
    </row>
    <row r="169" spans="2:14" ht="9.75" customHeight="1" x14ac:dyDescent="0.2">
      <c r="B169" s="38"/>
      <c r="C169" s="280" t="str">
        <f>"3:"</f>
        <v>3:</v>
      </c>
      <c r="D169" s="278" t="s">
        <v>925</v>
      </c>
      <c r="E169" s="40"/>
      <c r="F169" s="40"/>
      <c r="G169" s="40"/>
      <c r="H169" s="40"/>
      <c r="I169" s="40"/>
      <c r="J169" s="40"/>
      <c r="K169" s="41"/>
    </row>
    <row r="170" spans="2:14" ht="9.75" customHeight="1" x14ac:dyDescent="0.2">
      <c r="B170" s="38"/>
      <c r="C170" s="280" t="str">
        <f>"4:"</f>
        <v>4:</v>
      </c>
      <c r="D170" s="278" t="s">
        <v>926</v>
      </c>
      <c r="E170" s="40"/>
      <c r="F170" s="40"/>
      <c r="G170" s="40"/>
      <c r="H170" s="40"/>
      <c r="I170" s="40"/>
      <c r="J170" s="40"/>
      <c r="K170" s="41"/>
      <c r="N170" s="12" t="s">
        <v>661</v>
      </c>
    </row>
    <row r="171" spans="2:14" x14ac:dyDescent="0.2">
      <c r="B171" s="38"/>
      <c r="C171" s="174" t="s">
        <v>662</v>
      </c>
      <c r="D171" s="40"/>
      <c r="E171" s="40"/>
      <c r="F171" s="40"/>
      <c r="G171" s="40"/>
      <c r="H171" s="40"/>
      <c r="I171" s="40"/>
      <c r="J171" s="265" t="s">
        <v>661</v>
      </c>
      <c r="K171" s="41"/>
      <c r="N171" s="12" t="s">
        <v>894</v>
      </c>
    </row>
    <row r="172" spans="2:14" x14ac:dyDescent="0.2">
      <c r="B172" s="38"/>
      <c r="C172" s="174" t="s">
        <v>660</v>
      </c>
      <c r="D172" s="40"/>
      <c r="E172" s="40"/>
      <c r="F172" s="40"/>
      <c r="G172" s="40"/>
      <c r="H172" s="40"/>
      <c r="I172" s="40"/>
      <c r="J172" s="246" t="str">
        <f>IF(J171=N170,"N/A",IF(J171=N171,0,IF(J171=N172,1,IF(J171=N173,2,IF(J171=N174,3,IF(J171=N175,4,"N/A"))))))</f>
        <v>N/A</v>
      </c>
      <c r="K172" s="41"/>
      <c r="N172" s="12" t="s">
        <v>899</v>
      </c>
    </row>
    <row r="173" spans="2:14" x14ac:dyDescent="0.2">
      <c r="B173" s="38"/>
      <c r="C173" s="40" t="s">
        <v>257</v>
      </c>
      <c r="D173" s="40"/>
      <c r="E173" s="40"/>
      <c r="F173" s="40"/>
      <c r="G173" s="40"/>
      <c r="H173" s="40"/>
      <c r="I173" s="40"/>
      <c r="J173" s="266" t="s">
        <v>879</v>
      </c>
      <c r="K173" s="41"/>
      <c r="N173" s="12" t="s">
        <v>900</v>
      </c>
    </row>
    <row r="174" spans="2:14" x14ac:dyDescent="0.2">
      <c r="B174" s="38"/>
      <c r="C174" s="40" t="s">
        <v>261</v>
      </c>
      <c r="D174" s="40"/>
      <c r="E174" s="40"/>
      <c r="F174" s="40"/>
      <c r="G174" s="40"/>
      <c r="H174" s="40"/>
      <c r="I174" s="40"/>
      <c r="J174" s="248">
        <f>IF(J173=$B$973,$A$973,IF(J173=$B$974,$A$974,IF(J173=$B$975,$A$975,IF(J173=$B$976,$A$976,IF(J173=$B$977,$A$977,"Not Calculated")))))</f>
        <v>1</v>
      </c>
      <c r="K174" s="41"/>
      <c r="N174" s="12" t="s">
        <v>901</v>
      </c>
    </row>
    <row r="175" spans="2:14" x14ac:dyDescent="0.2">
      <c r="B175" s="38"/>
      <c r="C175" s="40" t="s">
        <v>893</v>
      </c>
      <c r="D175" s="40"/>
      <c r="E175" s="40"/>
      <c r="F175" s="40"/>
      <c r="G175" s="40"/>
      <c r="H175" s="40"/>
      <c r="I175" s="40"/>
      <c r="J175" s="40"/>
      <c r="K175" s="41"/>
      <c r="N175" s="12" t="s">
        <v>902</v>
      </c>
    </row>
    <row r="176" spans="2:14" ht="15" customHeight="1" x14ac:dyDescent="0.2">
      <c r="B176" s="38"/>
      <c r="C176" s="399"/>
      <c r="D176" s="400"/>
      <c r="E176" s="400"/>
      <c r="F176" s="400"/>
      <c r="G176" s="400"/>
      <c r="H176" s="400"/>
      <c r="I176" s="400"/>
      <c r="J176" s="401"/>
      <c r="K176" s="41"/>
    </row>
    <row r="177" spans="2:14" x14ac:dyDescent="0.2">
      <c r="B177" s="38"/>
      <c r="C177" s="40"/>
      <c r="D177" s="40"/>
      <c r="E177" s="40"/>
      <c r="F177" s="40"/>
      <c r="G177" s="40"/>
      <c r="H177" s="40"/>
      <c r="I177" s="40"/>
      <c r="J177" s="40"/>
      <c r="K177" s="41"/>
    </row>
    <row r="178" spans="2:14" x14ac:dyDescent="0.2">
      <c r="B178" s="38"/>
      <c r="C178" s="179" t="s">
        <v>274</v>
      </c>
      <c r="D178" s="40"/>
      <c r="E178" s="40"/>
      <c r="F178" s="40"/>
      <c r="G178" s="40"/>
      <c r="H178" s="40"/>
      <c r="I178" s="40"/>
      <c r="J178" s="245" t="str">
        <f>IF(J172="N/A",IF(OR(J165="Not Calculated",J174="Not Calculated")=TRUE,"Not Calculated",AVERAGE(J165,J174)),AVERAGE(J172,J174))</f>
        <v>Not Calculated</v>
      </c>
      <c r="K178" s="41"/>
    </row>
    <row r="179" spans="2:14" x14ac:dyDescent="0.2">
      <c r="B179" s="38"/>
      <c r="C179" s="40"/>
      <c r="D179" s="40"/>
      <c r="E179" s="40"/>
      <c r="F179" s="40"/>
      <c r="G179" s="40"/>
      <c r="H179" s="40"/>
      <c r="I179" s="40"/>
      <c r="J179" s="40"/>
      <c r="K179" s="41"/>
    </row>
    <row r="180" spans="2:14" x14ac:dyDescent="0.2">
      <c r="B180" s="38"/>
      <c r="C180" s="40"/>
      <c r="D180" s="40"/>
      <c r="E180" s="40"/>
      <c r="F180" s="40"/>
      <c r="G180" s="40"/>
      <c r="H180" s="40"/>
      <c r="I180" s="40"/>
      <c r="J180" s="40"/>
      <c r="K180" s="41"/>
    </row>
    <row r="181" spans="2:14" ht="16" x14ac:dyDescent="0.2">
      <c r="B181" s="38"/>
      <c r="C181" s="45" t="s">
        <v>74</v>
      </c>
      <c r="D181" s="40"/>
      <c r="E181" s="40"/>
      <c r="F181" s="40"/>
      <c r="G181" s="40"/>
      <c r="H181" s="40"/>
      <c r="I181" s="40"/>
      <c r="J181" s="40"/>
      <c r="K181" s="41"/>
    </row>
    <row r="182" spans="2:14" x14ac:dyDescent="0.2">
      <c r="B182" s="38"/>
      <c r="C182" s="40" t="s">
        <v>443</v>
      </c>
      <c r="D182" s="40"/>
      <c r="E182" s="40"/>
      <c r="F182" s="40"/>
      <c r="G182" s="40"/>
      <c r="H182" s="40"/>
      <c r="I182" s="40"/>
      <c r="J182" s="252">
        <f>'Baseline Health'!G59</f>
        <v>0</v>
      </c>
      <c r="K182" s="41"/>
    </row>
    <row r="183" spans="2:14" x14ac:dyDescent="0.2">
      <c r="B183" s="38"/>
      <c r="C183" s="40" t="s">
        <v>281</v>
      </c>
      <c r="D183" s="40"/>
      <c r="E183" s="40"/>
      <c r="F183" s="40"/>
      <c r="G183" s="40"/>
      <c r="H183" s="40"/>
      <c r="I183" s="40"/>
      <c r="J183" s="264">
        <v>0</v>
      </c>
      <c r="K183" s="41"/>
    </row>
    <row r="184" spans="2:14" x14ac:dyDescent="0.2">
      <c r="B184" s="38"/>
      <c r="C184" s="40" t="s">
        <v>354</v>
      </c>
      <c r="D184" s="40"/>
      <c r="E184" s="40"/>
      <c r="F184" s="40"/>
      <c r="G184" s="40"/>
      <c r="H184" s="40"/>
      <c r="I184" s="40"/>
      <c r="J184" s="264">
        <v>27</v>
      </c>
      <c r="K184" s="41"/>
    </row>
    <row r="185" spans="2:14" x14ac:dyDescent="0.2">
      <c r="B185" s="38"/>
      <c r="C185" s="40" t="s">
        <v>260</v>
      </c>
      <c r="D185" s="40"/>
      <c r="E185" s="40"/>
      <c r="F185" s="40"/>
      <c r="G185" s="40"/>
      <c r="H185" s="40"/>
      <c r="I185" s="40"/>
      <c r="J185" s="248" t="str">
        <f>IF(OR(J182=0,J182="Not Calculated")=TRUE,"Not Calculated",IF(J182-J183=0,4,IF(((J182+J184)/(J182-J183))&lt;=1,0,IF(((J182+J184)/(J182-J183))&lt;=1.05,1,IF(((J182+J184)/(J182-J183))&lt;=1.5, 2,IF(((J182+J184)/(J182-J183))&lt;=2,3,4))))))</f>
        <v>Not Calculated</v>
      </c>
      <c r="K185" s="41"/>
    </row>
    <row r="186" spans="2:14" ht="9.75" customHeight="1" x14ac:dyDescent="0.2">
      <c r="B186" s="38"/>
      <c r="C186" s="279" t="str">
        <f>"0:"</f>
        <v>0:</v>
      </c>
      <c r="D186" s="278" t="s">
        <v>918</v>
      </c>
      <c r="E186" s="40"/>
      <c r="F186" s="40"/>
      <c r="G186" s="40"/>
      <c r="H186" s="40"/>
      <c r="I186" s="40"/>
      <c r="J186" s="40"/>
      <c r="K186" s="41"/>
    </row>
    <row r="187" spans="2:14" ht="9.75" customHeight="1" x14ac:dyDescent="0.2">
      <c r="B187" s="38"/>
      <c r="C187" s="280" t="str">
        <f>"1:"</f>
        <v>1:</v>
      </c>
      <c r="D187" s="278" t="s">
        <v>923</v>
      </c>
      <c r="E187" s="40"/>
      <c r="F187" s="40"/>
      <c r="G187" s="40"/>
      <c r="H187" s="40"/>
      <c r="I187" s="40"/>
      <c r="J187" s="40"/>
      <c r="K187" s="41"/>
    </row>
    <row r="188" spans="2:14" ht="9.75" customHeight="1" x14ac:dyDescent="0.2">
      <c r="B188" s="38"/>
      <c r="C188" s="280" t="str">
        <f>"2:"</f>
        <v>2:</v>
      </c>
      <c r="D188" s="278" t="s">
        <v>924</v>
      </c>
      <c r="E188" s="40"/>
      <c r="F188" s="40"/>
      <c r="G188" s="40"/>
      <c r="H188" s="40"/>
      <c r="I188" s="40"/>
      <c r="J188" s="40"/>
      <c r="K188" s="41"/>
    </row>
    <row r="189" spans="2:14" ht="9.75" customHeight="1" x14ac:dyDescent="0.2">
      <c r="B189" s="38"/>
      <c r="C189" s="280" t="str">
        <f>"3:"</f>
        <v>3:</v>
      </c>
      <c r="D189" s="278" t="s">
        <v>925</v>
      </c>
      <c r="E189" s="40"/>
      <c r="F189" s="40"/>
      <c r="G189" s="40"/>
      <c r="H189" s="40"/>
      <c r="I189" s="40"/>
      <c r="J189" s="40"/>
      <c r="K189" s="41"/>
    </row>
    <row r="190" spans="2:14" ht="9.75" customHeight="1" x14ac:dyDescent="0.2">
      <c r="B190" s="38"/>
      <c r="C190" s="280" t="str">
        <f>"4:"</f>
        <v>4:</v>
      </c>
      <c r="D190" s="278" t="s">
        <v>926</v>
      </c>
      <c r="E190" s="40"/>
      <c r="F190" s="40"/>
      <c r="G190" s="40"/>
      <c r="H190" s="40"/>
      <c r="I190" s="40"/>
      <c r="J190" s="40"/>
      <c r="K190" s="41"/>
      <c r="N190" s="12" t="s">
        <v>661</v>
      </c>
    </row>
    <row r="191" spans="2:14" x14ac:dyDescent="0.2">
      <c r="B191" s="38"/>
      <c r="C191" s="174" t="s">
        <v>662</v>
      </c>
      <c r="D191" s="40"/>
      <c r="E191" s="40"/>
      <c r="F191" s="40"/>
      <c r="G191" s="40"/>
      <c r="H191" s="40"/>
      <c r="I191" s="40"/>
      <c r="J191" s="265" t="s">
        <v>661</v>
      </c>
      <c r="K191" s="41"/>
      <c r="N191" s="12" t="s">
        <v>894</v>
      </c>
    </row>
    <row r="192" spans="2:14" x14ac:dyDescent="0.2">
      <c r="B192" s="38"/>
      <c r="C192" s="174" t="s">
        <v>660</v>
      </c>
      <c r="D192" s="40"/>
      <c r="E192" s="40"/>
      <c r="F192" s="40"/>
      <c r="G192" s="40"/>
      <c r="H192" s="40"/>
      <c r="I192" s="40"/>
      <c r="J192" s="246" t="str">
        <f>IF(J191=N190,"N/A",IF(J191=N191,0,IF(J191=N192,1,IF(J191=N193,2,IF(J191=N194,3,IF(J191=N195,4,"N/A"))))))</f>
        <v>N/A</v>
      </c>
      <c r="K192" s="41"/>
      <c r="N192" s="12" t="s">
        <v>899</v>
      </c>
    </row>
    <row r="193" spans="2:14" x14ac:dyDescent="0.2">
      <c r="B193" s="38"/>
      <c r="C193" s="40" t="s">
        <v>257</v>
      </c>
      <c r="D193" s="40"/>
      <c r="E193" s="40"/>
      <c r="F193" s="40"/>
      <c r="G193" s="40"/>
      <c r="H193" s="40"/>
      <c r="I193" s="40"/>
      <c r="J193" s="266" t="s">
        <v>873</v>
      </c>
      <c r="K193" s="41"/>
      <c r="N193" s="12" t="s">
        <v>900</v>
      </c>
    </row>
    <row r="194" spans="2:14" x14ac:dyDescent="0.2">
      <c r="B194" s="38"/>
      <c r="C194" s="40" t="s">
        <v>261</v>
      </c>
      <c r="D194" s="40"/>
      <c r="E194" s="40"/>
      <c r="F194" s="40"/>
      <c r="G194" s="40"/>
      <c r="H194" s="40"/>
      <c r="I194" s="40"/>
      <c r="J194" s="248">
        <f>IF(J193=$B$973,$A$973,IF(J193=$B$974,$A$974,IF(J193=$B$975,$A$975,IF(J193=$B$976,$A$976,IF(J193=$B$977,$A$977,"Not Calculated")))))</f>
        <v>3</v>
      </c>
      <c r="K194" s="41"/>
      <c r="N194" s="12" t="s">
        <v>901</v>
      </c>
    </row>
    <row r="195" spans="2:14" x14ac:dyDescent="0.2">
      <c r="B195" s="38"/>
      <c r="C195" s="40" t="s">
        <v>893</v>
      </c>
      <c r="D195" s="40"/>
      <c r="E195" s="40"/>
      <c r="F195" s="40"/>
      <c r="G195" s="40"/>
      <c r="H195" s="40"/>
      <c r="I195" s="40"/>
      <c r="J195" s="40"/>
      <c r="K195" s="41"/>
      <c r="N195" s="12" t="s">
        <v>902</v>
      </c>
    </row>
    <row r="196" spans="2:14" ht="30" customHeight="1" x14ac:dyDescent="0.2">
      <c r="B196" s="38"/>
      <c r="C196" s="399" t="s">
        <v>349</v>
      </c>
      <c r="D196" s="400"/>
      <c r="E196" s="400"/>
      <c r="F196" s="400"/>
      <c r="G196" s="400"/>
      <c r="H196" s="400"/>
      <c r="I196" s="400"/>
      <c r="J196" s="401"/>
      <c r="K196" s="41"/>
    </row>
    <row r="197" spans="2:14" x14ac:dyDescent="0.2">
      <c r="B197" s="38"/>
      <c r="C197" s="40"/>
      <c r="D197" s="40"/>
      <c r="E197" s="40"/>
      <c r="F197" s="40"/>
      <c r="G197" s="40"/>
      <c r="H197" s="40"/>
      <c r="I197" s="40"/>
      <c r="J197" s="40"/>
      <c r="K197" s="41"/>
    </row>
    <row r="198" spans="2:14" x14ac:dyDescent="0.2">
      <c r="B198" s="38"/>
      <c r="C198" s="179" t="s">
        <v>275</v>
      </c>
      <c r="D198" s="40"/>
      <c r="E198" s="40"/>
      <c r="F198" s="40"/>
      <c r="G198" s="40"/>
      <c r="H198" s="40"/>
      <c r="I198" s="40"/>
      <c r="J198" s="245" t="str">
        <f>IF(J192="N/A",IF(OR(J185="Not Calculated",J194="Not Calculated")=TRUE,"Not Calculated",AVERAGE(J185,J194)),AVERAGE(J192,J194))</f>
        <v>Not Calculated</v>
      </c>
      <c r="K198" s="41"/>
    </row>
    <row r="199" spans="2:14" x14ac:dyDescent="0.2">
      <c r="B199" s="38"/>
      <c r="C199" s="40"/>
      <c r="D199" s="40"/>
      <c r="E199" s="40"/>
      <c r="F199" s="40"/>
      <c r="G199" s="40"/>
      <c r="H199" s="40"/>
      <c r="I199" s="40"/>
      <c r="J199" s="40"/>
      <c r="K199" s="41"/>
    </row>
    <row r="200" spans="2:14" x14ac:dyDescent="0.2">
      <c r="B200" s="38"/>
      <c r="C200" s="40"/>
      <c r="D200" s="40"/>
      <c r="E200" s="40"/>
      <c r="F200" s="40"/>
      <c r="G200" s="40"/>
      <c r="H200" s="40"/>
      <c r="I200" s="40"/>
      <c r="J200" s="40"/>
      <c r="K200" s="41"/>
    </row>
    <row r="201" spans="2:14" ht="16" x14ac:dyDescent="0.2">
      <c r="B201" s="38"/>
      <c r="C201" s="45" t="s">
        <v>75</v>
      </c>
      <c r="D201" s="40"/>
      <c r="E201" s="40"/>
      <c r="F201" s="40"/>
      <c r="G201" s="40"/>
      <c r="H201" s="40"/>
      <c r="I201" s="40"/>
      <c r="J201" s="40"/>
      <c r="K201" s="41"/>
    </row>
    <row r="202" spans="2:14" x14ac:dyDescent="0.2">
      <c r="B202" s="38"/>
      <c r="C202" s="40" t="s">
        <v>444</v>
      </c>
      <c r="D202" s="40"/>
      <c r="E202" s="40"/>
      <c r="F202" s="40"/>
      <c r="G202" s="40"/>
      <c r="H202" s="40"/>
      <c r="I202" s="40"/>
      <c r="J202" s="252">
        <f>'Baseline Health'!G65</f>
        <v>0</v>
      </c>
      <c r="K202" s="41"/>
    </row>
    <row r="203" spans="2:14" x14ac:dyDescent="0.2">
      <c r="B203" s="38"/>
      <c r="C203" s="40" t="s">
        <v>282</v>
      </c>
      <c r="D203" s="40"/>
      <c r="E203" s="40"/>
      <c r="F203" s="40"/>
      <c r="G203" s="40"/>
      <c r="H203" s="40"/>
      <c r="I203" s="40"/>
      <c r="J203" s="264">
        <v>0</v>
      </c>
      <c r="K203" s="41"/>
    </row>
    <row r="204" spans="2:14" x14ac:dyDescent="0.2">
      <c r="B204" s="38"/>
      <c r="C204" s="40" t="s">
        <v>355</v>
      </c>
      <c r="D204" s="40"/>
      <c r="E204" s="40"/>
      <c r="F204" s="40"/>
      <c r="G204" s="40"/>
      <c r="H204" s="40"/>
      <c r="I204" s="40"/>
      <c r="J204" s="264">
        <v>0</v>
      </c>
      <c r="K204" s="41"/>
    </row>
    <row r="205" spans="2:14" x14ac:dyDescent="0.2">
      <c r="B205" s="38"/>
      <c r="C205" s="40" t="s">
        <v>260</v>
      </c>
      <c r="D205" s="40"/>
      <c r="E205" s="40"/>
      <c r="F205" s="40"/>
      <c r="G205" s="40"/>
      <c r="H205" s="40"/>
      <c r="I205" s="40"/>
      <c r="J205" s="248" t="str">
        <f>IF(OR(J202=0,J202="Not Calculated")=TRUE,"Not Calculated",IF(J202-J203=0,4,IF(((J202+J204)/(J202-J203))&lt;=1,0,IF(((J202+J204)/(J202-J203))&lt;=1.05,1,IF(((J202+J204)/(J202-J203))&lt;=1.5, 2,IF(((J202+J204)/(J202-J203))&lt;=2,3,4))))))</f>
        <v>Not Calculated</v>
      </c>
      <c r="K205" s="41"/>
    </row>
    <row r="206" spans="2:14" ht="9.75" customHeight="1" x14ac:dyDescent="0.2">
      <c r="B206" s="38"/>
      <c r="C206" s="279" t="str">
        <f>"0:"</f>
        <v>0:</v>
      </c>
      <c r="D206" s="278" t="s">
        <v>918</v>
      </c>
      <c r="E206" s="40"/>
      <c r="F206" s="40"/>
      <c r="G206" s="40"/>
      <c r="H206" s="40"/>
      <c r="I206" s="40"/>
      <c r="J206" s="40"/>
      <c r="K206" s="41"/>
    </row>
    <row r="207" spans="2:14" ht="9.75" customHeight="1" x14ac:dyDescent="0.2">
      <c r="B207" s="38"/>
      <c r="C207" s="280" t="str">
        <f>"1:"</f>
        <v>1:</v>
      </c>
      <c r="D207" s="278" t="s">
        <v>923</v>
      </c>
      <c r="E207" s="40"/>
      <c r="F207" s="40"/>
      <c r="G207" s="40"/>
      <c r="H207" s="40"/>
      <c r="I207" s="40"/>
      <c r="J207" s="40"/>
      <c r="K207" s="41"/>
    </row>
    <row r="208" spans="2:14" ht="9.75" customHeight="1" x14ac:dyDescent="0.2">
      <c r="B208" s="38"/>
      <c r="C208" s="280" t="str">
        <f>"2:"</f>
        <v>2:</v>
      </c>
      <c r="D208" s="278" t="s">
        <v>924</v>
      </c>
      <c r="E208" s="40"/>
      <c r="F208" s="40"/>
      <c r="G208" s="40"/>
      <c r="H208" s="40"/>
      <c r="I208" s="40"/>
      <c r="J208" s="40"/>
      <c r="K208" s="41"/>
    </row>
    <row r="209" spans="2:14" ht="9.75" customHeight="1" x14ac:dyDescent="0.2">
      <c r="B209" s="38"/>
      <c r="C209" s="280" t="str">
        <f>"3:"</f>
        <v>3:</v>
      </c>
      <c r="D209" s="278" t="s">
        <v>925</v>
      </c>
      <c r="E209" s="40"/>
      <c r="F209" s="40"/>
      <c r="G209" s="40"/>
      <c r="H209" s="40"/>
      <c r="I209" s="40"/>
      <c r="J209" s="40"/>
      <c r="K209" s="41"/>
    </row>
    <row r="210" spans="2:14" ht="9.75" customHeight="1" x14ac:dyDescent="0.2">
      <c r="B210" s="38"/>
      <c r="C210" s="280" t="str">
        <f>"4:"</f>
        <v>4:</v>
      </c>
      <c r="D210" s="278" t="s">
        <v>926</v>
      </c>
      <c r="E210" s="40"/>
      <c r="F210" s="40"/>
      <c r="G210" s="40"/>
      <c r="H210" s="40"/>
      <c r="I210" s="40"/>
      <c r="J210" s="40"/>
      <c r="K210" s="41"/>
      <c r="N210" s="12" t="s">
        <v>661</v>
      </c>
    </row>
    <row r="211" spans="2:14" x14ac:dyDescent="0.2">
      <c r="B211" s="38"/>
      <c r="C211" s="174" t="s">
        <v>662</v>
      </c>
      <c r="D211" s="40"/>
      <c r="E211" s="40"/>
      <c r="F211" s="40"/>
      <c r="G211" s="40"/>
      <c r="H211" s="40"/>
      <c r="I211" s="40"/>
      <c r="J211" s="265" t="s">
        <v>661</v>
      </c>
      <c r="K211" s="41"/>
      <c r="N211" s="12" t="s">
        <v>894</v>
      </c>
    </row>
    <row r="212" spans="2:14" x14ac:dyDescent="0.2">
      <c r="B212" s="38"/>
      <c r="C212" s="174" t="s">
        <v>660</v>
      </c>
      <c r="D212" s="40"/>
      <c r="E212" s="40"/>
      <c r="F212" s="40"/>
      <c r="G212" s="40"/>
      <c r="H212" s="40"/>
      <c r="I212" s="40"/>
      <c r="J212" s="246" t="str">
        <f>IF(J211=N210,"N/A",IF(J211=N211,0,IF(J211=N212,1,IF(J211=N213,2,IF(J211=N214,3,IF(J211=N215,4,"N/A"))))))</f>
        <v>N/A</v>
      </c>
      <c r="K212" s="41"/>
      <c r="N212" s="12" t="s">
        <v>899</v>
      </c>
    </row>
    <row r="213" spans="2:14" x14ac:dyDescent="0.2">
      <c r="B213" s="38"/>
      <c r="C213" s="40" t="s">
        <v>257</v>
      </c>
      <c r="D213" s="40"/>
      <c r="E213" s="40"/>
      <c r="F213" s="40"/>
      <c r="G213" s="40"/>
      <c r="H213" s="40"/>
      <c r="I213" s="40"/>
      <c r="J213" s="266" t="s">
        <v>870</v>
      </c>
      <c r="K213" s="41"/>
      <c r="N213" s="12" t="s">
        <v>900</v>
      </c>
    </row>
    <row r="214" spans="2:14" x14ac:dyDescent="0.2">
      <c r="B214" s="38"/>
      <c r="C214" s="40" t="s">
        <v>261</v>
      </c>
      <c r="D214" s="40"/>
      <c r="E214" s="40"/>
      <c r="F214" s="40"/>
      <c r="G214" s="40"/>
      <c r="H214" s="40"/>
      <c r="I214" s="40"/>
      <c r="J214" s="248">
        <f>IF(J213=$B$973,$A$973,IF(J213=$B$974,$A$974,IF(J213=$B$975,$A$975,IF(J213=$B$976,$A$976,IF(J213=$B$977,$A$977,"Not Calculated")))))</f>
        <v>0</v>
      </c>
      <c r="K214" s="41"/>
      <c r="N214" s="12" t="s">
        <v>901</v>
      </c>
    </row>
    <row r="215" spans="2:14" x14ac:dyDescent="0.2">
      <c r="B215" s="38"/>
      <c r="C215" s="40" t="s">
        <v>893</v>
      </c>
      <c r="D215" s="40"/>
      <c r="E215" s="40"/>
      <c r="F215" s="40"/>
      <c r="G215" s="40"/>
      <c r="H215" s="40"/>
      <c r="I215" s="40"/>
      <c r="J215" s="40"/>
      <c r="K215" s="41"/>
      <c r="N215" s="12" t="s">
        <v>902</v>
      </c>
    </row>
    <row r="216" spans="2:14" ht="15" customHeight="1" x14ac:dyDescent="0.2">
      <c r="B216" s="38"/>
      <c r="C216" s="399"/>
      <c r="D216" s="400"/>
      <c r="E216" s="400"/>
      <c r="F216" s="400"/>
      <c r="G216" s="400"/>
      <c r="H216" s="400"/>
      <c r="I216" s="400"/>
      <c r="J216" s="401"/>
      <c r="K216" s="41"/>
    </row>
    <row r="217" spans="2:14" x14ac:dyDescent="0.2">
      <c r="B217" s="38"/>
      <c r="C217" s="40"/>
      <c r="D217" s="40"/>
      <c r="E217" s="40"/>
      <c r="F217" s="40"/>
      <c r="G217" s="40"/>
      <c r="H217" s="40"/>
      <c r="I217" s="40"/>
      <c r="J217" s="40"/>
      <c r="K217" s="41"/>
    </row>
    <row r="218" spans="2:14" x14ac:dyDescent="0.2">
      <c r="B218" s="38"/>
      <c r="C218" s="179" t="s">
        <v>276</v>
      </c>
      <c r="D218" s="40"/>
      <c r="E218" s="40"/>
      <c r="F218" s="40"/>
      <c r="G218" s="40"/>
      <c r="H218" s="40"/>
      <c r="I218" s="40"/>
      <c r="J218" s="245" t="str">
        <f>IF(J212="N/A",IF(OR(J205="Not Calculated",J214="Not Calculated")=TRUE,"Not Calculated",AVERAGE(J205,J214)),AVERAGE(J212,J214))</f>
        <v>Not Calculated</v>
      </c>
      <c r="K218" s="41"/>
    </row>
    <row r="219" spans="2:14" x14ac:dyDescent="0.2">
      <c r="B219" s="38"/>
      <c r="C219" s="40"/>
      <c r="D219" s="40"/>
      <c r="E219" s="40"/>
      <c r="F219" s="40"/>
      <c r="G219" s="40"/>
      <c r="H219" s="40"/>
      <c r="I219" s="40"/>
      <c r="J219" s="40"/>
      <c r="K219" s="41"/>
    </row>
    <row r="220" spans="2:14" x14ac:dyDescent="0.2">
      <c r="B220" s="38"/>
      <c r="C220" s="40"/>
      <c r="D220" s="40"/>
      <c r="E220" s="40"/>
      <c r="F220" s="40"/>
      <c r="G220" s="40"/>
      <c r="H220" s="40"/>
      <c r="I220" s="40"/>
      <c r="J220" s="40"/>
      <c r="K220" s="41"/>
    </row>
    <row r="221" spans="2:14" ht="16" x14ac:dyDescent="0.2">
      <c r="B221" s="38"/>
      <c r="C221" s="45" t="s">
        <v>76</v>
      </c>
      <c r="D221" s="40"/>
      <c r="E221" s="40"/>
      <c r="F221" s="40"/>
      <c r="G221" s="40"/>
      <c r="H221" s="40"/>
      <c r="I221" s="40"/>
      <c r="J221" s="40"/>
      <c r="K221" s="41"/>
    </row>
    <row r="222" spans="2:14" x14ac:dyDescent="0.2">
      <c r="B222" s="38"/>
      <c r="C222" s="40" t="s">
        <v>356</v>
      </c>
      <c r="D222" s="40"/>
      <c r="E222" s="40"/>
      <c r="F222" s="40"/>
      <c r="G222" s="40"/>
      <c r="H222" s="40"/>
      <c r="I222" s="40"/>
      <c r="J222" s="252">
        <f>'Baseline Health'!G71</f>
        <v>0</v>
      </c>
      <c r="K222" s="41"/>
    </row>
    <row r="223" spans="2:14" x14ac:dyDescent="0.2">
      <c r="B223" s="38"/>
      <c r="C223" s="40" t="s">
        <v>357</v>
      </c>
      <c r="D223" s="40"/>
      <c r="E223" s="40"/>
      <c r="F223" s="40"/>
      <c r="G223" s="40"/>
      <c r="H223" s="40"/>
      <c r="I223" s="40"/>
      <c r="J223" s="264">
        <v>0</v>
      </c>
      <c r="K223" s="41"/>
    </row>
    <row r="224" spans="2:14" x14ac:dyDescent="0.2">
      <c r="B224" s="38"/>
      <c r="C224" s="40" t="s">
        <v>445</v>
      </c>
      <c r="D224" s="40"/>
      <c r="E224" s="40"/>
      <c r="F224" s="40"/>
      <c r="G224" s="40"/>
      <c r="H224" s="40"/>
      <c r="I224" s="40"/>
      <c r="J224" s="255">
        <f>J102</f>
        <v>12</v>
      </c>
      <c r="K224" s="41"/>
    </row>
    <row r="225" spans="2:14" x14ac:dyDescent="0.2">
      <c r="B225" s="38"/>
      <c r="C225" s="40"/>
      <c r="D225" s="40" t="s">
        <v>446</v>
      </c>
      <c r="E225" s="40"/>
      <c r="F225" s="40"/>
      <c r="G225" s="40"/>
      <c r="H225" s="40"/>
      <c r="I225" s="40"/>
      <c r="J225" s="40"/>
      <c r="K225" s="41"/>
    </row>
    <row r="226" spans="2:14" x14ac:dyDescent="0.2">
      <c r="B226" s="38"/>
      <c r="C226" s="40" t="s">
        <v>260</v>
      </c>
      <c r="D226" s="40"/>
      <c r="E226" s="40"/>
      <c r="F226" s="40"/>
      <c r="G226" s="40"/>
      <c r="H226" s="40"/>
      <c r="I226" s="40"/>
      <c r="J226" s="245" t="str">
        <f>IF(OR(J222=0,J222="Not Calculated")=TRUE,"Not Calculated",IF(J222-J223=0,4,IF(((J222+J224)/(J222-J223))&lt;=1,0,IF(((J222+J224)/(J222-J223))&lt;=1.05,1,IF(((J222+J224)/(J222-J223))&lt;=1.5, 2,IF(((J222+J224)/(J222-J223))&lt;=2,3,4))))))</f>
        <v>Not Calculated</v>
      </c>
      <c r="K226" s="41"/>
    </row>
    <row r="227" spans="2:14" ht="9.75" customHeight="1" x14ac:dyDescent="0.2">
      <c r="B227" s="38"/>
      <c r="C227" s="279" t="str">
        <f>"0:"</f>
        <v>0:</v>
      </c>
      <c r="D227" s="278" t="s">
        <v>918</v>
      </c>
      <c r="E227" s="40"/>
      <c r="F227" s="40"/>
      <c r="G227" s="40"/>
      <c r="H227" s="40"/>
      <c r="I227" s="40"/>
      <c r="J227" s="40"/>
      <c r="K227" s="41"/>
    </row>
    <row r="228" spans="2:14" ht="9.75" customHeight="1" x14ac:dyDescent="0.2">
      <c r="B228" s="38"/>
      <c r="C228" s="280" t="str">
        <f>"1:"</f>
        <v>1:</v>
      </c>
      <c r="D228" s="278" t="s">
        <v>923</v>
      </c>
      <c r="E228" s="40"/>
      <c r="F228" s="40"/>
      <c r="G228" s="40"/>
      <c r="H228" s="40"/>
      <c r="I228" s="40"/>
      <c r="J228" s="40"/>
      <c r="K228" s="41"/>
    </row>
    <row r="229" spans="2:14" ht="9.75" customHeight="1" x14ac:dyDescent="0.2">
      <c r="B229" s="38"/>
      <c r="C229" s="280" t="str">
        <f>"2:"</f>
        <v>2:</v>
      </c>
      <c r="D229" s="278" t="s">
        <v>924</v>
      </c>
      <c r="E229" s="40"/>
      <c r="F229" s="40"/>
      <c r="G229" s="40"/>
      <c r="H229" s="40"/>
      <c r="I229" s="40"/>
      <c r="J229" s="40"/>
      <c r="K229" s="41"/>
    </row>
    <row r="230" spans="2:14" ht="9.75" customHeight="1" x14ac:dyDescent="0.2">
      <c r="B230" s="38"/>
      <c r="C230" s="280" t="str">
        <f>"3:"</f>
        <v>3:</v>
      </c>
      <c r="D230" s="278" t="s">
        <v>925</v>
      </c>
      <c r="E230" s="40"/>
      <c r="F230" s="40"/>
      <c r="G230" s="40"/>
      <c r="H230" s="40"/>
      <c r="I230" s="40"/>
      <c r="J230" s="40"/>
      <c r="K230" s="41"/>
    </row>
    <row r="231" spans="2:14" ht="9.75" customHeight="1" x14ac:dyDescent="0.2">
      <c r="B231" s="38"/>
      <c r="C231" s="280" t="str">
        <f>"4:"</f>
        <v>4:</v>
      </c>
      <c r="D231" s="278" t="s">
        <v>926</v>
      </c>
      <c r="E231" s="40"/>
      <c r="F231" s="40"/>
      <c r="G231" s="40"/>
      <c r="H231" s="40"/>
      <c r="I231" s="40"/>
      <c r="J231" s="40"/>
      <c r="K231" s="41"/>
      <c r="N231" s="12" t="s">
        <v>661</v>
      </c>
    </row>
    <row r="232" spans="2:14" x14ac:dyDescent="0.2">
      <c r="B232" s="38"/>
      <c r="C232" s="174" t="s">
        <v>662</v>
      </c>
      <c r="D232" s="40"/>
      <c r="E232" s="40"/>
      <c r="F232" s="40"/>
      <c r="G232" s="40"/>
      <c r="H232" s="40"/>
      <c r="I232" s="40"/>
      <c r="J232" s="265" t="s">
        <v>661</v>
      </c>
      <c r="K232" s="41"/>
      <c r="N232" s="12" t="s">
        <v>894</v>
      </c>
    </row>
    <row r="233" spans="2:14" x14ac:dyDescent="0.2">
      <c r="B233" s="38"/>
      <c r="C233" s="174" t="s">
        <v>660</v>
      </c>
      <c r="D233" s="40"/>
      <c r="E233" s="40"/>
      <c r="F233" s="40"/>
      <c r="G233" s="40"/>
      <c r="H233" s="40"/>
      <c r="I233" s="40"/>
      <c r="J233" s="246" t="str">
        <f>IF(J232=N231,"N/A",IF(J232=N232,0,IF(J232=N233,1,IF(J232=N234,2,IF(J232=N235,3,IF(J232=N236,4,"N/A"))))))</f>
        <v>N/A</v>
      </c>
      <c r="K233" s="41"/>
      <c r="N233" s="12" t="s">
        <v>899</v>
      </c>
    </row>
    <row r="234" spans="2:14" x14ac:dyDescent="0.2">
      <c r="B234" s="38"/>
      <c r="C234" s="40" t="s">
        <v>257</v>
      </c>
      <c r="D234" s="40"/>
      <c r="E234" s="40"/>
      <c r="F234" s="40"/>
      <c r="G234" s="40"/>
      <c r="H234" s="40"/>
      <c r="I234" s="40"/>
      <c r="J234" s="266" t="s">
        <v>879</v>
      </c>
      <c r="K234" s="41"/>
      <c r="N234" s="12" t="s">
        <v>900</v>
      </c>
    </row>
    <row r="235" spans="2:14" x14ac:dyDescent="0.2">
      <c r="B235" s="38"/>
      <c r="C235" s="40" t="s">
        <v>261</v>
      </c>
      <c r="D235" s="40"/>
      <c r="E235" s="40"/>
      <c r="F235" s="40"/>
      <c r="G235" s="40"/>
      <c r="H235" s="40"/>
      <c r="I235" s="40"/>
      <c r="J235" s="248">
        <f>IF(J234=$B$973,$A$973,IF(J234=$B$974,$A$974,IF(J234=$B$975,$A$975,IF(J234=$B$976,$A$976,IF(J234=$B$977,$A$977,"Not Calculated")))))</f>
        <v>1</v>
      </c>
      <c r="K235" s="41"/>
      <c r="N235" s="12" t="s">
        <v>901</v>
      </c>
    </row>
    <row r="236" spans="2:14" x14ac:dyDescent="0.2">
      <c r="B236" s="38"/>
      <c r="C236" s="40" t="s">
        <v>893</v>
      </c>
      <c r="D236" s="40"/>
      <c r="E236" s="40"/>
      <c r="F236" s="40"/>
      <c r="G236" s="40"/>
      <c r="H236" s="40"/>
      <c r="I236" s="40"/>
      <c r="J236" s="40"/>
      <c r="K236" s="41"/>
      <c r="N236" s="12" t="s">
        <v>902</v>
      </c>
    </row>
    <row r="237" spans="2:14" ht="15" customHeight="1" x14ac:dyDescent="0.2">
      <c r="B237" s="38"/>
      <c r="C237" s="399"/>
      <c r="D237" s="400"/>
      <c r="E237" s="400"/>
      <c r="F237" s="400"/>
      <c r="G237" s="400"/>
      <c r="H237" s="400"/>
      <c r="I237" s="400"/>
      <c r="J237" s="401"/>
      <c r="K237" s="41"/>
    </row>
    <row r="238" spans="2:14" x14ac:dyDescent="0.2">
      <c r="B238" s="38"/>
      <c r="C238" s="40"/>
      <c r="D238" s="40"/>
      <c r="E238" s="40"/>
      <c r="F238" s="40"/>
      <c r="G238" s="40"/>
      <c r="H238" s="40"/>
      <c r="I238" s="40"/>
      <c r="J238" s="40"/>
      <c r="K238" s="41"/>
    </row>
    <row r="239" spans="2:14" x14ac:dyDescent="0.2">
      <c r="B239" s="38"/>
      <c r="C239" s="179" t="s">
        <v>277</v>
      </c>
      <c r="D239" s="40"/>
      <c r="E239" s="40"/>
      <c r="F239" s="40"/>
      <c r="G239" s="40"/>
      <c r="H239" s="40"/>
      <c r="I239" s="40"/>
      <c r="J239" s="245" t="str">
        <f>IF(J233="N/A",IF(OR(J226="Not Calculated",J235="Not Calculated")=TRUE,"Not Calculated",AVERAGE(J226,J235)),AVERAGE(J233,J235))</f>
        <v>Not Calculated</v>
      </c>
      <c r="K239" s="41"/>
    </row>
    <row r="240" spans="2:14" x14ac:dyDescent="0.2">
      <c r="B240" s="38"/>
      <c r="C240" s="40"/>
      <c r="D240" s="40"/>
      <c r="E240" s="40"/>
      <c r="F240" s="40"/>
      <c r="G240" s="40"/>
      <c r="H240" s="40"/>
      <c r="I240" s="40"/>
      <c r="J240" s="40"/>
      <c r="K240" s="41"/>
    </row>
    <row r="241" spans="2:14" x14ac:dyDescent="0.2">
      <c r="B241" s="38"/>
      <c r="C241" s="40"/>
      <c r="D241" s="40"/>
      <c r="E241" s="40"/>
      <c r="F241" s="40"/>
      <c r="G241" s="40"/>
      <c r="H241" s="40"/>
      <c r="I241" s="40"/>
      <c r="J241" s="40"/>
      <c r="K241" s="41"/>
    </row>
    <row r="242" spans="2:14" ht="16" x14ac:dyDescent="0.2">
      <c r="B242" s="38"/>
      <c r="C242" s="45" t="s">
        <v>278</v>
      </c>
      <c r="D242" s="40"/>
      <c r="E242" s="40"/>
      <c r="F242" s="40"/>
      <c r="G242" s="40"/>
      <c r="H242" s="40"/>
      <c r="I242" s="40"/>
      <c r="J242" s="40"/>
      <c r="K242" s="41"/>
    </row>
    <row r="243" spans="2:14" x14ac:dyDescent="0.2">
      <c r="B243" s="38"/>
      <c r="C243" s="40" t="s">
        <v>447</v>
      </c>
      <c r="D243" s="40"/>
      <c r="E243" s="40"/>
      <c r="F243" s="40"/>
      <c r="G243" s="40"/>
      <c r="H243" s="40"/>
      <c r="I243" s="40"/>
      <c r="J243" s="254">
        <f>'Baseline Health'!G77</f>
        <v>0</v>
      </c>
      <c r="K243" s="41"/>
    </row>
    <row r="244" spans="2:14" x14ac:dyDescent="0.2">
      <c r="B244" s="38"/>
      <c r="C244" s="40" t="s">
        <v>358</v>
      </c>
      <c r="D244" s="40"/>
      <c r="E244" s="40"/>
      <c r="F244" s="40"/>
      <c r="G244" s="40"/>
      <c r="H244" s="40"/>
      <c r="I244" s="40"/>
      <c r="J244" s="264">
        <v>0</v>
      </c>
      <c r="K244" s="41"/>
    </row>
    <row r="245" spans="2:14" x14ac:dyDescent="0.2">
      <c r="B245" s="38"/>
      <c r="C245" s="40" t="s">
        <v>360</v>
      </c>
      <c r="D245" s="291"/>
      <c r="E245" s="291"/>
      <c r="F245" s="291"/>
      <c r="G245" s="291"/>
      <c r="H245" s="291"/>
      <c r="I245" s="291"/>
      <c r="J245" s="264">
        <f>'Community Characteristics'!H105*40/250</f>
        <v>0</v>
      </c>
      <c r="K245" s="41"/>
    </row>
    <row r="246" spans="2:14" x14ac:dyDescent="0.2">
      <c r="B246" s="38"/>
      <c r="C246" s="40" t="s">
        <v>260</v>
      </c>
      <c r="D246" s="40"/>
      <c r="E246" s="40"/>
      <c r="F246" s="40"/>
      <c r="G246" s="40"/>
      <c r="H246" s="40"/>
      <c r="I246" s="40"/>
      <c r="J246" s="248" t="str">
        <f>IF(OR(J243=0,J243="Not Calculated")=TRUE,"Not Calculated",IF(J243-J244=0,4,(IF(((J243+J245)/(J243-J244))&lt;=1,0,IF(((J243+J245)/(J243-J244))&lt;=1.05,1,IF(((J243+J245)/(J243-J244))&lt;=1.5,2,IF(((J243+J245)/(J243-J244))&lt;=2,3,4)))))))</f>
        <v>Not Calculated</v>
      </c>
      <c r="K246" s="41"/>
    </row>
    <row r="247" spans="2:14" ht="9.75" customHeight="1" x14ac:dyDescent="0.2">
      <c r="B247" s="38"/>
      <c r="C247" s="279" t="str">
        <f>"0:"</f>
        <v>0:</v>
      </c>
      <c r="D247" s="278" t="s">
        <v>918</v>
      </c>
      <c r="E247" s="40"/>
      <c r="F247" s="40"/>
      <c r="G247" s="40"/>
      <c r="H247" s="40"/>
      <c r="I247" s="40"/>
      <c r="J247" s="40"/>
      <c r="K247" s="41"/>
    </row>
    <row r="248" spans="2:14" ht="9.75" customHeight="1" x14ac:dyDescent="0.2">
      <c r="B248" s="38"/>
      <c r="C248" s="280" t="str">
        <f>"1:"</f>
        <v>1:</v>
      </c>
      <c r="D248" s="278" t="s">
        <v>923</v>
      </c>
      <c r="E248" s="40"/>
      <c r="F248" s="40"/>
      <c r="G248" s="40"/>
      <c r="H248" s="40"/>
      <c r="I248" s="40"/>
      <c r="J248" s="40"/>
      <c r="K248" s="41"/>
    </row>
    <row r="249" spans="2:14" ht="9.75" customHeight="1" x14ac:dyDescent="0.2">
      <c r="B249" s="38"/>
      <c r="C249" s="280" t="str">
        <f>"2:"</f>
        <v>2:</v>
      </c>
      <c r="D249" s="278" t="s">
        <v>924</v>
      </c>
      <c r="E249" s="40"/>
      <c r="F249" s="40"/>
      <c r="G249" s="40"/>
      <c r="H249" s="40"/>
      <c r="I249" s="40"/>
      <c r="J249" s="40"/>
      <c r="K249" s="41"/>
    </row>
    <row r="250" spans="2:14" ht="9.75" customHeight="1" x14ac:dyDescent="0.2">
      <c r="B250" s="38"/>
      <c r="C250" s="280" t="str">
        <f>"3:"</f>
        <v>3:</v>
      </c>
      <c r="D250" s="278" t="s">
        <v>925</v>
      </c>
      <c r="E250" s="40"/>
      <c r="F250" s="40"/>
      <c r="G250" s="40"/>
      <c r="H250" s="40"/>
      <c r="I250" s="40"/>
      <c r="J250" s="40"/>
      <c r="K250" s="41"/>
    </row>
    <row r="251" spans="2:14" ht="9.75" customHeight="1" x14ac:dyDescent="0.2">
      <c r="B251" s="38"/>
      <c r="C251" s="280" t="str">
        <f>"4:"</f>
        <v>4:</v>
      </c>
      <c r="D251" s="278" t="s">
        <v>926</v>
      </c>
      <c r="E251" s="40"/>
      <c r="F251" s="40"/>
      <c r="G251" s="40"/>
      <c r="H251" s="40"/>
      <c r="I251" s="40"/>
      <c r="J251" s="40"/>
      <c r="K251" s="41"/>
      <c r="N251" s="12" t="s">
        <v>661</v>
      </c>
    </row>
    <row r="252" spans="2:14" x14ac:dyDescent="0.2">
      <c r="B252" s="38"/>
      <c r="C252" s="174" t="s">
        <v>662</v>
      </c>
      <c r="D252" s="40"/>
      <c r="E252" s="40"/>
      <c r="F252" s="40"/>
      <c r="G252" s="40"/>
      <c r="H252" s="40"/>
      <c r="I252" s="40"/>
      <c r="J252" s="265" t="s">
        <v>661</v>
      </c>
      <c r="K252" s="41"/>
      <c r="N252" s="12" t="s">
        <v>894</v>
      </c>
    </row>
    <row r="253" spans="2:14" x14ac:dyDescent="0.2">
      <c r="B253" s="38"/>
      <c r="C253" s="174" t="s">
        <v>660</v>
      </c>
      <c r="D253" s="40"/>
      <c r="E253" s="40"/>
      <c r="F253" s="40"/>
      <c r="G253" s="40"/>
      <c r="H253" s="40"/>
      <c r="I253" s="40"/>
      <c r="J253" s="246" t="str">
        <f>IF(J252=N251,"N/A",IF(J252=N252,0,IF(J252=N253,1,IF(J252=N254,2,IF(J252=N255,3,IF(J252=N256,4,"N/A"))))))</f>
        <v>N/A</v>
      </c>
      <c r="K253" s="41"/>
      <c r="N253" s="12" t="s">
        <v>899</v>
      </c>
    </row>
    <row r="254" spans="2:14" x14ac:dyDescent="0.2">
      <c r="B254" s="38"/>
      <c r="C254" s="40" t="s">
        <v>257</v>
      </c>
      <c r="D254" s="40"/>
      <c r="E254" s="40"/>
      <c r="F254" s="40"/>
      <c r="G254" s="40"/>
      <c r="H254" s="40"/>
      <c r="I254" s="40"/>
      <c r="J254" s="266" t="s">
        <v>874</v>
      </c>
      <c r="K254" s="41"/>
      <c r="N254" s="12" t="s">
        <v>900</v>
      </c>
    </row>
    <row r="255" spans="2:14" x14ac:dyDescent="0.2">
      <c r="B255" s="38"/>
      <c r="C255" s="40" t="s">
        <v>261</v>
      </c>
      <c r="D255" s="40"/>
      <c r="E255" s="40"/>
      <c r="F255" s="40"/>
      <c r="G255" s="40"/>
      <c r="H255" s="40"/>
      <c r="I255" s="40"/>
      <c r="J255" s="248">
        <f>IF(J254=$B$973,$A$973,IF(J254=$B$974,$A$974,IF(J254=$B$975,$A$975,IF(J254=$B$976,$A$976,IF(J254=$B$977,$A$977,"Not Calculated")))))</f>
        <v>4</v>
      </c>
      <c r="K255" s="41"/>
      <c r="N255" s="12" t="s">
        <v>901</v>
      </c>
    </row>
    <row r="256" spans="2:14" x14ac:dyDescent="0.2">
      <c r="B256" s="38"/>
      <c r="C256" s="40" t="s">
        <v>893</v>
      </c>
      <c r="D256" s="40"/>
      <c r="E256" s="40"/>
      <c r="F256" s="40"/>
      <c r="G256" s="40"/>
      <c r="H256" s="40"/>
      <c r="I256" s="40"/>
      <c r="J256" s="40"/>
      <c r="K256" s="41"/>
      <c r="N256" s="12" t="s">
        <v>902</v>
      </c>
    </row>
    <row r="257" spans="2:11" ht="60" customHeight="1" x14ac:dyDescent="0.2">
      <c r="B257" s="38"/>
      <c r="C257" s="399" t="s">
        <v>359</v>
      </c>
      <c r="D257" s="400"/>
      <c r="E257" s="400"/>
      <c r="F257" s="400"/>
      <c r="G257" s="400"/>
      <c r="H257" s="400"/>
      <c r="I257" s="400"/>
      <c r="J257" s="401"/>
      <c r="K257" s="41"/>
    </row>
    <row r="258" spans="2:11" x14ac:dyDescent="0.2">
      <c r="B258" s="38"/>
      <c r="C258" s="40"/>
      <c r="D258" s="40"/>
      <c r="E258" s="40"/>
      <c r="F258" s="40"/>
      <c r="G258" s="40"/>
      <c r="H258" s="40"/>
      <c r="I258" s="40"/>
      <c r="J258" s="40"/>
      <c r="K258" s="41"/>
    </row>
    <row r="259" spans="2:11" x14ac:dyDescent="0.2">
      <c r="B259" s="38"/>
      <c r="C259" s="179" t="s">
        <v>279</v>
      </c>
      <c r="D259" s="40"/>
      <c r="E259" s="40"/>
      <c r="F259" s="40"/>
      <c r="G259" s="40"/>
      <c r="H259" s="40"/>
      <c r="I259" s="40"/>
      <c r="J259" s="245" t="str">
        <f>IF(J253="N/A",IF(OR(J246="Not Calculated",J255="Not Calculated")=TRUE,"Not Calculated",AVERAGE(J246,J255)),AVERAGE(J253,J255))</f>
        <v>Not Calculated</v>
      </c>
      <c r="K259" s="41"/>
    </row>
    <row r="260" spans="2:11" x14ac:dyDescent="0.2">
      <c r="B260" s="38"/>
      <c r="C260" s="40"/>
      <c r="D260" s="40"/>
      <c r="E260" s="40"/>
      <c r="F260" s="40"/>
      <c r="G260" s="40"/>
      <c r="H260" s="40"/>
      <c r="I260" s="40"/>
      <c r="J260" s="40"/>
      <c r="K260" s="41"/>
    </row>
    <row r="261" spans="2:11" ht="18" x14ac:dyDescent="0.2">
      <c r="B261" s="38"/>
      <c r="C261" s="180" t="s">
        <v>272</v>
      </c>
      <c r="D261" s="40"/>
      <c r="E261" s="40"/>
      <c r="F261" s="40"/>
      <c r="G261" s="40"/>
      <c r="H261" s="40"/>
      <c r="I261" s="40"/>
      <c r="J261" s="244" t="str">
        <f>IF(OR(J157="Not Calculated",J178="Not Calculated",J198="Not Calculated",J218="Not Calculated",J239="Not Calculated",J259="Not Calculated",)=TRUE,"Not Calculated",AVERAGE(J157,J178,J198,J218,J239,J259))</f>
        <v>Not Calculated</v>
      </c>
      <c r="K261" s="41"/>
    </row>
    <row r="262" spans="2:11" ht="16" thickBot="1" x14ac:dyDescent="0.25">
      <c r="B262" s="46"/>
      <c r="C262" s="47"/>
      <c r="D262" s="47"/>
      <c r="E262" s="47"/>
      <c r="F262" s="47"/>
      <c r="G262" s="47"/>
      <c r="H262" s="47"/>
      <c r="I262" s="47"/>
      <c r="J262" s="47"/>
      <c r="K262" s="49"/>
    </row>
    <row r="263" spans="2:11" ht="16" thickBot="1" x14ac:dyDescent="0.25"/>
    <row r="264" spans="2:11" x14ac:dyDescent="0.2">
      <c r="B264" s="33"/>
      <c r="C264" s="34"/>
      <c r="D264" s="34"/>
      <c r="E264" s="34"/>
      <c r="F264" s="34"/>
      <c r="G264" s="34"/>
      <c r="H264" s="34"/>
      <c r="I264" s="34"/>
      <c r="J264" s="34"/>
      <c r="K264" s="37"/>
    </row>
    <row r="265" spans="2:11" ht="21" x14ac:dyDescent="0.25">
      <c r="B265" s="38"/>
      <c r="C265" s="40"/>
      <c r="D265" s="40"/>
      <c r="E265" s="40"/>
      <c r="F265" s="40"/>
      <c r="G265" s="172" t="s">
        <v>864</v>
      </c>
      <c r="H265" s="40"/>
      <c r="I265" s="40"/>
      <c r="J265" s="40"/>
      <c r="K265" s="41"/>
    </row>
    <row r="266" spans="2:11" x14ac:dyDescent="0.2">
      <c r="B266" s="38"/>
      <c r="C266" s="40"/>
      <c r="D266" s="40"/>
      <c r="E266" s="40"/>
      <c r="F266" s="40"/>
      <c r="G266" s="40"/>
      <c r="H266" s="40"/>
      <c r="I266" s="40"/>
      <c r="J266" s="40"/>
      <c r="K266" s="41"/>
    </row>
    <row r="267" spans="2:11" ht="16" x14ac:dyDescent="0.2">
      <c r="B267" s="38"/>
      <c r="C267" s="45" t="s">
        <v>80</v>
      </c>
      <c r="D267" s="40"/>
      <c r="E267" s="40"/>
      <c r="F267" s="40"/>
      <c r="G267" s="40"/>
      <c r="H267" s="40"/>
      <c r="I267" s="40"/>
      <c r="J267" s="40"/>
      <c r="K267" s="41"/>
    </row>
    <row r="268" spans="2:11" x14ac:dyDescent="0.2">
      <c r="B268" s="38"/>
      <c r="C268" s="40" t="s">
        <v>283</v>
      </c>
      <c r="D268" s="40"/>
      <c r="E268" s="40"/>
      <c r="F268" s="40"/>
      <c r="G268" s="40"/>
      <c r="H268" s="40"/>
      <c r="I268" s="40"/>
      <c r="J268" s="254">
        <f>'Baseline Health'!G88</f>
        <v>0</v>
      </c>
      <c r="K268" s="41"/>
    </row>
    <row r="269" spans="2:11" x14ac:dyDescent="0.2">
      <c r="B269" s="38"/>
      <c r="C269" s="40" t="s">
        <v>284</v>
      </c>
      <c r="D269" s="40"/>
      <c r="E269" s="40"/>
      <c r="F269" s="40"/>
      <c r="G269" s="40"/>
      <c r="H269" s="40"/>
      <c r="I269" s="40"/>
      <c r="J269" s="264">
        <v>0</v>
      </c>
      <c r="K269" s="41"/>
    </row>
    <row r="270" spans="2:11" x14ac:dyDescent="0.2">
      <c r="B270" s="38"/>
      <c r="C270" s="40" t="s">
        <v>285</v>
      </c>
      <c r="D270" s="40"/>
      <c r="E270" s="40"/>
      <c r="F270" s="40"/>
      <c r="G270" s="40"/>
      <c r="H270" s="40"/>
      <c r="I270" s="40"/>
      <c r="J270" s="259">
        <f>'Baseline Health'!G93</f>
        <v>0</v>
      </c>
      <c r="K270" s="41"/>
    </row>
    <row r="271" spans="2:11" x14ac:dyDescent="0.2">
      <c r="B271" s="38"/>
      <c r="C271" s="40" t="s">
        <v>286</v>
      </c>
      <c r="D271" s="40"/>
      <c r="E271" s="40"/>
      <c r="F271" s="40"/>
      <c r="G271" s="40"/>
      <c r="H271" s="40"/>
      <c r="I271" s="40"/>
      <c r="J271" s="250">
        <f>J184</f>
        <v>27</v>
      </c>
      <c r="K271" s="41"/>
    </row>
    <row r="272" spans="2:11" x14ac:dyDescent="0.2">
      <c r="B272" s="38"/>
      <c r="C272" s="40"/>
      <c r="D272" s="40" t="s">
        <v>432</v>
      </c>
      <c r="E272" s="40"/>
      <c r="F272" s="40"/>
      <c r="G272" s="40"/>
      <c r="H272" s="40"/>
      <c r="I272" s="40"/>
      <c r="J272" s="40"/>
      <c r="K272" s="41"/>
    </row>
    <row r="273" spans="2:14" x14ac:dyDescent="0.2">
      <c r="B273" s="38"/>
      <c r="C273" s="40" t="s">
        <v>292</v>
      </c>
      <c r="D273" s="40"/>
      <c r="E273" s="40"/>
      <c r="F273" s="40"/>
      <c r="G273" s="40"/>
      <c r="H273" s="40"/>
      <c r="I273" s="40"/>
      <c r="J273" s="258" t="str">
        <f>'Baseline Health'!G97</f>
        <v>N/A</v>
      </c>
      <c r="K273" s="41"/>
    </row>
    <row r="274" spans="2:14" x14ac:dyDescent="0.2">
      <c r="B274" s="38"/>
      <c r="C274" s="40" t="s">
        <v>293</v>
      </c>
      <c r="D274" s="40"/>
      <c r="E274" s="40"/>
      <c r="F274" s="40"/>
      <c r="G274" s="40"/>
      <c r="H274" s="40"/>
      <c r="I274" s="40"/>
      <c r="J274" s="258" t="str">
        <f>IF(J273="N/A","N/A",IF(J268-J269=0,"No Nurses",((J270+J271)/(J268-J269))))</f>
        <v>N/A</v>
      </c>
      <c r="K274" s="41"/>
    </row>
    <row r="275" spans="2:14" x14ac:dyDescent="0.2">
      <c r="B275" s="38"/>
      <c r="C275" s="40" t="s">
        <v>260</v>
      </c>
      <c r="D275" s="40"/>
      <c r="E275" s="40"/>
      <c r="F275" s="40"/>
      <c r="G275" s="40"/>
      <c r="H275" s="40"/>
      <c r="I275" s="40"/>
      <c r="J275" s="245">
        <f>IF(J273=0,"Not Calculated",IF(J274="N/A",0,IF(J274="No Nurses",4,IF((J274/J273)&lt;=1,0,IF((J274/J273)&lt;=1.1,1,IF((J274/J273)&lt;=1=1.25,2,IF((J274/J273)&lt;=1.5,3,4)))))))</f>
        <v>0</v>
      </c>
      <c r="K275" s="41"/>
    </row>
    <row r="276" spans="2:14" ht="9.75" customHeight="1" x14ac:dyDescent="0.2">
      <c r="B276" s="38"/>
      <c r="C276" s="279" t="str">
        <f>"0:"</f>
        <v>0:</v>
      </c>
      <c r="D276" s="278" t="s">
        <v>927</v>
      </c>
      <c r="E276" s="278"/>
      <c r="F276" s="40"/>
      <c r="G276" s="40"/>
      <c r="H276" s="40"/>
      <c r="I276" s="40"/>
      <c r="J276" s="258"/>
      <c r="K276" s="41"/>
    </row>
    <row r="277" spans="2:14" ht="9.75" customHeight="1" x14ac:dyDescent="0.2">
      <c r="B277" s="38"/>
      <c r="C277" s="280" t="str">
        <f>"1:"</f>
        <v>1:</v>
      </c>
      <c r="D277" s="278" t="s">
        <v>928</v>
      </c>
      <c r="E277" s="278"/>
      <c r="F277" s="40"/>
      <c r="G277" s="40"/>
      <c r="H277" s="40"/>
      <c r="I277" s="40"/>
      <c r="J277" s="258"/>
      <c r="K277" s="41"/>
    </row>
    <row r="278" spans="2:14" ht="9.75" customHeight="1" x14ac:dyDescent="0.2">
      <c r="B278" s="38"/>
      <c r="C278" s="280" t="str">
        <f>"2:"</f>
        <v>2:</v>
      </c>
      <c r="D278" s="278" t="s">
        <v>929</v>
      </c>
      <c r="E278" s="278"/>
      <c r="F278" s="40"/>
      <c r="G278" s="40"/>
      <c r="H278" s="40"/>
      <c r="I278" s="40"/>
      <c r="J278" s="258"/>
      <c r="K278" s="41"/>
    </row>
    <row r="279" spans="2:14" ht="9.75" customHeight="1" x14ac:dyDescent="0.2">
      <c r="B279" s="38"/>
      <c r="C279" s="280" t="str">
        <f>"3:"</f>
        <v>3:</v>
      </c>
      <c r="D279" s="278" t="s">
        <v>930</v>
      </c>
      <c r="E279" s="278"/>
      <c r="F279" s="40"/>
      <c r="G279" s="40"/>
      <c r="H279" s="40"/>
      <c r="I279" s="40"/>
      <c r="J279" s="258"/>
      <c r="K279" s="41"/>
    </row>
    <row r="280" spans="2:14" ht="9.75" customHeight="1" x14ac:dyDescent="0.2">
      <c r="B280" s="38"/>
      <c r="C280" s="280" t="str">
        <f>"4:"</f>
        <v>4:</v>
      </c>
      <c r="D280" s="278" t="s">
        <v>931</v>
      </c>
      <c r="E280" s="278"/>
      <c r="F280" s="40"/>
      <c r="G280" s="40"/>
      <c r="H280" s="40"/>
      <c r="I280" s="40"/>
      <c r="J280" s="40"/>
      <c r="K280" s="41"/>
      <c r="N280" s="12" t="s">
        <v>661</v>
      </c>
    </row>
    <row r="281" spans="2:14" x14ac:dyDescent="0.2">
      <c r="B281" s="38"/>
      <c r="C281" s="174" t="s">
        <v>662</v>
      </c>
      <c r="D281" s="40"/>
      <c r="E281" s="40"/>
      <c r="F281" s="40"/>
      <c r="G281" s="40"/>
      <c r="H281" s="40"/>
      <c r="I281" s="40"/>
      <c r="J281" s="265" t="s">
        <v>661</v>
      </c>
      <c r="K281" s="41"/>
      <c r="N281" s="12" t="s">
        <v>903</v>
      </c>
    </row>
    <row r="282" spans="2:14" x14ac:dyDescent="0.2">
      <c r="B282" s="38"/>
      <c r="C282" s="174" t="s">
        <v>660</v>
      </c>
      <c r="D282" s="40"/>
      <c r="E282" s="40"/>
      <c r="F282" s="40"/>
      <c r="G282" s="40"/>
      <c r="H282" s="40"/>
      <c r="I282" s="40"/>
      <c r="J282" s="246" t="str">
        <f>IF(J281=N280,"N/A",IF(J281=N281,0,IF(J281=N282,1,IF(J281=N283,2,IF(J281=N284,3,IF(J281=N285,4,"N/A"))))))</f>
        <v>N/A</v>
      </c>
      <c r="K282" s="41"/>
      <c r="N282" s="12" t="s">
        <v>904</v>
      </c>
    </row>
    <row r="283" spans="2:14" x14ac:dyDescent="0.2">
      <c r="B283" s="38"/>
      <c r="C283" s="40" t="s">
        <v>257</v>
      </c>
      <c r="D283" s="40"/>
      <c r="E283" s="40"/>
      <c r="F283" s="40"/>
      <c r="G283" s="40"/>
      <c r="H283" s="40"/>
      <c r="I283" s="40"/>
      <c r="J283" s="266" t="s">
        <v>873</v>
      </c>
      <c r="K283" s="41"/>
      <c r="N283" s="12" t="s">
        <v>905</v>
      </c>
    </row>
    <row r="284" spans="2:14" x14ac:dyDescent="0.2">
      <c r="B284" s="38"/>
      <c r="C284" s="40" t="s">
        <v>261</v>
      </c>
      <c r="D284" s="40"/>
      <c r="E284" s="40"/>
      <c r="F284" s="40"/>
      <c r="G284" s="40"/>
      <c r="H284" s="40"/>
      <c r="I284" s="40"/>
      <c r="J284" s="248">
        <f>IF(J283=$B$973,$A$973,IF(J283=$B$974,$A$974,IF(J283=$B$975,$A$975,IF(J283=$B$976,$A$976,IF(J283=$B$977,$A$977,"Not Calculated")))))</f>
        <v>3</v>
      </c>
      <c r="K284" s="41"/>
      <c r="N284" s="12" t="s">
        <v>906</v>
      </c>
    </row>
    <row r="285" spans="2:14" x14ac:dyDescent="0.2">
      <c r="B285" s="38"/>
      <c r="C285" s="40" t="s">
        <v>893</v>
      </c>
      <c r="D285" s="40"/>
      <c r="E285" s="40"/>
      <c r="F285" s="40"/>
      <c r="G285" s="40"/>
      <c r="H285" s="40"/>
      <c r="I285" s="40"/>
      <c r="J285" s="40"/>
      <c r="K285" s="41"/>
      <c r="N285" s="12" t="s">
        <v>907</v>
      </c>
    </row>
    <row r="286" spans="2:14" ht="30" customHeight="1" x14ac:dyDescent="0.2">
      <c r="B286" s="38"/>
      <c r="C286" s="399" t="s">
        <v>349</v>
      </c>
      <c r="D286" s="400"/>
      <c r="E286" s="400"/>
      <c r="F286" s="400"/>
      <c r="G286" s="400"/>
      <c r="H286" s="400"/>
      <c r="I286" s="400"/>
      <c r="J286" s="401"/>
      <c r="K286" s="41"/>
    </row>
    <row r="287" spans="2:14" x14ac:dyDescent="0.2">
      <c r="B287" s="38"/>
      <c r="C287" s="40"/>
      <c r="D287" s="40"/>
      <c r="E287" s="40"/>
      <c r="F287" s="40"/>
      <c r="G287" s="40"/>
      <c r="H287" s="40"/>
      <c r="I287" s="40"/>
      <c r="J287" s="40"/>
      <c r="K287" s="41"/>
    </row>
    <row r="288" spans="2:14" x14ac:dyDescent="0.2">
      <c r="B288" s="38"/>
      <c r="C288" s="179" t="s">
        <v>295</v>
      </c>
      <c r="D288" s="40"/>
      <c r="E288" s="40"/>
      <c r="F288" s="40"/>
      <c r="G288" s="40"/>
      <c r="H288" s="40"/>
      <c r="I288" s="40"/>
      <c r="J288" s="245">
        <f>IF(J282="N/A",IF(OR(J275="Not Calculated",J284="Not Calculated")=TRUE,"Not Calculated",AVERAGE(J275,J284)),AVERAGE(J282,J284))</f>
        <v>1.5</v>
      </c>
      <c r="K288" s="41"/>
    </row>
    <row r="289" spans="2:11" x14ac:dyDescent="0.2">
      <c r="B289" s="38"/>
      <c r="C289" s="40"/>
      <c r="D289" s="40"/>
      <c r="E289" s="40"/>
      <c r="F289" s="40"/>
      <c r="G289" s="40"/>
      <c r="H289" s="40"/>
      <c r="I289" s="40"/>
      <c r="J289" s="245"/>
      <c r="K289" s="41"/>
    </row>
    <row r="290" spans="2:11" x14ac:dyDescent="0.2">
      <c r="B290" s="38"/>
      <c r="C290" s="40"/>
      <c r="D290" s="40"/>
      <c r="E290" s="40"/>
      <c r="F290" s="40"/>
      <c r="G290" s="40"/>
      <c r="H290" s="40"/>
      <c r="I290" s="40"/>
      <c r="J290" s="40"/>
      <c r="K290" s="41"/>
    </row>
    <row r="291" spans="2:11" ht="16" x14ac:dyDescent="0.2">
      <c r="B291" s="38"/>
      <c r="C291" s="45" t="s">
        <v>856</v>
      </c>
      <c r="D291" s="40"/>
      <c r="E291" s="40"/>
      <c r="F291" s="40"/>
      <c r="G291" s="40"/>
      <c r="H291" s="40"/>
      <c r="I291" s="40"/>
      <c r="J291" s="40"/>
      <c r="K291" s="41"/>
    </row>
    <row r="292" spans="2:11" x14ac:dyDescent="0.2">
      <c r="B292" s="38"/>
      <c r="C292" s="380" t="s">
        <v>855</v>
      </c>
      <c r="D292" s="380"/>
      <c r="E292" s="380"/>
      <c r="F292" s="380"/>
      <c r="G292" s="380"/>
      <c r="H292" s="380"/>
      <c r="I292" s="380"/>
      <c r="J292" s="40"/>
      <c r="K292" s="41"/>
    </row>
    <row r="293" spans="2:11" x14ac:dyDescent="0.2">
      <c r="B293" s="38"/>
      <c r="C293" s="380"/>
      <c r="D293" s="380"/>
      <c r="E293" s="380"/>
      <c r="F293" s="380"/>
      <c r="G293" s="380"/>
      <c r="H293" s="380"/>
      <c r="I293" s="380"/>
      <c r="J293" s="264">
        <v>0</v>
      </c>
      <c r="K293" s="41"/>
    </row>
    <row r="294" spans="2:11" x14ac:dyDescent="0.2">
      <c r="B294" s="38"/>
      <c r="C294" s="40" t="s">
        <v>853</v>
      </c>
      <c r="D294" s="291"/>
      <c r="E294" s="291"/>
      <c r="F294" s="291"/>
      <c r="G294" s="291"/>
      <c r="H294" s="291"/>
      <c r="I294" s="291"/>
      <c r="J294" s="255">
        <f>'Baseline Health'!$G$102</f>
        <v>0</v>
      </c>
      <c r="K294" s="41"/>
    </row>
    <row r="295" spans="2:11" x14ac:dyDescent="0.2">
      <c r="B295" s="38"/>
      <c r="C295" s="40" t="s">
        <v>842</v>
      </c>
      <c r="D295" s="40"/>
      <c r="E295" s="40"/>
      <c r="F295" s="40"/>
      <c r="G295" s="40"/>
      <c r="H295" s="40"/>
      <c r="I295" s="40"/>
      <c r="J295" s="244" t="str">
        <f>IF('Baseline Health'!$G$102=0,"Not Calculated",100*J293/'Baseline Health'!$G$102)</f>
        <v>Not Calculated</v>
      </c>
      <c r="K295" s="41"/>
    </row>
    <row r="296" spans="2:11" x14ac:dyDescent="0.2">
      <c r="B296" s="38"/>
      <c r="C296" s="40" t="s">
        <v>260</v>
      </c>
      <c r="D296" s="40"/>
      <c r="E296" s="40"/>
      <c r="F296" s="40"/>
      <c r="G296" s="40"/>
      <c r="H296" s="40"/>
      <c r="I296" s="40"/>
      <c r="J296" s="245">
        <f>IF(J295&lt;=0,0,IF(J295&lt;=1,1,IF(J295&lt;=5,2,IF(J295&lt;=10,3,4))))</f>
        <v>4</v>
      </c>
      <c r="K296" s="41"/>
    </row>
    <row r="297" spans="2:11" ht="9.75" customHeight="1" x14ac:dyDescent="0.2">
      <c r="B297" s="38"/>
      <c r="C297" s="279" t="str">
        <f>"0:"</f>
        <v>0:</v>
      </c>
      <c r="D297" s="278" t="s">
        <v>932</v>
      </c>
      <c r="E297" s="40"/>
      <c r="F297" s="40"/>
      <c r="G297" s="40"/>
      <c r="H297" s="40"/>
      <c r="I297" s="40"/>
      <c r="J297" s="244"/>
      <c r="K297" s="41"/>
    </row>
    <row r="298" spans="2:11" ht="9.75" customHeight="1" x14ac:dyDescent="0.2">
      <c r="B298" s="38"/>
      <c r="C298" s="280" t="str">
        <f>"1:"</f>
        <v>1:</v>
      </c>
      <c r="D298" s="278" t="s">
        <v>934</v>
      </c>
      <c r="E298" s="40"/>
      <c r="F298" s="40"/>
      <c r="G298" s="40"/>
      <c r="H298" s="40"/>
      <c r="I298" s="40"/>
      <c r="J298" s="244"/>
      <c r="K298" s="41"/>
    </row>
    <row r="299" spans="2:11" ht="9.75" customHeight="1" x14ac:dyDescent="0.2">
      <c r="B299" s="38"/>
      <c r="C299" s="280" t="str">
        <f>"2:"</f>
        <v>2:</v>
      </c>
      <c r="D299" s="278" t="s">
        <v>933</v>
      </c>
      <c r="E299" s="40"/>
      <c r="F299" s="40"/>
      <c r="G299" s="40"/>
      <c r="H299" s="40"/>
      <c r="I299" s="40"/>
      <c r="J299" s="244"/>
      <c r="K299" s="41"/>
    </row>
    <row r="300" spans="2:11" ht="9.75" customHeight="1" x14ac:dyDescent="0.2">
      <c r="B300" s="38"/>
      <c r="C300" s="280" t="str">
        <f>"3:"</f>
        <v>3:</v>
      </c>
      <c r="D300" s="278" t="s">
        <v>935</v>
      </c>
      <c r="E300" s="40"/>
      <c r="F300" s="40"/>
      <c r="G300" s="40"/>
      <c r="H300" s="40"/>
      <c r="I300" s="40"/>
      <c r="J300" s="244"/>
      <c r="K300" s="41"/>
    </row>
    <row r="301" spans="2:11" ht="9.75" customHeight="1" x14ac:dyDescent="0.2">
      <c r="B301" s="38"/>
      <c r="C301" s="280" t="str">
        <f>"4:"</f>
        <v>4:</v>
      </c>
      <c r="D301" s="278" t="s">
        <v>936</v>
      </c>
      <c r="E301" s="40"/>
      <c r="F301" s="40"/>
      <c r="G301" s="40"/>
      <c r="H301" s="40"/>
      <c r="I301" s="40"/>
      <c r="J301" s="40"/>
      <c r="K301" s="41"/>
    </row>
    <row r="302" spans="2:11" x14ac:dyDescent="0.2">
      <c r="B302" s="38"/>
      <c r="C302" s="40" t="s">
        <v>257</v>
      </c>
      <c r="D302" s="40"/>
      <c r="E302" s="40"/>
      <c r="F302" s="40"/>
      <c r="G302" s="40"/>
      <c r="H302" s="40"/>
      <c r="I302" s="40"/>
      <c r="J302" s="266" t="s">
        <v>870</v>
      </c>
      <c r="K302" s="41"/>
    </row>
    <row r="303" spans="2:11" x14ac:dyDescent="0.2">
      <c r="B303" s="38"/>
      <c r="C303" s="40" t="s">
        <v>261</v>
      </c>
      <c r="D303" s="40"/>
      <c r="E303" s="40"/>
      <c r="F303" s="40"/>
      <c r="G303" s="40"/>
      <c r="H303" s="40"/>
      <c r="I303" s="40"/>
      <c r="J303" s="248">
        <f>IF(J302=$B$980,$A$980,IF(J302=$B$981,$A$981,IF(J302=$B$982,$A$982,IF(J302=$B$983,$A$983,IF(J302=$B$984,$A$984,"Not Calculated")))))</f>
        <v>0</v>
      </c>
      <c r="K303" s="41"/>
    </row>
    <row r="304" spans="2:11" x14ac:dyDescent="0.2">
      <c r="B304" s="38"/>
      <c r="C304" s="40" t="s">
        <v>893</v>
      </c>
      <c r="D304" s="40"/>
      <c r="E304" s="40"/>
      <c r="F304" s="40"/>
      <c r="G304" s="40"/>
      <c r="H304" s="40"/>
      <c r="I304" s="40"/>
      <c r="J304" s="40"/>
      <c r="K304" s="41"/>
    </row>
    <row r="305" spans="2:11" ht="15" customHeight="1" x14ac:dyDescent="0.2">
      <c r="B305" s="38"/>
      <c r="C305" s="399"/>
      <c r="D305" s="400"/>
      <c r="E305" s="400"/>
      <c r="F305" s="400"/>
      <c r="G305" s="400"/>
      <c r="H305" s="400"/>
      <c r="I305" s="400"/>
      <c r="J305" s="401"/>
      <c r="K305" s="41"/>
    </row>
    <row r="306" spans="2:11" x14ac:dyDescent="0.2">
      <c r="B306" s="38"/>
      <c r="C306" s="40"/>
      <c r="D306" s="40"/>
      <c r="E306" s="40"/>
      <c r="F306" s="40"/>
      <c r="G306" s="40"/>
      <c r="H306" s="40"/>
      <c r="I306" s="40"/>
      <c r="J306" s="40"/>
      <c r="K306" s="41"/>
    </row>
    <row r="307" spans="2:11" x14ac:dyDescent="0.2">
      <c r="B307" s="38"/>
      <c r="C307" s="179" t="s">
        <v>885</v>
      </c>
      <c r="D307" s="40"/>
      <c r="E307" s="40"/>
      <c r="F307" s="40"/>
      <c r="G307" s="40"/>
      <c r="H307" s="40"/>
      <c r="I307" s="40"/>
      <c r="J307" s="245">
        <f>IF(OR(J296="Not Calculated",J303="Not Calculated")=TRUE,"Not Calculated",AVERAGE(J296,J303))</f>
        <v>2</v>
      </c>
      <c r="K307" s="41"/>
    </row>
    <row r="308" spans="2:11" x14ac:dyDescent="0.2">
      <c r="B308" s="38"/>
      <c r="C308" s="40"/>
      <c r="D308" s="40"/>
      <c r="E308" s="40"/>
      <c r="F308" s="40"/>
      <c r="G308" s="40"/>
      <c r="H308" s="40"/>
      <c r="I308" s="40"/>
      <c r="J308" s="40"/>
      <c r="K308" s="41"/>
    </row>
    <row r="309" spans="2:11" x14ac:dyDescent="0.2">
      <c r="B309" s="38"/>
      <c r="C309" s="40"/>
      <c r="D309" s="40"/>
      <c r="E309" s="40"/>
      <c r="F309" s="40"/>
      <c r="G309" s="40"/>
      <c r="H309" s="40"/>
      <c r="I309" s="40"/>
      <c r="J309" s="40"/>
      <c r="K309" s="41"/>
    </row>
    <row r="310" spans="2:11" ht="16" x14ac:dyDescent="0.2">
      <c r="B310" s="38"/>
      <c r="C310" s="45" t="s">
        <v>857</v>
      </c>
      <c r="D310" s="40"/>
      <c r="E310" s="40"/>
      <c r="F310" s="40"/>
      <c r="G310" s="40"/>
      <c r="H310" s="40"/>
      <c r="I310" s="40"/>
      <c r="J310" s="40"/>
      <c r="K310" s="41"/>
    </row>
    <row r="311" spans="2:11" x14ac:dyDescent="0.2">
      <c r="B311" s="38"/>
      <c r="C311" s="380" t="s">
        <v>843</v>
      </c>
      <c r="D311" s="380"/>
      <c r="E311" s="380"/>
      <c r="F311" s="380"/>
      <c r="G311" s="380"/>
      <c r="H311" s="380"/>
      <c r="I311" s="380"/>
      <c r="J311" s="40"/>
      <c r="K311" s="41"/>
    </row>
    <row r="312" spans="2:11" x14ac:dyDescent="0.2">
      <c r="B312" s="38"/>
      <c r="C312" s="380"/>
      <c r="D312" s="380"/>
      <c r="E312" s="380"/>
      <c r="F312" s="380"/>
      <c r="G312" s="380"/>
      <c r="H312" s="380"/>
      <c r="I312" s="380"/>
      <c r="J312" s="264">
        <v>0</v>
      </c>
      <c r="K312" s="41"/>
    </row>
    <row r="313" spans="2:11" x14ac:dyDescent="0.2">
      <c r="B313" s="38"/>
      <c r="C313" s="40" t="s">
        <v>853</v>
      </c>
      <c r="D313" s="291"/>
      <c r="E313" s="291"/>
      <c r="F313" s="291"/>
      <c r="G313" s="291"/>
      <c r="H313" s="291"/>
      <c r="I313" s="291"/>
      <c r="J313" s="255">
        <f>'Baseline Health'!$G$102</f>
        <v>0</v>
      </c>
      <c r="K313" s="41"/>
    </row>
    <row r="314" spans="2:11" x14ac:dyDescent="0.2">
      <c r="B314" s="38"/>
      <c r="C314" s="40" t="s">
        <v>842</v>
      </c>
      <c r="D314" s="40"/>
      <c r="E314" s="40"/>
      <c r="F314" s="40"/>
      <c r="G314" s="40"/>
      <c r="H314" s="40"/>
      <c r="I314" s="40"/>
      <c r="J314" s="244" t="str">
        <f>IF('Baseline Health'!$G$102=0,"Not Calculated",100*J312/'Baseline Health'!$G$102)</f>
        <v>Not Calculated</v>
      </c>
      <c r="K314" s="41"/>
    </row>
    <row r="315" spans="2:11" x14ac:dyDescent="0.2">
      <c r="B315" s="38"/>
      <c r="C315" s="40" t="s">
        <v>260</v>
      </c>
      <c r="D315" s="40"/>
      <c r="E315" s="40"/>
      <c r="F315" s="40"/>
      <c r="G315" s="40"/>
      <c r="H315" s="40"/>
      <c r="I315" s="40"/>
      <c r="J315" s="245">
        <f>IF(J314&lt;=0,0,IF(J314&lt;=1,1,IF(J314&lt;=5,2,IF(J314&lt;=10,3,4))))</f>
        <v>4</v>
      </c>
      <c r="K315" s="41"/>
    </row>
    <row r="316" spans="2:11" ht="9.75" customHeight="1" x14ac:dyDescent="0.2">
      <c r="B316" s="38"/>
      <c r="C316" s="279" t="str">
        <f>"0:"</f>
        <v>0:</v>
      </c>
      <c r="D316" s="278" t="s">
        <v>932</v>
      </c>
      <c r="E316" s="40"/>
      <c r="F316" s="40"/>
      <c r="G316" s="40"/>
      <c r="H316" s="40"/>
      <c r="I316" s="40"/>
      <c r="J316" s="244"/>
      <c r="K316" s="41"/>
    </row>
    <row r="317" spans="2:11" ht="9.75" customHeight="1" x14ac:dyDescent="0.2">
      <c r="B317" s="38"/>
      <c r="C317" s="280" t="str">
        <f>"1:"</f>
        <v>1:</v>
      </c>
      <c r="D317" s="278" t="s">
        <v>934</v>
      </c>
      <c r="E317" s="40"/>
      <c r="F317" s="40"/>
      <c r="G317" s="40"/>
      <c r="H317" s="40"/>
      <c r="I317" s="40"/>
      <c r="J317" s="244"/>
      <c r="K317" s="41"/>
    </row>
    <row r="318" spans="2:11" ht="9.75" customHeight="1" x14ac:dyDescent="0.2">
      <c r="B318" s="38"/>
      <c r="C318" s="280" t="str">
        <f>"2:"</f>
        <v>2:</v>
      </c>
      <c r="D318" s="278" t="s">
        <v>933</v>
      </c>
      <c r="E318" s="40"/>
      <c r="F318" s="40"/>
      <c r="G318" s="40"/>
      <c r="H318" s="40"/>
      <c r="I318" s="40"/>
      <c r="J318" s="244"/>
      <c r="K318" s="41"/>
    </row>
    <row r="319" spans="2:11" ht="9.75" customHeight="1" x14ac:dyDescent="0.2">
      <c r="B319" s="38"/>
      <c r="C319" s="280" t="str">
        <f>"3:"</f>
        <v>3:</v>
      </c>
      <c r="D319" s="278" t="s">
        <v>935</v>
      </c>
      <c r="E319" s="40"/>
      <c r="F319" s="40"/>
      <c r="G319" s="40"/>
      <c r="H319" s="40"/>
      <c r="I319" s="40"/>
      <c r="J319" s="244"/>
      <c r="K319" s="41"/>
    </row>
    <row r="320" spans="2:11" ht="9.75" customHeight="1" x14ac:dyDescent="0.2">
      <c r="B320" s="38"/>
      <c r="C320" s="280" t="str">
        <f>"4:"</f>
        <v>4:</v>
      </c>
      <c r="D320" s="278" t="s">
        <v>936</v>
      </c>
      <c r="E320" s="40"/>
      <c r="F320" s="40"/>
      <c r="G320" s="40"/>
      <c r="H320" s="40"/>
      <c r="I320" s="40"/>
      <c r="J320" s="40"/>
      <c r="K320" s="41"/>
    </row>
    <row r="321" spans="2:11" x14ac:dyDescent="0.2">
      <c r="B321" s="38"/>
      <c r="C321" s="40" t="s">
        <v>296</v>
      </c>
      <c r="D321" s="40"/>
      <c r="E321" s="40"/>
      <c r="F321" s="40"/>
      <c r="G321" s="40"/>
      <c r="H321" s="40"/>
      <c r="I321" s="40"/>
      <c r="J321" s="266">
        <v>0</v>
      </c>
      <c r="K321" s="41"/>
    </row>
    <row r="322" spans="2:11" x14ac:dyDescent="0.2">
      <c r="B322" s="38"/>
      <c r="C322" s="40" t="s">
        <v>261</v>
      </c>
      <c r="D322" s="40"/>
      <c r="E322" s="40"/>
      <c r="F322" s="40"/>
      <c r="G322" s="40"/>
      <c r="H322" s="40"/>
      <c r="I322" s="40"/>
      <c r="J322" s="248">
        <f>IF(J321&lt;=0,0,IF(J321&lt;=2,1,IF(J321&lt;=6,2,IF(J321&lt;=12,3,4))))</f>
        <v>0</v>
      </c>
      <c r="K322" s="41"/>
    </row>
    <row r="323" spans="2:11" x14ac:dyDescent="0.2">
      <c r="B323" s="38"/>
      <c r="C323" s="40" t="s">
        <v>893</v>
      </c>
      <c r="D323" s="40"/>
      <c r="E323" s="40"/>
      <c r="F323" s="40"/>
      <c r="G323" s="40"/>
      <c r="H323" s="40"/>
      <c r="I323" s="40"/>
      <c r="J323" s="40"/>
      <c r="K323" s="41"/>
    </row>
    <row r="324" spans="2:11" ht="15" customHeight="1" x14ac:dyDescent="0.2">
      <c r="B324" s="38"/>
      <c r="C324" s="399"/>
      <c r="D324" s="400"/>
      <c r="E324" s="400"/>
      <c r="F324" s="400"/>
      <c r="G324" s="400"/>
      <c r="H324" s="400"/>
      <c r="I324" s="400"/>
      <c r="J324" s="401"/>
      <c r="K324" s="41"/>
    </row>
    <row r="325" spans="2:11" x14ac:dyDescent="0.2">
      <c r="B325" s="38"/>
      <c r="C325" s="40"/>
      <c r="D325" s="40"/>
      <c r="E325" s="40"/>
      <c r="F325" s="40"/>
      <c r="G325" s="40"/>
      <c r="H325" s="40"/>
      <c r="I325" s="40"/>
      <c r="J325" s="40"/>
      <c r="K325" s="41"/>
    </row>
    <row r="326" spans="2:11" x14ac:dyDescent="0.2">
      <c r="B326" s="38"/>
      <c r="C326" s="179" t="s">
        <v>886</v>
      </c>
      <c r="D326" s="40"/>
      <c r="E326" s="40"/>
      <c r="F326" s="40"/>
      <c r="G326" s="40"/>
      <c r="H326" s="40"/>
      <c r="I326" s="40"/>
      <c r="J326" s="245">
        <f>IF(OR(J315="Not Calculated",J322="Not Calculated")=TRUE,"Not Calculated",AVERAGE(J315,J322))</f>
        <v>2</v>
      </c>
      <c r="K326" s="41"/>
    </row>
    <row r="327" spans="2:11" x14ac:dyDescent="0.2">
      <c r="B327" s="38"/>
      <c r="C327" s="40"/>
      <c r="D327" s="40"/>
      <c r="E327" s="40"/>
      <c r="F327" s="40"/>
      <c r="G327" s="40"/>
      <c r="H327" s="40"/>
      <c r="I327" s="40"/>
      <c r="J327" s="40"/>
      <c r="K327" s="41"/>
    </row>
    <row r="328" spans="2:11" x14ac:dyDescent="0.2">
      <c r="B328" s="38"/>
      <c r="C328" s="40"/>
      <c r="D328" s="40"/>
      <c r="E328" s="40"/>
      <c r="F328" s="40"/>
      <c r="G328" s="40"/>
      <c r="H328" s="40"/>
      <c r="I328" s="40"/>
      <c r="J328" s="40"/>
      <c r="K328" s="41"/>
    </row>
    <row r="329" spans="2:11" ht="16" x14ac:dyDescent="0.2">
      <c r="B329" s="38"/>
      <c r="C329" s="45" t="s">
        <v>858</v>
      </c>
      <c r="D329" s="40"/>
      <c r="E329" s="40"/>
      <c r="F329" s="40"/>
      <c r="G329" s="40"/>
      <c r="H329" s="40"/>
      <c r="I329" s="40"/>
      <c r="J329" s="40"/>
      <c r="K329" s="41"/>
    </row>
    <row r="330" spans="2:11" x14ac:dyDescent="0.2">
      <c r="B330" s="38"/>
      <c r="C330" s="380" t="s">
        <v>844</v>
      </c>
      <c r="D330" s="380"/>
      <c r="E330" s="380"/>
      <c r="F330" s="380"/>
      <c r="G330" s="380"/>
      <c r="H330" s="380"/>
      <c r="I330" s="380"/>
      <c r="J330" s="40"/>
      <c r="K330" s="41"/>
    </row>
    <row r="331" spans="2:11" ht="15" customHeight="1" x14ac:dyDescent="0.2">
      <c r="B331" s="38"/>
      <c r="C331" s="380"/>
      <c r="D331" s="380"/>
      <c r="E331" s="380"/>
      <c r="F331" s="380"/>
      <c r="G331" s="380"/>
      <c r="H331" s="380"/>
      <c r="I331" s="380"/>
      <c r="J331" s="264">
        <v>0</v>
      </c>
      <c r="K331" s="41"/>
    </row>
    <row r="332" spans="2:11" ht="15" customHeight="1" x14ac:dyDescent="0.2">
      <c r="B332" s="38"/>
      <c r="C332" s="40" t="s">
        <v>853</v>
      </c>
      <c r="D332" s="291"/>
      <c r="E332" s="291"/>
      <c r="F332" s="291"/>
      <c r="G332" s="291"/>
      <c r="H332" s="291"/>
      <c r="I332" s="291"/>
      <c r="J332" s="255">
        <f>'Baseline Health'!$G$102</f>
        <v>0</v>
      </c>
      <c r="K332" s="41"/>
    </row>
    <row r="333" spans="2:11" x14ac:dyDescent="0.2">
      <c r="B333" s="38"/>
      <c r="C333" s="40" t="s">
        <v>845</v>
      </c>
      <c r="D333" s="40"/>
      <c r="E333" s="40"/>
      <c r="F333" s="40"/>
      <c r="G333" s="40"/>
      <c r="H333" s="40"/>
      <c r="I333" s="40"/>
      <c r="J333" s="244" t="str">
        <f>IF('Baseline Health'!$G$102=0,"Not Calculated",100*J331/'Baseline Health'!$G$102)</f>
        <v>Not Calculated</v>
      </c>
      <c r="K333" s="41"/>
    </row>
    <row r="334" spans="2:11" x14ac:dyDescent="0.2">
      <c r="B334" s="38"/>
      <c r="C334" s="40" t="s">
        <v>260</v>
      </c>
      <c r="D334" s="40"/>
      <c r="E334" s="40"/>
      <c r="F334" s="40"/>
      <c r="G334" s="40"/>
      <c r="H334" s="40"/>
      <c r="I334" s="40"/>
      <c r="J334" s="245">
        <f>IF(J333&lt;=0,0,IF(J333&lt;=1,1,IF(J333&lt;=5,2,IF(J333&lt;=10,3,4))))</f>
        <v>4</v>
      </c>
      <c r="K334" s="41"/>
    </row>
    <row r="335" spans="2:11" ht="9.75" customHeight="1" x14ac:dyDescent="0.2">
      <c r="B335" s="38"/>
      <c r="C335" s="279" t="str">
        <f>"0:"</f>
        <v>0:</v>
      </c>
      <c r="D335" s="278" t="s">
        <v>932</v>
      </c>
      <c r="E335" s="40"/>
      <c r="F335" s="40"/>
      <c r="G335" s="40"/>
      <c r="H335" s="40"/>
      <c r="I335" s="40"/>
      <c r="J335" s="244"/>
      <c r="K335" s="41"/>
    </row>
    <row r="336" spans="2:11" ht="9.75" customHeight="1" x14ac:dyDescent="0.2">
      <c r="B336" s="38"/>
      <c r="C336" s="280" t="str">
        <f>"1:"</f>
        <v>1:</v>
      </c>
      <c r="D336" s="278" t="s">
        <v>934</v>
      </c>
      <c r="E336" s="40"/>
      <c r="F336" s="40"/>
      <c r="G336" s="40"/>
      <c r="H336" s="40"/>
      <c r="I336" s="40"/>
      <c r="J336" s="244"/>
      <c r="K336" s="41"/>
    </row>
    <row r="337" spans="2:11" ht="9.75" customHeight="1" x14ac:dyDescent="0.2">
      <c r="B337" s="38"/>
      <c r="C337" s="280" t="str">
        <f>"2:"</f>
        <v>2:</v>
      </c>
      <c r="D337" s="278" t="s">
        <v>933</v>
      </c>
      <c r="E337" s="40"/>
      <c r="F337" s="40"/>
      <c r="G337" s="40"/>
      <c r="H337" s="40"/>
      <c r="I337" s="40"/>
      <c r="J337" s="244"/>
      <c r="K337" s="41"/>
    </row>
    <row r="338" spans="2:11" ht="9.75" customHeight="1" x14ac:dyDescent="0.2">
      <c r="B338" s="38"/>
      <c r="C338" s="280" t="str">
        <f>"3:"</f>
        <v>3:</v>
      </c>
      <c r="D338" s="278" t="s">
        <v>935</v>
      </c>
      <c r="E338" s="40"/>
      <c r="F338" s="40"/>
      <c r="G338" s="40"/>
      <c r="H338" s="40"/>
      <c r="I338" s="40"/>
      <c r="J338" s="244"/>
      <c r="K338" s="41"/>
    </row>
    <row r="339" spans="2:11" ht="9.75" customHeight="1" x14ac:dyDescent="0.2">
      <c r="B339" s="38"/>
      <c r="C339" s="280" t="str">
        <f>"4:"</f>
        <v>4:</v>
      </c>
      <c r="D339" s="278" t="s">
        <v>936</v>
      </c>
      <c r="E339" s="40"/>
      <c r="F339" s="40"/>
      <c r="G339" s="40"/>
      <c r="H339" s="40"/>
      <c r="I339" s="40"/>
      <c r="J339" s="40"/>
      <c r="K339" s="41"/>
    </row>
    <row r="340" spans="2:11" ht="15" customHeight="1" x14ac:dyDescent="0.2">
      <c r="B340" s="38"/>
      <c r="C340" s="380" t="s">
        <v>84</v>
      </c>
      <c r="D340" s="380"/>
      <c r="E340" s="380"/>
      <c r="F340" s="380"/>
      <c r="G340" s="380"/>
      <c r="H340" s="380"/>
      <c r="I340" s="380"/>
      <c r="J340" s="245"/>
      <c r="K340" s="41"/>
    </row>
    <row r="341" spans="2:11" x14ac:dyDescent="0.2">
      <c r="B341" s="38"/>
      <c r="C341" s="380"/>
      <c r="D341" s="380"/>
      <c r="E341" s="380"/>
      <c r="F341" s="380"/>
      <c r="G341" s="380"/>
      <c r="H341" s="380"/>
      <c r="I341" s="380"/>
      <c r="J341" s="245">
        <f>'Baseline Health'!G108</f>
        <v>40</v>
      </c>
      <c r="K341" s="41"/>
    </row>
    <row r="342" spans="2:11" x14ac:dyDescent="0.2">
      <c r="B342" s="38"/>
      <c r="C342" s="40" t="s">
        <v>833</v>
      </c>
      <c r="D342" s="40"/>
      <c r="E342" s="40"/>
      <c r="F342" s="40"/>
      <c r="G342" s="40"/>
      <c r="H342" s="40"/>
      <c r="I342" s="40"/>
      <c r="J342" s="245">
        <f>IF(J341&gt;J321,0,J321-J341)</f>
        <v>0</v>
      </c>
      <c r="K342" s="41"/>
    </row>
    <row r="343" spans="2:11" ht="15" customHeight="1" x14ac:dyDescent="0.2">
      <c r="B343" s="38"/>
      <c r="C343" s="40"/>
      <c r="D343" s="380" t="s">
        <v>834</v>
      </c>
      <c r="E343" s="380"/>
      <c r="F343" s="380"/>
      <c r="G343" s="380"/>
      <c r="H343" s="380"/>
      <c r="I343" s="380"/>
      <c r="J343" s="40"/>
      <c r="K343" s="41"/>
    </row>
    <row r="344" spans="2:11" x14ac:dyDescent="0.2">
      <c r="B344" s="38"/>
      <c r="C344" s="40"/>
      <c r="D344" s="380"/>
      <c r="E344" s="380"/>
      <c r="F344" s="380"/>
      <c r="G344" s="380"/>
      <c r="H344" s="380"/>
      <c r="I344" s="380"/>
      <c r="J344" s="40"/>
      <c r="K344" s="41"/>
    </row>
    <row r="345" spans="2:11" x14ac:dyDescent="0.2">
      <c r="B345" s="38"/>
      <c r="C345" s="40" t="s">
        <v>261</v>
      </c>
      <c r="D345" s="40"/>
      <c r="E345" s="40"/>
      <c r="F345" s="40"/>
      <c r="G345" s="40"/>
      <c r="H345" s="40"/>
      <c r="I345" s="40"/>
      <c r="J345" s="245">
        <f>IF(J342&lt;=0,0,IF(J342&lt;=2,1,IF(J342&lt;=6,2,IF(J342&lt;=12,3,4))))</f>
        <v>0</v>
      </c>
      <c r="K345" s="41"/>
    </row>
    <row r="346" spans="2:11" x14ac:dyDescent="0.2">
      <c r="B346" s="38"/>
      <c r="C346" s="40" t="s">
        <v>893</v>
      </c>
      <c r="D346" s="40"/>
      <c r="E346" s="40"/>
      <c r="F346" s="40"/>
      <c r="G346" s="40"/>
      <c r="H346" s="40"/>
      <c r="I346" s="40"/>
      <c r="J346" s="40"/>
      <c r="K346" s="41"/>
    </row>
    <row r="347" spans="2:11" ht="15" customHeight="1" x14ac:dyDescent="0.2">
      <c r="B347" s="38"/>
      <c r="C347" s="399"/>
      <c r="D347" s="400"/>
      <c r="E347" s="400"/>
      <c r="F347" s="400"/>
      <c r="G347" s="400"/>
      <c r="H347" s="400"/>
      <c r="I347" s="400"/>
      <c r="J347" s="401"/>
      <c r="K347" s="41"/>
    </row>
    <row r="348" spans="2:11" x14ac:dyDescent="0.2">
      <c r="B348" s="38"/>
      <c r="C348" s="40"/>
      <c r="D348" s="40"/>
      <c r="E348" s="40"/>
      <c r="F348" s="40"/>
      <c r="G348" s="40"/>
      <c r="H348" s="40"/>
      <c r="I348" s="40"/>
      <c r="J348" s="40"/>
      <c r="K348" s="41"/>
    </row>
    <row r="349" spans="2:11" x14ac:dyDescent="0.2">
      <c r="B349" s="38"/>
      <c r="C349" s="179" t="s">
        <v>887</v>
      </c>
      <c r="D349" s="40"/>
      <c r="E349" s="40"/>
      <c r="F349" s="40"/>
      <c r="G349" s="40"/>
      <c r="H349" s="40"/>
      <c r="I349" s="40"/>
      <c r="J349" s="245">
        <f>IF(OR(J334="Not Calculated",J345="Not Calculated")=TRUE,"Not Calculated",AVERAGE(J334,J345))</f>
        <v>2</v>
      </c>
      <c r="K349" s="41"/>
    </row>
    <row r="350" spans="2:11" x14ac:dyDescent="0.2">
      <c r="B350" s="38"/>
      <c r="C350" s="40"/>
      <c r="D350" s="40"/>
      <c r="E350" s="40"/>
      <c r="F350" s="40"/>
      <c r="G350" s="40"/>
      <c r="H350" s="40"/>
      <c r="I350" s="40"/>
      <c r="J350" s="40"/>
      <c r="K350" s="41"/>
    </row>
    <row r="351" spans="2:11" x14ac:dyDescent="0.2">
      <c r="B351" s="38"/>
      <c r="C351" s="40"/>
      <c r="D351" s="40"/>
      <c r="E351" s="40"/>
      <c r="F351" s="40"/>
      <c r="G351" s="40"/>
      <c r="H351" s="40"/>
      <c r="I351" s="40"/>
      <c r="J351" s="40"/>
      <c r="K351" s="41"/>
    </row>
    <row r="352" spans="2:11" ht="16" x14ac:dyDescent="0.2">
      <c r="B352" s="38"/>
      <c r="C352" s="45" t="s">
        <v>859</v>
      </c>
      <c r="D352" s="40"/>
      <c r="E352" s="40"/>
      <c r="F352" s="40"/>
      <c r="G352" s="40"/>
      <c r="H352" s="40"/>
      <c r="I352" s="40"/>
      <c r="J352" s="40"/>
      <c r="K352" s="41"/>
    </row>
    <row r="353" spans="2:11" x14ac:dyDescent="0.2">
      <c r="B353" s="38"/>
      <c r="C353" s="40" t="s">
        <v>846</v>
      </c>
      <c r="D353" s="40"/>
      <c r="E353" s="40"/>
      <c r="F353" s="40"/>
      <c r="G353" s="40"/>
      <c r="H353" s="40"/>
      <c r="I353" s="40"/>
      <c r="J353" s="264">
        <v>0</v>
      </c>
      <c r="K353" s="41"/>
    </row>
    <row r="354" spans="2:11" x14ac:dyDescent="0.2">
      <c r="B354" s="38"/>
      <c r="C354" s="40" t="s">
        <v>854</v>
      </c>
      <c r="D354" s="40"/>
      <c r="E354" s="40"/>
      <c r="F354" s="40"/>
      <c r="G354" s="40"/>
      <c r="H354" s="40"/>
      <c r="I354" s="40"/>
      <c r="J354" s="255">
        <f>'Baseline Health'!$G$59</f>
        <v>0</v>
      </c>
      <c r="K354" s="41"/>
    </row>
    <row r="355" spans="2:11" x14ac:dyDescent="0.2">
      <c r="B355" s="38"/>
      <c r="C355" s="40" t="s">
        <v>847</v>
      </c>
      <c r="D355" s="40"/>
      <c r="E355" s="40"/>
      <c r="F355" s="40"/>
      <c r="G355" s="40"/>
      <c r="H355" s="40"/>
      <c r="I355" s="40"/>
      <c r="J355" s="244">
        <f>IF(J353=0,0,IF('Baseline Health'!G$59=0,"Not Calculated",100*J353/'Baseline Health'!$G$59))</f>
        <v>0</v>
      </c>
      <c r="K355" s="41"/>
    </row>
    <row r="356" spans="2:11" x14ac:dyDescent="0.2">
      <c r="B356" s="38"/>
      <c r="C356" s="40" t="s">
        <v>260</v>
      </c>
      <c r="D356" s="40"/>
      <c r="E356" s="40"/>
      <c r="F356" s="40"/>
      <c r="G356" s="40"/>
      <c r="H356" s="40"/>
      <c r="I356" s="40"/>
      <c r="J356" s="245">
        <f>IF(J355&lt;=0,0,IF(J355&lt;=5,1,IF(J355&lt;=10,2,IF(J355&lt;=25,3,4))))</f>
        <v>0</v>
      </c>
      <c r="K356" s="41"/>
    </row>
    <row r="357" spans="2:11" ht="9.75" customHeight="1" x14ac:dyDescent="0.2">
      <c r="B357" s="38"/>
      <c r="C357" s="279" t="str">
        <f>"0:"</f>
        <v>0:</v>
      </c>
      <c r="D357" s="278" t="s">
        <v>932</v>
      </c>
      <c r="E357" s="40"/>
      <c r="F357" s="40"/>
      <c r="G357" s="40"/>
      <c r="H357" s="40"/>
      <c r="I357" s="40"/>
      <c r="J357" s="244"/>
      <c r="K357" s="41"/>
    </row>
    <row r="358" spans="2:11" ht="9.75" customHeight="1" x14ac:dyDescent="0.2">
      <c r="B358" s="38"/>
      <c r="C358" s="280" t="str">
        <f>"1:"</f>
        <v>1:</v>
      </c>
      <c r="D358" s="278" t="s">
        <v>933</v>
      </c>
      <c r="E358" s="40"/>
      <c r="F358" s="40"/>
      <c r="G358" s="40"/>
      <c r="H358" s="40"/>
      <c r="I358" s="40"/>
      <c r="J358" s="244"/>
      <c r="K358" s="41"/>
    </row>
    <row r="359" spans="2:11" ht="9.75" customHeight="1" x14ac:dyDescent="0.2">
      <c r="B359" s="38"/>
      <c r="C359" s="280" t="str">
        <f>"2:"</f>
        <v>2:</v>
      </c>
      <c r="D359" s="278" t="s">
        <v>935</v>
      </c>
      <c r="E359" s="40"/>
      <c r="F359" s="40"/>
      <c r="G359" s="40"/>
      <c r="H359" s="40"/>
      <c r="I359" s="40"/>
      <c r="J359" s="244"/>
      <c r="K359" s="41"/>
    </row>
    <row r="360" spans="2:11" ht="9.75" customHeight="1" x14ac:dyDescent="0.2">
      <c r="B360" s="38"/>
      <c r="C360" s="280" t="str">
        <f>"3:"</f>
        <v>3:</v>
      </c>
      <c r="D360" s="278" t="s">
        <v>937</v>
      </c>
      <c r="E360" s="40"/>
      <c r="F360" s="40"/>
      <c r="G360" s="40"/>
      <c r="H360" s="40"/>
      <c r="I360" s="40"/>
      <c r="J360" s="244"/>
      <c r="K360" s="41"/>
    </row>
    <row r="361" spans="2:11" ht="9.75" customHeight="1" x14ac:dyDescent="0.2">
      <c r="B361" s="38"/>
      <c r="C361" s="280" t="str">
        <f>"4:"</f>
        <v>4:</v>
      </c>
      <c r="D361" s="278" t="s">
        <v>938</v>
      </c>
      <c r="E361" s="40"/>
      <c r="F361" s="40"/>
      <c r="G361" s="40"/>
      <c r="H361" s="40"/>
      <c r="I361" s="40"/>
      <c r="J361" s="40"/>
      <c r="K361" s="41"/>
    </row>
    <row r="362" spans="2:11" x14ac:dyDescent="0.2">
      <c r="B362" s="38"/>
      <c r="C362" s="40" t="s">
        <v>257</v>
      </c>
      <c r="D362" s="40"/>
      <c r="E362" s="40"/>
      <c r="F362" s="40"/>
      <c r="G362" s="40"/>
      <c r="H362" s="40"/>
      <c r="I362" s="40"/>
      <c r="J362" s="266" t="s">
        <v>870</v>
      </c>
      <c r="K362" s="41"/>
    </row>
    <row r="363" spans="2:11" x14ac:dyDescent="0.2">
      <c r="B363" s="38"/>
      <c r="C363" s="40" t="s">
        <v>261</v>
      </c>
      <c r="D363" s="40"/>
      <c r="E363" s="40"/>
      <c r="F363" s="40"/>
      <c r="G363" s="40"/>
      <c r="H363" s="40"/>
      <c r="I363" s="40"/>
      <c r="J363" s="248">
        <f>IF(J362=$B$980,$A$980,IF(J362=$B$981,$A$981,IF(J362=$B$982,$A$982,IF(J362=$B$983,$A$983,IF(J362=$B$984,$A$984,"Not Calculated")))))</f>
        <v>0</v>
      </c>
      <c r="K363" s="41"/>
    </row>
    <row r="364" spans="2:11" x14ac:dyDescent="0.2">
      <c r="B364" s="38"/>
      <c r="C364" s="40" t="s">
        <v>893</v>
      </c>
      <c r="D364" s="40"/>
      <c r="E364" s="40"/>
      <c r="F364" s="40"/>
      <c r="G364" s="40"/>
      <c r="H364" s="40"/>
      <c r="I364" s="40"/>
      <c r="J364" s="40"/>
      <c r="K364" s="41"/>
    </row>
    <row r="365" spans="2:11" ht="15" customHeight="1" x14ac:dyDescent="0.2">
      <c r="B365" s="38"/>
      <c r="C365" s="399"/>
      <c r="D365" s="400"/>
      <c r="E365" s="400"/>
      <c r="F365" s="400"/>
      <c r="G365" s="400"/>
      <c r="H365" s="400"/>
      <c r="I365" s="400"/>
      <c r="J365" s="401"/>
      <c r="K365" s="41"/>
    </row>
    <row r="366" spans="2:11" x14ac:dyDescent="0.2">
      <c r="B366" s="38"/>
      <c r="C366" s="40"/>
      <c r="D366" s="40"/>
      <c r="E366" s="40"/>
      <c r="F366" s="40"/>
      <c r="G366" s="40"/>
      <c r="H366" s="40"/>
      <c r="I366" s="40"/>
      <c r="J366" s="40"/>
      <c r="K366" s="41"/>
    </row>
    <row r="367" spans="2:11" x14ac:dyDescent="0.2">
      <c r="B367" s="38"/>
      <c r="C367" s="179" t="s">
        <v>888</v>
      </c>
      <c r="D367" s="40"/>
      <c r="E367" s="40"/>
      <c r="F367" s="40"/>
      <c r="G367" s="40"/>
      <c r="H367" s="40"/>
      <c r="I367" s="40"/>
      <c r="J367" s="245">
        <f>IF(OR(J356="Not Calculated",J363="Not Calculated")=TRUE,"Not Calculated",AVERAGE(J356,J363))</f>
        <v>0</v>
      </c>
      <c r="K367" s="41"/>
    </row>
    <row r="368" spans="2:11" x14ac:dyDescent="0.2">
      <c r="B368" s="38"/>
      <c r="C368" s="40"/>
      <c r="D368" s="40"/>
      <c r="E368" s="40"/>
      <c r="F368" s="40"/>
      <c r="G368" s="40"/>
      <c r="H368" s="40"/>
      <c r="I368" s="40"/>
      <c r="J368" s="40"/>
      <c r="K368" s="41"/>
    </row>
    <row r="369" spans="2:11" x14ac:dyDescent="0.2">
      <c r="B369" s="38"/>
      <c r="C369" s="40"/>
      <c r="D369" s="40"/>
      <c r="E369" s="40"/>
      <c r="F369" s="40"/>
      <c r="G369" s="40"/>
      <c r="H369" s="40"/>
      <c r="I369" s="40"/>
      <c r="J369" s="40"/>
      <c r="K369" s="41"/>
    </row>
    <row r="370" spans="2:11" ht="16" x14ac:dyDescent="0.2">
      <c r="B370" s="38"/>
      <c r="C370" s="45" t="s">
        <v>863</v>
      </c>
      <c r="D370" s="40"/>
      <c r="E370" s="40"/>
      <c r="F370" s="40"/>
      <c r="G370" s="40"/>
      <c r="H370" s="40"/>
      <c r="I370" s="40"/>
      <c r="J370" s="40"/>
      <c r="K370" s="41"/>
    </row>
    <row r="371" spans="2:11" ht="15" customHeight="1" x14ac:dyDescent="0.2">
      <c r="B371" s="38"/>
      <c r="C371" s="380" t="s">
        <v>848</v>
      </c>
      <c r="D371" s="380"/>
      <c r="E371" s="380"/>
      <c r="F371" s="380"/>
      <c r="G371" s="380"/>
      <c r="H371" s="380"/>
      <c r="I371" s="380"/>
      <c r="J371" s="181"/>
      <c r="K371" s="41"/>
    </row>
    <row r="372" spans="2:11" x14ac:dyDescent="0.2">
      <c r="B372" s="38"/>
      <c r="C372" s="380"/>
      <c r="D372" s="380"/>
      <c r="E372" s="380"/>
      <c r="F372" s="380"/>
      <c r="G372" s="380"/>
      <c r="H372" s="380"/>
      <c r="I372" s="380"/>
      <c r="J372" s="264">
        <v>0</v>
      </c>
      <c r="K372" s="41"/>
    </row>
    <row r="373" spans="2:11" x14ac:dyDescent="0.2">
      <c r="B373" s="38"/>
      <c r="C373" s="40" t="s">
        <v>853</v>
      </c>
      <c r="D373" s="291"/>
      <c r="E373" s="291"/>
      <c r="F373" s="291"/>
      <c r="G373" s="291"/>
      <c r="H373" s="291"/>
      <c r="I373" s="291"/>
      <c r="J373" s="255">
        <f>'Baseline Health'!$G$102</f>
        <v>0</v>
      </c>
      <c r="K373" s="41"/>
    </row>
    <row r="374" spans="2:11" x14ac:dyDescent="0.2">
      <c r="B374" s="38"/>
      <c r="C374" s="40" t="s">
        <v>842</v>
      </c>
      <c r="D374" s="291"/>
      <c r="E374" s="291"/>
      <c r="F374" s="291"/>
      <c r="G374" s="291"/>
      <c r="H374" s="291"/>
      <c r="I374" s="291"/>
      <c r="J374" s="244" t="str">
        <f>IF('Baseline Health'!$G$102=0,"Not Calculated",100*J372/'Baseline Health'!$G$102)</f>
        <v>Not Calculated</v>
      </c>
      <c r="K374" s="41"/>
    </row>
    <row r="375" spans="2:11" x14ac:dyDescent="0.2">
      <c r="B375" s="38"/>
      <c r="C375" s="40" t="s">
        <v>260</v>
      </c>
      <c r="D375" s="40"/>
      <c r="E375" s="40"/>
      <c r="F375" s="40"/>
      <c r="G375" s="40"/>
      <c r="H375" s="40"/>
      <c r="I375" s="40"/>
      <c r="J375" s="251">
        <f>IF(J374&lt;=0,0,IF(J374&lt;=1,1,IF(J374&lt;=5,2,IF(J374&lt;=10,3,4))))</f>
        <v>4</v>
      </c>
      <c r="K375" s="41"/>
    </row>
    <row r="376" spans="2:11" ht="9.75" customHeight="1" x14ac:dyDescent="0.2">
      <c r="B376" s="38"/>
      <c r="C376" s="279" t="str">
        <f>"0:"</f>
        <v>0:</v>
      </c>
      <c r="D376" s="278" t="s">
        <v>932</v>
      </c>
      <c r="E376" s="291"/>
      <c r="F376" s="291"/>
      <c r="G376" s="291"/>
      <c r="H376" s="291"/>
      <c r="I376" s="291"/>
      <c r="J376" s="244"/>
      <c r="K376" s="41"/>
    </row>
    <row r="377" spans="2:11" ht="9.75" customHeight="1" x14ac:dyDescent="0.2">
      <c r="B377" s="38"/>
      <c r="C377" s="280" t="str">
        <f>"1:"</f>
        <v>1:</v>
      </c>
      <c r="D377" s="278" t="s">
        <v>934</v>
      </c>
      <c r="E377" s="291"/>
      <c r="F377" s="291"/>
      <c r="G377" s="291"/>
      <c r="H377" s="291"/>
      <c r="I377" s="291"/>
      <c r="J377" s="244"/>
      <c r="K377" s="41"/>
    </row>
    <row r="378" spans="2:11" ht="9.75" customHeight="1" x14ac:dyDescent="0.2">
      <c r="B378" s="38"/>
      <c r="C378" s="280" t="str">
        <f>"2:"</f>
        <v>2:</v>
      </c>
      <c r="D378" s="278" t="s">
        <v>933</v>
      </c>
      <c r="E378" s="291"/>
      <c r="F378" s="291"/>
      <c r="G378" s="291"/>
      <c r="H378" s="291"/>
      <c r="I378" s="291"/>
      <c r="J378" s="244"/>
      <c r="K378" s="41"/>
    </row>
    <row r="379" spans="2:11" ht="9.75" customHeight="1" x14ac:dyDescent="0.2">
      <c r="B379" s="38"/>
      <c r="C379" s="280" t="str">
        <f>"3:"</f>
        <v>3:</v>
      </c>
      <c r="D379" s="278" t="s">
        <v>935</v>
      </c>
      <c r="E379" s="291"/>
      <c r="F379" s="291"/>
      <c r="G379" s="291"/>
      <c r="H379" s="291"/>
      <c r="I379" s="291"/>
      <c r="J379" s="244"/>
      <c r="K379" s="41"/>
    </row>
    <row r="380" spans="2:11" ht="9.75" customHeight="1" x14ac:dyDescent="0.2">
      <c r="B380" s="38"/>
      <c r="C380" s="280" t="str">
        <f>"4:"</f>
        <v>4:</v>
      </c>
      <c r="D380" s="278" t="s">
        <v>936</v>
      </c>
      <c r="E380" s="40"/>
      <c r="F380" s="40"/>
      <c r="G380" s="40"/>
      <c r="H380" s="40"/>
      <c r="I380" s="40"/>
      <c r="J380" s="40"/>
      <c r="K380" s="41"/>
    </row>
    <row r="381" spans="2:11" x14ac:dyDescent="0.2">
      <c r="B381" s="38"/>
      <c r="C381" s="40" t="s">
        <v>85</v>
      </c>
      <c r="D381" s="40"/>
      <c r="E381" s="40"/>
      <c r="F381" s="40"/>
      <c r="G381" s="40"/>
      <c r="H381" s="40"/>
      <c r="I381" s="40"/>
      <c r="J381" s="254">
        <f>'Baseline Health'!G114</f>
        <v>7</v>
      </c>
      <c r="K381" s="41"/>
    </row>
    <row r="382" spans="2:11" x14ac:dyDescent="0.2">
      <c r="B382" s="38"/>
      <c r="C382" s="40" t="s">
        <v>297</v>
      </c>
      <c r="D382" s="40"/>
      <c r="E382" s="40"/>
      <c r="F382" s="40"/>
      <c r="G382" s="40"/>
      <c r="H382" s="40"/>
      <c r="I382" s="40"/>
      <c r="J382" s="266">
        <v>0</v>
      </c>
      <c r="K382" s="41"/>
    </row>
    <row r="383" spans="2:11" x14ac:dyDescent="0.2">
      <c r="B383" s="38"/>
      <c r="C383" s="40" t="s">
        <v>261</v>
      </c>
      <c r="D383" s="40"/>
      <c r="E383" s="40"/>
      <c r="F383" s="40"/>
      <c r="G383" s="40"/>
      <c r="H383" s="40"/>
      <c r="I383" s="40"/>
      <c r="J383" s="248">
        <f>IF((J382-J381)&lt;1,0,IF((J382-J381)&lt;3,1,IF((J382-J381)&lt;5,2,IF((J382-J381)&lt;7,3,4))))</f>
        <v>0</v>
      </c>
      <c r="K383" s="41"/>
    </row>
    <row r="384" spans="2:11" x14ac:dyDescent="0.2">
      <c r="B384" s="38"/>
      <c r="C384" s="40" t="s">
        <v>893</v>
      </c>
      <c r="D384" s="40"/>
      <c r="E384" s="40"/>
      <c r="F384" s="40"/>
      <c r="G384" s="40"/>
      <c r="H384" s="40"/>
      <c r="I384" s="40"/>
      <c r="J384" s="40"/>
      <c r="K384" s="41"/>
    </row>
    <row r="385" spans="2:11" ht="15" customHeight="1" x14ac:dyDescent="0.2">
      <c r="B385" s="38"/>
      <c r="C385" s="399"/>
      <c r="D385" s="400"/>
      <c r="E385" s="400"/>
      <c r="F385" s="400"/>
      <c r="G385" s="400"/>
      <c r="H385" s="400"/>
      <c r="I385" s="400"/>
      <c r="J385" s="401"/>
      <c r="K385" s="41"/>
    </row>
    <row r="386" spans="2:11" x14ac:dyDescent="0.2">
      <c r="B386" s="38"/>
      <c r="C386" s="40"/>
      <c r="D386" s="40"/>
      <c r="E386" s="40"/>
      <c r="F386" s="40"/>
      <c r="G386" s="40"/>
      <c r="H386" s="40"/>
      <c r="I386" s="40"/>
      <c r="J386" s="40"/>
      <c r="K386" s="41"/>
    </row>
    <row r="387" spans="2:11" x14ac:dyDescent="0.2">
      <c r="B387" s="38"/>
      <c r="C387" s="179" t="s">
        <v>889</v>
      </c>
      <c r="D387" s="40"/>
      <c r="E387" s="40"/>
      <c r="F387" s="40"/>
      <c r="G387" s="40"/>
      <c r="H387" s="40"/>
      <c r="I387" s="40"/>
      <c r="J387" s="245">
        <f>IF(OR(J375="Not Calculated",J383="Not Calculated")=TRUE,"Not Calculated",AVERAGE(J375,J383))</f>
        <v>2</v>
      </c>
      <c r="K387" s="41"/>
    </row>
    <row r="388" spans="2:11" x14ac:dyDescent="0.2">
      <c r="B388" s="38"/>
      <c r="C388" s="40"/>
      <c r="D388" s="40"/>
      <c r="E388" s="40"/>
      <c r="F388" s="40"/>
      <c r="G388" s="40"/>
      <c r="H388" s="40"/>
      <c r="I388" s="40"/>
      <c r="J388" s="40"/>
      <c r="K388" s="41"/>
    </row>
    <row r="389" spans="2:11" x14ac:dyDescent="0.2">
      <c r="B389" s="38"/>
      <c r="C389" s="40"/>
      <c r="D389" s="40"/>
      <c r="E389" s="40"/>
      <c r="F389" s="40"/>
      <c r="G389" s="40"/>
      <c r="H389" s="40"/>
      <c r="I389" s="40"/>
      <c r="J389" s="40"/>
      <c r="K389" s="41"/>
    </row>
    <row r="390" spans="2:11" ht="16" x14ac:dyDescent="0.2">
      <c r="B390" s="38"/>
      <c r="C390" s="45" t="s">
        <v>860</v>
      </c>
      <c r="D390" s="40"/>
      <c r="E390" s="40"/>
      <c r="F390" s="40"/>
      <c r="G390" s="40"/>
      <c r="H390" s="40"/>
      <c r="I390" s="40"/>
      <c r="J390" s="40"/>
      <c r="K390" s="41"/>
    </row>
    <row r="391" spans="2:11" x14ac:dyDescent="0.2">
      <c r="B391" s="38"/>
      <c r="C391" s="380" t="s">
        <v>849</v>
      </c>
      <c r="D391" s="380"/>
      <c r="E391" s="380"/>
      <c r="F391" s="380"/>
      <c r="G391" s="380"/>
      <c r="H391" s="380"/>
      <c r="I391" s="380"/>
      <c r="J391" s="181"/>
      <c r="K391" s="41"/>
    </row>
    <row r="392" spans="2:11" x14ac:dyDescent="0.2">
      <c r="B392" s="38"/>
      <c r="C392" s="380"/>
      <c r="D392" s="380"/>
      <c r="E392" s="380"/>
      <c r="F392" s="380"/>
      <c r="G392" s="380"/>
      <c r="H392" s="380"/>
      <c r="I392" s="380"/>
      <c r="J392" s="264">
        <v>0</v>
      </c>
      <c r="K392" s="41"/>
    </row>
    <row r="393" spans="2:11" x14ac:dyDescent="0.2">
      <c r="B393" s="38"/>
      <c r="C393" s="40" t="s">
        <v>853</v>
      </c>
      <c r="D393" s="291"/>
      <c r="E393" s="291"/>
      <c r="F393" s="291"/>
      <c r="G393" s="291"/>
      <c r="H393" s="291"/>
      <c r="I393" s="291"/>
      <c r="J393" s="255">
        <f>'Baseline Health'!$G$102</f>
        <v>0</v>
      </c>
      <c r="K393" s="41"/>
    </row>
    <row r="394" spans="2:11" x14ac:dyDescent="0.2">
      <c r="B394" s="38"/>
      <c r="C394" s="40" t="s">
        <v>850</v>
      </c>
      <c r="D394" s="291"/>
      <c r="E394" s="291"/>
      <c r="F394" s="291"/>
      <c r="G394" s="291"/>
      <c r="H394" s="291"/>
      <c r="I394" s="291"/>
      <c r="J394" s="244" t="str">
        <f>IF('Baseline Health'!$G$102=0,"Not Calculated",100*J392/'Baseline Health'!$G$102)</f>
        <v>Not Calculated</v>
      </c>
      <c r="K394" s="41"/>
    </row>
    <row r="395" spans="2:11" x14ac:dyDescent="0.2">
      <c r="B395" s="38"/>
      <c r="C395" s="40" t="s">
        <v>260</v>
      </c>
      <c r="D395" s="40"/>
      <c r="E395" s="40"/>
      <c r="F395" s="40"/>
      <c r="G395" s="40"/>
      <c r="H395" s="40"/>
      <c r="I395" s="40"/>
      <c r="J395" s="43">
        <f>IF(J394&lt;=0,0,IF(J394&lt;=1,1,IF(J394&lt;=5,2,IF(J394&lt;=10,3,4))))</f>
        <v>4</v>
      </c>
      <c r="K395" s="41"/>
    </row>
    <row r="396" spans="2:11" ht="9.75" customHeight="1" x14ac:dyDescent="0.2">
      <c r="B396" s="38"/>
      <c r="C396" s="279" t="str">
        <f>"0:"</f>
        <v>0:</v>
      </c>
      <c r="D396" s="278" t="s">
        <v>932</v>
      </c>
      <c r="E396" s="291"/>
      <c r="F396" s="291"/>
      <c r="G396" s="291"/>
      <c r="H396" s="291"/>
      <c r="I396" s="291"/>
      <c r="J396" s="244"/>
      <c r="K396" s="41"/>
    </row>
    <row r="397" spans="2:11" ht="9.75" customHeight="1" x14ac:dyDescent="0.2">
      <c r="B397" s="38"/>
      <c r="C397" s="280" t="str">
        <f>"1:"</f>
        <v>1:</v>
      </c>
      <c r="D397" s="278" t="s">
        <v>934</v>
      </c>
      <c r="E397" s="291"/>
      <c r="F397" s="291"/>
      <c r="G397" s="291"/>
      <c r="H397" s="291"/>
      <c r="I397" s="291"/>
      <c r="J397" s="244"/>
      <c r="K397" s="41"/>
    </row>
    <row r="398" spans="2:11" ht="9.75" customHeight="1" x14ac:dyDescent="0.2">
      <c r="B398" s="38"/>
      <c r="C398" s="280" t="str">
        <f>"2:"</f>
        <v>2:</v>
      </c>
      <c r="D398" s="278" t="s">
        <v>933</v>
      </c>
      <c r="E398" s="291"/>
      <c r="F398" s="291"/>
      <c r="G398" s="291"/>
      <c r="H398" s="291"/>
      <c r="I398" s="291"/>
      <c r="J398" s="244"/>
      <c r="K398" s="41"/>
    </row>
    <row r="399" spans="2:11" ht="9.75" customHeight="1" x14ac:dyDescent="0.2">
      <c r="B399" s="38"/>
      <c r="C399" s="280" t="str">
        <f>"3:"</f>
        <v>3:</v>
      </c>
      <c r="D399" s="278" t="s">
        <v>935</v>
      </c>
      <c r="E399" s="291"/>
      <c r="F399" s="291"/>
      <c r="G399" s="291"/>
      <c r="H399" s="291"/>
      <c r="I399" s="291"/>
      <c r="J399" s="244"/>
      <c r="K399" s="41"/>
    </row>
    <row r="400" spans="2:11" ht="9.75" customHeight="1" x14ac:dyDescent="0.2">
      <c r="B400" s="38"/>
      <c r="C400" s="280" t="str">
        <f>"4:"</f>
        <v>4:</v>
      </c>
      <c r="D400" s="278" t="s">
        <v>936</v>
      </c>
      <c r="E400" s="40"/>
      <c r="F400" s="40"/>
      <c r="G400" s="40"/>
      <c r="H400" s="40"/>
      <c r="I400" s="40"/>
      <c r="J400" s="40"/>
      <c r="K400" s="41"/>
    </row>
    <row r="401" spans="2:11" x14ac:dyDescent="0.2">
      <c r="B401" s="38"/>
      <c r="C401" s="40" t="s">
        <v>893</v>
      </c>
      <c r="D401" s="40"/>
      <c r="E401" s="40"/>
      <c r="F401" s="40"/>
      <c r="G401" s="40"/>
      <c r="H401" s="40"/>
      <c r="I401" s="40"/>
      <c r="J401" s="40"/>
      <c r="K401" s="41"/>
    </row>
    <row r="402" spans="2:11" ht="15" customHeight="1" x14ac:dyDescent="0.2">
      <c r="B402" s="38"/>
      <c r="C402" s="399"/>
      <c r="D402" s="400"/>
      <c r="E402" s="400"/>
      <c r="F402" s="400"/>
      <c r="G402" s="400"/>
      <c r="H402" s="400"/>
      <c r="I402" s="400"/>
      <c r="J402" s="401"/>
      <c r="K402" s="41"/>
    </row>
    <row r="403" spans="2:11" x14ac:dyDescent="0.2">
      <c r="B403" s="38"/>
      <c r="C403" s="40"/>
      <c r="D403" s="40"/>
      <c r="E403" s="40"/>
      <c r="F403" s="40"/>
      <c r="G403" s="40"/>
      <c r="H403" s="40"/>
      <c r="I403" s="40"/>
      <c r="J403" s="40"/>
      <c r="K403" s="41"/>
    </row>
    <row r="404" spans="2:11" x14ac:dyDescent="0.2">
      <c r="B404" s="38"/>
      <c r="C404" s="179" t="s">
        <v>890</v>
      </c>
      <c r="D404" s="40"/>
      <c r="E404" s="40"/>
      <c r="F404" s="40"/>
      <c r="G404" s="40"/>
      <c r="H404" s="40"/>
      <c r="I404" s="40"/>
      <c r="J404" s="245">
        <f>J395</f>
        <v>4</v>
      </c>
      <c r="K404" s="41"/>
    </row>
    <row r="405" spans="2:11" x14ac:dyDescent="0.2">
      <c r="B405" s="38"/>
      <c r="C405" s="40"/>
      <c r="D405" s="40"/>
      <c r="E405" s="40"/>
      <c r="F405" s="40"/>
      <c r="G405" s="40"/>
      <c r="H405" s="40"/>
      <c r="I405" s="40"/>
      <c r="J405" s="40"/>
      <c r="K405" s="41"/>
    </row>
    <row r="406" spans="2:11" x14ac:dyDescent="0.2">
      <c r="B406" s="38"/>
      <c r="C406" s="40"/>
      <c r="D406" s="40"/>
      <c r="E406" s="40"/>
      <c r="F406" s="40"/>
      <c r="G406" s="40"/>
      <c r="H406" s="40"/>
      <c r="I406" s="40"/>
      <c r="J406" s="40"/>
      <c r="K406" s="41"/>
    </row>
    <row r="407" spans="2:11" ht="16" x14ac:dyDescent="0.2">
      <c r="B407" s="38"/>
      <c r="C407" s="45" t="s">
        <v>861</v>
      </c>
      <c r="D407" s="40"/>
      <c r="E407" s="40"/>
      <c r="F407" s="40"/>
      <c r="G407" s="40"/>
      <c r="H407" s="40"/>
      <c r="I407" s="40"/>
      <c r="J407" s="40"/>
      <c r="K407" s="41"/>
    </row>
    <row r="408" spans="2:11" x14ac:dyDescent="0.2">
      <c r="B408" s="38"/>
      <c r="C408" s="40" t="s">
        <v>298</v>
      </c>
      <c r="D408" s="40"/>
      <c r="E408" s="40"/>
      <c r="F408" s="40"/>
      <c r="G408" s="40"/>
      <c r="H408" s="40"/>
      <c r="I408" s="40"/>
      <c r="J408" s="269">
        <v>0</v>
      </c>
      <c r="K408" s="41"/>
    </row>
    <row r="409" spans="2:11" x14ac:dyDescent="0.2">
      <c r="B409" s="38"/>
      <c r="C409" s="40" t="s">
        <v>260</v>
      </c>
      <c r="D409" s="40"/>
      <c r="E409" s="40"/>
      <c r="F409" s="40"/>
      <c r="G409" s="40"/>
      <c r="H409" s="40"/>
      <c r="I409" s="40"/>
      <c r="J409" s="253">
        <f>IF(J408&lt;=0,0,IF(J408&lt;=(J161*0.01),1,IF(J408&lt;=(J161*0.05),2,IF(J408&lt;=(J161*0.1),3,4))))</f>
        <v>0</v>
      </c>
      <c r="K409" s="41"/>
    </row>
    <row r="410" spans="2:11" ht="9.75" customHeight="1" x14ac:dyDescent="0.2">
      <c r="B410" s="38"/>
      <c r="C410" s="279" t="str">
        <f>"0:"</f>
        <v>0:</v>
      </c>
      <c r="D410" s="278" t="s">
        <v>939</v>
      </c>
      <c r="E410" s="40"/>
      <c r="F410" s="40"/>
      <c r="G410" s="40"/>
      <c r="H410" s="40"/>
      <c r="I410" s="40"/>
      <c r="J410" s="282"/>
      <c r="K410" s="41"/>
    </row>
    <row r="411" spans="2:11" ht="9.75" customHeight="1" x14ac:dyDescent="0.2">
      <c r="B411" s="38"/>
      <c r="C411" s="280" t="str">
        <f>"1:"</f>
        <v>1:</v>
      </c>
      <c r="D411" s="278" t="s">
        <v>940</v>
      </c>
      <c r="E411" s="40"/>
      <c r="F411" s="40"/>
      <c r="G411" s="40"/>
      <c r="H411" s="40"/>
      <c r="I411" s="40"/>
      <c r="J411" s="282"/>
      <c r="K411" s="41"/>
    </row>
    <row r="412" spans="2:11" ht="9.75" customHeight="1" x14ac:dyDescent="0.2">
      <c r="B412" s="38"/>
      <c r="C412" s="280" t="str">
        <f>"2:"</f>
        <v>2:</v>
      </c>
      <c r="D412" s="278" t="s">
        <v>941</v>
      </c>
      <c r="E412" s="40"/>
      <c r="F412" s="40"/>
      <c r="G412" s="40"/>
      <c r="H412" s="40"/>
      <c r="I412" s="40"/>
      <c r="J412" s="282"/>
      <c r="K412" s="41"/>
    </row>
    <row r="413" spans="2:11" ht="9.75" customHeight="1" x14ac:dyDescent="0.2">
      <c r="B413" s="38"/>
      <c r="C413" s="280" t="str">
        <f>"3:"</f>
        <v>3:</v>
      </c>
      <c r="D413" s="278" t="s">
        <v>942</v>
      </c>
      <c r="E413" s="40"/>
      <c r="F413" s="40"/>
      <c r="G413" s="40"/>
      <c r="H413" s="40"/>
      <c r="I413" s="40"/>
      <c r="J413" s="282"/>
      <c r="K413" s="41"/>
    </row>
    <row r="414" spans="2:11" ht="9.75" customHeight="1" x14ac:dyDescent="0.2">
      <c r="B414" s="38"/>
      <c r="C414" s="280" t="str">
        <f>"4:"</f>
        <v>4:</v>
      </c>
      <c r="D414" s="278" t="s">
        <v>943</v>
      </c>
      <c r="E414" s="40"/>
      <c r="F414" s="40"/>
      <c r="G414" s="40"/>
      <c r="H414" s="40"/>
      <c r="I414" s="40"/>
      <c r="J414" s="40"/>
      <c r="K414" s="41"/>
    </row>
    <row r="415" spans="2:11" x14ac:dyDescent="0.2">
      <c r="B415" s="38"/>
      <c r="C415" s="40" t="s">
        <v>893</v>
      </c>
      <c r="D415" s="40"/>
      <c r="E415" s="40"/>
      <c r="F415" s="40"/>
      <c r="G415" s="40"/>
      <c r="H415" s="40"/>
      <c r="I415" s="40"/>
      <c r="J415" s="40"/>
      <c r="K415" s="41"/>
    </row>
    <row r="416" spans="2:11" ht="15" customHeight="1" x14ac:dyDescent="0.2">
      <c r="B416" s="38"/>
      <c r="C416" s="399"/>
      <c r="D416" s="400"/>
      <c r="E416" s="400"/>
      <c r="F416" s="400"/>
      <c r="G416" s="400"/>
      <c r="H416" s="400"/>
      <c r="I416" s="400"/>
      <c r="J416" s="401"/>
      <c r="K416" s="41"/>
    </row>
    <row r="417" spans="2:11" x14ac:dyDescent="0.2">
      <c r="B417" s="38"/>
      <c r="C417" s="40"/>
      <c r="D417" s="40"/>
      <c r="E417" s="40"/>
      <c r="F417" s="40"/>
      <c r="G417" s="40"/>
      <c r="H417" s="40"/>
      <c r="I417" s="40"/>
      <c r="J417" s="40"/>
      <c r="K417" s="41"/>
    </row>
    <row r="418" spans="2:11" x14ac:dyDescent="0.2">
      <c r="B418" s="38"/>
      <c r="C418" s="179" t="s">
        <v>891</v>
      </c>
      <c r="D418" s="40"/>
      <c r="E418" s="40"/>
      <c r="F418" s="40"/>
      <c r="G418" s="40"/>
      <c r="H418" s="40"/>
      <c r="I418" s="40"/>
      <c r="J418" s="245">
        <f>J409</f>
        <v>0</v>
      </c>
      <c r="K418" s="41"/>
    </row>
    <row r="419" spans="2:11" x14ac:dyDescent="0.2">
      <c r="B419" s="38"/>
      <c r="C419" s="40"/>
      <c r="D419" s="40"/>
      <c r="E419" s="40"/>
      <c r="F419" s="40"/>
      <c r="G419" s="40"/>
      <c r="H419" s="40"/>
      <c r="I419" s="40"/>
      <c r="J419" s="40"/>
      <c r="K419" s="41"/>
    </row>
    <row r="420" spans="2:11" x14ac:dyDescent="0.2">
      <c r="B420" s="38"/>
      <c r="C420" s="410" t="s">
        <v>881</v>
      </c>
      <c r="D420" s="410"/>
      <c r="E420" s="410"/>
      <c r="F420" s="410"/>
      <c r="G420" s="410"/>
      <c r="H420" s="410"/>
      <c r="I420" s="410"/>
      <c r="J420" s="40"/>
      <c r="K420" s="41"/>
    </row>
    <row r="421" spans="2:11" x14ac:dyDescent="0.2">
      <c r="B421" s="38"/>
      <c r="C421" s="410"/>
      <c r="D421" s="410"/>
      <c r="E421" s="410"/>
      <c r="F421" s="410"/>
      <c r="G421" s="410"/>
      <c r="H421" s="410"/>
      <c r="I421" s="410"/>
      <c r="J421" s="244">
        <f>IF(OR(J288="Not Calculated",J307="Not Calculated",J326="Not Calculated",J349="Not Calculated",J367="Not Calculated",J387="Not Calculated",J404="Not Calculated",J418="Not Calculated")=TRUE,"Not Calculated",AVERAGE(J288,J307,J326,J349,J367,J387,J404,J418))</f>
        <v>1.6875</v>
      </c>
      <c r="K421" s="41"/>
    </row>
    <row r="422" spans="2:11" ht="16" thickBot="1" x14ac:dyDescent="0.25">
      <c r="B422" s="46"/>
      <c r="C422" s="47"/>
      <c r="D422" s="47"/>
      <c r="E422" s="47"/>
      <c r="F422" s="47"/>
      <c r="G422" s="47"/>
      <c r="H422" s="47"/>
      <c r="I422" s="47"/>
      <c r="J422" s="47"/>
      <c r="K422" s="49"/>
    </row>
    <row r="423" spans="2:11" ht="16" thickBot="1" x14ac:dyDescent="0.25"/>
    <row r="424" spans="2:11" x14ac:dyDescent="0.2">
      <c r="B424" s="33"/>
      <c r="C424" s="34"/>
      <c r="D424" s="34"/>
      <c r="E424" s="34"/>
      <c r="F424" s="34"/>
      <c r="G424" s="34"/>
      <c r="H424" s="34"/>
      <c r="I424" s="34"/>
      <c r="J424" s="34"/>
      <c r="K424" s="37"/>
    </row>
    <row r="425" spans="2:11" ht="21" x14ac:dyDescent="0.25">
      <c r="B425" s="38"/>
      <c r="C425" s="40"/>
      <c r="D425" s="40"/>
      <c r="E425" s="40"/>
      <c r="F425" s="40"/>
      <c r="G425" s="172" t="s">
        <v>230</v>
      </c>
      <c r="H425" s="40"/>
      <c r="I425" s="40"/>
      <c r="J425" s="40"/>
      <c r="K425" s="41"/>
    </row>
    <row r="426" spans="2:11" x14ac:dyDescent="0.2">
      <c r="B426" s="38"/>
      <c r="C426" s="40"/>
      <c r="D426" s="40"/>
      <c r="E426" s="40"/>
      <c r="F426" s="40"/>
      <c r="G426" s="40"/>
      <c r="H426" s="40"/>
      <c r="I426" s="40"/>
      <c r="J426" s="40"/>
      <c r="K426" s="41"/>
    </row>
    <row r="427" spans="2:11" ht="16" x14ac:dyDescent="0.2">
      <c r="B427" s="38"/>
      <c r="C427" s="45" t="s">
        <v>299</v>
      </c>
      <c r="D427" s="40"/>
      <c r="E427" s="40"/>
      <c r="F427" s="40"/>
      <c r="G427" s="40"/>
      <c r="H427" s="40"/>
      <c r="I427" s="40"/>
      <c r="J427" s="40"/>
      <c r="K427" s="41"/>
    </row>
    <row r="428" spans="2:11" x14ac:dyDescent="0.2">
      <c r="B428" s="38"/>
      <c r="C428" s="40" t="s">
        <v>300</v>
      </c>
      <c r="D428" s="40"/>
      <c r="E428" s="40"/>
      <c r="F428" s="40"/>
      <c r="G428" s="40"/>
      <c r="H428" s="40"/>
      <c r="I428" s="40"/>
      <c r="J428" s="270">
        <v>0</v>
      </c>
      <c r="K428" s="41"/>
    </row>
    <row r="429" spans="2:11" x14ac:dyDescent="0.2">
      <c r="B429" s="38"/>
      <c r="C429" s="40" t="s">
        <v>260</v>
      </c>
      <c r="D429" s="40"/>
      <c r="E429" s="40"/>
      <c r="F429" s="40"/>
      <c r="G429" s="40"/>
      <c r="H429" s="40"/>
      <c r="I429" s="40"/>
      <c r="J429" s="248">
        <f>IF(J428&lt;=0,0,IF(J428&lt;=1,1,IF(J428&lt;=5,2,IF(J428&lt;=10,3,4))))</f>
        <v>0</v>
      </c>
      <c r="K429" s="41"/>
    </row>
    <row r="430" spans="2:11" s="98" customFormat="1" ht="9.75" customHeight="1" x14ac:dyDescent="0.2">
      <c r="B430" s="288"/>
      <c r="C430" s="279" t="str">
        <f>"0:"</f>
        <v>0:</v>
      </c>
      <c r="D430" s="290" t="s">
        <v>944</v>
      </c>
      <c r="E430" s="245"/>
      <c r="F430" s="245"/>
      <c r="G430" s="245"/>
      <c r="H430" s="245"/>
      <c r="I430" s="245"/>
      <c r="J430" s="245"/>
      <c r="K430" s="289"/>
    </row>
    <row r="431" spans="2:11" s="98" customFormat="1" ht="9.75" customHeight="1" x14ac:dyDescent="0.2">
      <c r="B431" s="288"/>
      <c r="C431" s="280" t="str">
        <f>"1:"</f>
        <v>1:</v>
      </c>
      <c r="D431" s="290" t="s">
        <v>945</v>
      </c>
      <c r="E431" s="245"/>
      <c r="F431" s="245"/>
      <c r="G431" s="245"/>
      <c r="H431" s="245"/>
      <c r="I431" s="245"/>
      <c r="J431" s="245"/>
      <c r="K431" s="289"/>
    </row>
    <row r="432" spans="2:11" s="98" customFormat="1" ht="9.75" customHeight="1" x14ac:dyDescent="0.2">
      <c r="B432" s="288"/>
      <c r="C432" s="280" t="str">
        <f>"2:"</f>
        <v>2:</v>
      </c>
      <c r="D432" s="290" t="s">
        <v>946</v>
      </c>
      <c r="E432" s="245"/>
      <c r="F432" s="245"/>
      <c r="G432" s="245"/>
      <c r="H432" s="245"/>
      <c r="I432" s="245"/>
      <c r="J432" s="245"/>
      <c r="K432" s="289"/>
    </row>
    <row r="433" spans="2:11" s="98" customFormat="1" ht="9.75" customHeight="1" x14ac:dyDescent="0.2">
      <c r="B433" s="288"/>
      <c r="C433" s="280" t="str">
        <f>"3:"</f>
        <v>3:</v>
      </c>
      <c r="D433" s="290" t="s">
        <v>947</v>
      </c>
      <c r="E433" s="245"/>
      <c r="F433" s="245"/>
      <c r="G433" s="245"/>
      <c r="H433" s="245"/>
      <c r="I433" s="245"/>
      <c r="J433" s="245"/>
      <c r="K433" s="289"/>
    </row>
    <row r="434" spans="2:11" s="98" customFormat="1" ht="9.75" customHeight="1" x14ac:dyDescent="0.2">
      <c r="B434" s="288"/>
      <c r="C434" s="280" t="str">
        <f>"4:"</f>
        <v>4:</v>
      </c>
      <c r="D434" s="290" t="s">
        <v>948</v>
      </c>
      <c r="E434" s="245"/>
      <c r="F434" s="245"/>
      <c r="G434" s="245"/>
      <c r="H434" s="245"/>
      <c r="I434" s="245"/>
      <c r="J434" s="247"/>
      <c r="K434" s="289"/>
    </row>
    <row r="435" spans="2:11" x14ac:dyDescent="0.2">
      <c r="B435" s="38"/>
      <c r="C435" s="40" t="s">
        <v>257</v>
      </c>
      <c r="D435" s="40"/>
      <c r="E435" s="40"/>
      <c r="F435" s="40"/>
      <c r="G435" s="40"/>
      <c r="H435" s="40"/>
      <c r="I435" s="40"/>
      <c r="J435" s="266" t="s">
        <v>870</v>
      </c>
      <c r="K435" s="41"/>
    </row>
    <row r="436" spans="2:11" x14ac:dyDescent="0.2">
      <c r="B436" s="38"/>
      <c r="C436" s="40" t="s">
        <v>261</v>
      </c>
      <c r="D436" s="40"/>
      <c r="E436" s="40"/>
      <c r="F436" s="40"/>
      <c r="G436" s="40"/>
      <c r="H436" s="40"/>
      <c r="I436" s="40"/>
      <c r="J436" s="248">
        <f>IF(J435=$B$973,$A$973,IF(J435=$B$974,$A$974,IF(J435=$B$975,$A$975,IF(J435=$B$976,$A$976,IF(J435=$B$977,$A$977,"Not Calculated")))))</f>
        <v>0</v>
      </c>
      <c r="K436" s="41"/>
    </row>
    <row r="437" spans="2:11" x14ac:dyDescent="0.2">
      <c r="B437" s="38"/>
      <c r="C437" s="40" t="s">
        <v>893</v>
      </c>
      <c r="D437" s="40"/>
      <c r="E437" s="40"/>
      <c r="F437" s="40"/>
      <c r="G437" s="40"/>
      <c r="H437" s="40"/>
      <c r="I437" s="40"/>
      <c r="J437" s="40"/>
      <c r="K437" s="41"/>
    </row>
    <row r="438" spans="2:11" ht="15" customHeight="1" x14ac:dyDescent="0.2">
      <c r="B438" s="38"/>
      <c r="C438" s="399"/>
      <c r="D438" s="400"/>
      <c r="E438" s="400"/>
      <c r="F438" s="400"/>
      <c r="G438" s="400"/>
      <c r="H438" s="400"/>
      <c r="I438" s="400"/>
      <c r="J438" s="401"/>
      <c r="K438" s="41"/>
    </row>
    <row r="439" spans="2:11" x14ac:dyDescent="0.2">
      <c r="B439" s="38"/>
      <c r="C439" s="40"/>
      <c r="D439" s="40"/>
      <c r="E439" s="40"/>
      <c r="F439" s="40"/>
      <c r="G439" s="40"/>
      <c r="H439" s="40"/>
      <c r="I439" s="40"/>
      <c r="J439" s="40"/>
      <c r="K439" s="41"/>
    </row>
    <row r="440" spans="2:11" x14ac:dyDescent="0.2">
      <c r="B440" s="38"/>
      <c r="C440" s="179" t="s">
        <v>301</v>
      </c>
      <c r="D440" s="40"/>
      <c r="E440" s="40"/>
      <c r="F440" s="40"/>
      <c r="G440" s="40"/>
      <c r="H440" s="40"/>
      <c r="I440" s="40"/>
      <c r="J440" s="245">
        <f>IF(OR(J429="Not Calculated",J436="Not Calculated")=TRUE,"Not Calculated",AVERAGE(J429,J436))</f>
        <v>0</v>
      </c>
      <c r="K440" s="41"/>
    </row>
    <row r="441" spans="2:11" x14ac:dyDescent="0.2">
      <c r="B441" s="38"/>
      <c r="C441" s="40"/>
      <c r="D441" s="40"/>
      <c r="E441" s="40"/>
      <c r="F441" s="40"/>
      <c r="G441" s="40"/>
      <c r="H441" s="40"/>
      <c r="I441" s="40"/>
      <c r="J441" s="40"/>
      <c r="K441" s="41"/>
    </row>
    <row r="442" spans="2:11" x14ac:dyDescent="0.2">
      <c r="B442" s="38"/>
      <c r="C442" s="40"/>
      <c r="D442" s="40"/>
      <c r="E442" s="40"/>
      <c r="F442" s="40"/>
      <c r="G442" s="40"/>
      <c r="H442" s="40"/>
      <c r="I442" s="40"/>
      <c r="J442" s="40"/>
      <c r="K442" s="41"/>
    </row>
    <row r="443" spans="2:11" ht="16" x14ac:dyDescent="0.2">
      <c r="B443" s="38"/>
      <c r="C443" s="45" t="s">
        <v>303</v>
      </c>
      <c r="D443" s="40"/>
      <c r="E443" s="40"/>
      <c r="F443" s="40"/>
      <c r="G443" s="40"/>
      <c r="H443" s="40"/>
      <c r="I443" s="40"/>
      <c r="J443" s="40"/>
      <c r="K443" s="41"/>
    </row>
    <row r="444" spans="2:11" ht="15" customHeight="1" x14ac:dyDescent="0.2">
      <c r="B444" s="38"/>
      <c r="C444" s="380" t="s">
        <v>305</v>
      </c>
      <c r="D444" s="380"/>
      <c r="E444" s="380"/>
      <c r="F444" s="380"/>
      <c r="G444" s="380"/>
      <c r="H444" s="380"/>
      <c r="I444" s="380"/>
      <c r="J444" s="40"/>
      <c r="K444" s="41"/>
    </row>
    <row r="445" spans="2:11" x14ac:dyDescent="0.2">
      <c r="B445" s="38"/>
      <c r="C445" s="380"/>
      <c r="D445" s="380"/>
      <c r="E445" s="380"/>
      <c r="F445" s="380"/>
      <c r="G445" s="380"/>
      <c r="H445" s="380"/>
      <c r="I445" s="380"/>
      <c r="J445" s="270">
        <v>0</v>
      </c>
      <c r="K445" s="41"/>
    </row>
    <row r="446" spans="2:11" x14ac:dyDescent="0.2">
      <c r="B446" s="38"/>
      <c r="C446" s="40" t="s">
        <v>260</v>
      </c>
      <c r="D446" s="40"/>
      <c r="E446" s="40"/>
      <c r="F446" s="40"/>
      <c r="G446" s="40"/>
      <c r="H446" s="40"/>
      <c r="I446" s="40"/>
      <c r="J446" s="248">
        <f>IF(J445&lt;=0,0,IF(J445&lt;=1,1,IF(J445&lt;=5,2,IF(J445&lt;=10,3,4))))</f>
        <v>0</v>
      </c>
      <c r="K446" s="41"/>
    </row>
    <row r="447" spans="2:11" ht="9.75" customHeight="1" x14ac:dyDescent="0.2">
      <c r="B447" s="38"/>
      <c r="C447" s="279" t="str">
        <f>"0:"</f>
        <v>0:</v>
      </c>
      <c r="D447" s="278" t="s">
        <v>944</v>
      </c>
      <c r="E447" s="40"/>
      <c r="F447" s="40"/>
      <c r="G447" s="40"/>
      <c r="H447" s="40"/>
      <c r="I447" s="40"/>
      <c r="J447" s="245"/>
      <c r="K447" s="41"/>
    </row>
    <row r="448" spans="2:11" ht="9.75" customHeight="1" x14ac:dyDescent="0.2">
      <c r="B448" s="38"/>
      <c r="C448" s="280" t="str">
        <f>"1:"</f>
        <v>1:</v>
      </c>
      <c r="D448" s="278" t="s">
        <v>945</v>
      </c>
      <c r="E448" s="40"/>
      <c r="F448" s="40"/>
      <c r="G448" s="40"/>
      <c r="H448" s="40"/>
      <c r="I448" s="40"/>
      <c r="J448" s="245"/>
      <c r="K448" s="41"/>
    </row>
    <row r="449" spans="2:11" ht="9.75" customHeight="1" x14ac:dyDescent="0.2">
      <c r="B449" s="38"/>
      <c r="C449" s="280" t="str">
        <f>"2:"</f>
        <v>2:</v>
      </c>
      <c r="D449" s="278" t="s">
        <v>946</v>
      </c>
      <c r="E449" s="40"/>
      <c r="F449" s="40"/>
      <c r="G449" s="40"/>
      <c r="H449" s="40"/>
      <c r="I449" s="40"/>
      <c r="J449" s="245"/>
      <c r="K449" s="41"/>
    </row>
    <row r="450" spans="2:11" ht="9.75" customHeight="1" x14ac:dyDescent="0.2">
      <c r="B450" s="38"/>
      <c r="C450" s="280" t="str">
        <f>"3:"</f>
        <v>3:</v>
      </c>
      <c r="D450" s="278" t="s">
        <v>947</v>
      </c>
      <c r="E450" s="40"/>
      <c r="F450" s="40"/>
      <c r="G450" s="40"/>
      <c r="H450" s="40"/>
      <c r="I450" s="40"/>
      <c r="J450" s="245"/>
      <c r="K450" s="41"/>
    </row>
    <row r="451" spans="2:11" ht="9.75" customHeight="1" x14ac:dyDescent="0.2">
      <c r="B451" s="38"/>
      <c r="C451" s="280" t="str">
        <f>"4:"</f>
        <v>4:</v>
      </c>
      <c r="D451" s="278" t="s">
        <v>948</v>
      </c>
      <c r="E451" s="40"/>
      <c r="F451" s="40"/>
      <c r="G451" s="40"/>
      <c r="H451" s="40"/>
      <c r="I451" s="40"/>
      <c r="J451" s="247"/>
      <c r="K451" s="41"/>
    </row>
    <row r="452" spans="2:11" x14ac:dyDescent="0.2">
      <c r="B452" s="38"/>
      <c r="C452" s="40" t="s">
        <v>257</v>
      </c>
      <c r="D452" s="40"/>
      <c r="E452" s="40"/>
      <c r="F452" s="40"/>
      <c r="G452" s="40"/>
      <c r="H452" s="40"/>
      <c r="I452" s="40"/>
      <c r="J452" s="266" t="s">
        <v>870</v>
      </c>
      <c r="K452" s="41"/>
    </row>
    <row r="453" spans="2:11" x14ac:dyDescent="0.2">
      <c r="B453" s="38"/>
      <c r="C453" s="40" t="s">
        <v>261</v>
      </c>
      <c r="D453" s="40"/>
      <c r="E453" s="40"/>
      <c r="F453" s="40"/>
      <c r="G453" s="40"/>
      <c r="H453" s="40"/>
      <c r="I453" s="40"/>
      <c r="J453" s="248">
        <f>IF(J452=$B$973,$A$973,IF(J452=$B$974,$A$974,IF(J452=$B$975,$A$975,IF(J452=$B$976,$A$976,IF(J452=$B$977,$A$977,"Not Calculated")))))</f>
        <v>0</v>
      </c>
      <c r="K453" s="41"/>
    </row>
    <row r="454" spans="2:11" x14ac:dyDescent="0.2">
      <c r="B454" s="38"/>
      <c r="C454" s="40" t="s">
        <v>893</v>
      </c>
      <c r="D454" s="40"/>
      <c r="E454" s="40"/>
      <c r="F454" s="40"/>
      <c r="G454" s="40"/>
      <c r="H454" s="40"/>
      <c r="I454" s="40"/>
      <c r="J454" s="40"/>
      <c r="K454" s="41"/>
    </row>
    <row r="455" spans="2:11" ht="15" customHeight="1" x14ac:dyDescent="0.2">
      <c r="B455" s="38"/>
      <c r="C455" s="399"/>
      <c r="D455" s="400"/>
      <c r="E455" s="400"/>
      <c r="F455" s="400"/>
      <c r="G455" s="400"/>
      <c r="H455" s="400"/>
      <c r="I455" s="400"/>
      <c r="J455" s="401"/>
      <c r="K455" s="41"/>
    </row>
    <row r="456" spans="2:11" x14ac:dyDescent="0.2">
      <c r="B456" s="38"/>
      <c r="C456" s="40"/>
      <c r="D456" s="40"/>
      <c r="E456" s="40"/>
      <c r="F456" s="40"/>
      <c r="G456" s="40"/>
      <c r="H456" s="40"/>
      <c r="I456" s="40"/>
      <c r="J456" s="40"/>
      <c r="K456" s="41"/>
    </row>
    <row r="457" spans="2:11" x14ac:dyDescent="0.2">
      <c r="B457" s="38"/>
      <c r="C457" s="179" t="s">
        <v>304</v>
      </c>
      <c r="D457" s="40"/>
      <c r="E457" s="40"/>
      <c r="F457" s="40"/>
      <c r="G457" s="40"/>
      <c r="H457" s="40"/>
      <c r="I457" s="40"/>
      <c r="J457" s="245">
        <f>IF(OR(J446="Not Calculated",J453="Not Calculated")=TRUE,"Not Calculated",AVERAGE(J446,J453))</f>
        <v>0</v>
      </c>
      <c r="K457" s="41"/>
    </row>
    <row r="458" spans="2:11" x14ac:dyDescent="0.2">
      <c r="B458" s="38"/>
      <c r="C458" s="40"/>
      <c r="D458" s="40"/>
      <c r="E458" s="40"/>
      <c r="F458" s="40"/>
      <c r="G458" s="40"/>
      <c r="H458" s="40"/>
      <c r="I458" s="40"/>
      <c r="J458" s="40"/>
      <c r="K458" s="41"/>
    </row>
    <row r="459" spans="2:11" x14ac:dyDescent="0.2">
      <c r="B459" s="38"/>
      <c r="C459" s="40"/>
      <c r="D459" s="40"/>
      <c r="E459" s="40"/>
      <c r="F459" s="40"/>
      <c r="G459" s="40"/>
      <c r="H459" s="40"/>
      <c r="I459" s="40"/>
      <c r="J459" s="40"/>
      <c r="K459" s="41"/>
    </row>
    <row r="460" spans="2:11" ht="16" x14ac:dyDescent="0.2">
      <c r="B460" s="38"/>
      <c r="C460" s="45" t="s">
        <v>306</v>
      </c>
      <c r="D460" s="40"/>
      <c r="E460" s="40"/>
      <c r="F460" s="40"/>
      <c r="G460" s="40"/>
      <c r="H460" s="40"/>
      <c r="I460" s="40"/>
      <c r="J460" s="40"/>
      <c r="K460" s="41"/>
    </row>
    <row r="461" spans="2:11" x14ac:dyDescent="0.2">
      <c r="B461" s="38"/>
      <c r="C461" s="40" t="s">
        <v>949</v>
      </c>
      <c r="D461" s="40"/>
      <c r="E461" s="40"/>
      <c r="F461" s="40"/>
      <c r="G461" s="40"/>
      <c r="H461" s="40"/>
      <c r="I461" s="40"/>
      <c r="J461" s="270">
        <v>0</v>
      </c>
      <c r="K461" s="41"/>
    </row>
    <row r="462" spans="2:11" x14ac:dyDescent="0.2">
      <c r="B462" s="38"/>
      <c r="C462" s="40" t="s">
        <v>260</v>
      </c>
      <c r="D462" s="40"/>
      <c r="E462" s="40"/>
      <c r="F462" s="40"/>
      <c r="G462" s="40"/>
      <c r="H462" s="40"/>
      <c r="I462" s="40"/>
      <c r="J462" s="248">
        <f>IF(J461&lt;=0,0,IF(J461&lt;=1,1,IF(J461&lt;=5,2,IF(J461&lt;=10,3,4))))</f>
        <v>0</v>
      </c>
      <c r="K462" s="41"/>
    </row>
    <row r="463" spans="2:11" ht="9.75" customHeight="1" x14ac:dyDescent="0.2">
      <c r="B463" s="38"/>
      <c r="C463" s="279" t="str">
        <f>"0:"</f>
        <v>0:</v>
      </c>
      <c r="D463" s="290" t="s">
        <v>944</v>
      </c>
      <c r="E463" s="40"/>
      <c r="F463" s="40"/>
      <c r="G463" s="40"/>
      <c r="H463" s="40"/>
      <c r="I463" s="40"/>
      <c r="J463" s="245"/>
      <c r="K463" s="41"/>
    </row>
    <row r="464" spans="2:11" ht="9.75" customHeight="1" x14ac:dyDescent="0.2">
      <c r="B464" s="38"/>
      <c r="C464" s="280" t="str">
        <f>"1:"</f>
        <v>1:</v>
      </c>
      <c r="D464" s="290" t="s">
        <v>945</v>
      </c>
      <c r="E464" s="40"/>
      <c r="F464" s="40"/>
      <c r="G464" s="40"/>
      <c r="H464" s="40"/>
      <c r="I464" s="40"/>
      <c r="J464" s="245"/>
      <c r="K464" s="41"/>
    </row>
    <row r="465" spans="2:11" ht="9.75" customHeight="1" x14ac:dyDescent="0.2">
      <c r="B465" s="38"/>
      <c r="C465" s="280" t="str">
        <f>"2:"</f>
        <v>2:</v>
      </c>
      <c r="D465" s="290" t="s">
        <v>946</v>
      </c>
      <c r="E465" s="40"/>
      <c r="F465" s="40"/>
      <c r="G465" s="40"/>
      <c r="H465" s="40"/>
      <c r="I465" s="40"/>
      <c r="J465" s="245"/>
      <c r="K465" s="41"/>
    </row>
    <row r="466" spans="2:11" ht="9.75" customHeight="1" x14ac:dyDescent="0.2">
      <c r="B466" s="38"/>
      <c r="C466" s="280" t="str">
        <f>"3:"</f>
        <v>3:</v>
      </c>
      <c r="D466" s="290" t="s">
        <v>947</v>
      </c>
      <c r="E466" s="40"/>
      <c r="F466" s="40"/>
      <c r="G466" s="40"/>
      <c r="H466" s="40"/>
      <c r="I466" s="40"/>
      <c r="J466" s="245"/>
      <c r="K466" s="41"/>
    </row>
    <row r="467" spans="2:11" ht="9.75" customHeight="1" x14ac:dyDescent="0.2">
      <c r="B467" s="38"/>
      <c r="C467" s="280" t="str">
        <f>"4:"</f>
        <v>4:</v>
      </c>
      <c r="D467" s="290" t="s">
        <v>948</v>
      </c>
      <c r="E467" s="40"/>
      <c r="F467" s="40"/>
      <c r="G467" s="40"/>
      <c r="H467" s="40"/>
      <c r="I467" s="40"/>
      <c r="J467" s="247"/>
      <c r="K467" s="41"/>
    </row>
    <row r="468" spans="2:11" x14ac:dyDescent="0.2">
      <c r="B468" s="38"/>
      <c r="C468" s="40" t="s">
        <v>257</v>
      </c>
      <c r="D468" s="40"/>
      <c r="E468" s="40"/>
      <c r="F468" s="40"/>
      <c r="G468" s="40"/>
      <c r="H468" s="40"/>
      <c r="I468" s="40"/>
      <c r="J468" s="266" t="s">
        <v>870</v>
      </c>
      <c r="K468" s="41"/>
    </row>
    <row r="469" spans="2:11" x14ac:dyDescent="0.2">
      <c r="B469" s="38"/>
      <c r="C469" s="40" t="s">
        <v>261</v>
      </c>
      <c r="D469" s="40"/>
      <c r="E469" s="40"/>
      <c r="F469" s="40"/>
      <c r="G469" s="40"/>
      <c r="H469" s="40"/>
      <c r="I469" s="40"/>
      <c r="J469" s="248">
        <f>IF(J468=$B$973,$A$973,IF(J468=$B$974,$A$974,IF(J468=$B$975,$A$975,IF(J468=$B$976,$A$976,IF(J468=$B$977,$A$977,"Not Calculated")))))</f>
        <v>0</v>
      </c>
      <c r="K469" s="41"/>
    </row>
    <row r="470" spans="2:11" x14ac:dyDescent="0.2">
      <c r="B470" s="38"/>
      <c r="C470" s="40" t="s">
        <v>893</v>
      </c>
      <c r="D470" s="40"/>
      <c r="E470" s="40"/>
      <c r="F470" s="40"/>
      <c r="G470" s="40"/>
      <c r="H470" s="40"/>
      <c r="I470" s="40"/>
      <c r="J470" s="40"/>
      <c r="K470" s="41"/>
    </row>
    <row r="471" spans="2:11" ht="15" customHeight="1" x14ac:dyDescent="0.2">
      <c r="B471" s="38"/>
      <c r="C471" s="399"/>
      <c r="D471" s="400"/>
      <c r="E471" s="400"/>
      <c r="F471" s="400"/>
      <c r="G471" s="400"/>
      <c r="H471" s="400"/>
      <c r="I471" s="400"/>
      <c r="J471" s="401"/>
      <c r="K471" s="41"/>
    </row>
    <row r="472" spans="2:11" x14ac:dyDescent="0.2">
      <c r="B472" s="38"/>
      <c r="C472" s="40"/>
      <c r="D472" s="40"/>
      <c r="E472" s="40"/>
      <c r="F472" s="40"/>
      <c r="G472" s="40"/>
      <c r="H472" s="40"/>
      <c r="I472" s="40"/>
      <c r="J472" s="40"/>
      <c r="K472" s="41"/>
    </row>
    <row r="473" spans="2:11" x14ac:dyDescent="0.2">
      <c r="B473" s="38"/>
      <c r="C473" s="179" t="s">
        <v>307</v>
      </c>
      <c r="D473" s="40"/>
      <c r="E473" s="40"/>
      <c r="F473" s="40"/>
      <c r="G473" s="40"/>
      <c r="H473" s="40"/>
      <c r="I473" s="40"/>
      <c r="J473" s="245">
        <f>IF(OR(J462="Not Calculated",J469="Not Calculated")=TRUE,"Not Calculated",AVERAGE(J462,J469))</f>
        <v>0</v>
      </c>
      <c r="K473" s="41"/>
    </row>
    <row r="474" spans="2:11" x14ac:dyDescent="0.2">
      <c r="B474" s="38"/>
      <c r="C474" s="40"/>
      <c r="D474" s="40"/>
      <c r="E474" s="40"/>
      <c r="F474" s="40"/>
      <c r="G474" s="40"/>
      <c r="H474" s="40"/>
      <c r="I474" s="40"/>
      <c r="J474" s="40"/>
      <c r="K474" s="41"/>
    </row>
    <row r="475" spans="2:11" x14ac:dyDescent="0.2">
      <c r="B475" s="38"/>
      <c r="C475" s="40"/>
      <c r="D475" s="40"/>
      <c r="E475" s="40"/>
      <c r="F475" s="40"/>
      <c r="G475" s="40"/>
      <c r="H475" s="40"/>
      <c r="I475" s="40"/>
      <c r="J475" s="40"/>
      <c r="K475" s="41"/>
    </row>
    <row r="476" spans="2:11" ht="16" x14ac:dyDescent="0.2">
      <c r="B476" s="38"/>
      <c r="C476" s="45" t="s">
        <v>308</v>
      </c>
      <c r="D476" s="40"/>
      <c r="E476" s="40"/>
      <c r="F476" s="40"/>
      <c r="G476" s="40"/>
      <c r="H476" s="40"/>
      <c r="I476" s="40"/>
      <c r="J476" s="40"/>
      <c r="K476" s="41"/>
    </row>
    <row r="477" spans="2:11" ht="15" customHeight="1" x14ac:dyDescent="0.2">
      <c r="B477" s="38"/>
      <c r="C477" s="380" t="s">
        <v>310</v>
      </c>
      <c r="D477" s="380"/>
      <c r="E477" s="380"/>
      <c r="F477" s="380"/>
      <c r="G477" s="380"/>
      <c r="H477" s="380"/>
      <c r="I477" s="380"/>
      <c r="J477" s="40"/>
      <c r="K477" s="41"/>
    </row>
    <row r="478" spans="2:11" x14ac:dyDescent="0.2">
      <c r="B478" s="38"/>
      <c r="C478" s="380"/>
      <c r="D478" s="380"/>
      <c r="E478" s="380"/>
      <c r="F478" s="380"/>
      <c r="G478" s="380"/>
      <c r="H478" s="380"/>
      <c r="I478" s="380"/>
      <c r="J478" s="131">
        <v>0</v>
      </c>
      <c r="K478" s="41"/>
    </row>
    <row r="479" spans="2:11" x14ac:dyDescent="0.2">
      <c r="B479" s="38"/>
      <c r="C479" s="40" t="s">
        <v>261</v>
      </c>
      <c r="D479" s="40"/>
      <c r="E479" s="40"/>
      <c r="F479" s="40"/>
      <c r="G479" s="40"/>
      <c r="H479" s="40"/>
      <c r="I479" s="40"/>
      <c r="J479" s="248">
        <f>IF(J478&lt;=0,0,IF(J478&lt;=1,1,IF(J478&lt;=7,2,IF(J478&lt;=14,3,4))))</f>
        <v>0</v>
      </c>
      <c r="K479" s="41"/>
    </row>
    <row r="480" spans="2:11" s="51" customFormat="1" ht="9.75" customHeight="1" x14ac:dyDescent="0.2">
      <c r="B480" s="283"/>
      <c r="C480" s="279" t="str">
        <f>"0:"</f>
        <v>0:</v>
      </c>
      <c r="D480" s="284" t="s">
        <v>950</v>
      </c>
      <c r="E480" s="285"/>
      <c r="F480" s="285"/>
      <c r="G480" s="285"/>
      <c r="H480" s="285"/>
      <c r="I480" s="285"/>
      <c r="J480" s="43"/>
      <c r="K480" s="286"/>
    </row>
    <row r="481" spans="2:11" s="51" customFormat="1" ht="9.75" customHeight="1" x14ac:dyDescent="0.2">
      <c r="B481" s="283"/>
      <c r="C481" s="280" t="str">
        <f>"1:"</f>
        <v>1:</v>
      </c>
      <c r="D481" s="284" t="s">
        <v>951</v>
      </c>
      <c r="E481" s="285"/>
      <c r="F481" s="285"/>
      <c r="G481" s="285"/>
      <c r="H481" s="285"/>
      <c r="I481" s="285"/>
      <c r="J481" s="43"/>
      <c r="K481" s="286"/>
    </row>
    <row r="482" spans="2:11" s="51" customFormat="1" ht="9.75" customHeight="1" x14ac:dyDescent="0.2">
      <c r="B482" s="283"/>
      <c r="C482" s="280" t="str">
        <f>"2:"</f>
        <v>2:</v>
      </c>
      <c r="D482" s="284" t="s">
        <v>952</v>
      </c>
      <c r="E482" s="285"/>
      <c r="F482" s="285"/>
      <c r="G482" s="285"/>
      <c r="H482" s="285"/>
      <c r="I482" s="285"/>
      <c r="J482" s="43"/>
      <c r="K482" s="286"/>
    </row>
    <row r="483" spans="2:11" s="51" customFormat="1" ht="9.75" customHeight="1" x14ac:dyDescent="0.2">
      <c r="B483" s="283"/>
      <c r="C483" s="280" t="str">
        <f>"3:"</f>
        <v>3:</v>
      </c>
      <c r="D483" s="284" t="s">
        <v>953</v>
      </c>
      <c r="E483" s="285"/>
      <c r="F483" s="285"/>
      <c r="G483" s="285"/>
      <c r="H483" s="285"/>
      <c r="I483" s="285"/>
      <c r="J483" s="43"/>
      <c r="K483" s="286"/>
    </row>
    <row r="484" spans="2:11" s="51" customFormat="1" ht="9.75" customHeight="1" x14ac:dyDescent="0.2">
      <c r="B484" s="283"/>
      <c r="C484" s="280" t="str">
        <f>"4:"</f>
        <v>4:</v>
      </c>
      <c r="D484" s="284" t="s">
        <v>954</v>
      </c>
      <c r="E484" s="285"/>
      <c r="F484" s="285"/>
      <c r="G484" s="285"/>
      <c r="H484" s="285"/>
      <c r="I484" s="285"/>
      <c r="J484" s="43"/>
      <c r="K484" s="286"/>
    </row>
    <row r="485" spans="2:11" x14ac:dyDescent="0.2">
      <c r="B485" s="38"/>
      <c r="C485" s="40" t="s">
        <v>893</v>
      </c>
      <c r="D485" s="40"/>
      <c r="E485" s="40"/>
      <c r="F485" s="40"/>
      <c r="G485" s="40"/>
      <c r="H485" s="40"/>
      <c r="I485" s="40"/>
      <c r="J485" s="40"/>
      <c r="K485" s="41"/>
    </row>
    <row r="486" spans="2:11" ht="15" customHeight="1" x14ac:dyDescent="0.2">
      <c r="B486" s="38"/>
      <c r="C486" s="399"/>
      <c r="D486" s="400"/>
      <c r="E486" s="400"/>
      <c r="F486" s="400"/>
      <c r="G486" s="400"/>
      <c r="H486" s="400"/>
      <c r="I486" s="400"/>
      <c r="J486" s="401"/>
      <c r="K486" s="41"/>
    </row>
    <row r="487" spans="2:11" x14ac:dyDescent="0.2">
      <c r="B487" s="38"/>
      <c r="C487" s="40"/>
      <c r="D487" s="40"/>
      <c r="E487" s="40"/>
      <c r="F487" s="40"/>
      <c r="G487" s="40"/>
      <c r="H487" s="40"/>
      <c r="I487" s="40"/>
      <c r="J487" s="40"/>
      <c r="K487" s="41"/>
    </row>
    <row r="488" spans="2:11" x14ac:dyDescent="0.2">
      <c r="B488" s="38"/>
      <c r="C488" s="179" t="s">
        <v>309</v>
      </c>
      <c r="D488" s="40"/>
      <c r="E488" s="40"/>
      <c r="F488" s="40"/>
      <c r="G488" s="40"/>
      <c r="H488" s="40"/>
      <c r="I488" s="40"/>
      <c r="J488" s="245">
        <f>J479</f>
        <v>0</v>
      </c>
      <c r="K488" s="41"/>
    </row>
    <row r="489" spans="2:11" x14ac:dyDescent="0.2">
      <c r="B489" s="38"/>
      <c r="C489" s="40"/>
      <c r="D489" s="40"/>
      <c r="E489" s="40"/>
      <c r="F489" s="40"/>
      <c r="G489" s="40"/>
      <c r="H489" s="40"/>
      <c r="I489" s="40"/>
      <c r="J489" s="40"/>
      <c r="K489" s="41"/>
    </row>
    <row r="490" spans="2:11" x14ac:dyDescent="0.2">
      <c r="B490" s="38"/>
      <c r="C490" s="40"/>
      <c r="D490" s="40"/>
      <c r="E490" s="40"/>
      <c r="F490" s="40"/>
      <c r="G490" s="40"/>
      <c r="H490" s="40"/>
      <c r="I490" s="40"/>
      <c r="J490" s="40"/>
      <c r="K490" s="41"/>
    </row>
    <row r="491" spans="2:11" ht="16" x14ac:dyDescent="0.2">
      <c r="B491" s="38"/>
      <c r="C491" s="45" t="s">
        <v>311</v>
      </c>
      <c r="D491" s="40"/>
      <c r="E491" s="40"/>
      <c r="F491" s="40"/>
      <c r="G491" s="40"/>
      <c r="H491" s="40"/>
      <c r="I491" s="40"/>
      <c r="J491" s="40"/>
      <c r="K491" s="41"/>
    </row>
    <row r="492" spans="2:11" x14ac:dyDescent="0.2">
      <c r="B492" s="38"/>
      <c r="C492" s="40" t="s">
        <v>312</v>
      </c>
      <c r="D492" s="40"/>
      <c r="E492" s="40"/>
      <c r="F492" s="40"/>
      <c r="G492" s="40"/>
      <c r="H492" s="40"/>
      <c r="I492" s="40"/>
      <c r="J492" s="270">
        <v>0</v>
      </c>
      <c r="K492" s="41"/>
    </row>
    <row r="493" spans="2:11" x14ac:dyDescent="0.2">
      <c r="B493" s="38"/>
      <c r="C493" s="40" t="s">
        <v>260</v>
      </c>
      <c r="D493" s="40"/>
      <c r="E493" s="40"/>
      <c r="F493" s="40"/>
      <c r="G493" s="40"/>
      <c r="H493" s="40"/>
      <c r="I493" s="40"/>
      <c r="J493" s="248">
        <f>IF(J492&lt;=0,0,IF(J492&lt;=1,1,IF(J492&lt;=5,2,IF(J492&lt;=10,3,4))))</f>
        <v>0</v>
      </c>
      <c r="K493" s="41"/>
    </row>
    <row r="494" spans="2:11" ht="9.75" customHeight="1" x14ac:dyDescent="0.2">
      <c r="B494" s="38"/>
      <c r="C494" s="279" t="str">
        <f>"0:"</f>
        <v>0:</v>
      </c>
      <c r="D494" s="290" t="s">
        <v>955</v>
      </c>
      <c r="E494" s="40"/>
      <c r="F494" s="40"/>
      <c r="G494" s="40"/>
      <c r="H494" s="40"/>
      <c r="I494" s="40"/>
      <c r="J494" s="245"/>
      <c r="K494" s="41"/>
    </row>
    <row r="495" spans="2:11" ht="9.75" customHeight="1" x14ac:dyDescent="0.2">
      <c r="B495" s="38"/>
      <c r="C495" s="280" t="str">
        <f>"1:"</f>
        <v>1:</v>
      </c>
      <c r="D495" s="290" t="s">
        <v>956</v>
      </c>
      <c r="E495" s="40"/>
      <c r="F495" s="40"/>
      <c r="G495" s="40"/>
      <c r="H495" s="40"/>
      <c r="I495" s="40"/>
      <c r="J495" s="245"/>
      <c r="K495" s="41"/>
    </row>
    <row r="496" spans="2:11" ht="9.75" customHeight="1" x14ac:dyDescent="0.2">
      <c r="B496" s="38"/>
      <c r="C496" s="280" t="str">
        <f>"2:"</f>
        <v>2:</v>
      </c>
      <c r="D496" s="290" t="s">
        <v>957</v>
      </c>
      <c r="E496" s="40"/>
      <c r="F496" s="40"/>
      <c r="G496" s="40"/>
      <c r="H496" s="40"/>
      <c r="I496" s="40"/>
      <c r="J496" s="245"/>
      <c r="K496" s="41"/>
    </row>
    <row r="497" spans="2:11" ht="9.75" customHeight="1" x14ac:dyDescent="0.2">
      <c r="B497" s="38"/>
      <c r="C497" s="280" t="str">
        <f>"3:"</f>
        <v>3:</v>
      </c>
      <c r="D497" s="290" t="s">
        <v>958</v>
      </c>
      <c r="E497" s="40"/>
      <c r="F497" s="40"/>
      <c r="G497" s="40"/>
      <c r="H497" s="40"/>
      <c r="I497" s="40"/>
      <c r="J497" s="245"/>
      <c r="K497" s="41"/>
    </row>
    <row r="498" spans="2:11" ht="9.75" customHeight="1" x14ac:dyDescent="0.2">
      <c r="B498" s="38"/>
      <c r="C498" s="280" t="str">
        <f>"4:"</f>
        <v>4:</v>
      </c>
      <c r="D498" s="290" t="s">
        <v>959</v>
      </c>
      <c r="E498" s="40"/>
      <c r="F498" s="40"/>
      <c r="G498" s="40"/>
      <c r="H498" s="40"/>
      <c r="I498" s="40"/>
      <c r="J498" s="247"/>
      <c r="K498" s="41"/>
    </row>
    <row r="499" spans="2:11" x14ac:dyDescent="0.2">
      <c r="B499" s="38"/>
      <c r="C499" s="40" t="s">
        <v>313</v>
      </c>
      <c r="D499" s="40"/>
      <c r="E499" s="40"/>
      <c r="F499" s="40"/>
      <c r="G499" s="40"/>
      <c r="H499" s="40"/>
      <c r="I499" s="40"/>
      <c r="J499" s="266" t="s">
        <v>870</v>
      </c>
      <c r="K499" s="41"/>
    </row>
    <row r="500" spans="2:11" x14ac:dyDescent="0.2">
      <c r="B500" s="38"/>
      <c r="C500" s="40" t="s">
        <v>261</v>
      </c>
      <c r="D500" s="40"/>
      <c r="E500" s="40"/>
      <c r="F500" s="40"/>
      <c r="G500" s="40"/>
      <c r="H500" s="40"/>
      <c r="I500" s="40"/>
      <c r="J500" s="248">
        <f>IF(J499=$B$973,$A$973,IF(J499=$B$974,$A$974,IF(J499=$B$975,$A$975,IF(J499=$B$976,$A$976,IF(J499=$B$977,$A$977,"Not Calculated")))))</f>
        <v>0</v>
      </c>
      <c r="K500" s="41"/>
    </row>
    <row r="501" spans="2:11" x14ac:dyDescent="0.2">
      <c r="B501" s="38"/>
      <c r="C501" s="40" t="s">
        <v>893</v>
      </c>
      <c r="D501" s="40"/>
      <c r="E501" s="40"/>
      <c r="F501" s="40"/>
      <c r="G501" s="40"/>
      <c r="H501" s="40"/>
      <c r="I501" s="40"/>
      <c r="J501" s="40"/>
      <c r="K501" s="41"/>
    </row>
    <row r="502" spans="2:11" ht="15" customHeight="1" x14ac:dyDescent="0.2">
      <c r="B502" s="38"/>
      <c r="C502" s="399"/>
      <c r="D502" s="400"/>
      <c r="E502" s="400"/>
      <c r="F502" s="400"/>
      <c r="G502" s="400"/>
      <c r="H502" s="400"/>
      <c r="I502" s="400"/>
      <c r="J502" s="401"/>
      <c r="K502" s="41"/>
    </row>
    <row r="503" spans="2:11" x14ac:dyDescent="0.2">
      <c r="B503" s="38"/>
      <c r="C503" s="40"/>
      <c r="D503" s="40"/>
      <c r="E503" s="40"/>
      <c r="F503" s="40"/>
      <c r="G503" s="40"/>
      <c r="H503" s="40"/>
      <c r="I503" s="40"/>
      <c r="J503" s="40"/>
      <c r="K503" s="41"/>
    </row>
    <row r="504" spans="2:11" x14ac:dyDescent="0.2">
      <c r="B504" s="38"/>
      <c r="C504" s="179" t="s">
        <v>321</v>
      </c>
      <c r="D504" s="40"/>
      <c r="E504" s="40"/>
      <c r="F504" s="40"/>
      <c r="G504" s="40"/>
      <c r="H504" s="40"/>
      <c r="I504" s="40"/>
      <c r="J504" s="245">
        <f>IF(OR(J493="Not Calculated",J500="Not Calculated")=TRUE,"Not Calculated",AVERAGE(J493,J500))</f>
        <v>0</v>
      </c>
      <c r="K504" s="41"/>
    </row>
    <row r="505" spans="2:11" x14ac:dyDescent="0.2">
      <c r="B505" s="38"/>
      <c r="C505" s="40"/>
      <c r="D505" s="40"/>
      <c r="E505" s="40"/>
      <c r="F505" s="40"/>
      <c r="G505" s="40"/>
      <c r="H505" s="40"/>
      <c r="I505" s="40"/>
      <c r="J505" s="40"/>
      <c r="K505" s="41"/>
    </row>
    <row r="506" spans="2:11" x14ac:dyDescent="0.2">
      <c r="B506" s="38"/>
      <c r="C506" s="40"/>
      <c r="D506" s="40"/>
      <c r="E506" s="40"/>
      <c r="F506" s="40"/>
      <c r="G506" s="40"/>
      <c r="H506" s="40"/>
      <c r="I506" s="40"/>
      <c r="J506" s="40"/>
      <c r="K506" s="41"/>
    </row>
    <row r="507" spans="2:11" ht="16" x14ac:dyDescent="0.2">
      <c r="B507" s="38"/>
      <c r="C507" s="45" t="s">
        <v>314</v>
      </c>
      <c r="D507" s="40"/>
      <c r="E507" s="40"/>
      <c r="F507" s="40"/>
      <c r="G507" s="40"/>
      <c r="H507" s="40"/>
      <c r="I507" s="40"/>
      <c r="J507" s="40"/>
      <c r="K507" s="41"/>
    </row>
    <row r="508" spans="2:11" x14ac:dyDescent="0.2">
      <c r="B508" s="38"/>
      <c r="C508" s="40" t="s">
        <v>316</v>
      </c>
      <c r="D508" s="40"/>
      <c r="E508" s="40"/>
      <c r="F508" s="40"/>
      <c r="G508" s="40"/>
      <c r="H508" s="40"/>
      <c r="I508" s="40"/>
      <c r="J508" s="269">
        <f>'Community Characteristics'!H105</f>
        <v>0</v>
      </c>
      <c r="K508" s="41"/>
    </row>
    <row r="509" spans="2:11" x14ac:dyDescent="0.2">
      <c r="B509" s="38"/>
      <c r="C509" s="40" t="s">
        <v>260</v>
      </c>
      <c r="D509" s="40"/>
      <c r="E509" s="40"/>
      <c r="F509" s="40"/>
      <c r="G509" s="40"/>
      <c r="H509" s="40"/>
      <c r="I509" s="40"/>
      <c r="J509" s="248">
        <f>IF(J508&lt;=0,0,IF(J508&lt;=1000,1,IF(J508&lt;=5000,2,IF(J508&lt;=25000,3,4))))</f>
        <v>0</v>
      </c>
      <c r="K509" s="41"/>
    </row>
    <row r="510" spans="2:11" s="51" customFormat="1" ht="9.75" customHeight="1" x14ac:dyDescent="0.2">
      <c r="B510" s="283"/>
      <c r="C510" s="279" t="str">
        <f>"0:"</f>
        <v>0:</v>
      </c>
      <c r="D510" s="284" t="s">
        <v>960</v>
      </c>
      <c r="E510" s="285"/>
      <c r="F510" s="285"/>
      <c r="G510" s="285"/>
      <c r="H510" s="285"/>
      <c r="I510" s="285"/>
      <c r="J510" s="43"/>
      <c r="K510" s="286"/>
    </row>
    <row r="511" spans="2:11" s="51" customFormat="1" ht="9.75" customHeight="1" x14ac:dyDescent="0.2">
      <c r="B511" s="283"/>
      <c r="C511" s="280" t="str">
        <f>"1:"</f>
        <v>1:</v>
      </c>
      <c r="D511" s="284" t="s">
        <v>961</v>
      </c>
      <c r="E511" s="285"/>
      <c r="F511" s="285"/>
      <c r="G511" s="285"/>
      <c r="H511" s="285"/>
      <c r="I511" s="285"/>
      <c r="J511" s="43"/>
      <c r="K511" s="286"/>
    </row>
    <row r="512" spans="2:11" s="51" customFormat="1" ht="9.75" customHeight="1" x14ac:dyDescent="0.2">
      <c r="B512" s="283"/>
      <c r="C512" s="280" t="str">
        <f>"2:"</f>
        <v>2:</v>
      </c>
      <c r="D512" s="284" t="s">
        <v>962</v>
      </c>
      <c r="E512" s="285"/>
      <c r="F512" s="285"/>
      <c r="G512" s="285"/>
      <c r="H512" s="285"/>
      <c r="I512" s="285"/>
      <c r="J512" s="43"/>
      <c r="K512" s="286"/>
    </row>
    <row r="513" spans="2:11" s="51" customFormat="1" ht="9.75" customHeight="1" x14ac:dyDescent="0.2">
      <c r="B513" s="283"/>
      <c r="C513" s="280" t="str">
        <f>"3:"</f>
        <v>3:</v>
      </c>
      <c r="D513" s="284" t="s">
        <v>963</v>
      </c>
      <c r="E513" s="285"/>
      <c r="F513" s="285"/>
      <c r="G513" s="285"/>
      <c r="H513" s="285"/>
      <c r="I513" s="285"/>
      <c r="J513" s="43"/>
      <c r="K513" s="286"/>
    </row>
    <row r="514" spans="2:11" s="51" customFormat="1" ht="9.75" customHeight="1" x14ac:dyDescent="0.2">
      <c r="B514" s="283"/>
      <c r="C514" s="280" t="str">
        <f>"4:"</f>
        <v>4:</v>
      </c>
      <c r="D514" s="284" t="s">
        <v>964</v>
      </c>
      <c r="E514" s="285"/>
      <c r="F514" s="285"/>
      <c r="G514" s="285"/>
      <c r="H514" s="285"/>
      <c r="I514" s="285"/>
      <c r="J514" s="287"/>
      <c r="K514" s="286"/>
    </row>
    <row r="515" spans="2:11" x14ac:dyDescent="0.2">
      <c r="B515" s="38"/>
      <c r="C515" s="40" t="s">
        <v>315</v>
      </c>
      <c r="D515" s="40"/>
      <c r="E515" s="40"/>
      <c r="F515" s="40"/>
      <c r="G515" s="40"/>
      <c r="H515" s="40"/>
      <c r="I515" s="40"/>
      <c r="J515" s="266" t="s">
        <v>879</v>
      </c>
      <c r="K515" s="41"/>
    </row>
    <row r="516" spans="2:11" x14ac:dyDescent="0.2">
      <c r="B516" s="38"/>
      <c r="C516" s="40" t="s">
        <v>261</v>
      </c>
      <c r="D516" s="40"/>
      <c r="E516" s="40"/>
      <c r="F516" s="40"/>
      <c r="G516" s="40"/>
      <c r="H516" s="40"/>
      <c r="I516" s="40"/>
      <c r="J516" s="248">
        <f>IF(J515=$B$973,$A$973,IF(J515=$B$974,$A$974,IF(J515=$B$975,$A$975,IF(J515=$B$976,$A$976,IF(J515=$B$977,$A$977,"Not Calculated")))))</f>
        <v>1</v>
      </c>
      <c r="K516" s="41"/>
    </row>
    <row r="517" spans="2:11" x14ac:dyDescent="0.2">
      <c r="B517" s="38"/>
      <c r="C517" s="40" t="s">
        <v>893</v>
      </c>
      <c r="D517" s="40"/>
      <c r="E517" s="40"/>
      <c r="F517" s="40"/>
      <c r="G517" s="40"/>
      <c r="H517" s="40"/>
      <c r="I517" s="40"/>
      <c r="J517" s="40"/>
      <c r="K517" s="41"/>
    </row>
    <row r="518" spans="2:11" ht="60" customHeight="1" x14ac:dyDescent="0.2">
      <c r="B518" s="38"/>
      <c r="C518" s="399" t="s">
        <v>361</v>
      </c>
      <c r="D518" s="400"/>
      <c r="E518" s="400"/>
      <c r="F518" s="400"/>
      <c r="G518" s="400"/>
      <c r="H518" s="400"/>
      <c r="I518" s="400"/>
      <c r="J518" s="401"/>
      <c r="K518" s="41"/>
    </row>
    <row r="519" spans="2:11" x14ac:dyDescent="0.2">
      <c r="B519" s="38"/>
      <c r="C519" s="40"/>
      <c r="D519" s="40"/>
      <c r="E519" s="40"/>
      <c r="F519" s="40"/>
      <c r="G519" s="40"/>
      <c r="H519" s="40"/>
      <c r="I519" s="40"/>
      <c r="J519" s="40"/>
      <c r="K519" s="41"/>
    </row>
    <row r="520" spans="2:11" x14ac:dyDescent="0.2">
      <c r="B520" s="38"/>
      <c r="C520" s="179" t="s">
        <v>320</v>
      </c>
      <c r="D520" s="40"/>
      <c r="E520" s="40"/>
      <c r="F520" s="40"/>
      <c r="G520" s="40"/>
      <c r="H520" s="40"/>
      <c r="I520" s="40"/>
      <c r="J520" s="245">
        <f>IF(OR(J509="Not Calculated",J516="Not Calculated")=TRUE,"Not Calculated",AVERAGE(J509,J516))</f>
        <v>0.5</v>
      </c>
      <c r="K520" s="41"/>
    </row>
    <row r="521" spans="2:11" x14ac:dyDescent="0.2">
      <c r="B521" s="38"/>
      <c r="C521" s="40"/>
      <c r="D521" s="40"/>
      <c r="E521" s="40"/>
      <c r="F521" s="40"/>
      <c r="G521" s="40"/>
      <c r="H521" s="40"/>
      <c r="I521" s="40"/>
      <c r="J521" s="40"/>
      <c r="K521" s="41"/>
    </row>
    <row r="522" spans="2:11" x14ac:dyDescent="0.2">
      <c r="B522" s="38"/>
      <c r="C522" s="40"/>
      <c r="D522" s="40"/>
      <c r="E522" s="40"/>
      <c r="F522" s="40"/>
      <c r="G522" s="40"/>
      <c r="H522" s="40"/>
      <c r="I522" s="40"/>
      <c r="J522" s="40"/>
      <c r="K522" s="41"/>
    </row>
    <row r="523" spans="2:11" ht="16" x14ac:dyDescent="0.2">
      <c r="B523" s="38"/>
      <c r="C523" s="45" t="s">
        <v>317</v>
      </c>
      <c r="D523" s="40"/>
      <c r="E523" s="40"/>
      <c r="F523" s="40"/>
      <c r="G523" s="40"/>
      <c r="H523" s="40"/>
      <c r="I523" s="40"/>
      <c r="J523" s="40"/>
      <c r="K523" s="41"/>
    </row>
    <row r="524" spans="2:11" ht="15" customHeight="1" x14ac:dyDescent="0.2">
      <c r="B524" s="38"/>
      <c r="C524" s="380" t="s">
        <v>318</v>
      </c>
      <c r="D524" s="380"/>
      <c r="E524" s="380"/>
      <c r="F524" s="380"/>
      <c r="G524" s="380"/>
      <c r="H524" s="380"/>
      <c r="I524" s="380"/>
      <c r="J524" s="40"/>
      <c r="K524" s="41"/>
    </row>
    <row r="525" spans="2:11" x14ac:dyDescent="0.2">
      <c r="B525" s="38"/>
      <c r="C525" s="380"/>
      <c r="D525" s="380"/>
      <c r="E525" s="380"/>
      <c r="F525" s="380"/>
      <c r="G525" s="380"/>
      <c r="H525" s="380"/>
      <c r="I525" s="380"/>
      <c r="J525" s="274">
        <v>0</v>
      </c>
      <c r="K525" s="41"/>
    </row>
    <row r="526" spans="2:11" x14ac:dyDescent="0.2">
      <c r="B526" s="38"/>
      <c r="C526" s="40" t="s">
        <v>260</v>
      </c>
      <c r="D526" s="40"/>
      <c r="E526" s="40"/>
      <c r="F526" s="40"/>
      <c r="G526" s="40"/>
      <c r="H526" s="40"/>
      <c r="I526" s="40"/>
      <c r="J526" s="248">
        <f>IF(J525&lt;=0,0,IF(J525&lt;=1,1,IF(J525&lt;=5,2,IF(J525&lt;=10,3,4))))</f>
        <v>0</v>
      </c>
      <c r="K526" s="41"/>
    </row>
    <row r="527" spans="2:11" s="51" customFormat="1" ht="9.75" customHeight="1" x14ac:dyDescent="0.2">
      <c r="B527" s="283"/>
      <c r="C527" s="279" t="str">
        <f>"0:"</f>
        <v>0:</v>
      </c>
      <c r="D527" s="284" t="s">
        <v>965</v>
      </c>
      <c r="E527" s="285"/>
      <c r="F527" s="285"/>
      <c r="G527" s="285"/>
      <c r="H527" s="285"/>
      <c r="I527" s="285"/>
      <c r="J527" s="43"/>
      <c r="K527" s="286"/>
    </row>
    <row r="528" spans="2:11" s="51" customFormat="1" ht="9.75" customHeight="1" x14ac:dyDescent="0.2">
      <c r="B528" s="283"/>
      <c r="C528" s="280" t="str">
        <f>"1:"</f>
        <v>1:</v>
      </c>
      <c r="D528" s="284" t="s">
        <v>966</v>
      </c>
      <c r="E528" s="285"/>
      <c r="F528" s="285"/>
      <c r="G528" s="285"/>
      <c r="H528" s="285"/>
      <c r="I528" s="285"/>
      <c r="J528" s="43"/>
      <c r="K528" s="286"/>
    </row>
    <row r="529" spans="2:11" s="51" customFormat="1" ht="9.75" customHeight="1" x14ac:dyDescent="0.2">
      <c r="B529" s="283"/>
      <c r="C529" s="280" t="str">
        <f>"2:"</f>
        <v>2:</v>
      </c>
      <c r="D529" s="284" t="s">
        <v>967</v>
      </c>
      <c r="E529" s="285"/>
      <c r="F529" s="285"/>
      <c r="G529" s="285"/>
      <c r="H529" s="285"/>
      <c r="I529" s="285"/>
      <c r="J529" s="43"/>
      <c r="K529" s="286"/>
    </row>
    <row r="530" spans="2:11" s="51" customFormat="1" ht="9.75" customHeight="1" x14ac:dyDescent="0.2">
      <c r="B530" s="283"/>
      <c r="C530" s="280" t="str">
        <f>"3:"</f>
        <v>3:</v>
      </c>
      <c r="D530" s="284" t="s">
        <v>968</v>
      </c>
      <c r="E530" s="285"/>
      <c r="F530" s="285"/>
      <c r="G530" s="285"/>
      <c r="H530" s="285"/>
      <c r="I530" s="285"/>
      <c r="J530" s="43"/>
      <c r="K530" s="286"/>
    </row>
    <row r="531" spans="2:11" s="51" customFormat="1" ht="9.75" customHeight="1" x14ac:dyDescent="0.2">
      <c r="B531" s="283"/>
      <c r="C531" s="280" t="str">
        <f>"4:"</f>
        <v>4:</v>
      </c>
      <c r="D531" s="284" t="s">
        <v>969</v>
      </c>
      <c r="E531" s="285"/>
      <c r="F531" s="285"/>
      <c r="G531" s="285"/>
      <c r="H531" s="285"/>
      <c r="I531" s="285"/>
      <c r="J531" s="287"/>
      <c r="K531" s="286"/>
    </row>
    <row r="532" spans="2:11" x14ac:dyDescent="0.2">
      <c r="B532" s="38"/>
      <c r="C532" s="40" t="s">
        <v>257</v>
      </c>
      <c r="D532" s="40"/>
      <c r="E532" s="40"/>
      <c r="F532" s="40"/>
      <c r="G532" s="40"/>
      <c r="H532" s="40"/>
      <c r="I532" s="40"/>
      <c r="J532" s="266" t="s">
        <v>870</v>
      </c>
      <c r="K532" s="41"/>
    </row>
    <row r="533" spans="2:11" x14ac:dyDescent="0.2">
      <c r="B533" s="38"/>
      <c r="C533" s="40" t="s">
        <v>261</v>
      </c>
      <c r="D533" s="40"/>
      <c r="E533" s="40"/>
      <c r="F533" s="40"/>
      <c r="G533" s="40"/>
      <c r="H533" s="40"/>
      <c r="I533" s="40"/>
      <c r="J533" s="248">
        <f>IF(J532=$B$973,$A$973,IF(J532=$B$974,$A$974,IF(J532=$B$975,$A$975,IF(J532=$B$976,$A$976,IF(J532=$B$977,$A$977,"Not Calculated")))))</f>
        <v>0</v>
      </c>
      <c r="K533" s="41"/>
    </row>
    <row r="534" spans="2:11" x14ac:dyDescent="0.2">
      <c r="B534" s="38"/>
      <c r="C534" s="40" t="s">
        <v>893</v>
      </c>
      <c r="D534" s="40"/>
      <c r="E534" s="40"/>
      <c r="F534" s="40"/>
      <c r="G534" s="40"/>
      <c r="H534" s="40"/>
      <c r="I534" s="40"/>
      <c r="J534" s="40"/>
      <c r="K534" s="41"/>
    </row>
    <row r="535" spans="2:11" ht="15" customHeight="1" x14ac:dyDescent="0.2">
      <c r="B535" s="38"/>
      <c r="C535" s="399"/>
      <c r="D535" s="400"/>
      <c r="E535" s="400"/>
      <c r="F535" s="400"/>
      <c r="G535" s="400"/>
      <c r="H535" s="400"/>
      <c r="I535" s="400"/>
      <c r="J535" s="401"/>
      <c r="K535" s="41"/>
    </row>
    <row r="536" spans="2:11" x14ac:dyDescent="0.2">
      <c r="B536" s="38"/>
      <c r="C536" s="40"/>
      <c r="D536" s="40"/>
      <c r="E536" s="40"/>
      <c r="F536" s="40"/>
      <c r="G536" s="40"/>
      <c r="H536" s="40"/>
      <c r="I536" s="40"/>
      <c r="J536" s="40"/>
      <c r="K536" s="41"/>
    </row>
    <row r="537" spans="2:11" x14ac:dyDescent="0.2">
      <c r="B537" s="38"/>
      <c r="C537" s="179" t="s">
        <v>319</v>
      </c>
      <c r="D537" s="40"/>
      <c r="E537" s="40"/>
      <c r="F537" s="40"/>
      <c r="G537" s="40"/>
      <c r="H537" s="40"/>
      <c r="I537" s="40"/>
      <c r="J537" s="245">
        <f>IF(OR(J526="Not Calculated",J533="Not Calculated")=TRUE,"Not Calculated",AVERAGE(J526,J533))</f>
        <v>0</v>
      </c>
      <c r="K537" s="41"/>
    </row>
    <row r="538" spans="2:11" x14ac:dyDescent="0.2">
      <c r="B538" s="38"/>
      <c r="C538" s="40"/>
      <c r="D538" s="40"/>
      <c r="E538" s="40"/>
      <c r="F538" s="40"/>
      <c r="G538" s="40"/>
      <c r="H538" s="40"/>
      <c r="I538" s="40"/>
      <c r="J538" s="40"/>
      <c r="K538" s="41"/>
    </row>
    <row r="539" spans="2:11" ht="18" x14ac:dyDescent="0.2">
      <c r="B539" s="38"/>
      <c r="C539" s="180" t="s">
        <v>302</v>
      </c>
      <c r="D539" s="40"/>
      <c r="E539" s="40"/>
      <c r="F539" s="40"/>
      <c r="G539" s="40"/>
      <c r="H539" s="40"/>
      <c r="I539" s="40"/>
      <c r="J539" s="244">
        <f>IF(OR(J440="Not Calculated",J457="Not Calculated",J473="Not Calculated",J488="Not Calculated",J504="Not Calculated",J520="Not Calculated",J537="Not Calculated")=TRUE,"Not Calculated",AVERAGE(J440,J457,J473,J488,J504,J520,J537))</f>
        <v>7.1428571428571425E-2</v>
      </c>
      <c r="K539" s="41"/>
    </row>
    <row r="540" spans="2:11" ht="16" thickBot="1" x14ac:dyDescent="0.25">
      <c r="B540" s="46"/>
      <c r="C540" s="47"/>
      <c r="D540" s="47"/>
      <c r="E540" s="47"/>
      <c r="F540" s="47"/>
      <c r="G540" s="47"/>
      <c r="H540" s="47"/>
      <c r="I540" s="47"/>
      <c r="J540" s="47"/>
      <c r="K540" s="49"/>
    </row>
    <row r="541" spans="2:11" ht="16" thickBot="1" x14ac:dyDescent="0.25"/>
    <row r="542" spans="2:11" x14ac:dyDescent="0.2">
      <c r="B542" s="33"/>
      <c r="C542" s="34"/>
      <c r="D542" s="34"/>
      <c r="E542" s="34"/>
      <c r="F542" s="34"/>
      <c r="G542" s="34"/>
      <c r="H542" s="34"/>
      <c r="I542" s="34"/>
      <c r="J542" s="34"/>
      <c r="K542" s="37"/>
    </row>
    <row r="543" spans="2:11" ht="21" x14ac:dyDescent="0.25">
      <c r="B543" s="38"/>
      <c r="C543" s="40"/>
      <c r="D543" s="40"/>
      <c r="E543" s="40"/>
      <c r="F543" s="40"/>
      <c r="G543" s="172" t="s">
        <v>29</v>
      </c>
      <c r="H543" s="40"/>
      <c r="I543" s="40"/>
      <c r="J543" s="40"/>
      <c r="K543" s="41"/>
    </row>
    <row r="544" spans="2:11" x14ac:dyDescent="0.2">
      <c r="B544" s="38"/>
      <c r="C544" s="40"/>
      <c r="D544" s="40"/>
      <c r="E544" s="40"/>
      <c r="F544" s="40"/>
      <c r="G544" s="40"/>
      <c r="H544" s="40"/>
      <c r="I544" s="40"/>
      <c r="J544" s="40"/>
      <c r="K544" s="41"/>
    </row>
    <row r="545" spans="2:14" ht="16" x14ac:dyDescent="0.2">
      <c r="B545" s="38"/>
      <c r="C545" s="45" t="s">
        <v>88</v>
      </c>
      <c r="D545" s="40"/>
      <c r="E545" s="40"/>
      <c r="F545" s="40"/>
      <c r="G545" s="40"/>
      <c r="H545" s="40"/>
      <c r="I545" s="40"/>
      <c r="J545" s="40"/>
      <c r="K545" s="41"/>
    </row>
    <row r="546" spans="2:14" x14ac:dyDescent="0.2">
      <c r="B546" s="38"/>
      <c r="C546" s="40" t="s">
        <v>448</v>
      </c>
      <c r="D546" s="40"/>
      <c r="E546" s="40"/>
      <c r="F546" s="40"/>
      <c r="G546" s="40"/>
      <c r="H546" s="40"/>
      <c r="I546" s="40"/>
      <c r="J546" s="252">
        <f>'Baseline Health'!G123</f>
        <v>0</v>
      </c>
      <c r="K546" s="41"/>
    </row>
    <row r="547" spans="2:14" x14ac:dyDescent="0.2">
      <c r="B547" s="38"/>
      <c r="C547" s="40" t="s">
        <v>322</v>
      </c>
      <c r="D547" s="40"/>
      <c r="E547" s="40"/>
      <c r="F547" s="40"/>
      <c r="G547" s="40"/>
      <c r="H547" s="40"/>
      <c r="I547" s="40"/>
      <c r="J547" s="264">
        <v>0</v>
      </c>
      <c r="K547" s="41"/>
    </row>
    <row r="548" spans="2:14" x14ac:dyDescent="0.2">
      <c r="B548" s="38"/>
      <c r="C548" s="40" t="s">
        <v>428</v>
      </c>
      <c r="D548" s="40"/>
      <c r="E548" s="40"/>
      <c r="F548" s="40"/>
      <c r="G548" s="40"/>
      <c r="H548" s="40"/>
      <c r="I548" s="40"/>
      <c r="J548" s="264">
        <v>0</v>
      </c>
      <c r="K548" s="41"/>
    </row>
    <row r="549" spans="2:14" x14ac:dyDescent="0.2">
      <c r="B549" s="38"/>
      <c r="C549" s="40" t="s">
        <v>260</v>
      </c>
      <c r="D549" s="40"/>
      <c r="E549" s="40"/>
      <c r="F549" s="40"/>
      <c r="G549" s="40"/>
      <c r="H549" s="40"/>
      <c r="I549" s="40"/>
      <c r="J549" s="248" t="str">
        <f>IF(OR(J546=0,J546="Not Calculated")=TRUE,"Not Calculated",IF(J546-J547=0,4,(IF(((J546+J548)/(J546-J547))&lt;=1,0,IF(((J546+J548)/(J546-J547))&lt;=1.05,1,IF(((J546+J548)/(J546-J547))&lt;=1.5, 2,IF(((J546+J548)/(J546-J547))&lt;=2,3,4)))))))</f>
        <v>Not Calculated</v>
      </c>
      <c r="K549" s="41"/>
    </row>
    <row r="550" spans="2:14" ht="9.75" customHeight="1" x14ac:dyDescent="0.2">
      <c r="B550" s="38"/>
      <c r="C550" s="279" t="str">
        <f>"0:"</f>
        <v>0:</v>
      </c>
      <c r="D550" s="278" t="s">
        <v>918</v>
      </c>
      <c r="E550" s="40"/>
      <c r="F550" s="40"/>
      <c r="G550" s="40"/>
      <c r="H550" s="40"/>
      <c r="I550" s="40"/>
      <c r="J550" s="251"/>
      <c r="K550" s="41"/>
    </row>
    <row r="551" spans="2:14" ht="9.75" customHeight="1" x14ac:dyDescent="0.2">
      <c r="B551" s="38"/>
      <c r="C551" s="280" t="str">
        <f>"1:"</f>
        <v>1:</v>
      </c>
      <c r="D551" s="278" t="s">
        <v>923</v>
      </c>
      <c r="E551" s="40"/>
      <c r="F551" s="40"/>
      <c r="G551" s="40"/>
      <c r="H551" s="40"/>
      <c r="I551" s="40"/>
      <c r="J551" s="251"/>
      <c r="K551" s="41"/>
    </row>
    <row r="552" spans="2:14" ht="9.75" customHeight="1" x14ac:dyDescent="0.2">
      <c r="B552" s="38"/>
      <c r="C552" s="280" t="str">
        <f>"2:"</f>
        <v>2:</v>
      </c>
      <c r="D552" s="278" t="s">
        <v>924</v>
      </c>
      <c r="E552" s="40"/>
      <c r="F552" s="40"/>
      <c r="G552" s="40"/>
      <c r="H552" s="40"/>
      <c r="I552" s="40"/>
      <c r="J552" s="251"/>
      <c r="K552" s="41"/>
    </row>
    <row r="553" spans="2:14" ht="9.75" customHeight="1" x14ac:dyDescent="0.2">
      <c r="B553" s="38"/>
      <c r="C553" s="280" t="str">
        <f>"3:"</f>
        <v>3:</v>
      </c>
      <c r="D553" s="278" t="s">
        <v>925</v>
      </c>
      <c r="E553" s="40"/>
      <c r="F553" s="40"/>
      <c r="G553" s="40"/>
      <c r="H553" s="40"/>
      <c r="I553" s="40"/>
      <c r="J553" s="251"/>
      <c r="K553" s="41"/>
    </row>
    <row r="554" spans="2:14" ht="9.75" customHeight="1" x14ac:dyDescent="0.2">
      <c r="B554" s="38"/>
      <c r="C554" s="280" t="str">
        <f>"4:"</f>
        <v>4:</v>
      </c>
      <c r="D554" s="278" t="s">
        <v>926</v>
      </c>
      <c r="E554" s="40"/>
      <c r="F554" s="40"/>
      <c r="G554" s="40"/>
      <c r="H554" s="40"/>
      <c r="I554" s="40"/>
      <c r="J554" s="40"/>
      <c r="K554" s="41"/>
      <c r="N554" s="12" t="s">
        <v>661</v>
      </c>
    </row>
    <row r="555" spans="2:14" x14ac:dyDescent="0.2">
      <c r="B555" s="38"/>
      <c r="C555" s="174" t="s">
        <v>662</v>
      </c>
      <c r="D555" s="40"/>
      <c r="E555" s="40"/>
      <c r="F555" s="40"/>
      <c r="G555" s="40"/>
      <c r="H555" s="40"/>
      <c r="I555" s="40"/>
      <c r="J555" s="265" t="s">
        <v>661</v>
      </c>
      <c r="K555" s="41"/>
      <c r="N555" s="12" t="s">
        <v>894</v>
      </c>
    </row>
    <row r="556" spans="2:14" x14ac:dyDescent="0.2">
      <c r="B556" s="38"/>
      <c r="C556" s="174" t="s">
        <v>660</v>
      </c>
      <c r="D556" s="40"/>
      <c r="E556" s="40"/>
      <c r="F556" s="40"/>
      <c r="G556" s="40"/>
      <c r="H556" s="40"/>
      <c r="I556" s="40"/>
      <c r="J556" s="246" t="str">
        <f>IF(J555=N554,"N/A",IF(J555=N555,0,IF(J555=N556,1,IF(J555=N557,2,IF(J555=N558,3,IF(J555=N559,4,"N/A"))))))</f>
        <v>N/A</v>
      </c>
      <c r="K556" s="41"/>
      <c r="N556" s="12" t="s">
        <v>899</v>
      </c>
    </row>
    <row r="557" spans="2:14" x14ac:dyDescent="0.2">
      <c r="B557" s="38"/>
      <c r="C557" s="40" t="s">
        <v>257</v>
      </c>
      <c r="D557" s="40"/>
      <c r="E557" s="40"/>
      <c r="F557" s="40"/>
      <c r="G557" s="40"/>
      <c r="H557" s="40"/>
      <c r="I557" s="40"/>
      <c r="J557" s="266" t="s">
        <v>870</v>
      </c>
      <c r="K557" s="41"/>
      <c r="N557" s="12" t="s">
        <v>900</v>
      </c>
    </row>
    <row r="558" spans="2:14" x14ac:dyDescent="0.2">
      <c r="B558" s="38"/>
      <c r="C558" s="40" t="s">
        <v>261</v>
      </c>
      <c r="D558" s="40"/>
      <c r="E558" s="40"/>
      <c r="F558" s="40"/>
      <c r="G558" s="40"/>
      <c r="H558" s="40"/>
      <c r="I558" s="40"/>
      <c r="J558" s="248">
        <f>IF(J557=$B$973,$A$973,IF(J557=$B$974,$A$974,IF(J557=$B$975,$A$975,IF(J557=$B$976,$A$976,IF(J557=$B$977,$A$977,"Not Calculated")))))</f>
        <v>0</v>
      </c>
      <c r="K558" s="41"/>
      <c r="N558" s="12" t="s">
        <v>901</v>
      </c>
    </row>
    <row r="559" spans="2:14" x14ac:dyDescent="0.2">
      <c r="B559" s="38"/>
      <c r="C559" s="40" t="s">
        <v>893</v>
      </c>
      <c r="D559" s="40"/>
      <c r="E559" s="40"/>
      <c r="F559" s="40"/>
      <c r="G559" s="40"/>
      <c r="H559" s="40"/>
      <c r="I559" s="40"/>
      <c r="J559" s="40"/>
      <c r="K559" s="41"/>
      <c r="N559" s="12" t="s">
        <v>902</v>
      </c>
    </row>
    <row r="560" spans="2:14" ht="15" customHeight="1" x14ac:dyDescent="0.2">
      <c r="B560" s="38"/>
      <c r="C560" s="399"/>
      <c r="D560" s="400"/>
      <c r="E560" s="400"/>
      <c r="F560" s="400"/>
      <c r="G560" s="400"/>
      <c r="H560" s="400"/>
      <c r="I560" s="400"/>
      <c r="J560" s="401"/>
      <c r="K560" s="41"/>
    </row>
    <row r="561" spans="2:11" x14ac:dyDescent="0.2">
      <c r="B561" s="38"/>
      <c r="C561" s="40"/>
      <c r="D561" s="40"/>
      <c r="E561" s="40"/>
      <c r="F561" s="40"/>
      <c r="G561" s="40"/>
      <c r="H561" s="40"/>
      <c r="I561" s="40"/>
      <c r="J561" s="40"/>
      <c r="K561" s="41"/>
    </row>
    <row r="562" spans="2:11" x14ac:dyDescent="0.2">
      <c r="B562" s="38"/>
      <c r="C562" s="179" t="s">
        <v>323</v>
      </c>
      <c r="D562" s="40"/>
      <c r="E562" s="40"/>
      <c r="F562" s="40"/>
      <c r="G562" s="40"/>
      <c r="H562" s="40"/>
      <c r="I562" s="40"/>
      <c r="J562" s="245" t="str">
        <f>IF(J556="N/A",IF(OR(J549="Not Calculated",J558="Not Calculated")=TRUE,"Not Calculated",AVERAGE(J549,J558)),AVERAGE(J556,J558))</f>
        <v>Not Calculated</v>
      </c>
      <c r="K562" s="41"/>
    </row>
    <row r="563" spans="2:11" x14ac:dyDescent="0.2">
      <c r="B563" s="38"/>
      <c r="C563" s="40"/>
      <c r="D563" s="40"/>
      <c r="E563" s="40"/>
      <c r="F563" s="40"/>
      <c r="G563" s="40"/>
      <c r="H563" s="40"/>
      <c r="I563" s="40"/>
      <c r="J563" s="40"/>
      <c r="K563" s="41"/>
    </row>
    <row r="564" spans="2:11" x14ac:dyDescent="0.2">
      <c r="B564" s="38"/>
      <c r="C564" s="40"/>
      <c r="D564" s="40"/>
      <c r="E564" s="40"/>
      <c r="F564" s="40"/>
      <c r="G564" s="40"/>
      <c r="H564" s="40"/>
      <c r="I564" s="40"/>
      <c r="J564" s="40"/>
      <c r="K564" s="41"/>
    </row>
    <row r="565" spans="2:11" ht="16" x14ac:dyDescent="0.2">
      <c r="B565" s="38"/>
      <c r="C565" s="45" t="s">
        <v>89</v>
      </c>
      <c r="D565" s="40"/>
      <c r="E565" s="40"/>
      <c r="F565" s="40"/>
      <c r="G565" s="40"/>
      <c r="H565" s="40"/>
      <c r="I565" s="40"/>
      <c r="J565" s="40"/>
      <c r="K565" s="41"/>
    </row>
    <row r="566" spans="2:11" ht="15" customHeight="1" x14ac:dyDescent="0.2">
      <c r="B566" s="38"/>
      <c r="C566" s="380" t="s">
        <v>333</v>
      </c>
      <c r="D566" s="380"/>
      <c r="E566" s="380"/>
      <c r="F566" s="380"/>
      <c r="G566" s="380"/>
      <c r="H566" s="380"/>
      <c r="I566" s="380"/>
      <c r="J566" s="40"/>
      <c r="K566" s="41"/>
    </row>
    <row r="567" spans="2:11" x14ac:dyDescent="0.2">
      <c r="B567" s="38"/>
      <c r="C567" s="380"/>
      <c r="D567" s="380"/>
      <c r="E567" s="380"/>
      <c r="F567" s="380"/>
      <c r="G567" s="380"/>
      <c r="H567" s="380"/>
      <c r="I567" s="380"/>
      <c r="J567" s="40"/>
      <c r="K567" s="41"/>
    </row>
    <row r="568" spans="2:11" x14ac:dyDescent="0.2">
      <c r="B568" s="38"/>
      <c r="C568" s="380"/>
      <c r="D568" s="380"/>
      <c r="E568" s="380"/>
      <c r="F568" s="380"/>
      <c r="G568" s="380"/>
      <c r="H568" s="380"/>
      <c r="I568" s="380"/>
      <c r="J568" s="251">
        <f>'Baseline Health'!G132</f>
        <v>0</v>
      </c>
      <c r="K568" s="41"/>
    </row>
    <row r="569" spans="2:11" ht="15" customHeight="1" x14ac:dyDescent="0.2">
      <c r="B569" s="38"/>
      <c r="C569" s="380" t="s">
        <v>334</v>
      </c>
      <c r="D569" s="380"/>
      <c r="E569" s="380"/>
      <c r="F569" s="380"/>
      <c r="G569" s="380"/>
      <c r="H569" s="380"/>
      <c r="I569" s="380"/>
      <c r="J569" s="245"/>
      <c r="K569" s="41"/>
    </row>
    <row r="570" spans="2:11" x14ac:dyDescent="0.2">
      <c r="B570" s="38"/>
      <c r="C570" s="380"/>
      <c r="D570" s="380"/>
      <c r="E570" s="380"/>
      <c r="F570" s="380"/>
      <c r="G570" s="380"/>
      <c r="H570" s="380"/>
      <c r="I570" s="380"/>
      <c r="J570" s="245"/>
      <c r="K570" s="41"/>
    </row>
    <row r="571" spans="2:11" x14ac:dyDescent="0.2">
      <c r="B571" s="38"/>
      <c r="C571" s="380"/>
      <c r="D571" s="380"/>
      <c r="E571" s="380"/>
      <c r="F571" s="380"/>
      <c r="G571" s="380"/>
      <c r="H571" s="380"/>
      <c r="I571" s="380"/>
      <c r="J571" s="264">
        <v>0</v>
      </c>
      <c r="K571" s="41"/>
    </row>
    <row r="572" spans="2:11" x14ac:dyDescent="0.2">
      <c r="B572" s="38"/>
      <c r="C572" s="40" t="s">
        <v>260</v>
      </c>
      <c r="D572" s="40"/>
      <c r="E572" s="40"/>
      <c r="F572" s="40"/>
      <c r="G572" s="40"/>
      <c r="H572" s="40"/>
      <c r="I572" s="40"/>
      <c r="J572" s="248" t="str">
        <f>IF(OR(J568=0,J568="Not Calculated")=TRUE,"Not Calculated",IF(((J568+J571)/J568)&lt;=1,0,IF(((J568+J571)/J568)&lt;=1.05,1,IF(((J568+J571)/J568)&lt;=1.5, 2,IF(((J568+J571)/J568)&lt;=2,3,4)))))</f>
        <v>Not Calculated</v>
      </c>
      <c r="K572" s="41"/>
    </row>
    <row r="573" spans="2:11" ht="9.75" customHeight="1" x14ac:dyDescent="0.2">
      <c r="B573" s="38"/>
      <c r="C573" s="279" t="str">
        <f>"0:"</f>
        <v>0:</v>
      </c>
      <c r="D573" s="281" t="s">
        <v>918</v>
      </c>
      <c r="E573" s="291"/>
      <c r="F573" s="291"/>
      <c r="G573" s="291"/>
      <c r="H573" s="291"/>
      <c r="I573" s="291"/>
      <c r="J573" s="251"/>
      <c r="K573" s="41"/>
    </row>
    <row r="574" spans="2:11" ht="9.75" customHeight="1" x14ac:dyDescent="0.2">
      <c r="B574" s="38"/>
      <c r="C574" s="280" t="str">
        <f>"1:"</f>
        <v>1:</v>
      </c>
      <c r="D574" s="281" t="s">
        <v>919</v>
      </c>
      <c r="E574" s="291"/>
      <c r="F574" s="291"/>
      <c r="G574" s="291"/>
      <c r="H574" s="291"/>
      <c r="I574" s="291"/>
      <c r="J574" s="251"/>
      <c r="K574" s="41"/>
    </row>
    <row r="575" spans="2:11" ht="9.75" customHeight="1" x14ac:dyDescent="0.2">
      <c r="B575" s="38"/>
      <c r="C575" s="280" t="str">
        <f>"2:"</f>
        <v>2:</v>
      </c>
      <c r="D575" s="281" t="s">
        <v>920</v>
      </c>
      <c r="E575" s="291"/>
      <c r="F575" s="291"/>
      <c r="G575" s="291"/>
      <c r="H575" s="291"/>
      <c r="I575" s="291"/>
      <c r="J575" s="251"/>
      <c r="K575" s="41"/>
    </row>
    <row r="576" spans="2:11" ht="9.75" customHeight="1" x14ac:dyDescent="0.2">
      <c r="B576" s="38"/>
      <c r="C576" s="280" t="str">
        <f>"3:"</f>
        <v>3:</v>
      </c>
      <c r="D576" s="281" t="s">
        <v>921</v>
      </c>
      <c r="E576" s="291"/>
      <c r="F576" s="291"/>
      <c r="G576" s="291"/>
      <c r="H576" s="291"/>
      <c r="I576" s="291"/>
      <c r="J576" s="251"/>
      <c r="K576" s="41"/>
    </row>
    <row r="577" spans="2:14" ht="9.75" customHeight="1" x14ac:dyDescent="0.2">
      <c r="B577" s="38"/>
      <c r="C577" s="280" t="str">
        <f>"4:"</f>
        <v>4:</v>
      </c>
      <c r="D577" s="281" t="s">
        <v>922</v>
      </c>
      <c r="E577" s="40"/>
      <c r="F577" s="40"/>
      <c r="G577" s="40"/>
      <c r="H577" s="40"/>
      <c r="I577" s="40"/>
      <c r="J577" s="40"/>
      <c r="K577" s="41"/>
      <c r="N577" s="12" t="s">
        <v>661</v>
      </c>
    </row>
    <row r="578" spans="2:14" x14ac:dyDescent="0.2">
      <c r="B578" s="38"/>
      <c r="C578" s="174" t="s">
        <v>662</v>
      </c>
      <c r="D578" s="40"/>
      <c r="E578" s="40"/>
      <c r="F578" s="40"/>
      <c r="G578" s="40"/>
      <c r="H578" s="40"/>
      <c r="I578" s="40"/>
      <c r="J578" s="265" t="s">
        <v>661</v>
      </c>
      <c r="K578" s="41"/>
      <c r="N578" s="12" t="s">
        <v>894</v>
      </c>
    </row>
    <row r="579" spans="2:14" x14ac:dyDescent="0.2">
      <c r="B579" s="38"/>
      <c r="C579" s="174" t="s">
        <v>660</v>
      </c>
      <c r="D579" s="40"/>
      <c r="E579" s="40"/>
      <c r="F579" s="40"/>
      <c r="G579" s="40"/>
      <c r="H579" s="40"/>
      <c r="I579" s="40"/>
      <c r="J579" s="246" t="str">
        <f>IF(J578=N577,"N/A",IF(J578=N578,0,IF(J578=N579,1,IF(J578=N580,2,IF(J578=N581,3,IF(J578=N582,4,"N/A"))))))</f>
        <v>N/A</v>
      </c>
      <c r="K579" s="41"/>
      <c r="N579" s="12" t="s">
        <v>895</v>
      </c>
    </row>
    <row r="580" spans="2:14" x14ac:dyDescent="0.2">
      <c r="B580" s="38"/>
      <c r="C580" s="40" t="s">
        <v>257</v>
      </c>
      <c r="D580" s="40"/>
      <c r="E580" s="40"/>
      <c r="F580" s="40"/>
      <c r="G580" s="40"/>
      <c r="H580" s="40"/>
      <c r="I580" s="40"/>
      <c r="J580" s="266" t="s">
        <v>870</v>
      </c>
      <c r="K580" s="41"/>
      <c r="N580" s="12" t="s">
        <v>896</v>
      </c>
    </row>
    <row r="581" spans="2:14" x14ac:dyDescent="0.2">
      <c r="B581" s="38"/>
      <c r="C581" s="40" t="s">
        <v>261</v>
      </c>
      <c r="D581" s="40"/>
      <c r="E581" s="40"/>
      <c r="F581" s="40"/>
      <c r="G581" s="40"/>
      <c r="H581" s="40"/>
      <c r="I581" s="40"/>
      <c r="J581" s="248">
        <f>IF(J580=$B$973,$A$973,IF(J580=$B$974,$A$974,IF(J580=$B$975,$A$975,IF(J580=$B$976,$A$976,IF(J580=$B$977,$A$977,"Not Calculated")))))</f>
        <v>0</v>
      </c>
      <c r="K581" s="41"/>
      <c r="N581" s="12" t="s">
        <v>897</v>
      </c>
    </row>
    <row r="582" spans="2:14" x14ac:dyDescent="0.2">
      <c r="B582" s="38"/>
      <c r="C582" s="40" t="s">
        <v>893</v>
      </c>
      <c r="D582" s="40"/>
      <c r="E582" s="40"/>
      <c r="F582" s="40"/>
      <c r="G582" s="40"/>
      <c r="H582" s="40"/>
      <c r="I582" s="40"/>
      <c r="J582" s="40"/>
      <c r="K582" s="41"/>
      <c r="N582" s="12" t="s">
        <v>898</v>
      </c>
    </row>
    <row r="583" spans="2:14" ht="15" customHeight="1" x14ac:dyDescent="0.2">
      <c r="B583" s="38"/>
      <c r="C583" s="399"/>
      <c r="D583" s="400"/>
      <c r="E583" s="400"/>
      <c r="F583" s="400"/>
      <c r="G583" s="400"/>
      <c r="H583" s="400"/>
      <c r="I583" s="400"/>
      <c r="J583" s="401"/>
      <c r="K583" s="41"/>
    </row>
    <row r="584" spans="2:14" x14ac:dyDescent="0.2">
      <c r="B584" s="38"/>
      <c r="C584" s="40"/>
      <c r="D584" s="40"/>
      <c r="E584" s="40"/>
      <c r="F584" s="40"/>
      <c r="G584" s="40"/>
      <c r="H584" s="40"/>
      <c r="I584" s="40"/>
      <c r="J584" s="40"/>
      <c r="K584" s="41"/>
    </row>
    <row r="585" spans="2:14" x14ac:dyDescent="0.2">
      <c r="B585" s="38"/>
      <c r="C585" s="179" t="s">
        <v>324</v>
      </c>
      <c r="D585" s="40"/>
      <c r="E585" s="40"/>
      <c r="F585" s="40"/>
      <c r="G585" s="40"/>
      <c r="H585" s="40"/>
      <c r="I585" s="40"/>
      <c r="J585" s="245" t="str">
        <f>IF(J579="N/A",IF(OR(J572="Not Calculated",J581="Not Calculated")=TRUE,"Not Calculated",AVERAGE(J572,J581)),AVERAGE(J579,J581))</f>
        <v>Not Calculated</v>
      </c>
      <c r="K585" s="41"/>
    </row>
    <row r="586" spans="2:14" x14ac:dyDescent="0.2">
      <c r="B586" s="38"/>
      <c r="C586" s="40"/>
      <c r="D586" s="40"/>
      <c r="E586" s="40"/>
      <c r="F586" s="40"/>
      <c r="G586" s="40"/>
      <c r="H586" s="40"/>
      <c r="I586" s="40"/>
      <c r="J586" s="40"/>
      <c r="K586" s="41"/>
    </row>
    <row r="587" spans="2:14" x14ac:dyDescent="0.2">
      <c r="B587" s="38"/>
      <c r="C587" s="40"/>
      <c r="D587" s="40"/>
      <c r="E587" s="40"/>
      <c r="F587" s="40"/>
      <c r="G587" s="40"/>
      <c r="H587" s="40"/>
      <c r="I587" s="40"/>
      <c r="J587" s="40"/>
      <c r="K587" s="41"/>
    </row>
    <row r="588" spans="2:14" ht="16" x14ac:dyDescent="0.2">
      <c r="B588" s="38"/>
      <c r="C588" s="45" t="s">
        <v>115</v>
      </c>
      <c r="D588" s="40"/>
      <c r="E588" s="40"/>
      <c r="F588" s="40"/>
      <c r="G588" s="40"/>
      <c r="H588" s="40"/>
      <c r="I588" s="40"/>
      <c r="J588" s="40"/>
      <c r="K588" s="41"/>
    </row>
    <row r="589" spans="2:14" x14ac:dyDescent="0.2">
      <c r="B589" s="38"/>
      <c r="C589" s="40" t="s">
        <v>335</v>
      </c>
      <c r="D589" s="40"/>
      <c r="E589" s="40"/>
      <c r="F589" s="40"/>
      <c r="G589" s="40"/>
      <c r="H589" s="40"/>
      <c r="I589" s="40"/>
      <c r="J589" s="264">
        <v>0</v>
      </c>
      <c r="K589" s="41"/>
    </row>
    <row r="590" spans="2:14" x14ac:dyDescent="0.2">
      <c r="B590" s="38"/>
      <c r="C590" s="40" t="s">
        <v>260</v>
      </c>
      <c r="D590" s="40"/>
      <c r="E590" s="40"/>
      <c r="F590" s="40"/>
      <c r="G590" s="40"/>
      <c r="H590" s="40"/>
      <c r="I590" s="40"/>
      <c r="J590" s="255">
        <f>IF(J589&lt;=0,0,IF(J589&lt;=1000,1,IF(J589&lt;=5000,2,IF(J589&lt;=25000,3,4))))</f>
        <v>0</v>
      </c>
      <c r="K590" s="41"/>
    </row>
    <row r="591" spans="2:14" ht="9.75" customHeight="1" x14ac:dyDescent="0.2">
      <c r="B591" s="38"/>
      <c r="C591" s="279" t="str">
        <f>"0:"</f>
        <v>0:</v>
      </c>
      <c r="D591" s="284" t="s">
        <v>970</v>
      </c>
      <c r="E591" s="40"/>
      <c r="F591" s="40"/>
      <c r="G591" s="40"/>
      <c r="H591" s="40"/>
      <c r="I591" s="40"/>
      <c r="J591" s="251"/>
      <c r="K591" s="41"/>
    </row>
    <row r="592" spans="2:14" ht="9.75" customHeight="1" x14ac:dyDescent="0.2">
      <c r="B592" s="38"/>
      <c r="C592" s="280" t="str">
        <f>"1:"</f>
        <v>1:</v>
      </c>
      <c r="D592" s="284" t="s">
        <v>961</v>
      </c>
      <c r="E592" s="40"/>
      <c r="F592" s="40"/>
      <c r="G592" s="40"/>
      <c r="H592" s="40"/>
      <c r="I592" s="40"/>
      <c r="J592" s="251"/>
      <c r="K592" s="41"/>
    </row>
    <row r="593" spans="2:11" ht="9.75" customHeight="1" x14ac:dyDescent="0.2">
      <c r="B593" s="38"/>
      <c r="C593" s="280" t="str">
        <f>"2:"</f>
        <v>2:</v>
      </c>
      <c r="D593" s="284" t="s">
        <v>971</v>
      </c>
      <c r="E593" s="40"/>
      <c r="F593" s="40"/>
      <c r="G593" s="40"/>
      <c r="H593" s="40"/>
      <c r="I593" s="40"/>
      <c r="J593" s="251"/>
      <c r="K593" s="41"/>
    </row>
    <row r="594" spans="2:11" ht="9.75" customHeight="1" x14ac:dyDescent="0.2">
      <c r="B594" s="38"/>
      <c r="C594" s="280" t="str">
        <f>"3:"</f>
        <v>3:</v>
      </c>
      <c r="D594" s="284" t="s">
        <v>963</v>
      </c>
      <c r="E594" s="40"/>
      <c r="F594" s="40"/>
      <c r="G594" s="40"/>
      <c r="H594" s="40"/>
      <c r="I594" s="40"/>
      <c r="J594" s="251"/>
      <c r="K594" s="41"/>
    </row>
    <row r="595" spans="2:11" ht="9.75" customHeight="1" x14ac:dyDescent="0.2">
      <c r="B595" s="38"/>
      <c r="C595" s="280" t="str">
        <f>"4:"</f>
        <v>4:</v>
      </c>
      <c r="D595" s="284" t="s">
        <v>964</v>
      </c>
      <c r="E595" s="40"/>
      <c r="F595" s="40"/>
      <c r="G595" s="40"/>
      <c r="H595" s="40"/>
      <c r="I595" s="40"/>
      <c r="J595" s="40"/>
      <c r="K595" s="41"/>
    </row>
    <row r="596" spans="2:11" x14ac:dyDescent="0.2">
      <c r="B596" s="38"/>
      <c r="C596" s="40" t="s">
        <v>257</v>
      </c>
      <c r="D596" s="40"/>
      <c r="E596" s="40"/>
      <c r="F596" s="40"/>
      <c r="G596" s="40"/>
      <c r="H596" s="40"/>
      <c r="I596" s="40"/>
      <c r="J596" s="266" t="s">
        <v>870</v>
      </c>
      <c r="K596" s="41"/>
    </row>
    <row r="597" spans="2:11" x14ac:dyDescent="0.2">
      <c r="B597" s="38"/>
      <c r="C597" s="40" t="s">
        <v>261</v>
      </c>
      <c r="D597" s="40"/>
      <c r="E597" s="40"/>
      <c r="F597" s="40"/>
      <c r="G597" s="40"/>
      <c r="H597" s="40"/>
      <c r="I597" s="40"/>
      <c r="J597" s="248">
        <f>IF(J596=$B$973,$A$973,IF(J596=$B$974,$A$974,IF(J596=$B$975,$A$975,IF(J596=$B$976,$A$976,IF(J596=$B$977,$A$977,"Not Calculated")))))</f>
        <v>0</v>
      </c>
      <c r="K597" s="41"/>
    </row>
    <row r="598" spans="2:11" x14ac:dyDescent="0.2">
      <c r="B598" s="38"/>
      <c r="C598" s="40" t="s">
        <v>892</v>
      </c>
      <c r="D598" s="40"/>
      <c r="E598" s="40"/>
      <c r="F598" s="40"/>
      <c r="G598" s="40"/>
      <c r="H598" s="40"/>
      <c r="I598" s="40"/>
      <c r="J598" s="40"/>
      <c r="K598" s="41"/>
    </row>
    <row r="599" spans="2:11" ht="15" customHeight="1" x14ac:dyDescent="0.2">
      <c r="B599" s="38"/>
      <c r="C599" s="399"/>
      <c r="D599" s="400"/>
      <c r="E599" s="400"/>
      <c r="F599" s="400"/>
      <c r="G599" s="400"/>
      <c r="H599" s="400"/>
      <c r="I599" s="400"/>
      <c r="J599" s="401"/>
      <c r="K599" s="41"/>
    </row>
    <row r="600" spans="2:11" x14ac:dyDescent="0.2">
      <c r="B600" s="38"/>
      <c r="C600" s="40"/>
      <c r="D600" s="40"/>
      <c r="E600" s="40"/>
      <c r="F600" s="40"/>
      <c r="G600" s="40"/>
      <c r="H600" s="40"/>
      <c r="I600" s="40"/>
      <c r="J600" s="40"/>
      <c r="K600" s="41"/>
    </row>
    <row r="601" spans="2:11" x14ac:dyDescent="0.2">
      <c r="B601" s="38"/>
      <c r="C601" s="179" t="s">
        <v>325</v>
      </c>
      <c r="D601" s="40"/>
      <c r="E601" s="40"/>
      <c r="F601" s="40"/>
      <c r="G601" s="40"/>
      <c r="H601" s="40"/>
      <c r="I601" s="40"/>
      <c r="J601" s="245">
        <f>IF(J590="Not Calculated","Not Calculated",AVERAGE(J590,J597))</f>
        <v>0</v>
      </c>
      <c r="K601" s="41"/>
    </row>
    <row r="602" spans="2:11" x14ac:dyDescent="0.2">
      <c r="B602" s="38"/>
      <c r="C602" s="40"/>
      <c r="D602" s="40"/>
      <c r="E602" s="40"/>
      <c r="F602" s="40"/>
      <c r="G602" s="40"/>
      <c r="H602" s="40"/>
      <c r="I602" s="40"/>
      <c r="J602" s="40"/>
      <c r="K602" s="41"/>
    </row>
    <row r="603" spans="2:11" x14ac:dyDescent="0.2">
      <c r="B603" s="38"/>
      <c r="C603" s="40"/>
      <c r="D603" s="40"/>
      <c r="E603" s="40"/>
      <c r="F603" s="40"/>
      <c r="G603" s="40"/>
      <c r="H603" s="40"/>
      <c r="I603" s="40"/>
      <c r="J603" s="40"/>
      <c r="K603" s="41"/>
    </row>
    <row r="604" spans="2:11" ht="16" x14ac:dyDescent="0.2">
      <c r="B604" s="38"/>
      <c r="C604" s="45" t="s">
        <v>326</v>
      </c>
      <c r="D604" s="40"/>
      <c r="E604" s="40"/>
      <c r="F604" s="40"/>
      <c r="G604" s="40"/>
      <c r="H604" s="40"/>
      <c r="I604" s="40"/>
      <c r="J604" s="40"/>
      <c r="K604" s="41"/>
    </row>
    <row r="605" spans="2:11" x14ac:dyDescent="0.2">
      <c r="B605" s="38"/>
      <c r="C605" s="40" t="s">
        <v>336</v>
      </c>
      <c r="D605" s="40"/>
      <c r="E605" s="40"/>
      <c r="F605" s="40"/>
      <c r="G605" s="40"/>
      <c r="H605" s="40"/>
      <c r="I605" s="40"/>
      <c r="J605" s="271">
        <v>0</v>
      </c>
      <c r="K605" s="41"/>
    </row>
    <row r="606" spans="2:11" x14ac:dyDescent="0.2">
      <c r="B606" s="38"/>
      <c r="C606" s="40" t="s">
        <v>260</v>
      </c>
      <c r="D606" s="40"/>
      <c r="E606" s="40"/>
      <c r="F606" s="40"/>
      <c r="G606" s="40"/>
      <c r="H606" s="40"/>
      <c r="I606" s="40"/>
      <c r="J606" s="248">
        <f>IF(J605&lt;=0,0,IF(J605&lt;=10,1,IF(J605&lt;=25,2,IF(J605&lt;=50,3,4))))</f>
        <v>0</v>
      </c>
      <c r="K606" s="41"/>
    </row>
    <row r="607" spans="2:11" ht="9.75" customHeight="1" x14ac:dyDescent="0.2">
      <c r="B607" s="38"/>
      <c r="C607" s="279" t="str">
        <f>"0:"</f>
        <v>0:</v>
      </c>
      <c r="D607" s="290" t="s">
        <v>944</v>
      </c>
      <c r="E607" s="40"/>
      <c r="F607" s="40"/>
      <c r="G607" s="40"/>
      <c r="H607" s="40"/>
      <c r="I607" s="40"/>
      <c r="J607" s="244"/>
      <c r="K607" s="41"/>
    </row>
    <row r="608" spans="2:11" ht="9.75" customHeight="1" x14ac:dyDescent="0.2">
      <c r="B608" s="38"/>
      <c r="C608" s="280" t="str">
        <f>"1:"</f>
        <v>1:</v>
      </c>
      <c r="D608" s="290" t="s">
        <v>947</v>
      </c>
      <c r="E608" s="40"/>
      <c r="F608" s="40"/>
      <c r="G608" s="40"/>
      <c r="H608" s="40"/>
      <c r="I608" s="40"/>
      <c r="J608" s="244"/>
      <c r="K608" s="41"/>
    </row>
    <row r="609" spans="2:11" ht="9.75" customHeight="1" x14ac:dyDescent="0.2">
      <c r="B609" s="38"/>
      <c r="C609" s="280" t="str">
        <f>"2:"</f>
        <v>2:</v>
      </c>
      <c r="D609" s="290" t="s">
        <v>972</v>
      </c>
      <c r="E609" s="40"/>
      <c r="F609" s="40"/>
      <c r="G609" s="40"/>
      <c r="H609" s="40"/>
      <c r="I609" s="40"/>
      <c r="J609" s="244"/>
      <c r="K609" s="41"/>
    </row>
    <row r="610" spans="2:11" ht="9.75" customHeight="1" x14ac:dyDescent="0.2">
      <c r="B610" s="38"/>
      <c r="C610" s="280" t="str">
        <f>"3:"</f>
        <v>3:</v>
      </c>
      <c r="D610" s="290" t="s">
        <v>973</v>
      </c>
      <c r="E610" s="40"/>
      <c r="F610" s="40"/>
      <c r="G610" s="40"/>
      <c r="H610" s="40"/>
      <c r="I610" s="40"/>
      <c r="J610" s="244"/>
      <c r="K610" s="41"/>
    </row>
    <row r="611" spans="2:11" ht="9.75" customHeight="1" x14ac:dyDescent="0.2">
      <c r="B611" s="38"/>
      <c r="C611" s="280" t="str">
        <f>"4:"</f>
        <v>4:</v>
      </c>
      <c r="D611" s="290" t="s">
        <v>974</v>
      </c>
      <c r="E611" s="40"/>
      <c r="F611" s="40"/>
      <c r="G611" s="40"/>
      <c r="H611" s="40"/>
      <c r="I611" s="40"/>
      <c r="J611" s="40"/>
      <c r="K611" s="41"/>
    </row>
    <row r="612" spans="2:11" x14ac:dyDescent="0.2">
      <c r="B612" s="38"/>
      <c r="C612" s="40" t="s">
        <v>893</v>
      </c>
      <c r="D612" s="40"/>
      <c r="E612" s="40"/>
      <c r="F612" s="40"/>
      <c r="G612" s="40"/>
      <c r="H612" s="40"/>
      <c r="I612" s="40"/>
      <c r="J612" s="40"/>
      <c r="K612" s="41"/>
    </row>
    <row r="613" spans="2:11" ht="15" customHeight="1" x14ac:dyDescent="0.2">
      <c r="B613" s="38"/>
      <c r="C613" s="399"/>
      <c r="D613" s="400"/>
      <c r="E613" s="400"/>
      <c r="F613" s="400"/>
      <c r="G613" s="400"/>
      <c r="H613" s="400"/>
      <c r="I613" s="400"/>
      <c r="J613" s="401"/>
      <c r="K613" s="41"/>
    </row>
    <row r="614" spans="2:11" x14ac:dyDescent="0.2">
      <c r="B614" s="38"/>
      <c r="C614" s="40"/>
      <c r="D614" s="40"/>
      <c r="E614" s="40"/>
      <c r="F614" s="40"/>
      <c r="G614" s="40"/>
      <c r="H614" s="40"/>
      <c r="I614" s="40"/>
      <c r="J614" s="40"/>
      <c r="K614" s="41"/>
    </row>
    <row r="615" spans="2:11" x14ac:dyDescent="0.2">
      <c r="B615" s="38"/>
      <c r="C615" s="179" t="s">
        <v>327</v>
      </c>
      <c r="D615" s="40"/>
      <c r="E615" s="40"/>
      <c r="F615" s="40"/>
      <c r="G615" s="40"/>
      <c r="H615" s="40"/>
      <c r="I615" s="40"/>
      <c r="J615" s="245">
        <f>J606</f>
        <v>0</v>
      </c>
      <c r="K615" s="41"/>
    </row>
    <row r="616" spans="2:11" x14ac:dyDescent="0.2">
      <c r="B616" s="38"/>
      <c r="C616" s="40"/>
      <c r="D616" s="40"/>
      <c r="E616" s="40"/>
      <c r="F616" s="40"/>
      <c r="G616" s="40"/>
      <c r="H616" s="40"/>
      <c r="I616" s="40"/>
      <c r="J616" s="40"/>
      <c r="K616" s="41"/>
    </row>
    <row r="617" spans="2:11" x14ac:dyDescent="0.2">
      <c r="B617" s="38"/>
      <c r="C617" s="40"/>
      <c r="D617" s="40"/>
      <c r="E617" s="40"/>
      <c r="F617" s="40"/>
      <c r="G617" s="40"/>
      <c r="H617" s="40"/>
      <c r="I617" s="40"/>
      <c r="J617" s="40"/>
      <c r="K617" s="41"/>
    </row>
    <row r="618" spans="2:11" ht="16" x14ac:dyDescent="0.2">
      <c r="B618" s="38"/>
      <c r="C618" s="45" t="s">
        <v>92</v>
      </c>
      <c r="D618" s="40"/>
      <c r="E618" s="40"/>
      <c r="F618" s="40"/>
      <c r="G618" s="40"/>
      <c r="H618" s="40"/>
      <c r="I618" s="40"/>
      <c r="J618" s="40"/>
      <c r="K618" s="41"/>
    </row>
    <row r="619" spans="2:11" x14ac:dyDescent="0.2">
      <c r="B619" s="38"/>
      <c r="C619" s="40" t="s">
        <v>337</v>
      </c>
      <c r="D619" s="40"/>
      <c r="E619" s="40"/>
      <c r="F619" s="40"/>
      <c r="G619" s="40"/>
      <c r="H619" s="40"/>
      <c r="I619" s="40"/>
      <c r="J619" s="251">
        <f>'Baseline Health'!G137</f>
        <v>1</v>
      </c>
      <c r="K619" s="41"/>
    </row>
    <row r="620" spans="2:11" ht="15" customHeight="1" x14ac:dyDescent="0.2">
      <c r="B620" s="38"/>
      <c r="C620" s="380" t="s">
        <v>338</v>
      </c>
      <c r="D620" s="380"/>
      <c r="E620" s="380"/>
      <c r="F620" s="380"/>
      <c r="G620" s="380"/>
      <c r="H620" s="380"/>
      <c r="I620" s="380"/>
      <c r="J620" s="251"/>
      <c r="K620" s="41"/>
    </row>
    <row r="621" spans="2:11" x14ac:dyDescent="0.2">
      <c r="B621" s="38"/>
      <c r="C621" s="380"/>
      <c r="D621" s="380"/>
      <c r="E621" s="380"/>
      <c r="F621" s="380"/>
      <c r="G621" s="380"/>
      <c r="H621" s="380"/>
      <c r="I621" s="380"/>
      <c r="J621" s="264">
        <v>0</v>
      </c>
      <c r="K621" s="41"/>
    </row>
    <row r="622" spans="2:11" x14ac:dyDescent="0.2">
      <c r="B622" s="38"/>
      <c r="C622" s="40" t="s">
        <v>260</v>
      </c>
      <c r="D622" s="40"/>
      <c r="E622" s="40"/>
      <c r="F622" s="40"/>
      <c r="G622" s="40"/>
      <c r="H622" s="40"/>
      <c r="I622" s="40"/>
      <c r="J622" s="248">
        <f>IF(OR(J619=0,J619="Not Calculated")=TRUE,"Not Calculated",IF(((J619+J621)/J619)&lt;=1,0,IF(((J619+J621)/J619)&lt;=1.05,1,IF(((J619+J621)/J619)&lt;=1.5, 2,IF(((J619+J621)/J619)&lt;=2,3,4)))))</f>
        <v>0</v>
      </c>
      <c r="K622" s="41"/>
    </row>
    <row r="623" spans="2:11" ht="9.75" customHeight="1" x14ac:dyDescent="0.2">
      <c r="B623" s="38"/>
      <c r="C623" s="279" t="str">
        <f>"0:"</f>
        <v>0:</v>
      </c>
      <c r="D623" s="281" t="s">
        <v>918</v>
      </c>
      <c r="E623" s="291"/>
      <c r="F623" s="291"/>
      <c r="G623" s="291"/>
      <c r="H623" s="291"/>
      <c r="I623" s="291"/>
      <c r="J623" s="251"/>
      <c r="K623" s="41"/>
    </row>
    <row r="624" spans="2:11" ht="9.75" customHeight="1" x14ac:dyDescent="0.2">
      <c r="B624" s="38"/>
      <c r="C624" s="280" t="str">
        <f>"1:"</f>
        <v>1:</v>
      </c>
      <c r="D624" s="281" t="s">
        <v>919</v>
      </c>
      <c r="E624" s="291"/>
      <c r="F624" s="291"/>
      <c r="G624" s="291"/>
      <c r="H624" s="291"/>
      <c r="I624" s="291"/>
      <c r="J624" s="251"/>
      <c r="K624" s="41"/>
    </row>
    <row r="625" spans="2:14" ht="9.75" customHeight="1" x14ac:dyDescent="0.2">
      <c r="B625" s="38"/>
      <c r="C625" s="280" t="str">
        <f>"2:"</f>
        <v>2:</v>
      </c>
      <c r="D625" s="281" t="s">
        <v>920</v>
      </c>
      <c r="E625" s="291"/>
      <c r="F625" s="291"/>
      <c r="G625" s="291"/>
      <c r="H625" s="291"/>
      <c r="I625" s="291"/>
      <c r="J625" s="251"/>
      <c r="K625" s="41"/>
    </row>
    <row r="626" spans="2:14" ht="9.75" customHeight="1" x14ac:dyDescent="0.2">
      <c r="B626" s="38"/>
      <c r="C626" s="280" t="str">
        <f>"3:"</f>
        <v>3:</v>
      </c>
      <c r="D626" s="281" t="s">
        <v>921</v>
      </c>
      <c r="E626" s="291"/>
      <c r="F626" s="291"/>
      <c r="G626" s="291"/>
      <c r="H626" s="291"/>
      <c r="I626" s="291"/>
      <c r="J626" s="251"/>
      <c r="K626" s="41"/>
    </row>
    <row r="627" spans="2:14" ht="9.75" customHeight="1" x14ac:dyDescent="0.2">
      <c r="B627" s="38"/>
      <c r="C627" s="280" t="str">
        <f>"4:"</f>
        <v>4:</v>
      </c>
      <c r="D627" s="281" t="s">
        <v>922</v>
      </c>
      <c r="E627" s="40"/>
      <c r="F627" s="40"/>
      <c r="G627" s="40"/>
      <c r="H627" s="40"/>
      <c r="I627" s="40"/>
      <c r="J627" s="40"/>
      <c r="K627" s="41"/>
      <c r="N627" s="12" t="s">
        <v>661</v>
      </c>
    </row>
    <row r="628" spans="2:14" x14ac:dyDescent="0.2">
      <c r="B628" s="38"/>
      <c r="C628" s="174" t="s">
        <v>662</v>
      </c>
      <c r="D628" s="40"/>
      <c r="E628" s="40"/>
      <c r="F628" s="40"/>
      <c r="G628" s="40"/>
      <c r="H628" s="40"/>
      <c r="I628" s="40"/>
      <c r="J628" s="265" t="s">
        <v>661</v>
      </c>
      <c r="K628" s="41"/>
      <c r="N628" s="12" t="s">
        <v>894</v>
      </c>
    </row>
    <row r="629" spans="2:14" x14ac:dyDescent="0.2">
      <c r="B629" s="38"/>
      <c r="C629" s="174" t="s">
        <v>660</v>
      </c>
      <c r="D629" s="40"/>
      <c r="E629" s="40"/>
      <c r="F629" s="40"/>
      <c r="G629" s="40"/>
      <c r="H629" s="40"/>
      <c r="I629" s="40"/>
      <c r="J629" s="246" t="str">
        <f>IF(J628=N627,"N/A",IF(J628=N628,0,IF(J628=N629,1,IF(J628=N630,2,IF(J628=N631,3,IF(J628=N632,4,"N/A"))))))</f>
        <v>N/A</v>
      </c>
      <c r="K629" s="41"/>
      <c r="N629" s="12" t="s">
        <v>895</v>
      </c>
    </row>
    <row r="630" spans="2:14" x14ac:dyDescent="0.2">
      <c r="B630" s="38"/>
      <c r="C630" s="40" t="s">
        <v>257</v>
      </c>
      <c r="D630" s="40"/>
      <c r="E630" s="40"/>
      <c r="F630" s="40"/>
      <c r="G630" s="40"/>
      <c r="H630" s="40"/>
      <c r="I630" s="40"/>
      <c r="J630" s="266" t="s">
        <v>870</v>
      </c>
      <c r="K630" s="41"/>
      <c r="N630" s="12" t="s">
        <v>896</v>
      </c>
    </row>
    <row r="631" spans="2:14" x14ac:dyDescent="0.2">
      <c r="B631" s="38"/>
      <c r="C631" s="40" t="s">
        <v>261</v>
      </c>
      <c r="D631" s="40"/>
      <c r="E631" s="40"/>
      <c r="F631" s="40"/>
      <c r="G631" s="40"/>
      <c r="H631" s="40"/>
      <c r="I631" s="40"/>
      <c r="J631" s="248">
        <f>IF(J630=$B$973,$A$973,IF(J630=$B$974,$A$974,IF(J630=$B$975,$A$975,IF(J630=$B$976,$A$976,IF(J630=$B$977,$A$977,"Not Calculated")))))</f>
        <v>0</v>
      </c>
      <c r="K631" s="41"/>
      <c r="N631" s="12" t="s">
        <v>897</v>
      </c>
    </row>
    <row r="632" spans="2:14" x14ac:dyDescent="0.2">
      <c r="B632" s="38"/>
      <c r="C632" s="40" t="s">
        <v>893</v>
      </c>
      <c r="D632" s="40"/>
      <c r="E632" s="40"/>
      <c r="F632" s="40"/>
      <c r="G632" s="40"/>
      <c r="H632" s="40"/>
      <c r="I632" s="40"/>
      <c r="J632" s="40"/>
      <c r="K632" s="41"/>
      <c r="N632" s="12" t="s">
        <v>898</v>
      </c>
    </row>
    <row r="633" spans="2:14" ht="15" customHeight="1" x14ac:dyDescent="0.2">
      <c r="B633" s="38"/>
      <c r="C633" s="399"/>
      <c r="D633" s="400"/>
      <c r="E633" s="400"/>
      <c r="F633" s="400"/>
      <c r="G633" s="400"/>
      <c r="H633" s="400"/>
      <c r="I633" s="400"/>
      <c r="J633" s="401"/>
      <c r="K633" s="41"/>
    </row>
    <row r="634" spans="2:14" x14ac:dyDescent="0.2">
      <c r="B634" s="38"/>
      <c r="C634" s="40"/>
      <c r="D634" s="40"/>
      <c r="E634" s="40"/>
      <c r="F634" s="40"/>
      <c r="G634" s="40"/>
      <c r="H634" s="40"/>
      <c r="I634" s="40"/>
      <c r="J634" s="40"/>
      <c r="K634" s="41"/>
    </row>
    <row r="635" spans="2:14" x14ac:dyDescent="0.2">
      <c r="B635" s="38"/>
      <c r="C635" s="179" t="s">
        <v>328</v>
      </c>
      <c r="D635" s="40"/>
      <c r="E635" s="40"/>
      <c r="F635" s="40"/>
      <c r="G635" s="40"/>
      <c r="H635" s="40"/>
      <c r="I635" s="40"/>
      <c r="J635" s="245">
        <f>IF(J629="N/A",IF(OR(J622="Not Calculated",J631="Not Calculated")=TRUE,"Not Calculated",AVERAGE(J622,J631)),AVERAGE(J629,J631))</f>
        <v>0</v>
      </c>
      <c r="K635" s="41"/>
    </row>
    <row r="636" spans="2:14" x14ac:dyDescent="0.2">
      <c r="B636" s="38"/>
      <c r="C636" s="40"/>
      <c r="D636" s="40"/>
      <c r="E636" s="40"/>
      <c r="F636" s="40"/>
      <c r="G636" s="40"/>
      <c r="H636" s="40"/>
      <c r="I636" s="40"/>
      <c r="J636" s="40"/>
      <c r="K636" s="41"/>
    </row>
    <row r="637" spans="2:14" x14ac:dyDescent="0.2">
      <c r="B637" s="38"/>
      <c r="C637" s="40"/>
      <c r="D637" s="40"/>
      <c r="E637" s="40"/>
      <c r="F637" s="40"/>
      <c r="G637" s="40"/>
      <c r="H637" s="40"/>
      <c r="I637" s="40"/>
      <c r="J637" s="40"/>
      <c r="K637" s="41"/>
    </row>
    <row r="638" spans="2:14" ht="16" x14ac:dyDescent="0.2">
      <c r="B638" s="38"/>
      <c r="C638" s="45" t="s">
        <v>329</v>
      </c>
      <c r="D638" s="40"/>
      <c r="E638" s="40"/>
      <c r="F638" s="40"/>
      <c r="G638" s="40"/>
      <c r="H638" s="40"/>
      <c r="I638" s="40"/>
      <c r="J638" s="40"/>
      <c r="K638" s="41"/>
    </row>
    <row r="639" spans="2:14" ht="15" customHeight="1" x14ac:dyDescent="0.2">
      <c r="B639" s="38"/>
      <c r="C639" s="380" t="s">
        <v>339</v>
      </c>
      <c r="D639" s="380"/>
      <c r="E639" s="380"/>
      <c r="F639" s="380"/>
      <c r="G639" s="380"/>
      <c r="H639" s="380"/>
      <c r="I639" s="380"/>
      <c r="J639" s="40"/>
      <c r="K639" s="41"/>
    </row>
    <row r="640" spans="2:14" x14ac:dyDescent="0.2">
      <c r="B640" s="38"/>
      <c r="C640" s="380"/>
      <c r="D640" s="380"/>
      <c r="E640" s="380"/>
      <c r="F640" s="380"/>
      <c r="G640" s="380"/>
      <c r="H640" s="380"/>
      <c r="I640" s="380"/>
      <c r="J640" s="250">
        <f>'Baseline Health'!G145</f>
        <v>0</v>
      </c>
      <c r="K640" s="41"/>
    </row>
    <row r="641" spans="2:14" ht="15" customHeight="1" x14ac:dyDescent="0.2">
      <c r="B641" s="38"/>
      <c r="C641" s="380" t="s">
        <v>340</v>
      </c>
      <c r="D641" s="380"/>
      <c r="E641" s="380"/>
      <c r="F641" s="380"/>
      <c r="G641" s="380"/>
      <c r="H641" s="380"/>
      <c r="I641" s="380"/>
      <c r="J641" s="245"/>
      <c r="K641" s="41"/>
    </row>
    <row r="642" spans="2:14" x14ac:dyDescent="0.2">
      <c r="B642" s="38"/>
      <c r="C642" s="380"/>
      <c r="D642" s="380"/>
      <c r="E642" s="380"/>
      <c r="F642" s="380"/>
      <c r="G642" s="380"/>
      <c r="H642" s="380"/>
      <c r="I642" s="380"/>
      <c r="J642" s="245"/>
      <c r="K642" s="41"/>
    </row>
    <row r="643" spans="2:14" x14ac:dyDescent="0.2">
      <c r="B643" s="38"/>
      <c r="C643" s="380"/>
      <c r="D643" s="380"/>
      <c r="E643" s="380"/>
      <c r="F643" s="380"/>
      <c r="G643" s="380"/>
      <c r="H643" s="380"/>
      <c r="I643" s="380"/>
      <c r="J643" s="272">
        <v>8</v>
      </c>
      <c r="K643" s="41"/>
    </row>
    <row r="644" spans="2:14" x14ac:dyDescent="0.2">
      <c r="B644" s="38"/>
      <c r="C644" s="40" t="s">
        <v>260</v>
      </c>
      <c r="D644" s="40"/>
      <c r="E644" s="40"/>
      <c r="F644" s="40"/>
      <c r="G644" s="40"/>
      <c r="H644" s="40"/>
      <c r="I644" s="40"/>
      <c r="J644" s="248" t="str">
        <f>IF(OR(J640=0,J640="Not Calculated")=TRUE,"Not Calculated",IF(((J640+J643)/J640)&lt;=1,0,IF(((J640+J643)/J640)&lt;=1.05,1,IF(((J640+J643)/J640)&lt;=1.5, 2,IF(((J640+J643)/J640)&lt;=2,3,4)))))</f>
        <v>Not Calculated</v>
      </c>
      <c r="K644" s="41"/>
    </row>
    <row r="645" spans="2:14" ht="9.75" customHeight="1" x14ac:dyDescent="0.2">
      <c r="B645" s="38"/>
      <c r="C645" s="279" t="str">
        <f>"0:"</f>
        <v>0:</v>
      </c>
      <c r="D645" s="281" t="s">
        <v>918</v>
      </c>
      <c r="E645" s="291"/>
      <c r="F645" s="291"/>
      <c r="G645" s="291"/>
      <c r="H645" s="291"/>
      <c r="I645" s="291"/>
      <c r="J645" s="250"/>
      <c r="K645" s="41"/>
    </row>
    <row r="646" spans="2:14" ht="9.75" customHeight="1" x14ac:dyDescent="0.2">
      <c r="B646" s="38"/>
      <c r="C646" s="280" t="str">
        <f>"1:"</f>
        <v>1:</v>
      </c>
      <c r="D646" s="281" t="s">
        <v>919</v>
      </c>
      <c r="E646" s="291"/>
      <c r="F646" s="291"/>
      <c r="G646" s="291"/>
      <c r="H646" s="291"/>
      <c r="I646" s="291"/>
      <c r="J646" s="250"/>
      <c r="K646" s="41"/>
    </row>
    <row r="647" spans="2:14" ht="9.75" customHeight="1" x14ac:dyDescent="0.2">
      <c r="B647" s="38"/>
      <c r="C647" s="280" t="str">
        <f>"2:"</f>
        <v>2:</v>
      </c>
      <c r="D647" s="281" t="s">
        <v>920</v>
      </c>
      <c r="E647" s="291"/>
      <c r="F647" s="291"/>
      <c r="G647" s="291"/>
      <c r="H647" s="291"/>
      <c r="I647" s="291"/>
      <c r="J647" s="250"/>
      <c r="K647" s="41"/>
    </row>
    <row r="648" spans="2:14" ht="9.75" customHeight="1" x14ac:dyDescent="0.2">
      <c r="B648" s="38"/>
      <c r="C648" s="280" t="str">
        <f>"3:"</f>
        <v>3:</v>
      </c>
      <c r="D648" s="281" t="s">
        <v>921</v>
      </c>
      <c r="E648" s="291"/>
      <c r="F648" s="291"/>
      <c r="G648" s="291"/>
      <c r="H648" s="291"/>
      <c r="I648" s="291"/>
      <c r="J648" s="250"/>
      <c r="K648" s="41"/>
    </row>
    <row r="649" spans="2:14" ht="9.75" customHeight="1" x14ac:dyDescent="0.2">
      <c r="B649" s="38"/>
      <c r="C649" s="280" t="str">
        <f>"4:"</f>
        <v>4:</v>
      </c>
      <c r="D649" s="281" t="s">
        <v>922</v>
      </c>
      <c r="E649" s="40"/>
      <c r="F649" s="40"/>
      <c r="G649" s="40"/>
      <c r="H649" s="40"/>
      <c r="I649" s="40"/>
      <c r="J649" s="40"/>
      <c r="K649" s="41"/>
      <c r="N649" s="12" t="s">
        <v>661</v>
      </c>
    </row>
    <row r="650" spans="2:14" x14ac:dyDescent="0.2">
      <c r="B650" s="38"/>
      <c r="C650" s="174" t="s">
        <v>662</v>
      </c>
      <c r="D650" s="40"/>
      <c r="E650" s="40"/>
      <c r="F650" s="40"/>
      <c r="G650" s="40"/>
      <c r="H650" s="40"/>
      <c r="I650" s="40"/>
      <c r="J650" s="265" t="s">
        <v>661</v>
      </c>
      <c r="K650" s="41"/>
      <c r="N650" s="12" t="s">
        <v>894</v>
      </c>
    </row>
    <row r="651" spans="2:14" x14ac:dyDescent="0.2">
      <c r="B651" s="38"/>
      <c r="C651" s="174" t="s">
        <v>660</v>
      </c>
      <c r="D651" s="40"/>
      <c r="E651" s="40"/>
      <c r="F651" s="40"/>
      <c r="G651" s="40"/>
      <c r="H651" s="40"/>
      <c r="I651" s="40"/>
      <c r="J651" s="246" t="str">
        <f>IF(J650=N649,"N/A",IF(J650=N650,0,IF(J650=N651,1,IF(J650=N652,2,IF(J650=N653,3,IF(J650=N654,4,"N/A"))))))</f>
        <v>N/A</v>
      </c>
      <c r="K651" s="41"/>
      <c r="N651" s="12" t="s">
        <v>895</v>
      </c>
    </row>
    <row r="652" spans="2:14" x14ac:dyDescent="0.2">
      <c r="B652" s="38"/>
      <c r="C652" s="40" t="s">
        <v>257</v>
      </c>
      <c r="D652" s="40"/>
      <c r="E652" s="40"/>
      <c r="F652" s="40"/>
      <c r="G652" s="40"/>
      <c r="H652" s="40"/>
      <c r="I652" s="40"/>
      <c r="J652" s="266" t="s">
        <v>873</v>
      </c>
      <c r="K652" s="41"/>
      <c r="N652" s="12" t="s">
        <v>896</v>
      </c>
    </row>
    <row r="653" spans="2:14" x14ac:dyDescent="0.2">
      <c r="B653" s="38"/>
      <c r="C653" s="40" t="s">
        <v>261</v>
      </c>
      <c r="D653" s="40"/>
      <c r="E653" s="40"/>
      <c r="F653" s="40"/>
      <c r="G653" s="40"/>
      <c r="H653" s="40"/>
      <c r="I653" s="40"/>
      <c r="J653" s="248">
        <f>IF(J652=$B$973,$A$973,IF(J652=$B$974,$A$974,IF(J652=$B$975,$A$975,IF(J652=$B$976,$A$976,IF(J652=$B$977,$A$977,"Not Calculated")))))</f>
        <v>3</v>
      </c>
      <c r="K653" s="41"/>
      <c r="N653" s="12" t="s">
        <v>897</v>
      </c>
    </row>
    <row r="654" spans="2:14" x14ac:dyDescent="0.2">
      <c r="B654" s="38"/>
      <c r="C654" s="40" t="s">
        <v>893</v>
      </c>
      <c r="D654" s="40"/>
      <c r="E654" s="40"/>
      <c r="F654" s="40"/>
      <c r="G654" s="40"/>
      <c r="H654" s="40"/>
      <c r="I654" s="40"/>
      <c r="J654" s="40"/>
      <c r="K654" s="41"/>
      <c r="N654" s="12" t="s">
        <v>898</v>
      </c>
    </row>
    <row r="655" spans="2:14" ht="15" customHeight="1" x14ac:dyDescent="0.2">
      <c r="B655" s="38"/>
      <c r="C655" s="399" t="s">
        <v>362</v>
      </c>
      <c r="D655" s="400"/>
      <c r="E655" s="400"/>
      <c r="F655" s="400"/>
      <c r="G655" s="400"/>
      <c r="H655" s="400"/>
      <c r="I655" s="400"/>
      <c r="J655" s="401"/>
      <c r="K655" s="41"/>
    </row>
    <row r="656" spans="2:14" x14ac:dyDescent="0.2">
      <c r="B656" s="38"/>
      <c r="C656" s="40"/>
      <c r="D656" s="40"/>
      <c r="E656" s="40"/>
      <c r="F656" s="40"/>
      <c r="G656" s="40"/>
      <c r="H656" s="40"/>
      <c r="I656" s="40"/>
      <c r="J656" s="40"/>
      <c r="K656" s="41"/>
    </row>
    <row r="657" spans="2:14" x14ac:dyDescent="0.2">
      <c r="B657" s="38"/>
      <c r="C657" s="179" t="s">
        <v>330</v>
      </c>
      <c r="D657" s="40"/>
      <c r="E657" s="40"/>
      <c r="F657" s="40"/>
      <c r="G657" s="40"/>
      <c r="H657" s="40"/>
      <c r="I657" s="40"/>
      <c r="J657" s="245" t="str">
        <f>IF(J651="N/A",IF(OR(J644="Not Calculated",J653="Not Calculated")=TRUE,"Not Calculated",AVERAGE(J644,J653)),AVERAGE(J651,J653))</f>
        <v>Not Calculated</v>
      </c>
      <c r="K657" s="41"/>
    </row>
    <row r="658" spans="2:14" x14ac:dyDescent="0.2">
      <c r="B658" s="38"/>
      <c r="C658" s="40"/>
      <c r="D658" s="40"/>
      <c r="E658" s="40"/>
      <c r="F658" s="40"/>
      <c r="G658" s="40"/>
      <c r="H658" s="40"/>
      <c r="I658" s="40"/>
      <c r="J658" s="40"/>
      <c r="K658" s="41"/>
    </row>
    <row r="659" spans="2:14" x14ac:dyDescent="0.2">
      <c r="B659" s="38"/>
      <c r="C659" s="40"/>
      <c r="D659" s="40"/>
      <c r="E659" s="40"/>
      <c r="F659" s="40"/>
      <c r="G659" s="40"/>
      <c r="H659" s="40"/>
      <c r="I659" s="40"/>
      <c r="J659" s="40"/>
      <c r="K659" s="41"/>
    </row>
    <row r="660" spans="2:14" ht="16" x14ac:dyDescent="0.2">
      <c r="B660" s="38"/>
      <c r="C660" s="45" t="s">
        <v>97</v>
      </c>
      <c r="D660" s="40"/>
      <c r="E660" s="40"/>
      <c r="F660" s="40"/>
      <c r="G660" s="40"/>
      <c r="H660" s="40"/>
      <c r="I660" s="40"/>
      <c r="J660" s="40"/>
      <c r="K660" s="41"/>
    </row>
    <row r="661" spans="2:14" x14ac:dyDescent="0.2">
      <c r="B661" s="38"/>
      <c r="C661" s="40" t="s">
        <v>449</v>
      </c>
      <c r="D661" s="40"/>
      <c r="E661" s="40"/>
      <c r="F661" s="40"/>
      <c r="G661" s="40"/>
      <c r="H661" s="40"/>
      <c r="I661" s="40"/>
      <c r="J661" s="249">
        <f>'Baseline Health'!G150</f>
        <v>0</v>
      </c>
      <c r="K661" s="41"/>
    </row>
    <row r="662" spans="2:14" x14ac:dyDescent="0.2">
      <c r="B662" s="38"/>
      <c r="C662" s="40" t="s">
        <v>341</v>
      </c>
      <c r="D662" s="40"/>
      <c r="E662" s="40"/>
      <c r="F662" s="40"/>
      <c r="G662" s="40"/>
      <c r="H662" s="40"/>
      <c r="I662" s="40"/>
      <c r="J662" s="273">
        <v>0</v>
      </c>
      <c r="K662" s="41"/>
    </row>
    <row r="663" spans="2:14" x14ac:dyDescent="0.2">
      <c r="B663" s="38"/>
      <c r="C663" s="40" t="s">
        <v>450</v>
      </c>
      <c r="D663" s="40"/>
      <c r="E663" s="40"/>
      <c r="F663" s="40"/>
      <c r="G663" s="40"/>
      <c r="H663" s="40"/>
      <c r="I663" s="40"/>
      <c r="J663" s="243">
        <f>J26</f>
        <v>33</v>
      </c>
      <c r="K663" s="41"/>
    </row>
    <row r="664" spans="2:14" ht="15" customHeight="1" x14ac:dyDescent="0.2">
      <c r="B664" s="38"/>
      <c r="C664" s="291"/>
      <c r="D664" s="380" t="s">
        <v>342</v>
      </c>
      <c r="E664" s="380"/>
      <c r="F664" s="380"/>
      <c r="G664" s="380"/>
      <c r="H664" s="380"/>
      <c r="I664" s="380"/>
      <c r="J664" s="245"/>
      <c r="K664" s="41"/>
    </row>
    <row r="665" spans="2:14" x14ac:dyDescent="0.2">
      <c r="B665" s="38"/>
      <c r="C665" s="291"/>
      <c r="D665" s="380"/>
      <c r="E665" s="380"/>
      <c r="F665" s="380"/>
      <c r="G665" s="380"/>
      <c r="H665" s="380"/>
      <c r="I665" s="380"/>
      <c r="J665" s="245"/>
      <c r="K665" s="41"/>
    </row>
    <row r="666" spans="2:14" x14ac:dyDescent="0.2">
      <c r="B666" s="38"/>
      <c r="C666" s="40" t="s">
        <v>260</v>
      </c>
      <c r="D666" s="40"/>
      <c r="E666" s="40"/>
      <c r="F666" s="40"/>
      <c r="G666" s="40"/>
      <c r="H666" s="40"/>
      <c r="I666" s="40"/>
      <c r="J666" s="245" t="str">
        <f>IF(OR(J661=0,J661="Not Calculated")=TRUE,"Not Calculated",IF(((J661+J663)/(J661-J662))&lt;=1,0,IF(((J661+J663)/(J661-J662))&lt;=1.1,1,IF(((J661+J663)/(J661-J662))&lt;=1.5, 2,IF(((J661+J663)/(J661-J662))&lt;=2,3,4)))))</f>
        <v>Not Calculated</v>
      </c>
      <c r="K666" s="41"/>
    </row>
    <row r="667" spans="2:14" ht="9.75" customHeight="1" x14ac:dyDescent="0.2">
      <c r="B667" s="38"/>
      <c r="C667" s="279" t="str">
        <f>"0:"</f>
        <v>0:</v>
      </c>
      <c r="D667" s="278" t="s">
        <v>918</v>
      </c>
      <c r="E667" s="291"/>
      <c r="F667" s="291"/>
      <c r="G667" s="291"/>
      <c r="H667" s="291"/>
      <c r="I667" s="291"/>
      <c r="J667" s="245"/>
      <c r="K667" s="41"/>
    </row>
    <row r="668" spans="2:14" ht="9.75" customHeight="1" x14ac:dyDescent="0.2">
      <c r="B668" s="38"/>
      <c r="C668" s="280" t="str">
        <f>"1:"</f>
        <v>1:</v>
      </c>
      <c r="D668" s="278" t="s">
        <v>923</v>
      </c>
      <c r="E668" s="291"/>
      <c r="F668" s="291"/>
      <c r="G668" s="291"/>
      <c r="H668" s="291"/>
      <c r="I668" s="291"/>
      <c r="J668" s="245"/>
      <c r="K668" s="41"/>
    </row>
    <row r="669" spans="2:14" ht="9.75" customHeight="1" x14ac:dyDescent="0.2">
      <c r="B669" s="38"/>
      <c r="C669" s="280" t="str">
        <f>"2:"</f>
        <v>2:</v>
      </c>
      <c r="D669" s="278" t="s">
        <v>924</v>
      </c>
      <c r="E669" s="291"/>
      <c r="F669" s="291"/>
      <c r="G669" s="291"/>
      <c r="H669" s="291"/>
      <c r="I669" s="291"/>
      <c r="J669" s="245"/>
      <c r="K669" s="41"/>
    </row>
    <row r="670" spans="2:14" ht="9.75" customHeight="1" x14ac:dyDescent="0.2">
      <c r="B670" s="38"/>
      <c r="C670" s="280" t="str">
        <f>"3:"</f>
        <v>3:</v>
      </c>
      <c r="D670" s="278" t="s">
        <v>925</v>
      </c>
      <c r="E670" s="291"/>
      <c r="F670" s="291"/>
      <c r="G670" s="291"/>
      <c r="H670" s="291"/>
      <c r="I670" s="291"/>
      <c r="J670" s="245"/>
      <c r="K670" s="41"/>
    </row>
    <row r="671" spans="2:14" ht="9.75" customHeight="1" x14ac:dyDescent="0.2">
      <c r="B671" s="38"/>
      <c r="C671" s="280" t="str">
        <f>"4:"</f>
        <v>4:</v>
      </c>
      <c r="D671" s="278" t="s">
        <v>926</v>
      </c>
      <c r="E671" s="40"/>
      <c r="F671" s="40"/>
      <c r="G671" s="40"/>
      <c r="H671" s="40"/>
      <c r="I671" s="40"/>
      <c r="J671" s="40"/>
      <c r="K671" s="41"/>
      <c r="N671" s="12" t="s">
        <v>661</v>
      </c>
    </row>
    <row r="672" spans="2:14" x14ac:dyDescent="0.2">
      <c r="B672" s="38"/>
      <c r="C672" s="174" t="s">
        <v>662</v>
      </c>
      <c r="D672" s="40"/>
      <c r="E672" s="40"/>
      <c r="F672" s="40"/>
      <c r="G672" s="40"/>
      <c r="H672" s="40"/>
      <c r="I672" s="40"/>
      <c r="J672" s="265" t="s">
        <v>661</v>
      </c>
      <c r="K672" s="41"/>
      <c r="N672" s="12" t="s">
        <v>894</v>
      </c>
    </row>
    <row r="673" spans="2:14" x14ac:dyDescent="0.2">
      <c r="B673" s="38"/>
      <c r="C673" s="174" t="s">
        <v>660</v>
      </c>
      <c r="D673" s="40"/>
      <c r="E673" s="40"/>
      <c r="F673" s="40"/>
      <c r="G673" s="40"/>
      <c r="H673" s="40"/>
      <c r="I673" s="40"/>
      <c r="J673" s="246" t="str">
        <f>IF(J672=N671,"N/A",IF(J672=N672,0,IF(J672=N673,1,IF(J672=N674,2,IF(J672=N675,3,IF(J672=N676,4,"N/A"))))))</f>
        <v>N/A</v>
      </c>
      <c r="K673" s="41"/>
      <c r="N673" s="12" t="s">
        <v>908</v>
      </c>
    </row>
    <row r="674" spans="2:14" x14ac:dyDescent="0.2">
      <c r="B674" s="38"/>
      <c r="C674" s="40" t="s">
        <v>257</v>
      </c>
      <c r="D674" s="40"/>
      <c r="E674" s="40"/>
      <c r="F674" s="40"/>
      <c r="G674" s="40"/>
      <c r="H674" s="40"/>
      <c r="I674" s="40"/>
      <c r="J674" s="266" t="s">
        <v>879</v>
      </c>
      <c r="K674" s="41"/>
      <c r="N674" s="12" t="s">
        <v>900</v>
      </c>
    </row>
    <row r="675" spans="2:14" x14ac:dyDescent="0.2">
      <c r="B675" s="38"/>
      <c r="C675" s="40" t="s">
        <v>261</v>
      </c>
      <c r="D675" s="40"/>
      <c r="E675" s="40"/>
      <c r="F675" s="40"/>
      <c r="G675" s="40"/>
      <c r="H675" s="40"/>
      <c r="I675" s="40"/>
      <c r="J675" s="248">
        <f>IF(J674=$B$973,$A$973,IF(J674=$B$974,$A$974,IF(J674=$B$975,$A$975,IF(J674=$B$976,$A$976,IF(J674=$B$977,$A$977,"Not Calculated")))))</f>
        <v>1</v>
      </c>
      <c r="K675" s="41"/>
      <c r="N675" s="12" t="s">
        <v>901</v>
      </c>
    </row>
    <row r="676" spans="2:14" x14ac:dyDescent="0.2">
      <c r="B676" s="38"/>
      <c r="C676" s="40" t="s">
        <v>893</v>
      </c>
      <c r="D676" s="40"/>
      <c r="E676" s="40"/>
      <c r="F676" s="40"/>
      <c r="G676" s="40"/>
      <c r="H676" s="40"/>
      <c r="I676" s="40"/>
      <c r="J676" s="40"/>
      <c r="K676" s="41"/>
      <c r="N676" s="12" t="s">
        <v>909</v>
      </c>
    </row>
    <row r="677" spans="2:14" ht="15" customHeight="1" x14ac:dyDescent="0.2">
      <c r="B677" s="38"/>
      <c r="C677" s="399"/>
      <c r="D677" s="400"/>
      <c r="E677" s="400"/>
      <c r="F677" s="400"/>
      <c r="G677" s="400"/>
      <c r="H677" s="400"/>
      <c r="I677" s="400"/>
      <c r="J677" s="401"/>
      <c r="K677" s="41"/>
    </row>
    <row r="678" spans="2:14" x14ac:dyDescent="0.2">
      <c r="B678" s="38"/>
      <c r="C678" s="40"/>
      <c r="D678" s="40"/>
      <c r="E678" s="40"/>
      <c r="F678" s="40"/>
      <c r="G678" s="40"/>
      <c r="H678" s="40"/>
      <c r="I678" s="40"/>
      <c r="J678" s="40"/>
      <c r="K678" s="41"/>
    </row>
    <row r="679" spans="2:14" x14ac:dyDescent="0.2">
      <c r="B679" s="38"/>
      <c r="C679" s="179" t="s">
        <v>331</v>
      </c>
      <c r="D679" s="40"/>
      <c r="E679" s="40"/>
      <c r="F679" s="40"/>
      <c r="G679" s="40"/>
      <c r="H679" s="40"/>
      <c r="I679" s="40"/>
      <c r="J679" s="245" t="str">
        <f>IF(J673="N/A",IF(OR(J666="Not Calculated",J675="Not Calculated")=TRUE,"Not Calculated",AVERAGE(J666,J675)),AVERAGE(J673,J675))</f>
        <v>Not Calculated</v>
      </c>
      <c r="K679" s="41"/>
    </row>
    <row r="680" spans="2:14" x14ac:dyDescent="0.2">
      <c r="B680" s="38"/>
      <c r="C680" s="40"/>
      <c r="D680" s="40"/>
      <c r="E680" s="40"/>
      <c r="F680" s="40"/>
      <c r="G680" s="40"/>
      <c r="H680" s="40"/>
      <c r="I680" s="40"/>
      <c r="J680" s="40"/>
      <c r="K680" s="41"/>
    </row>
    <row r="681" spans="2:14" ht="18" x14ac:dyDescent="0.2">
      <c r="B681" s="38"/>
      <c r="C681" s="180" t="s">
        <v>332</v>
      </c>
      <c r="D681" s="40"/>
      <c r="E681" s="40"/>
      <c r="F681" s="40"/>
      <c r="G681" s="40"/>
      <c r="H681" s="40"/>
      <c r="I681" s="40"/>
      <c r="J681" s="244" t="str">
        <f>IF(OR(J562="Not Calculated",J585="Not Calculated",J601="Not Calculated",J615="Not Calculated",J635="Not Calculated",J657="Not Calculated",J679="Not Calculated")=TRUE,"Not Calculated",AVERAGE(J562,J585,J601,J615,J635,J657,J679))</f>
        <v>Not Calculated</v>
      </c>
      <c r="K681" s="41"/>
    </row>
    <row r="682" spans="2:14" ht="16" thickBot="1" x14ac:dyDescent="0.25">
      <c r="B682" s="46"/>
      <c r="C682" s="47"/>
      <c r="D682" s="47"/>
      <c r="E682" s="47"/>
      <c r="F682" s="47"/>
      <c r="G682" s="47"/>
      <c r="H682" s="47"/>
      <c r="I682" s="47"/>
      <c r="J682" s="47"/>
      <c r="K682" s="49"/>
    </row>
    <row r="683" spans="2:14" ht="16" thickBot="1" x14ac:dyDescent="0.25"/>
    <row r="684" spans="2:14" x14ac:dyDescent="0.2">
      <c r="B684" s="33"/>
      <c r="C684" s="34"/>
      <c r="D684" s="34"/>
      <c r="E684" s="34"/>
      <c r="F684" s="34"/>
      <c r="G684" s="34"/>
      <c r="H684" s="34"/>
      <c r="I684" s="34"/>
      <c r="J684" s="34"/>
      <c r="K684" s="37"/>
    </row>
    <row r="685" spans="2:14" ht="21" x14ac:dyDescent="0.25">
      <c r="B685" s="38"/>
      <c r="C685" s="40"/>
      <c r="D685" s="40"/>
      <c r="E685" s="40"/>
      <c r="F685" s="40"/>
      <c r="G685" s="172" t="s">
        <v>346</v>
      </c>
      <c r="H685" s="40"/>
      <c r="I685" s="40"/>
      <c r="J685" s="40"/>
      <c r="K685" s="41"/>
    </row>
    <row r="686" spans="2:14" x14ac:dyDescent="0.2">
      <c r="B686" s="38"/>
      <c r="C686" s="40"/>
      <c r="D686" s="40"/>
      <c r="E686" s="40"/>
      <c r="F686" s="40"/>
      <c r="G686" s="40"/>
      <c r="H686" s="40"/>
      <c r="I686" s="40"/>
      <c r="J686" s="40"/>
      <c r="K686" s="41"/>
    </row>
    <row r="687" spans="2:14" ht="16" x14ac:dyDescent="0.2">
      <c r="B687" s="38"/>
      <c r="C687" s="182" t="s">
        <v>986</v>
      </c>
      <c r="D687" s="40"/>
      <c r="E687" s="40"/>
      <c r="F687" s="40"/>
      <c r="G687" s="40"/>
      <c r="H687" s="40"/>
      <c r="I687" s="40"/>
      <c r="J687" s="257" t="str">
        <f>IF(OR($J$133="Not Calculated",$J$261="Not Calculated",$J$421="Not Calculated",$J$539="Not Calculated",$J$681="Not Calculated")=TRUE,"Not Calculated",AVERAGE($J$133,$J$261,$J$421,$J$539,$J$681))</f>
        <v>Not Calculated</v>
      </c>
      <c r="K687" s="41"/>
    </row>
    <row r="688" spans="2:14" x14ac:dyDescent="0.2">
      <c r="B688" s="38"/>
      <c r="C688" s="40"/>
      <c r="D688" s="40" t="s">
        <v>343</v>
      </c>
      <c r="E688" s="40"/>
      <c r="F688" s="40"/>
      <c r="G688" s="40"/>
      <c r="H688" s="40"/>
      <c r="I688" s="40"/>
      <c r="J688" s="40"/>
      <c r="K688" s="41"/>
    </row>
    <row r="689" spans="2:11" x14ac:dyDescent="0.2">
      <c r="B689" s="38"/>
      <c r="C689" s="40"/>
      <c r="D689" s="40"/>
      <c r="E689" s="40"/>
      <c r="F689" s="40"/>
      <c r="G689" s="40"/>
      <c r="H689" s="40"/>
      <c r="I689" s="40"/>
      <c r="J689" s="40"/>
      <c r="K689" s="41"/>
    </row>
    <row r="690" spans="2:11" ht="16" x14ac:dyDescent="0.2">
      <c r="B690" s="38"/>
      <c r="C690" s="182" t="s">
        <v>987</v>
      </c>
      <c r="D690" s="40"/>
      <c r="E690" s="40"/>
      <c r="F690" s="40"/>
      <c r="G690" s="40"/>
      <c r="H690" s="40"/>
      <c r="I690" s="40"/>
      <c r="J690" s="257" t="str">
        <f>IF(OR($J$133="Not Calculated",$J$261="Not Calculated",$J$539="Not Calculated",$J$681="Not Calculated")=TRUE,"Not Calculated",AVERAGE($J$133,$J$261,$J$539,$J$681))</f>
        <v>Not Calculated</v>
      </c>
      <c r="K690" s="41"/>
    </row>
    <row r="691" spans="2:11" x14ac:dyDescent="0.2">
      <c r="B691" s="38"/>
      <c r="C691" s="40"/>
      <c r="D691" s="40" t="s">
        <v>344</v>
      </c>
      <c r="E691" s="40"/>
      <c r="F691" s="40"/>
      <c r="G691" s="40"/>
      <c r="H691" s="40"/>
      <c r="I691" s="40"/>
      <c r="J691" s="40"/>
      <c r="K691" s="41"/>
    </row>
    <row r="692" spans="2:11" x14ac:dyDescent="0.2">
      <c r="B692" s="38"/>
      <c r="C692" s="40"/>
      <c r="D692" s="40"/>
      <c r="E692" s="40"/>
      <c r="F692" s="40"/>
      <c r="G692" s="40"/>
      <c r="H692" s="40"/>
      <c r="I692" s="40"/>
      <c r="J692" s="40"/>
      <c r="K692" s="41"/>
    </row>
    <row r="693" spans="2:11" ht="16" x14ac:dyDescent="0.2">
      <c r="B693" s="38"/>
      <c r="C693" s="182" t="s">
        <v>988</v>
      </c>
      <c r="D693" s="40"/>
      <c r="E693" s="40"/>
      <c r="F693" s="40"/>
      <c r="G693" s="40"/>
      <c r="H693" s="40"/>
      <c r="I693" s="40"/>
      <c r="J693" s="257" t="str">
        <f>IF(OR($J$133="Not Calculated",$J$261="Not Calculated",$J$421="Not Calculated")=TRUE,"Not Calculated",AVERAGE($J$133,$J$261,$J$421))</f>
        <v>Not Calculated</v>
      </c>
      <c r="K693" s="41"/>
    </row>
    <row r="694" spans="2:11" x14ac:dyDescent="0.2">
      <c r="B694" s="38"/>
      <c r="C694" s="40"/>
      <c r="D694" s="40" t="s">
        <v>345</v>
      </c>
      <c r="E694" s="40"/>
      <c r="F694" s="40"/>
      <c r="G694" s="40"/>
      <c r="H694" s="40"/>
      <c r="I694" s="40"/>
      <c r="J694" s="40"/>
      <c r="K694" s="41"/>
    </row>
    <row r="695" spans="2:11" ht="16" thickBot="1" x14ac:dyDescent="0.25">
      <c r="B695" s="46"/>
      <c r="C695" s="47"/>
      <c r="D695" s="47"/>
      <c r="E695" s="47"/>
      <c r="F695" s="47"/>
      <c r="G695" s="47"/>
      <c r="H695" s="47"/>
      <c r="I695" s="47"/>
      <c r="J695" s="47"/>
      <c r="K695" s="49"/>
    </row>
    <row r="696" spans="2:11" ht="16" thickBot="1" x14ac:dyDescent="0.25"/>
    <row r="697" spans="2:11" x14ac:dyDescent="0.2">
      <c r="B697" s="183"/>
      <c r="C697" s="184"/>
      <c r="D697" s="184"/>
      <c r="E697" s="184"/>
      <c r="F697" s="184"/>
      <c r="G697" s="184"/>
      <c r="H697" s="184"/>
      <c r="I697" s="184"/>
      <c r="J697" s="184"/>
      <c r="K697" s="185"/>
    </row>
    <row r="698" spans="2:11" ht="21" x14ac:dyDescent="0.25">
      <c r="B698" s="186"/>
      <c r="C698" s="187"/>
      <c r="D698" s="187"/>
      <c r="E698" s="187"/>
      <c r="F698" s="187"/>
      <c r="G698" s="188" t="s">
        <v>231</v>
      </c>
      <c r="H698" s="187"/>
      <c r="I698" s="187"/>
      <c r="J698" s="187"/>
      <c r="K698" s="189"/>
    </row>
    <row r="699" spans="2:11" x14ac:dyDescent="0.2">
      <c r="B699" s="186"/>
      <c r="C699" s="187"/>
      <c r="D699" s="187"/>
      <c r="E699" s="187"/>
      <c r="F699" s="187"/>
      <c r="G699" s="187"/>
      <c r="H699" s="187"/>
      <c r="I699" s="187"/>
      <c r="J699" s="187"/>
      <c r="K699" s="189"/>
    </row>
    <row r="700" spans="2:11" ht="16" x14ac:dyDescent="0.2">
      <c r="B700" s="186"/>
      <c r="C700" s="190" t="s">
        <v>989</v>
      </c>
      <c r="D700" s="187"/>
      <c r="E700" s="187"/>
      <c r="F700" s="187"/>
      <c r="G700" s="187"/>
      <c r="H700" s="187"/>
      <c r="I700" s="187"/>
      <c r="J700" s="256" t="str">
        <f>IF(OR(J687="Not Calculated",$E$17="Not Calculated")=TRUE,"Not Calculated",(J687*$E$17*100/16))</f>
        <v>Not Calculated</v>
      </c>
      <c r="K700" s="189"/>
    </row>
    <row r="701" spans="2:11" x14ac:dyDescent="0.2">
      <c r="B701" s="186"/>
      <c r="C701" s="187"/>
      <c r="D701" s="187" t="s">
        <v>377</v>
      </c>
      <c r="E701" s="187"/>
      <c r="F701" s="187"/>
      <c r="G701" s="187"/>
      <c r="H701" s="187"/>
      <c r="I701" s="187"/>
      <c r="J701" s="187"/>
      <c r="K701" s="189"/>
    </row>
    <row r="702" spans="2:11" x14ac:dyDescent="0.2">
      <c r="B702" s="186"/>
      <c r="C702" s="187"/>
      <c r="D702" s="187"/>
      <c r="E702" s="187"/>
      <c r="F702" s="187"/>
      <c r="G702" s="187"/>
      <c r="H702" s="187"/>
      <c r="I702" s="187"/>
      <c r="J702" s="187"/>
      <c r="K702" s="189"/>
    </row>
    <row r="703" spans="2:11" ht="16" x14ac:dyDescent="0.2">
      <c r="B703" s="186"/>
      <c r="C703" s="190" t="s">
        <v>990</v>
      </c>
      <c r="D703" s="187"/>
      <c r="E703" s="187"/>
      <c r="F703" s="187"/>
      <c r="G703" s="187"/>
      <c r="H703" s="187"/>
      <c r="I703" s="187"/>
      <c r="J703" s="256" t="str">
        <f>IF(OR(J690="Not Calculated",$E$17="Not Calculated")=TRUE,"Not Calculated",(J690*$E$17*100/16))</f>
        <v>Not Calculated</v>
      </c>
      <c r="K703" s="189"/>
    </row>
    <row r="704" spans="2:11" x14ac:dyDescent="0.2">
      <c r="B704" s="186"/>
      <c r="C704" s="187"/>
      <c r="D704" s="187" t="s">
        <v>378</v>
      </c>
      <c r="E704" s="187"/>
      <c r="F704" s="187"/>
      <c r="G704" s="187"/>
      <c r="H704" s="187"/>
      <c r="I704" s="187"/>
      <c r="J704" s="187"/>
      <c r="K704" s="189"/>
    </row>
    <row r="705" spans="2:11" x14ac:dyDescent="0.2">
      <c r="B705" s="186"/>
      <c r="C705" s="187"/>
      <c r="D705" s="187"/>
      <c r="E705" s="187"/>
      <c r="F705" s="187"/>
      <c r="G705" s="187"/>
      <c r="H705" s="187"/>
      <c r="I705" s="187"/>
      <c r="J705" s="187"/>
      <c r="K705" s="189"/>
    </row>
    <row r="706" spans="2:11" ht="16" x14ac:dyDescent="0.2">
      <c r="B706" s="186"/>
      <c r="C706" s="190" t="s">
        <v>991</v>
      </c>
      <c r="D706" s="187"/>
      <c r="E706" s="187"/>
      <c r="F706" s="187"/>
      <c r="G706" s="187"/>
      <c r="H706" s="187"/>
      <c r="I706" s="187"/>
      <c r="J706" s="256" t="str">
        <f>IF(OR(J693="Not Calculated",$E$17="Not Calculated")=TRUE,"Not Calculated",(J693*$E$17*100/16))</f>
        <v>Not Calculated</v>
      </c>
      <c r="K706" s="189"/>
    </row>
    <row r="707" spans="2:11" x14ac:dyDescent="0.2">
      <c r="B707" s="186"/>
      <c r="C707" s="187"/>
      <c r="D707" s="187" t="s">
        <v>379</v>
      </c>
      <c r="E707" s="187"/>
      <c r="F707" s="187"/>
      <c r="G707" s="187"/>
      <c r="H707" s="187"/>
      <c r="I707" s="187"/>
      <c r="J707" s="187"/>
      <c r="K707" s="189"/>
    </row>
    <row r="708" spans="2:11" ht="16" thickBot="1" x14ac:dyDescent="0.25">
      <c r="B708" s="191"/>
      <c r="C708" s="192"/>
      <c r="D708" s="192"/>
      <c r="E708" s="192"/>
      <c r="F708" s="192"/>
      <c r="G708" s="192"/>
      <c r="H708" s="192"/>
      <c r="I708" s="192"/>
      <c r="J708" s="192"/>
      <c r="K708" s="193"/>
    </row>
    <row r="709" spans="2:11" ht="16" thickBot="1" x14ac:dyDescent="0.25"/>
    <row r="710" spans="2:11" x14ac:dyDescent="0.2">
      <c r="B710" s="53"/>
      <c r="C710" s="54"/>
      <c r="D710" s="54"/>
      <c r="E710" s="54"/>
      <c r="F710" s="54"/>
      <c r="G710" s="54"/>
      <c r="H710" s="54"/>
      <c r="I710" s="54"/>
      <c r="J710" s="54"/>
      <c r="K710" s="56"/>
    </row>
    <row r="711" spans="2:11" ht="21" x14ac:dyDescent="0.25">
      <c r="B711" s="57"/>
      <c r="C711" s="59"/>
      <c r="D711" s="59"/>
      <c r="E711" s="59"/>
      <c r="F711" s="59"/>
      <c r="G711" s="194" t="s">
        <v>232</v>
      </c>
      <c r="H711" s="59"/>
      <c r="I711" s="59"/>
      <c r="J711" s="59"/>
      <c r="K711" s="61"/>
    </row>
    <row r="712" spans="2:11" x14ac:dyDescent="0.2">
      <c r="B712" s="57"/>
      <c r="C712" s="59"/>
      <c r="D712" s="59"/>
      <c r="E712" s="59"/>
      <c r="F712" s="59"/>
      <c r="G712" s="59"/>
      <c r="H712" s="59"/>
      <c r="I712" s="59"/>
      <c r="J712" s="59"/>
      <c r="K712" s="61"/>
    </row>
    <row r="713" spans="2:11" ht="16" x14ac:dyDescent="0.2">
      <c r="B713" s="57"/>
      <c r="C713" s="195" t="s">
        <v>363</v>
      </c>
      <c r="D713" s="59"/>
      <c r="E713" s="59"/>
      <c r="F713" s="59"/>
      <c r="G713" s="59"/>
      <c r="H713" s="59"/>
      <c r="I713" s="59"/>
      <c r="J713" s="59"/>
      <c r="K713" s="61"/>
    </row>
    <row r="714" spans="2:11" ht="15" customHeight="1" x14ac:dyDescent="0.2">
      <c r="B714" s="57"/>
      <c r="C714" s="411" t="s">
        <v>364</v>
      </c>
      <c r="D714" s="411"/>
      <c r="E714" s="411"/>
      <c r="F714" s="411"/>
      <c r="G714" s="411"/>
      <c r="H714" s="411"/>
      <c r="I714" s="411"/>
      <c r="J714" s="411"/>
      <c r="K714" s="61"/>
    </row>
    <row r="715" spans="2:11" x14ac:dyDescent="0.2">
      <c r="B715" s="57"/>
      <c r="C715" s="411"/>
      <c r="D715" s="411"/>
      <c r="E715" s="411"/>
      <c r="F715" s="411"/>
      <c r="G715" s="411"/>
      <c r="H715" s="411"/>
      <c r="I715" s="411"/>
      <c r="J715" s="411"/>
      <c r="K715" s="61"/>
    </row>
    <row r="716" spans="2:11" x14ac:dyDescent="0.2">
      <c r="B716" s="57"/>
      <c r="C716" s="411"/>
      <c r="D716" s="411"/>
      <c r="E716" s="411"/>
      <c r="F716" s="411"/>
      <c r="G716" s="411"/>
      <c r="H716" s="411"/>
      <c r="I716" s="411"/>
      <c r="J716" s="411"/>
      <c r="K716" s="61"/>
    </row>
    <row r="717" spans="2:11" x14ac:dyDescent="0.2">
      <c r="B717" s="57"/>
      <c r="C717" s="196" t="s">
        <v>30</v>
      </c>
      <c r="D717" s="59"/>
      <c r="E717" s="59"/>
      <c r="F717" s="59"/>
      <c r="G717" s="408" t="s">
        <v>190</v>
      </c>
      <c r="H717" s="409"/>
      <c r="I717" s="59"/>
      <c r="J717" s="260">
        <f>IF(G717=$B$994,$A$994,IF(G717=$B$995,$A$995,"Not Calculated"))</f>
        <v>1</v>
      </c>
      <c r="K717" s="61"/>
    </row>
    <row r="718" spans="2:11" x14ac:dyDescent="0.2">
      <c r="B718" s="57"/>
      <c r="C718" s="196" t="s">
        <v>32</v>
      </c>
      <c r="D718" s="59"/>
      <c r="E718" s="59"/>
      <c r="F718" s="59"/>
      <c r="G718" s="408" t="s">
        <v>190</v>
      </c>
      <c r="H718" s="409"/>
      <c r="I718" s="59"/>
      <c r="J718" s="260">
        <f t="shared" ref="J718:J725" si="0">IF(G718=$B$994,$A$994,IF(G718=$B$995,$A$995,"Not Calculated"))</f>
        <v>1</v>
      </c>
      <c r="K718" s="61"/>
    </row>
    <row r="719" spans="2:11" x14ac:dyDescent="0.2">
      <c r="B719" s="57"/>
      <c r="C719" s="196" t="s">
        <v>34</v>
      </c>
      <c r="D719" s="59"/>
      <c r="E719" s="59"/>
      <c r="F719" s="59"/>
      <c r="G719" s="408" t="s">
        <v>202</v>
      </c>
      <c r="H719" s="409"/>
      <c r="I719" s="59"/>
      <c r="J719" s="260">
        <f t="shared" si="0"/>
        <v>0</v>
      </c>
      <c r="K719" s="61"/>
    </row>
    <row r="720" spans="2:11" x14ac:dyDescent="0.2">
      <c r="B720" s="57"/>
      <c r="C720" s="196" t="s">
        <v>35</v>
      </c>
      <c r="D720" s="59"/>
      <c r="E720" s="59"/>
      <c r="F720" s="59"/>
      <c r="G720" s="408" t="s">
        <v>190</v>
      </c>
      <c r="H720" s="409"/>
      <c r="I720" s="59"/>
      <c r="J720" s="260">
        <f t="shared" si="0"/>
        <v>1</v>
      </c>
      <c r="K720" s="61"/>
    </row>
    <row r="721" spans="2:11" x14ac:dyDescent="0.2">
      <c r="B721" s="57"/>
      <c r="C721" s="196" t="s">
        <v>37</v>
      </c>
      <c r="D721" s="59"/>
      <c r="E721" s="59"/>
      <c r="F721" s="59"/>
      <c r="G721" s="408" t="s">
        <v>190</v>
      </c>
      <c r="H721" s="409"/>
      <c r="I721" s="59"/>
      <c r="J721" s="260">
        <f t="shared" si="0"/>
        <v>1</v>
      </c>
      <c r="K721" s="61"/>
    </row>
    <row r="722" spans="2:11" x14ac:dyDescent="0.2">
      <c r="B722" s="57"/>
      <c r="C722" s="196" t="s">
        <v>38</v>
      </c>
      <c r="D722" s="59"/>
      <c r="E722" s="59"/>
      <c r="F722" s="59"/>
      <c r="G722" s="408" t="s">
        <v>190</v>
      </c>
      <c r="H722" s="409"/>
      <c r="I722" s="59"/>
      <c r="J722" s="260">
        <f t="shared" si="0"/>
        <v>1</v>
      </c>
      <c r="K722" s="61"/>
    </row>
    <row r="723" spans="2:11" x14ac:dyDescent="0.2">
      <c r="B723" s="57"/>
      <c r="C723" s="196" t="s">
        <v>40</v>
      </c>
      <c r="D723" s="59"/>
      <c r="E723" s="59"/>
      <c r="F723" s="59"/>
      <c r="G723" s="408" t="s">
        <v>202</v>
      </c>
      <c r="H723" s="409"/>
      <c r="I723" s="59"/>
      <c r="J723" s="260">
        <f t="shared" si="0"/>
        <v>0</v>
      </c>
      <c r="K723" s="61"/>
    </row>
    <row r="724" spans="2:11" x14ac:dyDescent="0.2">
      <c r="B724" s="57"/>
      <c r="C724" s="196" t="s">
        <v>41</v>
      </c>
      <c r="D724" s="59"/>
      <c r="E724" s="59"/>
      <c r="F724" s="59"/>
      <c r="G724" s="408" t="s">
        <v>190</v>
      </c>
      <c r="H724" s="409"/>
      <c r="I724" s="59"/>
      <c r="J724" s="260">
        <f t="shared" si="0"/>
        <v>1</v>
      </c>
      <c r="K724" s="61"/>
    </row>
    <row r="725" spans="2:11" x14ac:dyDescent="0.2">
      <c r="B725" s="57"/>
      <c r="C725" s="196" t="s">
        <v>43</v>
      </c>
      <c r="D725" s="59"/>
      <c r="E725" s="59"/>
      <c r="F725" s="59"/>
      <c r="G725" s="408" t="s">
        <v>202</v>
      </c>
      <c r="H725" s="409"/>
      <c r="I725" s="59"/>
      <c r="J725" s="260">
        <f t="shared" si="0"/>
        <v>0</v>
      </c>
      <c r="K725" s="61"/>
    </row>
    <row r="726" spans="2:11" x14ac:dyDescent="0.2">
      <c r="B726" s="57"/>
      <c r="C726" s="59"/>
      <c r="D726" s="59"/>
      <c r="E726" s="59"/>
      <c r="F726" s="59"/>
      <c r="G726" s="59"/>
      <c r="H726" s="59"/>
      <c r="I726" s="59"/>
      <c r="J726" s="59"/>
      <c r="K726" s="61"/>
    </row>
    <row r="727" spans="2:11" x14ac:dyDescent="0.2">
      <c r="B727" s="57"/>
      <c r="C727" s="59"/>
      <c r="D727" s="59"/>
      <c r="E727" s="59"/>
      <c r="F727" s="59"/>
      <c r="G727" s="59"/>
      <c r="H727" s="59"/>
      <c r="I727" s="59"/>
      <c r="J727" s="59"/>
      <c r="K727" s="61"/>
    </row>
    <row r="728" spans="2:11" ht="16" x14ac:dyDescent="0.2">
      <c r="B728" s="57"/>
      <c r="C728" s="195" t="s">
        <v>115</v>
      </c>
      <c r="D728" s="59"/>
      <c r="E728" s="59"/>
      <c r="F728" s="59"/>
      <c r="G728" s="59"/>
      <c r="H728" s="59"/>
      <c r="I728" s="59"/>
      <c r="J728" s="59"/>
      <c r="K728" s="61"/>
    </row>
    <row r="729" spans="2:11" ht="15" customHeight="1" x14ac:dyDescent="0.2">
      <c r="B729" s="57"/>
      <c r="C729" s="411" t="s">
        <v>365</v>
      </c>
      <c r="D729" s="411"/>
      <c r="E729" s="411"/>
      <c r="F729" s="411"/>
      <c r="G729" s="411"/>
      <c r="H729" s="411"/>
      <c r="I729" s="411"/>
      <c r="J729" s="411"/>
      <c r="K729" s="61"/>
    </row>
    <row r="730" spans="2:11" x14ac:dyDescent="0.2">
      <c r="B730" s="57"/>
      <c r="C730" s="411"/>
      <c r="D730" s="411"/>
      <c r="E730" s="411"/>
      <c r="F730" s="411"/>
      <c r="G730" s="411"/>
      <c r="H730" s="411"/>
      <c r="I730" s="411"/>
      <c r="J730" s="411"/>
      <c r="K730" s="61"/>
    </row>
    <row r="731" spans="2:11" x14ac:dyDescent="0.2">
      <c r="B731" s="57"/>
      <c r="C731" s="411"/>
      <c r="D731" s="411"/>
      <c r="E731" s="411"/>
      <c r="F731" s="411"/>
      <c r="G731" s="411"/>
      <c r="H731" s="411"/>
      <c r="I731" s="411"/>
      <c r="J731" s="411"/>
      <c r="K731" s="61"/>
    </row>
    <row r="732" spans="2:11" x14ac:dyDescent="0.2">
      <c r="B732" s="57"/>
      <c r="C732" s="196" t="s">
        <v>30</v>
      </c>
      <c r="D732" s="59"/>
      <c r="E732" s="59"/>
      <c r="F732" s="59"/>
      <c r="G732" s="408" t="s">
        <v>202</v>
      </c>
      <c r="H732" s="409"/>
      <c r="I732" s="59"/>
      <c r="J732" s="260">
        <f>IF(G732=$B$994,$A$994,IF(G732=$B$995,$A$995,"Not Calculated"))</f>
        <v>0</v>
      </c>
      <c r="K732" s="61"/>
    </row>
    <row r="733" spans="2:11" x14ac:dyDescent="0.2">
      <c r="B733" s="57"/>
      <c r="C733" s="196" t="s">
        <v>32</v>
      </c>
      <c r="D733" s="59"/>
      <c r="E733" s="59"/>
      <c r="F733" s="59"/>
      <c r="G733" s="408" t="s">
        <v>202</v>
      </c>
      <c r="H733" s="409"/>
      <c r="I733" s="59"/>
      <c r="J733" s="260">
        <f t="shared" ref="J733:J740" si="1">IF(G733=$B$994,$A$994,IF(G733=$B$995,$A$995,"Not Calculated"))</f>
        <v>0</v>
      </c>
      <c r="K733" s="61"/>
    </row>
    <row r="734" spans="2:11" x14ac:dyDescent="0.2">
      <c r="B734" s="57"/>
      <c r="C734" s="196" t="s">
        <v>34</v>
      </c>
      <c r="D734" s="59"/>
      <c r="E734" s="59"/>
      <c r="F734" s="59"/>
      <c r="G734" s="408" t="s">
        <v>202</v>
      </c>
      <c r="H734" s="409"/>
      <c r="I734" s="59"/>
      <c r="J734" s="260">
        <f t="shared" si="1"/>
        <v>0</v>
      </c>
      <c r="K734" s="61"/>
    </row>
    <row r="735" spans="2:11" x14ac:dyDescent="0.2">
      <c r="B735" s="57"/>
      <c r="C735" s="196" t="s">
        <v>35</v>
      </c>
      <c r="D735" s="59"/>
      <c r="E735" s="59"/>
      <c r="F735" s="59"/>
      <c r="G735" s="408" t="s">
        <v>202</v>
      </c>
      <c r="H735" s="409"/>
      <c r="I735" s="59"/>
      <c r="J735" s="260">
        <f t="shared" si="1"/>
        <v>0</v>
      </c>
      <c r="K735" s="61"/>
    </row>
    <row r="736" spans="2:11" x14ac:dyDescent="0.2">
      <c r="B736" s="57"/>
      <c r="C736" s="196" t="s">
        <v>37</v>
      </c>
      <c r="D736" s="59"/>
      <c r="E736" s="59"/>
      <c r="F736" s="59"/>
      <c r="G736" s="408" t="s">
        <v>202</v>
      </c>
      <c r="H736" s="409"/>
      <c r="I736" s="59"/>
      <c r="J736" s="260">
        <f t="shared" si="1"/>
        <v>0</v>
      </c>
      <c r="K736" s="61"/>
    </row>
    <row r="737" spans="2:11" x14ac:dyDescent="0.2">
      <c r="B737" s="57"/>
      <c r="C737" s="196" t="s">
        <v>38</v>
      </c>
      <c r="D737" s="59"/>
      <c r="E737" s="59"/>
      <c r="F737" s="59"/>
      <c r="G737" s="408" t="s">
        <v>202</v>
      </c>
      <c r="H737" s="409"/>
      <c r="I737" s="59"/>
      <c r="J737" s="260">
        <f t="shared" si="1"/>
        <v>0</v>
      </c>
      <c r="K737" s="61"/>
    </row>
    <row r="738" spans="2:11" x14ac:dyDescent="0.2">
      <c r="B738" s="57"/>
      <c r="C738" s="196" t="s">
        <v>40</v>
      </c>
      <c r="D738" s="59"/>
      <c r="E738" s="59"/>
      <c r="F738" s="59"/>
      <c r="G738" s="408" t="s">
        <v>202</v>
      </c>
      <c r="H738" s="409"/>
      <c r="I738" s="59"/>
      <c r="J738" s="260">
        <f t="shared" si="1"/>
        <v>0</v>
      </c>
      <c r="K738" s="61"/>
    </row>
    <row r="739" spans="2:11" x14ac:dyDescent="0.2">
      <c r="B739" s="57"/>
      <c r="C739" s="196" t="s">
        <v>41</v>
      </c>
      <c r="D739" s="59"/>
      <c r="E739" s="59"/>
      <c r="F739" s="59"/>
      <c r="G739" s="408" t="s">
        <v>202</v>
      </c>
      <c r="H739" s="409"/>
      <c r="I739" s="59"/>
      <c r="J739" s="260">
        <f t="shared" si="1"/>
        <v>0</v>
      </c>
      <c r="K739" s="61"/>
    </row>
    <row r="740" spans="2:11" x14ac:dyDescent="0.2">
      <c r="B740" s="57"/>
      <c r="C740" s="196" t="s">
        <v>43</v>
      </c>
      <c r="D740" s="59"/>
      <c r="E740" s="59"/>
      <c r="F740" s="59"/>
      <c r="G740" s="408" t="s">
        <v>202</v>
      </c>
      <c r="H740" s="409"/>
      <c r="I740" s="59"/>
      <c r="J740" s="260">
        <f t="shared" si="1"/>
        <v>0</v>
      </c>
      <c r="K740" s="61"/>
    </row>
    <row r="741" spans="2:11" x14ac:dyDescent="0.2">
      <c r="B741" s="57"/>
      <c r="C741" s="59"/>
      <c r="D741" s="59"/>
      <c r="E741" s="59"/>
      <c r="F741" s="59"/>
      <c r="G741" s="59"/>
      <c r="H741" s="59"/>
      <c r="I741" s="59"/>
      <c r="J741" s="59"/>
      <c r="K741" s="61"/>
    </row>
    <row r="742" spans="2:11" x14ac:dyDescent="0.2">
      <c r="B742" s="57"/>
      <c r="C742" s="59"/>
      <c r="D742" s="59"/>
      <c r="E742" s="59"/>
      <c r="F742" s="59"/>
      <c r="G742" s="59"/>
      <c r="H742" s="59"/>
      <c r="I742" s="59"/>
      <c r="J742" s="59"/>
      <c r="K742" s="61"/>
    </row>
    <row r="743" spans="2:11" ht="16" x14ac:dyDescent="0.2">
      <c r="B743" s="57"/>
      <c r="C743" s="195" t="s">
        <v>366</v>
      </c>
      <c r="D743" s="59"/>
      <c r="E743" s="59"/>
      <c r="F743" s="59"/>
      <c r="G743" s="59"/>
      <c r="H743" s="59"/>
      <c r="I743" s="59"/>
      <c r="J743" s="59"/>
      <c r="K743" s="61"/>
    </row>
    <row r="744" spans="2:11" ht="15" customHeight="1" x14ac:dyDescent="0.2">
      <c r="B744" s="57"/>
      <c r="C744" s="411" t="s">
        <v>367</v>
      </c>
      <c r="D744" s="411"/>
      <c r="E744" s="411"/>
      <c r="F744" s="411"/>
      <c r="G744" s="411"/>
      <c r="H744" s="411"/>
      <c r="I744" s="411"/>
      <c r="J744" s="411"/>
      <c r="K744" s="61"/>
    </row>
    <row r="745" spans="2:11" x14ac:dyDescent="0.2">
      <c r="B745" s="57"/>
      <c r="C745" s="411"/>
      <c r="D745" s="411"/>
      <c r="E745" s="411"/>
      <c r="F745" s="411"/>
      <c r="G745" s="411"/>
      <c r="H745" s="411"/>
      <c r="I745" s="411"/>
      <c r="J745" s="411"/>
      <c r="K745" s="61"/>
    </row>
    <row r="746" spans="2:11" x14ac:dyDescent="0.2">
      <c r="B746" s="57"/>
      <c r="C746" s="411"/>
      <c r="D746" s="411"/>
      <c r="E746" s="411"/>
      <c r="F746" s="411"/>
      <c r="G746" s="411"/>
      <c r="H746" s="411"/>
      <c r="I746" s="411"/>
      <c r="J746" s="411"/>
      <c r="K746" s="61"/>
    </row>
    <row r="747" spans="2:11" x14ac:dyDescent="0.2">
      <c r="B747" s="57"/>
      <c r="C747" s="196" t="s">
        <v>30</v>
      </c>
      <c r="D747" s="59"/>
      <c r="E747" s="59"/>
      <c r="F747" s="59"/>
      <c r="G747" s="408" t="s">
        <v>202</v>
      </c>
      <c r="H747" s="409"/>
      <c r="I747" s="59"/>
      <c r="J747" s="260">
        <f>IF(G747=$B$994,$A$994,IF(G747=$B$995,$A$995,"Not Calculated"))</f>
        <v>0</v>
      </c>
      <c r="K747" s="61"/>
    </row>
    <row r="748" spans="2:11" x14ac:dyDescent="0.2">
      <c r="B748" s="57"/>
      <c r="C748" s="196" t="s">
        <v>32</v>
      </c>
      <c r="D748" s="59"/>
      <c r="E748" s="59"/>
      <c r="F748" s="59"/>
      <c r="G748" s="408" t="s">
        <v>202</v>
      </c>
      <c r="H748" s="409"/>
      <c r="I748" s="59"/>
      <c r="J748" s="260">
        <f t="shared" ref="J748:J755" si="2">IF(G748=$B$994,$A$994,IF(G748=$B$995,$A$995,"Not Calculated"))</f>
        <v>0</v>
      </c>
      <c r="K748" s="61"/>
    </row>
    <row r="749" spans="2:11" x14ac:dyDescent="0.2">
      <c r="B749" s="57"/>
      <c r="C749" s="196" t="s">
        <v>34</v>
      </c>
      <c r="D749" s="59"/>
      <c r="E749" s="59"/>
      <c r="F749" s="59"/>
      <c r="G749" s="408" t="s">
        <v>202</v>
      </c>
      <c r="H749" s="409"/>
      <c r="I749" s="59"/>
      <c r="J749" s="260">
        <f t="shared" si="2"/>
        <v>0</v>
      </c>
      <c r="K749" s="61"/>
    </row>
    <row r="750" spans="2:11" x14ac:dyDescent="0.2">
      <c r="B750" s="57"/>
      <c r="C750" s="196" t="s">
        <v>35</v>
      </c>
      <c r="D750" s="59"/>
      <c r="E750" s="59"/>
      <c r="F750" s="59"/>
      <c r="G750" s="408" t="s">
        <v>202</v>
      </c>
      <c r="H750" s="409"/>
      <c r="I750" s="59"/>
      <c r="J750" s="260">
        <f t="shared" si="2"/>
        <v>0</v>
      </c>
      <c r="K750" s="61"/>
    </row>
    <row r="751" spans="2:11" x14ac:dyDescent="0.2">
      <c r="B751" s="57"/>
      <c r="C751" s="196" t="s">
        <v>37</v>
      </c>
      <c r="D751" s="59"/>
      <c r="E751" s="59"/>
      <c r="F751" s="59"/>
      <c r="G751" s="408" t="s">
        <v>202</v>
      </c>
      <c r="H751" s="409"/>
      <c r="I751" s="59"/>
      <c r="J751" s="260">
        <f t="shared" si="2"/>
        <v>0</v>
      </c>
      <c r="K751" s="61"/>
    </row>
    <row r="752" spans="2:11" x14ac:dyDescent="0.2">
      <c r="B752" s="57"/>
      <c r="C752" s="196" t="s">
        <v>38</v>
      </c>
      <c r="D752" s="59"/>
      <c r="E752" s="59"/>
      <c r="F752" s="59"/>
      <c r="G752" s="408" t="s">
        <v>202</v>
      </c>
      <c r="H752" s="409"/>
      <c r="I752" s="59"/>
      <c r="J752" s="260">
        <f t="shared" si="2"/>
        <v>0</v>
      </c>
      <c r="K752" s="61"/>
    </row>
    <row r="753" spans="2:11" x14ac:dyDescent="0.2">
      <c r="B753" s="57"/>
      <c r="C753" s="196" t="s">
        <v>40</v>
      </c>
      <c r="D753" s="59"/>
      <c r="E753" s="59"/>
      <c r="F753" s="59"/>
      <c r="G753" s="408" t="s">
        <v>202</v>
      </c>
      <c r="H753" s="409"/>
      <c r="I753" s="59"/>
      <c r="J753" s="260">
        <f t="shared" si="2"/>
        <v>0</v>
      </c>
      <c r="K753" s="61"/>
    </row>
    <row r="754" spans="2:11" x14ac:dyDescent="0.2">
      <c r="B754" s="57"/>
      <c r="C754" s="196" t="s">
        <v>41</v>
      </c>
      <c r="D754" s="59"/>
      <c r="E754" s="59"/>
      <c r="F754" s="59"/>
      <c r="G754" s="408" t="s">
        <v>202</v>
      </c>
      <c r="H754" s="409"/>
      <c r="I754" s="59"/>
      <c r="J754" s="260">
        <f t="shared" si="2"/>
        <v>0</v>
      </c>
      <c r="K754" s="61"/>
    </row>
    <row r="755" spans="2:11" x14ac:dyDescent="0.2">
      <c r="B755" s="57"/>
      <c r="C755" s="196" t="s">
        <v>43</v>
      </c>
      <c r="D755" s="59"/>
      <c r="E755" s="59"/>
      <c r="F755" s="59"/>
      <c r="G755" s="408" t="s">
        <v>202</v>
      </c>
      <c r="H755" s="409"/>
      <c r="I755" s="59"/>
      <c r="J755" s="260">
        <f t="shared" si="2"/>
        <v>0</v>
      </c>
      <c r="K755" s="61"/>
    </row>
    <row r="756" spans="2:11" x14ac:dyDescent="0.2">
      <c r="B756" s="57"/>
      <c r="C756" s="59"/>
      <c r="D756" s="59"/>
      <c r="E756" s="59"/>
      <c r="F756" s="59"/>
      <c r="G756" s="59"/>
      <c r="H756" s="59"/>
      <c r="I756" s="59"/>
      <c r="J756" s="59"/>
      <c r="K756" s="61"/>
    </row>
    <row r="757" spans="2:11" x14ac:dyDescent="0.2">
      <c r="B757" s="57"/>
      <c r="C757" s="59"/>
      <c r="D757" s="59"/>
      <c r="E757" s="59"/>
      <c r="F757" s="59"/>
      <c r="G757" s="59"/>
      <c r="H757" s="59"/>
      <c r="I757" s="59"/>
      <c r="J757" s="59"/>
      <c r="K757" s="61"/>
    </row>
    <row r="758" spans="2:11" ht="16" x14ac:dyDescent="0.2">
      <c r="B758" s="57"/>
      <c r="C758" s="195" t="s">
        <v>368</v>
      </c>
      <c r="D758" s="59"/>
      <c r="E758" s="59"/>
      <c r="F758" s="59"/>
      <c r="G758" s="59"/>
      <c r="H758" s="59"/>
      <c r="I758" s="59"/>
      <c r="J758" s="59"/>
      <c r="K758" s="61"/>
    </row>
    <row r="759" spans="2:11" ht="15" customHeight="1" x14ac:dyDescent="0.2">
      <c r="B759" s="57"/>
      <c r="C759" s="411" t="s">
        <v>369</v>
      </c>
      <c r="D759" s="411"/>
      <c r="E759" s="411"/>
      <c r="F759" s="411"/>
      <c r="G759" s="411"/>
      <c r="H759" s="411"/>
      <c r="I759" s="411"/>
      <c r="J759" s="411"/>
      <c r="K759" s="61"/>
    </row>
    <row r="760" spans="2:11" x14ac:dyDescent="0.2">
      <c r="B760" s="57"/>
      <c r="C760" s="411"/>
      <c r="D760" s="411"/>
      <c r="E760" s="411"/>
      <c r="F760" s="411"/>
      <c r="G760" s="411"/>
      <c r="H760" s="411"/>
      <c r="I760" s="411"/>
      <c r="J760" s="411"/>
      <c r="K760" s="61"/>
    </row>
    <row r="761" spans="2:11" x14ac:dyDescent="0.2">
      <c r="B761" s="57"/>
      <c r="C761" s="411"/>
      <c r="D761" s="411"/>
      <c r="E761" s="411"/>
      <c r="F761" s="411"/>
      <c r="G761" s="411"/>
      <c r="H761" s="411"/>
      <c r="I761" s="411"/>
      <c r="J761" s="411"/>
      <c r="K761" s="61"/>
    </row>
    <row r="762" spans="2:11" x14ac:dyDescent="0.2">
      <c r="B762" s="57"/>
      <c r="C762" s="196" t="s">
        <v>30</v>
      </c>
      <c r="D762" s="59"/>
      <c r="E762" s="59"/>
      <c r="F762" s="59"/>
      <c r="G762" s="408" t="s">
        <v>190</v>
      </c>
      <c r="H762" s="409"/>
      <c r="I762" s="59"/>
      <c r="J762" s="260">
        <f>IF(G762=$B$994,$A$994,IF(G762=$B$995,$A$995,"Not Calculated"))</f>
        <v>1</v>
      </c>
      <c r="K762" s="61"/>
    </row>
    <row r="763" spans="2:11" x14ac:dyDescent="0.2">
      <c r="B763" s="57"/>
      <c r="C763" s="196" t="s">
        <v>32</v>
      </c>
      <c r="D763" s="59"/>
      <c r="E763" s="59"/>
      <c r="F763" s="59"/>
      <c r="G763" s="408" t="s">
        <v>190</v>
      </c>
      <c r="H763" s="409"/>
      <c r="I763" s="59"/>
      <c r="J763" s="260">
        <f t="shared" ref="J763:J770" si="3">IF(G763=$B$994,$A$994,IF(G763=$B$995,$A$995,"Not Calculated"))</f>
        <v>1</v>
      </c>
      <c r="K763" s="61"/>
    </row>
    <row r="764" spans="2:11" x14ac:dyDescent="0.2">
      <c r="B764" s="57"/>
      <c r="C764" s="196" t="s">
        <v>34</v>
      </c>
      <c r="D764" s="59"/>
      <c r="E764" s="59"/>
      <c r="F764" s="59"/>
      <c r="G764" s="408" t="s">
        <v>190</v>
      </c>
      <c r="H764" s="409"/>
      <c r="I764" s="59"/>
      <c r="J764" s="260">
        <f t="shared" si="3"/>
        <v>1</v>
      </c>
      <c r="K764" s="61"/>
    </row>
    <row r="765" spans="2:11" x14ac:dyDescent="0.2">
      <c r="B765" s="57"/>
      <c r="C765" s="196" t="s">
        <v>35</v>
      </c>
      <c r="D765" s="59"/>
      <c r="E765" s="59"/>
      <c r="F765" s="59"/>
      <c r="G765" s="408" t="s">
        <v>190</v>
      </c>
      <c r="H765" s="409"/>
      <c r="I765" s="59"/>
      <c r="J765" s="260">
        <f t="shared" si="3"/>
        <v>1</v>
      </c>
      <c r="K765" s="61"/>
    </row>
    <row r="766" spans="2:11" x14ac:dyDescent="0.2">
      <c r="B766" s="57"/>
      <c r="C766" s="196" t="s">
        <v>37</v>
      </c>
      <c r="D766" s="59"/>
      <c r="E766" s="59"/>
      <c r="F766" s="59"/>
      <c r="G766" s="408" t="s">
        <v>190</v>
      </c>
      <c r="H766" s="409"/>
      <c r="I766" s="59"/>
      <c r="J766" s="260">
        <f t="shared" si="3"/>
        <v>1</v>
      </c>
      <c r="K766" s="61"/>
    </row>
    <row r="767" spans="2:11" x14ac:dyDescent="0.2">
      <c r="B767" s="57"/>
      <c r="C767" s="196" t="s">
        <v>38</v>
      </c>
      <c r="D767" s="59"/>
      <c r="E767" s="59"/>
      <c r="F767" s="59"/>
      <c r="G767" s="408" t="s">
        <v>190</v>
      </c>
      <c r="H767" s="409"/>
      <c r="I767" s="59"/>
      <c r="J767" s="260">
        <f t="shared" si="3"/>
        <v>1</v>
      </c>
      <c r="K767" s="61"/>
    </row>
    <row r="768" spans="2:11" x14ac:dyDescent="0.2">
      <c r="B768" s="57"/>
      <c r="C768" s="196" t="s">
        <v>40</v>
      </c>
      <c r="D768" s="59"/>
      <c r="E768" s="59"/>
      <c r="F768" s="59"/>
      <c r="G768" s="408" t="s">
        <v>190</v>
      </c>
      <c r="H768" s="409"/>
      <c r="I768" s="59"/>
      <c r="J768" s="260">
        <f t="shared" si="3"/>
        <v>1</v>
      </c>
      <c r="K768" s="61"/>
    </row>
    <row r="769" spans="2:11" x14ac:dyDescent="0.2">
      <c r="B769" s="57"/>
      <c r="C769" s="196" t="s">
        <v>41</v>
      </c>
      <c r="D769" s="59"/>
      <c r="E769" s="59"/>
      <c r="F769" s="59"/>
      <c r="G769" s="408" t="s">
        <v>190</v>
      </c>
      <c r="H769" s="409"/>
      <c r="I769" s="59"/>
      <c r="J769" s="260">
        <f t="shared" si="3"/>
        <v>1</v>
      </c>
      <c r="K769" s="61"/>
    </row>
    <row r="770" spans="2:11" x14ac:dyDescent="0.2">
      <c r="B770" s="57"/>
      <c r="C770" s="196" t="s">
        <v>43</v>
      </c>
      <c r="D770" s="59"/>
      <c r="E770" s="59"/>
      <c r="F770" s="59"/>
      <c r="G770" s="408" t="s">
        <v>190</v>
      </c>
      <c r="H770" s="409"/>
      <c r="I770" s="59"/>
      <c r="J770" s="260">
        <f t="shared" si="3"/>
        <v>1</v>
      </c>
      <c r="K770" s="61"/>
    </row>
    <row r="771" spans="2:11" x14ac:dyDescent="0.2">
      <c r="B771" s="57"/>
      <c r="C771" s="59"/>
      <c r="D771" s="59"/>
      <c r="E771" s="59"/>
      <c r="F771" s="59"/>
      <c r="G771" s="59"/>
      <c r="H771" s="59"/>
      <c r="I771" s="59"/>
      <c r="J771" s="59"/>
      <c r="K771" s="61"/>
    </row>
    <row r="772" spans="2:11" x14ac:dyDescent="0.2">
      <c r="B772" s="57"/>
      <c r="C772" s="59"/>
      <c r="D772" s="59"/>
      <c r="E772" s="59"/>
      <c r="F772" s="59"/>
      <c r="G772" s="59"/>
      <c r="H772" s="59"/>
      <c r="I772" s="59"/>
      <c r="J772" s="59"/>
      <c r="K772" s="61"/>
    </row>
    <row r="773" spans="2:11" ht="16" x14ac:dyDescent="0.2">
      <c r="B773" s="57"/>
      <c r="C773" s="197" t="s">
        <v>30</v>
      </c>
      <c r="D773" s="59"/>
      <c r="E773" s="59"/>
      <c r="F773" s="59"/>
      <c r="G773" s="59"/>
      <c r="H773" s="59"/>
      <c r="I773" s="59"/>
      <c r="J773" s="59"/>
      <c r="K773" s="61"/>
    </row>
    <row r="774" spans="2:11" x14ac:dyDescent="0.2">
      <c r="B774" s="57"/>
      <c r="C774" s="59"/>
      <c r="D774" s="59" t="s">
        <v>370</v>
      </c>
      <c r="E774" s="59"/>
      <c r="F774" s="59"/>
      <c r="G774" s="59"/>
      <c r="H774" s="59"/>
      <c r="I774" s="59"/>
      <c r="J774" s="60">
        <f>'Baseline At-Risk Pops'!H8</f>
        <v>0</v>
      </c>
      <c r="K774" s="61"/>
    </row>
    <row r="775" spans="2:11" x14ac:dyDescent="0.2">
      <c r="B775" s="57"/>
      <c r="C775" s="59"/>
      <c r="D775" s="59" t="s">
        <v>371</v>
      </c>
      <c r="E775" s="59"/>
      <c r="F775" s="59"/>
      <c r="G775" s="59"/>
      <c r="H775" s="59"/>
      <c r="I775" s="59"/>
      <c r="J775" s="60">
        <f>SUM(J717,J732,J747,J762)</f>
        <v>2</v>
      </c>
      <c r="K775" s="61"/>
    </row>
    <row r="776" spans="2:11" x14ac:dyDescent="0.2">
      <c r="B776" s="57"/>
      <c r="C776" s="59"/>
      <c r="D776" s="196" t="s">
        <v>372</v>
      </c>
      <c r="E776" s="59"/>
      <c r="F776" s="59"/>
      <c r="G776" s="59"/>
      <c r="H776" s="59"/>
      <c r="I776" s="59"/>
      <c r="J776" s="60">
        <f>AVERAGE(J774,J775)</f>
        <v>1</v>
      </c>
      <c r="K776" s="61"/>
    </row>
    <row r="777" spans="2:11" ht="16" x14ac:dyDescent="0.2">
      <c r="B777" s="57"/>
      <c r="C777" s="197" t="s">
        <v>32</v>
      </c>
      <c r="D777" s="59"/>
      <c r="E777" s="59"/>
      <c r="F777" s="59"/>
      <c r="G777" s="59"/>
      <c r="H777" s="59"/>
      <c r="I777" s="59"/>
      <c r="J777" s="60"/>
      <c r="K777" s="61"/>
    </row>
    <row r="778" spans="2:11" x14ac:dyDescent="0.2">
      <c r="B778" s="57"/>
      <c r="C778" s="59"/>
      <c r="D778" s="59" t="s">
        <v>370</v>
      </c>
      <c r="E778" s="59"/>
      <c r="F778" s="59"/>
      <c r="G778" s="59"/>
      <c r="H778" s="59"/>
      <c r="I778" s="59"/>
      <c r="J778" s="60">
        <f>'Baseline At-Risk Pops'!H14</f>
        <v>0</v>
      </c>
      <c r="K778" s="61"/>
    </row>
    <row r="779" spans="2:11" x14ac:dyDescent="0.2">
      <c r="B779" s="57"/>
      <c r="C779" s="59"/>
      <c r="D779" s="59" t="s">
        <v>371</v>
      </c>
      <c r="E779" s="59"/>
      <c r="F779" s="59"/>
      <c r="G779" s="59"/>
      <c r="H779" s="59"/>
      <c r="I779" s="59"/>
      <c r="J779" s="60">
        <f>SUM(J718,J733,J748,J763)</f>
        <v>2</v>
      </c>
      <c r="K779" s="61"/>
    </row>
    <row r="780" spans="2:11" x14ac:dyDescent="0.2">
      <c r="B780" s="57"/>
      <c r="C780" s="59"/>
      <c r="D780" s="196" t="s">
        <v>372</v>
      </c>
      <c r="E780" s="59"/>
      <c r="F780" s="59"/>
      <c r="G780" s="59"/>
      <c r="H780" s="59"/>
      <c r="I780" s="59"/>
      <c r="J780" s="60">
        <f>AVERAGE(J778,J779)</f>
        <v>1</v>
      </c>
      <c r="K780" s="61"/>
    </row>
    <row r="781" spans="2:11" ht="16" x14ac:dyDescent="0.2">
      <c r="B781" s="57"/>
      <c r="C781" s="197" t="s">
        <v>34</v>
      </c>
      <c r="D781" s="59"/>
      <c r="E781" s="59"/>
      <c r="F781" s="59"/>
      <c r="G781" s="59"/>
      <c r="H781" s="59"/>
      <c r="I781" s="59"/>
      <c r="J781" s="60"/>
      <c r="K781" s="61"/>
    </row>
    <row r="782" spans="2:11" ht="16" x14ac:dyDescent="0.2">
      <c r="B782" s="57"/>
      <c r="C782" s="197"/>
      <c r="D782" s="59" t="s">
        <v>370</v>
      </c>
      <c r="E782" s="59"/>
      <c r="F782" s="59"/>
      <c r="G782" s="59"/>
      <c r="H782" s="59"/>
      <c r="I782" s="59"/>
      <c r="J782" s="60">
        <f>'Baseline At-Risk Pops'!H21</f>
        <v>0</v>
      </c>
      <c r="K782" s="61"/>
    </row>
    <row r="783" spans="2:11" x14ac:dyDescent="0.2">
      <c r="B783" s="57"/>
      <c r="C783" s="59"/>
      <c r="D783" s="59" t="s">
        <v>371</v>
      </c>
      <c r="E783" s="59"/>
      <c r="F783" s="59"/>
      <c r="G783" s="59"/>
      <c r="H783" s="59"/>
      <c r="I783" s="59"/>
      <c r="J783" s="60">
        <f>SUM(J719,J734,J749,J764)</f>
        <v>1</v>
      </c>
      <c r="K783" s="61"/>
    </row>
    <row r="784" spans="2:11" x14ac:dyDescent="0.2">
      <c r="B784" s="57"/>
      <c r="C784" s="59"/>
      <c r="D784" s="196" t="s">
        <v>372</v>
      </c>
      <c r="E784" s="59"/>
      <c r="F784" s="59"/>
      <c r="G784" s="59"/>
      <c r="H784" s="59"/>
      <c r="I784" s="59"/>
      <c r="J784" s="60">
        <f>AVERAGE(J782,J783)</f>
        <v>0.5</v>
      </c>
      <c r="K784" s="61"/>
    </row>
    <row r="785" spans="2:11" ht="16" x14ac:dyDescent="0.2">
      <c r="B785" s="57"/>
      <c r="C785" s="197" t="s">
        <v>35</v>
      </c>
      <c r="D785" s="59"/>
      <c r="E785" s="59"/>
      <c r="F785" s="59"/>
      <c r="G785" s="59"/>
      <c r="H785" s="59"/>
      <c r="I785" s="59"/>
      <c r="J785" s="60"/>
      <c r="K785" s="61"/>
    </row>
    <row r="786" spans="2:11" x14ac:dyDescent="0.2">
      <c r="B786" s="57"/>
      <c r="C786" s="59"/>
      <c r="D786" s="59" t="s">
        <v>370</v>
      </c>
      <c r="E786" s="59"/>
      <c r="F786" s="59"/>
      <c r="G786" s="59"/>
      <c r="H786" s="59"/>
      <c r="I786" s="59"/>
      <c r="J786" s="60">
        <f>'Baseline At-Risk Pops'!H27</f>
        <v>0</v>
      </c>
      <c r="K786" s="61"/>
    </row>
    <row r="787" spans="2:11" x14ac:dyDescent="0.2">
      <c r="B787" s="57"/>
      <c r="C787" s="59"/>
      <c r="D787" s="59" t="s">
        <v>371</v>
      </c>
      <c r="E787" s="59"/>
      <c r="F787" s="59"/>
      <c r="G787" s="59"/>
      <c r="H787" s="59"/>
      <c r="I787" s="59"/>
      <c r="J787" s="60">
        <f>SUM(J720,J735,J750,J765)</f>
        <v>2</v>
      </c>
      <c r="K787" s="61"/>
    </row>
    <row r="788" spans="2:11" x14ac:dyDescent="0.2">
      <c r="B788" s="57"/>
      <c r="C788" s="59"/>
      <c r="D788" s="196" t="s">
        <v>372</v>
      </c>
      <c r="E788" s="59"/>
      <c r="F788" s="59"/>
      <c r="G788" s="59"/>
      <c r="H788" s="59"/>
      <c r="I788" s="59"/>
      <c r="J788" s="60">
        <f>AVERAGE(J786,J787)</f>
        <v>1</v>
      </c>
      <c r="K788" s="61"/>
    </row>
    <row r="789" spans="2:11" ht="16" x14ac:dyDescent="0.2">
      <c r="B789" s="57"/>
      <c r="C789" s="197" t="s">
        <v>37</v>
      </c>
      <c r="D789" s="59"/>
      <c r="E789" s="59"/>
      <c r="F789" s="59"/>
      <c r="G789" s="59"/>
      <c r="H789" s="59"/>
      <c r="I789" s="59"/>
      <c r="J789" s="60"/>
      <c r="K789" s="61"/>
    </row>
    <row r="790" spans="2:11" x14ac:dyDescent="0.2">
      <c r="B790" s="57"/>
      <c r="C790" s="59"/>
      <c r="D790" s="59" t="s">
        <v>370</v>
      </c>
      <c r="E790" s="59"/>
      <c r="F790" s="59"/>
      <c r="G790" s="59"/>
      <c r="H790" s="59"/>
      <c r="I790" s="59"/>
      <c r="J790" s="60">
        <f>'Baseline At-Risk Pops'!H34</f>
        <v>0</v>
      </c>
      <c r="K790" s="61"/>
    </row>
    <row r="791" spans="2:11" x14ac:dyDescent="0.2">
      <c r="B791" s="57"/>
      <c r="C791" s="59"/>
      <c r="D791" s="59" t="s">
        <v>371</v>
      </c>
      <c r="E791" s="59"/>
      <c r="F791" s="59"/>
      <c r="G791" s="59"/>
      <c r="H791" s="59"/>
      <c r="I791" s="59"/>
      <c r="J791" s="60">
        <f>SUM(J721,J736,J751,J766)</f>
        <v>2</v>
      </c>
      <c r="K791" s="61"/>
    </row>
    <row r="792" spans="2:11" x14ac:dyDescent="0.2">
      <c r="B792" s="57"/>
      <c r="C792" s="59"/>
      <c r="D792" s="196" t="s">
        <v>372</v>
      </c>
      <c r="E792" s="59"/>
      <c r="F792" s="59"/>
      <c r="G792" s="59"/>
      <c r="H792" s="59"/>
      <c r="I792" s="59"/>
      <c r="J792" s="60">
        <f>AVERAGE(J790,J791)</f>
        <v>1</v>
      </c>
      <c r="K792" s="61"/>
    </row>
    <row r="793" spans="2:11" ht="16" x14ac:dyDescent="0.2">
      <c r="B793" s="57"/>
      <c r="C793" s="197" t="s">
        <v>38</v>
      </c>
      <c r="D793" s="59"/>
      <c r="E793" s="59"/>
      <c r="F793" s="59"/>
      <c r="G793" s="59"/>
      <c r="H793" s="59"/>
      <c r="I793" s="59"/>
      <c r="J793" s="60"/>
      <c r="K793" s="61"/>
    </row>
    <row r="794" spans="2:11" x14ac:dyDescent="0.2">
      <c r="B794" s="57"/>
      <c r="C794" s="59"/>
      <c r="D794" s="59" t="s">
        <v>370</v>
      </c>
      <c r="E794" s="59"/>
      <c r="F794" s="59"/>
      <c r="G794" s="59"/>
      <c r="H794" s="59"/>
      <c r="I794" s="59"/>
      <c r="J794" s="60">
        <f>'Baseline At-Risk Pops'!H40</f>
        <v>0</v>
      </c>
      <c r="K794" s="61"/>
    </row>
    <row r="795" spans="2:11" x14ac:dyDescent="0.2">
      <c r="B795" s="57"/>
      <c r="C795" s="59"/>
      <c r="D795" s="59" t="s">
        <v>371</v>
      </c>
      <c r="E795" s="59"/>
      <c r="F795" s="59"/>
      <c r="G795" s="59"/>
      <c r="H795" s="59"/>
      <c r="I795" s="59"/>
      <c r="J795" s="60">
        <f>SUM(J722,J737,J752,J767)</f>
        <v>2</v>
      </c>
      <c r="K795" s="61"/>
    </row>
    <row r="796" spans="2:11" x14ac:dyDescent="0.2">
      <c r="B796" s="57"/>
      <c r="C796" s="59"/>
      <c r="D796" s="196" t="s">
        <v>372</v>
      </c>
      <c r="E796" s="59"/>
      <c r="F796" s="59"/>
      <c r="G796" s="59"/>
      <c r="H796" s="59"/>
      <c r="I796" s="59"/>
      <c r="J796" s="60">
        <f>AVERAGE(J794,J795)</f>
        <v>1</v>
      </c>
      <c r="K796" s="61"/>
    </row>
    <row r="797" spans="2:11" ht="16" x14ac:dyDescent="0.2">
      <c r="B797" s="57"/>
      <c r="C797" s="197" t="s">
        <v>40</v>
      </c>
      <c r="D797" s="59"/>
      <c r="E797" s="59"/>
      <c r="F797" s="59"/>
      <c r="G797" s="59"/>
      <c r="H797" s="59"/>
      <c r="I797" s="59"/>
      <c r="J797" s="60"/>
      <c r="K797" s="61"/>
    </row>
    <row r="798" spans="2:11" x14ac:dyDescent="0.2">
      <c r="B798" s="57"/>
      <c r="C798" s="59"/>
      <c r="D798" s="59" t="s">
        <v>370</v>
      </c>
      <c r="E798" s="59"/>
      <c r="F798" s="59"/>
      <c r="G798" s="59"/>
      <c r="H798" s="59"/>
      <c r="I798" s="59"/>
      <c r="J798" s="60">
        <f>'Baseline At-Risk Pops'!H46</f>
        <v>0</v>
      </c>
      <c r="K798" s="61"/>
    </row>
    <row r="799" spans="2:11" x14ac:dyDescent="0.2">
      <c r="B799" s="57"/>
      <c r="C799" s="59"/>
      <c r="D799" s="59" t="s">
        <v>371</v>
      </c>
      <c r="E799" s="59"/>
      <c r="F799" s="59"/>
      <c r="G799" s="59"/>
      <c r="H799" s="59"/>
      <c r="I799" s="59"/>
      <c r="J799" s="60">
        <f>SUM(J723,J738,J753,J768)</f>
        <v>1</v>
      </c>
      <c r="K799" s="61"/>
    </row>
    <row r="800" spans="2:11" x14ac:dyDescent="0.2">
      <c r="B800" s="57"/>
      <c r="C800" s="59"/>
      <c r="D800" s="196" t="s">
        <v>372</v>
      </c>
      <c r="E800" s="59"/>
      <c r="F800" s="59"/>
      <c r="G800" s="59"/>
      <c r="H800" s="59"/>
      <c r="I800" s="59"/>
      <c r="J800" s="60">
        <f>AVERAGE(J798,J799)</f>
        <v>0.5</v>
      </c>
      <c r="K800" s="61"/>
    </row>
    <row r="801" spans="2:11" ht="16" x14ac:dyDescent="0.2">
      <c r="B801" s="57"/>
      <c r="C801" s="197" t="s">
        <v>41</v>
      </c>
      <c r="D801" s="59"/>
      <c r="E801" s="59"/>
      <c r="F801" s="59"/>
      <c r="G801" s="59"/>
      <c r="H801" s="59"/>
      <c r="I801" s="59"/>
      <c r="J801" s="60"/>
      <c r="K801" s="61"/>
    </row>
    <row r="802" spans="2:11" ht="16" x14ac:dyDescent="0.2">
      <c r="B802" s="57"/>
      <c r="C802" s="197"/>
      <c r="D802" s="59" t="s">
        <v>370</v>
      </c>
      <c r="E802" s="59"/>
      <c r="F802" s="59"/>
      <c r="G802" s="59"/>
      <c r="H802" s="59"/>
      <c r="I802" s="59"/>
      <c r="J802" s="60">
        <f>'Baseline At-Risk Pops'!H52</f>
        <v>0</v>
      </c>
      <c r="K802" s="61"/>
    </row>
    <row r="803" spans="2:11" x14ac:dyDescent="0.2">
      <c r="B803" s="57"/>
      <c r="C803" s="59"/>
      <c r="D803" s="59" t="s">
        <v>371</v>
      </c>
      <c r="E803" s="59"/>
      <c r="F803" s="59"/>
      <c r="G803" s="59"/>
      <c r="H803" s="59"/>
      <c r="I803" s="59"/>
      <c r="J803" s="60">
        <f>SUM(J724,J739,J754,J769)</f>
        <v>2</v>
      </c>
      <c r="K803" s="61"/>
    </row>
    <row r="804" spans="2:11" x14ac:dyDescent="0.2">
      <c r="B804" s="57"/>
      <c r="C804" s="59"/>
      <c r="D804" s="196" t="s">
        <v>372</v>
      </c>
      <c r="E804" s="59"/>
      <c r="F804" s="59"/>
      <c r="G804" s="59"/>
      <c r="H804" s="59"/>
      <c r="I804" s="59"/>
      <c r="J804" s="60">
        <f>AVERAGE(J802,J803)</f>
        <v>1</v>
      </c>
      <c r="K804" s="61"/>
    </row>
    <row r="805" spans="2:11" ht="16" x14ac:dyDescent="0.2">
      <c r="B805" s="57"/>
      <c r="C805" s="197" t="s">
        <v>43</v>
      </c>
      <c r="D805" s="59"/>
      <c r="E805" s="59"/>
      <c r="F805" s="59"/>
      <c r="G805" s="59"/>
      <c r="H805" s="59"/>
      <c r="I805" s="59"/>
      <c r="J805" s="60"/>
      <c r="K805" s="61"/>
    </row>
    <row r="806" spans="2:11" x14ac:dyDescent="0.2">
      <c r="B806" s="57"/>
      <c r="C806" s="59"/>
      <c r="D806" s="59" t="s">
        <v>370</v>
      </c>
      <c r="E806" s="59"/>
      <c r="F806" s="59"/>
      <c r="G806" s="59"/>
      <c r="H806" s="59"/>
      <c r="I806" s="59"/>
      <c r="J806" s="60">
        <f>'Baseline At-Risk Pops'!H58</f>
        <v>0</v>
      </c>
      <c r="K806" s="61"/>
    </row>
    <row r="807" spans="2:11" x14ac:dyDescent="0.2">
      <c r="B807" s="57"/>
      <c r="C807" s="59"/>
      <c r="D807" s="59" t="s">
        <v>371</v>
      </c>
      <c r="E807" s="59"/>
      <c r="F807" s="59"/>
      <c r="G807" s="59"/>
      <c r="H807" s="59"/>
      <c r="I807" s="59"/>
      <c r="J807" s="60">
        <f>SUM(J725,J740,J755,J770)</f>
        <v>1</v>
      </c>
      <c r="K807" s="61"/>
    </row>
    <row r="808" spans="2:11" x14ac:dyDescent="0.2">
      <c r="B808" s="57"/>
      <c r="C808" s="59"/>
      <c r="D808" s="196" t="s">
        <v>372</v>
      </c>
      <c r="E808" s="59"/>
      <c r="F808" s="59"/>
      <c r="G808" s="59"/>
      <c r="H808" s="59"/>
      <c r="I808" s="59"/>
      <c r="J808" s="60">
        <f>AVERAGE(J806,J807)</f>
        <v>0.5</v>
      </c>
      <c r="K808" s="61"/>
    </row>
    <row r="809" spans="2:11" x14ac:dyDescent="0.2">
      <c r="B809" s="57"/>
      <c r="C809" s="59"/>
      <c r="D809" s="59"/>
      <c r="E809" s="59"/>
      <c r="F809" s="59"/>
      <c r="G809" s="59"/>
      <c r="H809" s="59"/>
      <c r="I809" s="59"/>
      <c r="J809" s="59"/>
      <c r="K809" s="61"/>
    </row>
    <row r="810" spans="2:11" x14ac:dyDescent="0.2">
      <c r="B810" s="57"/>
      <c r="C810" s="59"/>
      <c r="D810" s="59"/>
      <c r="E810" s="59"/>
      <c r="F810" s="59"/>
      <c r="G810" s="59"/>
      <c r="H810" s="59"/>
      <c r="I810" s="59"/>
      <c r="J810" s="59"/>
      <c r="K810" s="61"/>
    </row>
    <row r="811" spans="2:11" ht="16" x14ac:dyDescent="0.2">
      <c r="B811" s="57"/>
      <c r="C811" s="198" t="s">
        <v>373</v>
      </c>
      <c r="D811" s="59"/>
      <c r="E811" s="59"/>
      <c r="F811" s="59"/>
      <c r="G811" s="59"/>
      <c r="H811" s="59"/>
      <c r="I811" s="59"/>
      <c r="J811" s="261">
        <f>AVERAGE(J776,J780,J784,J788,J792,J796,J800,J804,J808)</f>
        <v>0.83333333333333337</v>
      </c>
      <c r="K811" s="61"/>
    </row>
    <row r="812" spans="2:11" ht="16" thickBot="1" x14ac:dyDescent="0.25">
      <c r="B812" s="73"/>
      <c r="C812" s="74"/>
      <c r="D812" s="74"/>
      <c r="E812" s="74"/>
      <c r="F812" s="74"/>
      <c r="G812" s="74"/>
      <c r="H812" s="74"/>
      <c r="I812" s="74"/>
      <c r="J812" s="74"/>
      <c r="K812" s="76"/>
    </row>
    <row r="813" spans="2:11" ht="16" thickBot="1" x14ac:dyDescent="0.25"/>
    <row r="814" spans="2:11" x14ac:dyDescent="0.2">
      <c r="B814" s="199"/>
      <c r="C814" s="200"/>
      <c r="D814" s="200"/>
      <c r="E814" s="200"/>
      <c r="F814" s="200"/>
      <c r="G814" s="200"/>
      <c r="H814" s="200"/>
      <c r="I814" s="200"/>
      <c r="J814" s="200"/>
      <c r="K814" s="201"/>
    </row>
    <row r="815" spans="2:11" ht="21" x14ac:dyDescent="0.25">
      <c r="B815" s="202"/>
      <c r="C815" s="203"/>
      <c r="D815" s="203"/>
      <c r="E815" s="203"/>
      <c r="F815" s="203"/>
      <c r="G815" s="204" t="s">
        <v>233</v>
      </c>
      <c r="H815" s="203"/>
      <c r="I815" s="203"/>
      <c r="J815" s="203"/>
      <c r="K815" s="205"/>
    </row>
    <row r="816" spans="2:11" x14ac:dyDescent="0.2">
      <c r="B816" s="202"/>
      <c r="C816" s="203"/>
      <c r="D816" s="203"/>
      <c r="E816" s="203"/>
      <c r="F816" s="203"/>
      <c r="G816" s="203"/>
      <c r="H816" s="203"/>
      <c r="I816" s="203"/>
      <c r="J816" s="203"/>
      <c r="K816" s="205"/>
    </row>
    <row r="817" spans="2:11" ht="16" x14ac:dyDescent="0.2">
      <c r="B817" s="202"/>
      <c r="C817" s="206" t="s">
        <v>992</v>
      </c>
      <c r="D817" s="203"/>
      <c r="E817" s="203"/>
      <c r="F817" s="203"/>
      <c r="G817" s="203"/>
      <c r="H817" s="203"/>
      <c r="I817" s="203"/>
      <c r="J817" s="262" t="str">
        <f>IF(J700="Not Calculated","Not Calculated",J700*(($J$811/4)+1))</f>
        <v>Not Calculated</v>
      </c>
      <c r="K817" s="205"/>
    </row>
    <row r="818" spans="2:11" x14ac:dyDescent="0.2">
      <c r="B818" s="202"/>
      <c r="C818" s="203"/>
      <c r="D818" s="203" t="s">
        <v>1119</v>
      </c>
      <c r="E818" s="203"/>
      <c r="F818" s="203"/>
      <c r="G818" s="203"/>
      <c r="H818" s="203"/>
      <c r="I818" s="203"/>
      <c r="J818" s="203"/>
      <c r="K818" s="205"/>
    </row>
    <row r="819" spans="2:11" x14ac:dyDescent="0.2">
      <c r="B819" s="202"/>
      <c r="C819" s="203"/>
      <c r="D819" s="203"/>
      <c r="E819" s="203"/>
      <c r="F819" s="203"/>
      <c r="G819" s="203"/>
      <c r="H819" s="203"/>
      <c r="I819" s="203"/>
      <c r="J819" s="203"/>
      <c r="K819" s="205"/>
    </row>
    <row r="820" spans="2:11" ht="16" x14ac:dyDescent="0.2">
      <c r="B820" s="202"/>
      <c r="C820" s="206" t="s">
        <v>993</v>
      </c>
      <c r="D820" s="203"/>
      <c r="E820" s="203"/>
      <c r="F820" s="203"/>
      <c r="G820" s="203"/>
      <c r="H820" s="203"/>
      <c r="I820" s="203"/>
      <c r="J820" s="262" t="str">
        <f>IF(J703="Not Calculated","Not Calculated",J703*(($J$811/4)+1))</f>
        <v>Not Calculated</v>
      </c>
      <c r="K820" s="205"/>
    </row>
    <row r="821" spans="2:11" x14ac:dyDescent="0.2">
      <c r="B821" s="202"/>
      <c r="C821" s="203"/>
      <c r="D821" s="203" t="s">
        <v>1120</v>
      </c>
      <c r="E821" s="203"/>
      <c r="F821" s="203"/>
      <c r="G821" s="203"/>
      <c r="H821" s="203"/>
      <c r="I821" s="203"/>
      <c r="J821" s="203"/>
      <c r="K821" s="205"/>
    </row>
    <row r="822" spans="2:11" x14ac:dyDescent="0.2">
      <c r="B822" s="202"/>
      <c r="C822" s="203"/>
      <c r="D822" s="203"/>
      <c r="E822" s="203"/>
      <c r="F822" s="203"/>
      <c r="G822" s="203"/>
      <c r="H822" s="203"/>
      <c r="I822" s="203"/>
      <c r="J822" s="203"/>
      <c r="K822" s="205"/>
    </row>
    <row r="823" spans="2:11" ht="16" x14ac:dyDescent="0.2">
      <c r="B823" s="202"/>
      <c r="C823" s="206" t="s">
        <v>994</v>
      </c>
      <c r="D823" s="203"/>
      <c r="E823" s="203"/>
      <c r="F823" s="203"/>
      <c r="G823" s="203"/>
      <c r="H823" s="203"/>
      <c r="I823" s="203"/>
      <c r="J823" s="262" t="str">
        <f>IF(J706="Not Calculated","Not Calculated",J706*(($J$811/4)+1))</f>
        <v>Not Calculated</v>
      </c>
      <c r="K823" s="205"/>
    </row>
    <row r="824" spans="2:11" x14ac:dyDescent="0.2">
      <c r="B824" s="202"/>
      <c r="C824" s="203"/>
      <c r="D824" s="203" t="s">
        <v>1121</v>
      </c>
      <c r="E824" s="203"/>
      <c r="F824" s="203"/>
      <c r="G824" s="203"/>
      <c r="H824" s="203"/>
      <c r="I824" s="203"/>
      <c r="J824" s="203"/>
      <c r="K824" s="205"/>
    </row>
    <row r="825" spans="2:11" ht="16" thickBot="1" x14ac:dyDescent="0.25">
      <c r="B825" s="207"/>
      <c r="C825" s="208"/>
      <c r="D825" s="208"/>
      <c r="E825" s="208"/>
      <c r="F825" s="208"/>
      <c r="G825" s="208"/>
      <c r="H825" s="208"/>
      <c r="I825" s="208"/>
      <c r="J825" s="208"/>
      <c r="K825" s="209"/>
    </row>
    <row r="826" spans="2:11" ht="16" thickBot="1" x14ac:dyDescent="0.25"/>
    <row r="827" spans="2:11" x14ac:dyDescent="0.2">
      <c r="B827" s="77"/>
      <c r="C827" s="78"/>
      <c r="D827" s="78"/>
      <c r="E827" s="78"/>
      <c r="F827" s="78"/>
      <c r="G827" s="78"/>
      <c r="H827" s="78"/>
      <c r="I827" s="78"/>
      <c r="J827" s="78"/>
      <c r="K827" s="80"/>
    </row>
    <row r="828" spans="2:11" ht="21" x14ac:dyDescent="0.25">
      <c r="B828" s="81"/>
      <c r="C828" s="85"/>
      <c r="D828" s="85"/>
      <c r="E828" s="85"/>
      <c r="F828" s="85"/>
      <c r="G828" s="210" t="s">
        <v>806</v>
      </c>
      <c r="H828" s="85"/>
      <c r="I828" s="85"/>
      <c r="J828" s="85"/>
      <c r="K828" s="87"/>
    </row>
    <row r="829" spans="2:11" x14ac:dyDescent="0.2">
      <c r="B829" s="81"/>
      <c r="C829" s="85"/>
      <c r="D829" s="85"/>
      <c r="E829" s="85"/>
      <c r="F829" s="85"/>
      <c r="G829" s="85"/>
      <c r="H829" s="85"/>
      <c r="I829" s="85"/>
      <c r="J829" s="85"/>
      <c r="K829" s="87"/>
    </row>
    <row r="830" spans="2:11" ht="15" customHeight="1" x14ac:dyDescent="0.2">
      <c r="B830" s="81"/>
      <c r="C830" s="424" t="s">
        <v>808</v>
      </c>
      <c r="D830" s="424"/>
      <c r="E830" s="424"/>
      <c r="F830" s="424"/>
      <c r="G830" s="424"/>
      <c r="H830" s="424"/>
      <c r="I830" s="424"/>
      <c r="J830" s="424"/>
      <c r="K830" s="87"/>
    </row>
    <row r="831" spans="2:11" x14ac:dyDescent="0.2">
      <c r="B831" s="81"/>
      <c r="C831" s="424"/>
      <c r="D831" s="424"/>
      <c r="E831" s="424"/>
      <c r="F831" s="424"/>
      <c r="G831" s="424"/>
      <c r="H831" s="424"/>
      <c r="I831" s="424"/>
      <c r="J831" s="424"/>
      <c r="K831" s="87"/>
    </row>
    <row r="832" spans="2:11" x14ac:dyDescent="0.2">
      <c r="B832" s="81"/>
      <c r="C832" s="85"/>
      <c r="D832" s="85"/>
      <c r="E832" s="85"/>
      <c r="F832" s="85"/>
      <c r="G832" s="85"/>
      <c r="H832" s="85"/>
      <c r="I832" s="85"/>
      <c r="J832" s="85"/>
      <c r="K832" s="87"/>
    </row>
    <row r="833" spans="2:11" ht="16" x14ac:dyDescent="0.2">
      <c r="B833" s="81"/>
      <c r="C833" s="211" t="s">
        <v>654</v>
      </c>
      <c r="D833" s="85"/>
      <c r="E833" s="85"/>
      <c r="F833" s="85"/>
      <c r="G833" s="85"/>
      <c r="H833" s="85"/>
      <c r="I833" s="85"/>
      <c r="J833" s="85"/>
      <c r="K833" s="87"/>
    </row>
    <row r="834" spans="2:11" x14ac:dyDescent="0.2">
      <c r="B834" s="81"/>
      <c r="C834" s="85" t="s">
        <v>380</v>
      </c>
      <c r="D834" s="85"/>
      <c r="E834" s="85"/>
      <c r="F834" s="85"/>
      <c r="G834" s="406" t="s">
        <v>234</v>
      </c>
      <c r="H834" s="407"/>
      <c r="I834" s="85"/>
      <c r="J834" s="83">
        <f>IF(G834=$B$998,$A$998,IF(G834=$B$999,$A$999,IF(G834=$B$1000,$A$1000,IF(G834=$B$1001,$A$1001,IF(G834=$B$1002,$A$1002,"Not Calculated")))))</f>
        <v>4</v>
      </c>
      <c r="K834" s="87"/>
    </row>
    <row r="835" spans="2:11" x14ac:dyDescent="0.2">
      <c r="B835" s="81"/>
      <c r="C835" s="85" t="s">
        <v>134</v>
      </c>
      <c r="D835" s="85"/>
      <c r="E835" s="85"/>
      <c r="F835" s="85"/>
      <c r="G835" s="85"/>
      <c r="H835" s="85"/>
      <c r="I835" s="85"/>
      <c r="J835" s="240">
        <f>'Baseline PHP'!J16</f>
        <v>0</v>
      </c>
      <c r="K835" s="87"/>
    </row>
    <row r="836" spans="2:11" x14ac:dyDescent="0.2">
      <c r="B836" s="81"/>
      <c r="C836" s="85"/>
      <c r="D836" s="85"/>
      <c r="E836" s="85"/>
      <c r="F836" s="85"/>
      <c r="G836" s="85"/>
      <c r="H836" s="85"/>
      <c r="I836" s="85"/>
      <c r="J836" s="85"/>
      <c r="K836" s="87"/>
    </row>
    <row r="837" spans="2:11" ht="16" x14ac:dyDescent="0.2">
      <c r="B837" s="81"/>
      <c r="C837" s="211" t="s">
        <v>655</v>
      </c>
      <c r="D837" s="85"/>
      <c r="E837" s="85"/>
      <c r="F837" s="85"/>
      <c r="G837" s="85"/>
      <c r="H837" s="85"/>
      <c r="I837" s="85"/>
      <c r="J837" s="85"/>
      <c r="K837" s="87"/>
    </row>
    <row r="838" spans="2:11" x14ac:dyDescent="0.2">
      <c r="B838" s="81"/>
      <c r="C838" s="85" t="s">
        <v>380</v>
      </c>
      <c r="D838" s="85"/>
      <c r="E838" s="85"/>
      <c r="F838" s="85"/>
      <c r="G838" s="406" t="s">
        <v>238</v>
      </c>
      <c r="H838" s="407"/>
      <c r="I838" s="85"/>
      <c r="J838" s="83">
        <f>IF(G838=$B$998,$A$998,IF(G838=$B$999,$A$999,IF(G838=$B$1000,$A$1000,IF(G838=$B$1001,$A$1001,IF(G838=$B$1002,$A$1002,"Not Calculated")))))</f>
        <v>3</v>
      </c>
      <c r="K838" s="87"/>
    </row>
    <row r="839" spans="2:11" x14ac:dyDescent="0.2">
      <c r="B839" s="81"/>
      <c r="C839" s="85" t="s">
        <v>134</v>
      </c>
      <c r="D839" s="85"/>
      <c r="E839" s="85"/>
      <c r="F839" s="85"/>
      <c r="G839" s="85"/>
      <c r="H839" s="85"/>
      <c r="I839" s="85"/>
      <c r="J839" s="240">
        <f>'Baseline PHP'!J28</f>
        <v>0</v>
      </c>
      <c r="K839" s="87"/>
    </row>
    <row r="840" spans="2:11" x14ac:dyDescent="0.2">
      <c r="B840" s="81"/>
      <c r="C840" s="85"/>
      <c r="D840" s="85"/>
      <c r="E840" s="85"/>
      <c r="F840" s="85"/>
      <c r="G840" s="85"/>
      <c r="H840" s="85"/>
      <c r="I840" s="85"/>
      <c r="J840" s="85"/>
      <c r="K840" s="87"/>
    </row>
    <row r="841" spans="2:11" ht="16" x14ac:dyDescent="0.2">
      <c r="B841" s="81"/>
      <c r="C841" s="211" t="s">
        <v>645</v>
      </c>
      <c r="D841" s="85"/>
      <c r="E841" s="85"/>
      <c r="F841" s="85"/>
      <c r="G841" s="85"/>
      <c r="H841" s="85"/>
      <c r="I841" s="85"/>
      <c r="J841" s="85"/>
      <c r="K841" s="87"/>
    </row>
    <row r="842" spans="2:11" x14ac:dyDescent="0.2">
      <c r="B842" s="81"/>
      <c r="C842" s="85" t="s">
        <v>380</v>
      </c>
      <c r="D842" s="85"/>
      <c r="E842" s="85"/>
      <c r="F842" s="85"/>
      <c r="G842" s="406" t="s">
        <v>235</v>
      </c>
      <c r="H842" s="407"/>
      <c r="I842" s="85"/>
      <c r="J842" s="83">
        <f>IF(G842=$B$998,$A$998,IF(G842=$B$999,$A$999,IF(G842=$B$1000,$A$1000,IF(G842=$B$1001,$A$1001,IF(G842=$B$1002,$A$1002,"Not Calculated")))))</f>
        <v>2</v>
      </c>
      <c r="K842" s="87"/>
    </row>
    <row r="843" spans="2:11" x14ac:dyDescent="0.2">
      <c r="B843" s="81"/>
      <c r="C843" s="85" t="s">
        <v>134</v>
      </c>
      <c r="D843" s="85"/>
      <c r="E843" s="85"/>
      <c r="F843" s="85"/>
      <c r="G843" s="85"/>
      <c r="H843" s="85"/>
      <c r="I843" s="85"/>
      <c r="J843" s="240">
        <f>'Baseline PHP'!J44</f>
        <v>0</v>
      </c>
      <c r="K843" s="87"/>
    </row>
    <row r="844" spans="2:11" x14ac:dyDescent="0.2">
      <c r="B844" s="81"/>
      <c r="C844" s="85"/>
      <c r="D844" s="85"/>
      <c r="E844" s="85"/>
      <c r="F844" s="85"/>
      <c r="G844" s="85"/>
      <c r="H844" s="85"/>
      <c r="I844" s="85"/>
      <c r="J844" s="85"/>
      <c r="K844" s="87"/>
    </row>
    <row r="845" spans="2:11" ht="16" x14ac:dyDescent="0.2">
      <c r="B845" s="81"/>
      <c r="C845" s="211" t="s">
        <v>646</v>
      </c>
      <c r="D845" s="85"/>
      <c r="E845" s="85"/>
      <c r="F845" s="85"/>
      <c r="G845" s="85"/>
      <c r="H845" s="85"/>
      <c r="I845" s="85"/>
      <c r="J845" s="85"/>
      <c r="K845" s="87"/>
    </row>
    <row r="846" spans="2:11" x14ac:dyDescent="0.2">
      <c r="B846" s="81"/>
      <c r="C846" s="85" t="s">
        <v>380</v>
      </c>
      <c r="D846" s="85"/>
      <c r="E846" s="85"/>
      <c r="F846" s="85"/>
      <c r="G846" s="406" t="s">
        <v>234</v>
      </c>
      <c r="H846" s="407"/>
      <c r="I846" s="85"/>
      <c r="J846" s="83">
        <f>IF(G846=$B$998,$A$998,IF(G846=$B$999,$A$999,IF(G846=$B$1000,$A$1000,IF(G846=$B$1001,$A$1001,IF(G846=$B$1002,$A$1002,"Not Calculated")))))</f>
        <v>4</v>
      </c>
      <c r="K846" s="87"/>
    </row>
    <row r="847" spans="2:11" x14ac:dyDescent="0.2">
      <c r="B847" s="81"/>
      <c r="C847" s="85" t="s">
        <v>134</v>
      </c>
      <c r="D847" s="85"/>
      <c r="E847" s="85"/>
      <c r="F847" s="85"/>
      <c r="G847" s="85"/>
      <c r="H847" s="85"/>
      <c r="I847" s="85"/>
      <c r="J847" s="240">
        <f>'Baseline PHP'!J60</f>
        <v>0</v>
      </c>
      <c r="K847" s="87"/>
    </row>
    <row r="848" spans="2:11" x14ac:dyDescent="0.2">
      <c r="B848" s="81"/>
      <c r="C848" s="85"/>
      <c r="D848" s="85"/>
      <c r="E848" s="85"/>
      <c r="F848" s="85"/>
      <c r="G848" s="85"/>
      <c r="H848" s="85"/>
      <c r="I848" s="85"/>
      <c r="J848" s="85"/>
      <c r="K848" s="87"/>
    </row>
    <row r="849" spans="2:11" ht="16" x14ac:dyDescent="0.2">
      <c r="B849" s="81"/>
      <c r="C849" s="211" t="s">
        <v>648</v>
      </c>
      <c r="D849" s="85"/>
      <c r="E849" s="85"/>
      <c r="F849" s="85"/>
      <c r="G849" s="85"/>
      <c r="H849" s="85"/>
      <c r="I849" s="85"/>
      <c r="J849" s="85"/>
      <c r="K849" s="87"/>
    </row>
    <row r="850" spans="2:11" x14ac:dyDescent="0.2">
      <c r="B850" s="81"/>
      <c r="C850" s="85" t="s">
        <v>380</v>
      </c>
      <c r="D850" s="85"/>
      <c r="E850" s="85"/>
      <c r="F850" s="85"/>
      <c r="G850" s="406" t="s">
        <v>234</v>
      </c>
      <c r="H850" s="407"/>
      <c r="I850" s="85"/>
      <c r="J850" s="83">
        <f>IF(G850=$B$998,$A$998,IF(G850=$B$999,$A$999,IF(G850=$B$1000,$A$1000,IF(G850=$B$1001,$A$1001,IF(G850=$B$1002,$A$1002,"Not Calculated")))))</f>
        <v>4</v>
      </c>
      <c r="K850" s="87"/>
    </row>
    <row r="851" spans="2:11" x14ac:dyDescent="0.2">
      <c r="B851" s="81"/>
      <c r="C851" s="85" t="s">
        <v>134</v>
      </c>
      <c r="D851" s="85"/>
      <c r="E851" s="85"/>
      <c r="F851" s="85"/>
      <c r="G851" s="85"/>
      <c r="H851" s="85"/>
      <c r="I851" s="85"/>
      <c r="J851" s="240">
        <f>'Baseline PHP'!J76</f>
        <v>0</v>
      </c>
      <c r="K851" s="87"/>
    </row>
    <row r="852" spans="2:11" x14ac:dyDescent="0.2">
      <c r="B852" s="81"/>
      <c r="C852" s="85"/>
      <c r="D852" s="85"/>
      <c r="E852" s="85"/>
      <c r="F852" s="85"/>
      <c r="G852" s="85"/>
      <c r="H852" s="85"/>
      <c r="I852" s="85"/>
      <c r="J852" s="85"/>
      <c r="K852" s="87"/>
    </row>
    <row r="853" spans="2:11" ht="16" x14ac:dyDescent="0.2">
      <c r="B853" s="81"/>
      <c r="C853" s="211" t="s">
        <v>647</v>
      </c>
      <c r="D853" s="85"/>
      <c r="E853" s="85"/>
      <c r="F853" s="85"/>
      <c r="G853" s="85"/>
      <c r="H853" s="85"/>
      <c r="I853" s="85"/>
      <c r="J853" s="85"/>
      <c r="K853" s="87"/>
    </row>
    <row r="854" spans="2:11" x14ac:dyDescent="0.2">
      <c r="B854" s="81"/>
      <c r="C854" s="85" t="s">
        <v>380</v>
      </c>
      <c r="D854" s="85"/>
      <c r="E854" s="85"/>
      <c r="F854" s="85"/>
      <c r="G854" s="406" t="s">
        <v>234</v>
      </c>
      <c r="H854" s="407"/>
      <c r="I854" s="85"/>
      <c r="J854" s="83">
        <f>IF(G854=$B$998,$A$998,IF(G854=$B$999,$A$999,IF(G854=$B$1000,$A$1000,IF(G854=$B$1001,$A$1001,IF(G854=$B$1002,$A$1002,"Not Calculated")))))</f>
        <v>4</v>
      </c>
      <c r="K854" s="87"/>
    </row>
    <row r="855" spans="2:11" x14ac:dyDescent="0.2">
      <c r="B855" s="81"/>
      <c r="C855" s="85" t="s">
        <v>134</v>
      </c>
      <c r="D855" s="85"/>
      <c r="E855" s="85"/>
      <c r="F855" s="85"/>
      <c r="G855" s="85"/>
      <c r="H855" s="85"/>
      <c r="I855" s="85"/>
      <c r="J855" s="240">
        <f>'Baseline PHP'!J88</f>
        <v>0</v>
      </c>
      <c r="K855" s="87"/>
    </row>
    <row r="856" spans="2:11" x14ac:dyDescent="0.2">
      <c r="B856" s="81"/>
      <c r="C856" s="85"/>
      <c r="D856" s="85"/>
      <c r="E856" s="85"/>
      <c r="F856" s="85"/>
      <c r="G856" s="85"/>
      <c r="H856" s="85"/>
      <c r="I856" s="85"/>
      <c r="J856" s="85"/>
      <c r="K856" s="87"/>
    </row>
    <row r="857" spans="2:11" ht="16" x14ac:dyDescent="0.2">
      <c r="B857" s="81"/>
      <c r="C857" s="211" t="s">
        <v>115</v>
      </c>
      <c r="D857" s="85"/>
      <c r="E857" s="85"/>
      <c r="F857" s="85"/>
      <c r="G857" s="85"/>
      <c r="H857" s="85"/>
      <c r="I857" s="85"/>
      <c r="J857" s="85"/>
      <c r="K857" s="87"/>
    </row>
    <row r="858" spans="2:11" x14ac:dyDescent="0.2">
      <c r="B858" s="81"/>
      <c r="C858" s="85" t="s">
        <v>380</v>
      </c>
      <c r="D858" s="85"/>
      <c r="E858" s="85"/>
      <c r="F858" s="85"/>
      <c r="G858" s="406" t="s">
        <v>236</v>
      </c>
      <c r="H858" s="407"/>
      <c r="I858" s="85"/>
      <c r="J858" s="83">
        <f>IF(G858=$B$998,$A$998,IF(G858=$B$999,$A$999,IF(G858=$B$1000,$A$1000,IF(G858=$B$1001,$A$1001,IF(G858=$B$1002,$A$1002,"Not Calculated")))))</f>
        <v>0</v>
      </c>
      <c r="K858" s="87"/>
    </row>
    <row r="859" spans="2:11" x14ac:dyDescent="0.2">
      <c r="B859" s="81"/>
      <c r="C859" s="85" t="s">
        <v>134</v>
      </c>
      <c r="D859" s="85"/>
      <c r="E859" s="85"/>
      <c r="F859" s="85"/>
      <c r="G859" s="85"/>
      <c r="H859" s="85"/>
      <c r="I859" s="85"/>
      <c r="J859" s="240">
        <f>'Baseline PHP'!J102</f>
        <v>0</v>
      </c>
      <c r="K859" s="87"/>
    </row>
    <row r="860" spans="2:11" x14ac:dyDescent="0.2">
      <c r="B860" s="81"/>
      <c r="C860" s="85"/>
      <c r="D860" s="85"/>
      <c r="E860" s="85"/>
      <c r="F860" s="85"/>
      <c r="G860" s="85"/>
      <c r="H860" s="85"/>
      <c r="I860" s="85"/>
      <c r="J860" s="85"/>
      <c r="K860" s="87"/>
    </row>
    <row r="861" spans="2:11" ht="16" x14ac:dyDescent="0.2">
      <c r="B861" s="81"/>
      <c r="C861" s="211" t="s">
        <v>649</v>
      </c>
      <c r="D861" s="85"/>
      <c r="E861" s="85"/>
      <c r="F861" s="85"/>
      <c r="G861" s="85"/>
      <c r="H861" s="85"/>
      <c r="I861" s="85"/>
      <c r="J861" s="85"/>
      <c r="K861" s="87"/>
    </row>
    <row r="862" spans="2:11" x14ac:dyDescent="0.2">
      <c r="B862" s="81"/>
      <c r="C862" s="85" t="s">
        <v>380</v>
      </c>
      <c r="D862" s="85"/>
      <c r="E862" s="85"/>
      <c r="F862" s="85"/>
      <c r="G862" s="406" t="s">
        <v>236</v>
      </c>
      <c r="H862" s="407"/>
      <c r="I862" s="85"/>
      <c r="J862" s="83">
        <f>IF(G862=$B$998,$A$998,IF(G862=$B$999,$A$999,IF(G862=$B$1000,$A$1000,IF(G862=$B$1001,$A$1001,IF(G862=$B$1002,$A$1002,"Not Calculated")))))</f>
        <v>0</v>
      </c>
      <c r="K862" s="87"/>
    </row>
    <row r="863" spans="2:11" x14ac:dyDescent="0.2">
      <c r="B863" s="81"/>
      <c r="C863" s="85" t="s">
        <v>134</v>
      </c>
      <c r="D863" s="85"/>
      <c r="E863" s="85"/>
      <c r="F863" s="85"/>
      <c r="G863" s="85"/>
      <c r="H863" s="85"/>
      <c r="I863" s="85"/>
      <c r="J863" s="240">
        <f>'Baseline PHP'!J118</f>
        <v>0</v>
      </c>
      <c r="K863" s="87"/>
    </row>
    <row r="864" spans="2:11" x14ac:dyDescent="0.2">
      <c r="B864" s="81"/>
      <c r="C864" s="85"/>
      <c r="D864" s="85"/>
      <c r="E864" s="85"/>
      <c r="F864" s="85"/>
      <c r="G864" s="85"/>
      <c r="H864" s="85"/>
      <c r="I864" s="85"/>
      <c r="J864" s="85"/>
      <c r="K864" s="87"/>
    </row>
    <row r="865" spans="2:11" ht="16" x14ac:dyDescent="0.2">
      <c r="B865" s="81"/>
      <c r="C865" s="211" t="s">
        <v>656</v>
      </c>
      <c r="D865" s="85"/>
      <c r="E865" s="85"/>
      <c r="F865" s="85"/>
      <c r="G865" s="85"/>
      <c r="H865" s="85"/>
      <c r="I865" s="85"/>
      <c r="J865" s="85"/>
      <c r="K865" s="87"/>
    </row>
    <row r="866" spans="2:11" x14ac:dyDescent="0.2">
      <c r="B866" s="81"/>
      <c r="C866" s="85" t="s">
        <v>380</v>
      </c>
      <c r="D866" s="85"/>
      <c r="E866" s="85"/>
      <c r="F866" s="85"/>
      <c r="G866" s="406" t="s">
        <v>235</v>
      </c>
      <c r="H866" s="407"/>
      <c r="I866" s="85"/>
      <c r="J866" s="83">
        <f>IF(G866=$B$998,$A$998,IF(G866=$B$999,$A$999,IF(G866=$B$1000,$A$1000,IF(G866=$B$1001,$A$1001,IF(G866=$B$1002,$A$1002,"Not Calculated")))))</f>
        <v>2</v>
      </c>
      <c r="K866" s="87"/>
    </row>
    <row r="867" spans="2:11" x14ac:dyDescent="0.2">
      <c r="B867" s="81"/>
      <c r="C867" s="85" t="s">
        <v>134</v>
      </c>
      <c r="D867" s="85"/>
      <c r="E867" s="85"/>
      <c r="F867" s="85"/>
      <c r="G867" s="85"/>
      <c r="H867" s="85"/>
      <c r="I867" s="85"/>
      <c r="J867" s="240">
        <f>'Baseline PHP'!J136</f>
        <v>0</v>
      </c>
      <c r="K867" s="87"/>
    </row>
    <row r="868" spans="2:11" x14ac:dyDescent="0.2">
      <c r="B868" s="81"/>
      <c r="C868" s="85"/>
      <c r="D868" s="85"/>
      <c r="E868" s="85"/>
      <c r="F868" s="85"/>
      <c r="G868" s="85"/>
      <c r="H868" s="85"/>
      <c r="I868" s="85"/>
      <c r="J868" s="85"/>
      <c r="K868" s="87"/>
    </row>
    <row r="869" spans="2:11" ht="16" x14ac:dyDescent="0.2">
      <c r="B869" s="81"/>
      <c r="C869" s="211" t="s">
        <v>121</v>
      </c>
      <c r="D869" s="85"/>
      <c r="E869" s="85"/>
      <c r="F869" s="85"/>
      <c r="G869" s="85"/>
      <c r="H869" s="85"/>
      <c r="I869" s="85"/>
      <c r="J869" s="85"/>
      <c r="K869" s="87"/>
    </row>
    <row r="870" spans="2:11" x14ac:dyDescent="0.2">
      <c r="B870" s="81"/>
      <c r="C870" s="85" t="s">
        <v>380</v>
      </c>
      <c r="D870" s="85"/>
      <c r="E870" s="85"/>
      <c r="F870" s="85"/>
      <c r="G870" s="406" t="s">
        <v>234</v>
      </c>
      <c r="H870" s="407"/>
      <c r="I870" s="85"/>
      <c r="J870" s="83">
        <f>IF(G870=$B$998,$A$998,IF(G870=$B$999,$A$999,IF(G870=$B$1000,$A$1000,IF(G870=$B$1001,$A$1001,IF(G870=$B$1002,$A$1002,"Not Calculated")))))</f>
        <v>4</v>
      </c>
      <c r="K870" s="87"/>
    </row>
    <row r="871" spans="2:11" x14ac:dyDescent="0.2">
      <c r="B871" s="81"/>
      <c r="C871" s="85" t="s">
        <v>134</v>
      </c>
      <c r="D871" s="85"/>
      <c r="E871" s="85"/>
      <c r="F871" s="85"/>
      <c r="G871" s="85"/>
      <c r="H871" s="85"/>
      <c r="I871" s="85"/>
      <c r="J871" s="240">
        <f>'Baseline PHP'!J150</f>
        <v>0</v>
      </c>
      <c r="K871" s="87"/>
    </row>
    <row r="872" spans="2:11" x14ac:dyDescent="0.2">
      <c r="B872" s="81"/>
      <c r="C872" s="85"/>
      <c r="D872" s="85"/>
      <c r="E872" s="85"/>
      <c r="F872" s="85"/>
      <c r="G872" s="85"/>
      <c r="H872" s="85"/>
      <c r="I872" s="85"/>
      <c r="J872" s="85"/>
      <c r="K872" s="87"/>
    </row>
    <row r="873" spans="2:11" ht="16" x14ac:dyDescent="0.2">
      <c r="B873" s="81"/>
      <c r="C873" s="211" t="s">
        <v>657</v>
      </c>
      <c r="D873" s="85"/>
      <c r="E873" s="85"/>
      <c r="F873" s="85"/>
      <c r="G873" s="85"/>
      <c r="H873" s="85"/>
      <c r="I873" s="85"/>
      <c r="J873" s="85"/>
      <c r="K873" s="87"/>
    </row>
    <row r="874" spans="2:11" x14ac:dyDescent="0.2">
      <c r="B874" s="81"/>
      <c r="C874" s="85" t="s">
        <v>380</v>
      </c>
      <c r="D874" s="85"/>
      <c r="E874" s="85"/>
      <c r="F874" s="85"/>
      <c r="G874" s="406" t="s">
        <v>236</v>
      </c>
      <c r="H874" s="407"/>
      <c r="I874" s="85"/>
      <c r="J874" s="83">
        <f>IF(G874=$B$998,$A$998,IF(G874=$B$999,$A$999,IF(G874=$B$1000,$A$1000,IF(G874=$B$1001,$A$1001,IF(G874=$B$1002,$A$1002,"Not Calculated")))))</f>
        <v>0</v>
      </c>
      <c r="K874" s="87"/>
    </row>
    <row r="875" spans="2:11" x14ac:dyDescent="0.2">
      <c r="B875" s="81"/>
      <c r="C875" s="85" t="s">
        <v>134</v>
      </c>
      <c r="D875" s="85"/>
      <c r="E875" s="85"/>
      <c r="F875" s="85"/>
      <c r="G875" s="85"/>
      <c r="H875" s="85"/>
      <c r="I875" s="85"/>
      <c r="J875" s="240">
        <f>'Baseline PHP'!J164</f>
        <v>0</v>
      </c>
      <c r="K875" s="87"/>
    </row>
    <row r="876" spans="2:11" x14ac:dyDescent="0.2">
      <c r="B876" s="81"/>
      <c r="C876" s="85"/>
      <c r="D876" s="85"/>
      <c r="E876" s="85"/>
      <c r="F876" s="85"/>
      <c r="G876" s="85"/>
      <c r="H876" s="85"/>
      <c r="I876" s="85"/>
      <c r="J876" s="85"/>
      <c r="K876" s="87"/>
    </row>
    <row r="877" spans="2:11" ht="16" x14ac:dyDescent="0.2">
      <c r="B877" s="81"/>
      <c r="C877" s="211" t="s">
        <v>650</v>
      </c>
      <c r="D877" s="85"/>
      <c r="E877" s="85"/>
      <c r="F877" s="85"/>
      <c r="G877" s="85"/>
      <c r="H877" s="85"/>
      <c r="I877" s="85"/>
      <c r="J877" s="85"/>
      <c r="K877" s="87"/>
    </row>
    <row r="878" spans="2:11" x14ac:dyDescent="0.2">
      <c r="B878" s="81"/>
      <c r="C878" s="85" t="s">
        <v>380</v>
      </c>
      <c r="D878" s="85"/>
      <c r="E878" s="85"/>
      <c r="F878" s="85"/>
      <c r="G878" s="406" t="s">
        <v>236</v>
      </c>
      <c r="H878" s="407"/>
      <c r="I878" s="85"/>
      <c r="J878" s="83">
        <f>IF(G878=$B$998,$A$998,IF(G878=$B$999,$A$999,IF(G878=$B$1000,$A$1000,IF(G878=$B$1001,$A$1001,IF(G878=$B$1002,$A$1002,"Not Calculated")))))</f>
        <v>0</v>
      </c>
      <c r="K878" s="87"/>
    </row>
    <row r="879" spans="2:11" x14ac:dyDescent="0.2">
      <c r="B879" s="81"/>
      <c r="C879" s="85" t="s">
        <v>134</v>
      </c>
      <c r="D879" s="85"/>
      <c r="E879" s="85"/>
      <c r="F879" s="85"/>
      <c r="G879" s="85"/>
      <c r="H879" s="85"/>
      <c r="I879" s="85"/>
      <c r="J879" s="240">
        <f>'Baseline PHP'!J180</f>
        <v>0</v>
      </c>
      <c r="K879" s="87"/>
    </row>
    <row r="880" spans="2:11" x14ac:dyDescent="0.2">
      <c r="B880" s="81"/>
      <c r="C880" s="85"/>
      <c r="D880" s="85"/>
      <c r="E880" s="85"/>
      <c r="F880" s="85"/>
      <c r="G880" s="85"/>
      <c r="H880" s="85"/>
      <c r="I880" s="85"/>
      <c r="J880" s="85"/>
      <c r="K880" s="87"/>
    </row>
    <row r="881" spans="2:11" ht="16" x14ac:dyDescent="0.2">
      <c r="B881" s="81"/>
      <c r="C881" s="211" t="s">
        <v>651</v>
      </c>
      <c r="D881" s="85"/>
      <c r="E881" s="85"/>
      <c r="F881" s="85"/>
      <c r="G881" s="85"/>
      <c r="H881" s="85"/>
      <c r="I881" s="85"/>
      <c r="J881" s="85"/>
      <c r="K881" s="87"/>
    </row>
    <row r="882" spans="2:11" x14ac:dyDescent="0.2">
      <c r="B882" s="81"/>
      <c r="C882" s="85" t="s">
        <v>380</v>
      </c>
      <c r="D882" s="85"/>
      <c r="E882" s="85"/>
      <c r="F882" s="85"/>
      <c r="G882" s="406" t="s">
        <v>237</v>
      </c>
      <c r="H882" s="407"/>
      <c r="I882" s="85"/>
      <c r="J882" s="83">
        <f>IF(G882=$B$998,$A$998,IF(G882=$B$999,$A$999,IF(G882=$B$1000,$A$1000,IF(G882=$B$1001,$A$1001,IF(G882=$B$1002,$A$1002,"Not Calculated")))))</f>
        <v>1</v>
      </c>
      <c r="K882" s="87"/>
    </row>
    <row r="883" spans="2:11" x14ac:dyDescent="0.2">
      <c r="B883" s="81"/>
      <c r="C883" s="85" t="s">
        <v>134</v>
      </c>
      <c r="D883" s="85"/>
      <c r="E883" s="85"/>
      <c r="F883" s="85"/>
      <c r="G883" s="85"/>
      <c r="H883" s="85"/>
      <c r="I883" s="85"/>
      <c r="J883" s="240">
        <f>'Baseline PHP'!J194</f>
        <v>0</v>
      </c>
      <c r="K883" s="87"/>
    </row>
    <row r="884" spans="2:11" x14ac:dyDescent="0.2">
      <c r="B884" s="81"/>
      <c r="C884" s="85"/>
      <c r="D884" s="85"/>
      <c r="E884" s="85"/>
      <c r="F884" s="85"/>
      <c r="G884" s="85"/>
      <c r="H884" s="85"/>
      <c r="I884" s="85"/>
      <c r="J884" s="85"/>
      <c r="K884" s="87"/>
    </row>
    <row r="885" spans="2:11" ht="16" x14ac:dyDescent="0.2">
      <c r="B885" s="81"/>
      <c r="C885" s="211" t="s">
        <v>652</v>
      </c>
      <c r="D885" s="85"/>
      <c r="E885" s="85"/>
      <c r="F885" s="85"/>
      <c r="G885" s="85"/>
      <c r="H885" s="85"/>
      <c r="I885" s="85"/>
      <c r="J885" s="85"/>
      <c r="K885" s="87"/>
    </row>
    <row r="886" spans="2:11" x14ac:dyDescent="0.2">
      <c r="B886" s="81"/>
      <c r="C886" s="85" t="s">
        <v>380</v>
      </c>
      <c r="D886" s="85"/>
      <c r="E886" s="85"/>
      <c r="F886" s="85"/>
      <c r="G886" s="406" t="s">
        <v>238</v>
      </c>
      <c r="H886" s="407"/>
      <c r="I886" s="85"/>
      <c r="J886" s="83">
        <f>IF(G886=$B$998,$A$998,IF(G886=$B$999,$A$999,IF(G886=$B$1000,$A$1000,IF(G886=$B$1001,$A$1001,IF(G886=$B$1002,$A$1002,"Not Calculated")))))</f>
        <v>3</v>
      </c>
      <c r="K886" s="87"/>
    </row>
    <row r="887" spans="2:11" x14ac:dyDescent="0.2">
      <c r="B887" s="81"/>
      <c r="C887" s="85" t="s">
        <v>134</v>
      </c>
      <c r="D887" s="85"/>
      <c r="E887" s="85"/>
      <c r="F887" s="85"/>
      <c r="G887" s="85"/>
      <c r="H887" s="85"/>
      <c r="I887" s="85"/>
      <c r="J887" s="240">
        <f>'Baseline PHP'!J208</f>
        <v>0</v>
      </c>
      <c r="K887" s="87"/>
    </row>
    <row r="888" spans="2:11" x14ac:dyDescent="0.2">
      <c r="B888" s="81"/>
      <c r="C888" s="85"/>
      <c r="D888" s="85"/>
      <c r="E888" s="85"/>
      <c r="F888" s="85"/>
      <c r="G888" s="85"/>
      <c r="H888" s="85"/>
      <c r="I888" s="85"/>
      <c r="J888" s="85"/>
      <c r="K888" s="87"/>
    </row>
    <row r="889" spans="2:11" ht="16" x14ac:dyDescent="0.2">
      <c r="B889" s="81"/>
      <c r="C889" s="211" t="s">
        <v>653</v>
      </c>
      <c r="D889" s="85"/>
      <c r="E889" s="85"/>
      <c r="F889" s="85"/>
      <c r="G889" s="85"/>
      <c r="H889" s="85"/>
      <c r="I889" s="85"/>
      <c r="J889" s="85"/>
      <c r="K889" s="87"/>
    </row>
    <row r="890" spans="2:11" x14ac:dyDescent="0.2">
      <c r="B890" s="81"/>
      <c r="C890" s="85" t="s">
        <v>380</v>
      </c>
      <c r="D890" s="85"/>
      <c r="E890" s="85"/>
      <c r="F890" s="85"/>
      <c r="G890" s="406" t="s">
        <v>237</v>
      </c>
      <c r="H890" s="407"/>
      <c r="I890" s="85"/>
      <c r="J890" s="83">
        <f>IF(G890=$B$998,$A$998,IF(G890=$B$999,$A$999,IF(G890=$B$1000,$A$1000,IF(G890=$B$1001,$A$1001,IF(G890=$B$1002,$A$1002,"Not Calculated")))))</f>
        <v>1</v>
      </c>
      <c r="K890" s="87"/>
    </row>
    <row r="891" spans="2:11" x14ac:dyDescent="0.2">
      <c r="B891" s="81"/>
      <c r="C891" s="85" t="s">
        <v>134</v>
      </c>
      <c r="D891" s="85"/>
      <c r="E891" s="85"/>
      <c r="F891" s="85"/>
      <c r="G891" s="85"/>
      <c r="H891" s="85"/>
      <c r="I891" s="85"/>
      <c r="J891" s="240">
        <f>'Baseline PHP'!J222</f>
        <v>0</v>
      </c>
      <c r="K891" s="87"/>
    </row>
    <row r="892" spans="2:11" x14ac:dyDescent="0.2">
      <c r="B892" s="81"/>
      <c r="C892" s="85"/>
      <c r="D892" s="85"/>
      <c r="E892" s="85"/>
      <c r="F892" s="85"/>
      <c r="G892" s="85"/>
      <c r="H892" s="85"/>
      <c r="I892" s="85"/>
      <c r="J892" s="85"/>
      <c r="K892" s="87"/>
    </row>
    <row r="893" spans="2:11" x14ac:dyDescent="0.2">
      <c r="B893" s="81"/>
      <c r="C893" s="85"/>
      <c r="D893" s="85"/>
      <c r="E893" s="85"/>
      <c r="F893" s="85"/>
      <c r="G893" s="85"/>
      <c r="H893" s="85"/>
      <c r="I893" s="85"/>
      <c r="J893" s="85"/>
      <c r="K893" s="87"/>
    </row>
    <row r="894" spans="2:11" ht="16" x14ac:dyDescent="0.2">
      <c r="B894" s="81"/>
      <c r="C894" s="212" t="s">
        <v>813</v>
      </c>
      <c r="D894" s="85"/>
      <c r="E894" s="85"/>
      <c r="F894" s="85"/>
      <c r="G894" s="85"/>
      <c r="H894" s="85"/>
      <c r="I894" s="85"/>
      <c r="J894" s="241">
        <f>IF(OR(J854="Not Calculated",J858="Not Calculated",J862="Not Calculated",J866="Not Calculated",J870="Not Calculated",J874="Not Calculated",J878="Not Calculated",J882="Not Calculated",J886="Not Calculated",J890="Not Calculated",J834="Not Calculated",J838="Not Calculated",J842="Not Calculated",J846="Not Calculated",J850="Not Calculated",J855="Not Calculated",J859="Not Calculated",J863="Not Calculated",J867="Not Calculated",J871="Not Calculated",J875="Not Calculated",J879="Not Calculated",J883="Not Calculated",J887="Not Calculated",J891="Not Calculated",J835="Not Calculated",J839="Not Calculated",J843="Not Calculated",J847="Not Calculated",J851="Not Calculated")=TRUE,"Not Calculated",((J834*J835)+(J838*J839)+(J842*J843)+(J846*J847)+(J850*J851)+(J854*J855)+(J858*J859)+(J862*J863)+(J866*J867)+(J870*J871)+(J874*J875)+(J878*J879)+(J882*J883)+(J886*J887)+(J890*J891))/(J834+J838+J842+J846+J850+J854+J858+J862+J866+J870+J874+J878+J882+J886+J890))</f>
        <v>0</v>
      </c>
      <c r="K894" s="87"/>
    </row>
    <row r="895" spans="2:11" ht="16" thickBot="1" x14ac:dyDescent="0.25">
      <c r="B895" s="213"/>
      <c r="C895" s="94"/>
      <c r="D895" s="94"/>
      <c r="E895" s="94"/>
      <c r="F895" s="94"/>
      <c r="G895" s="94"/>
      <c r="H895" s="94"/>
      <c r="I895" s="94"/>
      <c r="J895" s="94"/>
      <c r="K895" s="96"/>
    </row>
    <row r="896" spans="2:11" ht="16" thickBot="1" x14ac:dyDescent="0.25">
      <c r="B896" s="102"/>
      <c r="C896" s="102"/>
      <c r="D896" s="102"/>
      <c r="E896" s="102"/>
      <c r="F896" s="102"/>
      <c r="G896" s="102"/>
      <c r="H896" s="102"/>
      <c r="I896" s="102"/>
      <c r="J896" s="102"/>
      <c r="K896" s="102"/>
    </row>
    <row r="897" spans="2:11" x14ac:dyDescent="0.2">
      <c r="B897" s="77"/>
      <c r="C897" s="78"/>
      <c r="D897" s="78"/>
      <c r="E897" s="78"/>
      <c r="F897" s="78"/>
      <c r="G897" s="78"/>
      <c r="H897" s="78"/>
      <c r="I897" s="78"/>
      <c r="J897" s="78"/>
      <c r="K897" s="80"/>
    </row>
    <row r="898" spans="2:11" ht="21" x14ac:dyDescent="0.25">
      <c r="B898" s="81"/>
      <c r="C898" s="85"/>
      <c r="D898" s="85"/>
      <c r="E898" s="85"/>
      <c r="F898" s="85"/>
      <c r="G898" s="210" t="s">
        <v>807</v>
      </c>
      <c r="H898" s="85"/>
      <c r="I898" s="85"/>
      <c r="J898" s="85"/>
      <c r="K898" s="87"/>
    </row>
    <row r="899" spans="2:11" x14ac:dyDescent="0.2">
      <c r="B899" s="81"/>
      <c r="C899" s="85"/>
      <c r="D899" s="85"/>
      <c r="E899" s="85"/>
      <c r="F899" s="85"/>
      <c r="G899" s="85"/>
      <c r="H899" s="85"/>
      <c r="I899" s="85"/>
      <c r="J899" s="85"/>
      <c r="K899" s="87"/>
    </row>
    <row r="900" spans="2:11" ht="15" customHeight="1" x14ac:dyDescent="0.2">
      <c r="B900" s="81"/>
      <c r="C900" s="424" t="s">
        <v>809</v>
      </c>
      <c r="D900" s="424"/>
      <c r="E900" s="424"/>
      <c r="F900" s="424"/>
      <c r="G900" s="424"/>
      <c r="H900" s="424"/>
      <c r="I900" s="424"/>
      <c r="J900" s="424"/>
      <c r="K900" s="87"/>
    </row>
    <row r="901" spans="2:11" x14ac:dyDescent="0.2">
      <c r="B901" s="81"/>
      <c r="C901" s="424"/>
      <c r="D901" s="424"/>
      <c r="E901" s="424"/>
      <c r="F901" s="424"/>
      <c r="G901" s="424"/>
      <c r="H901" s="424"/>
      <c r="I901" s="424"/>
      <c r="J901" s="424"/>
      <c r="K901" s="87"/>
    </row>
    <row r="902" spans="2:11" x14ac:dyDescent="0.2">
      <c r="B902" s="81"/>
      <c r="C902" s="85"/>
      <c r="D902" s="85"/>
      <c r="E902" s="85"/>
      <c r="F902" s="85"/>
      <c r="G902" s="85"/>
      <c r="H902" s="85"/>
      <c r="I902" s="85"/>
      <c r="J902" s="85"/>
      <c r="K902" s="87"/>
    </row>
    <row r="903" spans="2:11" ht="16" x14ac:dyDescent="0.2">
      <c r="B903" s="81"/>
      <c r="C903" s="211" t="s">
        <v>810</v>
      </c>
      <c r="D903" s="85"/>
      <c r="E903" s="85"/>
      <c r="F903" s="85"/>
      <c r="G903" s="85"/>
      <c r="H903" s="85"/>
      <c r="I903" s="85"/>
      <c r="J903" s="85"/>
      <c r="K903" s="87"/>
    </row>
    <row r="904" spans="2:11" x14ac:dyDescent="0.2">
      <c r="B904" s="81"/>
      <c r="C904" s="85" t="s">
        <v>380</v>
      </c>
      <c r="D904" s="85"/>
      <c r="E904" s="85"/>
      <c r="F904" s="85"/>
      <c r="G904" s="406" t="s">
        <v>234</v>
      </c>
      <c r="H904" s="407"/>
      <c r="I904" s="85"/>
      <c r="J904" s="83">
        <f>IF(G904=$B$998,$A$998,IF(G904=$B$999,$A$999,IF(G904=$B$1000,$A$1000,IF(G904=$B$1001,$A$1001,IF(G904=$B$1002,$A$1002,"Not Calculated")))))</f>
        <v>4</v>
      </c>
      <c r="K904" s="87"/>
    </row>
    <row r="905" spans="2:11" x14ac:dyDescent="0.2">
      <c r="B905" s="81"/>
      <c r="C905" s="85" t="s">
        <v>134</v>
      </c>
      <c r="D905" s="85"/>
      <c r="E905" s="85"/>
      <c r="F905" s="85"/>
      <c r="G905" s="85"/>
      <c r="H905" s="85"/>
      <c r="I905" s="85"/>
      <c r="J905" s="240">
        <f>'Baseline HP'!J22</f>
        <v>0</v>
      </c>
      <c r="K905" s="87"/>
    </row>
    <row r="906" spans="2:11" x14ac:dyDescent="0.2">
      <c r="B906" s="81"/>
      <c r="C906" s="85"/>
      <c r="D906" s="85"/>
      <c r="E906" s="85"/>
      <c r="F906" s="85"/>
      <c r="G906" s="85"/>
      <c r="H906" s="85"/>
      <c r="I906" s="85"/>
      <c r="J906" s="85"/>
      <c r="K906" s="87"/>
    </row>
    <row r="907" spans="2:11" ht="16" x14ac:dyDescent="0.2">
      <c r="B907" s="81"/>
      <c r="C907" s="211" t="s">
        <v>811</v>
      </c>
      <c r="D907" s="85"/>
      <c r="E907" s="85"/>
      <c r="F907" s="85"/>
      <c r="G907" s="85"/>
      <c r="H907" s="85"/>
      <c r="I907" s="85"/>
      <c r="J907" s="85"/>
      <c r="K907" s="87"/>
    </row>
    <row r="908" spans="2:11" x14ac:dyDescent="0.2">
      <c r="B908" s="81"/>
      <c r="C908" s="85" t="s">
        <v>380</v>
      </c>
      <c r="D908" s="85"/>
      <c r="E908" s="85"/>
      <c r="F908" s="85"/>
      <c r="G908" s="406" t="s">
        <v>238</v>
      </c>
      <c r="H908" s="407"/>
      <c r="I908" s="85"/>
      <c r="J908" s="83">
        <f>IF(G908=$B$998,$A$998,IF(G908=$B$999,$A$999,IF(G908=$B$1000,$A$1000,IF(G908=$B$1001,$A$1001,IF(G908=$B$1002,$A$1002,"Not Calculated")))))</f>
        <v>3</v>
      </c>
      <c r="K908" s="87"/>
    </row>
    <row r="909" spans="2:11" x14ac:dyDescent="0.2">
      <c r="B909" s="81"/>
      <c r="C909" s="85" t="s">
        <v>134</v>
      </c>
      <c r="D909" s="85"/>
      <c r="E909" s="85"/>
      <c r="F909" s="85"/>
      <c r="G909" s="85"/>
      <c r="H909" s="85"/>
      <c r="I909" s="85"/>
      <c r="J909" s="240">
        <f>'Baseline HP'!J32</f>
        <v>0</v>
      </c>
      <c r="K909" s="87"/>
    </row>
    <row r="910" spans="2:11" x14ac:dyDescent="0.2">
      <c r="B910" s="81"/>
      <c r="C910" s="85"/>
      <c r="D910" s="85"/>
      <c r="E910" s="85"/>
      <c r="F910" s="85"/>
      <c r="G910" s="85"/>
      <c r="H910" s="85"/>
      <c r="I910" s="85"/>
      <c r="J910" s="85"/>
      <c r="K910" s="87"/>
    </row>
    <row r="911" spans="2:11" ht="16" x14ac:dyDescent="0.2">
      <c r="B911" s="81"/>
      <c r="C911" s="211" t="s">
        <v>645</v>
      </c>
      <c r="D911" s="85"/>
      <c r="E911" s="85"/>
      <c r="F911" s="85"/>
      <c r="G911" s="85"/>
      <c r="H911" s="85"/>
      <c r="I911" s="85"/>
      <c r="J911" s="85"/>
      <c r="K911" s="87"/>
    </row>
    <row r="912" spans="2:11" x14ac:dyDescent="0.2">
      <c r="B912" s="81"/>
      <c r="C912" s="85" t="s">
        <v>380</v>
      </c>
      <c r="D912" s="85"/>
      <c r="E912" s="85"/>
      <c r="F912" s="85"/>
      <c r="G912" s="406" t="s">
        <v>235</v>
      </c>
      <c r="H912" s="407"/>
      <c r="I912" s="85"/>
      <c r="J912" s="83">
        <f>IF(G912=$B$998,$A$998,IF(G912=$B$999,$A$999,IF(G912=$B$1000,$A$1000,IF(G912=$B$1001,$A$1001,IF(G912=$B$1002,$A$1002,"Not Calculated")))))</f>
        <v>2</v>
      </c>
      <c r="K912" s="87"/>
    </row>
    <row r="913" spans="2:11" x14ac:dyDescent="0.2">
      <c r="B913" s="81"/>
      <c r="C913" s="85" t="s">
        <v>134</v>
      </c>
      <c r="D913" s="85"/>
      <c r="E913" s="85"/>
      <c r="F913" s="85"/>
      <c r="G913" s="85"/>
      <c r="H913" s="85"/>
      <c r="I913" s="85"/>
      <c r="J913" s="240">
        <f>'Baseline HP'!J46</f>
        <v>0</v>
      </c>
      <c r="K913" s="87"/>
    </row>
    <row r="914" spans="2:11" x14ac:dyDescent="0.2">
      <c r="B914" s="81"/>
      <c r="C914" s="85"/>
      <c r="D914" s="85"/>
      <c r="E914" s="85"/>
      <c r="F914" s="85"/>
      <c r="G914" s="85"/>
      <c r="H914" s="85"/>
      <c r="I914" s="85"/>
      <c r="J914" s="85"/>
      <c r="K914" s="87"/>
    </row>
    <row r="915" spans="2:11" ht="16" x14ac:dyDescent="0.2">
      <c r="B915" s="81"/>
      <c r="C915" s="211" t="s">
        <v>648</v>
      </c>
      <c r="D915" s="85"/>
      <c r="E915" s="85"/>
      <c r="F915" s="85"/>
      <c r="G915" s="85"/>
      <c r="H915" s="85"/>
      <c r="I915" s="85"/>
      <c r="J915" s="85"/>
      <c r="K915" s="87"/>
    </row>
    <row r="916" spans="2:11" x14ac:dyDescent="0.2">
      <c r="B916" s="81"/>
      <c r="C916" s="85" t="s">
        <v>380</v>
      </c>
      <c r="D916" s="85"/>
      <c r="E916" s="85"/>
      <c r="F916" s="85"/>
      <c r="G916" s="406" t="s">
        <v>234</v>
      </c>
      <c r="H916" s="407"/>
      <c r="I916" s="85"/>
      <c r="J916" s="83">
        <f>IF(G916=$B$998,$A$998,IF(G916=$B$999,$A$999,IF(G916=$B$1000,$A$1000,IF(G916=$B$1001,$A$1001,IF(G916=$B$1002,$A$1002,"Not Calculated")))))</f>
        <v>4</v>
      </c>
      <c r="K916" s="87"/>
    </row>
    <row r="917" spans="2:11" x14ac:dyDescent="0.2">
      <c r="B917" s="81"/>
      <c r="C917" s="85" t="s">
        <v>134</v>
      </c>
      <c r="D917" s="85"/>
      <c r="E917" s="85"/>
      <c r="F917" s="85"/>
      <c r="G917" s="85"/>
      <c r="H917" s="85"/>
      <c r="I917" s="85"/>
      <c r="J917" s="240">
        <f>'Baseline HP'!J58</f>
        <v>0</v>
      </c>
      <c r="K917" s="87"/>
    </row>
    <row r="918" spans="2:11" x14ac:dyDescent="0.2">
      <c r="B918" s="81"/>
      <c r="C918" s="85"/>
      <c r="D918" s="85"/>
      <c r="E918" s="85"/>
      <c r="F918" s="85"/>
      <c r="G918" s="85"/>
      <c r="H918" s="85"/>
      <c r="I918" s="85"/>
      <c r="J918" s="85"/>
      <c r="K918" s="87"/>
    </row>
    <row r="919" spans="2:11" ht="16" x14ac:dyDescent="0.2">
      <c r="B919" s="81"/>
      <c r="C919" s="211" t="s">
        <v>647</v>
      </c>
      <c r="D919" s="85"/>
      <c r="E919" s="85"/>
      <c r="F919" s="85"/>
      <c r="G919" s="85"/>
      <c r="H919" s="85"/>
      <c r="I919" s="85"/>
      <c r="J919" s="85"/>
      <c r="K919" s="87"/>
    </row>
    <row r="920" spans="2:11" x14ac:dyDescent="0.2">
      <c r="B920" s="81"/>
      <c r="C920" s="85" t="s">
        <v>380</v>
      </c>
      <c r="D920" s="85"/>
      <c r="E920" s="85"/>
      <c r="F920" s="85"/>
      <c r="G920" s="406" t="s">
        <v>234</v>
      </c>
      <c r="H920" s="407"/>
      <c r="I920" s="85"/>
      <c r="J920" s="83">
        <f>IF(G920=$B$998,$A$998,IF(G920=$B$999,$A$999,IF(G920=$B$1000,$A$1000,IF(G920=$B$1001,$A$1001,IF(G920=$B$1002,$A$1002,"Not Calculated")))))</f>
        <v>4</v>
      </c>
      <c r="K920" s="87"/>
    </row>
    <row r="921" spans="2:11" x14ac:dyDescent="0.2">
      <c r="B921" s="81"/>
      <c r="C921" s="85" t="s">
        <v>134</v>
      </c>
      <c r="D921" s="85"/>
      <c r="E921" s="85"/>
      <c r="F921" s="85"/>
      <c r="G921" s="85"/>
      <c r="H921" s="85"/>
      <c r="I921" s="85"/>
      <c r="J921" s="240">
        <f>'Baseline HP'!J68</f>
        <v>0</v>
      </c>
      <c r="K921" s="87"/>
    </row>
    <row r="922" spans="2:11" x14ac:dyDescent="0.2">
      <c r="B922" s="81"/>
      <c r="C922" s="85"/>
      <c r="D922" s="85"/>
      <c r="E922" s="85"/>
      <c r="F922" s="85"/>
      <c r="G922" s="85"/>
      <c r="H922" s="85"/>
      <c r="I922" s="85"/>
      <c r="J922" s="85"/>
      <c r="K922" s="87"/>
    </row>
    <row r="923" spans="2:11" ht="16" x14ac:dyDescent="0.2">
      <c r="B923" s="81"/>
      <c r="C923" s="211" t="s">
        <v>121</v>
      </c>
      <c r="D923" s="85"/>
      <c r="E923" s="85"/>
      <c r="F923" s="85"/>
      <c r="G923" s="85"/>
      <c r="H923" s="85"/>
      <c r="I923" s="85"/>
      <c r="J923" s="85"/>
      <c r="K923" s="87"/>
    </row>
    <row r="924" spans="2:11" x14ac:dyDescent="0.2">
      <c r="B924" s="81"/>
      <c r="C924" s="85" t="s">
        <v>380</v>
      </c>
      <c r="D924" s="85"/>
      <c r="E924" s="85"/>
      <c r="F924" s="85"/>
      <c r="G924" s="406" t="s">
        <v>234</v>
      </c>
      <c r="H924" s="407"/>
      <c r="I924" s="85"/>
      <c r="J924" s="83">
        <f>IF(G924=$B$998,$A$998,IF(G924=$B$999,$A$999,IF(G924=$B$1000,$A$1000,IF(G924=$B$1001,$A$1001,IF(G924=$B$1002,$A$1002,"Not Calculated")))))</f>
        <v>4</v>
      </c>
      <c r="K924" s="87"/>
    </row>
    <row r="925" spans="2:11" x14ac:dyDescent="0.2">
      <c r="B925" s="81"/>
      <c r="C925" s="85" t="s">
        <v>134</v>
      </c>
      <c r="D925" s="85"/>
      <c r="E925" s="85"/>
      <c r="F925" s="85"/>
      <c r="G925" s="85"/>
      <c r="H925" s="85"/>
      <c r="I925" s="85"/>
      <c r="J925" s="240">
        <f>'Baseline HP'!J84</f>
        <v>0</v>
      </c>
      <c r="K925" s="87"/>
    </row>
    <row r="926" spans="2:11" x14ac:dyDescent="0.2">
      <c r="B926" s="81"/>
      <c r="C926" s="85"/>
      <c r="D926" s="85"/>
      <c r="E926" s="85"/>
      <c r="F926" s="85"/>
      <c r="G926" s="85"/>
      <c r="H926" s="85"/>
      <c r="I926" s="85"/>
      <c r="J926" s="85"/>
      <c r="K926" s="87"/>
    </row>
    <row r="927" spans="2:11" ht="16" x14ac:dyDescent="0.2">
      <c r="B927" s="81"/>
      <c r="C927" s="211" t="s">
        <v>652</v>
      </c>
      <c r="D927" s="85"/>
      <c r="E927" s="85"/>
      <c r="F927" s="85"/>
      <c r="G927" s="85"/>
      <c r="H927" s="85"/>
      <c r="I927" s="85"/>
      <c r="J927" s="85"/>
      <c r="K927" s="87"/>
    </row>
    <row r="928" spans="2:11" x14ac:dyDescent="0.2">
      <c r="B928" s="81"/>
      <c r="C928" s="85" t="s">
        <v>380</v>
      </c>
      <c r="D928" s="85"/>
      <c r="E928" s="85"/>
      <c r="F928" s="85"/>
      <c r="G928" s="406" t="s">
        <v>238</v>
      </c>
      <c r="H928" s="407"/>
      <c r="I928" s="85"/>
      <c r="J928" s="83">
        <f>IF(G928=$B$998,$A$998,IF(G928=$B$999,$A$999,IF(G928=$B$1000,$A$1000,IF(G928=$B$1001,$A$1001,IF(G928=$B$1002,$A$1002,"Not Calculated")))))</f>
        <v>3</v>
      </c>
      <c r="K928" s="87"/>
    </row>
    <row r="929" spans="2:11" x14ac:dyDescent="0.2">
      <c r="B929" s="81"/>
      <c r="C929" s="85" t="s">
        <v>134</v>
      </c>
      <c r="D929" s="85"/>
      <c r="E929" s="85"/>
      <c r="F929" s="85"/>
      <c r="G929" s="85"/>
      <c r="H929" s="85"/>
      <c r="I929" s="85"/>
      <c r="J929" s="240">
        <f>'Baseline HP'!J94</f>
        <v>0</v>
      </c>
      <c r="K929" s="87"/>
    </row>
    <row r="930" spans="2:11" x14ac:dyDescent="0.2">
      <c r="B930" s="81"/>
      <c r="C930" s="85"/>
      <c r="D930" s="85"/>
      <c r="E930" s="85"/>
      <c r="F930" s="85"/>
      <c r="G930" s="85"/>
      <c r="H930" s="85"/>
      <c r="I930" s="85"/>
      <c r="J930" s="85"/>
      <c r="K930" s="87"/>
    </row>
    <row r="931" spans="2:11" ht="16" x14ac:dyDescent="0.2">
      <c r="B931" s="81"/>
      <c r="C931" s="211" t="s">
        <v>653</v>
      </c>
      <c r="D931" s="85"/>
      <c r="E931" s="85"/>
      <c r="F931" s="85"/>
      <c r="G931" s="85"/>
      <c r="H931" s="85"/>
      <c r="I931" s="85"/>
      <c r="J931" s="85"/>
      <c r="K931" s="87"/>
    </row>
    <row r="932" spans="2:11" x14ac:dyDescent="0.2">
      <c r="B932" s="81"/>
      <c r="C932" s="85" t="s">
        <v>380</v>
      </c>
      <c r="D932" s="85"/>
      <c r="E932" s="85"/>
      <c r="F932" s="85"/>
      <c r="G932" s="406" t="s">
        <v>237</v>
      </c>
      <c r="H932" s="407"/>
      <c r="I932" s="85"/>
      <c r="J932" s="83">
        <f>IF(G932=$B$998,$A$998,IF(G932=$B$999,$A$999,IF(G932=$B$1000,$A$1000,IF(G932=$B$1001,$A$1001,IF(G932=$B$1002,$A$1002,"Not Calculated")))))</f>
        <v>1</v>
      </c>
      <c r="K932" s="87"/>
    </row>
    <row r="933" spans="2:11" x14ac:dyDescent="0.2">
      <c r="B933" s="81"/>
      <c r="C933" s="85" t="s">
        <v>134</v>
      </c>
      <c r="D933" s="85"/>
      <c r="E933" s="85"/>
      <c r="F933" s="85"/>
      <c r="G933" s="85"/>
      <c r="H933" s="85"/>
      <c r="I933" s="85"/>
      <c r="J933" s="240">
        <f>'Baseline HP'!J108</f>
        <v>0</v>
      </c>
      <c r="K933" s="87"/>
    </row>
    <row r="934" spans="2:11" x14ac:dyDescent="0.2">
      <c r="B934" s="81"/>
      <c r="C934" s="85"/>
      <c r="D934" s="85"/>
      <c r="E934" s="85"/>
      <c r="F934" s="85"/>
      <c r="G934" s="85"/>
      <c r="H934" s="85"/>
      <c r="I934" s="85"/>
      <c r="J934" s="85"/>
      <c r="K934" s="87"/>
    </row>
    <row r="935" spans="2:11" x14ac:dyDescent="0.2">
      <c r="B935" s="81"/>
      <c r="C935" s="85"/>
      <c r="D935" s="85"/>
      <c r="E935" s="85"/>
      <c r="F935" s="85"/>
      <c r="G935" s="85"/>
      <c r="H935" s="85"/>
      <c r="I935" s="85"/>
      <c r="J935" s="85"/>
      <c r="K935" s="87"/>
    </row>
    <row r="936" spans="2:11" ht="16" x14ac:dyDescent="0.2">
      <c r="B936" s="81"/>
      <c r="C936" s="212" t="s">
        <v>812</v>
      </c>
      <c r="D936" s="85"/>
      <c r="E936" s="85"/>
      <c r="F936" s="85"/>
      <c r="G936" s="85"/>
      <c r="H936" s="85"/>
      <c r="I936" s="85"/>
      <c r="J936" s="241">
        <f>IF(OR(J920="Not Calculated",J924="Not Calculated",J928="Not Calculated",J932="Not Calculated",J904="Not Calculated",J908="Not Calculated",J912="Not Calculated",J916="Not Calculated",J921="Not Calculated",J925="Not Calculated",J929="Not Calculated",J933="Not Calculated",J905="Not Calculated",J909="Not Calculated",J913="Not Calculated",J917="Not Calculated")=TRUE,"Not Calculated",((J904*J905)+(J908*J909)+(J912*J913)+(J916*J917)+(J920*J921)+(J924*J925)+(J928*J929)+(J932*J933))/(J904+J908+J912+J916+J920+J924+J928+J932))</f>
        <v>0</v>
      </c>
      <c r="K936" s="87"/>
    </row>
    <row r="937" spans="2:11" ht="16" thickBot="1" x14ac:dyDescent="0.25">
      <c r="B937" s="213"/>
      <c r="C937" s="94"/>
      <c r="D937" s="94"/>
      <c r="E937" s="94"/>
      <c r="F937" s="94"/>
      <c r="G937" s="94"/>
      <c r="H937" s="94"/>
      <c r="I937" s="94"/>
      <c r="J937" s="94"/>
      <c r="K937" s="96"/>
    </row>
    <row r="938" spans="2:11" ht="16" thickBot="1" x14ac:dyDescent="0.25"/>
    <row r="939" spans="2:11" x14ac:dyDescent="0.2">
      <c r="B939" s="77"/>
      <c r="C939" s="78"/>
      <c r="D939" s="78"/>
      <c r="E939" s="78"/>
      <c r="F939" s="78"/>
      <c r="G939" s="78"/>
      <c r="H939" s="78"/>
      <c r="I939" s="78"/>
      <c r="J939" s="78"/>
      <c r="K939" s="80"/>
    </row>
    <row r="940" spans="2:11" ht="21" x14ac:dyDescent="0.25">
      <c r="B940" s="81"/>
      <c r="C940" s="85"/>
      <c r="D940" s="85"/>
      <c r="E940" s="85"/>
      <c r="F940" s="85"/>
      <c r="G940" s="210" t="s">
        <v>815</v>
      </c>
      <c r="H940" s="85"/>
      <c r="I940" s="85"/>
      <c r="J940" s="85"/>
      <c r="K940" s="87"/>
    </row>
    <row r="941" spans="2:11" ht="21" x14ac:dyDescent="0.25">
      <c r="B941" s="81"/>
      <c r="C941" s="85"/>
      <c r="D941" s="85"/>
      <c r="E941" s="85"/>
      <c r="F941" s="85"/>
      <c r="G941" s="210"/>
      <c r="H941" s="85"/>
      <c r="I941" s="85"/>
      <c r="J941" s="85"/>
      <c r="K941" s="87"/>
    </row>
    <row r="942" spans="2:11" ht="16" x14ac:dyDescent="0.2">
      <c r="B942" s="81"/>
      <c r="C942" s="212" t="s">
        <v>995</v>
      </c>
      <c r="D942" s="85"/>
      <c r="E942" s="85"/>
      <c r="F942" s="85"/>
      <c r="G942" s="85"/>
      <c r="H942" s="85"/>
      <c r="I942" s="85"/>
      <c r="J942" s="241">
        <f>IF(OR(J936="Not Calculated",J894="Not Calculated")=TRUE,"Not Calculated",AVERAGE(J936,J894))</f>
        <v>0</v>
      </c>
      <c r="K942" s="87"/>
    </row>
    <row r="943" spans="2:11" ht="16" x14ac:dyDescent="0.2">
      <c r="B943" s="81"/>
      <c r="C943" s="212"/>
      <c r="D943" s="85" t="s">
        <v>814</v>
      </c>
      <c r="E943" s="85"/>
      <c r="F943" s="85"/>
      <c r="G943" s="85"/>
      <c r="H943" s="85"/>
      <c r="I943" s="85"/>
      <c r="J943" s="241"/>
      <c r="K943" s="87"/>
    </row>
    <row r="944" spans="2:11" ht="17" thickBot="1" x14ac:dyDescent="0.25">
      <c r="B944" s="213"/>
      <c r="C944" s="227"/>
      <c r="D944" s="94"/>
      <c r="E944" s="94"/>
      <c r="F944" s="94"/>
      <c r="G944" s="94"/>
      <c r="H944" s="94"/>
      <c r="I944" s="94"/>
      <c r="J944" s="228"/>
      <c r="K944" s="96"/>
    </row>
    <row r="945" spans="2:11" ht="16" thickBot="1" x14ac:dyDescent="0.25"/>
    <row r="946" spans="2:11" x14ac:dyDescent="0.2">
      <c r="B946" s="214"/>
      <c r="C946" s="215"/>
      <c r="D946" s="215"/>
      <c r="E946" s="215"/>
      <c r="F946" s="215"/>
      <c r="G946" s="215"/>
      <c r="H946" s="215"/>
      <c r="I946" s="215"/>
      <c r="J946" s="215"/>
      <c r="K946" s="216"/>
    </row>
    <row r="947" spans="2:11" ht="21" x14ac:dyDescent="0.25">
      <c r="B947" s="217"/>
      <c r="C947" s="218"/>
      <c r="D947" s="218"/>
      <c r="E947" s="218"/>
      <c r="F947" s="218"/>
      <c r="G947" s="219" t="s">
        <v>239</v>
      </c>
      <c r="H947" s="218"/>
      <c r="I947" s="218"/>
      <c r="J947" s="218"/>
      <c r="K947" s="220"/>
    </row>
    <row r="948" spans="2:11" x14ac:dyDescent="0.2">
      <c r="B948" s="217"/>
      <c r="C948" s="218"/>
      <c r="D948" s="218"/>
      <c r="E948" s="218"/>
      <c r="F948" s="218"/>
      <c r="G948" s="218"/>
      <c r="H948" s="218"/>
      <c r="I948" s="218"/>
      <c r="J948" s="218"/>
      <c r="K948" s="220"/>
    </row>
    <row r="949" spans="2:11" ht="16" x14ac:dyDescent="0.2">
      <c r="B949" s="217"/>
      <c r="C949" s="221" t="s">
        <v>393</v>
      </c>
      <c r="D949" s="218"/>
      <c r="E949" s="218"/>
      <c r="F949" s="218"/>
      <c r="G949" s="218"/>
      <c r="H949" s="218"/>
      <c r="I949" s="218"/>
      <c r="J949" s="242" t="str">
        <f>IF(OR(J817="Not Calculated",J942="Not Calculated")=TRUE,"Not Calculated",J817/J942)</f>
        <v>Not Calculated</v>
      </c>
      <c r="K949" s="220"/>
    </row>
    <row r="950" spans="2:11" x14ac:dyDescent="0.2">
      <c r="B950" s="217"/>
      <c r="C950" s="218"/>
      <c r="D950" s="218" t="s">
        <v>816</v>
      </c>
      <c r="E950" s="218"/>
      <c r="F950" s="218"/>
      <c r="G950" s="218"/>
      <c r="H950" s="218"/>
      <c r="I950" s="218"/>
      <c r="J950" s="218"/>
      <c r="K950" s="220"/>
    </row>
    <row r="951" spans="2:11" x14ac:dyDescent="0.2">
      <c r="B951" s="217"/>
      <c r="C951" s="218"/>
      <c r="D951" s="218"/>
      <c r="E951" s="218"/>
      <c r="F951" s="218"/>
      <c r="G951" s="218"/>
      <c r="H951" s="218"/>
      <c r="I951" s="218"/>
      <c r="J951" s="218"/>
      <c r="K951" s="220"/>
    </row>
    <row r="952" spans="2:11" ht="16" x14ac:dyDescent="0.2">
      <c r="B952" s="217"/>
      <c r="C952" s="221" t="s">
        <v>996</v>
      </c>
      <c r="D952" s="218"/>
      <c r="E952" s="218"/>
      <c r="F952" s="218"/>
      <c r="G952" s="218"/>
      <c r="H952" s="218"/>
      <c r="I952" s="218"/>
      <c r="J952" s="242" t="str">
        <f>IF(OR(J820="Not Calculated",J894="Not Calculated")=TRUE,"Not Calculated",J820/J894)</f>
        <v>Not Calculated</v>
      </c>
      <c r="K952" s="220"/>
    </row>
    <row r="953" spans="2:11" x14ac:dyDescent="0.2">
      <c r="B953" s="217"/>
      <c r="C953" s="218"/>
      <c r="D953" s="218" t="s">
        <v>817</v>
      </c>
      <c r="E953" s="218"/>
      <c r="F953" s="218"/>
      <c r="G953" s="218"/>
      <c r="H953" s="218"/>
      <c r="I953" s="218"/>
      <c r="J953" s="218"/>
      <c r="K953" s="220"/>
    </row>
    <row r="954" spans="2:11" x14ac:dyDescent="0.2">
      <c r="B954" s="217"/>
      <c r="C954" s="218"/>
      <c r="D954" s="218"/>
      <c r="E954" s="218"/>
      <c r="F954" s="218"/>
      <c r="G954" s="218"/>
      <c r="H954" s="218"/>
      <c r="I954" s="218"/>
      <c r="J954" s="218"/>
      <c r="K954" s="220"/>
    </row>
    <row r="955" spans="2:11" ht="16" x14ac:dyDescent="0.2">
      <c r="B955" s="217"/>
      <c r="C955" s="221" t="s">
        <v>997</v>
      </c>
      <c r="D955" s="218"/>
      <c r="E955" s="218"/>
      <c r="F955" s="218"/>
      <c r="G955" s="218"/>
      <c r="H955" s="218"/>
      <c r="I955" s="218"/>
      <c r="J955" s="242" t="str">
        <f>IF(OR(J936="Not Calculated",J823="Not Calculated")=TRUE,"Not Calculated",J823/J936)</f>
        <v>Not Calculated</v>
      </c>
      <c r="K955" s="220"/>
    </row>
    <row r="956" spans="2:11" x14ac:dyDescent="0.2">
      <c r="B956" s="217"/>
      <c r="C956" s="218"/>
      <c r="D956" s="218" t="s">
        <v>818</v>
      </c>
      <c r="E956" s="218"/>
      <c r="F956" s="218"/>
      <c r="G956" s="218"/>
      <c r="H956" s="218"/>
      <c r="I956" s="218"/>
      <c r="J956" s="218"/>
      <c r="K956" s="220"/>
    </row>
    <row r="957" spans="2:11" ht="16" thickBot="1" x14ac:dyDescent="0.25">
      <c r="B957" s="222"/>
      <c r="C957" s="223"/>
      <c r="D957" s="223"/>
      <c r="E957" s="223"/>
      <c r="F957" s="223"/>
      <c r="G957" s="223"/>
      <c r="H957" s="223"/>
      <c r="I957" s="223"/>
      <c r="J957" s="223"/>
      <c r="K957" s="224"/>
    </row>
    <row r="959" spans="2:11" x14ac:dyDescent="0.2">
      <c r="F959" s="405"/>
      <c r="G959" s="405"/>
      <c r="H959" s="405"/>
    </row>
    <row r="960" spans="2:11" x14ac:dyDescent="0.2">
      <c r="F960" s="405"/>
      <c r="G960" s="405"/>
      <c r="H960" s="405"/>
    </row>
    <row r="965" spans="1:3" ht="15" hidden="1" customHeight="1" x14ac:dyDescent="0.2">
      <c r="A965" s="12" t="s">
        <v>228</v>
      </c>
    </row>
    <row r="966" spans="1:3" ht="15" hidden="1" customHeight="1" x14ac:dyDescent="0.2">
      <c r="A966" s="12">
        <v>0</v>
      </c>
      <c r="B966" s="12" t="s">
        <v>250</v>
      </c>
      <c r="C966" s="12" t="s">
        <v>240</v>
      </c>
    </row>
    <row r="967" spans="1:3" ht="15" hidden="1" customHeight="1" x14ac:dyDescent="0.2">
      <c r="A967" s="12">
        <v>1</v>
      </c>
      <c r="B967" s="12" t="s">
        <v>251</v>
      </c>
      <c r="C967" s="12" t="s">
        <v>241</v>
      </c>
    </row>
    <row r="968" spans="1:3" ht="15" hidden="1" customHeight="1" x14ac:dyDescent="0.2">
      <c r="A968" s="12">
        <v>2</v>
      </c>
      <c r="B968" s="12" t="s">
        <v>252</v>
      </c>
      <c r="C968" s="12" t="s">
        <v>242</v>
      </c>
    </row>
    <row r="969" spans="1:3" ht="15" hidden="1" customHeight="1" x14ac:dyDescent="0.2">
      <c r="A969" s="12">
        <v>3</v>
      </c>
      <c r="B969" s="12" t="s">
        <v>253</v>
      </c>
      <c r="C969" s="12" t="s">
        <v>227</v>
      </c>
    </row>
    <row r="970" spans="1:3" ht="15" hidden="1" customHeight="1" x14ac:dyDescent="0.2">
      <c r="A970" s="12">
        <v>4</v>
      </c>
      <c r="B970" s="12" t="s">
        <v>254</v>
      </c>
      <c r="C970" s="12" t="s">
        <v>243</v>
      </c>
    </row>
    <row r="971" spans="1:3" ht="15" hidden="1" customHeight="1" x14ac:dyDescent="0.2"/>
    <row r="972" spans="1:3" ht="15" hidden="1" customHeight="1" x14ac:dyDescent="0.2">
      <c r="A972" s="12" t="s">
        <v>259</v>
      </c>
    </row>
    <row r="973" spans="1:3" ht="15" hidden="1" customHeight="1" x14ac:dyDescent="0.2">
      <c r="A973" s="12">
        <v>0</v>
      </c>
      <c r="B973" s="225" t="s">
        <v>870</v>
      </c>
    </row>
    <row r="974" spans="1:3" ht="15" hidden="1" customHeight="1" x14ac:dyDescent="0.2">
      <c r="A974" s="12">
        <v>1</v>
      </c>
      <c r="B974" s="12" t="s">
        <v>871</v>
      </c>
    </row>
    <row r="975" spans="1:3" ht="15" hidden="1" customHeight="1" x14ac:dyDescent="0.2">
      <c r="A975" s="12">
        <v>2</v>
      </c>
      <c r="B975" s="12" t="s">
        <v>872</v>
      </c>
    </row>
    <row r="976" spans="1:3" ht="15" hidden="1" customHeight="1" x14ac:dyDescent="0.2">
      <c r="A976" s="12">
        <v>3</v>
      </c>
      <c r="B976" s="12" t="s">
        <v>873</v>
      </c>
    </row>
    <row r="977" spans="1:2" ht="15" hidden="1" customHeight="1" x14ac:dyDescent="0.2">
      <c r="A977" s="12">
        <v>4</v>
      </c>
      <c r="B977" s="12" t="s">
        <v>874</v>
      </c>
    </row>
    <row r="978" spans="1:2" ht="15" hidden="1" customHeight="1" x14ac:dyDescent="0.2"/>
    <row r="979" spans="1:2" ht="15" hidden="1" customHeight="1" x14ac:dyDescent="0.2">
      <c r="A979" s="12" t="s">
        <v>294</v>
      </c>
    </row>
    <row r="980" spans="1:2" ht="15" hidden="1" customHeight="1" x14ac:dyDescent="0.2">
      <c r="A980" s="12">
        <v>0</v>
      </c>
      <c r="B980" s="225" t="s">
        <v>870</v>
      </c>
    </row>
    <row r="981" spans="1:2" ht="15" hidden="1" customHeight="1" x14ac:dyDescent="0.2">
      <c r="A981" s="12">
        <v>1</v>
      </c>
      <c r="B981" s="12" t="s">
        <v>875</v>
      </c>
    </row>
    <row r="982" spans="1:2" ht="15" hidden="1" customHeight="1" x14ac:dyDescent="0.2">
      <c r="A982" s="12">
        <v>2</v>
      </c>
      <c r="B982" s="12" t="s">
        <v>876</v>
      </c>
    </row>
    <row r="983" spans="1:2" ht="15" hidden="1" customHeight="1" x14ac:dyDescent="0.2">
      <c r="A983" s="12">
        <v>3</v>
      </c>
      <c r="B983" s="12" t="s">
        <v>877</v>
      </c>
    </row>
    <row r="984" spans="1:2" ht="15" hidden="1" customHeight="1" x14ac:dyDescent="0.2">
      <c r="A984" s="12">
        <v>4</v>
      </c>
      <c r="B984" s="12" t="s">
        <v>878</v>
      </c>
    </row>
    <row r="985" spans="1:2" ht="15" hidden="1" customHeight="1" x14ac:dyDescent="0.2"/>
    <row r="986" spans="1:2" ht="15" hidden="1" customHeight="1" x14ac:dyDescent="0.2">
      <c r="A986" s="12" t="s">
        <v>244</v>
      </c>
    </row>
    <row r="987" spans="1:2" ht="15" hidden="1" customHeight="1" x14ac:dyDescent="0.2">
      <c r="A987" s="12">
        <v>0</v>
      </c>
      <c r="B987" s="12" t="s">
        <v>245</v>
      </c>
    </row>
    <row r="988" spans="1:2" ht="15" hidden="1" customHeight="1" x14ac:dyDescent="0.2">
      <c r="A988" s="12">
        <v>1</v>
      </c>
      <c r="B988" s="12" t="s">
        <v>246</v>
      </c>
    </row>
    <row r="989" spans="1:2" ht="15" hidden="1" customHeight="1" x14ac:dyDescent="0.2">
      <c r="A989" s="12">
        <v>2</v>
      </c>
      <c r="B989" s="12" t="s">
        <v>247</v>
      </c>
    </row>
    <row r="990" spans="1:2" ht="15" hidden="1" customHeight="1" x14ac:dyDescent="0.2">
      <c r="A990" s="12">
        <v>3</v>
      </c>
      <c r="B990" s="12" t="s">
        <v>229</v>
      </c>
    </row>
    <row r="991" spans="1:2" ht="15" hidden="1" customHeight="1" x14ac:dyDescent="0.2">
      <c r="A991" s="12">
        <v>4</v>
      </c>
      <c r="B991" s="12" t="s">
        <v>248</v>
      </c>
    </row>
    <row r="992" spans="1:2" ht="15" hidden="1" customHeight="1" x14ac:dyDescent="0.2"/>
    <row r="993" spans="1:11" ht="15" hidden="1" customHeight="1" x14ac:dyDescent="0.2">
      <c r="A993" s="12" t="s">
        <v>381</v>
      </c>
    </row>
    <row r="994" spans="1:11" ht="15" hidden="1" customHeight="1" x14ac:dyDescent="0.2">
      <c r="A994" s="12">
        <v>0</v>
      </c>
      <c r="B994" s="12" t="s">
        <v>202</v>
      </c>
    </row>
    <row r="995" spans="1:11" ht="15" hidden="1" customHeight="1" x14ac:dyDescent="0.2">
      <c r="A995" s="12">
        <v>1</v>
      </c>
      <c r="B995" s="12" t="s">
        <v>190</v>
      </c>
    </row>
    <row r="996" spans="1:11" ht="15" hidden="1" customHeight="1" x14ac:dyDescent="0.2"/>
    <row r="997" spans="1:11" ht="15" hidden="1" customHeight="1" x14ac:dyDescent="0.2">
      <c r="A997" s="12" t="s">
        <v>249</v>
      </c>
    </row>
    <row r="998" spans="1:11" ht="15" hidden="1" customHeight="1" x14ac:dyDescent="0.2">
      <c r="A998" s="12">
        <v>0</v>
      </c>
      <c r="B998" s="12" t="s">
        <v>236</v>
      </c>
    </row>
    <row r="999" spans="1:11" ht="15" hidden="1" customHeight="1" x14ac:dyDescent="0.2">
      <c r="A999" s="12">
        <v>1</v>
      </c>
      <c r="B999" s="12" t="s">
        <v>237</v>
      </c>
    </row>
    <row r="1000" spans="1:11" ht="15" hidden="1" customHeight="1" x14ac:dyDescent="0.2">
      <c r="A1000" s="12">
        <v>2</v>
      </c>
      <c r="B1000" s="12" t="s">
        <v>235</v>
      </c>
    </row>
    <row r="1001" spans="1:11" ht="15" hidden="1" customHeight="1" x14ac:dyDescent="0.2">
      <c r="A1001" s="12">
        <v>3</v>
      </c>
      <c r="B1001" s="12" t="s">
        <v>238</v>
      </c>
    </row>
    <row r="1002" spans="1:11" ht="15" hidden="1" customHeight="1" x14ac:dyDescent="0.2">
      <c r="A1002" s="12">
        <v>4</v>
      </c>
      <c r="B1002" s="12" t="s">
        <v>234</v>
      </c>
    </row>
    <row r="1003" spans="1:11" x14ac:dyDescent="0.2">
      <c r="B1003" s="12" t="s">
        <v>685</v>
      </c>
    </row>
    <row r="1004" spans="1:11" ht="30" customHeight="1" x14ac:dyDescent="0.2">
      <c r="B1004" s="402" t="s">
        <v>686</v>
      </c>
      <c r="C1004" s="403"/>
      <c r="D1004" s="403"/>
      <c r="E1004" s="403"/>
      <c r="F1004" s="403"/>
      <c r="G1004" s="403"/>
      <c r="H1004" s="403"/>
      <c r="I1004" s="403"/>
      <c r="J1004" s="403"/>
      <c r="K1004" s="404"/>
    </row>
    <row r="1005" spans="1:11" ht="15" customHeight="1" x14ac:dyDescent="0.2">
      <c r="B1005" s="396"/>
      <c r="C1005" s="397"/>
      <c r="D1005" s="397"/>
      <c r="E1005" s="397"/>
      <c r="F1005" s="397"/>
      <c r="G1005" s="397"/>
      <c r="H1005" s="397"/>
      <c r="I1005" s="397"/>
      <c r="J1005" s="397"/>
      <c r="K1005" s="398"/>
    </row>
    <row r="1006" spans="1:11" ht="15" customHeight="1" x14ac:dyDescent="0.2">
      <c r="B1006" s="396" t="s">
        <v>692</v>
      </c>
      <c r="C1006" s="397"/>
      <c r="D1006" s="397"/>
      <c r="E1006" s="397"/>
      <c r="F1006" s="397"/>
      <c r="G1006" s="397"/>
      <c r="H1006" s="397"/>
      <c r="I1006" s="397"/>
      <c r="J1006" s="397"/>
      <c r="K1006" s="398"/>
    </row>
    <row r="1007" spans="1:11" ht="15" customHeight="1" x14ac:dyDescent="0.2">
      <c r="B1007" s="396"/>
      <c r="C1007" s="397"/>
      <c r="D1007" s="397"/>
      <c r="E1007" s="397"/>
      <c r="F1007" s="397"/>
      <c r="G1007" s="397"/>
      <c r="H1007" s="397"/>
      <c r="I1007" s="397"/>
      <c r="J1007" s="397"/>
      <c r="K1007" s="398"/>
    </row>
    <row r="1008" spans="1:11" ht="30" customHeight="1" x14ac:dyDescent="0.2">
      <c r="B1008" s="396" t="s">
        <v>691</v>
      </c>
      <c r="C1008" s="397"/>
      <c r="D1008" s="397"/>
      <c r="E1008" s="397"/>
      <c r="F1008" s="397"/>
      <c r="G1008" s="397"/>
      <c r="H1008" s="397"/>
      <c r="I1008" s="397"/>
      <c r="J1008" s="397"/>
      <c r="K1008" s="398"/>
    </row>
    <row r="1009" spans="2:11" ht="15" customHeight="1" x14ac:dyDescent="0.2">
      <c r="B1009" s="396"/>
      <c r="C1009" s="397"/>
      <c r="D1009" s="397"/>
      <c r="E1009" s="397"/>
      <c r="F1009" s="397"/>
      <c r="G1009" s="397"/>
      <c r="H1009" s="397"/>
      <c r="I1009" s="397"/>
      <c r="J1009" s="397"/>
      <c r="K1009" s="398"/>
    </row>
    <row r="1010" spans="2:11" ht="15" customHeight="1" x14ac:dyDescent="0.2">
      <c r="B1010" s="396" t="s">
        <v>690</v>
      </c>
      <c r="C1010" s="397"/>
      <c r="D1010" s="397"/>
      <c r="E1010" s="397"/>
      <c r="F1010" s="397"/>
      <c r="G1010" s="397"/>
      <c r="H1010" s="397"/>
      <c r="I1010" s="397"/>
      <c r="J1010" s="397"/>
      <c r="K1010" s="398"/>
    </row>
    <row r="1011" spans="2:11" ht="15" customHeight="1" x14ac:dyDescent="0.2">
      <c r="B1011" s="396"/>
      <c r="C1011" s="397"/>
      <c r="D1011" s="397"/>
      <c r="E1011" s="397"/>
      <c r="F1011" s="397"/>
      <c r="G1011" s="397"/>
      <c r="H1011" s="397"/>
      <c r="I1011" s="397"/>
      <c r="J1011" s="397"/>
      <c r="K1011" s="398"/>
    </row>
    <row r="1012" spans="2:11" ht="45" customHeight="1" x14ac:dyDescent="0.2">
      <c r="B1012" s="396" t="s">
        <v>688</v>
      </c>
      <c r="C1012" s="397"/>
      <c r="D1012" s="397"/>
      <c r="E1012" s="397"/>
      <c r="F1012" s="397"/>
      <c r="G1012" s="397"/>
      <c r="H1012" s="397"/>
      <c r="I1012" s="397"/>
      <c r="J1012" s="397"/>
      <c r="K1012" s="398"/>
    </row>
    <row r="1013" spans="2:11" ht="15" customHeight="1" x14ac:dyDescent="0.2">
      <c r="B1013" s="396"/>
      <c r="C1013" s="397"/>
      <c r="D1013" s="397"/>
      <c r="E1013" s="397"/>
      <c r="F1013" s="397"/>
      <c r="G1013" s="397"/>
      <c r="H1013" s="397"/>
      <c r="I1013" s="397"/>
      <c r="J1013" s="397"/>
      <c r="K1013" s="398"/>
    </row>
    <row r="1014" spans="2:11" ht="30" customHeight="1" x14ac:dyDescent="0.2">
      <c r="B1014" s="396" t="s">
        <v>689</v>
      </c>
      <c r="C1014" s="397"/>
      <c r="D1014" s="397"/>
      <c r="E1014" s="397"/>
      <c r="F1014" s="397"/>
      <c r="G1014" s="397"/>
      <c r="H1014" s="397"/>
      <c r="I1014" s="397"/>
      <c r="J1014" s="397"/>
      <c r="K1014" s="398"/>
    </row>
    <row r="1015" spans="2:11" ht="15" customHeight="1" x14ac:dyDescent="0.2">
      <c r="B1015" s="396"/>
      <c r="C1015" s="397"/>
      <c r="D1015" s="397"/>
      <c r="E1015" s="397"/>
      <c r="F1015" s="397"/>
      <c r="G1015" s="397"/>
      <c r="H1015" s="397"/>
      <c r="I1015" s="397"/>
      <c r="J1015" s="397"/>
      <c r="K1015" s="398"/>
    </row>
    <row r="1016" spans="2:11" ht="15" customHeight="1" x14ac:dyDescent="0.2">
      <c r="B1016" s="396" t="s">
        <v>687</v>
      </c>
      <c r="C1016" s="397"/>
      <c r="D1016" s="397"/>
      <c r="E1016" s="397"/>
      <c r="F1016" s="397"/>
      <c r="G1016" s="397"/>
      <c r="H1016" s="397"/>
      <c r="I1016" s="397"/>
      <c r="J1016" s="397"/>
      <c r="K1016" s="398"/>
    </row>
    <row r="1017" spans="2:11" ht="15" customHeight="1" x14ac:dyDescent="0.2">
      <c r="B1017" s="396"/>
      <c r="C1017" s="397"/>
      <c r="D1017" s="397"/>
      <c r="E1017" s="397"/>
      <c r="F1017" s="397"/>
      <c r="G1017" s="397"/>
      <c r="H1017" s="397"/>
      <c r="I1017" s="397"/>
      <c r="J1017" s="397"/>
      <c r="K1017" s="398"/>
    </row>
    <row r="1018" spans="2:11" ht="15" customHeight="1" x14ac:dyDescent="0.2">
      <c r="B1018" s="396"/>
      <c r="C1018" s="397"/>
      <c r="D1018" s="397"/>
      <c r="E1018" s="397"/>
      <c r="F1018" s="397"/>
      <c r="G1018" s="397"/>
      <c r="H1018" s="397"/>
      <c r="I1018" s="397"/>
      <c r="J1018" s="397"/>
      <c r="K1018" s="398"/>
    </row>
    <row r="1019" spans="2:11" ht="15" customHeight="1" x14ac:dyDescent="0.2">
      <c r="B1019" s="396"/>
      <c r="C1019" s="397"/>
      <c r="D1019" s="397"/>
      <c r="E1019" s="397"/>
      <c r="F1019" s="397"/>
      <c r="G1019" s="397"/>
      <c r="H1019" s="397"/>
      <c r="I1019" s="397"/>
      <c r="J1019" s="397"/>
      <c r="K1019" s="398"/>
    </row>
    <row r="1020" spans="2:11" ht="15" customHeight="1" x14ac:dyDescent="0.2">
      <c r="B1020" s="396"/>
      <c r="C1020" s="397"/>
      <c r="D1020" s="397"/>
      <c r="E1020" s="397"/>
      <c r="F1020" s="397"/>
      <c r="G1020" s="397"/>
      <c r="H1020" s="397"/>
      <c r="I1020" s="397"/>
      <c r="J1020" s="397"/>
      <c r="K1020" s="398"/>
    </row>
    <row r="1021" spans="2:11" ht="15" customHeight="1" x14ac:dyDescent="0.2">
      <c r="B1021" s="396"/>
      <c r="C1021" s="397"/>
      <c r="D1021" s="397"/>
      <c r="E1021" s="397"/>
      <c r="F1021" s="397"/>
      <c r="G1021" s="397"/>
      <c r="H1021" s="397"/>
      <c r="I1021" s="397"/>
      <c r="J1021" s="397"/>
      <c r="K1021" s="398"/>
    </row>
    <row r="1022" spans="2:11" ht="15" customHeight="1" x14ac:dyDescent="0.2">
      <c r="B1022" s="396"/>
      <c r="C1022" s="397"/>
      <c r="D1022" s="397"/>
      <c r="E1022" s="397"/>
      <c r="F1022" s="397"/>
      <c r="G1022" s="397"/>
      <c r="H1022" s="397"/>
      <c r="I1022" s="397"/>
      <c r="J1022" s="397"/>
      <c r="K1022" s="398"/>
    </row>
    <row r="1023" spans="2:11" ht="15" customHeight="1" x14ac:dyDescent="0.2">
      <c r="B1023" s="396"/>
      <c r="C1023" s="397"/>
      <c r="D1023" s="397"/>
      <c r="E1023" s="397"/>
      <c r="F1023" s="397"/>
      <c r="G1023" s="397"/>
      <c r="H1023" s="397"/>
      <c r="I1023" s="397"/>
      <c r="J1023" s="397"/>
      <c r="K1023" s="398"/>
    </row>
    <row r="1024" spans="2:11" ht="15" customHeight="1" x14ac:dyDescent="0.2">
      <c r="B1024" s="396"/>
      <c r="C1024" s="397"/>
      <c r="D1024" s="397"/>
      <c r="E1024" s="397"/>
      <c r="F1024" s="397"/>
      <c r="G1024" s="397"/>
      <c r="H1024" s="397"/>
      <c r="I1024" s="397"/>
      <c r="J1024" s="397"/>
      <c r="K1024" s="398"/>
    </row>
    <row r="1025" spans="2:11" ht="15" customHeight="1" x14ac:dyDescent="0.2">
      <c r="B1025" s="396"/>
      <c r="C1025" s="397"/>
      <c r="D1025" s="397"/>
      <c r="E1025" s="397"/>
      <c r="F1025" s="397"/>
      <c r="G1025" s="397"/>
      <c r="H1025" s="397"/>
      <c r="I1025" s="397"/>
      <c r="J1025" s="397"/>
      <c r="K1025" s="398"/>
    </row>
    <row r="1026" spans="2:11" ht="15" customHeight="1" x14ac:dyDescent="0.2">
      <c r="B1026" s="396"/>
      <c r="C1026" s="397"/>
      <c r="D1026" s="397"/>
      <c r="E1026" s="397"/>
      <c r="F1026" s="397"/>
      <c r="G1026" s="397"/>
      <c r="H1026" s="397"/>
      <c r="I1026" s="397"/>
      <c r="J1026" s="397"/>
      <c r="K1026" s="398"/>
    </row>
    <row r="1027" spans="2:11" ht="15" customHeight="1" x14ac:dyDescent="0.2">
      <c r="B1027" s="396"/>
      <c r="C1027" s="397"/>
      <c r="D1027" s="397"/>
      <c r="E1027" s="397"/>
      <c r="F1027" s="397"/>
      <c r="G1027" s="397"/>
      <c r="H1027" s="397"/>
      <c r="I1027" s="397"/>
      <c r="J1027" s="397"/>
      <c r="K1027" s="398"/>
    </row>
    <row r="1028" spans="2:11" ht="15" customHeight="1" x14ac:dyDescent="0.2">
      <c r="B1028" s="396"/>
      <c r="C1028" s="397"/>
      <c r="D1028" s="397"/>
      <c r="E1028" s="397"/>
      <c r="F1028" s="397"/>
      <c r="G1028" s="397"/>
      <c r="H1028" s="397"/>
      <c r="I1028" s="397"/>
      <c r="J1028" s="397"/>
      <c r="K1028" s="398"/>
    </row>
    <row r="1029" spans="2:11" ht="15" customHeight="1" x14ac:dyDescent="0.2">
      <c r="B1029" s="393"/>
      <c r="C1029" s="394"/>
      <c r="D1029" s="394"/>
      <c r="E1029" s="394"/>
      <c r="F1029" s="394"/>
      <c r="G1029" s="394"/>
      <c r="H1029" s="394"/>
      <c r="I1029" s="394"/>
      <c r="J1029" s="394"/>
      <c r="K1029" s="395"/>
    </row>
  </sheetData>
  <sheetProtection formatCells="0" formatColumns="0" formatRows="0" selectLockedCells="1"/>
  <mergeCells count="152">
    <mergeCell ref="B7:K7"/>
    <mergeCell ref="C155:J155"/>
    <mergeCell ref="C196:J196"/>
    <mergeCell ref="B5:K5"/>
    <mergeCell ref="B6:K6"/>
    <mergeCell ref="B9:K9"/>
    <mergeCell ref="B8:K8"/>
    <mergeCell ref="B10:K10"/>
    <mergeCell ref="C129:J129"/>
    <mergeCell ref="G890:H890"/>
    <mergeCell ref="G878:H878"/>
    <mergeCell ref="G882:H882"/>
    <mergeCell ref="G886:H886"/>
    <mergeCell ref="C900:J901"/>
    <mergeCell ref="G904:H904"/>
    <mergeCell ref="G908:H908"/>
    <mergeCell ref="G912:H912"/>
    <mergeCell ref="G866:H866"/>
    <mergeCell ref="G870:H870"/>
    <mergeCell ref="G874:H874"/>
    <mergeCell ref="G854:H854"/>
    <mergeCell ref="G858:H858"/>
    <mergeCell ref="G862:H862"/>
    <mergeCell ref="G842:H842"/>
    <mergeCell ref="G846:H846"/>
    <mergeCell ref="G850:H850"/>
    <mergeCell ref="C830:J831"/>
    <mergeCell ref="G834:H834"/>
    <mergeCell ref="G838:H838"/>
    <mergeCell ref="G766:H766"/>
    <mergeCell ref="G767:H767"/>
    <mergeCell ref="G768:H768"/>
    <mergeCell ref="G769:H769"/>
    <mergeCell ref="G770:H770"/>
    <mergeCell ref="C759:J761"/>
    <mergeCell ref="G762:H762"/>
    <mergeCell ref="G763:H763"/>
    <mergeCell ref="G764:H764"/>
    <mergeCell ref="G765:H765"/>
    <mergeCell ref="G751:H751"/>
    <mergeCell ref="G752:H752"/>
    <mergeCell ref="G753:H753"/>
    <mergeCell ref="G754:H754"/>
    <mergeCell ref="G755:H755"/>
    <mergeCell ref="C744:J746"/>
    <mergeCell ref="G747:H747"/>
    <mergeCell ref="G748:H748"/>
    <mergeCell ref="G749:H749"/>
    <mergeCell ref="G750:H750"/>
    <mergeCell ref="G720:H720"/>
    <mergeCell ref="G721:H721"/>
    <mergeCell ref="D664:I665"/>
    <mergeCell ref="G736:H736"/>
    <mergeCell ref="G737:H737"/>
    <mergeCell ref="G738:H738"/>
    <mergeCell ref="G739:H739"/>
    <mergeCell ref="G740:H740"/>
    <mergeCell ref="C729:J731"/>
    <mergeCell ref="G732:H732"/>
    <mergeCell ref="G733:H733"/>
    <mergeCell ref="G734:H734"/>
    <mergeCell ref="G735:H735"/>
    <mergeCell ref="C305:J305"/>
    <mergeCell ref="C714:J716"/>
    <mergeCell ref="G717:H717"/>
    <mergeCell ref="C286:J286"/>
    <mergeCell ref="C216:J216"/>
    <mergeCell ref="C237:J237"/>
    <mergeCell ref="C257:J257"/>
    <mergeCell ref="E15:J15"/>
    <mergeCell ref="C38:J38"/>
    <mergeCell ref="C76:J76"/>
    <mergeCell ref="C57:J57"/>
    <mergeCell ref="C176:J176"/>
    <mergeCell ref="C95:J95"/>
    <mergeCell ref="C123:J124"/>
    <mergeCell ref="C114:J114"/>
    <mergeCell ref="C120:J122"/>
    <mergeCell ref="C365:J365"/>
    <mergeCell ref="C292:I293"/>
    <mergeCell ref="C324:J324"/>
    <mergeCell ref="C311:I312"/>
    <mergeCell ref="C371:I372"/>
    <mergeCell ref="C391:I392"/>
    <mergeCell ref="D343:I344"/>
    <mergeCell ref="C340:I341"/>
    <mergeCell ref="C347:J347"/>
    <mergeCell ref="C330:I331"/>
    <mergeCell ref="C416:J416"/>
    <mergeCell ref="C402:J402"/>
    <mergeCell ref="C385:J385"/>
    <mergeCell ref="C420:I421"/>
    <mergeCell ref="C455:J455"/>
    <mergeCell ref="C438:J438"/>
    <mergeCell ref="C471:J471"/>
    <mergeCell ref="C444:I445"/>
    <mergeCell ref="C477:I478"/>
    <mergeCell ref="C524:I525"/>
    <mergeCell ref="C535:J535"/>
    <mergeCell ref="C518:J518"/>
    <mergeCell ref="C502:J502"/>
    <mergeCell ref="C486:J486"/>
    <mergeCell ref="C560:J560"/>
    <mergeCell ref="C583:J583"/>
    <mergeCell ref="C599:J599"/>
    <mergeCell ref="C613:J613"/>
    <mergeCell ref="B1004:K1004"/>
    <mergeCell ref="B1008:K1008"/>
    <mergeCell ref="B1007:K1007"/>
    <mergeCell ref="F959:H960"/>
    <mergeCell ref="C566:I568"/>
    <mergeCell ref="C569:I571"/>
    <mergeCell ref="C620:I621"/>
    <mergeCell ref="C633:J633"/>
    <mergeCell ref="C639:I640"/>
    <mergeCell ref="C655:J655"/>
    <mergeCell ref="C641:I643"/>
    <mergeCell ref="C677:J677"/>
    <mergeCell ref="G924:H924"/>
    <mergeCell ref="G916:H916"/>
    <mergeCell ref="G920:H920"/>
    <mergeCell ref="G928:H928"/>
    <mergeCell ref="G932:H932"/>
    <mergeCell ref="G722:H722"/>
    <mergeCell ref="G723:H723"/>
    <mergeCell ref="G724:H724"/>
    <mergeCell ref="G725:H725"/>
    <mergeCell ref="G718:H718"/>
    <mergeCell ref="G719:H719"/>
    <mergeCell ref="B1029:K1029"/>
    <mergeCell ref="B1006:K1006"/>
    <mergeCell ref="B1016:K1016"/>
    <mergeCell ref="B1013:K1013"/>
    <mergeCell ref="B1011:K1011"/>
    <mergeCell ref="B1009:K1009"/>
    <mergeCell ref="B1005:K1005"/>
    <mergeCell ref="B1010:K1010"/>
    <mergeCell ref="B1014:K1014"/>
    <mergeCell ref="B1012:K1012"/>
    <mergeCell ref="B1017:K1017"/>
    <mergeCell ref="B1018:K1018"/>
    <mergeCell ref="B1019:K1019"/>
    <mergeCell ref="B1020:K1020"/>
    <mergeCell ref="B1015:K1015"/>
    <mergeCell ref="B1022:K1022"/>
    <mergeCell ref="B1023:K1023"/>
    <mergeCell ref="B1021:K1021"/>
    <mergeCell ref="B1024:K1024"/>
    <mergeCell ref="B1025:K1025"/>
    <mergeCell ref="B1026:K1026"/>
    <mergeCell ref="B1027:K1027"/>
    <mergeCell ref="B1028:K1028"/>
  </mergeCells>
  <dataValidations count="23">
    <dataValidation type="list" allowBlank="1" showInputMessage="1" showErrorMessage="1" sqref="J35 J213 J283 J652 J54 J193 J173 J152 J126 J111 J92 J73 J254 J435 J452 J468 J499 J515 J532 J557 J580 J596 J674 J630 J234" xr:uid="{00000000-0002-0000-0900-000000000000}">
      <formula1>$B$973:$B$977</formula1>
    </dataValidation>
    <dataValidation type="list" allowBlank="1" showInputMessage="1" showErrorMessage="1" sqref="C123:J124" xr:uid="{00000000-0002-0000-0900-000001000000}">
      <formula1>$B$987:$B$991</formula1>
    </dataValidation>
    <dataValidation type="list" allowBlank="1" showInputMessage="1" showErrorMessage="1" sqref="J302 J362" xr:uid="{00000000-0002-0000-0900-000002000000}">
      <formula1>$B$980:$B$984</formula1>
    </dataValidation>
    <dataValidation type="list" allowBlank="1" showInputMessage="1" showErrorMessage="1" sqref="G717:H725 G762:H770 G732:H740 G747:H755" xr:uid="{00000000-0002-0000-0900-000003000000}">
      <formula1>$B$994:$B$995</formula1>
    </dataValidation>
    <dataValidation type="list" allowBlank="1" showInputMessage="1" showErrorMessage="1" sqref="G834:H834 G890:H890 G886:H886 G882:H882 G878:H878 G874:H874 G870:H870 G866:H866 G862:H862 G858:H858 G854:H854 G850:H850 G846:H846 G842:H842 G838:H838 G904:H904 G932:H932 G928:H928 G924:H924 G920:H920 G916:H916 G912:H912 G908:H908" xr:uid="{00000000-0002-0000-0900-000004000000}">
      <formula1>$B$998:$B$1002</formula1>
    </dataValidation>
    <dataValidation type="list" allowBlank="1" showInputMessage="1" showErrorMessage="1" sqref="E15:J15" xr:uid="{00000000-0002-0000-0900-000005000000}">
      <formula1>$C$966:$C$970</formula1>
    </dataValidation>
    <dataValidation type="list" allowBlank="1" showInputMessage="1" showErrorMessage="1" sqref="J33" xr:uid="{00000000-0002-0000-0900-000006000000}">
      <formula1>$N$32:$N$37</formula1>
    </dataValidation>
    <dataValidation type="list" allowBlank="1" showInputMessage="1" showErrorMessage="1" sqref="J52" xr:uid="{00000000-0002-0000-0900-000007000000}">
      <formula1>$N$51:$N$56</formula1>
    </dataValidation>
    <dataValidation type="list" allowBlank="1" showInputMessage="1" showErrorMessage="1" sqref="J71" xr:uid="{00000000-0002-0000-0900-000008000000}">
      <formula1>$N$70:$N$75</formula1>
    </dataValidation>
    <dataValidation type="list" allowBlank="1" showInputMessage="1" showErrorMessage="1" sqref="J90" xr:uid="{00000000-0002-0000-0900-000009000000}">
      <formula1>$N$89:$N$94</formula1>
    </dataValidation>
    <dataValidation type="list" allowBlank="1" showInputMessage="1" showErrorMessage="1" sqref="J109" xr:uid="{00000000-0002-0000-0900-00000A000000}">
      <formula1>$N$108:$N$113</formula1>
    </dataValidation>
    <dataValidation type="list" allowBlank="1" showInputMessage="1" showErrorMessage="1" sqref="J150" xr:uid="{00000000-0002-0000-0900-00000B000000}">
      <formula1>$N$149:$N$154</formula1>
    </dataValidation>
    <dataValidation type="list" allowBlank="1" showInputMessage="1" showErrorMessage="1" sqref="J171" xr:uid="{00000000-0002-0000-0900-00000C000000}">
      <formula1>$N$170:$N$175</formula1>
    </dataValidation>
    <dataValidation type="list" allowBlank="1" showInputMessage="1" showErrorMessage="1" sqref="J191" xr:uid="{00000000-0002-0000-0900-00000D000000}">
      <formula1>$N$190:$N$195</formula1>
    </dataValidation>
    <dataValidation type="list" allowBlank="1" showInputMessage="1" showErrorMessage="1" sqref="J211" xr:uid="{00000000-0002-0000-0900-00000E000000}">
      <formula1>$N$210:$N$215</formula1>
    </dataValidation>
    <dataValidation type="list" allowBlank="1" showInputMessage="1" showErrorMessage="1" sqref="J232" xr:uid="{00000000-0002-0000-0900-00000F000000}">
      <formula1>$N$231:$N$236</formula1>
    </dataValidation>
    <dataValidation type="list" allowBlank="1" showInputMessage="1" showErrorMessage="1" sqref="J252" xr:uid="{00000000-0002-0000-0900-000010000000}">
      <formula1>$N$251:$N$256</formula1>
    </dataValidation>
    <dataValidation type="list" allowBlank="1" showInputMessage="1" showErrorMessage="1" sqref="J281" xr:uid="{00000000-0002-0000-0900-000011000000}">
      <formula1>$N$280:$N$285</formula1>
    </dataValidation>
    <dataValidation type="list" allowBlank="1" showInputMessage="1" showErrorMessage="1" sqref="J672" xr:uid="{00000000-0002-0000-0900-000012000000}">
      <formula1>$N$671:$N$676</formula1>
    </dataValidation>
    <dataValidation type="list" allowBlank="1" showInputMessage="1" showErrorMessage="1" sqref="J650" xr:uid="{00000000-0002-0000-0900-000013000000}">
      <formula1>$N$649:$N$654</formula1>
    </dataValidation>
    <dataValidation type="list" allowBlank="1" showInputMessage="1" showErrorMessage="1" sqref="J628" xr:uid="{00000000-0002-0000-0900-000014000000}">
      <formula1>$N$627:$N$632</formula1>
    </dataValidation>
    <dataValidation type="list" allowBlank="1" showInputMessage="1" showErrorMessage="1" sqref="J578" xr:uid="{00000000-0002-0000-0900-000015000000}">
      <formula1>$N$577:$N$582</formula1>
    </dataValidation>
    <dataValidation type="list" allowBlank="1" showInputMessage="1" showErrorMessage="1" sqref="J555" xr:uid="{00000000-0002-0000-0900-000016000000}">
      <formula1>$N$554:$N$559</formula1>
    </dataValidation>
  </dataValidations>
  <pageMargins left="0.7" right="0.7" top="0.75" bottom="0.75" header="0.3" footer="0.3"/>
  <pageSetup scale="66" orientation="portrait" r:id="rId1"/>
  <ignoredErrors>
    <ignoredError sqref="J245 J307 J326 J349 J367 J387 J440 J457 J473 J488 J504 J508 J520 J537 J601" unlocked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dimension ref="A1:N1030"/>
  <sheetViews>
    <sheetView showGridLines="0" showRowColHeaders="0" zoomScaleNormal="100" workbookViewId="0">
      <selection activeCell="O92" sqref="O92"/>
    </sheetView>
  </sheetViews>
  <sheetFormatPr baseColWidth="10" defaultColWidth="9.1640625" defaultRowHeight="15" x14ac:dyDescent="0.2"/>
  <cols>
    <col min="1" max="1" width="9.1640625" style="12"/>
    <col min="2" max="3" width="9.1640625" style="12" customWidth="1"/>
    <col min="4" max="4" width="9.1640625" style="12"/>
    <col min="5" max="5" width="9.1640625" style="12" customWidth="1"/>
    <col min="6" max="9" width="9.1640625" style="12"/>
    <col min="10" max="10" width="25.6640625" style="12" customWidth="1"/>
    <col min="11" max="13" width="9.1640625" style="12"/>
    <col min="14" max="14" width="9.1640625" style="12" hidden="1" customWidth="1"/>
    <col min="15" max="16384" width="9.1640625" style="12"/>
  </cols>
  <sheetData>
    <row r="1" spans="2:13" x14ac:dyDescent="0.2">
      <c r="I1" s="29"/>
    </row>
    <row r="2" spans="2:13" ht="33" x14ac:dyDescent="0.2">
      <c r="G2" s="16" t="s">
        <v>1038</v>
      </c>
      <c r="I2" s="29"/>
    </row>
    <row r="3" spans="2:13" ht="23" x14ac:dyDescent="0.25">
      <c r="G3" s="30" t="s">
        <v>16</v>
      </c>
      <c r="I3" s="29"/>
      <c r="L3" s="157"/>
      <c r="M3" s="157"/>
    </row>
    <row r="4" spans="2:13" x14ac:dyDescent="0.2">
      <c r="G4" s="98"/>
      <c r="I4" s="29"/>
      <c r="L4" s="158"/>
      <c r="M4" s="157"/>
    </row>
    <row r="5" spans="2:13" ht="45" customHeight="1" x14ac:dyDescent="0.2">
      <c r="B5" s="426" t="s">
        <v>694</v>
      </c>
      <c r="C5" s="427"/>
      <c r="D5" s="427"/>
      <c r="E5" s="427"/>
      <c r="F5" s="427"/>
      <c r="G5" s="427"/>
      <c r="H5" s="427"/>
      <c r="I5" s="427"/>
      <c r="J5" s="427"/>
      <c r="K5" s="427"/>
      <c r="L5" s="158"/>
      <c r="M5" s="157"/>
    </row>
    <row r="6" spans="2:13" x14ac:dyDescent="0.2">
      <c r="B6" s="426"/>
      <c r="C6" s="426"/>
      <c r="D6" s="426"/>
      <c r="E6" s="426"/>
      <c r="F6" s="426"/>
      <c r="G6" s="426"/>
      <c r="H6" s="426"/>
      <c r="I6" s="426"/>
      <c r="J6" s="426"/>
      <c r="K6" s="426"/>
      <c r="L6" s="158"/>
    </row>
    <row r="7" spans="2:13" ht="50" customHeight="1" x14ac:dyDescent="0.2">
      <c r="B7" s="425" t="s">
        <v>664</v>
      </c>
      <c r="C7" s="341"/>
      <c r="D7" s="341"/>
      <c r="E7" s="341"/>
      <c r="F7" s="341"/>
      <c r="G7" s="341"/>
      <c r="H7" s="341"/>
      <c r="I7" s="341"/>
      <c r="J7" s="341"/>
      <c r="K7" s="341"/>
      <c r="L7" s="158"/>
    </row>
    <row r="8" spans="2:13" ht="25" customHeight="1" x14ac:dyDescent="0.2">
      <c r="B8" s="432" t="s">
        <v>665</v>
      </c>
      <c r="C8" s="433"/>
      <c r="D8" s="433"/>
      <c r="E8" s="433"/>
      <c r="F8" s="433"/>
      <c r="G8" s="433"/>
      <c r="H8" s="433"/>
      <c r="I8" s="433"/>
      <c r="J8" s="433"/>
      <c r="K8" s="433"/>
    </row>
    <row r="9" spans="2:13" ht="105" customHeight="1" x14ac:dyDescent="0.2">
      <c r="B9" s="434" t="s">
        <v>1152</v>
      </c>
      <c r="C9" s="435"/>
      <c r="D9" s="435"/>
      <c r="E9" s="435"/>
      <c r="F9" s="435"/>
      <c r="G9" s="435"/>
      <c r="H9" s="435"/>
      <c r="I9" s="435"/>
      <c r="J9" s="435"/>
      <c r="K9" s="436"/>
    </row>
    <row r="10" spans="2:13" ht="25" customHeight="1" thickBot="1" x14ac:dyDescent="0.25">
      <c r="G10" s="98"/>
    </row>
    <row r="11" spans="2:13" x14ac:dyDescent="0.2">
      <c r="B11" s="159"/>
      <c r="C11" s="160"/>
      <c r="D11" s="160"/>
      <c r="E11" s="160"/>
      <c r="F11" s="160"/>
      <c r="G11" s="160"/>
      <c r="H11" s="160"/>
      <c r="I11" s="160"/>
      <c r="J11" s="160"/>
      <c r="K11" s="161"/>
    </row>
    <row r="12" spans="2:13" ht="21" x14ac:dyDescent="0.25">
      <c r="B12" s="162"/>
      <c r="C12" s="163"/>
      <c r="D12" s="163"/>
      <c r="E12" s="163"/>
      <c r="F12" s="163"/>
      <c r="G12" s="164" t="s">
        <v>226</v>
      </c>
      <c r="H12" s="163"/>
      <c r="I12" s="163"/>
      <c r="J12" s="163"/>
      <c r="K12" s="165"/>
    </row>
    <row r="13" spans="2:13" ht="21" x14ac:dyDescent="0.25">
      <c r="B13" s="162"/>
      <c r="C13" s="163"/>
      <c r="D13" s="163"/>
      <c r="E13" s="163"/>
      <c r="F13" s="163"/>
      <c r="G13" s="164"/>
      <c r="H13" s="163"/>
      <c r="I13" s="163"/>
      <c r="J13" s="163"/>
      <c r="K13" s="165"/>
    </row>
    <row r="14" spans="2:13" x14ac:dyDescent="0.2">
      <c r="B14" s="162"/>
      <c r="C14" s="163" t="s">
        <v>255</v>
      </c>
      <c r="D14" s="163"/>
      <c r="E14" s="412" t="s">
        <v>241</v>
      </c>
      <c r="F14" s="437"/>
      <c r="G14" s="437"/>
      <c r="H14" s="437"/>
      <c r="I14" s="437"/>
      <c r="J14" s="438"/>
      <c r="K14" s="165"/>
    </row>
    <row r="15" spans="2:13" x14ac:dyDescent="0.2">
      <c r="B15" s="162"/>
      <c r="C15" s="163"/>
      <c r="D15" s="163"/>
      <c r="E15" s="337"/>
      <c r="F15" s="338"/>
      <c r="G15" s="338"/>
      <c r="H15" s="338"/>
      <c r="I15" s="338"/>
      <c r="J15" s="338"/>
      <c r="K15" s="165"/>
    </row>
    <row r="16" spans="2:13" ht="26.25" customHeight="1" x14ac:dyDescent="0.2">
      <c r="B16" s="162"/>
      <c r="C16" s="163"/>
      <c r="D16" s="163"/>
      <c r="E16" s="163"/>
      <c r="F16" s="163"/>
      <c r="G16" s="163"/>
      <c r="H16" s="163"/>
      <c r="I16" s="163"/>
      <c r="J16" s="163"/>
      <c r="K16" s="165"/>
    </row>
    <row r="17" spans="2:12" x14ac:dyDescent="0.2">
      <c r="B17" s="162"/>
      <c r="C17" s="166" t="s">
        <v>256</v>
      </c>
      <c r="D17" s="163"/>
      <c r="E17" s="167">
        <f>IF(E14=$C$966,$A$967,IF(E14=$C$967,$A$968,IF(E14=$C$968,$A$969,IF(E14=$C$969,$A$970,IF(E14=$C$970,$A$971,"Not Calculated")))))</f>
        <v>1</v>
      </c>
      <c r="F17" s="163"/>
      <c r="G17" s="163"/>
      <c r="H17" s="163"/>
      <c r="I17" s="163"/>
      <c r="J17" s="163"/>
      <c r="K17" s="165"/>
    </row>
    <row r="18" spans="2:12" x14ac:dyDescent="0.2">
      <c r="B18" s="162"/>
      <c r="C18" s="163"/>
      <c r="D18" s="163"/>
      <c r="E18" s="167" t="str">
        <f>IF(E14=$C$966,$B$966,IF(E14=$C$967,$B$967,IF(E14=$C$968,$B$968,IF(E14=$C$969,$B$969,IF(E14=$C$970,$B$970,"Not Calculated")))))</f>
        <v>Remote</v>
      </c>
      <c r="F18" s="163"/>
      <c r="G18" s="163"/>
      <c r="H18" s="163"/>
      <c r="I18" s="163"/>
      <c r="J18" s="163"/>
      <c r="K18" s="165"/>
    </row>
    <row r="19" spans="2:12" ht="16" thickBot="1" x14ac:dyDescent="0.25">
      <c r="B19" s="168"/>
      <c r="C19" s="169"/>
      <c r="D19" s="169"/>
      <c r="E19" s="169"/>
      <c r="F19" s="169"/>
      <c r="G19" s="169"/>
      <c r="H19" s="169"/>
      <c r="I19" s="169"/>
      <c r="J19" s="169"/>
      <c r="K19" s="170"/>
    </row>
    <row r="20" spans="2:12" ht="16" thickBot="1" x14ac:dyDescent="0.25"/>
    <row r="21" spans="2:12" x14ac:dyDescent="0.2">
      <c r="B21" s="33"/>
      <c r="C21" s="34"/>
      <c r="D21" s="34"/>
      <c r="E21" s="34"/>
      <c r="F21" s="34"/>
      <c r="G21" s="34"/>
      <c r="H21" s="34"/>
      <c r="I21" s="34"/>
      <c r="J21" s="34"/>
      <c r="K21" s="37"/>
    </row>
    <row r="22" spans="2:12" ht="21" x14ac:dyDescent="0.25">
      <c r="B22" s="38"/>
      <c r="C22" s="171"/>
      <c r="D22" s="40"/>
      <c r="E22" s="40"/>
      <c r="F22" s="40"/>
      <c r="G22" s="172" t="s">
        <v>26</v>
      </c>
      <c r="H22" s="40"/>
      <c r="I22" s="40"/>
      <c r="J22" s="40"/>
      <c r="K22" s="41"/>
    </row>
    <row r="23" spans="2:12" x14ac:dyDescent="0.2">
      <c r="B23" s="38"/>
      <c r="C23" s="40"/>
      <c r="D23" s="40"/>
      <c r="E23" s="40"/>
      <c r="F23" s="40"/>
      <c r="G23" s="40"/>
      <c r="H23" s="40"/>
      <c r="I23" s="40"/>
      <c r="J23" s="40"/>
      <c r="K23" s="41"/>
    </row>
    <row r="24" spans="2:12" ht="16" x14ac:dyDescent="0.2">
      <c r="B24" s="38"/>
      <c r="C24" s="45" t="s">
        <v>61</v>
      </c>
      <c r="D24" s="40"/>
      <c r="E24" s="40"/>
      <c r="F24" s="40"/>
      <c r="G24" s="40"/>
      <c r="H24" s="40"/>
      <c r="I24" s="40"/>
      <c r="J24" s="40"/>
      <c r="K24" s="41"/>
    </row>
    <row r="25" spans="2:12" x14ac:dyDescent="0.2">
      <c r="B25" s="38"/>
      <c r="C25" s="40" t="s">
        <v>434</v>
      </c>
      <c r="D25" s="40"/>
      <c r="E25" s="40"/>
      <c r="F25" s="40"/>
      <c r="G25" s="40"/>
      <c r="H25" s="40"/>
      <c r="I25" s="40"/>
      <c r="J25" s="252">
        <f>'Baseline Health'!G11</f>
        <v>0</v>
      </c>
      <c r="K25" s="41"/>
    </row>
    <row r="26" spans="2:12" x14ac:dyDescent="0.2">
      <c r="B26" s="38"/>
      <c r="C26" s="40" t="s">
        <v>288</v>
      </c>
      <c r="D26" s="40"/>
      <c r="E26" s="40"/>
      <c r="F26" s="40"/>
      <c r="G26" s="40"/>
      <c r="H26" s="40"/>
      <c r="I26" s="40"/>
      <c r="J26" s="264">
        <v>34</v>
      </c>
      <c r="K26" s="41"/>
    </row>
    <row r="27" spans="2:12" x14ac:dyDescent="0.2">
      <c r="B27" s="38"/>
      <c r="C27" s="40" t="s">
        <v>260</v>
      </c>
      <c r="D27" s="40"/>
      <c r="E27" s="40"/>
      <c r="F27" s="40"/>
      <c r="G27" s="40"/>
      <c r="H27" s="40"/>
      <c r="I27" s="40"/>
      <c r="J27" s="248" t="str">
        <f>IF(OR(J25=0,J25="Not Calculated")=TRUE,"Not Calculated",(IF(((J26+J25)/J25)&lt;=1,0,IF(((J26+J25)/J25)&lt;=1.05,1,IF(((J26+J25)/J25)&lt;=1.5, 2,IF(((J26+J25)/J25)&lt;=2,3,4))))))</f>
        <v>Not Calculated</v>
      </c>
      <c r="K27" s="41"/>
      <c r="L27" s="12" t="s">
        <v>1142</v>
      </c>
    </row>
    <row r="28" spans="2:12" x14ac:dyDescent="0.2">
      <c r="B28" s="38"/>
      <c r="C28" s="279" t="str">
        <f>"0:"</f>
        <v>0:</v>
      </c>
      <c r="D28" s="281" t="s">
        <v>918</v>
      </c>
      <c r="E28" s="40"/>
      <c r="F28" s="40"/>
      <c r="G28" s="40"/>
      <c r="H28" s="40"/>
      <c r="I28" s="40"/>
      <c r="J28" s="40"/>
      <c r="K28" s="41"/>
      <c r="L28" s="12" t="s">
        <v>1348</v>
      </c>
    </row>
    <row r="29" spans="2:12" ht="9.75" customHeight="1" x14ac:dyDescent="0.2">
      <c r="B29" s="38"/>
      <c r="C29" s="280" t="str">
        <f>"1:"</f>
        <v>1:</v>
      </c>
      <c r="D29" s="281" t="s">
        <v>919</v>
      </c>
      <c r="E29" s="40"/>
      <c r="F29" s="40"/>
      <c r="G29" s="40"/>
      <c r="H29" s="40"/>
      <c r="I29" s="40"/>
      <c r="J29" s="40"/>
      <c r="K29" s="41"/>
    </row>
    <row r="30" spans="2:12" ht="9.75" customHeight="1" x14ac:dyDescent="0.2">
      <c r="B30" s="38"/>
      <c r="C30" s="280" t="str">
        <f>"2:"</f>
        <v>2:</v>
      </c>
      <c r="D30" s="281" t="s">
        <v>920</v>
      </c>
      <c r="E30" s="40"/>
      <c r="F30" s="40"/>
      <c r="G30" s="40"/>
      <c r="H30" s="40"/>
      <c r="I30" s="40"/>
      <c r="J30" s="40"/>
      <c r="K30" s="41"/>
    </row>
    <row r="31" spans="2:12" ht="9.75" customHeight="1" x14ac:dyDescent="0.2">
      <c r="B31" s="38"/>
      <c r="C31" s="280" t="str">
        <f>"3:"</f>
        <v>3:</v>
      </c>
      <c r="D31" s="281" t="s">
        <v>921</v>
      </c>
      <c r="E31" s="40"/>
      <c r="F31" s="40"/>
      <c r="G31" s="40"/>
      <c r="H31" s="40"/>
      <c r="I31" s="40"/>
      <c r="J31" s="40"/>
      <c r="K31" s="41"/>
    </row>
    <row r="32" spans="2:12" ht="9.75" customHeight="1" x14ac:dyDescent="0.2">
      <c r="B32" s="38"/>
      <c r="C32" s="280" t="str">
        <f>"4:"</f>
        <v>4:</v>
      </c>
      <c r="D32" s="281" t="s">
        <v>922</v>
      </c>
      <c r="E32" s="40"/>
      <c r="F32" s="40"/>
      <c r="G32" s="40"/>
      <c r="H32" s="40"/>
      <c r="I32" s="40"/>
      <c r="J32" s="40"/>
      <c r="K32" s="41"/>
    </row>
    <row r="33" spans="2:14" ht="12" customHeight="1" x14ac:dyDescent="0.2">
      <c r="B33" s="38"/>
      <c r="C33" s="174" t="s">
        <v>662</v>
      </c>
      <c r="D33" s="40"/>
      <c r="E33" s="40"/>
      <c r="F33" s="40"/>
      <c r="G33" s="40"/>
      <c r="H33" s="40"/>
      <c r="I33" s="40"/>
      <c r="J33" s="265" t="s">
        <v>661</v>
      </c>
      <c r="K33" s="41"/>
      <c r="M33" s="173"/>
      <c r="N33" s="12" t="s">
        <v>661</v>
      </c>
    </row>
    <row r="34" spans="2:14" x14ac:dyDescent="0.2">
      <c r="B34" s="38"/>
      <c r="C34" s="174" t="s">
        <v>660</v>
      </c>
      <c r="D34" s="40"/>
      <c r="E34" s="40"/>
      <c r="F34" s="40"/>
      <c r="G34" s="40"/>
      <c r="H34" s="40"/>
      <c r="I34" s="40"/>
      <c r="J34" s="246" t="str">
        <f>IF(J33=N33,"N/A",IF(J33=N34,0,IF(J33=N35,1,IF(J33=N36,2,IF(J33=N37,3,IF(J33=N38,4,"N/A"))))))</f>
        <v>N/A</v>
      </c>
      <c r="K34" s="41"/>
      <c r="N34" s="12" t="s">
        <v>894</v>
      </c>
    </row>
    <row r="35" spans="2:14" x14ac:dyDescent="0.2">
      <c r="B35" s="38"/>
      <c r="C35" s="40" t="s">
        <v>257</v>
      </c>
      <c r="D35" s="40"/>
      <c r="E35" s="40"/>
      <c r="F35" s="40"/>
      <c r="G35" s="40"/>
      <c r="H35" s="40"/>
      <c r="I35" s="40"/>
      <c r="J35" s="266" t="s">
        <v>874</v>
      </c>
      <c r="K35" s="41"/>
      <c r="N35" s="12" t="s">
        <v>895</v>
      </c>
    </row>
    <row r="36" spans="2:14" x14ac:dyDescent="0.2">
      <c r="B36" s="38"/>
      <c r="C36" s="40" t="s">
        <v>261</v>
      </c>
      <c r="D36" s="40"/>
      <c r="E36" s="40"/>
      <c r="F36" s="40"/>
      <c r="G36" s="40"/>
      <c r="H36" s="40"/>
      <c r="I36" s="40"/>
      <c r="J36" s="245">
        <f>IF(J35=$B$973,$A$974,IF(J35=$B$974,$A$975,IF(J35=$B$975,$A$976,IF(J35=$B$976,$A$977,IF(J35=$B$977,$A$978,"Not Calculated")))))</f>
        <v>4</v>
      </c>
      <c r="K36" s="41"/>
      <c r="N36" s="12" t="s">
        <v>896</v>
      </c>
    </row>
    <row r="37" spans="2:14" x14ac:dyDescent="0.2">
      <c r="B37" s="38"/>
      <c r="C37" s="40" t="s">
        <v>893</v>
      </c>
      <c r="D37" s="40"/>
      <c r="E37" s="40"/>
      <c r="F37" s="40"/>
      <c r="G37" s="40"/>
      <c r="H37" s="40"/>
      <c r="I37" s="40"/>
      <c r="J37" s="175"/>
      <c r="K37" s="41"/>
      <c r="N37" s="12" t="s">
        <v>897</v>
      </c>
    </row>
    <row r="38" spans="2:14" ht="30" customHeight="1" x14ac:dyDescent="0.2">
      <c r="B38" s="176"/>
      <c r="C38" s="415" t="s">
        <v>1147</v>
      </c>
      <c r="D38" s="400"/>
      <c r="E38" s="400"/>
      <c r="F38" s="400"/>
      <c r="G38" s="400"/>
      <c r="H38" s="400"/>
      <c r="I38" s="400"/>
      <c r="J38" s="401"/>
      <c r="K38" s="177"/>
      <c r="N38" s="12" t="s">
        <v>898</v>
      </c>
    </row>
    <row r="39" spans="2:14" s="178" customFormat="1" ht="30" customHeight="1" x14ac:dyDescent="0.2">
      <c r="B39" s="38"/>
      <c r="C39" s="40"/>
      <c r="D39" s="40"/>
      <c r="E39" s="40"/>
      <c r="F39" s="40"/>
      <c r="G39" s="40"/>
      <c r="H39" s="40"/>
      <c r="I39" s="40"/>
      <c r="J39" s="40"/>
      <c r="K39" s="41"/>
    </row>
    <row r="40" spans="2:14" x14ac:dyDescent="0.2">
      <c r="B40" s="38"/>
      <c r="C40" s="179" t="s">
        <v>258</v>
      </c>
      <c r="D40" s="40"/>
      <c r="E40" s="40"/>
      <c r="F40" s="40"/>
      <c r="G40" s="40"/>
      <c r="H40" s="40"/>
      <c r="I40" s="40"/>
      <c r="J40" s="245" t="str">
        <f>IF(J34="N/A",IF(OR(J27="Not Calculated",J36="Not Calculated")=TRUE,"Not Calculated",AVERAGE(J27,J36)),AVERAGE(J34,J36))</f>
        <v>Not Calculated</v>
      </c>
      <c r="K40" s="41"/>
    </row>
    <row r="41" spans="2:14" x14ac:dyDescent="0.2">
      <c r="B41" s="38"/>
      <c r="C41" s="179"/>
      <c r="D41" s="40"/>
      <c r="E41" s="40"/>
      <c r="F41" s="40"/>
      <c r="G41" s="40"/>
      <c r="H41" s="40"/>
      <c r="I41" s="40"/>
      <c r="J41" s="245"/>
      <c r="K41" s="41"/>
    </row>
    <row r="42" spans="2:14" x14ac:dyDescent="0.2">
      <c r="B42" s="38"/>
      <c r="C42" s="40"/>
      <c r="D42" s="40"/>
      <c r="E42" s="40"/>
      <c r="F42" s="40"/>
      <c r="G42" s="40"/>
      <c r="H42" s="40"/>
      <c r="I42" s="40"/>
      <c r="J42" s="40"/>
      <c r="K42" s="41"/>
    </row>
    <row r="43" spans="2:14" ht="16" x14ac:dyDescent="0.2">
      <c r="B43" s="38"/>
      <c r="C43" s="45" t="s">
        <v>51</v>
      </c>
      <c r="D43" s="40"/>
      <c r="E43" s="40"/>
      <c r="F43" s="40"/>
      <c r="G43" s="40"/>
      <c r="H43" s="40"/>
      <c r="I43" s="40"/>
      <c r="J43" s="40"/>
      <c r="K43" s="41"/>
    </row>
    <row r="44" spans="2:14" x14ac:dyDescent="0.2">
      <c r="B44" s="38"/>
      <c r="C44" s="40" t="s">
        <v>435</v>
      </c>
      <c r="D44" s="40"/>
      <c r="E44" s="40"/>
      <c r="F44" s="40"/>
      <c r="G44" s="40"/>
      <c r="H44" s="40"/>
      <c r="I44" s="40"/>
      <c r="J44" s="252">
        <f>'Baseline Health'!G17</f>
        <v>0</v>
      </c>
      <c r="K44" s="41"/>
    </row>
    <row r="45" spans="2:14" x14ac:dyDescent="0.2">
      <c r="B45" s="38"/>
      <c r="C45" s="40" t="s">
        <v>287</v>
      </c>
      <c r="D45" s="40"/>
      <c r="E45" s="40"/>
      <c r="F45" s="40"/>
      <c r="G45" s="40"/>
      <c r="H45" s="40"/>
      <c r="I45" s="40"/>
      <c r="J45" s="264">
        <v>2.57</v>
      </c>
      <c r="K45" s="41"/>
    </row>
    <row r="46" spans="2:14" x14ac:dyDescent="0.2">
      <c r="B46" s="38"/>
      <c r="C46" s="40" t="s">
        <v>260</v>
      </c>
      <c r="D46" s="40"/>
      <c r="E46" s="40"/>
      <c r="F46" s="40"/>
      <c r="G46" s="40"/>
      <c r="H46" s="40"/>
      <c r="I46" s="40"/>
      <c r="J46" s="248" t="str">
        <f>IF(OR(J44=0,J44="Not Calculated")=TRUE,"Not Calculated",(IF(((J45+J44)/J44)&lt;=1,0,IF(((J45+J44)/J44)&lt;=1.05,1,IF(((J45+J44)/J44)&lt;=1.5, 2,IF(((J45+J44)/J44)&lt;=2,3,4))))))</f>
        <v>Not Calculated</v>
      </c>
      <c r="K46" s="41"/>
      <c r="L46" s="12" t="s">
        <v>1143</v>
      </c>
    </row>
    <row r="47" spans="2:14" x14ac:dyDescent="0.2">
      <c r="B47" s="38"/>
      <c r="C47" s="279" t="str">
        <f>"0:"</f>
        <v>0:</v>
      </c>
      <c r="D47" s="281" t="s">
        <v>918</v>
      </c>
      <c r="E47" s="40"/>
      <c r="F47" s="40"/>
      <c r="G47" s="40"/>
      <c r="H47" s="40"/>
      <c r="I47" s="40"/>
      <c r="J47" s="40"/>
      <c r="K47" s="41"/>
    </row>
    <row r="48" spans="2:14" ht="9.75" customHeight="1" x14ac:dyDescent="0.2">
      <c r="B48" s="38"/>
      <c r="C48" s="280" t="str">
        <f>"1:"</f>
        <v>1:</v>
      </c>
      <c r="D48" s="281" t="s">
        <v>919</v>
      </c>
      <c r="E48" s="40"/>
      <c r="F48" s="40"/>
      <c r="G48" s="40"/>
      <c r="H48" s="40"/>
      <c r="I48" s="40"/>
      <c r="J48" s="40"/>
      <c r="K48" s="41"/>
    </row>
    <row r="49" spans="2:14" ht="9.75" customHeight="1" x14ac:dyDescent="0.2">
      <c r="B49" s="38"/>
      <c r="C49" s="280" t="str">
        <f>"2:"</f>
        <v>2:</v>
      </c>
      <c r="D49" s="281" t="s">
        <v>920</v>
      </c>
      <c r="E49" s="40"/>
      <c r="F49" s="40"/>
      <c r="G49" s="40"/>
      <c r="H49" s="40"/>
      <c r="I49" s="40"/>
      <c r="J49" s="40"/>
      <c r="K49" s="41"/>
    </row>
    <row r="50" spans="2:14" ht="9.75" customHeight="1" x14ac:dyDescent="0.2">
      <c r="B50" s="38"/>
      <c r="C50" s="280" t="str">
        <f>"3:"</f>
        <v>3:</v>
      </c>
      <c r="D50" s="281" t="s">
        <v>921</v>
      </c>
      <c r="E50" s="40"/>
      <c r="F50" s="40"/>
      <c r="G50" s="40"/>
      <c r="H50" s="40"/>
      <c r="I50" s="40"/>
      <c r="J50" s="40"/>
      <c r="K50" s="41"/>
    </row>
    <row r="51" spans="2:14" ht="9.75" customHeight="1" x14ac:dyDescent="0.2">
      <c r="B51" s="38"/>
      <c r="C51" s="280" t="str">
        <f>"4:"</f>
        <v>4:</v>
      </c>
      <c r="D51" s="281" t="s">
        <v>922</v>
      </c>
      <c r="E51" s="40"/>
      <c r="F51" s="40"/>
      <c r="G51" s="40"/>
      <c r="H51" s="40"/>
      <c r="I51" s="40"/>
      <c r="J51" s="40"/>
      <c r="K51" s="41"/>
    </row>
    <row r="52" spans="2:14" ht="12" customHeight="1" x14ac:dyDescent="0.2">
      <c r="B52" s="38"/>
      <c r="C52" s="174" t="s">
        <v>662</v>
      </c>
      <c r="D52" s="40"/>
      <c r="E52" s="40"/>
      <c r="F52" s="40"/>
      <c r="G52" s="40"/>
      <c r="H52" s="40"/>
      <c r="I52" s="40"/>
      <c r="J52" s="265" t="s">
        <v>661</v>
      </c>
      <c r="K52" s="41"/>
      <c r="M52" s="173"/>
      <c r="N52" s="12" t="s">
        <v>661</v>
      </c>
    </row>
    <row r="53" spans="2:14" x14ac:dyDescent="0.2">
      <c r="B53" s="38"/>
      <c r="C53" s="174" t="s">
        <v>660</v>
      </c>
      <c r="D53" s="40"/>
      <c r="E53" s="40"/>
      <c r="F53" s="40"/>
      <c r="G53" s="40"/>
      <c r="H53" s="40"/>
      <c r="I53" s="40"/>
      <c r="J53" s="246" t="str">
        <f>IF(J52=N52,"N/A",IF(J52=N53,0,IF(J52=N54,1,IF(J52=N55,2,IF(J52=N56,3,IF(J52=N57,4,"N/A"))))))</f>
        <v>N/A</v>
      </c>
      <c r="K53" s="41"/>
      <c r="N53" s="12" t="s">
        <v>894</v>
      </c>
    </row>
    <row r="54" spans="2:14" x14ac:dyDescent="0.2">
      <c r="B54" s="38"/>
      <c r="C54" s="40" t="s">
        <v>257</v>
      </c>
      <c r="D54" s="40"/>
      <c r="E54" s="40"/>
      <c r="F54" s="40"/>
      <c r="G54" s="40"/>
      <c r="H54" s="40"/>
      <c r="I54" s="40"/>
      <c r="J54" s="266" t="s">
        <v>874</v>
      </c>
      <c r="K54" s="41"/>
      <c r="N54" s="12" t="s">
        <v>895</v>
      </c>
    </row>
    <row r="55" spans="2:14" x14ac:dyDescent="0.2">
      <c r="B55" s="38"/>
      <c r="C55" s="40" t="s">
        <v>261</v>
      </c>
      <c r="D55" s="40"/>
      <c r="E55" s="40"/>
      <c r="F55" s="40"/>
      <c r="G55" s="40"/>
      <c r="H55" s="40"/>
      <c r="I55" s="40"/>
      <c r="J55" s="245">
        <f>IF(J54=$B$973,$A$974,IF(J54=$B$974,$A$975,IF(J54=$B$975,$A$976,IF(J54=$B$976,$A$977,IF(J54=$B$977,$A$978,"Not Calculated")))))</f>
        <v>4</v>
      </c>
      <c r="K55" s="41"/>
      <c r="N55" s="12" t="s">
        <v>896</v>
      </c>
    </row>
    <row r="56" spans="2:14" x14ac:dyDescent="0.2">
      <c r="B56" s="38"/>
      <c r="C56" s="40" t="s">
        <v>893</v>
      </c>
      <c r="D56" s="40"/>
      <c r="E56" s="40"/>
      <c r="F56" s="40"/>
      <c r="G56" s="40"/>
      <c r="H56" s="40"/>
      <c r="I56" s="40"/>
      <c r="J56" s="175"/>
      <c r="K56" s="41"/>
      <c r="N56" s="12" t="s">
        <v>897</v>
      </c>
    </row>
    <row r="57" spans="2:14" ht="90" customHeight="1" x14ac:dyDescent="0.2">
      <c r="B57" s="176"/>
      <c r="C57" s="415" t="s">
        <v>1153</v>
      </c>
      <c r="D57" s="400"/>
      <c r="E57" s="400"/>
      <c r="F57" s="400"/>
      <c r="G57" s="400"/>
      <c r="H57" s="400"/>
      <c r="I57" s="400"/>
      <c r="J57" s="401"/>
      <c r="K57" s="177"/>
      <c r="N57" s="12" t="s">
        <v>898</v>
      </c>
    </row>
    <row r="58" spans="2:14" s="178" customFormat="1" ht="40" customHeight="1" x14ac:dyDescent="0.2">
      <c r="B58" s="38"/>
      <c r="C58" s="40"/>
      <c r="D58" s="40"/>
      <c r="E58" s="40"/>
      <c r="F58" s="40"/>
      <c r="G58" s="40"/>
      <c r="H58" s="40"/>
      <c r="I58" s="40"/>
      <c r="J58" s="40"/>
      <c r="K58" s="41"/>
      <c r="L58" s="178" t="s">
        <v>1148</v>
      </c>
    </row>
    <row r="59" spans="2:14" x14ac:dyDescent="0.2">
      <c r="B59" s="38"/>
      <c r="C59" s="179" t="s">
        <v>263</v>
      </c>
      <c r="D59" s="40"/>
      <c r="E59" s="40"/>
      <c r="F59" s="40"/>
      <c r="G59" s="40"/>
      <c r="H59" s="40"/>
      <c r="I59" s="40"/>
      <c r="J59" s="245" t="str">
        <f>IF(J53="N/A",IF(OR(J46="Not Calculated",J55="Not Calculated")=TRUE,"Not Calculated",AVERAGE(J46,J55)),AVERAGE(J53,J55))</f>
        <v>Not Calculated</v>
      </c>
      <c r="K59" s="41"/>
    </row>
    <row r="60" spans="2:14" x14ac:dyDescent="0.2">
      <c r="B60" s="38"/>
      <c r="C60" s="40"/>
      <c r="D60" s="40"/>
      <c r="E60" s="40"/>
      <c r="F60" s="40"/>
      <c r="G60" s="40"/>
      <c r="H60" s="40"/>
      <c r="I60" s="40"/>
      <c r="J60" s="40"/>
      <c r="K60" s="41"/>
    </row>
    <row r="61" spans="2:14" x14ac:dyDescent="0.2">
      <c r="B61" s="38"/>
      <c r="C61" s="40"/>
      <c r="D61" s="40"/>
      <c r="E61" s="40"/>
      <c r="F61" s="40"/>
      <c r="G61" s="40"/>
      <c r="H61" s="40"/>
      <c r="I61" s="40"/>
      <c r="J61" s="40"/>
      <c r="K61" s="41"/>
    </row>
    <row r="62" spans="2:14" ht="16" x14ac:dyDescent="0.2">
      <c r="B62" s="38"/>
      <c r="C62" s="45" t="s">
        <v>54</v>
      </c>
      <c r="D62" s="40"/>
      <c r="E62" s="40"/>
      <c r="F62" s="40"/>
      <c r="G62" s="40"/>
      <c r="H62" s="40"/>
      <c r="I62" s="40"/>
      <c r="J62" s="40"/>
      <c r="K62" s="41"/>
    </row>
    <row r="63" spans="2:14" x14ac:dyDescent="0.2">
      <c r="B63" s="38"/>
      <c r="C63" s="40" t="s">
        <v>436</v>
      </c>
      <c r="D63" s="40"/>
      <c r="E63" s="40"/>
      <c r="F63" s="40"/>
      <c r="G63" s="40"/>
      <c r="H63" s="40"/>
      <c r="I63" s="40"/>
      <c r="J63" s="252">
        <f>'Baseline Health'!G23</f>
        <v>0</v>
      </c>
      <c r="K63" s="41"/>
    </row>
    <row r="64" spans="2:14" x14ac:dyDescent="0.2">
      <c r="B64" s="38"/>
      <c r="C64" s="40" t="s">
        <v>289</v>
      </c>
      <c r="D64" s="40"/>
      <c r="E64" s="40"/>
      <c r="F64" s="40"/>
      <c r="G64" s="40"/>
      <c r="H64" s="40"/>
      <c r="I64" s="40"/>
      <c r="J64" s="264">
        <v>9</v>
      </c>
      <c r="K64" s="41"/>
    </row>
    <row r="65" spans="2:14" x14ac:dyDescent="0.2">
      <c r="B65" s="38"/>
      <c r="C65" s="40" t="s">
        <v>260</v>
      </c>
      <c r="D65" s="40"/>
      <c r="E65" s="40"/>
      <c r="F65" s="40"/>
      <c r="G65" s="40"/>
      <c r="H65" s="40"/>
      <c r="I65" s="40"/>
      <c r="J65" s="248" t="str">
        <f>IF(OR(J63=0,J63="Not Calculated")=TRUE,"Not Calculated",(IF(((J64+J63)/J63)&lt;=1,0,IF(((J64+J63)/J63)&lt;=1.05,1,IF(((J64+J63)/J63)&lt;=1.5, 2,IF(((J64+J63)/J63)&lt;=2,3,4))))))</f>
        <v>Not Calculated</v>
      </c>
      <c r="K65" s="41"/>
      <c r="L65" s="12" t="s">
        <v>1144</v>
      </c>
    </row>
    <row r="66" spans="2:14" x14ac:dyDescent="0.2">
      <c r="B66" s="38"/>
      <c r="C66" s="279" t="str">
        <f>"0:"</f>
        <v>0:</v>
      </c>
      <c r="D66" s="281" t="s">
        <v>918</v>
      </c>
      <c r="E66" s="40"/>
      <c r="F66" s="40"/>
      <c r="G66" s="40"/>
      <c r="H66" s="40"/>
      <c r="I66" s="40"/>
      <c r="J66" s="40"/>
      <c r="K66" s="41"/>
      <c r="L66" s="12" t="s">
        <v>1349</v>
      </c>
    </row>
    <row r="67" spans="2:14" ht="9.75" customHeight="1" x14ac:dyDescent="0.2">
      <c r="B67" s="38"/>
      <c r="C67" s="280" t="str">
        <f>"1:"</f>
        <v>1:</v>
      </c>
      <c r="D67" s="281" t="s">
        <v>919</v>
      </c>
      <c r="E67" s="40"/>
      <c r="F67" s="40"/>
      <c r="G67" s="40"/>
      <c r="H67" s="40"/>
      <c r="I67" s="40"/>
      <c r="J67" s="40"/>
      <c r="K67" s="41"/>
    </row>
    <row r="68" spans="2:14" ht="9.75" customHeight="1" x14ac:dyDescent="0.2">
      <c r="B68" s="38"/>
      <c r="C68" s="280" t="str">
        <f>"2:"</f>
        <v>2:</v>
      </c>
      <c r="D68" s="281" t="s">
        <v>920</v>
      </c>
      <c r="E68" s="40"/>
      <c r="F68" s="40"/>
      <c r="G68" s="40"/>
      <c r="H68" s="40"/>
      <c r="I68" s="40"/>
      <c r="J68" s="40"/>
      <c r="K68" s="41"/>
    </row>
    <row r="69" spans="2:14" ht="9.75" customHeight="1" x14ac:dyDescent="0.2">
      <c r="B69" s="38"/>
      <c r="C69" s="280" t="str">
        <f>"3:"</f>
        <v>3:</v>
      </c>
      <c r="D69" s="281" t="s">
        <v>921</v>
      </c>
      <c r="E69" s="40"/>
      <c r="F69" s="40"/>
      <c r="G69" s="40"/>
      <c r="H69" s="40"/>
      <c r="I69" s="40"/>
      <c r="J69" s="40"/>
      <c r="K69" s="41"/>
    </row>
    <row r="70" spans="2:14" ht="9.75" customHeight="1" x14ac:dyDescent="0.2">
      <c r="B70" s="38"/>
      <c r="C70" s="280" t="str">
        <f>"4:"</f>
        <v>4:</v>
      </c>
      <c r="D70" s="281" t="s">
        <v>922</v>
      </c>
      <c r="E70" s="40"/>
      <c r="F70" s="40"/>
      <c r="G70" s="40"/>
      <c r="H70" s="40"/>
      <c r="I70" s="40"/>
      <c r="J70" s="40"/>
      <c r="K70" s="41"/>
    </row>
    <row r="71" spans="2:14" ht="12" customHeight="1" x14ac:dyDescent="0.2">
      <c r="B71" s="38"/>
      <c r="C71" s="174" t="s">
        <v>662</v>
      </c>
      <c r="D71" s="40"/>
      <c r="E71" s="40"/>
      <c r="F71" s="40"/>
      <c r="G71" s="40"/>
      <c r="H71" s="40"/>
      <c r="I71" s="40"/>
      <c r="J71" s="265" t="s">
        <v>661</v>
      </c>
      <c r="K71" s="41"/>
      <c r="M71" s="173"/>
      <c r="N71" s="12" t="s">
        <v>661</v>
      </c>
    </row>
    <row r="72" spans="2:14" x14ac:dyDescent="0.2">
      <c r="B72" s="38"/>
      <c r="C72" s="174" t="s">
        <v>660</v>
      </c>
      <c r="D72" s="40"/>
      <c r="E72" s="40"/>
      <c r="F72" s="40"/>
      <c r="G72" s="40"/>
      <c r="H72" s="40"/>
      <c r="I72" s="40"/>
      <c r="J72" s="246" t="str">
        <f>IF(J71=N71,"N/A",IF(J71=N72,0,IF(J71=N73,1,IF(J71=N74,2,IF(J71=N75,3,IF(J71=N76,4,"N/A"))))))</f>
        <v>N/A</v>
      </c>
      <c r="K72" s="41"/>
      <c r="N72" s="12" t="s">
        <v>894</v>
      </c>
    </row>
    <row r="73" spans="2:14" x14ac:dyDescent="0.2">
      <c r="B73" s="38"/>
      <c r="C73" s="40" t="s">
        <v>257</v>
      </c>
      <c r="D73" s="40"/>
      <c r="E73" s="40"/>
      <c r="F73" s="40"/>
      <c r="G73" s="40"/>
      <c r="H73" s="40"/>
      <c r="I73" s="40"/>
      <c r="J73" s="266" t="s">
        <v>874</v>
      </c>
      <c r="K73" s="41"/>
      <c r="N73" s="12" t="s">
        <v>895</v>
      </c>
    </row>
    <row r="74" spans="2:14" x14ac:dyDescent="0.2">
      <c r="B74" s="38"/>
      <c r="C74" s="40" t="s">
        <v>261</v>
      </c>
      <c r="D74" s="40"/>
      <c r="E74" s="40"/>
      <c r="F74" s="40"/>
      <c r="G74" s="40"/>
      <c r="H74" s="40"/>
      <c r="I74" s="40"/>
      <c r="J74" s="245">
        <f>IF(J73=$B$973,$A$974,IF(J73=$B$974,$A$975,IF(J73=$B$975,$A$976,IF(J73=$B$976,$A$977,IF(J73=$B$977,$A$978,"Not Calculated")))))</f>
        <v>4</v>
      </c>
      <c r="K74" s="41"/>
      <c r="N74" s="12" t="s">
        <v>896</v>
      </c>
    </row>
    <row r="75" spans="2:14" x14ac:dyDescent="0.2">
      <c r="B75" s="38"/>
      <c r="C75" s="40" t="s">
        <v>893</v>
      </c>
      <c r="D75" s="40"/>
      <c r="E75" s="40"/>
      <c r="F75" s="40"/>
      <c r="G75" s="40"/>
      <c r="H75" s="40"/>
      <c r="I75" s="40"/>
      <c r="J75" s="175"/>
      <c r="K75" s="41"/>
      <c r="N75" s="12" t="s">
        <v>897</v>
      </c>
    </row>
    <row r="76" spans="2:14" ht="80" customHeight="1" x14ac:dyDescent="0.2">
      <c r="B76" s="176"/>
      <c r="C76" s="415" t="s">
        <v>1154</v>
      </c>
      <c r="D76" s="400"/>
      <c r="E76" s="400"/>
      <c r="F76" s="400"/>
      <c r="G76" s="400"/>
      <c r="H76" s="400"/>
      <c r="I76" s="400"/>
      <c r="J76" s="401"/>
      <c r="K76" s="177"/>
      <c r="N76" s="12" t="s">
        <v>898</v>
      </c>
    </row>
    <row r="77" spans="2:14" s="178" customFormat="1" ht="30" customHeight="1" x14ac:dyDescent="0.2">
      <c r="B77" s="38"/>
      <c r="C77" s="40"/>
      <c r="D77" s="40"/>
      <c r="E77" s="40"/>
      <c r="F77" s="40"/>
      <c r="G77" s="40"/>
      <c r="H77" s="40"/>
      <c r="I77" s="40"/>
      <c r="J77" s="40"/>
      <c r="K77" s="41"/>
    </row>
    <row r="78" spans="2:14" x14ac:dyDescent="0.2">
      <c r="B78" s="38"/>
      <c r="C78" s="179" t="s">
        <v>264</v>
      </c>
      <c r="D78" s="40"/>
      <c r="E78" s="40"/>
      <c r="F78" s="40"/>
      <c r="G78" s="40"/>
      <c r="H78" s="40"/>
      <c r="I78" s="40"/>
      <c r="J78" s="245" t="str">
        <f>IF(J72="N/A",IF(OR(J65="Not Calculated",J74="Not Calculated")=TRUE,"Not Calculated",AVERAGE(J65,J74)),AVERAGE(J72,J74))</f>
        <v>Not Calculated</v>
      </c>
      <c r="K78" s="41"/>
    </row>
    <row r="79" spans="2:14" x14ac:dyDescent="0.2">
      <c r="B79" s="38"/>
      <c r="C79" s="40"/>
      <c r="D79" s="40"/>
      <c r="E79" s="40"/>
      <c r="F79" s="40"/>
      <c r="G79" s="40"/>
      <c r="H79" s="40"/>
      <c r="I79" s="40"/>
      <c r="J79" s="40"/>
      <c r="K79" s="41"/>
    </row>
    <row r="80" spans="2:14" x14ac:dyDescent="0.2">
      <c r="B80" s="38"/>
      <c r="C80" s="40"/>
      <c r="D80" s="40"/>
      <c r="E80" s="40"/>
      <c r="F80" s="40"/>
      <c r="G80" s="40"/>
      <c r="H80" s="40"/>
      <c r="I80" s="40"/>
      <c r="J80" s="40"/>
      <c r="K80" s="41"/>
    </row>
    <row r="81" spans="2:14" ht="16" x14ac:dyDescent="0.2">
      <c r="B81" s="38"/>
      <c r="C81" s="45" t="s">
        <v>57</v>
      </c>
      <c r="D81" s="40"/>
      <c r="E81" s="40"/>
      <c r="F81" s="40"/>
      <c r="G81" s="40"/>
      <c r="H81" s="40"/>
      <c r="I81" s="40"/>
      <c r="J81" s="40"/>
      <c r="K81" s="41"/>
    </row>
    <row r="82" spans="2:14" x14ac:dyDescent="0.2">
      <c r="B82" s="38"/>
      <c r="C82" s="40" t="s">
        <v>437</v>
      </c>
      <c r="D82" s="40"/>
      <c r="E82" s="40"/>
      <c r="F82" s="40"/>
      <c r="G82" s="40"/>
      <c r="H82" s="40"/>
      <c r="I82" s="40"/>
      <c r="J82" s="252">
        <f>'Baseline Health'!G29</f>
        <v>0</v>
      </c>
      <c r="K82" s="41"/>
    </row>
    <row r="83" spans="2:14" x14ac:dyDescent="0.2">
      <c r="B83" s="38"/>
      <c r="C83" s="40" t="s">
        <v>290</v>
      </c>
      <c r="D83" s="40"/>
      <c r="E83" s="40"/>
      <c r="F83" s="40"/>
      <c r="G83" s="40"/>
      <c r="H83" s="40"/>
      <c r="I83" s="40"/>
      <c r="J83" s="264">
        <v>1715</v>
      </c>
      <c r="K83" s="41"/>
    </row>
    <row r="84" spans="2:14" x14ac:dyDescent="0.2">
      <c r="B84" s="38"/>
      <c r="C84" s="40" t="s">
        <v>260</v>
      </c>
      <c r="D84" s="40"/>
      <c r="E84" s="40"/>
      <c r="F84" s="40"/>
      <c r="G84" s="40"/>
      <c r="H84" s="40"/>
      <c r="I84" s="40"/>
      <c r="J84" s="248" t="str">
        <f>IF(OR(J82=0,J82="Not Calculated")=TRUE,"Not Calculated",(IF(((J83+J82)/J82)&lt;=1,0,IF(((J83+J82)/J82)&lt;=1.05,1,IF(((J83+J82)/J82)&lt;=1.5, 2,IF(((J83+J82)/J82)&lt;=2,3,4))))))</f>
        <v>Not Calculated</v>
      </c>
      <c r="K84" s="41"/>
      <c r="L84" s="12" t="s">
        <v>1145</v>
      </c>
    </row>
    <row r="85" spans="2:14" x14ac:dyDescent="0.2">
      <c r="B85" s="38"/>
      <c r="C85" s="279" t="str">
        <f>"0:"</f>
        <v>0:</v>
      </c>
      <c r="D85" s="281" t="s">
        <v>918</v>
      </c>
      <c r="E85" s="40"/>
      <c r="F85" s="40"/>
      <c r="G85" s="40"/>
      <c r="H85" s="40"/>
      <c r="I85" s="40"/>
      <c r="J85" s="40"/>
      <c r="K85" s="41"/>
      <c r="L85" s="12" t="s">
        <v>1350</v>
      </c>
    </row>
    <row r="86" spans="2:14" ht="9.75" customHeight="1" x14ac:dyDescent="0.2">
      <c r="B86" s="38"/>
      <c r="C86" s="280" t="str">
        <f>"1:"</f>
        <v>1:</v>
      </c>
      <c r="D86" s="281" t="s">
        <v>919</v>
      </c>
      <c r="E86" s="40"/>
      <c r="F86" s="40"/>
      <c r="G86" s="40"/>
      <c r="H86" s="40"/>
      <c r="I86" s="40"/>
      <c r="J86" s="40"/>
      <c r="K86" s="41"/>
    </row>
    <row r="87" spans="2:14" ht="9.75" customHeight="1" x14ac:dyDescent="0.2">
      <c r="B87" s="38"/>
      <c r="C87" s="280" t="str">
        <f>"2:"</f>
        <v>2:</v>
      </c>
      <c r="D87" s="281" t="s">
        <v>920</v>
      </c>
      <c r="E87" s="40"/>
      <c r="F87" s="40"/>
      <c r="G87" s="40"/>
      <c r="H87" s="40"/>
      <c r="I87" s="40"/>
      <c r="J87" s="40"/>
      <c r="K87" s="41"/>
    </row>
    <row r="88" spans="2:14" ht="9.75" customHeight="1" x14ac:dyDescent="0.2">
      <c r="B88" s="38"/>
      <c r="C88" s="280" t="str">
        <f>"3:"</f>
        <v>3:</v>
      </c>
      <c r="D88" s="281" t="s">
        <v>921</v>
      </c>
      <c r="E88" s="40"/>
      <c r="F88" s="40"/>
      <c r="G88" s="40"/>
      <c r="H88" s="40"/>
      <c r="I88" s="40"/>
      <c r="J88" s="40"/>
      <c r="K88" s="41"/>
    </row>
    <row r="89" spans="2:14" ht="9.75" customHeight="1" x14ac:dyDescent="0.2">
      <c r="B89" s="38"/>
      <c r="C89" s="280" t="str">
        <f>"4:"</f>
        <v>4:</v>
      </c>
      <c r="D89" s="281" t="s">
        <v>922</v>
      </c>
      <c r="E89" s="40"/>
      <c r="F89" s="40"/>
      <c r="G89" s="40"/>
      <c r="H89" s="40"/>
      <c r="I89" s="40"/>
      <c r="J89" s="40"/>
      <c r="K89" s="41"/>
    </row>
    <row r="90" spans="2:14" ht="12" customHeight="1" x14ac:dyDescent="0.2">
      <c r="B90" s="38"/>
      <c r="C90" s="174" t="s">
        <v>662</v>
      </c>
      <c r="D90" s="40"/>
      <c r="E90" s="40"/>
      <c r="F90" s="40"/>
      <c r="G90" s="40"/>
      <c r="H90" s="40"/>
      <c r="I90" s="40"/>
      <c r="J90" s="265" t="s">
        <v>661</v>
      </c>
      <c r="K90" s="41"/>
      <c r="M90" s="173"/>
      <c r="N90" s="12" t="s">
        <v>661</v>
      </c>
    </row>
    <row r="91" spans="2:14" x14ac:dyDescent="0.2">
      <c r="B91" s="38"/>
      <c r="C91" s="174" t="s">
        <v>660</v>
      </c>
      <c r="D91" s="40"/>
      <c r="E91" s="40"/>
      <c r="F91" s="40"/>
      <c r="G91" s="40"/>
      <c r="H91" s="40"/>
      <c r="I91" s="40"/>
      <c r="J91" s="246" t="str">
        <f>IF(J90=N90,"N/A",IF(J90=N91,0,IF(J90=N92,1,IF(J90=N93,2,IF(J90=N94,3,IF(J90=N95,4,"N/A"))))))</f>
        <v>N/A</v>
      </c>
      <c r="K91" s="41"/>
      <c r="N91" s="12" t="s">
        <v>894</v>
      </c>
    </row>
    <row r="92" spans="2:14" x14ac:dyDescent="0.2">
      <c r="B92" s="38"/>
      <c r="C92" s="40" t="s">
        <v>257</v>
      </c>
      <c r="D92" s="40"/>
      <c r="E92" s="40"/>
      <c r="F92" s="40"/>
      <c r="G92" s="40"/>
      <c r="H92" s="40"/>
      <c r="I92" s="40"/>
      <c r="J92" s="266" t="s">
        <v>874</v>
      </c>
      <c r="K92" s="41"/>
      <c r="N92" s="12" t="s">
        <v>895</v>
      </c>
    </row>
    <row r="93" spans="2:14" x14ac:dyDescent="0.2">
      <c r="B93" s="38"/>
      <c r="C93" s="40" t="s">
        <v>261</v>
      </c>
      <c r="D93" s="40"/>
      <c r="E93" s="40"/>
      <c r="F93" s="40"/>
      <c r="G93" s="40"/>
      <c r="H93" s="40"/>
      <c r="I93" s="40"/>
      <c r="J93" s="245">
        <f>IF(J92=$B$973,$A$974,IF(J92=$B$974,$A$975,IF(J92=$B$975,$A$976,IF(J92=$B$976,$A$977,IF(J92=$B$977,$A$978,"Not Calculated")))))</f>
        <v>4</v>
      </c>
      <c r="K93" s="41"/>
      <c r="N93" s="12" t="s">
        <v>896</v>
      </c>
    </row>
    <row r="94" spans="2:14" x14ac:dyDescent="0.2">
      <c r="B94" s="38"/>
      <c r="C94" s="40" t="s">
        <v>893</v>
      </c>
      <c r="D94" s="40"/>
      <c r="E94" s="40"/>
      <c r="F94" s="40"/>
      <c r="G94" s="40"/>
      <c r="H94" s="40"/>
      <c r="I94" s="40"/>
      <c r="J94" s="175"/>
      <c r="K94" s="41"/>
      <c r="N94" s="12" t="s">
        <v>897</v>
      </c>
    </row>
    <row r="95" spans="2:14" ht="60" customHeight="1" x14ac:dyDescent="0.2">
      <c r="B95" s="176"/>
      <c r="C95" s="415" t="s">
        <v>1146</v>
      </c>
      <c r="D95" s="400"/>
      <c r="E95" s="400"/>
      <c r="F95" s="400"/>
      <c r="G95" s="400"/>
      <c r="H95" s="400"/>
      <c r="I95" s="400"/>
      <c r="J95" s="401"/>
      <c r="K95" s="177"/>
      <c r="N95" s="12" t="s">
        <v>898</v>
      </c>
    </row>
    <row r="96" spans="2:14" s="178" customFormat="1" ht="30" customHeight="1" x14ac:dyDescent="0.2">
      <c r="B96" s="38"/>
      <c r="C96" s="40"/>
      <c r="D96" s="40"/>
      <c r="E96" s="40"/>
      <c r="F96" s="40"/>
      <c r="G96" s="40"/>
      <c r="H96" s="40"/>
      <c r="I96" s="40"/>
      <c r="J96" s="40"/>
      <c r="K96" s="41"/>
    </row>
    <row r="97" spans="2:14" x14ac:dyDescent="0.2">
      <c r="B97" s="38"/>
      <c r="C97" s="179" t="s">
        <v>265</v>
      </c>
      <c r="D97" s="40"/>
      <c r="E97" s="40"/>
      <c r="F97" s="40"/>
      <c r="G97" s="40"/>
      <c r="H97" s="40"/>
      <c r="I97" s="40"/>
      <c r="J97" s="245" t="str">
        <f>IF(J91="N/A",IF(OR(J84="Not Calculated",J93="Not Calculated")=TRUE,"Not Calculated",AVERAGE(J84,J93)),AVERAGE(J91,J93))</f>
        <v>Not Calculated</v>
      </c>
      <c r="K97" s="41"/>
    </row>
    <row r="98" spans="2:14" x14ac:dyDescent="0.2">
      <c r="B98" s="38"/>
      <c r="C98" s="40"/>
      <c r="D98" s="40"/>
      <c r="E98" s="40"/>
      <c r="F98" s="40"/>
      <c r="G98" s="40"/>
      <c r="H98" s="40"/>
      <c r="I98" s="40"/>
      <c r="J98" s="40"/>
      <c r="K98" s="41"/>
    </row>
    <row r="99" spans="2:14" x14ac:dyDescent="0.2">
      <c r="B99" s="38"/>
      <c r="C99" s="40"/>
      <c r="D99" s="40"/>
      <c r="E99" s="40"/>
      <c r="F99" s="40"/>
      <c r="G99" s="40"/>
      <c r="H99" s="40"/>
      <c r="I99" s="40"/>
      <c r="J99" s="40"/>
      <c r="K99" s="41"/>
    </row>
    <row r="100" spans="2:14" ht="16" x14ac:dyDescent="0.2">
      <c r="B100" s="38"/>
      <c r="C100" s="45" t="s">
        <v>60</v>
      </c>
      <c r="D100" s="40"/>
      <c r="E100" s="40"/>
      <c r="F100" s="40"/>
      <c r="G100" s="40"/>
      <c r="H100" s="40"/>
      <c r="I100" s="40"/>
      <c r="J100" s="40"/>
      <c r="K100" s="41"/>
    </row>
    <row r="101" spans="2:14" x14ac:dyDescent="0.2">
      <c r="B101" s="38"/>
      <c r="C101" s="40" t="s">
        <v>438</v>
      </c>
      <c r="D101" s="40"/>
      <c r="E101" s="40"/>
      <c r="F101" s="40"/>
      <c r="G101" s="40"/>
      <c r="H101" s="40"/>
      <c r="I101" s="40"/>
      <c r="J101" s="252">
        <f>'Baseline Health'!G35</f>
        <v>0</v>
      </c>
      <c r="K101" s="41"/>
    </row>
    <row r="102" spans="2:14" x14ac:dyDescent="0.2">
      <c r="B102" s="38"/>
      <c r="C102" s="40" t="s">
        <v>291</v>
      </c>
      <c r="D102" s="40"/>
      <c r="E102" s="40"/>
      <c r="F102" s="40"/>
      <c r="G102" s="40"/>
      <c r="H102" s="40"/>
      <c r="I102" s="40"/>
      <c r="J102" s="264">
        <v>0</v>
      </c>
      <c r="K102" s="41"/>
    </row>
    <row r="103" spans="2:14" x14ac:dyDescent="0.2">
      <c r="B103" s="38"/>
      <c r="C103" s="40" t="s">
        <v>260</v>
      </c>
      <c r="D103" s="40"/>
      <c r="E103" s="40"/>
      <c r="F103" s="40"/>
      <c r="G103" s="40"/>
      <c r="H103" s="40"/>
      <c r="I103" s="40"/>
      <c r="J103" s="248" t="str">
        <f>IF(OR(J101=0,J101="Not Calculated")=TRUE,"Not Calculated",(IF(((J102+J101)/J101)&lt;=1,0,IF(((J102+J101)/J101)&lt;=1.05,1,IF(((J102+J101)/J101)&lt;=1.5, 2,IF(((J102+J101)/J101)&lt;=2,3,4))))))</f>
        <v>Not Calculated</v>
      </c>
      <c r="K103" s="41"/>
    </row>
    <row r="104" spans="2:14" x14ac:dyDescent="0.2">
      <c r="B104" s="38"/>
      <c r="C104" s="279" t="str">
        <f>"0:"</f>
        <v>0:</v>
      </c>
      <c r="D104" s="281" t="s">
        <v>918</v>
      </c>
      <c r="E104" s="40"/>
      <c r="F104" s="40"/>
      <c r="G104" s="40"/>
      <c r="H104" s="40"/>
      <c r="I104" s="40"/>
      <c r="J104" s="40"/>
      <c r="K104" s="41"/>
    </row>
    <row r="105" spans="2:14" ht="9.75" customHeight="1" x14ac:dyDescent="0.2">
      <c r="B105" s="38"/>
      <c r="C105" s="280" t="str">
        <f>"1:"</f>
        <v>1:</v>
      </c>
      <c r="D105" s="281" t="s">
        <v>919</v>
      </c>
      <c r="E105" s="40"/>
      <c r="F105" s="40"/>
      <c r="G105" s="40"/>
      <c r="H105" s="40"/>
      <c r="I105" s="40"/>
      <c r="J105" s="40"/>
      <c r="K105" s="41"/>
    </row>
    <row r="106" spans="2:14" ht="9.75" customHeight="1" x14ac:dyDescent="0.2">
      <c r="B106" s="38"/>
      <c r="C106" s="280" t="str">
        <f>"2:"</f>
        <v>2:</v>
      </c>
      <c r="D106" s="281" t="s">
        <v>920</v>
      </c>
      <c r="E106" s="40"/>
      <c r="F106" s="40"/>
      <c r="G106" s="40"/>
      <c r="H106" s="40"/>
      <c r="I106" s="40"/>
      <c r="J106" s="40"/>
      <c r="K106" s="41"/>
    </row>
    <row r="107" spans="2:14" ht="9.75" customHeight="1" x14ac:dyDescent="0.2">
      <c r="B107" s="38"/>
      <c r="C107" s="280" t="str">
        <f>"3:"</f>
        <v>3:</v>
      </c>
      <c r="D107" s="281" t="s">
        <v>921</v>
      </c>
      <c r="E107" s="40"/>
      <c r="F107" s="40"/>
      <c r="G107" s="40"/>
      <c r="H107" s="40"/>
      <c r="I107" s="40"/>
      <c r="J107" s="40"/>
      <c r="K107" s="41"/>
    </row>
    <row r="108" spans="2:14" ht="9.75" customHeight="1" x14ac:dyDescent="0.2">
      <c r="B108" s="38"/>
      <c r="C108" s="280" t="str">
        <f>"4:"</f>
        <v>4:</v>
      </c>
      <c r="D108" s="281" t="s">
        <v>922</v>
      </c>
      <c r="E108" s="40"/>
      <c r="F108" s="40"/>
      <c r="G108" s="40"/>
      <c r="H108" s="40"/>
      <c r="I108" s="40"/>
      <c r="J108" s="40"/>
      <c r="K108" s="41"/>
    </row>
    <row r="109" spans="2:14" ht="12" customHeight="1" x14ac:dyDescent="0.2">
      <c r="B109" s="38"/>
      <c r="C109" s="174" t="s">
        <v>662</v>
      </c>
      <c r="D109" s="40"/>
      <c r="E109" s="40"/>
      <c r="F109" s="40"/>
      <c r="G109" s="40"/>
      <c r="H109" s="40"/>
      <c r="I109" s="40"/>
      <c r="J109" s="265" t="s">
        <v>661</v>
      </c>
      <c r="K109" s="41"/>
      <c r="M109" s="173"/>
      <c r="N109" s="12" t="s">
        <v>661</v>
      </c>
    </row>
    <row r="110" spans="2:14" x14ac:dyDescent="0.2">
      <c r="B110" s="38"/>
      <c r="C110" s="174" t="s">
        <v>660</v>
      </c>
      <c r="D110" s="40"/>
      <c r="E110" s="40"/>
      <c r="F110" s="40"/>
      <c r="G110" s="40"/>
      <c r="H110" s="40"/>
      <c r="I110" s="40"/>
      <c r="J110" s="246" t="str">
        <f>IF(J109=N109,"N/A",IF(J109=N110,0,IF(J109=N111,1,IF(J109=N112,2,IF(J109=N113,3,IF(J109=N114,4,"N/A"))))))</f>
        <v>N/A</v>
      </c>
      <c r="K110" s="41"/>
      <c r="N110" s="12" t="s">
        <v>894</v>
      </c>
    </row>
    <row r="111" spans="2:14" x14ac:dyDescent="0.2">
      <c r="B111" s="38"/>
      <c r="C111" s="40" t="s">
        <v>257</v>
      </c>
      <c r="D111" s="40"/>
      <c r="E111" s="40"/>
      <c r="F111" s="40"/>
      <c r="G111" s="40"/>
      <c r="H111" s="40"/>
      <c r="I111" s="40"/>
      <c r="J111" s="266" t="s">
        <v>870</v>
      </c>
      <c r="K111" s="41"/>
      <c r="N111" s="12" t="s">
        <v>895</v>
      </c>
    </row>
    <row r="112" spans="2:14" x14ac:dyDescent="0.2">
      <c r="B112" s="38"/>
      <c r="C112" s="40" t="s">
        <v>261</v>
      </c>
      <c r="D112" s="40"/>
      <c r="E112" s="40"/>
      <c r="F112" s="40"/>
      <c r="G112" s="40"/>
      <c r="H112" s="40"/>
      <c r="I112" s="40"/>
      <c r="J112" s="245">
        <f>IF(J111=$B$973,$A$974,IF(J111=$B$974,$A$975,IF(J111=$B$975,$A$976,IF(J111=$B$976,$A$977,IF(J111=$B$977,$A$978,"Not Calculated")))))</f>
        <v>0</v>
      </c>
      <c r="K112" s="41"/>
      <c r="N112" s="12" t="s">
        <v>896</v>
      </c>
    </row>
    <row r="113" spans="2:14" x14ac:dyDescent="0.2">
      <c r="B113" s="38"/>
      <c r="C113" s="40" t="s">
        <v>893</v>
      </c>
      <c r="D113" s="40"/>
      <c r="E113" s="40"/>
      <c r="F113" s="40"/>
      <c r="G113" s="40"/>
      <c r="H113" s="40"/>
      <c r="I113" s="40"/>
      <c r="J113" s="175"/>
      <c r="K113" s="41"/>
      <c r="N113" s="12" t="s">
        <v>897</v>
      </c>
    </row>
    <row r="114" spans="2:14" x14ac:dyDescent="0.2">
      <c r="B114" s="176"/>
      <c r="C114" s="415"/>
      <c r="D114" s="400"/>
      <c r="E114" s="400"/>
      <c r="F114" s="400"/>
      <c r="G114" s="400"/>
      <c r="H114" s="400"/>
      <c r="I114" s="400"/>
      <c r="J114" s="401"/>
      <c r="K114" s="177"/>
      <c r="N114" s="12" t="s">
        <v>898</v>
      </c>
    </row>
    <row r="115" spans="2:14" s="178" customFormat="1" ht="30" customHeight="1" x14ac:dyDescent="0.2">
      <c r="B115" s="38"/>
      <c r="C115" s="40"/>
      <c r="D115" s="40"/>
      <c r="E115" s="40"/>
      <c r="F115" s="40"/>
      <c r="G115" s="40"/>
      <c r="H115" s="40"/>
      <c r="I115" s="40"/>
      <c r="J115" s="40"/>
      <c r="K115" s="41"/>
    </row>
    <row r="116" spans="2:14" x14ac:dyDescent="0.2">
      <c r="B116" s="38"/>
      <c r="C116" s="179" t="s">
        <v>266</v>
      </c>
      <c r="D116" s="40"/>
      <c r="E116" s="40"/>
      <c r="F116" s="40"/>
      <c r="G116" s="40"/>
      <c r="H116" s="40"/>
      <c r="I116" s="40"/>
      <c r="J116" s="245" t="str">
        <f>IF(J110="N/A",IF(OR(J103="Not Calculated",J112="Not Calculated")=TRUE,"Not Calculated",AVERAGE(J103,J112)),AVERAGE(J110,J112))</f>
        <v>Not Calculated</v>
      </c>
      <c r="K116" s="41"/>
    </row>
    <row r="117" spans="2:14" x14ac:dyDescent="0.2">
      <c r="B117" s="38"/>
      <c r="C117" s="40"/>
      <c r="D117" s="40"/>
      <c r="E117" s="40"/>
      <c r="F117" s="40"/>
      <c r="G117" s="40"/>
      <c r="H117" s="40"/>
      <c r="I117" s="40"/>
      <c r="J117" s="40"/>
      <c r="K117" s="41"/>
    </row>
    <row r="118" spans="2:14" x14ac:dyDescent="0.2">
      <c r="B118" s="38"/>
      <c r="C118" s="40"/>
      <c r="D118" s="40"/>
      <c r="E118" s="40"/>
      <c r="F118" s="40"/>
      <c r="G118" s="40"/>
      <c r="H118" s="40"/>
      <c r="I118" s="40"/>
      <c r="J118" s="40"/>
      <c r="K118" s="41"/>
    </row>
    <row r="119" spans="2:14" ht="16" x14ac:dyDescent="0.2">
      <c r="B119" s="38"/>
      <c r="C119" s="45" t="s">
        <v>262</v>
      </c>
      <c r="D119" s="40"/>
      <c r="E119" s="40"/>
      <c r="F119" s="40"/>
      <c r="G119" s="40"/>
      <c r="H119" s="40"/>
      <c r="I119" s="40"/>
      <c r="J119" s="40"/>
      <c r="K119" s="41"/>
    </row>
    <row r="120" spans="2:14" x14ac:dyDescent="0.2">
      <c r="B120" s="38"/>
      <c r="C120" s="422" t="s">
        <v>268</v>
      </c>
      <c r="D120" s="422"/>
      <c r="E120" s="422"/>
      <c r="F120" s="422"/>
      <c r="G120" s="422"/>
      <c r="H120" s="422"/>
      <c r="I120" s="422"/>
      <c r="J120" s="422"/>
      <c r="K120" s="41"/>
    </row>
    <row r="121" spans="2:14" ht="15" customHeight="1" x14ac:dyDescent="0.2">
      <c r="B121" s="38"/>
      <c r="C121" s="422"/>
      <c r="D121" s="422"/>
      <c r="E121" s="422"/>
      <c r="F121" s="422"/>
      <c r="G121" s="422"/>
      <c r="H121" s="422"/>
      <c r="I121" s="422"/>
      <c r="J121" s="422"/>
      <c r="K121" s="41"/>
    </row>
    <row r="122" spans="2:14" x14ac:dyDescent="0.2">
      <c r="B122" s="38"/>
      <c r="C122" s="423"/>
      <c r="D122" s="423"/>
      <c r="E122" s="423"/>
      <c r="F122" s="423"/>
      <c r="G122" s="423"/>
      <c r="H122" s="423"/>
      <c r="I122" s="423"/>
      <c r="J122" s="423"/>
      <c r="K122" s="41"/>
    </row>
    <row r="123" spans="2:14" x14ac:dyDescent="0.2">
      <c r="B123" s="38"/>
      <c r="C123" s="439" t="s">
        <v>248</v>
      </c>
      <c r="D123" s="440"/>
      <c r="E123" s="440"/>
      <c r="F123" s="440"/>
      <c r="G123" s="440"/>
      <c r="H123" s="440"/>
      <c r="I123" s="440"/>
      <c r="J123" s="441"/>
      <c r="K123" s="41"/>
    </row>
    <row r="124" spans="2:14" ht="15" customHeight="1" x14ac:dyDescent="0.2">
      <c r="B124" s="38"/>
      <c r="C124" s="442"/>
      <c r="D124" s="443"/>
      <c r="E124" s="443"/>
      <c r="F124" s="443"/>
      <c r="G124" s="443"/>
      <c r="H124" s="443"/>
      <c r="I124" s="443"/>
      <c r="J124" s="444"/>
      <c r="K124" s="41"/>
    </row>
    <row r="125" spans="2:14" x14ac:dyDescent="0.2">
      <c r="B125" s="38"/>
      <c r="C125" s="40" t="s">
        <v>260</v>
      </c>
      <c r="D125" s="40"/>
      <c r="E125" s="40"/>
      <c r="F125" s="40"/>
      <c r="G125" s="40"/>
      <c r="H125" s="40"/>
      <c r="I125" s="40"/>
      <c r="J125" s="247">
        <f>IF(C123=B987,A988,IF(C123=B988,A989,IF(C123=B989,A990,IF(C123=B990,A991,IF(C123=B991,A992,"Not Calculated")))))</f>
        <v>4</v>
      </c>
      <c r="K125" s="41"/>
    </row>
    <row r="126" spans="2:14" x14ac:dyDescent="0.2">
      <c r="B126" s="38"/>
      <c r="C126" s="40" t="s">
        <v>257</v>
      </c>
      <c r="D126" s="40"/>
      <c r="E126" s="40"/>
      <c r="F126" s="40"/>
      <c r="G126" s="40"/>
      <c r="H126" s="40"/>
      <c r="I126" s="40"/>
      <c r="J126" s="266" t="s">
        <v>874</v>
      </c>
      <c r="K126" s="41"/>
    </row>
    <row r="127" spans="2:14" x14ac:dyDescent="0.2">
      <c r="B127" s="38"/>
      <c r="C127" s="40" t="s">
        <v>261</v>
      </c>
      <c r="D127" s="40"/>
      <c r="E127" s="40"/>
      <c r="F127" s="40"/>
      <c r="G127" s="40"/>
      <c r="H127" s="40"/>
      <c r="I127" s="40"/>
      <c r="J127" s="245">
        <f>IF(J126=$B$973,$A$974,IF(J126=$B$974,$A$975,IF(J126=$B$975,$A$976,IF(J126=$B$976,$A$977,IF(J126=$B$977,$A$978,"Not Calculated")))))</f>
        <v>4</v>
      </c>
      <c r="K127" s="41"/>
    </row>
    <row r="128" spans="2:14" x14ac:dyDescent="0.2">
      <c r="B128" s="38"/>
      <c r="C128" s="40" t="s">
        <v>893</v>
      </c>
      <c r="D128" s="40"/>
      <c r="E128" s="40"/>
      <c r="F128" s="40"/>
      <c r="G128" s="40"/>
      <c r="H128" s="40"/>
      <c r="I128" s="40"/>
      <c r="J128" s="175"/>
      <c r="K128" s="41"/>
    </row>
    <row r="129" spans="2:12" ht="60" customHeight="1" x14ac:dyDescent="0.2">
      <c r="B129" s="176"/>
      <c r="C129" s="415" t="s">
        <v>451</v>
      </c>
      <c r="D129" s="400"/>
      <c r="E129" s="400"/>
      <c r="F129" s="400"/>
      <c r="G129" s="400"/>
      <c r="H129" s="400"/>
      <c r="I129" s="400"/>
      <c r="J129" s="401"/>
      <c r="K129" s="177"/>
    </row>
    <row r="130" spans="2:12" s="178" customFormat="1" ht="30" customHeight="1" x14ac:dyDescent="0.2">
      <c r="B130" s="38"/>
      <c r="C130" s="40"/>
      <c r="D130" s="40"/>
      <c r="E130" s="40"/>
      <c r="F130" s="40"/>
      <c r="G130" s="40"/>
      <c r="H130" s="40"/>
      <c r="I130" s="40"/>
      <c r="J130" s="40"/>
      <c r="K130" s="41"/>
    </row>
    <row r="131" spans="2:12" x14ac:dyDescent="0.2">
      <c r="B131" s="38"/>
      <c r="C131" s="179" t="s">
        <v>267</v>
      </c>
      <c r="D131" s="40"/>
      <c r="E131" s="40"/>
      <c r="F131" s="40"/>
      <c r="G131" s="40"/>
      <c r="H131" s="40"/>
      <c r="I131" s="40"/>
      <c r="J131" s="245">
        <f>IF(OR(J125="Not Calculated",J127="Not Calculated")=TRUE,"Not Calculated",AVERAGE(J125,J127))</f>
        <v>4</v>
      </c>
      <c r="K131" s="41"/>
    </row>
    <row r="132" spans="2:12" x14ac:dyDescent="0.2">
      <c r="B132" s="38"/>
      <c r="C132" s="179"/>
      <c r="D132" s="40"/>
      <c r="E132" s="40"/>
      <c r="F132" s="40"/>
      <c r="G132" s="40"/>
      <c r="H132" s="40"/>
      <c r="I132" s="40"/>
      <c r="J132" s="245"/>
      <c r="K132" s="41"/>
    </row>
    <row r="133" spans="2:12" ht="18" x14ac:dyDescent="0.2">
      <c r="B133" s="38"/>
      <c r="C133" s="180" t="s">
        <v>269</v>
      </c>
      <c r="D133" s="40"/>
      <c r="E133" s="40"/>
      <c r="F133" s="40"/>
      <c r="G133" s="40"/>
      <c r="H133" s="40"/>
      <c r="I133" s="40"/>
      <c r="J133" s="244" t="str">
        <f>IF(OR(J40="Not Calculated",J59="Not Calculated",J78="Not Calculated",J97="Not Calculated",J116="Not Calculated",J131="Not Calculated",)=TRUE,"Not Calculated",AVERAGE(J40,J59,J78,J97,J116,J131))</f>
        <v>Not Calculated</v>
      </c>
      <c r="K133" s="41"/>
    </row>
    <row r="134" spans="2:12" ht="16" thickBot="1" x14ac:dyDescent="0.25">
      <c r="B134" s="46"/>
      <c r="C134" s="47"/>
      <c r="D134" s="47"/>
      <c r="E134" s="47"/>
      <c r="F134" s="47"/>
      <c r="G134" s="47"/>
      <c r="H134" s="47"/>
      <c r="I134" s="47"/>
      <c r="J134" s="47"/>
      <c r="K134" s="49"/>
    </row>
    <row r="135" spans="2:12" ht="16" thickBot="1" x14ac:dyDescent="0.25"/>
    <row r="136" spans="2:12" x14ac:dyDescent="0.2">
      <c r="B136" s="33"/>
      <c r="C136" s="34"/>
      <c r="D136" s="34"/>
      <c r="E136" s="34"/>
      <c r="F136" s="34"/>
      <c r="G136" s="34"/>
      <c r="H136" s="34"/>
      <c r="I136" s="34"/>
      <c r="J136" s="34"/>
      <c r="K136" s="37"/>
    </row>
    <row r="137" spans="2:12" ht="21" x14ac:dyDescent="0.25">
      <c r="B137" s="38"/>
      <c r="C137" s="171"/>
      <c r="D137" s="40"/>
      <c r="E137" s="40"/>
      <c r="F137" s="40"/>
      <c r="G137" s="172" t="s">
        <v>27</v>
      </c>
      <c r="H137" s="40"/>
      <c r="I137" s="40"/>
      <c r="J137" s="40"/>
      <c r="K137" s="41"/>
    </row>
    <row r="138" spans="2:12" x14ac:dyDescent="0.2">
      <c r="B138" s="38"/>
      <c r="C138" s="40"/>
      <c r="D138" s="40"/>
      <c r="E138" s="40"/>
      <c r="F138" s="40"/>
      <c r="G138" s="40"/>
      <c r="H138" s="40"/>
      <c r="I138" s="40"/>
      <c r="J138" s="40"/>
      <c r="K138" s="41"/>
    </row>
    <row r="139" spans="2:12" ht="16" x14ac:dyDescent="0.2">
      <c r="B139" s="38"/>
      <c r="C139" s="45" t="s">
        <v>72</v>
      </c>
      <c r="D139" s="40"/>
      <c r="E139" s="40"/>
      <c r="F139" s="40"/>
      <c r="G139" s="40"/>
      <c r="H139" s="40"/>
      <c r="I139" s="40"/>
      <c r="J139" s="40"/>
      <c r="K139" s="41"/>
    </row>
    <row r="140" spans="2:12" x14ac:dyDescent="0.2">
      <c r="B140" s="38"/>
      <c r="C140" s="40" t="s">
        <v>440</v>
      </c>
      <c r="D140" s="40"/>
      <c r="E140" s="40"/>
      <c r="F140" s="40"/>
      <c r="G140" s="40"/>
      <c r="H140" s="40"/>
      <c r="I140" s="40"/>
      <c r="J140" s="252">
        <f>'Baseline Health'!G45</f>
        <v>0</v>
      </c>
      <c r="K140" s="41"/>
    </row>
    <row r="141" spans="2:12" x14ac:dyDescent="0.2">
      <c r="B141" s="38"/>
      <c r="C141" s="40" t="s">
        <v>270</v>
      </c>
      <c r="D141" s="40"/>
      <c r="E141" s="40"/>
      <c r="F141" s="40"/>
      <c r="G141" s="40"/>
      <c r="H141" s="40"/>
      <c r="I141" s="40"/>
      <c r="J141" s="264">
        <f>J140*0.02</f>
        <v>0</v>
      </c>
      <c r="K141" s="41"/>
    </row>
    <row r="142" spans="2:12" x14ac:dyDescent="0.2">
      <c r="B142" s="38"/>
      <c r="C142" s="40" t="s">
        <v>439</v>
      </c>
      <c r="D142" s="40"/>
      <c r="E142" s="40"/>
      <c r="F142" s="40"/>
      <c r="G142" s="40"/>
      <c r="H142" s="40"/>
      <c r="I142" s="40"/>
      <c r="J142" s="251">
        <f>J83/20</f>
        <v>85.75</v>
      </c>
      <c r="K142" s="41"/>
      <c r="L142" s="12" t="s">
        <v>1149</v>
      </c>
    </row>
    <row r="143" spans="2:12" x14ac:dyDescent="0.2">
      <c r="B143" s="38"/>
      <c r="C143" s="40"/>
      <c r="D143" s="40" t="s">
        <v>351</v>
      </c>
      <c r="E143" s="40"/>
      <c r="F143" s="40"/>
      <c r="G143" s="40"/>
      <c r="H143" s="40"/>
      <c r="I143" s="40"/>
      <c r="J143" s="40"/>
      <c r="K143" s="41"/>
    </row>
    <row r="144" spans="2:12" x14ac:dyDescent="0.2">
      <c r="B144" s="38"/>
      <c r="C144" s="40" t="s">
        <v>260</v>
      </c>
      <c r="D144" s="40"/>
      <c r="E144" s="40"/>
      <c r="F144" s="40"/>
      <c r="G144" s="40"/>
      <c r="H144" s="40"/>
      <c r="I144" s="40"/>
      <c r="J144" s="245" t="str">
        <f>IF(OR(J140=0,J140="Not Calculated")=TRUE,"Not Calculated",IF((J140-J141)&lt;=0,4,IF(((J140+J142)/(J140-J141))&lt;=1,0,IF(((J140+J142)/(J140-J141))&lt;=1.05,1,IF(((J140+J142)/(J140-J141))&lt;=1.5, 2,IF(((J140+J142)/(J140-J141))&lt;=2,3,4))))))</f>
        <v>Not Calculated</v>
      </c>
      <c r="K144" s="41"/>
    </row>
    <row r="145" spans="2:14" x14ac:dyDescent="0.2">
      <c r="B145" s="38"/>
      <c r="C145" s="279" t="str">
        <f>"0:"</f>
        <v>0:</v>
      </c>
      <c r="D145" s="278" t="s">
        <v>918</v>
      </c>
      <c r="E145" s="40"/>
      <c r="F145" s="40"/>
      <c r="G145" s="40"/>
      <c r="H145" s="40"/>
      <c r="I145" s="40"/>
      <c r="J145" s="40"/>
      <c r="K145" s="41"/>
    </row>
    <row r="146" spans="2:14" ht="9.75" customHeight="1" x14ac:dyDescent="0.2">
      <c r="B146" s="38"/>
      <c r="C146" s="280" t="str">
        <f>"1:"</f>
        <v>1:</v>
      </c>
      <c r="D146" s="278" t="s">
        <v>923</v>
      </c>
      <c r="E146" s="40"/>
      <c r="F146" s="40"/>
      <c r="G146" s="40"/>
      <c r="H146" s="40"/>
      <c r="I146" s="40"/>
      <c r="J146" s="40"/>
      <c r="K146" s="41"/>
    </row>
    <row r="147" spans="2:14" ht="9.75" customHeight="1" x14ac:dyDescent="0.2">
      <c r="B147" s="38"/>
      <c r="C147" s="280" t="str">
        <f>"2:"</f>
        <v>2:</v>
      </c>
      <c r="D147" s="278" t="s">
        <v>924</v>
      </c>
      <c r="E147" s="40"/>
      <c r="F147" s="40"/>
      <c r="G147" s="40"/>
      <c r="H147" s="40"/>
      <c r="I147" s="40"/>
      <c r="J147" s="40"/>
      <c r="K147" s="41"/>
    </row>
    <row r="148" spans="2:14" ht="9.75" customHeight="1" x14ac:dyDescent="0.2">
      <c r="B148" s="38"/>
      <c r="C148" s="280" t="str">
        <f>"3:"</f>
        <v>3:</v>
      </c>
      <c r="D148" s="278" t="s">
        <v>925</v>
      </c>
      <c r="E148" s="40"/>
      <c r="F148" s="40"/>
      <c r="G148" s="40"/>
      <c r="H148" s="40"/>
      <c r="I148" s="40"/>
      <c r="J148" s="40"/>
      <c r="K148" s="41"/>
    </row>
    <row r="149" spans="2:14" ht="9.75" customHeight="1" x14ac:dyDescent="0.2">
      <c r="B149" s="38"/>
      <c r="C149" s="280" t="str">
        <f>"4:"</f>
        <v>4:</v>
      </c>
      <c r="D149" s="278" t="s">
        <v>926</v>
      </c>
      <c r="E149" s="40"/>
      <c r="F149" s="40"/>
      <c r="G149" s="40"/>
      <c r="H149" s="40"/>
      <c r="I149" s="40"/>
      <c r="J149" s="40"/>
      <c r="K149" s="41"/>
    </row>
    <row r="150" spans="2:14" ht="12" customHeight="1" x14ac:dyDescent="0.2">
      <c r="B150" s="38"/>
      <c r="C150" s="174" t="s">
        <v>662</v>
      </c>
      <c r="D150" s="40"/>
      <c r="E150" s="40"/>
      <c r="F150" s="40"/>
      <c r="G150" s="40"/>
      <c r="H150" s="40"/>
      <c r="I150" s="40"/>
      <c r="J150" s="265" t="s">
        <v>661</v>
      </c>
      <c r="K150" s="41"/>
      <c r="N150" s="12" t="s">
        <v>661</v>
      </c>
    </row>
    <row r="151" spans="2:14" x14ac:dyDescent="0.2">
      <c r="B151" s="38"/>
      <c r="C151" s="174" t="s">
        <v>660</v>
      </c>
      <c r="D151" s="40"/>
      <c r="E151" s="40"/>
      <c r="F151" s="40"/>
      <c r="G151" s="40"/>
      <c r="H151" s="40"/>
      <c r="I151" s="40"/>
      <c r="J151" s="246" t="str">
        <f>IF(J150=N150,"N/A",IF(J150=N151,0,IF(J150=N152,1,IF(J150=N153,2,IF(J150=N154,3,IF(J150=N155,4,"N/A"))))))</f>
        <v>N/A</v>
      </c>
      <c r="K151" s="41"/>
      <c r="N151" s="12" t="s">
        <v>894</v>
      </c>
    </row>
    <row r="152" spans="2:14" x14ac:dyDescent="0.2">
      <c r="B152" s="38"/>
      <c r="C152" s="40" t="s">
        <v>257</v>
      </c>
      <c r="D152" s="40"/>
      <c r="E152" s="40"/>
      <c r="F152" s="40"/>
      <c r="G152" s="40"/>
      <c r="H152" s="40"/>
      <c r="I152" s="40"/>
      <c r="J152" s="266" t="s">
        <v>874</v>
      </c>
      <c r="K152" s="41"/>
      <c r="N152" s="12" t="s">
        <v>899</v>
      </c>
    </row>
    <row r="153" spans="2:14" x14ac:dyDescent="0.2">
      <c r="B153" s="38"/>
      <c r="C153" s="40" t="s">
        <v>261</v>
      </c>
      <c r="D153" s="40"/>
      <c r="E153" s="40"/>
      <c r="F153" s="40"/>
      <c r="G153" s="40"/>
      <c r="H153" s="40"/>
      <c r="I153" s="40"/>
      <c r="J153" s="245">
        <f>IF(J152=$B$973,$A$974,IF(J152=$B$974,$A$975,IF(J152=$B$975,$A$976,IF(J152=$B$976,$A$977,IF(J152=$B$977,$A$978,"Not Calculated")))))</f>
        <v>4</v>
      </c>
      <c r="K153" s="41"/>
      <c r="N153" s="12" t="s">
        <v>900</v>
      </c>
    </row>
    <row r="154" spans="2:14" x14ac:dyDescent="0.2">
      <c r="B154" s="38"/>
      <c r="C154" s="40" t="s">
        <v>893</v>
      </c>
      <c r="D154" s="40"/>
      <c r="E154" s="40"/>
      <c r="F154" s="40"/>
      <c r="G154" s="40"/>
      <c r="H154" s="40"/>
      <c r="I154" s="40"/>
      <c r="J154" s="40"/>
      <c r="K154" s="41"/>
      <c r="N154" s="12" t="s">
        <v>901</v>
      </c>
    </row>
    <row r="155" spans="2:14" ht="60" customHeight="1" x14ac:dyDescent="0.2">
      <c r="B155" s="38"/>
      <c r="C155" s="399" t="s">
        <v>418</v>
      </c>
      <c r="D155" s="400"/>
      <c r="E155" s="400"/>
      <c r="F155" s="400"/>
      <c r="G155" s="400"/>
      <c r="H155" s="400"/>
      <c r="I155" s="400"/>
      <c r="J155" s="401"/>
      <c r="K155" s="41"/>
      <c r="N155" s="12" t="s">
        <v>902</v>
      </c>
    </row>
    <row r="156" spans="2:14" ht="30" customHeight="1" x14ac:dyDescent="0.2">
      <c r="B156" s="38"/>
      <c r="C156" s="40"/>
      <c r="D156" s="40"/>
      <c r="E156" s="40"/>
      <c r="F156" s="40"/>
      <c r="G156" s="40"/>
      <c r="H156" s="40"/>
      <c r="I156" s="40"/>
      <c r="J156" s="40"/>
      <c r="K156" s="41"/>
    </row>
    <row r="157" spans="2:14" x14ac:dyDescent="0.2">
      <c r="B157" s="38"/>
      <c r="C157" s="179" t="s">
        <v>271</v>
      </c>
      <c r="D157" s="40"/>
      <c r="E157" s="40"/>
      <c r="F157" s="40"/>
      <c r="G157" s="40"/>
      <c r="H157" s="40"/>
      <c r="I157" s="40"/>
      <c r="J157" s="245" t="str">
        <f>IF(J151="N/A",IF(OR(J144="Not Calculated",J153="Not Calculated")=TRUE,"Not Calculated",AVERAGE(J144,J153)),AVERAGE(J151,J153))</f>
        <v>Not Calculated</v>
      </c>
      <c r="K157" s="41"/>
    </row>
    <row r="158" spans="2:14" x14ac:dyDescent="0.2">
      <c r="B158" s="38"/>
      <c r="C158" s="40"/>
      <c r="D158" s="40"/>
      <c r="E158" s="40"/>
      <c r="F158" s="40"/>
      <c r="G158" s="40"/>
      <c r="H158" s="40"/>
      <c r="I158" s="40"/>
      <c r="J158" s="40"/>
      <c r="K158" s="41"/>
    </row>
    <row r="159" spans="2:14" x14ac:dyDescent="0.2">
      <c r="B159" s="38"/>
      <c r="C159" s="40"/>
      <c r="D159" s="40"/>
      <c r="E159" s="40"/>
      <c r="F159" s="40"/>
      <c r="G159" s="40"/>
      <c r="H159" s="40"/>
      <c r="I159" s="40"/>
      <c r="J159" s="40"/>
      <c r="K159" s="41"/>
    </row>
    <row r="160" spans="2:14" ht="16" x14ac:dyDescent="0.2">
      <c r="B160" s="38"/>
      <c r="C160" s="45" t="s">
        <v>273</v>
      </c>
      <c r="D160" s="40"/>
      <c r="E160" s="40"/>
      <c r="F160" s="40"/>
      <c r="G160" s="40"/>
      <c r="H160" s="40"/>
      <c r="I160" s="40"/>
      <c r="J160" s="40"/>
      <c r="K160" s="41"/>
    </row>
    <row r="161" spans="2:14" x14ac:dyDescent="0.2">
      <c r="B161" s="38"/>
      <c r="C161" s="40" t="s">
        <v>441</v>
      </c>
      <c r="D161" s="40"/>
      <c r="E161" s="40"/>
      <c r="F161" s="40"/>
      <c r="G161" s="40"/>
      <c r="H161" s="40"/>
      <c r="I161" s="40"/>
      <c r="J161" s="252">
        <f>'Baseline Health'!G51</f>
        <v>0</v>
      </c>
      <c r="K161" s="41"/>
    </row>
    <row r="162" spans="2:14" x14ac:dyDescent="0.2">
      <c r="B162" s="38"/>
      <c r="C162" s="40" t="s">
        <v>280</v>
      </c>
      <c r="D162" s="40"/>
      <c r="E162" s="40"/>
      <c r="F162" s="40"/>
      <c r="G162" s="40"/>
      <c r="H162" s="40"/>
      <c r="I162" s="40"/>
      <c r="J162" s="264">
        <v>2</v>
      </c>
      <c r="K162" s="41"/>
    </row>
    <row r="163" spans="2:14" x14ac:dyDescent="0.2">
      <c r="B163" s="38"/>
      <c r="C163" s="40" t="s">
        <v>442</v>
      </c>
      <c r="D163" s="40"/>
      <c r="E163" s="40"/>
      <c r="F163" s="40"/>
      <c r="G163" s="40"/>
      <c r="H163" s="40"/>
      <c r="I163" s="40"/>
      <c r="J163" s="251">
        <f>(J64)/4.5</f>
        <v>2</v>
      </c>
      <c r="K163" s="41"/>
      <c r="L163" s="12" t="s">
        <v>1150</v>
      </c>
    </row>
    <row r="164" spans="2:14" x14ac:dyDescent="0.2">
      <c r="B164" s="38"/>
      <c r="C164" s="40"/>
      <c r="D164" s="40" t="s">
        <v>353</v>
      </c>
      <c r="E164" s="40"/>
      <c r="F164" s="40"/>
      <c r="G164" s="40"/>
      <c r="H164" s="40"/>
      <c r="I164" s="40"/>
      <c r="J164" s="40"/>
      <c r="K164" s="41"/>
    </row>
    <row r="165" spans="2:14" x14ac:dyDescent="0.2">
      <c r="B165" s="38"/>
      <c r="C165" s="40" t="s">
        <v>260</v>
      </c>
      <c r="D165" s="40"/>
      <c r="E165" s="40"/>
      <c r="F165" s="40"/>
      <c r="G165" s="40"/>
      <c r="H165" s="40"/>
      <c r="I165" s="40"/>
      <c r="J165" s="245" t="str">
        <f>IF(OR(J161=0,J161="Not Calculated")=TRUE,"Not Calculated",IF((J161-J162)&lt;=0,4,IF(((J161+J163)/(J161-J162))&lt;=1,0,IF(((J161+J163)/(J161-J162))&lt;=1.05,1,IF(((J161+J163)/(J161-J162))&lt;=1.5, 2,IF(((J161+J163)/(J161-J162))&lt;=2,3,4))))))</f>
        <v>Not Calculated</v>
      </c>
      <c r="K165" s="41"/>
    </row>
    <row r="166" spans="2:14" x14ac:dyDescent="0.2">
      <c r="B166" s="38"/>
      <c r="C166" s="279" t="str">
        <f>"0:"</f>
        <v>0:</v>
      </c>
      <c r="D166" s="278" t="s">
        <v>918</v>
      </c>
      <c r="E166" s="40"/>
      <c r="F166" s="40"/>
      <c r="G166" s="40"/>
      <c r="H166" s="40"/>
      <c r="I166" s="40"/>
      <c r="J166" s="40"/>
      <c r="K166" s="41"/>
    </row>
    <row r="167" spans="2:14" ht="9.75" customHeight="1" x14ac:dyDescent="0.2">
      <c r="B167" s="38"/>
      <c r="C167" s="280" t="str">
        <f>"1:"</f>
        <v>1:</v>
      </c>
      <c r="D167" s="278" t="s">
        <v>923</v>
      </c>
      <c r="E167" s="40"/>
      <c r="F167" s="40"/>
      <c r="G167" s="40"/>
      <c r="H167" s="40"/>
      <c r="I167" s="40"/>
      <c r="J167" s="40"/>
      <c r="K167" s="41"/>
    </row>
    <row r="168" spans="2:14" ht="9.75" customHeight="1" x14ac:dyDescent="0.2">
      <c r="B168" s="38"/>
      <c r="C168" s="280" t="str">
        <f>"2:"</f>
        <v>2:</v>
      </c>
      <c r="D168" s="278" t="s">
        <v>924</v>
      </c>
      <c r="E168" s="40"/>
      <c r="F168" s="40"/>
      <c r="G168" s="40"/>
      <c r="H168" s="40"/>
      <c r="I168" s="40"/>
      <c r="J168" s="40"/>
      <c r="K168" s="41"/>
    </row>
    <row r="169" spans="2:14" ht="9.75" customHeight="1" x14ac:dyDescent="0.2">
      <c r="B169" s="38"/>
      <c r="C169" s="280" t="str">
        <f>"3:"</f>
        <v>3:</v>
      </c>
      <c r="D169" s="278" t="s">
        <v>925</v>
      </c>
      <c r="E169" s="40"/>
      <c r="F169" s="40"/>
      <c r="G169" s="40"/>
      <c r="H169" s="40"/>
      <c r="I169" s="40"/>
      <c r="J169" s="40"/>
      <c r="K169" s="41"/>
    </row>
    <row r="170" spans="2:14" ht="9.75" customHeight="1" x14ac:dyDescent="0.2">
      <c r="B170" s="38"/>
      <c r="C170" s="280" t="str">
        <f>"4:"</f>
        <v>4:</v>
      </c>
      <c r="D170" s="278" t="s">
        <v>926</v>
      </c>
      <c r="E170" s="40"/>
      <c r="F170" s="40"/>
      <c r="G170" s="40"/>
      <c r="H170" s="40"/>
      <c r="I170" s="40"/>
      <c r="J170" s="40"/>
      <c r="K170" s="41"/>
    </row>
    <row r="171" spans="2:14" ht="12" customHeight="1" x14ac:dyDescent="0.2">
      <c r="B171" s="38"/>
      <c r="C171" s="174" t="s">
        <v>662</v>
      </c>
      <c r="D171" s="40"/>
      <c r="E171" s="40"/>
      <c r="F171" s="40"/>
      <c r="G171" s="40"/>
      <c r="H171" s="40"/>
      <c r="I171" s="40"/>
      <c r="J171" s="265" t="s">
        <v>661</v>
      </c>
      <c r="K171" s="41"/>
      <c r="N171" s="12" t="s">
        <v>661</v>
      </c>
    </row>
    <row r="172" spans="2:14" x14ac:dyDescent="0.2">
      <c r="B172" s="38"/>
      <c r="C172" s="174" t="s">
        <v>660</v>
      </c>
      <c r="D172" s="40"/>
      <c r="E172" s="40"/>
      <c r="F172" s="40"/>
      <c r="G172" s="40"/>
      <c r="H172" s="40"/>
      <c r="I172" s="40"/>
      <c r="J172" s="246" t="str">
        <f>IF(J171=N171,"N/A",IF(J171=N172,0,IF(J171=N173,1,IF(J171=N174,2,IF(J171=N175,3,IF(J171=N176,4,"N/A"))))))</f>
        <v>N/A</v>
      </c>
      <c r="K172" s="41"/>
      <c r="N172" s="12" t="s">
        <v>894</v>
      </c>
    </row>
    <row r="173" spans="2:14" x14ac:dyDescent="0.2">
      <c r="B173" s="38"/>
      <c r="C173" s="40" t="s">
        <v>257</v>
      </c>
      <c r="D173" s="40"/>
      <c r="E173" s="40"/>
      <c r="F173" s="40"/>
      <c r="G173" s="40"/>
      <c r="H173" s="40"/>
      <c r="I173" s="40"/>
      <c r="J173" s="266" t="s">
        <v>874</v>
      </c>
      <c r="K173" s="41"/>
      <c r="N173" s="12" t="s">
        <v>899</v>
      </c>
    </row>
    <row r="174" spans="2:14" x14ac:dyDescent="0.2">
      <c r="B174" s="38"/>
      <c r="C174" s="40" t="s">
        <v>261</v>
      </c>
      <c r="D174" s="40"/>
      <c r="E174" s="40"/>
      <c r="F174" s="40"/>
      <c r="G174" s="40"/>
      <c r="H174" s="40"/>
      <c r="I174" s="40"/>
      <c r="J174" s="245">
        <f>IF(J173=$B$973,$A$974,IF(J173=$B$974,$A$975,IF(J173=$B$975,$A$976,IF(J173=$B$976,$A$977,IF(J173=$B$977,$A$978,"Not Calculated")))))</f>
        <v>4</v>
      </c>
      <c r="K174" s="41"/>
      <c r="N174" s="12" t="s">
        <v>900</v>
      </c>
    </row>
    <row r="175" spans="2:14" x14ac:dyDescent="0.2">
      <c r="B175" s="38"/>
      <c r="C175" s="40" t="s">
        <v>893</v>
      </c>
      <c r="D175" s="40"/>
      <c r="E175" s="40"/>
      <c r="F175" s="40"/>
      <c r="G175" s="40"/>
      <c r="H175" s="40"/>
      <c r="I175" s="40"/>
      <c r="J175" s="40"/>
      <c r="K175" s="41"/>
      <c r="N175" s="12" t="s">
        <v>901</v>
      </c>
    </row>
    <row r="176" spans="2:14" ht="60" customHeight="1" x14ac:dyDescent="0.2">
      <c r="B176" s="38"/>
      <c r="C176" s="399" t="s">
        <v>419</v>
      </c>
      <c r="D176" s="400"/>
      <c r="E176" s="400"/>
      <c r="F176" s="400"/>
      <c r="G176" s="400"/>
      <c r="H176" s="400"/>
      <c r="I176" s="400"/>
      <c r="J176" s="401"/>
      <c r="K176" s="41"/>
      <c r="N176" s="12" t="s">
        <v>902</v>
      </c>
    </row>
    <row r="177" spans="2:14" ht="30" customHeight="1" x14ac:dyDescent="0.2">
      <c r="B177" s="38"/>
      <c r="C177" s="40"/>
      <c r="D177" s="40"/>
      <c r="E177" s="40"/>
      <c r="F177" s="40"/>
      <c r="G177" s="40"/>
      <c r="H177" s="40"/>
      <c r="I177" s="40"/>
      <c r="J177" s="40"/>
      <c r="K177" s="41"/>
    </row>
    <row r="178" spans="2:14" x14ac:dyDescent="0.2">
      <c r="B178" s="38"/>
      <c r="C178" s="179" t="s">
        <v>274</v>
      </c>
      <c r="D178" s="40"/>
      <c r="E178" s="40"/>
      <c r="F178" s="40"/>
      <c r="G178" s="40"/>
      <c r="H178" s="40"/>
      <c r="I178" s="40"/>
      <c r="J178" s="245" t="str">
        <f>IF(J172="N/A",IF(OR(J165="Not Calculated",J174="Not Calculated")=TRUE,"Not Calculated",AVERAGE(J165,J174)),AVERAGE(J172,J174))</f>
        <v>Not Calculated</v>
      </c>
      <c r="K178" s="41"/>
    </row>
    <row r="179" spans="2:14" x14ac:dyDescent="0.2">
      <c r="B179" s="38"/>
      <c r="C179" s="40"/>
      <c r="D179" s="40"/>
      <c r="E179" s="40"/>
      <c r="F179" s="40"/>
      <c r="G179" s="40"/>
      <c r="H179" s="40"/>
      <c r="I179" s="40"/>
      <c r="J179" s="40"/>
      <c r="K179" s="41"/>
    </row>
    <row r="180" spans="2:14" x14ac:dyDescent="0.2">
      <c r="B180" s="38"/>
      <c r="C180" s="40"/>
      <c r="D180" s="40"/>
      <c r="E180" s="40"/>
      <c r="F180" s="40"/>
      <c r="G180" s="40"/>
      <c r="H180" s="40"/>
      <c r="I180" s="40"/>
      <c r="J180" s="40"/>
      <c r="K180" s="41"/>
    </row>
    <row r="181" spans="2:14" ht="16" x14ac:dyDescent="0.2">
      <c r="B181" s="38"/>
      <c r="C181" s="45" t="s">
        <v>74</v>
      </c>
      <c r="D181" s="40"/>
      <c r="E181" s="40"/>
      <c r="F181" s="40"/>
      <c r="G181" s="40"/>
      <c r="H181" s="40"/>
      <c r="I181" s="40"/>
      <c r="J181" s="40"/>
      <c r="K181" s="41"/>
    </row>
    <row r="182" spans="2:14" x14ac:dyDescent="0.2">
      <c r="B182" s="38"/>
      <c r="C182" s="40" t="s">
        <v>443</v>
      </c>
      <c r="D182" s="40"/>
      <c r="E182" s="40"/>
      <c r="F182" s="40"/>
      <c r="G182" s="40"/>
      <c r="H182" s="40"/>
      <c r="I182" s="40"/>
      <c r="J182" s="252">
        <f>'Baseline Health'!G59</f>
        <v>0</v>
      </c>
      <c r="K182" s="41"/>
    </row>
    <row r="183" spans="2:14" x14ac:dyDescent="0.2">
      <c r="B183" s="38"/>
      <c r="C183" s="40" t="s">
        <v>281</v>
      </c>
      <c r="D183" s="40"/>
      <c r="E183" s="40"/>
      <c r="F183" s="40"/>
      <c r="G183" s="40"/>
      <c r="H183" s="40"/>
      <c r="I183" s="40"/>
      <c r="J183" s="264">
        <f>J182*0.02</f>
        <v>0</v>
      </c>
      <c r="K183" s="41"/>
    </row>
    <row r="184" spans="2:14" x14ac:dyDescent="0.2">
      <c r="B184" s="38"/>
      <c r="C184" s="40" t="s">
        <v>354</v>
      </c>
      <c r="D184" s="40"/>
      <c r="E184" s="40"/>
      <c r="F184" s="40"/>
      <c r="G184" s="40"/>
      <c r="H184" s="40"/>
      <c r="I184" s="40"/>
      <c r="J184" s="264">
        <f>13208+2201</f>
        <v>15409</v>
      </c>
      <c r="K184" s="41"/>
      <c r="L184" s="12" t="s">
        <v>1151</v>
      </c>
    </row>
    <row r="185" spans="2:14" x14ac:dyDescent="0.2">
      <c r="B185" s="38"/>
      <c r="C185" s="40" t="s">
        <v>260</v>
      </c>
      <c r="D185" s="40"/>
      <c r="E185" s="40"/>
      <c r="F185" s="40"/>
      <c r="G185" s="40"/>
      <c r="H185" s="40"/>
      <c r="I185" s="40"/>
      <c r="J185" s="245" t="str">
        <f>IF(OR(J182=0,J182="Not Calculated")=TRUE,"Not Calculated",IF(J182-J183=0,4,IF(((J182+J184)/(J182-J183))&lt;=1,0,IF(((J182+J184)/(J182-J183))&lt;=1.05,1,IF(((J182+J184)/(J182-J183))&lt;=1.5, 2,IF(((J182+J184)/(J182-J183))&lt;=2,3,4))))))</f>
        <v>Not Calculated</v>
      </c>
      <c r="K185" s="41"/>
    </row>
    <row r="186" spans="2:14" x14ac:dyDescent="0.2">
      <c r="B186" s="38"/>
      <c r="C186" s="279" t="str">
        <f>"0:"</f>
        <v>0:</v>
      </c>
      <c r="D186" s="278" t="s">
        <v>918</v>
      </c>
      <c r="E186" s="40"/>
      <c r="F186" s="40"/>
      <c r="G186" s="40"/>
      <c r="H186" s="40"/>
      <c r="I186" s="40"/>
      <c r="J186" s="40"/>
      <c r="K186" s="41"/>
    </row>
    <row r="187" spans="2:14" ht="9.75" customHeight="1" x14ac:dyDescent="0.2">
      <c r="B187" s="38"/>
      <c r="C187" s="280" t="str">
        <f>"1:"</f>
        <v>1:</v>
      </c>
      <c r="D187" s="278" t="s">
        <v>923</v>
      </c>
      <c r="E187" s="40"/>
      <c r="F187" s="40"/>
      <c r="G187" s="40"/>
      <c r="H187" s="40"/>
      <c r="I187" s="40"/>
      <c r="J187" s="40"/>
      <c r="K187" s="41"/>
    </row>
    <row r="188" spans="2:14" ht="9.75" customHeight="1" x14ac:dyDescent="0.2">
      <c r="B188" s="38"/>
      <c r="C188" s="280" t="str">
        <f>"2:"</f>
        <v>2:</v>
      </c>
      <c r="D188" s="278" t="s">
        <v>924</v>
      </c>
      <c r="E188" s="40"/>
      <c r="F188" s="40"/>
      <c r="G188" s="40"/>
      <c r="H188" s="40"/>
      <c r="I188" s="40"/>
      <c r="J188" s="40"/>
      <c r="K188" s="41"/>
    </row>
    <row r="189" spans="2:14" ht="9.75" customHeight="1" x14ac:dyDescent="0.2">
      <c r="B189" s="38"/>
      <c r="C189" s="280" t="str">
        <f>"3:"</f>
        <v>3:</v>
      </c>
      <c r="D189" s="278" t="s">
        <v>925</v>
      </c>
      <c r="E189" s="40"/>
      <c r="F189" s="40"/>
      <c r="G189" s="40"/>
      <c r="H189" s="40"/>
      <c r="I189" s="40"/>
      <c r="J189" s="40"/>
      <c r="K189" s="41"/>
    </row>
    <row r="190" spans="2:14" ht="9.75" customHeight="1" x14ac:dyDescent="0.2">
      <c r="B190" s="38"/>
      <c r="C190" s="280" t="str">
        <f>"4:"</f>
        <v>4:</v>
      </c>
      <c r="D190" s="278" t="s">
        <v>926</v>
      </c>
      <c r="E190" s="40"/>
      <c r="F190" s="40"/>
      <c r="G190" s="40"/>
      <c r="H190" s="40"/>
      <c r="I190" s="40"/>
      <c r="J190" s="40"/>
      <c r="K190" s="41"/>
    </row>
    <row r="191" spans="2:14" ht="12" customHeight="1" x14ac:dyDescent="0.2">
      <c r="B191" s="38"/>
      <c r="C191" s="174" t="s">
        <v>662</v>
      </c>
      <c r="D191" s="40"/>
      <c r="E191" s="40"/>
      <c r="F191" s="40"/>
      <c r="G191" s="40"/>
      <c r="H191" s="40"/>
      <c r="I191" s="40"/>
      <c r="J191" s="265" t="s">
        <v>661</v>
      </c>
      <c r="K191" s="41"/>
      <c r="N191" s="12" t="s">
        <v>661</v>
      </c>
    </row>
    <row r="192" spans="2:14" x14ac:dyDescent="0.2">
      <c r="B192" s="38"/>
      <c r="C192" s="174" t="s">
        <v>660</v>
      </c>
      <c r="D192" s="40"/>
      <c r="E192" s="40"/>
      <c r="F192" s="40"/>
      <c r="G192" s="40"/>
      <c r="H192" s="40"/>
      <c r="I192" s="40"/>
      <c r="J192" s="246" t="str">
        <f>IF(J191=N191,"N/A",IF(J191=N192,0,IF(J191=N193,1,IF(J191=N194,2,IF(J191=N195,3,IF(J191=N196,4,"N/A"))))))</f>
        <v>N/A</v>
      </c>
      <c r="K192" s="41"/>
      <c r="N192" s="12" t="s">
        <v>894</v>
      </c>
    </row>
    <row r="193" spans="2:14" x14ac:dyDescent="0.2">
      <c r="B193" s="38"/>
      <c r="C193" s="40" t="s">
        <v>257</v>
      </c>
      <c r="D193" s="40"/>
      <c r="E193" s="40"/>
      <c r="F193" s="40"/>
      <c r="G193" s="40"/>
      <c r="H193" s="40"/>
      <c r="I193" s="40"/>
      <c r="J193" s="266" t="s">
        <v>874</v>
      </c>
      <c r="K193" s="41"/>
      <c r="N193" s="12" t="s">
        <v>899</v>
      </c>
    </row>
    <row r="194" spans="2:14" x14ac:dyDescent="0.2">
      <c r="B194" s="38"/>
      <c r="C194" s="40" t="s">
        <v>261</v>
      </c>
      <c r="D194" s="40"/>
      <c r="E194" s="40"/>
      <c r="F194" s="40"/>
      <c r="G194" s="40"/>
      <c r="H194" s="40"/>
      <c r="I194" s="40"/>
      <c r="J194" s="245">
        <f>IF(J193=$B$973,$A$974,IF(J193=$B$974,$A$975,IF(J193=$B$975,$A$976,IF(J193=$B$976,$A$977,IF(J193=$B$977,$A$978,"Not Calculated")))))</f>
        <v>4</v>
      </c>
      <c r="K194" s="41"/>
      <c r="N194" s="12" t="s">
        <v>900</v>
      </c>
    </row>
    <row r="195" spans="2:14" x14ac:dyDescent="0.2">
      <c r="B195" s="38"/>
      <c r="C195" s="40" t="s">
        <v>893</v>
      </c>
      <c r="D195" s="40"/>
      <c r="E195" s="40"/>
      <c r="F195" s="40"/>
      <c r="G195" s="40"/>
      <c r="H195" s="40"/>
      <c r="I195" s="40"/>
      <c r="J195" s="40"/>
      <c r="K195" s="41"/>
      <c r="N195" s="12" t="s">
        <v>901</v>
      </c>
    </row>
    <row r="196" spans="2:14" ht="145" customHeight="1" x14ac:dyDescent="0.2">
      <c r="B196" s="38"/>
      <c r="C196" s="399" t="s">
        <v>1155</v>
      </c>
      <c r="D196" s="400"/>
      <c r="E196" s="400"/>
      <c r="F196" s="400"/>
      <c r="G196" s="400"/>
      <c r="H196" s="400"/>
      <c r="I196" s="400"/>
      <c r="J196" s="401"/>
      <c r="K196" s="41"/>
      <c r="N196" s="12" t="s">
        <v>902</v>
      </c>
    </row>
    <row r="197" spans="2:14" ht="30" customHeight="1" x14ac:dyDescent="0.2">
      <c r="B197" s="38"/>
      <c r="C197" s="40"/>
      <c r="D197" s="40"/>
      <c r="E197" s="40"/>
      <c r="F197" s="40"/>
      <c r="G197" s="40"/>
      <c r="H197" s="40"/>
      <c r="I197" s="40"/>
      <c r="J197" s="40"/>
      <c r="K197" s="41"/>
    </row>
    <row r="198" spans="2:14" x14ac:dyDescent="0.2">
      <c r="B198" s="38"/>
      <c r="C198" s="179" t="s">
        <v>275</v>
      </c>
      <c r="D198" s="40"/>
      <c r="E198" s="40"/>
      <c r="F198" s="40"/>
      <c r="G198" s="40"/>
      <c r="H198" s="40"/>
      <c r="I198" s="40"/>
      <c r="J198" s="245" t="str">
        <f>IF(J192="N/A",IF(OR(J185="Not Calculated",J194="Not Calculated")=TRUE,"Not Calculated",AVERAGE(J185,J194)),AVERAGE(J192,J194))</f>
        <v>Not Calculated</v>
      </c>
      <c r="K198" s="41"/>
    </row>
    <row r="199" spans="2:14" x14ac:dyDescent="0.2">
      <c r="B199" s="38"/>
      <c r="C199" s="40"/>
      <c r="D199" s="40"/>
      <c r="E199" s="40"/>
      <c r="F199" s="40"/>
      <c r="G199" s="40"/>
      <c r="H199" s="40"/>
      <c r="I199" s="40"/>
      <c r="J199" s="40"/>
      <c r="K199" s="41"/>
    </row>
    <row r="200" spans="2:14" x14ac:dyDescent="0.2">
      <c r="B200" s="38"/>
      <c r="C200" s="40"/>
      <c r="D200" s="40"/>
      <c r="E200" s="40"/>
      <c r="F200" s="40"/>
      <c r="G200" s="40"/>
      <c r="H200" s="40"/>
      <c r="I200" s="40"/>
      <c r="J200" s="40"/>
      <c r="K200" s="41"/>
    </row>
    <row r="201" spans="2:14" ht="16" x14ac:dyDescent="0.2">
      <c r="B201" s="38"/>
      <c r="C201" s="45" t="s">
        <v>75</v>
      </c>
      <c r="D201" s="40"/>
      <c r="E201" s="40"/>
      <c r="F201" s="40"/>
      <c r="G201" s="40"/>
      <c r="H201" s="40"/>
      <c r="I201" s="40"/>
      <c r="J201" s="40"/>
      <c r="K201" s="41"/>
    </row>
    <row r="202" spans="2:14" x14ac:dyDescent="0.2">
      <c r="B202" s="38"/>
      <c r="C202" s="40" t="s">
        <v>444</v>
      </c>
      <c r="D202" s="40"/>
      <c r="E202" s="40"/>
      <c r="F202" s="40"/>
      <c r="G202" s="40"/>
      <c r="H202" s="40"/>
      <c r="I202" s="40"/>
      <c r="J202" s="252">
        <f>'Baseline Health'!G65</f>
        <v>0</v>
      </c>
      <c r="K202" s="41"/>
    </row>
    <row r="203" spans="2:14" x14ac:dyDescent="0.2">
      <c r="B203" s="38"/>
      <c r="C203" s="40" t="s">
        <v>282</v>
      </c>
      <c r="D203" s="40"/>
      <c r="E203" s="40"/>
      <c r="F203" s="40"/>
      <c r="G203" s="40"/>
      <c r="H203" s="40"/>
      <c r="I203" s="40"/>
      <c r="J203" s="264">
        <f>J202*0.02</f>
        <v>0</v>
      </c>
      <c r="K203" s="41"/>
    </row>
    <row r="204" spans="2:14" x14ac:dyDescent="0.2">
      <c r="B204" s="38"/>
      <c r="C204" s="40" t="s">
        <v>355</v>
      </c>
      <c r="D204" s="40"/>
      <c r="E204" s="40"/>
      <c r="F204" s="40"/>
      <c r="G204" s="40"/>
      <c r="H204" s="40"/>
      <c r="I204" s="40"/>
      <c r="J204" s="264">
        <v>2</v>
      </c>
      <c r="K204" s="41"/>
      <c r="L204" s="12" t="s">
        <v>1156</v>
      </c>
    </row>
    <row r="205" spans="2:14" x14ac:dyDescent="0.2">
      <c r="B205" s="38"/>
      <c r="C205" s="40" t="s">
        <v>260</v>
      </c>
      <c r="D205" s="40"/>
      <c r="E205" s="40"/>
      <c r="F205" s="40"/>
      <c r="G205" s="40"/>
      <c r="H205" s="40"/>
      <c r="I205" s="40"/>
      <c r="J205" s="245" t="str">
        <f>IF(OR(J202=0,J202="Not Calculated")=TRUE,"Not Calculated",IF(J202-J203=0,4,IF(((J202+J204)/(J202-J203))&lt;=1,0,IF(((J202+J204)/(J202-J203))&lt;=1.05,1,IF(((J202+J204)/(J202-J203))&lt;=1.5, 2,IF(((J202+J204)/(J202-J203))&lt;=2,3,4))))))</f>
        <v>Not Calculated</v>
      </c>
      <c r="K205" s="41"/>
      <c r="L205" s="12" t="s">
        <v>1157</v>
      </c>
    </row>
    <row r="206" spans="2:14" x14ac:dyDescent="0.2">
      <c r="B206" s="38"/>
      <c r="C206" s="279" t="str">
        <f>"0:"</f>
        <v>0:</v>
      </c>
      <c r="D206" s="278" t="s">
        <v>918</v>
      </c>
      <c r="E206" s="40"/>
      <c r="F206" s="40"/>
      <c r="G206" s="40"/>
      <c r="H206" s="40"/>
      <c r="I206" s="40"/>
      <c r="J206" s="40"/>
      <c r="K206" s="41"/>
    </row>
    <row r="207" spans="2:14" ht="9.75" customHeight="1" x14ac:dyDescent="0.2">
      <c r="B207" s="38"/>
      <c r="C207" s="280" t="str">
        <f>"1:"</f>
        <v>1:</v>
      </c>
      <c r="D207" s="278" t="s">
        <v>923</v>
      </c>
      <c r="E207" s="40"/>
      <c r="F207" s="40"/>
      <c r="G207" s="40"/>
      <c r="H207" s="40"/>
      <c r="I207" s="40"/>
      <c r="J207" s="40"/>
      <c r="K207" s="41"/>
    </row>
    <row r="208" spans="2:14" ht="9.75" customHeight="1" x14ac:dyDescent="0.2">
      <c r="B208" s="38"/>
      <c r="C208" s="280" t="str">
        <f>"2:"</f>
        <v>2:</v>
      </c>
      <c r="D208" s="278" t="s">
        <v>924</v>
      </c>
      <c r="E208" s="40"/>
      <c r="F208" s="40"/>
      <c r="G208" s="40"/>
      <c r="H208" s="40"/>
      <c r="I208" s="40"/>
      <c r="J208" s="40"/>
      <c r="K208" s="41"/>
    </row>
    <row r="209" spans="2:14" ht="9.75" customHeight="1" x14ac:dyDescent="0.2">
      <c r="B209" s="38"/>
      <c r="C209" s="280" t="str">
        <f>"3:"</f>
        <v>3:</v>
      </c>
      <c r="D209" s="278" t="s">
        <v>925</v>
      </c>
      <c r="E209" s="40"/>
      <c r="F209" s="40"/>
      <c r="G209" s="40"/>
      <c r="H209" s="40"/>
      <c r="I209" s="40"/>
      <c r="J209" s="40"/>
      <c r="K209" s="41"/>
    </row>
    <row r="210" spans="2:14" ht="9.75" customHeight="1" x14ac:dyDescent="0.2">
      <c r="B210" s="38"/>
      <c r="C210" s="280" t="str">
        <f>"4:"</f>
        <v>4:</v>
      </c>
      <c r="D210" s="278" t="s">
        <v>926</v>
      </c>
      <c r="E210" s="40"/>
      <c r="F210" s="40"/>
      <c r="G210" s="40"/>
      <c r="H210" s="40"/>
      <c r="I210" s="40"/>
      <c r="J210" s="40"/>
      <c r="K210" s="41"/>
    </row>
    <row r="211" spans="2:14" ht="12" customHeight="1" x14ac:dyDescent="0.2">
      <c r="B211" s="38"/>
      <c r="C211" s="174" t="s">
        <v>662</v>
      </c>
      <c r="D211" s="40"/>
      <c r="E211" s="40"/>
      <c r="F211" s="40"/>
      <c r="G211" s="40"/>
      <c r="H211" s="40"/>
      <c r="I211" s="40"/>
      <c r="J211" s="265" t="s">
        <v>661</v>
      </c>
      <c r="K211" s="41"/>
      <c r="N211" s="12" t="s">
        <v>661</v>
      </c>
    </row>
    <row r="212" spans="2:14" x14ac:dyDescent="0.2">
      <c r="B212" s="38"/>
      <c r="C212" s="174" t="s">
        <v>660</v>
      </c>
      <c r="D212" s="40"/>
      <c r="E212" s="40"/>
      <c r="F212" s="40"/>
      <c r="G212" s="40"/>
      <c r="H212" s="40"/>
      <c r="I212" s="40"/>
      <c r="J212" s="246" t="str">
        <f>IF(J211=N211,"N/A",IF(J211=N212,0,IF(J211=N213,1,IF(J211=N214,2,IF(J211=N215,3,IF(J211=N216,4,"N/A"))))))</f>
        <v>N/A</v>
      </c>
      <c r="K212" s="41"/>
      <c r="N212" s="12" t="s">
        <v>894</v>
      </c>
    </row>
    <row r="213" spans="2:14" x14ac:dyDescent="0.2">
      <c r="B213" s="38"/>
      <c r="C213" s="40" t="s">
        <v>257</v>
      </c>
      <c r="D213" s="40"/>
      <c r="E213" s="40"/>
      <c r="F213" s="40"/>
      <c r="G213" s="40"/>
      <c r="H213" s="40"/>
      <c r="I213" s="40"/>
      <c r="J213" s="266" t="s">
        <v>874</v>
      </c>
      <c r="K213" s="41"/>
      <c r="N213" s="12" t="s">
        <v>899</v>
      </c>
    </row>
    <row r="214" spans="2:14" x14ac:dyDescent="0.2">
      <c r="B214" s="38"/>
      <c r="C214" s="40" t="s">
        <v>261</v>
      </c>
      <c r="D214" s="40"/>
      <c r="E214" s="40"/>
      <c r="F214" s="40"/>
      <c r="G214" s="40"/>
      <c r="H214" s="40"/>
      <c r="I214" s="40"/>
      <c r="J214" s="245">
        <f>IF(J213=$B$973,$A$974,IF(J213=$B$974,$A$975,IF(J213=$B$975,$A$976,IF(J213=$B$976,$A$977,IF(J213=$B$977,$A$978,"Not Calculated")))))</f>
        <v>4</v>
      </c>
      <c r="K214" s="41"/>
      <c r="N214" s="12" t="s">
        <v>900</v>
      </c>
    </row>
    <row r="215" spans="2:14" x14ac:dyDescent="0.2">
      <c r="B215" s="38"/>
      <c r="C215" s="40" t="s">
        <v>893</v>
      </c>
      <c r="D215" s="40"/>
      <c r="E215" s="40"/>
      <c r="F215" s="40"/>
      <c r="G215" s="40"/>
      <c r="H215" s="40"/>
      <c r="I215" s="40"/>
      <c r="J215" s="40"/>
      <c r="K215" s="41"/>
      <c r="N215" s="12" t="s">
        <v>901</v>
      </c>
    </row>
    <row r="216" spans="2:14" ht="90" customHeight="1" x14ac:dyDescent="0.2">
      <c r="B216" s="38"/>
      <c r="C216" s="399" t="s">
        <v>1138</v>
      </c>
      <c r="D216" s="400"/>
      <c r="E216" s="400"/>
      <c r="F216" s="400"/>
      <c r="G216" s="400"/>
      <c r="H216" s="400"/>
      <c r="I216" s="400"/>
      <c r="J216" s="401"/>
      <c r="K216" s="41"/>
      <c r="N216" s="12" t="s">
        <v>902</v>
      </c>
    </row>
    <row r="217" spans="2:14" ht="30" customHeight="1" x14ac:dyDescent="0.2">
      <c r="B217" s="38"/>
      <c r="C217" s="40"/>
      <c r="D217" s="40"/>
      <c r="E217" s="40"/>
      <c r="F217" s="40"/>
      <c r="G217" s="40"/>
      <c r="H217" s="40"/>
      <c r="I217" s="40"/>
      <c r="J217" s="40"/>
      <c r="K217" s="41"/>
    </row>
    <row r="218" spans="2:14" x14ac:dyDescent="0.2">
      <c r="B218" s="38"/>
      <c r="C218" s="179" t="s">
        <v>276</v>
      </c>
      <c r="D218" s="40"/>
      <c r="E218" s="40"/>
      <c r="F218" s="40"/>
      <c r="G218" s="40"/>
      <c r="H218" s="40"/>
      <c r="I218" s="40"/>
      <c r="J218" s="245" t="str">
        <f>IF(J212="N/A",IF(OR(J205="Not Calculated",J214="Not Calculated")=TRUE,"Not Calculated",AVERAGE(J205,J214)),AVERAGE(J212,J214))</f>
        <v>Not Calculated</v>
      </c>
      <c r="K218" s="41"/>
    </row>
    <row r="219" spans="2:14" x14ac:dyDescent="0.2">
      <c r="B219" s="38"/>
      <c r="C219" s="40"/>
      <c r="D219" s="40"/>
      <c r="E219" s="40"/>
      <c r="F219" s="40"/>
      <c r="G219" s="40"/>
      <c r="H219" s="40"/>
      <c r="I219" s="40"/>
      <c r="J219" s="40"/>
      <c r="K219" s="41"/>
    </row>
    <row r="220" spans="2:14" x14ac:dyDescent="0.2">
      <c r="B220" s="38"/>
      <c r="C220" s="40"/>
      <c r="D220" s="40"/>
      <c r="E220" s="40"/>
      <c r="F220" s="40"/>
      <c r="G220" s="40"/>
      <c r="H220" s="40"/>
      <c r="I220" s="40"/>
      <c r="J220" s="40"/>
      <c r="K220" s="41"/>
    </row>
    <row r="221" spans="2:14" ht="16" x14ac:dyDescent="0.2">
      <c r="B221" s="38"/>
      <c r="C221" s="45" t="s">
        <v>76</v>
      </c>
      <c r="D221" s="40"/>
      <c r="E221" s="40"/>
      <c r="F221" s="40"/>
      <c r="G221" s="40"/>
      <c r="H221" s="40"/>
      <c r="I221" s="40"/>
      <c r="J221" s="40"/>
      <c r="K221" s="41"/>
    </row>
    <row r="222" spans="2:14" x14ac:dyDescent="0.2">
      <c r="B222" s="38"/>
      <c r="C222" s="40" t="s">
        <v>356</v>
      </c>
      <c r="D222" s="40"/>
      <c r="E222" s="40"/>
      <c r="F222" s="40"/>
      <c r="G222" s="40"/>
      <c r="H222" s="40"/>
      <c r="I222" s="40"/>
      <c r="J222" s="252">
        <f>'Baseline Health'!G71</f>
        <v>0</v>
      </c>
      <c r="K222" s="41"/>
    </row>
    <row r="223" spans="2:14" x14ac:dyDescent="0.2">
      <c r="B223" s="38"/>
      <c r="C223" s="40" t="s">
        <v>357</v>
      </c>
      <c r="D223" s="40"/>
      <c r="E223" s="40"/>
      <c r="F223" s="40"/>
      <c r="G223" s="40"/>
      <c r="H223" s="40"/>
      <c r="I223" s="40"/>
      <c r="J223" s="264">
        <v>0</v>
      </c>
      <c r="K223" s="41"/>
    </row>
    <row r="224" spans="2:14" x14ac:dyDescent="0.2">
      <c r="B224" s="38"/>
      <c r="C224" s="40" t="s">
        <v>445</v>
      </c>
      <c r="D224" s="40"/>
      <c r="E224" s="40"/>
      <c r="F224" s="40"/>
      <c r="G224" s="40"/>
      <c r="H224" s="40"/>
      <c r="I224" s="40"/>
      <c r="J224" s="251">
        <f>J102</f>
        <v>0</v>
      </c>
      <c r="K224" s="41"/>
    </row>
    <row r="225" spans="2:14" x14ac:dyDescent="0.2">
      <c r="B225" s="38"/>
      <c r="C225" s="40"/>
      <c r="D225" s="40" t="s">
        <v>446</v>
      </c>
      <c r="E225" s="40"/>
      <c r="F225" s="40"/>
      <c r="G225" s="40"/>
      <c r="H225" s="40"/>
      <c r="I225" s="40"/>
      <c r="J225" s="40"/>
      <c r="K225" s="41"/>
    </row>
    <row r="226" spans="2:14" x14ac:dyDescent="0.2">
      <c r="B226" s="38"/>
      <c r="C226" s="40" t="s">
        <v>260</v>
      </c>
      <c r="D226" s="40"/>
      <c r="E226" s="40"/>
      <c r="F226" s="40"/>
      <c r="G226" s="40"/>
      <c r="H226" s="40"/>
      <c r="I226" s="40"/>
      <c r="J226" s="245" t="str">
        <f>IF(OR(J222=0,J222="Not Calculated")=TRUE,"Not Calculated",IF(J222-J223=0,4,IF(((J222+J224)/(J222-J223))&lt;=1,0,IF(((J222+J224)/(J222-J223))&lt;=1.05,1,IF(((J222+J224)/(J222-J223))&lt;=1.5, 2,IF(((J222+J224)/(J222-J223))&lt;=2,3,4))))))</f>
        <v>Not Calculated</v>
      </c>
      <c r="K226" s="41"/>
    </row>
    <row r="227" spans="2:14" x14ac:dyDescent="0.2">
      <c r="B227" s="38"/>
      <c r="C227" s="279" t="str">
        <f>"0:"</f>
        <v>0:</v>
      </c>
      <c r="D227" s="278" t="s">
        <v>918</v>
      </c>
      <c r="E227" s="40"/>
      <c r="F227" s="40"/>
      <c r="G227" s="40"/>
      <c r="H227" s="40"/>
      <c r="I227" s="40"/>
      <c r="J227" s="40"/>
      <c r="K227" s="41"/>
    </row>
    <row r="228" spans="2:14" ht="9.75" customHeight="1" x14ac:dyDescent="0.2">
      <c r="B228" s="38"/>
      <c r="C228" s="280" t="str">
        <f>"1:"</f>
        <v>1:</v>
      </c>
      <c r="D228" s="278" t="s">
        <v>923</v>
      </c>
      <c r="E228" s="40"/>
      <c r="F228" s="40"/>
      <c r="G228" s="40"/>
      <c r="H228" s="40"/>
      <c r="I228" s="40"/>
      <c r="J228" s="40"/>
      <c r="K228" s="41"/>
    </row>
    <row r="229" spans="2:14" ht="9.75" customHeight="1" x14ac:dyDescent="0.2">
      <c r="B229" s="38"/>
      <c r="C229" s="280" t="str">
        <f>"2:"</f>
        <v>2:</v>
      </c>
      <c r="D229" s="278" t="s">
        <v>924</v>
      </c>
      <c r="E229" s="40"/>
      <c r="F229" s="40"/>
      <c r="G229" s="40"/>
      <c r="H229" s="40"/>
      <c r="I229" s="40"/>
      <c r="J229" s="40"/>
      <c r="K229" s="41"/>
    </row>
    <row r="230" spans="2:14" ht="9.75" customHeight="1" x14ac:dyDescent="0.2">
      <c r="B230" s="38"/>
      <c r="C230" s="280" t="str">
        <f>"3:"</f>
        <v>3:</v>
      </c>
      <c r="D230" s="278" t="s">
        <v>925</v>
      </c>
      <c r="E230" s="40"/>
      <c r="F230" s="40"/>
      <c r="G230" s="40"/>
      <c r="H230" s="40"/>
      <c r="I230" s="40"/>
      <c r="J230" s="40"/>
      <c r="K230" s="41"/>
    </row>
    <row r="231" spans="2:14" ht="9.75" customHeight="1" x14ac:dyDescent="0.2">
      <c r="B231" s="38"/>
      <c r="C231" s="280" t="str">
        <f>"4:"</f>
        <v>4:</v>
      </c>
      <c r="D231" s="278" t="s">
        <v>926</v>
      </c>
      <c r="E231" s="40"/>
      <c r="F231" s="40"/>
      <c r="G231" s="40"/>
      <c r="H231" s="40"/>
      <c r="I231" s="40"/>
      <c r="J231" s="40"/>
      <c r="K231" s="41"/>
    </row>
    <row r="232" spans="2:14" ht="12" customHeight="1" x14ac:dyDescent="0.2">
      <c r="B232" s="38"/>
      <c r="C232" s="174" t="s">
        <v>662</v>
      </c>
      <c r="D232" s="40"/>
      <c r="E232" s="40"/>
      <c r="F232" s="40"/>
      <c r="G232" s="40"/>
      <c r="H232" s="40"/>
      <c r="I232" s="40"/>
      <c r="J232" s="265" t="s">
        <v>661</v>
      </c>
      <c r="K232" s="41"/>
      <c r="N232" s="12" t="s">
        <v>661</v>
      </c>
    </row>
    <row r="233" spans="2:14" x14ac:dyDescent="0.2">
      <c r="B233" s="38"/>
      <c r="C233" s="174" t="s">
        <v>660</v>
      </c>
      <c r="D233" s="40"/>
      <c r="E233" s="40"/>
      <c r="F233" s="40"/>
      <c r="G233" s="40"/>
      <c r="H233" s="40"/>
      <c r="I233" s="40"/>
      <c r="J233" s="246" t="str">
        <f>IF(J232=N232,"N/A",IF(J232=N233,0,IF(J232=N234,1,IF(J232=N235,2,IF(J232=N236,3,IF(J232=N237,4,"N/A"))))))</f>
        <v>N/A</v>
      </c>
      <c r="K233" s="41"/>
      <c r="N233" s="12" t="s">
        <v>894</v>
      </c>
    </row>
    <row r="234" spans="2:14" x14ac:dyDescent="0.2">
      <c r="B234" s="38"/>
      <c r="C234" s="40" t="s">
        <v>257</v>
      </c>
      <c r="D234" s="40"/>
      <c r="E234" s="40"/>
      <c r="F234" s="40"/>
      <c r="G234" s="40"/>
      <c r="H234" s="40"/>
      <c r="I234" s="40"/>
      <c r="J234" s="266" t="s">
        <v>870</v>
      </c>
      <c r="K234" s="41"/>
      <c r="N234" s="12" t="s">
        <v>899</v>
      </c>
    </row>
    <row r="235" spans="2:14" x14ac:dyDescent="0.2">
      <c r="B235" s="38"/>
      <c r="C235" s="40" t="s">
        <v>261</v>
      </c>
      <c r="D235" s="40"/>
      <c r="E235" s="40"/>
      <c r="F235" s="40"/>
      <c r="G235" s="40"/>
      <c r="H235" s="40"/>
      <c r="I235" s="40"/>
      <c r="J235" s="245">
        <f>IF(J234=$B$973,$A$974,IF(J234=$B$974,$A$975,IF(J234=$B$975,$A$976,IF(J234=$B$976,$A$977,IF(J234=$B$977,$A$978,"Not Calculated")))))</f>
        <v>0</v>
      </c>
      <c r="K235" s="41"/>
      <c r="N235" s="12" t="s">
        <v>900</v>
      </c>
    </row>
    <row r="236" spans="2:14" x14ac:dyDescent="0.2">
      <c r="B236" s="38"/>
      <c r="C236" s="40" t="s">
        <v>893</v>
      </c>
      <c r="D236" s="40"/>
      <c r="E236" s="40"/>
      <c r="F236" s="40"/>
      <c r="G236" s="40"/>
      <c r="H236" s="40"/>
      <c r="I236" s="40"/>
      <c r="J236" s="40"/>
      <c r="K236" s="41"/>
      <c r="N236" s="12" t="s">
        <v>901</v>
      </c>
    </row>
    <row r="237" spans="2:14" x14ac:dyDescent="0.2">
      <c r="B237" s="38"/>
      <c r="C237" s="399" t="s">
        <v>1139</v>
      </c>
      <c r="D237" s="400"/>
      <c r="E237" s="400"/>
      <c r="F237" s="400"/>
      <c r="G237" s="400"/>
      <c r="H237" s="400"/>
      <c r="I237" s="400"/>
      <c r="J237" s="401"/>
      <c r="K237" s="41"/>
      <c r="N237" s="12" t="s">
        <v>902</v>
      </c>
    </row>
    <row r="238" spans="2:14" ht="15" customHeight="1" x14ac:dyDescent="0.2">
      <c r="B238" s="38"/>
      <c r="C238" s="40"/>
      <c r="D238" s="40"/>
      <c r="E238" s="40"/>
      <c r="F238" s="40"/>
      <c r="G238" s="40"/>
      <c r="H238" s="40"/>
      <c r="I238" s="40"/>
      <c r="J238" s="40"/>
      <c r="K238" s="41"/>
    </row>
    <row r="239" spans="2:14" x14ac:dyDescent="0.2">
      <c r="B239" s="38"/>
      <c r="C239" s="179" t="s">
        <v>277</v>
      </c>
      <c r="D239" s="40"/>
      <c r="E239" s="40"/>
      <c r="F239" s="40"/>
      <c r="G239" s="40"/>
      <c r="H239" s="40"/>
      <c r="I239" s="40"/>
      <c r="J239" s="245" t="str">
        <f>IF(J233="N/A",IF(OR(J226="Not Calculated",J235="Not Calculated")=TRUE,"Not Calculated",AVERAGE(J226,J235)),AVERAGE(J233,J235))</f>
        <v>Not Calculated</v>
      </c>
      <c r="K239" s="41"/>
    </row>
    <row r="240" spans="2:14" x14ac:dyDescent="0.2">
      <c r="B240" s="38"/>
      <c r="C240" s="40"/>
      <c r="D240" s="40"/>
      <c r="E240" s="40"/>
      <c r="F240" s="40"/>
      <c r="G240" s="40"/>
      <c r="H240" s="40"/>
      <c r="I240" s="40"/>
      <c r="J240" s="40"/>
      <c r="K240" s="41"/>
    </row>
    <row r="241" spans="2:14" x14ac:dyDescent="0.2">
      <c r="B241" s="38"/>
      <c r="C241" s="40"/>
      <c r="D241" s="40"/>
      <c r="E241" s="40"/>
      <c r="F241" s="40"/>
      <c r="G241" s="40"/>
      <c r="H241" s="40"/>
      <c r="I241" s="40"/>
      <c r="J241" s="40"/>
      <c r="K241" s="41"/>
    </row>
    <row r="242" spans="2:14" ht="16" x14ac:dyDescent="0.2">
      <c r="B242" s="38"/>
      <c r="C242" s="45" t="s">
        <v>278</v>
      </c>
      <c r="D242" s="40"/>
      <c r="E242" s="40"/>
      <c r="F242" s="40"/>
      <c r="G242" s="40"/>
      <c r="H242" s="40"/>
      <c r="I242" s="40"/>
      <c r="J242" s="40"/>
      <c r="K242" s="41"/>
    </row>
    <row r="243" spans="2:14" x14ac:dyDescent="0.2">
      <c r="B243" s="38"/>
      <c r="C243" s="40" t="s">
        <v>447</v>
      </c>
      <c r="D243" s="40"/>
      <c r="E243" s="40"/>
      <c r="F243" s="40"/>
      <c r="G243" s="40"/>
      <c r="H243" s="40"/>
      <c r="I243" s="40"/>
      <c r="J243" s="254">
        <f>'Baseline Health'!G77</f>
        <v>0</v>
      </c>
      <c r="K243" s="41"/>
    </row>
    <row r="244" spans="2:14" x14ac:dyDescent="0.2">
      <c r="B244" s="38"/>
      <c r="C244" s="40" t="s">
        <v>358</v>
      </c>
      <c r="D244" s="40"/>
      <c r="E244" s="40"/>
      <c r="F244" s="40"/>
      <c r="G244" s="40"/>
      <c r="H244" s="40"/>
      <c r="I244" s="40"/>
      <c r="J244" s="264">
        <f>J243*0.02</f>
        <v>0</v>
      </c>
      <c r="K244" s="41"/>
    </row>
    <row r="245" spans="2:14" x14ac:dyDescent="0.2">
      <c r="B245" s="38"/>
      <c r="C245" s="40" t="s">
        <v>360</v>
      </c>
      <c r="D245" s="291"/>
      <c r="E245" s="291"/>
      <c r="F245" s="291"/>
      <c r="G245" s="291"/>
      <c r="H245" s="291"/>
      <c r="I245" s="291"/>
      <c r="J245" s="264">
        <f>25727*40/250</f>
        <v>4116.32</v>
      </c>
      <c r="K245" s="41"/>
      <c r="L245" s="12" t="s">
        <v>1158</v>
      </c>
    </row>
    <row r="246" spans="2:14" x14ac:dyDescent="0.2">
      <c r="B246" s="38"/>
      <c r="C246" s="40" t="s">
        <v>260</v>
      </c>
      <c r="D246" s="40"/>
      <c r="E246" s="40"/>
      <c r="F246" s="40"/>
      <c r="G246" s="40"/>
      <c r="H246" s="40"/>
      <c r="I246" s="40"/>
      <c r="J246" s="245" t="str">
        <f>IF(OR(J243=0,J243="Not Calculated")=TRUE,"Not Calculated",IF(J243-J244=0,4,(IF(((J243+J245)/(J243-J244))&lt;=1,0,IF(((J243+J245)/(J243-J244))&lt;=1.05,1,IF(((J243+J245)/(J243-J244))&lt;=1.5,2,IF(((J243+J245)/(J243-J244))&lt;=2,3,4)))))))</f>
        <v>Not Calculated</v>
      </c>
      <c r="K246" s="41"/>
      <c r="L246" s="12" t="s">
        <v>1159</v>
      </c>
    </row>
    <row r="247" spans="2:14" x14ac:dyDescent="0.2">
      <c r="B247" s="38"/>
      <c r="C247" s="279" t="str">
        <f>"0:"</f>
        <v>0:</v>
      </c>
      <c r="D247" s="278" t="s">
        <v>918</v>
      </c>
      <c r="E247" s="40"/>
      <c r="F247" s="40"/>
      <c r="G247" s="40"/>
      <c r="H247" s="40"/>
      <c r="I247" s="40"/>
      <c r="J247" s="40"/>
      <c r="K247" s="41"/>
    </row>
    <row r="248" spans="2:14" ht="9.75" customHeight="1" x14ac:dyDescent="0.2">
      <c r="B248" s="38"/>
      <c r="C248" s="280" t="str">
        <f>"1:"</f>
        <v>1:</v>
      </c>
      <c r="D248" s="278" t="s">
        <v>923</v>
      </c>
      <c r="E248" s="40"/>
      <c r="F248" s="40"/>
      <c r="G248" s="40"/>
      <c r="H248" s="40"/>
      <c r="I248" s="40"/>
      <c r="J248" s="40"/>
      <c r="K248" s="41"/>
    </row>
    <row r="249" spans="2:14" ht="9.75" customHeight="1" x14ac:dyDescent="0.2">
      <c r="B249" s="38"/>
      <c r="C249" s="280" t="str">
        <f>"2:"</f>
        <v>2:</v>
      </c>
      <c r="D249" s="278" t="s">
        <v>924</v>
      </c>
      <c r="E249" s="40"/>
      <c r="F249" s="40"/>
      <c r="G249" s="40"/>
      <c r="H249" s="40"/>
      <c r="I249" s="40"/>
      <c r="J249" s="40"/>
      <c r="K249" s="41"/>
    </row>
    <row r="250" spans="2:14" ht="9.75" customHeight="1" x14ac:dyDescent="0.2">
      <c r="B250" s="38"/>
      <c r="C250" s="280" t="str">
        <f>"3:"</f>
        <v>3:</v>
      </c>
      <c r="D250" s="278" t="s">
        <v>925</v>
      </c>
      <c r="E250" s="40"/>
      <c r="F250" s="40"/>
      <c r="G250" s="40"/>
      <c r="H250" s="40"/>
      <c r="I250" s="40"/>
      <c r="J250" s="40"/>
      <c r="K250" s="41"/>
    </row>
    <row r="251" spans="2:14" ht="9.75" customHeight="1" x14ac:dyDescent="0.2">
      <c r="B251" s="38"/>
      <c r="C251" s="280" t="str">
        <f>"4:"</f>
        <v>4:</v>
      </c>
      <c r="D251" s="278" t="s">
        <v>926</v>
      </c>
      <c r="E251" s="40"/>
      <c r="F251" s="40"/>
      <c r="G251" s="40"/>
      <c r="H251" s="40"/>
      <c r="I251" s="40"/>
      <c r="J251" s="40"/>
      <c r="K251" s="41"/>
    </row>
    <row r="252" spans="2:14" ht="12" customHeight="1" x14ac:dyDescent="0.2">
      <c r="B252" s="38"/>
      <c r="C252" s="174" t="s">
        <v>662</v>
      </c>
      <c r="D252" s="40"/>
      <c r="E252" s="40"/>
      <c r="F252" s="40"/>
      <c r="G252" s="40"/>
      <c r="H252" s="40"/>
      <c r="I252" s="40"/>
      <c r="J252" s="265" t="s">
        <v>661</v>
      </c>
      <c r="K252" s="41"/>
      <c r="N252" s="12" t="s">
        <v>661</v>
      </c>
    </row>
    <row r="253" spans="2:14" x14ac:dyDescent="0.2">
      <c r="B253" s="38"/>
      <c r="C253" s="174" t="s">
        <v>660</v>
      </c>
      <c r="D253" s="40"/>
      <c r="E253" s="40"/>
      <c r="F253" s="40"/>
      <c r="G253" s="40"/>
      <c r="H253" s="40"/>
      <c r="I253" s="40"/>
      <c r="J253" s="246" t="str">
        <f>IF(J252=N252,"N/A",IF(J252=N253,0,IF(J252=N254,1,IF(J252=N255,2,IF(J252=N256,3,IF(J252=N257,4,"N/A"))))))</f>
        <v>N/A</v>
      </c>
      <c r="K253" s="41"/>
      <c r="N253" s="12" t="s">
        <v>894</v>
      </c>
    </row>
    <row r="254" spans="2:14" x14ac:dyDescent="0.2">
      <c r="B254" s="38"/>
      <c r="C254" s="40" t="s">
        <v>257</v>
      </c>
      <c r="D254" s="40"/>
      <c r="E254" s="40"/>
      <c r="F254" s="40"/>
      <c r="G254" s="40"/>
      <c r="H254" s="40"/>
      <c r="I254" s="40"/>
      <c r="J254" s="266" t="s">
        <v>874</v>
      </c>
      <c r="K254" s="41"/>
      <c r="N254" s="12" t="s">
        <v>899</v>
      </c>
    </row>
    <row r="255" spans="2:14" x14ac:dyDescent="0.2">
      <c r="B255" s="38"/>
      <c r="C255" s="40" t="s">
        <v>261</v>
      </c>
      <c r="D255" s="40"/>
      <c r="E255" s="40"/>
      <c r="F255" s="40"/>
      <c r="G255" s="40"/>
      <c r="H255" s="40"/>
      <c r="I255" s="40"/>
      <c r="J255" s="245">
        <f>IF(J254=$B$973,$A$974,IF(J254=$B$974,$A$975,IF(J254=$B$975,$A$976,IF(J254=$B$976,$A$977,IF(J254=$B$977,$A$978,"Not Calculated")))))</f>
        <v>4</v>
      </c>
      <c r="K255" s="41"/>
      <c r="N255" s="12" t="s">
        <v>900</v>
      </c>
    </row>
    <row r="256" spans="2:14" x14ac:dyDescent="0.2">
      <c r="B256" s="38"/>
      <c r="C256" s="40" t="s">
        <v>893</v>
      </c>
      <c r="D256" s="40"/>
      <c r="E256" s="40"/>
      <c r="F256" s="40"/>
      <c r="G256" s="40"/>
      <c r="H256" s="40"/>
      <c r="I256" s="40"/>
      <c r="J256" s="40"/>
      <c r="K256" s="41"/>
      <c r="N256" s="12" t="s">
        <v>901</v>
      </c>
    </row>
    <row r="257" spans="2:14" ht="80" customHeight="1" x14ac:dyDescent="0.2">
      <c r="B257" s="38"/>
      <c r="C257" s="399" t="s">
        <v>1160</v>
      </c>
      <c r="D257" s="400"/>
      <c r="E257" s="400"/>
      <c r="F257" s="400"/>
      <c r="G257" s="400"/>
      <c r="H257" s="400"/>
      <c r="I257" s="400"/>
      <c r="J257" s="401"/>
      <c r="K257" s="41"/>
      <c r="N257" s="12" t="s">
        <v>902</v>
      </c>
    </row>
    <row r="258" spans="2:14" ht="30" customHeight="1" x14ac:dyDescent="0.2">
      <c r="B258" s="38"/>
      <c r="C258" s="40"/>
      <c r="D258" s="40"/>
      <c r="E258" s="40"/>
      <c r="F258" s="40"/>
      <c r="G258" s="40"/>
      <c r="H258" s="40"/>
      <c r="I258" s="40"/>
      <c r="J258" s="40"/>
      <c r="K258" s="41"/>
    </row>
    <row r="259" spans="2:14" x14ac:dyDescent="0.2">
      <c r="B259" s="38"/>
      <c r="C259" s="179" t="s">
        <v>279</v>
      </c>
      <c r="D259" s="40"/>
      <c r="E259" s="40"/>
      <c r="F259" s="40"/>
      <c r="G259" s="40"/>
      <c r="H259" s="40"/>
      <c r="I259" s="40"/>
      <c r="J259" s="245" t="str">
        <f>IF(J253="N/A",IF(OR(J246="Not Calculated",J255="Not Calculated")=TRUE,"Not Calculated",AVERAGE(J246,J255)),AVERAGE(J253,J255))</f>
        <v>Not Calculated</v>
      </c>
      <c r="K259" s="41"/>
    </row>
    <row r="260" spans="2:14" x14ac:dyDescent="0.2">
      <c r="B260" s="38"/>
      <c r="C260" s="40"/>
      <c r="D260" s="40"/>
      <c r="E260" s="40"/>
      <c r="F260" s="40"/>
      <c r="G260" s="40"/>
      <c r="H260" s="40"/>
      <c r="I260" s="40"/>
      <c r="J260" s="40"/>
      <c r="K260" s="41"/>
    </row>
    <row r="261" spans="2:14" ht="18" x14ac:dyDescent="0.2">
      <c r="B261" s="38"/>
      <c r="C261" s="180" t="s">
        <v>272</v>
      </c>
      <c r="D261" s="40"/>
      <c r="E261" s="40"/>
      <c r="F261" s="40"/>
      <c r="G261" s="40"/>
      <c r="H261" s="40"/>
      <c r="I261" s="40"/>
      <c r="J261" s="244" t="str">
        <f>IF(OR(J157="Not Calculated",J178="Not Calculated",J198="Not Calculated",J218="Not Calculated",J239="Not Calculated",J259="Not Calculated",)=TRUE,"Not Calculated",AVERAGE(J157,J178,J198,J218,J239,J259))</f>
        <v>Not Calculated</v>
      </c>
      <c r="K261" s="41"/>
    </row>
    <row r="262" spans="2:14" ht="16" thickBot="1" x14ac:dyDescent="0.25">
      <c r="B262" s="46"/>
      <c r="C262" s="47"/>
      <c r="D262" s="47"/>
      <c r="E262" s="47"/>
      <c r="F262" s="47"/>
      <c r="G262" s="47"/>
      <c r="H262" s="47"/>
      <c r="I262" s="47"/>
      <c r="J262" s="47"/>
      <c r="K262" s="49"/>
    </row>
    <row r="263" spans="2:14" ht="16" thickBot="1" x14ac:dyDescent="0.25"/>
    <row r="264" spans="2:14" x14ac:dyDescent="0.2">
      <c r="B264" s="33"/>
      <c r="C264" s="34"/>
      <c r="D264" s="34"/>
      <c r="E264" s="34"/>
      <c r="F264" s="34"/>
      <c r="G264" s="34"/>
      <c r="H264" s="34"/>
      <c r="I264" s="34"/>
      <c r="J264" s="34"/>
      <c r="K264" s="37"/>
    </row>
    <row r="265" spans="2:14" ht="21" x14ac:dyDescent="0.25">
      <c r="B265" s="38"/>
      <c r="C265" s="40"/>
      <c r="D265" s="40"/>
      <c r="E265" s="40"/>
      <c r="F265" s="40"/>
      <c r="G265" s="172" t="s">
        <v>864</v>
      </c>
      <c r="H265" s="40"/>
      <c r="I265" s="40"/>
      <c r="J265" s="40"/>
      <c r="K265" s="41"/>
    </row>
    <row r="266" spans="2:14" x14ac:dyDescent="0.2">
      <c r="B266" s="38"/>
      <c r="C266" s="40"/>
      <c r="D266" s="40"/>
      <c r="E266" s="40"/>
      <c r="F266" s="40"/>
      <c r="G266" s="40"/>
      <c r="H266" s="40"/>
      <c r="I266" s="40"/>
      <c r="J266" s="40"/>
      <c r="K266" s="41"/>
    </row>
    <row r="267" spans="2:14" ht="16" x14ac:dyDescent="0.2">
      <c r="B267" s="38"/>
      <c r="C267" s="45" t="s">
        <v>80</v>
      </c>
      <c r="D267" s="40"/>
      <c r="E267" s="40"/>
      <c r="F267" s="40"/>
      <c r="G267" s="40"/>
      <c r="H267" s="40"/>
      <c r="I267" s="40"/>
      <c r="J267" s="40"/>
      <c r="K267" s="41"/>
    </row>
    <row r="268" spans="2:14" x14ac:dyDescent="0.2">
      <c r="B268" s="38"/>
      <c r="C268" s="40" t="s">
        <v>283</v>
      </c>
      <c r="D268" s="40"/>
      <c r="E268" s="40"/>
      <c r="F268" s="40"/>
      <c r="G268" s="40"/>
      <c r="H268" s="40"/>
      <c r="I268" s="40"/>
      <c r="J268" s="250">
        <f>'Baseline Health'!G88</f>
        <v>0</v>
      </c>
      <c r="K268" s="41"/>
    </row>
    <row r="269" spans="2:14" x14ac:dyDescent="0.2">
      <c r="B269" s="38"/>
      <c r="C269" s="40" t="s">
        <v>284</v>
      </c>
      <c r="D269" s="40"/>
      <c r="E269" s="40"/>
      <c r="F269" s="40"/>
      <c r="G269" s="40"/>
      <c r="H269" s="40"/>
      <c r="I269" s="40"/>
      <c r="J269" s="264">
        <f>J268*0.02</f>
        <v>0</v>
      </c>
      <c r="K269" s="41"/>
    </row>
    <row r="270" spans="2:14" x14ac:dyDescent="0.2">
      <c r="B270" s="38"/>
      <c r="C270" s="40" t="s">
        <v>285</v>
      </c>
      <c r="D270" s="40"/>
      <c r="E270" s="40"/>
      <c r="F270" s="40"/>
      <c r="G270" s="40"/>
      <c r="H270" s="40"/>
      <c r="I270" s="40"/>
      <c r="J270" s="259">
        <f>'Baseline Health'!G93</f>
        <v>0</v>
      </c>
      <c r="K270" s="41"/>
      <c r="L270" s="12" t="s">
        <v>1161</v>
      </c>
    </row>
    <row r="271" spans="2:14" x14ac:dyDescent="0.2">
      <c r="B271" s="38"/>
      <c r="C271" s="40" t="s">
        <v>286</v>
      </c>
      <c r="D271" s="40"/>
      <c r="E271" s="40"/>
      <c r="F271" s="40"/>
      <c r="G271" s="40"/>
      <c r="H271" s="40"/>
      <c r="I271" s="40"/>
      <c r="J271" s="250">
        <f>J184</f>
        <v>15409</v>
      </c>
      <c r="K271" s="41"/>
    </row>
    <row r="272" spans="2:14" x14ac:dyDescent="0.2">
      <c r="B272" s="38"/>
      <c r="C272" s="40"/>
      <c r="D272" s="40" t="s">
        <v>432</v>
      </c>
      <c r="E272" s="40"/>
      <c r="F272" s="40"/>
      <c r="G272" s="40"/>
      <c r="H272" s="40"/>
      <c r="I272" s="40"/>
      <c r="J272" s="40"/>
      <c r="K272" s="41"/>
    </row>
    <row r="273" spans="2:14" x14ac:dyDescent="0.2">
      <c r="B273" s="38"/>
      <c r="C273" s="40" t="s">
        <v>292</v>
      </c>
      <c r="D273" s="40"/>
      <c r="E273" s="40"/>
      <c r="F273" s="40"/>
      <c r="G273" s="40"/>
      <c r="H273" s="40"/>
      <c r="I273" s="40"/>
      <c r="J273" s="258" t="str">
        <f>'Baseline Health'!G97</f>
        <v>N/A</v>
      </c>
      <c r="K273" s="41"/>
    </row>
    <row r="274" spans="2:14" x14ac:dyDescent="0.2">
      <c r="B274" s="38"/>
      <c r="C274" s="40" t="s">
        <v>293</v>
      </c>
      <c r="D274" s="40"/>
      <c r="E274" s="40"/>
      <c r="F274" s="40"/>
      <c r="G274" s="40"/>
      <c r="H274" s="40"/>
      <c r="I274" s="40"/>
      <c r="J274" s="258" t="str">
        <f>IF(J273="N/A","N/A",IF(J268-J269=0,"No Nurses",((J270+J271)/(J268-J269))))</f>
        <v>N/A</v>
      </c>
      <c r="K274" s="41"/>
    </row>
    <row r="275" spans="2:14" x14ac:dyDescent="0.2">
      <c r="B275" s="38"/>
      <c r="C275" s="40" t="s">
        <v>260</v>
      </c>
      <c r="D275" s="40"/>
      <c r="E275" s="40"/>
      <c r="F275" s="40"/>
      <c r="G275" s="40"/>
      <c r="H275" s="40"/>
      <c r="I275" s="40"/>
      <c r="J275" s="245">
        <f>IF(J273=0,"Not Calculated",IF(J274="N/A",0,IF(J274="No Nurses",4,IF((J274/J273)&lt;=1,0,IF((J274/J273)&lt;=1.1,1,IF((J274/J273)&lt;=1=1.25,2,IF((J274/J273)&lt;=1.5,3,4)))))))</f>
        <v>0</v>
      </c>
      <c r="K275" s="41"/>
    </row>
    <row r="276" spans="2:14" x14ac:dyDescent="0.2">
      <c r="B276" s="38"/>
      <c r="C276" s="279" t="str">
        <f>"0:"</f>
        <v>0:</v>
      </c>
      <c r="D276" s="278" t="s">
        <v>927</v>
      </c>
      <c r="E276" s="40"/>
      <c r="F276" s="40"/>
      <c r="G276" s="40"/>
      <c r="H276" s="40"/>
      <c r="I276" s="40"/>
      <c r="J276" s="258"/>
      <c r="K276" s="41"/>
    </row>
    <row r="277" spans="2:14" ht="9.75" customHeight="1" x14ac:dyDescent="0.2">
      <c r="B277" s="38"/>
      <c r="C277" s="280" t="str">
        <f>"1:"</f>
        <v>1:</v>
      </c>
      <c r="D277" s="278" t="s">
        <v>928</v>
      </c>
      <c r="E277" s="40"/>
      <c r="F277" s="40"/>
      <c r="G277" s="40"/>
      <c r="H277" s="40"/>
      <c r="I277" s="40"/>
      <c r="J277" s="258"/>
      <c r="K277" s="41"/>
    </row>
    <row r="278" spans="2:14" ht="9.75" customHeight="1" x14ac:dyDescent="0.2">
      <c r="B278" s="38"/>
      <c r="C278" s="280" t="str">
        <f>"2:"</f>
        <v>2:</v>
      </c>
      <c r="D278" s="278" t="s">
        <v>929</v>
      </c>
      <c r="E278" s="40"/>
      <c r="F278" s="40"/>
      <c r="G278" s="40"/>
      <c r="H278" s="40"/>
      <c r="I278" s="40"/>
      <c r="J278" s="258"/>
      <c r="K278" s="41"/>
    </row>
    <row r="279" spans="2:14" ht="9.75" customHeight="1" x14ac:dyDescent="0.2">
      <c r="B279" s="38"/>
      <c r="C279" s="280" t="str">
        <f>"3:"</f>
        <v>3:</v>
      </c>
      <c r="D279" s="278" t="s">
        <v>930</v>
      </c>
      <c r="E279" s="40"/>
      <c r="F279" s="40"/>
      <c r="G279" s="40"/>
      <c r="H279" s="40"/>
      <c r="I279" s="40"/>
      <c r="J279" s="258"/>
      <c r="K279" s="41"/>
    </row>
    <row r="280" spans="2:14" ht="9.75" customHeight="1" x14ac:dyDescent="0.2">
      <c r="B280" s="38"/>
      <c r="C280" s="280" t="str">
        <f>"4:"</f>
        <v>4:</v>
      </c>
      <c r="D280" s="278" t="s">
        <v>931</v>
      </c>
      <c r="E280" s="40"/>
      <c r="F280" s="40"/>
      <c r="G280" s="40"/>
      <c r="H280" s="40"/>
      <c r="I280" s="40"/>
      <c r="J280" s="40"/>
      <c r="K280" s="41"/>
    </row>
    <row r="281" spans="2:14" ht="12" customHeight="1" x14ac:dyDescent="0.2">
      <c r="B281" s="38"/>
      <c r="C281" s="174" t="s">
        <v>662</v>
      </c>
      <c r="D281" s="40"/>
      <c r="E281" s="40"/>
      <c r="F281" s="40"/>
      <c r="G281" s="40"/>
      <c r="H281" s="40"/>
      <c r="I281" s="40"/>
      <c r="J281" s="265" t="s">
        <v>661</v>
      </c>
      <c r="K281" s="41"/>
      <c r="N281" s="12" t="s">
        <v>661</v>
      </c>
    </row>
    <row r="282" spans="2:14" x14ac:dyDescent="0.2">
      <c r="B282" s="38"/>
      <c r="C282" s="174" t="s">
        <v>660</v>
      </c>
      <c r="D282" s="40"/>
      <c r="E282" s="40"/>
      <c r="F282" s="40"/>
      <c r="G282" s="40"/>
      <c r="H282" s="40"/>
      <c r="I282" s="40"/>
      <c r="J282" s="246" t="str">
        <f>IF(J281=N281,"N/A",IF(J281=N282,0,IF(J281=N283,1,IF(J281=N284,2,IF(J281=N285,3,IF(J281=N286,4,"N/A"))))))</f>
        <v>N/A</v>
      </c>
      <c r="K282" s="41"/>
      <c r="N282" s="12" t="s">
        <v>903</v>
      </c>
    </row>
    <row r="283" spans="2:14" x14ac:dyDescent="0.2">
      <c r="B283" s="38"/>
      <c r="C283" s="40" t="s">
        <v>257</v>
      </c>
      <c r="D283" s="40"/>
      <c r="E283" s="40"/>
      <c r="F283" s="40"/>
      <c r="G283" s="40"/>
      <c r="H283" s="40"/>
      <c r="I283" s="40"/>
      <c r="J283" s="266" t="s">
        <v>874</v>
      </c>
      <c r="K283" s="41"/>
      <c r="N283" s="12" t="s">
        <v>904</v>
      </c>
    </row>
    <row r="284" spans="2:14" x14ac:dyDescent="0.2">
      <c r="B284" s="38"/>
      <c r="C284" s="40" t="s">
        <v>261</v>
      </c>
      <c r="D284" s="40"/>
      <c r="E284" s="40"/>
      <c r="F284" s="40"/>
      <c r="G284" s="40"/>
      <c r="H284" s="40"/>
      <c r="I284" s="40"/>
      <c r="J284" s="248">
        <f>IF(J283=$B$973,$A$974,IF(J283=$B$974,$A$975,IF(J283=$B$975,$A$976,IF(J283=$B$976,$A$977,IF(J283=$B$977,$A$978,"Not Calculated")))))</f>
        <v>4</v>
      </c>
      <c r="K284" s="41"/>
      <c r="N284" s="12" t="s">
        <v>905</v>
      </c>
    </row>
    <row r="285" spans="2:14" x14ac:dyDescent="0.2">
      <c r="B285" s="38"/>
      <c r="C285" s="40" t="s">
        <v>893</v>
      </c>
      <c r="D285" s="40"/>
      <c r="E285" s="40"/>
      <c r="F285" s="40"/>
      <c r="G285" s="40"/>
      <c r="H285" s="40"/>
      <c r="I285" s="40"/>
      <c r="J285" s="40"/>
      <c r="K285" s="41"/>
      <c r="N285" s="12" t="s">
        <v>906</v>
      </c>
    </row>
    <row r="286" spans="2:14" ht="160" customHeight="1" x14ac:dyDescent="0.2">
      <c r="B286" s="38"/>
      <c r="C286" s="399" t="s">
        <v>1162</v>
      </c>
      <c r="D286" s="400"/>
      <c r="E286" s="400"/>
      <c r="F286" s="400"/>
      <c r="G286" s="400"/>
      <c r="H286" s="400"/>
      <c r="I286" s="400"/>
      <c r="J286" s="401"/>
      <c r="K286" s="41"/>
      <c r="N286" s="12" t="s">
        <v>907</v>
      </c>
    </row>
    <row r="287" spans="2:14" ht="30" customHeight="1" x14ac:dyDescent="0.2">
      <c r="B287" s="38"/>
      <c r="C287" s="40"/>
      <c r="D287" s="40"/>
      <c r="E287" s="40"/>
      <c r="F287" s="40"/>
      <c r="G287" s="40"/>
      <c r="H287" s="40"/>
      <c r="I287" s="40"/>
      <c r="J287" s="40"/>
      <c r="K287" s="41"/>
    </row>
    <row r="288" spans="2:14" x14ac:dyDescent="0.2">
      <c r="B288" s="38"/>
      <c r="C288" s="179" t="s">
        <v>295</v>
      </c>
      <c r="D288" s="40"/>
      <c r="E288" s="40"/>
      <c r="F288" s="40"/>
      <c r="G288" s="40"/>
      <c r="H288" s="40"/>
      <c r="I288" s="40"/>
      <c r="J288" s="245">
        <f>IF(J282="N/A",IF(OR(J275="Not Calculated",J284="Not Calculated")=TRUE,"Not Calculated",AVERAGE(J275,J284)),AVERAGE(J282,J284))</f>
        <v>2</v>
      </c>
      <c r="K288" s="41"/>
    </row>
    <row r="289" spans="2:11" x14ac:dyDescent="0.2">
      <c r="B289" s="38"/>
      <c r="C289" s="40"/>
      <c r="D289" s="40"/>
      <c r="E289" s="40"/>
      <c r="F289" s="40"/>
      <c r="G289" s="40"/>
      <c r="H289" s="40"/>
      <c r="I289" s="40"/>
      <c r="J289" s="245"/>
      <c r="K289" s="41"/>
    </row>
    <row r="290" spans="2:11" x14ac:dyDescent="0.2">
      <c r="B290" s="38"/>
      <c r="C290" s="40"/>
      <c r="D290" s="40"/>
      <c r="E290" s="40"/>
      <c r="F290" s="40"/>
      <c r="G290" s="40"/>
      <c r="H290" s="40"/>
      <c r="I290" s="40"/>
      <c r="J290" s="40"/>
      <c r="K290" s="41"/>
    </row>
    <row r="291" spans="2:11" ht="16" x14ac:dyDescent="0.2">
      <c r="B291" s="38"/>
      <c r="C291" s="45" t="s">
        <v>856</v>
      </c>
      <c r="D291" s="40"/>
      <c r="E291" s="40"/>
      <c r="F291" s="40"/>
      <c r="G291" s="40"/>
      <c r="H291" s="40"/>
      <c r="I291" s="40"/>
      <c r="J291" s="40"/>
      <c r="K291" s="41"/>
    </row>
    <row r="292" spans="2:11" x14ac:dyDescent="0.2">
      <c r="B292" s="38"/>
      <c r="C292" s="380" t="s">
        <v>855</v>
      </c>
      <c r="D292" s="380"/>
      <c r="E292" s="380"/>
      <c r="F292" s="380"/>
      <c r="G292" s="380"/>
      <c r="H292" s="380"/>
      <c r="I292" s="380"/>
      <c r="J292" s="40"/>
      <c r="K292" s="41"/>
    </row>
    <row r="293" spans="2:11" x14ac:dyDescent="0.2">
      <c r="B293" s="38"/>
      <c r="C293" s="380"/>
      <c r="D293" s="380"/>
      <c r="E293" s="380"/>
      <c r="F293" s="380"/>
      <c r="G293" s="380"/>
      <c r="H293" s="380"/>
      <c r="I293" s="380"/>
      <c r="J293" s="264">
        <v>0</v>
      </c>
      <c r="K293" s="41"/>
    </row>
    <row r="294" spans="2:11" x14ac:dyDescent="0.2">
      <c r="B294" s="38"/>
      <c r="C294" s="40" t="s">
        <v>853</v>
      </c>
      <c r="D294" s="291"/>
      <c r="E294" s="291"/>
      <c r="F294" s="291"/>
      <c r="G294" s="291"/>
      <c r="H294" s="291"/>
      <c r="I294" s="291"/>
      <c r="J294" s="255">
        <f>'Baseline Health'!$G$102</f>
        <v>0</v>
      </c>
      <c r="K294" s="41"/>
    </row>
    <row r="295" spans="2:11" x14ac:dyDescent="0.2">
      <c r="B295" s="38"/>
      <c r="C295" s="40" t="s">
        <v>842</v>
      </c>
      <c r="D295" s="40"/>
      <c r="E295" s="40"/>
      <c r="F295" s="40"/>
      <c r="G295" s="40"/>
      <c r="H295" s="40"/>
      <c r="I295" s="40"/>
      <c r="J295" s="244" t="str">
        <f>IF('Baseline Health'!$G$102=0,"Not Calculated",100*J293/'Baseline Health'!$G$102)</f>
        <v>Not Calculated</v>
      </c>
      <c r="K295" s="41"/>
    </row>
    <row r="296" spans="2:11" x14ac:dyDescent="0.2">
      <c r="B296" s="38"/>
      <c r="C296" s="40" t="s">
        <v>260</v>
      </c>
      <c r="D296" s="40"/>
      <c r="E296" s="40"/>
      <c r="F296" s="40"/>
      <c r="G296" s="40"/>
      <c r="H296" s="40"/>
      <c r="I296" s="40"/>
      <c r="J296" s="245">
        <f>IF(J295&lt;=0,0,IF(J295&lt;=1,1,IF(J295&lt;=5,2,IF(J295&lt;=10,3,4))))</f>
        <v>4</v>
      </c>
      <c r="K296" s="41"/>
    </row>
    <row r="297" spans="2:11" x14ac:dyDescent="0.2">
      <c r="B297" s="38"/>
      <c r="C297" s="279" t="str">
        <f>"0:"</f>
        <v>0:</v>
      </c>
      <c r="D297" s="278" t="s">
        <v>932</v>
      </c>
      <c r="E297" s="40"/>
      <c r="F297" s="40"/>
      <c r="G297" s="40"/>
      <c r="H297" s="40"/>
      <c r="I297" s="40"/>
      <c r="J297" s="244"/>
      <c r="K297" s="41"/>
    </row>
    <row r="298" spans="2:11" ht="9.75" customHeight="1" x14ac:dyDescent="0.2">
      <c r="B298" s="38"/>
      <c r="C298" s="280" t="str">
        <f>"1:"</f>
        <v>1:</v>
      </c>
      <c r="D298" s="278" t="s">
        <v>934</v>
      </c>
      <c r="E298" s="40"/>
      <c r="F298" s="40"/>
      <c r="G298" s="40"/>
      <c r="H298" s="40"/>
      <c r="I298" s="40"/>
      <c r="J298" s="244"/>
      <c r="K298" s="41"/>
    </row>
    <row r="299" spans="2:11" ht="9.75" customHeight="1" x14ac:dyDescent="0.2">
      <c r="B299" s="38"/>
      <c r="C299" s="280" t="str">
        <f>"2:"</f>
        <v>2:</v>
      </c>
      <c r="D299" s="278" t="s">
        <v>933</v>
      </c>
      <c r="E299" s="40"/>
      <c r="F299" s="40"/>
      <c r="G299" s="40"/>
      <c r="H299" s="40"/>
      <c r="I299" s="40"/>
      <c r="J299" s="244"/>
      <c r="K299" s="41"/>
    </row>
    <row r="300" spans="2:11" ht="9.75" customHeight="1" x14ac:dyDescent="0.2">
      <c r="B300" s="38"/>
      <c r="C300" s="280" t="str">
        <f>"3:"</f>
        <v>3:</v>
      </c>
      <c r="D300" s="278" t="s">
        <v>935</v>
      </c>
      <c r="E300" s="40"/>
      <c r="F300" s="40"/>
      <c r="G300" s="40"/>
      <c r="H300" s="40"/>
      <c r="I300" s="40"/>
      <c r="J300" s="244"/>
      <c r="K300" s="41"/>
    </row>
    <row r="301" spans="2:11" ht="9.75" customHeight="1" x14ac:dyDescent="0.2">
      <c r="B301" s="38"/>
      <c r="C301" s="280" t="str">
        <f>"4:"</f>
        <v>4:</v>
      </c>
      <c r="D301" s="278" t="s">
        <v>936</v>
      </c>
      <c r="E301" s="40"/>
      <c r="F301" s="40"/>
      <c r="G301" s="40"/>
      <c r="H301" s="40"/>
      <c r="I301" s="40"/>
      <c r="J301" s="40"/>
      <c r="K301" s="41"/>
    </row>
    <row r="302" spans="2:11" ht="9.75" customHeight="1" x14ac:dyDescent="0.2">
      <c r="B302" s="38"/>
      <c r="C302" s="40" t="s">
        <v>257</v>
      </c>
      <c r="D302" s="40"/>
      <c r="E302" s="40"/>
      <c r="F302" s="40"/>
      <c r="G302" s="40"/>
      <c r="H302" s="40"/>
      <c r="I302" s="40"/>
      <c r="J302" s="266" t="s">
        <v>870</v>
      </c>
      <c r="K302" s="41"/>
    </row>
    <row r="303" spans="2:11" x14ac:dyDescent="0.2">
      <c r="B303" s="38"/>
      <c r="C303" s="40" t="s">
        <v>261</v>
      </c>
      <c r="D303" s="40"/>
      <c r="E303" s="40"/>
      <c r="F303" s="40"/>
      <c r="G303" s="40"/>
      <c r="H303" s="40"/>
      <c r="I303" s="40"/>
      <c r="J303" s="248">
        <f>IF(J302=$B$980,$A$981,IF(J302=$B$981,$A$982,IF(J302=$B$982,$A$983,IF(J302=$B$983,$A$984,IF(J302=$B$984,$A$985,"Not Calculated")))))</f>
        <v>0</v>
      </c>
      <c r="K303" s="41"/>
    </row>
    <row r="304" spans="2:11" x14ac:dyDescent="0.2">
      <c r="B304" s="38"/>
      <c r="C304" s="40" t="s">
        <v>893</v>
      </c>
      <c r="D304" s="40"/>
      <c r="E304" s="40"/>
      <c r="F304" s="40"/>
      <c r="G304" s="40"/>
      <c r="H304" s="40"/>
      <c r="I304" s="40"/>
      <c r="J304" s="40"/>
      <c r="K304" s="41"/>
    </row>
    <row r="305" spans="2:11" x14ac:dyDescent="0.2">
      <c r="B305" s="38"/>
      <c r="C305" s="399"/>
      <c r="D305" s="400"/>
      <c r="E305" s="400"/>
      <c r="F305" s="400"/>
      <c r="G305" s="400"/>
      <c r="H305" s="400"/>
      <c r="I305" s="400"/>
      <c r="J305" s="401"/>
      <c r="K305" s="41"/>
    </row>
    <row r="306" spans="2:11" ht="15" customHeight="1" x14ac:dyDescent="0.2">
      <c r="B306" s="38"/>
      <c r="C306" s="40"/>
      <c r="D306" s="40"/>
      <c r="E306" s="40"/>
      <c r="F306" s="40"/>
      <c r="G306" s="40"/>
      <c r="H306" s="40"/>
      <c r="I306" s="40"/>
      <c r="J306" s="40"/>
      <c r="K306" s="41"/>
    </row>
    <row r="307" spans="2:11" x14ac:dyDescent="0.2">
      <c r="B307" s="38"/>
      <c r="C307" s="179" t="s">
        <v>885</v>
      </c>
      <c r="D307" s="40"/>
      <c r="E307" s="40"/>
      <c r="F307" s="40"/>
      <c r="G307" s="40"/>
      <c r="H307" s="40"/>
      <c r="I307" s="40"/>
      <c r="J307" s="245">
        <f>IF(OR(J296="Not Calculated",J303="Not Calculated")=TRUE,"Not Calculated",AVERAGE(J296,J303))</f>
        <v>2</v>
      </c>
      <c r="K307" s="41"/>
    </row>
    <row r="308" spans="2:11" x14ac:dyDescent="0.2">
      <c r="B308" s="38"/>
      <c r="C308" s="40"/>
      <c r="D308" s="40"/>
      <c r="E308" s="40"/>
      <c r="F308" s="40"/>
      <c r="G308" s="40"/>
      <c r="H308" s="40"/>
      <c r="I308" s="40"/>
      <c r="J308" s="40"/>
      <c r="K308" s="41"/>
    </row>
    <row r="309" spans="2:11" x14ac:dyDescent="0.2">
      <c r="B309" s="38"/>
      <c r="C309" s="40"/>
      <c r="D309" s="40"/>
      <c r="E309" s="40"/>
      <c r="F309" s="40"/>
      <c r="G309" s="40"/>
      <c r="H309" s="40"/>
      <c r="I309" s="40"/>
      <c r="J309" s="40"/>
      <c r="K309" s="41"/>
    </row>
    <row r="310" spans="2:11" ht="16" x14ac:dyDescent="0.2">
      <c r="B310" s="38"/>
      <c r="C310" s="45" t="s">
        <v>857</v>
      </c>
      <c r="D310" s="40"/>
      <c r="E310" s="40"/>
      <c r="F310" s="40"/>
      <c r="G310" s="40"/>
      <c r="H310" s="40"/>
      <c r="I310" s="40"/>
      <c r="J310" s="40"/>
      <c r="K310" s="41"/>
    </row>
    <row r="311" spans="2:11" x14ac:dyDescent="0.2">
      <c r="B311" s="38"/>
      <c r="C311" s="380" t="s">
        <v>843</v>
      </c>
      <c r="D311" s="380"/>
      <c r="E311" s="380"/>
      <c r="F311" s="380"/>
      <c r="G311" s="380"/>
      <c r="H311" s="380"/>
      <c r="I311" s="380"/>
      <c r="J311" s="40"/>
      <c r="K311" s="41"/>
    </row>
    <row r="312" spans="2:11" x14ac:dyDescent="0.2">
      <c r="B312" s="38"/>
      <c r="C312" s="380"/>
      <c r="D312" s="380"/>
      <c r="E312" s="380"/>
      <c r="F312" s="380"/>
      <c r="G312" s="380"/>
      <c r="H312" s="380"/>
      <c r="I312" s="380"/>
      <c r="J312" s="264">
        <v>0</v>
      </c>
      <c r="K312" s="41"/>
    </row>
    <row r="313" spans="2:11" x14ac:dyDescent="0.2">
      <c r="B313" s="38"/>
      <c r="C313" s="40" t="s">
        <v>853</v>
      </c>
      <c r="D313" s="291"/>
      <c r="E313" s="291"/>
      <c r="F313" s="291"/>
      <c r="G313" s="291"/>
      <c r="H313" s="291"/>
      <c r="I313" s="291"/>
      <c r="J313" s="255">
        <f>'Baseline Health'!$G$102</f>
        <v>0</v>
      </c>
      <c r="K313" s="41"/>
    </row>
    <row r="314" spans="2:11" x14ac:dyDescent="0.2">
      <c r="B314" s="38"/>
      <c r="C314" s="40" t="s">
        <v>842</v>
      </c>
      <c r="D314" s="40"/>
      <c r="E314" s="40"/>
      <c r="F314" s="40"/>
      <c r="G314" s="40"/>
      <c r="H314" s="40"/>
      <c r="I314" s="40"/>
      <c r="J314" s="244" t="str">
        <f>IF('Baseline Health'!$G$102=0,"Not Calculated",100*J312/'Baseline Health'!$G$102)</f>
        <v>Not Calculated</v>
      </c>
      <c r="K314" s="41"/>
    </row>
    <row r="315" spans="2:11" x14ac:dyDescent="0.2">
      <c r="B315" s="38"/>
      <c r="C315" s="40" t="s">
        <v>260</v>
      </c>
      <c r="D315" s="40"/>
      <c r="E315" s="40"/>
      <c r="F315" s="40"/>
      <c r="G315" s="40"/>
      <c r="H315" s="40"/>
      <c r="I315" s="40"/>
      <c r="J315" s="245">
        <f>IF(J314&lt;=0,0,IF(J314&lt;=1,1,IF(J314&lt;=5,2,IF(J314&lt;=10,3,4))))</f>
        <v>4</v>
      </c>
      <c r="K315" s="41"/>
    </row>
    <row r="316" spans="2:11" x14ac:dyDescent="0.2">
      <c r="B316" s="38"/>
      <c r="C316" s="279" t="str">
        <f>"0:"</f>
        <v>0:</v>
      </c>
      <c r="D316" s="278" t="s">
        <v>932</v>
      </c>
      <c r="E316" s="40"/>
      <c r="F316" s="40"/>
      <c r="G316" s="40"/>
      <c r="H316" s="40"/>
      <c r="I316" s="40"/>
      <c r="J316" s="244"/>
      <c r="K316" s="41"/>
    </row>
    <row r="317" spans="2:11" ht="9.75" customHeight="1" x14ac:dyDescent="0.2">
      <c r="B317" s="38"/>
      <c r="C317" s="280" t="str">
        <f>"1:"</f>
        <v>1:</v>
      </c>
      <c r="D317" s="278" t="s">
        <v>934</v>
      </c>
      <c r="E317" s="40"/>
      <c r="F317" s="40"/>
      <c r="G317" s="40"/>
      <c r="H317" s="40"/>
      <c r="I317" s="40"/>
      <c r="J317" s="244"/>
      <c r="K317" s="41"/>
    </row>
    <row r="318" spans="2:11" ht="9.75" customHeight="1" x14ac:dyDescent="0.2">
      <c r="B318" s="38"/>
      <c r="C318" s="280" t="str">
        <f>"2:"</f>
        <v>2:</v>
      </c>
      <c r="D318" s="278" t="s">
        <v>933</v>
      </c>
      <c r="E318" s="40"/>
      <c r="F318" s="40"/>
      <c r="G318" s="40"/>
      <c r="H318" s="40"/>
      <c r="I318" s="40"/>
      <c r="J318" s="244"/>
      <c r="K318" s="41"/>
    </row>
    <row r="319" spans="2:11" ht="9.75" customHeight="1" x14ac:dyDescent="0.2">
      <c r="B319" s="38"/>
      <c r="C319" s="280" t="str">
        <f>"3:"</f>
        <v>3:</v>
      </c>
      <c r="D319" s="278" t="s">
        <v>935</v>
      </c>
      <c r="E319" s="40"/>
      <c r="F319" s="40"/>
      <c r="G319" s="40"/>
      <c r="H319" s="40"/>
      <c r="I319" s="40"/>
      <c r="J319" s="244"/>
      <c r="K319" s="41"/>
    </row>
    <row r="320" spans="2:11" ht="9.75" customHeight="1" x14ac:dyDescent="0.2">
      <c r="B320" s="38"/>
      <c r="C320" s="280" t="str">
        <f>"4:"</f>
        <v>4:</v>
      </c>
      <c r="D320" s="278" t="s">
        <v>936</v>
      </c>
      <c r="E320" s="40"/>
      <c r="F320" s="40"/>
      <c r="G320" s="40"/>
      <c r="H320" s="40"/>
      <c r="I320" s="40"/>
      <c r="J320" s="40"/>
      <c r="K320" s="41"/>
    </row>
    <row r="321" spans="2:11" ht="9.75" customHeight="1" x14ac:dyDescent="0.2">
      <c r="B321" s="38"/>
      <c r="C321" s="40" t="s">
        <v>296</v>
      </c>
      <c r="D321" s="40"/>
      <c r="E321" s="40"/>
      <c r="F321" s="40"/>
      <c r="G321" s="40"/>
      <c r="H321" s="40"/>
      <c r="I321" s="40"/>
      <c r="J321" s="266">
        <v>0</v>
      </c>
      <c r="K321" s="41"/>
    </row>
    <row r="322" spans="2:11" x14ac:dyDescent="0.2">
      <c r="B322" s="38"/>
      <c r="C322" s="40" t="s">
        <v>261</v>
      </c>
      <c r="D322" s="40"/>
      <c r="E322" s="40"/>
      <c r="F322" s="40"/>
      <c r="G322" s="40"/>
      <c r="H322" s="40"/>
      <c r="I322" s="40"/>
      <c r="J322" s="248">
        <f>IF(J321&lt;=0,0,IF(J321&lt;=2,1,IF(J321&lt;=6,2,IF(J321&lt;=12,3,4))))</f>
        <v>0</v>
      </c>
      <c r="K322" s="41"/>
    </row>
    <row r="323" spans="2:11" x14ac:dyDescent="0.2">
      <c r="B323" s="38"/>
      <c r="C323" s="40" t="s">
        <v>893</v>
      </c>
      <c r="D323" s="40"/>
      <c r="E323" s="40"/>
      <c r="F323" s="40"/>
      <c r="G323" s="40"/>
      <c r="H323" s="40"/>
      <c r="I323" s="40"/>
      <c r="J323" s="40"/>
      <c r="K323" s="41"/>
    </row>
    <row r="324" spans="2:11" x14ac:dyDescent="0.2">
      <c r="B324" s="38"/>
      <c r="C324" s="399"/>
      <c r="D324" s="400"/>
      <c r="E324" s="400"/>
      <c r="F324" s="400"/>
      <c r="G324" s="400"/>
      <c r="H324" s="400"/>
      <c r="I324" s="400"/>
      <c r="J324" s="401"/>
      <c r="K324" s="41"/>
    </row>
    <row r="325" spans="2:11" ht="15" customHeight="1" x14ac:dyDescent="0.2">
      <c r="B325" s="38"/>
      <c r="C325" s="40"/>
      <c r="D325" s="40"/>
      <c r="E325" s="40"/>
      <c r="F325" s="40"/>
      <c r="G325" s="40"/>
      <c r="H325" s="40"/>
      <c r="I325" s="40"/>
      <c r="J325" s="40"/>
      <c r="K325" s="41"/>
    </row>
    <row r="326" spans="2:11" x14ac:dyDescent="0.2">
      <c r="B326" s="38"/>
      <c r="C326" s="179" t="s">
        <v>886</v>
      </c>
      <c r="D326" s="40"/>
      <c r="E326" s="40"/>
      <c r="F326" s="40"/>
      <c r="G326" s="40"/>
      <c r="H326" s="40"/>
      <c r="I326" s="40"/>
      <c r="J326" s="245">
        <f>IF(OR(J315="Not Calculated",J322="Not Calculated")=TRUE,"Not Calculated",AVERAGE(J315,J322))</f>
        <v>2</v>
      </c>
      <c r="K326" s="41"/>
    </row>
    <row r="327" spans="2:11" x14ac:dyDescent="0.2">
      <c r="B327" s="38"/>
      <c r="C327" s="40"/>
      <c r="D327" s="40"/>
      <c r="E327" s="40"/>
      <c r="F327" s="40"/>
      <c r="G327" s="40"/>
      <c r="H327" s="40"/>
      <c r="I327" s="40"/>
      <c r="J327" s="40"/>
      <c r="K327" s="41"/>
    </row>
    <row r="328" spans="2:11" x14ac:dyDescent="0.2">
      <c r="B328" s="38"/>
      <c r="C328" s="40"/>
      <c r="D328" s="40"/>
      <c r="E328" s="40"/>
      <c r="F328" s="40"/>
      <c r="G328" s="40"/>
      <c r="H328" s="40"/>
      <c r="I328" s="40"/>
      <c r="J328" s="40"/>
      <c r="K328" s="41"/>
    </row>
    <row r="329" spans="2:11" ht="16" x14ac:dyDescent="0.2">
      <c r="B329" s="38"/>
      <c r="C329" s="45" t="s">
        <v>858</v>
      </c>
      <c r="D329" s="40"/>
      <c r="E329" s="40"/>
      <c r="F329" s="40"/>
      <c r="G329" s="40"/>
      <c r="H329" s="40"/>
      <c r="I329" s="40"/>
      <c r="J329" s="40"/>
      <c r="K329" s="41"/>
    </row>
    <row r="330" spans="2:11" x14ac:dyDescent="0.2">
      <c r="B330" s="38"/>
      <c r="C330" s="380" t="s">
        <v>844</v>
      </c>
      <c r="D330" s="380"/>
      <c r="E330" s="380"/>
      <c r="F330" s="380"/>
      <c r="G330" s="380"/>
      <c r="H330" s="380"/>
      <c r="I330" s="380"/>
      <c r="J330" s="40"/>
      <c r="K330" s="41"/>
    </row>
    <row r="331" spans="2:11" ht="15" customHeight="1" x14ac:dyDescent="0.2">
      <c r="B331" s="38"/>
      <c r="C331" s="380"/>
      <c r="D331" s="380"/>
      <c r="E331" s="380"/>
      <c r="F331" s="380"/>
      <c r="G331" s="380"/>
      <c r="H331" s="380"/>
      <c r="I331" s="380"/>
      <c r="J331" s="264">
        <v>0</v>
      </c>
      <c r="K331" s="41"/>
    </row>
    <row r="332" spans="2:11" x14ac:dyDescent="0.2">
      <c r="B332" s="38"/>
      <c r="C332" s="40" t="s">
        <v>853</v>
      </c>
      <c r="D332" s="291"/>
      <c r="E332" s="291"/>
      <c r="F332" s="291"/>
      <c r="G332" s="291"/>
      <c r="H332" s="291"/>
      <c r="I332" s="291"/>
      <c r="J332" s="255">
        <f>'Baseline Health'!$G$102</f>
        <v>0</v>
      </c>
      <c r="K332" s="41"/>
    </row>
    <row r="333" spans="2:11" x14ac:dyDescent="0.2">
      <c r="B333" s="38"/>
      <c r="C333" s="40" t="s">
        <v>845</v>
      </c>
      <c r="D333" s="40"/>
      <c r="E333" s="40"/>
      <c r="F333" s="40"/>
      <c r="G333" s="40"/>
      <c r="H333" s="40"/>
      <c r="I333" s="40"/>
      <c r="J333" s="244" t="str">
        <f>IF('Baseline Health'!$G$102=0,"Not Calculated",100*J331/'Baseline Health'!$G$102)</f>
        <v>Not Calculated</v>
      </c>
      <c r="K333" s="41"/>
    </row>
    <row r="334" spans="2:11" x14ac:dyDescent="0.2">
      <c r="B334" s="38"/>
      <c r="C334" s="40" t="s">
        <v>260</v>
      </c>
      <c r="D334" s="40"/>
      <c r="E334" s="40"/>
      <c r="F334" s="40"/>
      <c r="G334" s="40"/>
      <c r="H334" s="40"/>
      <c r="I334" s="40"/>
      <c r="J334" s="245">
        <f>IF(J333&lt;=0,0,IF(J333&lt;=1,1,IF(J333&lt;=5,2,IF(J333&lt;=10,3,4))))</f>
        <v>4</v>
      </c>
      <c r="K334" s="41"/>
    </row>
    <row r="335" spans="2:11" x14ac:dyDescent="0.2">
      <c r="B335" s="38"/>
      <c r="C335" s="279" t="str">
        <f>"0:"</f>
        <v>0:</v>
      </c>
      <c r="D335" s="278" t="s">
        <v>932</v>
      </c>
      <c r="E335" s="40"/>
      <c r="F335" s="40"/>
      <c r="G335" s="40"/>
      <c r="H335" s="40"/>
      <c r="I335" s="40"/>
      <c r="J335" s="244"/>
      <c r="K335" s="41"/>
    </row>
    <row r="336" spans="2:11" ht="9.75" customHeight="1" x14ac:dyDescent="0.2">
      <c r="B336" s="38"/>
      <c r="C336" s="280" t="str">
        <f>"1:"</f>
        <v>1:</v>
      </c>
      <c r="D336" s="278" t="s">
        <v>934</v>
      </c>
      <c r="E336" s="40"/>
      <c r="F336" s="40"/>
      <c r="G336" s="40"/>
      <c r="H336" s="40"/>
      <c r="I336" s="40"/>
      <c r="J336" s="244"/>
      <c r="K336" s="41"/>
    </row>
    <row r="337" spans="2:11" ht="9.75" customHeight="1" x14ac:dyDescent="0.2">
      <c r="B337" s="38"/>
      <c r="C337" s="280" t="str">
        <f>"2:"</f>
        <v>2:</v>
      </c>
      <c r="D337" s="278" t="s">
        <v>933</v>
      </c>
      <c r="E337" s="40"/>
      <c r="F337" s="40"/>
      <c r="G337" s="40"/>
      <c r="H337" s="40"/>
      <c r="I337" s="40"/>
      <c r="J337" s="244"/>
      <c r="K337" s="41"/>
    </row>
    <row r="338" spans="2:11" ht="9.75" customHeight="1" x14ac:dyDescent="0.2">
      <c r="B338" s="38"/>
      <c r="C338" s="280" t="str">
        <f>"3:"</f>
        <v>3:</v>
      </c>
      <c r="D338" s="278" t="s">
        <v>935</v>
      </c>
      <c r="E338" s="40"/>
      <c r="F338" s="40"/>
      <c r="G338" s="40"/>
      <c r="H338" s="40"/>
      <c r="I338" s="40"/>
      <c r="J338" s="244"/>
      <c r="K338" s="41"/>
    </row>
    <row r="339" spans="2:11" ht="9.75" customHeight="1" x14ac:dyDescent="0.2">
      <c r="B339" s="38"/>
      <c r="C339" s="280" t="str">
        <f>"4:"</f>
        <v>4:</v>
      </c>
      <c r="D339" s="278" t="s">
        <v>936</v>
      </c>
      <c r="E339" s="40"/>
      <c r="F339" s="40"/>
      <c r="G339" s="40"/>
      <c r="H339" s="40"/>
      <c r="I339" s="40"/>
      <c r="J339" s="40"/>
      <c r="K339" s="41"/>
    </row>
    <row r="340" spans="2:11" ht="9.75" customHeight="1" x14ac:dyDescent="0.2">
      <c r="B340" s="38"/>
      <c r="C340" s="380" t="s">
        <v>84</v>
      </c>
      <c r="D340" s="380"/>
      <c r="E340" s="380"/>
      <c r="F340" s="380"/>
      <c r="G340" s="380"/>
      <c r="H340" s="380"/>
      <c r="I340" s="380"/>
      <c r="J340" s="245"/>
      <c r="K340" s="41"/>
    </row>
    <row r="341" spans="2:11" x14ac:dyDescent="0.2">
      <c r="B341" s="38"/>
      <c r="C341" s="380"/>
      <c r="D341" s="380"/>
      <c r="E341" s="380"/>
      <c r="F341" s="380"/>
      <c r="G341" s="380"/>
      <c r="H341" s="380"/>
      <c r="I341" s="380"/>
      <c r="J341" s="245">
        <f>'Baseline Health'!G108</f>
        <v>40</v>
      </c>
      <c r="K341" s="41"/>
    </row>
    <row r="342" spans="2:11" x14ac:dyDescent="0.2">
      <c r="B342" s="38"/>
      <c r="C342" s="40" t="s">
        <v>833</v>
      </c>
      <c r="D342" s="40"/>
      <c r="E342" s="40"/>
      <c r="F342" s="40"/>
      <c r="G342" s="40"/>
      <c r="H342" s="40"/>
      <c r="I342" s="40"/>
      <c r="J342" s="245">
        <f>IF(J341&gt;J321,0,J321-J341)</f>
        <v>0</v>
      </c>
      <c r="K342" s="41"/>
    </row>
    <row r="343" spans="2:11" ht="15" customHeight="1" x14ac:dyDescent="0.2">
      <c r="B343" s="38"/>
      <c r="C343" s="40"/>
      <c r="D343" s="380" t="s">
        <v>834</v>
      </c>
      <c r="E343" s="380"/>
      <c r="F343" s="380"/>
      <c r="G343" s="380"/>
      <c r="H343" s="380"/>
      <c r="I343" s="380"/>
      <c r="J343" s="40"/>
      <c r="K343" s="41"/>
    </row>
    <row r="344" spans="2:11" x14ac:dyDescent="0.2">
      <c r="B344" s="38"/>
      <c r="C344" s="40"/>
      <c r="D344" s="380"/>
      <c r="E344" s="380"/>
      <c r="F344" s="380"/>
      <c r="G344" s="380"/>
      <c r="H344" s="380"/>
      <c r="I344" s="380"/>
      <c r="J344" s="40"/>
      <c r="K344" s="41"/>
    </row>
    <row r="345" spans="2:11" x14ac:dyDescent="0.2">
      <c r="B345" s="38"/>
      <c r="C345" s="40" t="s">
        <v>261</v>
      </c>
      <c r="D345" s="40"/>
      <c r="E345" s="40"/>
      <c r="F345" s="40"/>
      <c r="G345" s="40"/>
      <c r="H345" s="40"/>
      <c r="I345" s="40"/>
      <c r="J345" s="245">
        <f>IF(J342&lt;=0,0,IF(J342&lt;=2,1,IF(J342&lt;=6,2,IF(J342&lt;=12,3,4))))</f>
        <v>0</v>
      </c>
      <c r="K345" s="41"/>
    </row>
    <row r="346" spans="2:11" x14ac:dyDescent="0.2">
      <c r="B346" s="38"/>
      <c r="C346" s="40" t="s">
        <v>893</v>
      </c>
      <c r="D346" s="40"/>
      <c r="E346" s="40"/>
      <c r="F346" s="40"/>
      <c r="G346" s="40"/>
      <c r="H346" s="40"/>
      <c r="I346" s="40"/>
      <c r="J346" s="40"/>
      <c r="K346" s="41"/>
    </row>
    <row r="347" spans="2:11" x14ac:dyDescent="0.2">
      <c r="B347" s="38"/>
      <c r="C347" s="399"/>
      <c r="D347" s="400"/>
      <c r="E347" s="400"/>
      <c r="F347" s="400"/>
      <c r="G347" s="400"/>
      <c r="H347" s="400"/>
      <c r="I347" s="400"/>
      <c r="J347" s="401"/>
      <c r="K347" s="41"/>
    </row>
    <row r="348" spans="2:11" ht="15" customHeight="1" x14ac:dyDescent="0.2">
      <c r="B348" s="38"/>
      <c r="C348" s="40"/>
      <c r="D348" s="40"/>
      <c r="E348" s="40"/>
      <c r="F348" s="40"/>
      <c r="G348" s="40"/>
      <c r="H348" s="40"/>
      <c r="I348" s="40"/>
      <c r="J348" s="40"/>
      <c r="K348" s="41"/>
    </row>
    <row r="349" spans="2:11" x14ac:dyDescent="0.2">
      <c r="B349" s="38"/>
      <c r="C349" s="179" t="s">
        <v>887</v>
      </c>
      <c r="D349" s="40"/>
      <c r="E349" s="40"/>
      <c r="F349" s="40"/>
      <c r="G349" s="40"/>
      <c r="H349" s="40"/>
      <c r="I349" s="40"/>
      <c r="J349" s="245">
        <f>IF(OR(J334="Not Calculated",J345="Not Calculated")=TRUE,"Not Calculated",AVERAGE(J334,J345))</f>
        <v>2</v>
      </c>
      <c r="K349" s="41"/>
    </row>
    <row r="350" spans="2:11" x14ac:dyDescent="0.2">
      <c r="B350" s="38"/>
      <c r="C350" s="40"/>
      <c r="D350" s="40"/>
      <c r="E350" s="40"/>
      <c r="F350" s="40"/>
      <c r="G350" s="40"/>
      <c r="H350" s="40"/>
      <c r="I350" s="40"/>
      <c r="J350" s="40"/>
      <c r="K350" s="41"/>
    </row>
    <row r="351" spans="2:11" x14ac:dyDescent="0.2">
      <c r="B351" s="38"/>
      <c r="C351" s="40"/>
      <c r="D351" s="40"/>
      <c r="E351" s="40"/>
      <c r="F351" s="40"/>
      <c r="G351" s="40"/>
      <c r="H351" s="40"/>
      <c r="I351" s="40"/>
      <c r="J351" s="40"/>
      <c r="K351" s="41"/>
    </row>
    <row r="352" spans="2:11" ht="16" x14ac:dyDescent="0.2">
      <c r="B352" s="38"/>
      <c r="C352" s="45" t="s">
        <v>859</v>
      </c>
      <c r="D352" s="40"/>
      <c r="E352" s="40"/>
      <c r="F352" s="40"/>
      <c r="G352" s="40"/>
      <c r="H352" s="40"/>
      <c r="I352" s="40"/>
      <c r="J352" s="40"/>
      <c r="K352" s="41"/>
    </row>
    <row r="353" spans="2:11" x14ac:dyDescent="0.2">
      <c r="B353" s="38"/>
      <c r="C353" s="40" t="s">
        <v>846</v>
      </c>
      <c r="D353" s="40"/>
      <c r="E353" s="40"/>
      <c r="F353" s="40"/>
      <c r="G353" s="40"/>
      <c r="H353" s="40"/>
      <c r="I353" s="40"/>
      <c r="J353" s="264">
        <v>0</v>
      </c>
      <c r="K353" s="41"/>
    </row>
    <row r="354" spans="2:11" x14ac:dyDescent="0.2">
      <c r="B354" s="38"/>
      <c r="C354" s="40" t="s">
        <v>854</v>
      </c>
      <c r="D354" s="40"/>
      <c r="E354" s="40"/>
      <c r="F354" s="40"/>
      <c r="G354" s="40"/>
      <c r="H354" s="40"/>
      <c r="I354" s="40"/>
      <c r="J354" s="255">
        <f>'Baseline Health'!$G$59</f>
        <v>0</v>
      </c>
      <c r="K354" s="41"/>
    </row>
    <row r="355" spans="2:11" x14ac:dyDescent="0.2">
      <c r="B355" s="38"/>
      <c r="C355" s="40" t="s">
        <v>847</v>
      </c>
      <c r="D355" s="40"/>
      <c r="E355" s="40"/>
      <c r="F355" s="40"/>
      <c r="G355" s="40"/>
      <c r="H355" s="40"/>
      <c r="I355" s="40"/>
      <c r="J355" s="244">
        <f>IF(J353=0,0,IF('Baseline Health'!G$59=0,"Not Calculated",100*J353/'Baseline Health'!$G$59))</f>
        <v>0</v>
      </c>
      <c r="K355" s="41"/>
    </row>
    <row r="356" spans="2:11" x14ac:dyDescent="0.2">
      <c r="B356" s="38"/>
      <c r="C356" s="40" t="s">
        <v>260</v>
      </c>
      <c r="D356" s="40"/>
      <c r="E356" s="40"/>
      <c r="F356" s="40"/>
      <c r="G356" s="40"/>
      <c r="H356" s="40"/>
      <c r="I356" s="40"/>
      <c r="J356" s="245">
        <f>IF(J355&lt;=0,0,IF(J355&lt;=5,1,IF(J355&lt;=10,2,IF(J355&lt;=25,3,4))))</f>
        <v>0</v>
      </c>
      <c r="K356" s="41"/>
    </row>
    <row r="357" spans="2:11" x14ac:dyDescent="0.2">
      <c r="B357" s="38"/>
      <c r="C357" s="279" t="str">
        <f>"0:"</f>
        <v>0:</v>
      </c>
      <c r="D357" s="278" t="s">
        <v>932</v>
      </c>
      <c r="E357" s="40"/>
      <c r="F357" s="40"/>
      <c r="G357" s="40"/>
      <c r="H357" s="40"/>
      <c r="I357" s="40"/>
      <c r="J357" s="244"/>
      <c r="K357" s="41"/>
    </row>
    <row r="358" spans="2:11" ht="9.75" customHeight="1" x14ac:dyDescent="0.2">
      <c r="B358" s="38"/>
      <c r="C358" s="280" t="str">
        <f>"1:"</f>
        <v>1:</v>
      </c>
      <c r="D358" s="278" t="s">
        <v>933</v>
      </c>
      <c r="E358" s="40"/>
      <c r="F358" s="40"/>
      <c r="G358" s="40"/>
      <c r="H358" s="40"/>
      <c r="I358" s="40"/>
      <c r="J358" s="244"/>
      <c r="K358" s="41"/>
    </row>
    <row r="359" spans="2:11" ht="9.75" customHeight="1" x14ac:dyDescent="0.2">
      <c r="B359" s="38"/>
      <c r="C359" s="280" t="str">
        <f>"2:"</f>
        <v>2:</v>
      </c>
      <c r="D359" s="278" t="s">
        <v>935</v>
      </c>
      <c r="E359" s="40"/>
      <c r="F359" s="40"/>
      <c r="G359" s="40"/>
      <c r="H359" s="40"/>
      <c r="I359" s="40"/>
      <c r="J359" s="244"/>
      <c r="K359" s="41"/>
    </row>
    <row r="360" spans="2:11" ht="9.75" customHeight="1" x14ac:dyDescent="0.2">
      <c r="B360" s="38"/>
      <c r="C360" s="280" t="str">
        <f>"3:"</f>
        <v>3:</v>
      </c>
      <c r="D360" s="278" t="s">
        <v>937</v>
      </c>
      <c r="E360" s="40"/>
      <c r="F360" s="40"/>
      <c r="G360" s="40"/>
      <c r="H360" s="40"/>
      <c r="I360" s="40"/>
      <c r="J360" s="244"/>
      <c r="K360" s="41"/>
    </row>
    <row r="361" spans="2:11" ht="9.75" customHeight="1" x14ac:dyDescent="0.2">
      <c r="B361" s="38"/>
      <c r="C361" s="280" t="str">
        <f>"4:"</f>
        <v>4:</v>
      </c>
      <c r="D361" s="278" t="s">
        <v>938</v>
      </c>
      <c r="E361" s="40"/>
      <c r="F361" s="40"/>
      <c r="G361" s="40"/>
      <c r="H361" s="40"/>
      <c r="I361" s="40"/>
      <c r="J361" s="40"/>
      <c r="K361" s="41"/>
    </row>
    <row r="362" spans="2:11" ht="9.75" customHeight="1" x14ac:dyDescent="0.2">
      <c r="B362" s="38"/>
      <c r="C362" s="40" t="s">
        <v>257</v>
      </c>
      <c r="D362" s="40"/>
      <c r="E362" s="40"/>
      <c r="F362" s="40"/>
      <c r="G362" s="40"/>
      <c r="H362" s="40"/>
      <c r="I362" s="40"/>
      <c r="J362" s="266" t="s">
        <v>870</v>
      </c>
      <c r="K362" s="41"/>
    </row>
    <row r="363" spans="2:11" x14ac:dyDescent="0.2">
      <c r="B363" s="38"/>
      <c r="C363" s="40" t="s">
        <v>261</v>
      </c>
      <c r="D363" s="40"/>
      <c r="E363" s="40"/>
      <c r="F363" s="40"/>
      <c r="G363" s="40"/>
      <c r="H363" s="40"/>
      <c r="I363" s="40"/>
      <c r="J363" s="248">
        <f>IF(J362=$B$980,$A$981,IF(J362=$B$981,$A$982,IF(J362=$B$982,$A$983,IF(J362=$B$983,$A$984,IF(J362=$B$984,$A$985,"Not Calculated")))))</f>
        <v>0</v>
      </c>
      <c r="K363" s="41"/>
    </row>
    <row r="364" spans="2:11" x14ac:dyDescent="0.2">
      <c r="B364" s="38"/>
      <c r="C364" s="40" t="s">
        <v>893</v>
      </c>
      <c r="D364" s="40"/>
      <c r="E364" s="40"/>
      <c r="F364" s="40"/>
      <c r="G364" s="40"/>
      <c r="H364" s="40"/>
      <c r="I364" s="40"/>
      <c r="J364" s="40"/>
      <c r="K364" s="41"/>
    </row>
    <row r="365" spans="2:11" x14ac:dyDescent="0.2">
      <c r="B365" s="38"/>
      <c r="C365" s="399"/>
      <c r="D365" s="400"/>
      <c r="E365" s="400"/>
      <c r="F365" s="400"/>
      <c r="G365" s="400"/>
      <c r="H365" s="400"/>
      <c r="I365" s="400"/>
      <c r="J365" s="400"/>
      <c r="K365" s="41"/>
    </row>
    <row r="366" spans="2:11" ht="15" customHeight="1" x14ac:dyDescent="0.2">
      <c r="B366" s="38"/>
      <c r="C366" s="40"/>
      <c r="D366" s="40"/>
      <c r="E366" s="40"/>
      <c r="F366" s="40"/>
      <c r="G366" s="40"/>
      <c r="H366" s="40"/>
      <c r="I366" s="40"/>
      <c r="J366" s="40"/>
      <c r="K366" s="41"/>
    </row>
    <row r="367" spans="2:11" x14ac:dyDescent="0.2">
      <c r="B367" s="38"/>
      <c r="C367" s="179" t="s">
        <v>888</v>
      </c>
      <c r="D367" s="40"/>
      <c r="E367" s="40"/>
      <c r="F367" s="40"/>
      <c r="G367" s="40"/>
      <c r="H367" s="40"/>
      <c r="I367" s="40"/>
      <c r="J367" s="245">
        <f>IF(OR(J356="Not Calculated",J363="Not Calculated")=TRUE,"Not Calculated",AVERAGE(J356,J363))</f>
        <v>0</v>
      </c>
      <c r="K367" s="41"/>
    </row>
    <row r="368" spans="2:11" x14ac:dyDescent="0.2">
      <c r="B368" s="38"/>
      <c r="C368" s="40"/>
      <c r="D368" s="40"/>
      <c r="E368" s="40"/>
      <c r="F368" s="40"/>
      <c r="G368" s="40"/>
      <c r="H368" s="40"/>
      <c r="I368" s="40"/>
      <c r="J368" s="40"/>
      <c r="K368" s="41"/>
    </row>
    <row r="369" spans="2:11" x14ac:dyDescent="0.2">
      <c r="B369" s="38"/>
      <c r="C369" s="40"/>
      <c r="D369" s="40"/>
      <c r="E369" s="40"/>
      <c r="F369" s="40"/>
      <c r="G369" s="40"/>
      <c r="H369" s="40"/>
      <c r="I369" s="40"/>
      <c r="J369" s="40"/>
      <c r="K369" s="41"/>
    </row>
    <row r="370" spans="2:11" ht="16" x14ac:dyDescent="0.2">
      <c r="B370" s="38"/>
      <c r="C370" s="45" t="s">
        <v>863</v>
      </c>
      <c r="D370" s="40"/>
      <c r="E370" s="40"/>
      <c r="F370" s="40"/>
      <c r="G370" s="40"/>
      <c r="H370" s="40"/>
      <c r="I370" s="40"/>
      <c r="J370" s="40"/>
      <c r="K370" s="41"/>
    </row>
    <row r="371" spans="2:11" x14ac:dyDescent="0.2">
      <c r="B371" s="38"/>
      <c r="C371" s="380" t="s">
        <v>848</v>
      </c>
      <c r="D371" s="380"/>
      <c r="E371" s="380"/>
      <c r="F371" s="380"/>
      <c r="G371" s="380"/>
      <c r="H371" s="380"/>
      <c r="I371" s="380"/>
      <c r="J371" s="181"/>
      <c r="K371" s="41"/>
    </row>
    <row r="372" spans="2:11" ht="15" customHeight="1" x14ac:dyDescent="0.2">
      <c r="B372" s="38"/>
      <c r="C372" s="380"/>
      <c r="D372" s="380"/>
      <c r="E372" s="380"/>
      <c r="F372" s="380"/>
      <c r="G372" s="380"/>
      <c r="H372" s="380"/>
      <c r="I372" s="380"/>
      <c r="J372" s="264">
        <v>0</v>
      </c>
      <c r="K372" s="41"/>
    </row>
    <row r="373" spans="2:11" x14ac:dyDescent="0.2">
      <c r="B373" s="38"/>
      <c r="C373" s="40" t="s">
        <v>853</v>
      </c>
      <c r="D373" s="291"/>
      <c r="E373" s="291"/>
      <c r="F373" s="291"/>
      <c r="G373" s="291"/>
      <c r="H373" s="291"/>
      <c r="I373" s="291"/>
      <c r="J373" s="255">
        <f>'Baseline Health'!$G$102</f>
        <v>0</v>
      </c>
      <c r="K373" s="41"/>
    </row>
    <row r="374" spans="2:11" x14ac:dyDescent="0.2">
      <c r="B374" s="38"/>
      <c r="C374" s="40" t="s">
        <v>842</v>
      </c>
      <c r="D374" s="291"/>
      <c r="E374" s="291"/>
      <c r="F374" s="291"/>
      <c r="G374" s="291"/>
      <c r="H374" s="291"/>
      <c r="I374" s="291"/>
      <c r="J374" s="244" t="str">
        <f>IF('Baseline Health'!$G$102=0,"Not Calculated",100*J372/'Baseline Health'!$G$102)</f>
        <v>Not Calculated</v>
      </c>
      <c r="K374" s="41"/>
    </row>
    <row r="375" spans="2:11" x14ac:dyDescent="0.2">
      <c r="B375" s="38"/>
      <c r="C375" s="40" t="s">
        <v>260</v>
      </c>
      <c r="D375" s="40"/>
      <c r="E375" s="40"/>
      <c r="F375" s="40"/>
      <c r="G375" s="40"/>
      <c r="H375" s="40"/>
      <c r="I375" s="40"/>
      <c r="J375" s="251">
        <f>IF(J374&lt;=0,0,IF(J374&lt;=1,1,IF(J374&lt;=5,2,IF(J374&lt;=10,3,4))))</f>
        <v>4</v>
      </c>
      <c r="K375" s="41"/>
    </row>
    <row r="376" spans="2:11" x14ac:dyDescent="0.2">
      <c r="B376" s="38"/>
      <c r="C376" s="279" t="str">
        <f>"0:"</f>
        <v>0:</v>
      </c>
      <c r="D376" s="278" t="s">
        <v>932</v>
      </c>
      <c r="E376" s="291"/>
      <c r="F376" s="291"/>
      <c r="G376" s="291"/>
      <c r="H376" s="291"/>
      <c r="I376" s="291"/>
      <c r="J376" s="244"/>
      <c r="K376" s="41"/>
    </row>
    <row r="377" spans="2:11" ht="9.75" customHeight="1" x14ac:dyDescent="0.2">
      <c r="B377" s="38"/>
      <c r="C377" s="280" t="str">
        <f>"1:"</f>
        <v>1:</v>
      </c>
      <c r="D377" s="278" t="s">
        <v>934</v>
      </c>
      <c r="E377" s="291"/>
      <c r="F377" s="291"/>
      <c r="G377" s="291"/>
      <c r="H377" s="291"/>
      <c r="I377" s="291"/>
      <c r="J377" s="244"/>
      <c r="K377" s="41"/>
    </row>
    <row r="378" spans="2:11" ht="9.75" customHeight="1" x14ac:dyDescent="0.2">
      <c r="B378" s="38"/>
      <c r="C378" s="280" t="str">
        <f>"2:"</f>
        <v>2:</v>
      </c>
      <c r="D378" s="278" t="s">
        <v>933</v>
      </c>
      <c r="E378" s="291"/>
      <c r="F378" s="291"/>
      <c r="G378" s="291"/>
      <c r="H378" s="291"/>
      <c r="I378" s="291"/>
      <c r="J378" s="244"/>
      <c r="K378" s="41"/>
    </row>
    <row r="379" spans="2:11" ht="9.75" customHeight="1" x14ac:dyDescent="0.2">
      <c r="B379" s="38"/>
      <c r="C379" s="280" t="str">
        <f>"3:"</f>
        <v>3:</v>
      </c>
      <c r="D379" s="278" t="s">
        <v>935</v>
      </c>
      <c r="E379" s="291"/>
      <c r="F379" s="291"/>
      <c r="G379" s="291"/>
      <c r="H379" s="291"/>
      <c r="I379" s="291"/>
      <c r="J379" s="244"/>
      <c r="K379" s="41"/>
    </row>
    <row r="380" spans="2:11" ht="9.75" customHeight="1" x14ac:dyDescent="0.2">
      <c r="B380" s="38"/>
      <c r="C380" s="280" t="str">
        <f>"4:"</f>
        <v>4:</v>
      </c>
      <c r="D380" s="278" t="s">
        <v>936</v>
      </c>
      <c r="E380" s="40"/>
      <c r="F380" s="40"/>
      <c r="G380" s="40"/>
      <c r="H380" s="40"/>
      <c r="I380" s="40"/>
      <c r="J380" s="40"/>
      <c r="K380" s="41"/>
    </row>
    <row r="381" spans="2:11" ht="9.75" customHeight="1" x14ac:dyDescent="0.2">
      <c r="B381" s="38"/>
      <c r="C381" s="40" t="s">
        <v>85</v>
      </c>
      <c r="D381" s="40"/>
      <c r="E381" s="40"/>
      <c r="F381" s="40"/>
      <c r="G381" s="40"/>
      <c r="H381" s="40"/>
      <c r="I381" s="40"/>
      <c r="J381" s="254">
        <f>'Baseline Health'!G114</f>
        <v>7</v>
      </c>
      <c r="K381" s="41"/>
    </row>
    <row r="382" spans="2:11" x14ac:dyDescent="0.2">
      <c r="B382" s="38"/>
      <c r="C382" s="40" t="s">
        <v>297</v>
      </c>
      <c r="D382" s="40"/>
      <c r="E382" s="40"/>
      <c r="F382" s="40"/>
      <c r="G382" s="40"/>
      <c r="H382" s="40"/>
      <c r="I382" s="40"/>
      <c r="J382" s="266">
        <v>0</v>
      </c>
      <c r="K382" s="41"/>
    </row>
    <row r="383" spans="2:11" x14ac:dyDescent="0.2">
      <c r="B383" s="38"/>
      <c r="C383" s="40" t="s">
        <v>261</v>
      </c>
      <c r="D383" s="40"/>
      <c r="E383" s="40"/>
      <c r="F383" s="40"/>
      <c r="G383" s="40"/>
      <c r="H383" s="40"/>
      <c r="I383" s="40"/>
      <c r="J383" s="248">
        <f>IF((J382-J381)&lt;1,0,IF((J382-J381)&lt;3,1,IF((J382-J381)&lt;5,2,IF((J382-J381)&lt;7,3,4))))</f>
        <v>0</v>
      </c>
      <c r="K383" s="41"/>
    </row>
    <row r="384" spans="2:11" x14ac:dyDescent="0.2">
      <c r="B384" s="38"/>
      <c r="C384" s="40" t="s">
        <v>893</v>
      </c>
      <c r="D384" s="40"/>
      <c r="E384" s="40"/>
      <c r="F384" s="40"/>
      <c r="G384" s="40"/>
      <c r="H384" s="40"/>
      <c r="I384" s="40"/>
      <c r="J384" s="40"/>
      <c r="K384" s="41"/>
    </row>
    <row r="385" spans="2:11" x14ac:dyDescent="0.2">
      <c r="B385" s="38"/>
      <c r="C385" s="399"/>
      <c r="D385" s="400"/>
      <c r="E385" s="400"/>
      <c r="F385" s="400"/>
      <c r="G385" s="400"/>
      <c r="H385" s="400"/>
      <c r="I385" s="400"/>
      <c r="J385" s="401"/>
      <c r="K385" s="41"/>
    </row>
    <row r="386" spans="2:11" ht="15" customHeight="1" x14ac:dyDescent="0.2">
      <c r="B386" s="38"/>
      <c r="C386" s="40"/>
      <c r="D386" s="40"/>
      <c r="E386" s="40"/>
      <c r="F386" s="40"/>
      <c r="G386" s="40"/>
      <c r="H386" s="40"/>
      <c r="I386" s="40"/>
      <c r="J386" s="40"/>
      <c r="K386" s="41"/>
    </row>
    <row r="387" spans="2:11" x14ac:dyDescent="0.2">
      <c r="B387" s="38"/>
      <c r="C387" s="179" t="s">
        <v>889</v>
      </c>
      <c r="D387" s="40"/>
      <c r="E387" s="40"/>
      <c r="F387" s="40"/>
      <c r="G387" s="40"/>
      <c r="H387" s="40"/>
      <c r="I387" s="40"/>
      <c r="J387" s="245">
        <f>IF(OR(J375="Not Calculated",J383="Not Calculated")=TRUE,"Not Calculated",AVERAGE(J375,J383))</f>
        <v>2</v>
      </c>
      <c r="K387" s="41"/>
    </row>
    <row r="388" spans="2:11" x14ac:dyDescent="0.2">
      <c r="B388" s="38"/>
      <c r="C388" s="40"/>
      <c r="D388" s="40"/>
      <c r="E388" s="40"/>
      <c r="F388" s="40"/>
      <c r="G388" s="40"/>
      <c r="H388" s="40"/>
      <c r="I388" s="40"/>
      <c r="J388" s="40"/>
      <c r="K388" s="41"/>
    </row>
    <row r="389" spans="2:11" x14ac:dyDescent="0.2">
      <c r="B389" s="38"/>
      <c r="C389" s="40"/>
      <c r="D389" s="40"/>
      <c r="E389" s="40"/>
      <c r="F389" s="40"/>
      <c r="G389" s="40"/>
      <c r="H389" s="40"/>
      <c r="I389" s="40"/>
      <c r="J389" s="40"/>
      <c r="K389" s="41"/>
    </row>
    <row r="390" spans="2:11" ht="16" x14ac:dyDescent="0.2">
      <c r="B390" s="38"/>
      <c r="C390" s="45" t="s">
        <v>860</v>
      </c>
      <c r="D390" s="40"/>
      <c r="E390" s="40"/>
      <c r="F390" s="40"/>
      <c r="G390" s="40"/>
      <c r="H390" s="40"/>
      <c r="I390" s="40"/>
      <c r="J390" s="40"/>
      <c r="K390" s="41"/>
    </row>
    <row r="391" spans="2:11" x14ac:dyDescent="0.2">
      <c r="B391" s="38"/>
      <c r="C391" s="380" t="s">
        <v>849</v>
      </c>
      <c r="D391" s="380"/>
      <c r="E391" s="380"/>
      <c r="F391" s="380"/>
      <c r="G391" s="380"/>
      <c r="H391" s="380"/>
      <c r="I391" s="380"/>
      <c r="J391" s="181"/>
      <c r="K391" s="41"/>
    </row>
    <row r="392" spans="2:11" x14ac:dyDescent="0.2">
      <c r="B392" s="38"/>
      <c r="C392" s="380"/>
      <c r="D392" s="380"/>
      <c r="E392" s="380"/>
      <c r="F392" s="380"/>
      <c r="G392" s="380"/>
      <c r="H392" s="380"/>
      <c r="I392" s="380"/>
      <c r="J392" s="264">
        <v>0</v>
      </c>
      <c r="K392" s="41"/>
    </row>
    <row r="393" spans="2:11" x14ac:dyDescent="0.2">
      <c r="B393" s="38"/>
      <c r="C393" s="40" t="s">
        <v>853</v>
      </c>
      <c r="D393" s="291"/>
      <c r="E393" s="291"/>
      <c r="F393" s="291"/>
      <c r="G393" s="291"/>
      <c r="H393" s="291"/>
      <c r="I393" s="291"/>
      <c r="J393" s="255">
        <f>'Baseline Health'!$G$102</f>
        <v>0</v>
      </c>
      <c r="K393" s="41"/>
    </row>
    <row r="394" spans="2:11" x14ac:dyDescent="0.2">
      <c r="B394" s="38"/>
      <c r="C394" s="40" t="s">
        <v>850</v>
      </c>
      <c r="D394" s="291"/>
      <c r="E394" s="291"/>
      <c r="F394" s="291"/>
      <c r="G394" s="291"/>
      <c r="H394" s="291"/>
      <c r="I394" s="291"/>
      <c r="J394" s="244" t="str">
        <f>IF('Baseline Health'!$G$102=0,"Not Calculated",100*J392/'Baseline Health'!$G$102)</f>
        <v>Not Calculated</v>
      </c>
      <c r="K394" s="41"/>
    </row>
    <row r="395" spans="2:11" x14ac:dyDescent="0.2">
      <c r="B395" s="38"/>
      <c r="C395" s="40" t="s">
        <v>260</v>
      </c>
      <c r="D395" s="40"/>
      <c r="E395" s="40"/>
      <c r="F395" s="40"/>
      <c r="G395" s="40"/>
      <c r="H395" s="40"/>
      <c r="I395" s="40"/>
      <c r="J395" s="43">
        <f>IF(J394&lt;=0,0,IF(J394&lt;=1,1,IF(J394&lt;=5,2,IF(J394&lt;=10,3,4))))</f>
        <v>4</v>
      </c>
      <c r="K395" s="41"/>
    </row>
    <row r="396" spans="2:11" x14ac:dyDescent="0.2">
      <c r="B396" s="38"/>
      <c r="C396" s="279" t="str">
        <f>"0:"</f>
        <v>0:</v>
      </c>
      <c r="D396" s="278" t="s">
        <v>932</v>
      </c>
      <c r="E396" s="291"/>
      <c r="F396" s="291"/>
      <c r="G396" s="291"/>
      <c r="H396" s="291"/>
      <c r="I396" s="291"/>
      <c r="J396" s="244"/>
      <c r="K396" s="41"/>
    </row>
    <row r="397" spans="2:11" ht="9.75" customHeight="1" x14ac:dyDescent="0.2">
      <c r="B397" s="38"/>
      <c r="C397" s="280" t="str">
        <f>"1:"</f>
        <v>1:</v>
      </c>
      <c r="D397" s="278" t="s">
        <v>934</v>
      </c>
      <c r="E397" s="291"/>
      <c r="F397" s="291"/>
      <c r="G397" s="291"/>
      <c r="H397" s="291"/>
      <c r="I397" s="291"/>
      <c r="J397" s="244"/>
      <c r="K397" s="41"/>
    </row>
    <row r="398" spans="2:11" ht="9.75" customHeight="1" x14ac:dyDescent="0.2">
      <c r="B398" s="38"/>
      <c r="C398" s="280" t="str">
        <f>"2:"</f>
        <v>2:</v>
      </c>
      <c r="D398" s="278" t="s">
        <v>933</v>
      </c>
      <c r="E398" s="291"/>
      <c r="F398" s="291"/>
      <c r="G398" s="291"/>
      <c r="H398" s="291"/>
      <c r="I398" s="291"/>
      <c r="J398" s="244"/>
      <c r="K398" s="41"/>
    </row>
    <row r="399" spans="2:11" ht="9.75" customHeight="1" x14ac:dyDescent="0.2">
      <c r="B399" s="38"/>
      <c r="C399" s="280" t="str">
        <f>"3:"</f>
        <v>3:</v>
      </c>
      <c r="D399" s="278" t="s">
        <v>935</v>
      </c>
      <c r="E399" s="291"/>
      <c r="F399" s="291"/>
      <c r="G399" s="291"/>
      <c r="H399" s="291"/>
      <c r="I399" s="291"/>
      <c r="J399" s="244"/>
      <c r="K399" s="41"/>
    </row>
    <row r="400" spans="2:11" ht="9.75" customHeight="1" x14ac:dyDescent="0.2">
      <c r="B400" s="38"/>
      <c r="C400" s="280" t="str">
        <f>"4:"</f>
        <v>4:</v>
      </c>
      <c r="D400" s="278" t="s">
        <v>936</v>
      </c>
      <c r="E400" s="40"/>
      <c r="F400" s="40"/>
      <c r="G400" s="40"/>
      <c r="H400" s="40"/>
      <c r="I400" s="40"/>
      <c r="J400" s="40"/>
      <c r="K400" s="41"/>
    </row>
    <row r="401" spans="2:12" ht="9.75" customHeight="1" x14ac:dyDescent="0.2">
      <c r="B401" s="38"/>
      <c r="C401" s="40" t="s">
        <v>893</v>
      </c>
      <c r="D401" s="40"/>
      <c r="E401" s="40"/>
      <c r="F401" s="40"/>
      <c r="G401" s="40"/>
      <c r="H401" s="40"/>
      <c r="I401" s="40"/>
      <c r="J401" s="40"/>
      <c r="K401" s="41"/>
    </row>
    <row r="402" spans="2:12" x14ac:dyDescent="0.2">
      <c r="B402" s="38"/>
      <c r="C402" s="399"/>
      <c r="D402" s="400"/>
      <c r="E402" s="400"/>
      <c r="F402" s="400"/>
      <c r="G402" s="400"/>
      <c r="H402" s="400"/>
      <c r="I402" s="400"/>
      <c r="J402" s="401"/>
      <c r="K402" s="41"/>
    </row>
    <row r="403" spans="2:12" ht="15" customHeight="1" x14ac:dyDescent="0.2">
      <c r="B403" s="38"/>
      <c r="C403" s="40"/>
      <c r="D403" s="40"/>
      <c r="E403" s="40"/>
      <c r="F403" s="40"/>
      <c r="G403" s="40"/>
      <c r="H403" s="40"/>
      <c r="I403" s="40"/>
      <c r="J403" s="40"/>
      <c r="K403" s="41"/>
    </row>
    <row r="404" spans="2:12" x14ac:dyDescent="0.2">
      <c r="B404" s="38"/>
      <c r="C404" s="179" t="s">
        <v>890</v>
      </c>
      <c r="D404" s="40"/>
      <c r="E404" s="40"/>
      <c r="F404" s="40"/>
      <c r="G404" s="40"/>
      <c r="H404" s="40"/>
      <c r="I404" s="40"/>
      <c r="J404" s="245">
        <f>J395</f>
        <v>4</v>
      </c>
      <c r="K404" s="41"/>
    </row>
    <row r="405" spans="2:12" x14ac:dyDescent="0.2">
      <c r="B405" s="38"/>
      <c r="C405" s="40"/>
      <c r="D405" s="40"/>
      <c r="E405" s="40"/>
      <c r="F405" s="40"/>
      <c r="G405" s="40"/>
      <c r="H405" s="40"/>
      <c r="I405" s="40"/>
      <c r="J405" s="40"/>
      <c r="K405" s="41"/>
    </row>
    <row r="406" spans="2:12" x14ac:dyDescent="0.2">
      <c r="B406" s="38"/>
      <c r="C406" s="40"/>
      <c r="D406" s="40"/>
      <c r="E406" s="40"/>
      <c r="F406" s="40"/>
      <c r="G406" s="40"/>
      <c r="H406" s="40"/>
      <c r="I406" s="40"/>
      <c r="J406" s="40"/>
      <c r="K406" s="41"/>
    </row>
    <row r="407" spans="2:12" ht="16" x14ac:dyDescent="0.2">
      <c r="B407" s="38"/>
      <c r="C407" s="45" t="s">
        <v>861</v>
      </c>
      <c r="D407" s="40"/>
      <c r="E407" s="40"/>
      <c r="F407" s="40"/>
      <c r="G407" s="40"/>
      <c r="H407" s="40"/>
      <c r="I407" s="40"/>
      <c r="J407" s="40"/>
      <c r="K407" s="41"/>
    </row>
    <row r="408" spans="2:12" x14ac:dyDescent="0.2">
      <c r="B408" s="38"/>
      <c r="C408" s="40" t="s">
        <v>298</v>
      </c>
      <c r="D408" s="40"/>
      <c r="E408" s="40"/>
      <c r="F408" s="40"/>
      <c r="G408" s="40"/>
      <c r="H408" s="40"/>
      <c r="I408" s="40"/>
      <c r="J408" s="269">
        <v>180</v>
      </c>
      <c r="K408" s="41"/>
    </row>
    <row r="409" spans="2:12" x14ac:dyDescent="0.2">
      <c r="B409" s="38"/>
      <c r="C409" s="40" t="s">
        <v>260</v>
      </c>
      <c r="D409" s="40"/>
      <c r="E409" s="40"/>
      <c r="F409" s="40"/>
      <c r="G409" s="40"/>
      <c r="H409" s="40"/>
      <c r="I409" s="40"/>
      <c r="J409" s="253">
        <f>IF(J408&lt;=0,0,IF(J408&lt;=(J161*0.01),1,IF(J408&lt;=(J161*0.05),2,IF(J408&lt;=(J161*0.1),3,4))))</f>
        <v>4</v>
      </c>
      <c r="K409" s="41"/>
      <c r="L409" s="12" t="s">
        <v>1140</v>
      </c>
    </row>
    <row r="410" spans="2:12" x14ac:dyDescent="0.2">
      <c r="B410" s="38"/>
      <c r="C410" s="279" t="str">
        <f>"0:"</f>
        <v>0:</v>
      </c>
      <c r="D410" s="278" t="s">
        <v>939</v>
      </c>
      <c r="E410" s="40"/>
      <c r="F410" s="40"/>
      <c r="G410" s="40"/>
      <c r="H410" s="40"/>
      <c r="I410" s="40"/>
      <c r="J410" s="282"/>
      <c r="K410" s="41"/>
    </row>
    <row r="411" spans="2:12" ht="9.75" customHeight="1" x14ac:dyDescent="0.2">
      <c r="B411" s="38"/>
      <c r="C411" s="280" t="str">
        <f>"1:"</f>
        <v>1:</v>
      </c>
      <c r="D411" s="278" t="s">
        <v>940</v>
      </c>
      <c r="E411" s="40"/>
      <c r="F411" s="40"/>
      <c r="G411" s="40"/>
      <c r="H411" s="40"/>
      <c r="I411" s="40"/>
      <c r="J411" s="282"/>
      <c r="K411" s="41"/>
    </row>
    <row r="412" spans="2:12" ht="9.75" customHeight="1" x14ac:dyDescent="0.2">
      <c r="B412" s="38"/>
      <c r="C412" s="280" t="str">
        <f>"2:"</f>
        <v>2:</v>
      </c>
      <c r="D412" s="278" t="s">
        <v>941</v>
      </c>
      <c r="E412" s="40"/>
      <c r="F412" s="40"/>
      <c r="G412" s="40"/>
      <c r="H412" s="40"/>
      <c r="I412" s="40"/>
      <c r="J412" s="282"/>
      <c r="K412" s="41"/>
    </row>
    <row r="413" spans="2:12" ht="9.75" customHeight="1" x14ac:dyDescent="0.2">
      <c r="B413" s="38"/>
      <c r="C413" s="280" t="str">
        <f>"3:"</f>
        <v>3:</v>
      </c>
      <c r="D413" s="278" t="s">
        <v>942</v>
      </c>
      <c r="E413" s="40"/>
      <c r="F413" s="40"/>
      <c r="G413" s="40"/>
      <c r="H413" s="40"/>
      <c r="I413" s="40"/>
      <c r="J413" s="282"/>
      <c r="K413" s="41"/>
    </row>
    <row r="414" spans="2:12" ht="9.75" customHeight="1" x14ac:dyDescent="0.2">
      <c r="B414" s="38"/>
      <c r="C414" s="280" t="str">
        <f>"4:"</f>
        <v>4:</v>
      </c>
      <c r="D414" s="278" t="s">
        <v>943</v>
      </c>
      <c r="E414" s="40"/>
      <c r="F414" s="40"/>
      <c r="G414" s="40"/>
      <c r="H414" s="40"/>
      <c r="I414" s="40"/>
      <c r="J414" s="40"/>
      <c r="K414" s="41"/>
    </row>
    <row r="415" spans="2:12" ht="9.75" customHeight="1" x14ac:dyDescent="0.2">
      <c r="B415" s="38"/>
      <c r="C415" s="40" t="s">
        <v>893</v>
      </c>
      <c r="D415" s="40"/>
      <c r="E415" s="40"/>
      <c r="F415" s="40"/>
      <c r="G415" s="40"/>
      <c r="H415" s="40"/>
      <c r="I415" s="40"/>
      <c r="J415" s="40"/>
      <c r="K415" s="41"/>
    </row>
    <row r="416" spans="2:12" ht="60" customHeight="1" x14ac:dyDescent="0.2">
      <c r="B416" s="38"/>
      <c r="C416" s="399" t="s">
        <v>1163</v>
      </c>
      <c r="D416" s="400"/>
      <c r="E416" s="400"/>
      <c r="F416" s="400"/>
      <c r="G416" s="400"/>
      <c r="H416" s="400"/>
      <c r="I416" s="400"/>
      <c r="J416" s="401"/>
      <c r="K416" s="41"/>
    </row>
    <row r="417" spans="2:11" ht="30" customHeight="1" x14ac:dyDescent="0.2">
      <c r="B417" s="38"/>
      <c r="C417" s="40"/>
      <c r="D417" s="40"/>
      <c r="E417" s="40"/>
      <c r="F417" s="40"/>
      <c r="G417" s="40"/>
      <c r="H417" s="40"/>
      <c r="I417" s="40"/>
      <c r="J417" s="40"/>
      <c r="K417" s="41"/>
    </row>
    <row r="418" spans="2:11" x14ac:dyDescent="0.2">
      <c r="B418" s="38"/>
      <c r="C418" s="179" t="s">
        <v>891</v>
      </c>
      <c r="D418" s="40"/>
      <c r="E418" s="40"/>
      <c r="F418" s="40"/>
      <c r="G418" s="40"/>
      <c r="H418" s="40"/>
      <c r="I418" s="40"/>
      <c r="J418" s="245">
        <f>J409</f>
        <v>4</v>
      </c>
      <c r="K418" s="41"/>
    </row>
    <row r="419" spans="2:11" x14ac:dyDescent="0.2">
      <c r="B419" s="38"/>
      <c r="C419" s="40"/>
      <c r="D419" s="40"/>
      <c r="E419" s="40"/>
      <c r="F419" s="40"/>
      <c r="G419" s="40"/>
      <c r="H419" s="40"/>
      <c r="I419" s="40"/>
      <c r="J419" s="40"/>
      <c r="K419" s="41"/>
    </row>
    <row r="420" spans="2:11" ht="20" customHeight="1" x14ac:dyDescent="0.2">
      <c r="B420" s="38"/>
      <c r="C420" s="410" t="s">
        <v>881</v>
      </c>
      <c r="D420" s="410"/>
      <c r="E420" s="410"/>
      <c r="F420" s="410"/>
      <c r="G420" s="410"/>
      <c r="H420" s="410"/>
      <c r="I420" s="410"/>
      <c r="J420" s="40"/>
      <c r="K420" s="41"/>
    </row>
    <row r="421" spans="2:11" ht="20" customHeight="1" x14ac:dyDescent="0.2">
      <c r="B421" s="38"/>
      <c r="C421" s="410"/>
      <c r="D421" s="410"/>
      <c r="E421" s="410"/>
      <c r="F421" s="410"/>
      <c r="G421" s="410"/>
      <c r="H421" s="410"/>
      <c r="I421" s="410"/>
      <c r="J421" s="244">
        <f>IF(OR(J288="Not Calculated",J307="Not Calculated",J326="Not Calculated",J349="Not Calculated",J367="Not Calculated",J387="Not Calculated",J404="Not Calculated",J418="Not Calculated")=TRUE,"Not Calculated",AVERAGE(J288,J307,J326,J349,J367,J387,J404,J418))</f>
        <v>2.25</v>
      </c>
      <c r="K421" s="41"/>
    </row>
    <row r="422" spans="2:11" ht="16" thickBot="1" x14ac:dyDescent="0.25">
      <c r="B422" s="46"/>
      <c r="C422" s="47"/>
      <c r="D422" s="47"/>
      <c r="E422" s="47"/>
      <c r="F422" s="47"/>
      <c r="G422" s="47"/>
      <c r="H422" s="47"/>
      <c r="I422" s="47"/>
      <c r="J422" s="47"/>
      <c r="K422" s="49"/>
    </row>
    <row r="423" spans="2:11" ht="16" thickBot="1" x14ac:dyDescent="0.25"/>
    <row r="424" spans="2:11" x14ac:dyDescent="0.2">
      <c r="B424" s="33"/>
      <c r="C424" s="34"/>
      <c r="D424" s="34"/>
      <c r="E424" s="34"/>
      <c r="F424" s="34"/>
      <c r="G424" s="34"/>
      <c r="H424" s="34"/>
      <c r="I424" s="34"/>
      <c r="J424" s="34"/>
      <c r="K424" s="37"/>
    </row>
    <row r="425" spans="2:11" ht="21" x14ac:dyDescent="0.25">
      <c r="B425" s="38"/>
      <c r="C425" s="40"/>
      <c r="D425" s="40"/>
      <c r="E425" s="40"/>
      <c r="F425" s="40"/>
      <c r="G425" s="172" t="s">
        <v>230</v>
      </c>
      <c r="H425" s="40"/>
      <c r="I425" s="40"/>
      <c r="J425" s="40"/>
      <c r="K425" s="41"/>
    </row>
    <row r="426" spans="2:11" x14ac:dyDescent="0.2">
      <c r="B426" s="38"/>
      <c r="C426" s="40"/>
      <c r="D426" s="40"/>
      <c r="E426" s="40"/>
      <c r="F426" s="40"/>
      <c r="G426" s="40"/>
      <c r="H426" s="40"/>
      <c r="I426" s="40"/>
      <c r="J426" s="40"/>
      <c r="K426" s="41"/>
    </row>
    <row r="427" spans="2:11" ht="16" x14ac:dyDescent="0.2">
      <c r="B427" s="38"/>
      <c r="C427" s="45" t="s">
        <v>299</v>
      </c>
      <c r="D427" s="40"/>
      <c r="E427" s="40"/>
      <c r="F427" s="40"/>
      <c r="G427" s="40"/>
      <c r="H427" s="40"/>
      <c r="I427" s="40"/>
      <c r="J427" s="40"/>
      <c r="K427" s="41"/>
    </row>
    <row r="428" spans="2:11" x14ac:dyDescent="0.2">
      <c r="B428" s="38"/>
      <c r="C428" s="40" t="s">
        <v>300</v>
      </c>
      <c r="D428" s="40"/>
      <c r="E428" s="40"/>
      <c r="F428" s="40"/>
      <c r="G428" s="40"/>
      <c r="H428" s="40"/>
      <c r="I428" s="40"/>
      <c r="J428" s="270">
        <v>0</v>
      </c>
      <c r="K428" s="41"/>
    </row>
    <row r="429" spans="2:11" x14ac:dyDescent="0.2">
      <c r="B429" s="38"/>
      <c r="C429" s="40" t="s">
        <v>260</v>
      </c>
      <c r="D429" s="40"/>
      <c r="E429" s="40"/>
      <c r="F429" s="40"/>
      <c r="G429" s="40"/>
      <c r="H429" s="40"/>
      <c r="I429" s="40"/>
      <c r="J429" s="248">
        <f>IF(J428&lt;=0,0,IF(J428&lt;=1,1,IF(J428&lt;=5,2,IF(J428&lt;=10,3,4))))</f>
        <v>0</v>
      </c>
      <c r="K429" s="41"/>
    </row>
    <row r="430" spans="2:11" x14ac:dyDescent="0.2">
      <c r="B430" s="288"/>
      <c r="C430" s="279" t="str">
        <f>"0:"</f>
        <v>0:</v>
      </c>
      <c r="D430" s="290" t="s">
        <v>944</v>
      </c>
      <c r="E430" s="245"/>
      <c r="F430" s="245"/>
      <c r="G430" s="245"/>
      <c r="H430" s="245"/>
      <c r="I430" s="245"/>
      <c r="J430" s="245"/>
      <c r="K430" s="289"/>
    </row>
    <row r="431" spans="2:11" s="98" customFormat="1" ht="9.75" customHeight="1" x14ac:dyDescent="0.2">
      <c r="B431" s="288"/>
      <c r="C431" s="280" t="str">
        <f>"1:"</f>
        <v>1:</v>
      </c>
      <c r="D431" s="290" t="s">
        <v>945</v>
      </c>
      <c r="E431" s="245"/>
      <c r="F431" s="245"/>
      <c r="G431" s="245"/>
      <c r="H431" s="245"/>
      <c r="I431" s="245"/>
      <c r="J431" s="245"/>
      <c r="K431" s="289"/>
    </row>
    <row r="432" spans="2:11" s="98" customFormat="1" ht="9.75" customHeight="1" x14ac:dyDescent="0.2">
      <c r="B432" s="288"/>
      <c r="C432" s="280" t="str">
        <f>"2:"</f>
        <v>2:</v>
      </c>
      <c r="D432" s="290" t="s">
        <v>946</v>
      </c>
      <c r="E432" s="245"/>
      <c r="F432" s="245"/>
      <c r="G432" s="245"/>
      <c r="H432" s="245"/>
      <c r="I432" s="245"/>
      <c r="J432" s="245"/>
      <c r="K432" s="289"/>
    </row>
    <row r="433" spans="2:11" s="98" customFormat="1" ht="9.75" customHeight="1" x14ac:dyDescent="0.2">
      <c r="B433" s="288"/>
      <c r="C433" s="280" t="str">
        <f>"3:"</f>
        <v>3:</v>
      </c>
      <c r="D433" s="290" t="s">
        <v>947</v>
      </c>
      <c r="E433" s="245"/>
      <c r="F433" s="245"/>
      <c r="G433" s="245"/>
      <c r="H433" s="245"/>
      <c r="I433" s="245"/>
      <c r="J433" s="245"/>
      <c r="K433" s="289"/>
    </row>
    <row r="434" spans="2:11" s="98" customFormat="1" ht="9.75" customHeight="1" x14ac:dyDescent="0.2">
      <c r="B434" s="288"/>
      <c r="C434" s="280" t="str">
        <f>"4:"</f>
        <v>4:</v>
      </c>
      <c r="D434" s="290" t="s">
        <v>948</v>
      </c>
      <c r="E434" s="245"/>
      <c r="F434" s="245"/>
      <c r="G434" s="245"/>
      <c r="H434" s="245"/>
      <c r="I434" s="245"/>
      <c r="J434" s="247"/>
      <c r="K434" s="289"/>
    </row>
    <row r="435" spans="2:11" s="98" customFormat="1" ht="12" customHeight="1" x14ac:dyDescent="0.2">
      <c r="B435" s="38"/>
      <c r="C435" s="40" t="s">
        <v>257</v>
      </c>
      <c r="D435" s="40"/>
      <c r="E435" s="40"/>
      <c r="F435" s="40"/>
      <c r="G435" s="40"/>
      <c r="H435" s="40"/>
      <c r="I435" s="40"/>
      <c r="J435" s="266" t="s">
        <v>870</v>
      </c>
      <c r="K435" s="41"/>
    </row>
    <row r="436" spans="2:11" x14ac:dyDescent="0.2">
      <c r="B436" s="38"/>
      <c r="C436" s="40" t="s">
        <v>261</v>
      </c>
      <c r="D436" s="40"/>
      <c r="E436" s="40"/>
      <c r="F436" s="40"/>
      <c r="G436" s="40"/>
      <c r="H436" s="40"/>
      <c r="I436" s="40"/>
      <c r="J436" s="245">
        <f>IF(J435=$B$973,$A$974,IF(J435=$B$974,$A$975,IF(J435=$B$975,$A$976,IF(J435=$B$976,$A$977,IF(J435=$B$977,$A$978,"Not Calculated")))))</f>
        <v>0</v>
      </c>
      <c r="K436" s="41"/>
    </row>
    <row r="437" spans="2:11" x14ac:dyDescent="0.2">
      <c r="B437" s="38"/>
      <c r="C437" s="40" t="s">
        <v>893</v>
      </c>
      <c r="D437" s="40"/>
      <c r="E437" s="40"/>
      <c r="F437" s="40"/>
      <c r="G437" s="40"/>
      <c r="H437" s="40"/>
      <c r="I437" s="40"/>
      <c r="J437" s="40"/>
      <c r="K437" s="41"/>
    </row>
    <row r="438" spans="2:11" x14ac:dyDescent="0.2">
      <c r="B438" s="38"/>
      <c r="C438" s="399"/>
      <c r="D438" s="400"/>
      <c r="E438" s="400"/>
      <c r="F438" s="400"/>
      <c r="G438" s="400"/>
      <c r="H438" s="400"/>
      <c r="I438" s="400"/>
      <c r="J438" s="400"/>
      <c r="K438" s="41"/>
    </row>
    <row r="439" spans="2:11" ht="15" customHeight="1" x14ac:dyDescent="0.2">
      <c r="B439" s="38"/>
      <c r="C439" s="40"/>
      <c r="D439" s="40"/>
      <c r="E439" s="40"/>
      <c r="F439" s="40"/>
      <c r="G439" s="40"/>
      <c r="H439" s="40"/>
      <c r="I439" s="40"/>
      <c r="J439" s="40"/>
      <c r="K439" s="41"/>
    </row>
    <row r="440" spans="2:11" x14ac:dyDescent="0.2">
      <c r="B440" s="38"/>
      <c r="C440" s="179" t="s">
        <v>301</v>
      </c>
      <c r="D440" s="40"/>
      <c r="E440" s="40"/>
      <c r="F440" s="40"/>
      <c r="G440" s="40"/>
      <c r="H440" s="40"/>
      <c r="I440" s="40"/>
      <c r="J440" s="245">
        <f>IF(OR(J429="Not Calculated",J436="Not Calculated")=TRUE,"Not Calculated",AVERAGE(J429,J436))</f>
        <v>0</v>
      </c>
      <c r="K440" s="41"/>
    </row>
    <row r="441" spans="2:11" x14ac:dyDescent="0.2">
      <c r="B441" s="38"/>
      <c r="C441" s="40"/>
      <c r="D441" s="40"/>
      <c r="E441" s="40"/>
      <c r="F441" s="40"/>
      <c r="G441" s="40"/>
      <c r="H441" s="40"/>
      <c r="I441" s="40"/>
      <c r="J441" s="40"/>
      <c r="K441" s="41"/>
    </row>
    <row r="442" spans="2:11" x14ac:dyDescent="0.2">
      <c r="B442" s="38"/>
      <c r="C442" s="40"/>
      <c r="D442" s="40"/>
      <c r="E442" s="40"/>
      <c r="F442" s="40"/>
      <c r="G442" s="40"/>
      <c r="H442" s="40"/>
      <c r="I442" s="40"/>
      <c r="J442" s="40"/>
      <c r="K442" s="41"/>
    </row>
    <row r="443" spans="2:11" ht="16" x14ac:dyDescent="0.2">
      <c r="B443" s="38"/>
      <c r="C443" s="45" t="s">
        <v>303</v>
      </c>
      <c r="D443" s="40"/>
      <c r="E443" s="40"/>
      <c r="F443" s="40"/>
      <c r="G443" s="40"/>
      <c r="H443" s="40"/>
      <c r="I443" s="40"/>
      <c r="J443" s="40"/>
      <c r="K443" s="41"/>
    </row>
    <row r="444" spans="2:11" x14ac:dyDescent="0.2">
      <c r="B444" s="38"/>
      <c r="C444" s="380" t="s">
        <v>305</v>
      </c>
      <c r="D444" s="380"/>
      <c r="E444" s="380"/>
      <c r="F444" s="380"/>
      <c r="G444" s="380"/>
      <c r="H444" s="380"/>
      <c r="I444" s="380"/>
      <c r="J444" s="40"/>
      <c r="K444" s="41"/>
    </row>
    <row r="445" spans="2:11" ht="15" customHeight="1" x14ac:dyDescent="0.2">
      <c r="B445" s="38"/>
      <c r="C445" s="380"/>
      <c r="D445" s="380"/>
      <c r="E445" s="380"/>
      <c r="F445" s="380"/>
      <c r="G445" s="380"/>
      <c r="H445" s="380"/>
      <c r="I445" s="380"/>
      <c r="J445" s="270">
        <v>0</v>
      </c>
      <c r="K445" s="41"/>
    </row>
    <row r="446" spans="2:11" x14ac:dyDescent="0.2">
      <c r="B446" s="38"/>
      <c r="C446" s="40" t="s">
        <v>260</v>
      </c>
      <c r="D446" s="40"/>
      <c r="E446" s="40"/>
      <c r="F446" s="40"/>
      <c r="G446" s="40"/>
      <c r="H446" s="40"/>
      <c r="I446" s="40"/>
      <c r="J446" s="248">
        <f>IF(J445&lt;=0,0,IF(J445&lt;=1,1,IF(J445&lt;=5,2,IF(J445&lt;=10,3,4))))</f>
        <v>0</v>
      </c>
      <c r="K446" s="41"/>
    </row>
    <row r="447" spans="2:11" x14ac:dyDescent="0.2">
      <c r="B447" s="38"/>
      <c r="C447" s="279" t="str">
        <f>"0:"</f>
        <v>0:</v>
      </c>
      <c r="D447" s="278" t="s">
        <v>944</v>
      </c>
      <c r="E447" s="40"/>
      <c r="F447" s="40"/>
      <c r="G447" s="40"/>
      <c r="H447" s="40"/>
      <c r="I447" s="40"/>
      <c r="J447" s="245"/>
      <c r="K447" s="41"/>
    </row>
    <row r="448" spans="2:11" ht="9.75" customHeight="1" x14ac:dyDescent="0.2">
      <c r="B448" s="38"/>
      <c r="C448" s="280" t="str">
        <f>"1:"</f>
        <v>1:</v>
      </c>
      <c r="D448" s="278" t="s">
        <v>945</v>
      </c>
      <c r="E448" s="40"/>
      <c r="F448" s="40"/>
      <c r="G448" s="40"/>
      <c r="H448" s="40"/>
      <c r="I448" s="40"/>
      <c r="J448" s="245"/>
      <c r="K448" s="41"/>
    </row>
    <row r="449" spans="2:11" ht="9.75" customHeight="1" x14ac:dyDescent="0.2">
      <c r="B449" s="38"/>
      <c r="C449" s="280" t="str">
        <f>"2:"</f>
        <v>2:</v>
      </c>
      <c r="D449" s="278" t="s">
        <v>946</v>
      </c>
      <c r="E449" s="40"/>
      <c r="F449" s="40"/>
      <c r="G449" s="40"/>
      <c r="H449" s="40"/>
      <c r="I449" s="40"/>
      <c r="J449" s="245"/>
      <c r="K449" s="41"/>
    </row>
    <row r="450" spans="2:11" ht="9.75" customHeight="1" x14ac:dyDescent="0.2">
      <c r="B450" s="38"/>
      <c r="C450" s="280" t="str">
        <f>"3:"</f>
        <v>3:</v>
      </c>
      <c r="D450" s="278" t="s">
        <v>947</v>
      </c>
      <c r="E450" s="40"/>
      <c r="F450" s="40"/>
      <c r="G450" s="40"/>
      <c r="H450" s="40"/>
      <c r="I450" s="40"/>
      <c r="J450" s="245"/>
      <c r="K450" s="41"/>
    </row>
    <row r="451" spans="2:11" ht="9.75" customHeight="1" x14ac:dyDescent="0.2">
      <c r="B451" s="38"/>
      <c r="C451" s="280" t="str">
        <f>"4:"</f>
        <v>4:</v>
      </c>
      <c r="D451" s="278" t="s">
        <v>948</v>
      </c>
      <c r="E451" s="40"/>
      <c r="F451" s="40"/>
      <c r="G451" s="40"/>
      <c r="H451" s="40"/>
      <c r="I451" s="40"/>
      <c r="J451" s="247"/>
      <c r="K451" s="41"/>
    </row>
    <row r="452" spans="2:11" ht="12" customHeight="1" x14ac:dyDescent="0.2">
      <c r="B452" s="38"/>
      <c r="C452" s="40" t="s">
        <v>257</v>
      </c>
      <c r="D452" s="40"/>
      <c r="E452" s="40"/>
      <c r="F452" s="40"/>
      <c r="G452" s="40"/>
      <c r="H452" s="40"/>
      <c r="I452" s="40"/>
      <c r="J452" s="266" t="s">
        <v>870</v>
      </c>
      <c r="K452" s="41"/>
    </row>
    <row r="453" spans="2:11" x14ac:dyDescent="0.2">
      <c r="B453" s="38"/>
      <c r="C453" s="40" t="s">
        <v>261</v>
      </c>
      <c r="D453" s="40"/>
      <c r="E453" s="40"/>
      <c r="F453" s="40"/>
      <c r="G453" s="40"/>
      <c r="H453" s="40"/>
      <c r="I453" s="40"/>
      <c r="J453" s="245">
        <f>IF(J452=$B$973,$A$974,IF(J452=$B$974,$A$975,IF(J452=$B$975,$A$976,IF(J452=$B$976,$A$977,IF(J452=$B$977,$A$978,"Not Calculated")))))</f>
        <v>0</v>
      </c>
      <c r="K453" s="41"/>
    </row>
    <row r="454" spans="2:11" x14ac:dyDescent="0.2">
      <c r="B454" s="38"/>
      <c r="C454" s="40" t="s">
        <v>893</v>
      </c>
      <c r="D454" s="40"/>
      <c r="E454" s="40"/>
      <c r="F454" s="40"/>
      <c r="G454" s="40"/>
      <c r="H454" s="40"/>
      <c r="I454" s="40"/>
      <c r="J454" s="40"/>
      <c r="K454" s="41"/>
    </row>
    <row r="455" spans="2:11" x14ac:dyDescent="0.2">
      <c r="B455" s="38"/>
      <c r="C455" s="399"/>
      <c r="D455" s="400"/>
      <c r="E455" s="400"/>
      <c r="F455" s="400"/>
      <c r="G455" s="400"/>
      <c r="H455" s="400"/>
      <c r="I455" s="400"/>
      <c r="J455" s="401"/>
      <c r="K455" s="41"/>
    </row>
    <row r="456" spans="2:11" ht="15" customHeight="1" x14ac:dyDescent="0.2">
      <c r="B456" s="38"/>
      <c r="C456" s="40"/>
      <c r="D456" s="40"/>
      <c r="E456" s="40"/>
      <c r="F456" s="40"/>
      <c r="G456" s="40"/>
      <c r="H456" s="40"/>
      <c r="I456" s="40"/>
      <c r="J456" s="40"/>
      <c r="K456" s="41"/>
    </row>
    <row r="457" spans="2:11" x14ac:dyDescent="0.2">
      <c r="B457" s="38"/>
      <c r="C457" s="179" t="s">
        <v>304</v>
      </c>
      <c r="D457" s="40"/>
      <c r="E457" s="40"/>
      <c r="F457" s="40"/>
      <c r="G457" s="40"/>
      <c r="H457" s="40"/>
      <c r="I457" s="40"/>
      <c r="J457" s="245">
        <f>IF(OR(J446="Not Calculated",J453="Not Calculated")=TRUE,"Not Calculated",AVERAGE(J446,J453))</f>
        <v>0</v>
      </c>
      <c r="K457" s="41"/>
    </row>
    <row r="458" spans="2:11" x14ac:dyDescent="0.2">
      <c r="B458" s="38"/>
      <c r="C458" s="40"/>
      <c r="D458" s="40"/>
      <c r="E458" s="40"/>
      <c r="F458" s="40"/>
      <c r="G458" s="40"/>
      <c r="H458" s="40"/>
      <c r="I458" s="40"/>
      <c r="J458" s="40"/>
      <c r="K458" s="41"/>
    </row>
    <row r="459" spans="2:11" x14ac:dyDescent="0.2">
      <c r="B459" s="38"/>
      <c r="C459" s="40"/>
      <c r="D459" s="40"/>
      <c r="E459" s="40"/>
      <c r="F459" s="40"/>
      <c r="G459" s="40"/>
      <c r="H459" s="40"/>
      <c r="I459" s="40"/>
      <c r="J459" s="40"/>
      <c r="K459" s="41"/>
    </row>
    <row r="460" spans="2:11" ht="16" x14ac:dyDescent="0.2">
      <c r="B460" s="38"/>
      <c r="C460" s="45" t="s">
        <v>306</v>
      </c>
      <c r="D460" s="40"/>
      <c r="E460" s="40"/>
      <c r="F460" s="40"/>
      <c r="G460" s="40"/>
      <c r="H460" s="40"/>
      <c r="I460" s="40"/>
      <c r="J460" s="40"/>
      <c r="K460" s="41"/>
    </row>
    <row r="461" spans="2:11" x14ac:dyDescent="0.2">
      <c r="B461" s="38"/>
      <c r="C461" s="40" t="s">
        <v>949</v>
      </c>
      <c r="D461" s="40"/>
      <c r="E461" s="40"/>
      <c r="F461" s="40"/>
      <c r="G461" s="40"/>
      <c r="H461" s="40"/>
      <c r="I461" s="40"/>
      <c r="J461" s="270">
        <v>0</v>
      </c>
      <c r="K461" s="41"/>
    </row>
    <row r="462" spans="2:11" x14ac:dyDescent="0.2">
      <c r="B462" s="38"/>
      <c r="C462" s="40" t="s">
        <v>260</v>
      </c>
      <c r="D462" s="40"/>
      <c r="E462" s="40"/>
      <c r="F462" s="40"/>
      <c r="G462" s="40"/>
      <c r="H462" s="40"/>
      <c r="I462" s="40"/>
      <c r="J462" s="248">
        <f>IF(J461&lt;=0,0,IF(J461&lt;=1,1,IF(J461&lt;=5,2,IF(J461&lt;=10,3,4))))</f>
        <v>0</v>
      </c>
      <c r="K462" s="41"/>
    </row>
    <row r="463" spans="2:11" x14ac:dyDescent="0.2">
      <c r="B463" s="38"/>
      <c r="C463" s="279" t="str">
        <f>"0:"</f>
        <v>0:</v>
      </c>
      <c r="D463" s="290" t="s">
        <v>944</v>
      </c>
      <c r="E463" s="40"/>
      <c r="F463" s="40"/>
      <c r="G463" s="40"/>
      <c r="H463" s="40"/>
      <c r="I463" s="40"/>
      <c r="J463" s="245"/>
      <c r="K463" s="41"/>
    </row>
    <row r="464" spans="2:11" ht="9.75" customHeight="1" x14ac:dyDescent="0.2">
      <c r="B464" s="38"/>
      <c r="C464" s="280" t="str">
        <f>"1:"</f>
        <v>1:</v>
      </c>
      <c r="D464" s="290" t="s">
        <v>945</v>
      </c>
      <c r="E464" s="40"/>
      <c r="F464" s="40"/>
      <c r="G464" s="40"/>
      <c r="H464" s="40"/>
      <c r="I464" s="40"/>
      <c r="J464" s="245"/>
      <c r="K464" s="41"/>
    </row>
    <row r="465" spans="2:11" ht="9.75" customHeight="1" x14ac:dyDescent="0.2">
      <c r="B465" s="38"/>
      <c r="C465" s="280" t="str">
        <f>"2:"</f>
        <v>2:</v>
      </c>
      <c r="D465" s="290" t="s">
        <v>946</v>
      </c>
      <c r="E465" s="40"/>
      <c r="F465" s="40"/>
      <c r="G465" s="40"/>
      <c r="H465" s="40"/>
      <c r="I465" s="40"/>
      <c r="J465" s="245"/>
      <c r="K465" s="41"/>
    </row>
    <row r="466" spans="2:11" ht="9.75" customHeight="1" x14ac:dyDescent="0.2">
      <c r="B466" s="38"/>
      <c r="C466" s="280" t="str">
        <f>"3:"</f>
        <v>3:</v>
      </c>
      <c r="D466" s="290" t="s">
        <v>947</v>
      </c>
      <c r="E466" s="40"/>
      <c r="F466" s="40"/>
      <c r="G466" s="40"/>
      <c r="H466" s="40"/>
      <c r="I466" s="40"/>
      <c r="J466" s="245"/>
      <c r="K466" s="41"/>
    </row>
    <row r="467" spans="2:11" ht="9.75" customHeight="1" x14ac:dyDescent="0.2">
      <c r="B467" s="38"/>
      <c r="C467" s="280" t="str">
        <f>"4:"</f>
        <v>4:</v>
      </c>
      <c r="D467" s="290" t="s">
        <v>948</v>
      </c>
      <c r="E467" s="40"/>
      <c r="F467" s="40"/>
      <c r="G467" s="40"/>
      <c r="H467" s="40"/>
      <c r="I467" s="40"/>
      <c r="J467" s="247"/>
      <c r="K467" s="41"/>
    </row>
    <row r="468" spans="2:11" ht="12" customHeight="1" x14ac:dyDescent="0.2">
      <c r="B468" s="38"/>
      <c r="C468" s="40" t="s">
        <v>257</v>
      </c>
      <c r="D468" s="40"/>
      <c r="E468" s="40"/>
      <c r="F468" s="40"/>
      <c r="G468" s="40"/>
      <c r="H468" s="40"/>
      <c r="I468" s="40"/>
      <c r="J468" s="266" t="s">
        <v>870</v>
      </c>
      <c r="K468" s="41"/>
    </row>
    <row r="469" spans="2:11" x14ac:dyDescent="0.2">
      <c r="B469" s="38"/>
      <c r="C469" s="40" t="s">
        <v>261</v>
      </c>
      <c r="D469" s="40"/>
      <c r="E469" s="40"/>
      <c r="F469" s="40"/>
      <c r="G469" s="40"/>
      <c r="H469" s="40"/>
      <c r="I469" s="40"/>
      <c r="J469" s="245">
        <f>IF(J468=$B$973,$A$974,IF(J468=$B$974,$A$975,IF(J468=$B$975,$A$976,IF(J468=$B$976,$A$977,IF(J468=$B$977,$A$978,"Not Calculated")))))</f>
        <v>0</v>
      </c>
      <c r="K469" s="41"/>
    </row>
    <row r="470" spans="2:11" x14ac:dyDescent="0.2">
      <c r="B470" s="38"/>
      <c r="C470" s="40" t="s">
        <v>893</v>
      </c>
      <c r="D470" s="40"/>
      <c r="E470" s="40"/>
      <c r="F470" s="40"/>
      <c r="G470" s="40"/>
      <c r="H470" s="40"/>
      <c r="I470" s="40"/>
      <c r="J470" s="40"/>
      <c r="K470" s="41"/>
    </row>
    <row r="471" spans="2:11" x14ac:dyDescent="0.2">
      <c r="B471" s="38"/>
      <c r="C471" s="399"/>
      <c r="D471" s="400"/>
      <c r="E471" s="400"/>
      <c r="F471" s="400"/>
      <c r="G471" s="400"/>
      <c r="H471" s="400"/>
      <c r="I471" s="400"/>
      <c r="J471" s="401"/>
      <c r="K471" s="41"/>
    </row>
    <row r="472" spans="2:11" ht="15" customHeight="1" x14ac:dyDescent="0.2">
      <c r="B472" s="38"/>
      <c r="C472" s="40"/>
      <c r="D472" s="40"/>
      <c r="E472" s="40"/>
      <c r="F472" s="40"/>
      <c r="G472" s="40"/>
      <c r="H472" s="40"/>
      <c r="I472" s="40"/>
      <c r="J472" s="40"/>
      <c r="K472" s="41"/>
    </row>
    <row r="473" spans="2:11" x14ac:dyDescent="0.2">
      <c r="B473" s="38"/>
      <c r="C473" s="179" t="s">
        <v>307</v>
      </c>
      <c r="D473" s="40"/>
      <c r="E473" s="40"/>
      <c r="F473" s="40"/>
      <c r="G473" s="40"/>
      <c r="H473" s="40"/>
      <c r="I473" s="40"/>
      <c r="J473" s="245">
        <f>IF(OR(J462="Not Calculated",J469="Not Calculated")=TRUE,"Not Calculated",AVERAGE(J462,J469))</f>
        <v>0</v>
      </c>
      <c r="K473" s="41"/>
    </row>
    <row r="474" spans="2:11" x14ac:dyDescent="0.2">
      <c r="B474" s="38"/>
      <c r="C474" s="40"/>
      <c r="D474" s="40"/>
      <c r="E474" s="40"/>
      <c r="F474" s="40"/>
      <c r="G474" s="40"/>
      <c r="H474" s="40"/>
      <c r="I474" s="40"/>
      <c r="J474" s="40"/>
      <c r="K474" s="41"/>
    </row>
    <row r="475" spans="2:11" x14ac:dyDescent="0.2">
      <c r="B475" s="38"/>
      <c r="C475" s="40"/>
      <c r="D475" s="40"/>
      <c r="E475" s="40"/>
      <c r="F475" s="40"/>
      <c r="G475" s="40"/>
      <c r="H475" s="40"/>
      <c r="I475" s="40"/>
      <c r="J475" s="40"/>
      <c r="K475" s="41"/>
    </row>
    <row r="476" spans="2:11" ht="16" x14ac:dyDescent="0.2">
      <c r="B476" s="38"/>
      <c r="C476" s="45" t="s">
        <v>308</v>
      </c>
      <c r="D476" s="40"/>
      <c r="E476" s="40"/>
      <c r="F476" s="40"/>
      <c r="G476" s="40"/>
      <c r="H476" s="40"/>
      <c r="I476" s="40"/>
      <c r="J476" s="40"/>
      <c r="K476" s="41"/>
    </row>
    <row r="477" spans="2:11" x14ac:dyDescent="0.2">
      <c r="B477" s="38"/>
      <c r="C477" s="380" t="s">
        <v>310</v>
      </c>
      <c r="D477" s="380"/>
      <c r="E477" s="380"/>
      <c r="F477" s="380"/>
      <c r="G477" s="380"/>
      <c r="H477" s="380"/>
      <c r="I477" s="380"/>
      <c r="J477" s="40"/>
      <c r="K477" s="41"/>
    </row>
    <row r="478" spans="2:11" ht="15" customHeight="1" x14ac:dyDescent="0.2">
      <c r="B478" s="38"/>
      <c r="C478" s="380"/>
      <c r="D478" s="380"/>
      <c r="E478" s="380"/>
      <c r="F478" s="380"/>
      <c r="G478" s="380"/>
      <c r="H478" s="380"/>
      <c r="I478" s="380"/>
      <c r="J478" s="131">
        <v>21</v>
      </c>
      <c r="K478" s="41"/>
    </row>
    <row r="479" spans="2:11" x14ac:dyDescent="0.2">
      <c r="B479" s="38"/>
      <c r="C479" s="40" t="s">
        <v>261</v>
      </c>
      <c r="D479" s="40"/>
      <c r="E479" s="40"/>
      <c r="F479" s="40"/>
      <c r="G479" s="40"/>
      <c r="H479" s="40"/>
      <c r="I479" s="40"/>
      <c r="J479" s="245">
        <f>IF(J478&lt;=0,0,IF(J478&lt;=1,1,IF(J478&lt;=7,2,IF(J478&lt;=14,3,4))))</f>
        <v>4</v>
      </c>
      <c r="K479" s="41"/>
    </row>
    <row r="480" spans="2:11" x14ac:dyDescent="0.2">
      <c r="B480" s="283"/>
      <c r="C480" s="279" t="str">
        <f>"0:"</f>
        <v>0:</v>
      </c>
      <c r="D480" s="284" t="s">
        <v>950</v>
      </c>
      <c r="E480" s="285"/>
      <c r="F480" s="285"/>
      <c r="G480" s="285"/>
      <c r="H480" s="285"/>
      <c r="I480" s="285"/>
      <c r="J480" s="43"/>
      <c r="K480" s="286"/>
    </row>
    <row r="481" spans="2:11" s="51" customFormat="1" ht="9.75" customHeight="1" x14ac:dyDescent="0.2">
      <c r="B481" s="283"/>
      <c r="C481" s="280" t="str">
        <f>"1:"</f>
        <v>1:</v>
      </c>
      <c r="D481" s="284" t="s">
        <v>951</v>
      </c>
      <c r="E481" s="285"/>
      <c r="F481" s="285"/>
      <c r="G481" s="285"/>
      <c r="H481" s="285"/>
      <c r="I481" s="285"/>
      <c r="J481" s="43"/>
      <c r="K481" s="286"/>
    </row>
    <row r="482" spans="2:11" s="51" customFormat="1" ht="9.75" customHeight="1" x14ac:dyDescent="0.2">
      <c r="B482" s="283"/>
      <c r="C482" s="280" t="str">
        <f>"2:"</f>
        <v>2:</v>
      </c>
      <c r="D482" s="284" t="s">
        <v>952</v>
      </c>
      <c r="E482" s="285"/>
      <c r="F482" s="285"/>
      <c r="G482" s="285"/>
      <c r="H482" s="285"/>
      <c r="I482" s="285"/>
      <c r="J482" s="43"/>
      <c r="K482" s="286"/>
    </row>
    <row r="483" spans="2:11" s="51" customFormat="1" ht="9.75" customHeight="1" x14ac:dyDescent="0.2">
      <c r="B483" s="283"/>
      <c r="C483" s="280" t="str">
        <f>"3:"</f>
        <v>3:</v>
      </c>
      <c r="D483" s="284" t="s">
        <v>953</v>
      </c>
      <c r="E483" s="285"/>
      <c r="F483" s="285"/>
      <c r="G483" s="285"/>
      <c r="H483" s="285"/>
      <c r="I483" s="285"/>
      <c r="J483" s="43"/>
      <c r="K483" s="286"/>
    </row>
    <row r="484" spans="2:11" s="51" customFormat="1" ht="9.75" customHeight="1" x14ac:dyDescent="0.2">
      <c r="B484" s="283"/>
      <c r="C484" s="280" t="str">
        <f>"4:"</f>
        <v>4:</v>
      </c>
      <c r="D484" s="284" t="s">
        <v>954</v>
      </c>
      <c r="E484" s="285"/>
      <c r="F484" s="285"/>
      <c r="G484" s="285"/>
      <c r="H484" s="285"/>
      <c r="I484" s="285"/>
      <c r="J484" s="43"/>
      <c r="K484" s="286"/>
    </row>
    <row r="485" spans="2:11" s="51" customFormat="1" ht="12" customHeight="1" x14ac:dyDescent="0.2">
      <c r="B485" s="38"/>
      <c r="C485" s="40" t="s">
        <v>893</v>
      </c>
      <c r="D485" s="40"/>
      <c r="E485" s="40"/>
      <c r="F485" s="40"/>
      <c r="G485" s="40"/>
      <c r="H485" s="40"/>
      <c r="I485" s="40"/>
      <c r="J485" s="40"/>
      <c r="K485" s="41"/>
    </row>
    <row r="486" spans="2:11" x14ac:dyDescent="0.2">
      <c r="B486" s="38"/>
      <c r="C486" s="399" t="s">
        <v>420</v>
      </c>
      <c r="D486" s="400"/>
      <c r="E486" s="400"/>
      <c r="F486" s="400"/>
      <c r="G486" s="400"/>
      <c r="H486" s="400"/>
      <c r="I486" s="400"/>
      <c r="J486" s="401"/>
      <c r="K486" s="41"/>
    </row>
    <row r="487" spans="2:11" ht="15" customHeight="1" x14ac:dyDescent="0.2">
      <c r="B487" s="38"/>
      <c r="C487" s="40"/>
      <c r="D487" s="40"/>
      <c r="E487" s="40"/>
      <c r="F487" s="40"/>
      <c r="G487" s="40"/>
      <c r="H487" s="40"/>
      <c r="I487" s="40"/>
      <c r="J487" s="40"/>
      <c r="K487" s="41"/>
    </row>
    <row r="488" spans="2:11" x14ac:dyDescent="0.2">
      <c r="B488" s="38"/>
      <c r="C488" s="179" t="s">
        <v>309</v>
      </c>
      <c r="D488" s="40"/>
      <c r="E488" s="40"/>
      <c r="F488" s="40"/>
      <c r="G488" s="40"/>
      <c r="H488" s="40"/>
      <c r="I488" s="40"/>
      <c r="J488" s="245">
        <f>J479</f>
        <v>4</v>
      </c>
      <c r="K488" s="41"/>
    </row>
    <row r="489" spans="2:11" x14ac:dyDescent="0.2">
      <c r="B489" s="38"/>
      <c r="C489" s="40"/>
      <c r="D489" s="40"/>
      <c r="E489" s="40"/>
      <c r="F489" s="40"/>
      <c r="G489" s="40"/>
      <c r="H489" s="40"/>
      <c r="I489" s="40"/>
      <c r="J489" s="40"/>
      <c r="K489" s="41"/>
    </row>
    <row r="490" spans="2:11" x14ac:dyDescent="0.2">
      <c r="B490" s="38"/>
      <c r="C490" s="40"/>
      <c r="D490" s="40"/>
      <c r="E490" s="40"/>
      <c r="F490" s="40"/>
      <c r="G490" s="40"/>
      <c r="H490" s="40"/>
      <c r="I490" s="40"/>
      <c r="J490" s="40"/>
      <c r="K490" s="41"/>
    </row>
    <row r="491" spans="2:11" ht="16" x14ac:dyDescent="0.2">
      <c r="B491" s="38"/>
      <c r="C491" s="45" t="s">
        <v>311</v>
      </c>
      <c r="D491" s="40"/>
      <c r="E491" s="40"/>
      <c r="F491" s="40"/>
      <c r="G491" s="40"/>
      <c r="H491" s="40"/>
      <c r="I491" s="40"/>
      <c r="J491" s="40"/>
      <c r="K491" s="41"/>
    </row>
    <row r="492" spans="2:11" x14ac:dyDescent="0.2">
      <c r="B492" s="38"/>
      <c r="C492" s="40" t="s">
        <v>312</v>
      </c>
      <c r="D492" s="40"/>
      <c r="E492" s="40"/>
      <c r="F492" s="40"/>
      <c r="G492" s="40"/>
      <c r="H492" s="40"/>
      <c r="I492" s="40"/>
      <c r="J492" s="270">
        <v>21</v>
      </c>
      <c r="K492" s="41"/>
    </row>
    <row r="493" spans="2:11" x14ac:dyDescent="0.2">
      <c r="B493" s="38"/>
      <c r="C493" s="40" t="s">
        <v>260</v>
      </c>
      <c r="D493" s="40"/>
      <c r="E493" s="40"/>
      <c r="F493" s="40"/>
      <c r="G493" s="40"/>
      <c r="H493" s="40"/>
      <c r="I493" s="40"/>
      <c r="J493" s="248">
        <f>IF(J492&lt;=0,0,IF(J492&lt;=1,1,IF(J492&lt;=5,2,IF(J492&lt;=10,3,4))))</f>
        <v>4</v>
      </c>
      <c r="K493" s="41"/>
    </row>
    <row r="494" spans="2:11" x14ac:dyDescent="0.2">
      <c r="B494" s="38"/>
      <c r="C494" s="279" t="str">
        <f>"0:"</f>
        <v>0:</v>
      </c>
      <c r="D494" s="290" t="s">
        <v>955</v>
      </c>
      <c r="E494" s="40"/>
      <c r="F494" s="40"/>
      <c r="G494" s="40"/>
      <c r="H494" s="40"/>
      <c r="I494" s="40"/>
      <c r="J494" s="245"/>
      <c r="K494" s="41"/>
    </row>
    <row r="495" spans="2:11" ht="9.75" customHeight="1" x14ac:dyDescent="0.2">
      <c r="B495" s="38"/>
      <c r="C495" s="280" t="str">
        <f>"1:"</f>
        <v>1:</v>
      </c>
      <c r="D495" s="290" t="s">
        <v>956</v>
      </c>
      <c r="E495" s="40"/>
      <c r="F495" s="40"/>
      <c r="G495" s="40"/>
      <c r="H495" s="40"/>
      <c r="I495" s="40"/>
      <c r="J495" s="245"/>
      <c r="K495" s="41"/>
    </row>
    <row r="496" spans="2:11" ht="9.75" customHeight="1" x14ac:dyDescent="0.2">
      <c r="B496" s="38"/>
      <c r="C496" s="280" t="str">
        <f>"2:"</f>
        <v>2:</v>
      </c>
      <c r="D496" s="290" t="s">
        <v>957</v>
      </c>
      <c r="E496" s="40"/>
      <c r="F496" s="40"/>
      <c r="G496" s="40"/>
      <c r="H496" s="40"/>
      <c r="I496" s="40"/>
      <c r="J496" s="245"/>
      <c r="K496" s="41"/>
    </row>
    <row r="497" spans="2:12" ht="9.75" customHeight="1" x14ac:dyDescent="0.2">
      <c r="B497" s="38"/>
      <c r="C497" s="280" t="str">
        <f>"3:"</f>
        <v>3:</v>
      </c>
      <c r="D497" s="290" t="s">
        <v>958</v>
      </c>
      <c r="E497" s="40"/>
      <c r="F497" s="40"/>
      <c r="G497" s="40"/>
      <c r="H497" s="40"/>
      <c r="I497" s="40"/>
      <c r="J497" s="245"/>
      <c r="K497" s="41"/>
    </row>
    <row r="498" spans="2:12" ht="9.75" customHeight="1" x14ac:dyDescent="0.2">
      <c r="B498" s="38"/>
      <c r="C498" s="280" t="str">
        <f>"4:"</f>
        <v>4:</v>
      </c>
      <c r="D498" s="290" t="s">
        <v>959</v>
      </c>
      <c r="E498" s="40"/>
      <c r="F498" s="40"/>
      <c r="G498" s="40"/>
      <c r="H498" s="40"/>
      <c r="I498" s="40"/>
      <c r="J498" s="247"/>
      <c r="K498" s="41"/>
    </row>
    <row r="499" spans="2:12" ht="12" customHeight="1" x14ac:dyDescent="0.2">
      <c r="B499" s="38"/>
      <c r="C499" s="40" t="s">
        <v>313</v>
      </c>
      <c r="D499" s="40"/>
      <c r="E499" s="40"/>
      <c r="F499" s="40"/>
      <c r="G499" s="40"/>
      <c r="H499" s="40"/>
      <c r="I499" s="40"/>
      <c r="J499" s="266" t="s">
        <v>874</v>
      </c>
      <c r="K499" s="41"/>
    </row>
    <row r="500" spans="2:12" x14ac:dyDescent="0.2">
      <c r="B500" s="38"/>
      <c r="C500" s="40" t="s">
        <v>261</v>
      </c>
      <c r="D500" s="40"/>
      <c r="E500" s="40"/>
      <c r="F500" s="40"/>
      <c r="G500" s="40"/>
      <c r="H500" s="40"/>
      <c r="I500" s="40"/>
      <c r="J500" s="245">
        <f>IF(J499=$B$973,$A$974,IF(J499=$B$974,$A$975,IF(J499=$B$975,$A$976,IF(J499=$B$976,$A$977,IF(J499=$B$977,$A$978,"Not Calculated")))))</f>
        <v>4</v>
      </c>
      <c r="K500" s="41"/>
    </row>
    <row r="501" spans="2:12" x14ac:dyDescent="0.2">
      <c r="B501" s="38"/>
      <c r="C501" s="40" t="s">
        <v>893</v>
      </c>
      <c r="D501" s="40"/>
      <c r="E501" s="40"/>
      <c r="F501" s="40"/>
      <c r="G501" s="40"/>
      <c r="H501" s="40"/>
      <c r="I501" s="40"/>
      <c r="J501" s="40"/>
      <c r="K501" s="41"/>
    </row>
    <row r="502" spans="2:12" ht="30" customHeight="1" x14ac:dyDescent="0.2">
      <c r="B502" s="38"/>
      <c r="C502" s="399" t="s">
        <v>452</v>
      </c>
      <c r="D502" s="400"/>
      <c r="E502" s="400"/>
      <c r="F502" s="400"/>
      <c r="G502" s="400"/>
      <c r="H502" s="400"/>
      <c r="I502" s="400"/>
      <c r="J502" s="401"/>
      <c r="K502" s="41"/>
    </row>
    <row r="503" spans="2:12" ht="30" customHeight="1" x14ac:dyDescent="0.2">
      <c r="B503" s="38"/>
      <c r="C503" s="40"/>
      <c r="D503" s="40"/>
      <c r="E503" s="40"/>
      <c r="F503" s="40"/>
      <c r="G503" s="40"/>
      <c r="H503" s="40"/>
      <c r="I503" s="40"/>
      <c r="J503" s="40"/>
      <c r="K503" s="41"/>
    </row>
    <row r="504" spans="2:12" x14ac:dyDescent="0.2">
      <c r="B504" s="38"/>
      <c r="C504" s="179" t="s">
        <v>321</v>
      </c>
      <c r="D504" s="40"/>
      <c r="E504" s="40"/>
      <c r="F504" s="40"/>
      <c r="G504" s="40"/>
      <c r="H504" s="40"/>
      <c r="I504" s="40"/>
      <c r="J504" s="245">
        <f>IF(OR(J493="Not Calculated",J500="Not Calculated")=TRUE,"Not Calculated",AVERAGE(J493,J500))</f>
        <v>4</v>
      </c>
      <c r="K504" s="41"/>
    </row>
    <row r="505" spans="2:12" x14ac:dyDescent="0.2">
      <c r="B505" s="38"/>
      <c r="C505" s="40"/>
      <c r="D505" s="40"/>
      <c r="E505" s="40"/>
      <c r="F505" s="40"/>
      <c r="G505" s="40"/>
      <c r="H505" s="40"/>
      <c r="I505" s="40"/>
      <c r="J505" s="40"/>
      <c r="K505" s="41"/>
    </row>
    <row r="506" spans="2:12" x14ac:dyDescent="0.2">
      <c r="B506" s="38"/>
      <c r="C506" s="40"/>
      <c r="D506" s="40"/>
      <c r="E506" s="40"/>
      <c r="F506" s="40"/>
      <c r="G506" s="40"/>
      <c r="H506" s="40"/>
      <c r="I506" s="40"/>
      <c r="J506" s="40"/>
      <c r="K506" s="41"/>
    </row>
    <row r="507" spans="2:12" ht="16" x14ac:dyDescent="0.2">
      <c r="B507" s="38"/>
      <c r="C507" s="45" t="s">
        <v>314</v>
      </c>
      <c r="D507" s="40"/>
      <c r="E507" s="40"/>
      <c r="F507" s="40"/>
      <c r="G507" s="40"/>
      <c r="H507" s="40"/>
      <c r="I507" s="40"/>
      <c r="J507" s="40"/>
      <c r="K507" s="41"/>
    </row>
    <row r="508" spans="2:12" x14ac:dyDescent="0.2">
      <c r="B508" s="38"/>
      <c r="C508" s="40" t="s">
        <v>316</v>
      </c>
      <c r="D508" s="40"/>
      <c r="E508" s="40"/>
      <c r="F508" s="40"/>
      <c r="G508" s="40"/>
      <c r="H508" s="40"/>
      <c r="I508" s="40"/>
      <c r="J508" s="269">
        <v>7718</v>
      </c>
      <c r="K508" s="41"/>
    </row>
    <row r="509" spans="2:12" x14ac:dyDescent="0.2">
      <c r="B509" s="38"/>
      <c r="C509" s="40" t="s">
        <v>260</v>
      </c>
      <c r="D509" s="40"/>
      <c r="E509" s="40"/>
      <c r="F509" s="40"/>
      <c r="G509" s="40"/>
      <c r="H509" s="40"/>
      <c r="I509" s="40"/>
      <c r="J509" s="248">
        <f>IF(J508&lt;=0,0,IF(J508&lt;=1000,1,IF(J508&lt;=5000,2,IF(J508&lt;=25000,3,4))))</f>
        <v>3</v>
      </c>
      <c r="K509" s="41"/>
      <c r="L509" s="12" t="s">
        <v>1164</v>
      </c>
    </row>
    <row r="510" spans="2:12" x14ac:dyDescent="0.2">
      <c r="B510" s="283"/>
      <c r="C510" s="279" t="str">
        <f>"0:"</f>
        <v>0:</v>
      </c>
      <c r="D510" s="284" t="s">
        <v>960</v>
      </c>
      <c r="E510" s="285"/>
      <c r="F510" s="285"/>
      <c r="G510" s="285"/>
      <c r="H510" s="285"/>
      <c r="I510" s="285"/>
      <c r="J510" s="43"/>
      <c r="K510" s="286"/>
    </row>
    <row r="511" spans="2:12" s="51" customFormat="1" ht="9.75" customHeight="1" x14ac:dyDescent="0.2">
      <c r="B511" s="283"/>
      <c r="C511" s="280" t="str">
        <f>"1:"</f>
        <v>1:</v>
      </c>
      <c r="D511" s="284" t="s">
        <v>961</v>
      </c>
      <c r="E511" s="285"/>
      <c r="F511" s="285"/>
      <c r="G511" s="285"/>
      <c r="H511" s="285"/>
      <c r="I511" s="285"/>
      <c r="J511" s="43"/>
      <c r="K511" s="286"/>
    </row>
    <row r="512" spans="2:12" s="51" customFormat="1" ht="9.75" customHeight="1" x14ac:dyDescent="0.2">
      <c r="B512" s="283"/>
      <c r="C512" s="280" t="str">
        <f>"2:"</f>
        <v>2:</v>
      </c>
      <c r="D512" s="284" t="s">
        <v>962</v>
      </c>
      <c r="E512" s="285"/>
      <c r="F512" s="285"/>
      <c r="G512" s="285"/>
      <c r="H512" s="285"/>
      <c r="I512" s="285"/>
      <c r="J512" s="43"/>
      <c r="K512" s="286"/>
    </row>
    <row r="513" spans="2:11" s="51" customFormat="1" ht="9.75" customHeight="1" x14ac:dyDescent="0.2">
      <c r="B513" s="283"/>
      <c r="C513" s="280" t="str">
        <f>"3:"</f>
        <v>3:</v>
      </c>
      <c r="D513" s="284" t="s">
        <v>963</v>
      </c>
      <c r="E513" s="285"/>
      <c r="F513" s="285"/>
      <c r="G513" s="285"/>
      <c r="H513" s="285"/>
      <c r="I513" s="285"/>
      <c r="J513" s="43"/>
      <c r="K513" s="286"/>
    </row>
    <row r="514" spans="2:11" s="51" customFormat="1" ht="9.75" customHeight="1" x14ac:dyDescent="0.2">
      <c r="B514" s="283"/>
      <c r="C514" s="280" t="str">
        <f>"4:"</f>
        <v>4:</v>
      </c>
      <c r="D514" s="284" t="s">
        <v>964</v>
      </c>
      <c r="E514" s="285"/>
      <c r="F514" s="285"/>
      <c r="G514" s="285"/>
      <c r="H514" s="285"/>
      <c r="I514" s="285"/>
      <c r="J514" s="287"/>
      <c r="K514" s="286"/>
    </row>
    <row r="515" spans="2:11" s="51" customFormat="1" ht="12" customHeight="1" x14ac:dyDescent="0.2">
      <c r="B515" s="38"/>
      <c r="C515" s="40" t="s">
        <v>315</v>
      </c>
      <c r="D515" s="40"/>
      <c r="E515" s="40"/>
      <c r="F515" s="40"/>
      <c r="G515" s="40"/>
      <c r="H515" s="40"/>
      <c r="I515" s="40"/>
      <c r="J515" s="266" t="s">
        <v>874</v>
      </c>
      <c r="K515" s="41"/>
    </row>
    <row r="516" spans="2:11" x14ac:dyDescent="0.2">
      <c r="B516" s="38"/>
      <c r="C516" s="40" t="s">
        <v>261</v>
      </c>
      <c r="D516" s="40"/>
      <c r="E516" s="40"/>
      <c r="F516" s="40"/>
      <c r="G516" s="40"/>
      <c r="H516" s="40"/>
      <c r="I516" s="40"/>
      <c r="J516" s="245">
        <f>IF(J515=$B$973,$A$974,IF(J515=$B$974,$A$975,IF(J515=$B$975,$A$976,IF(J515=$B$976,$A$977,IF(J515=$B$977,$A$978,"Not Calculated")))))</f>
        <v>4</v>
      </c>
      <c r="K516" s="41"/>
    </row>
    <row r="517" spans="2:11" x14ac:dyDescent="0.2">
      <c r="B517" s="38"/>
      <c r="C517" s="40" t="s">
        <v>893</v>
      </c>
      <c r="D517" s="40"/>
      <c r="E517" s="40"/>
      <c r="F517" s="40"/>
      <c r="G517" s="40"/>
      <c r="H517" s="40"/>
      <c r="I517" s="40"/>
      <c r="J517" s="40"/>
      <c r="K517" s="41"/>
    </row>
    <row r="518" spans="2:11" ht="30" customHeight="1" x14ac:dyDescent="0.2">
      <c r="B518" s="38"/>
      <c r="C518" s="399" t="s">
        <v>1165</v>
      </c>
      <c r="D518" s="400"/>
      <c r="E518" s="400"/>
      <c r="F518" s="400"/>
      <c r="G518" s="400"/>
      <c r="H518" s="400"/>
      <c r="I518" s="400"/>
      <c r="J518" s="401"/>
      <c r="K518" s="41"/>
    </row>
    <row r="519" spans="2:11" ht="30" customHeight="1" x14ac:dyDescent="0.2">
      <c r="B519" s="38"/>
      <c r="C519" s="40"/>
      <c r="D519" s="40"/>
      <c r="E519" s="40"/>
      <c r="F519" s="40"/>
      <c r="G519" s="40"/>
      <c r="H519" s="40"/>
      <c r="I519" s="40"/>
      <c r="J519" s="40"/>
      <c r="K519" s="41"/>
    </row>
    <row r="520" spans="2:11" x14ac:dyDescent="0.2">
      <c r="B520" s="38"/>
      <c r="C520" s="179" t="s">
        <v>320</v>
      </c>
      <c r="D520" s="40"/>
      <c r="E520" s="40"/>
      <c r="F520" s="40"/>
      <c r="G520" s="40"/>
      <c r="H520" s="40"/>
      <c r="I520" s="40"/>
      <c r="J520" s="245">
        <f>IF(OR(J509="Not Calculated",J516="Not Calculated")=TRUE,"Not Calculated",AVERAGE(J509,J516))</f>
        <v>3.5</v>
      </c>
      <c r="K520" s="41"/>
    </row>
    <row r="521" spans="2:11" x14ac:dyDescent="0.2">
      <c r="B521" s="38"/>
      <c r="C521" s="40"/>
      <c r="D521" s="40"/>
      <c r="E521" s="40"/>
      <c r="F521" s="40"/>
      <c r="G521" s="40"/>
      <c r="H521" s="40"/>
      <c r="I521" s="40"/>
      <c r="J521" s="40"/>
      <c r="K521" s="41"/>
    </row>
    <row r="522" spans="2:11" x14ac:dyDescent="0.2">
      <c r="B522" s="38"/>
      <c r="C522" s="40"/>
      <c r="D522" s="40"/>
      <c r="E522" s="40"/>
      <c r="F522" s="40"/>
      <c r="G522" s="40"/>
      <c r="H522" s="40"/>
      <c r="I522" s="40"/>
      <c r="J522" s="40"/>
      <c r="K522" s="41"/>
    </row>
    <row r="523" spans="2:11" ht="16" x14ac:dyDescent="0.2">
      <c r="B523" s="38"/>
      <c r="C523" s="45" t="s">
        <v>317</v>
      </c>
      <c r="D523" s="40"/>
      <c r="E523" s="40"/>
      <c r="F523" s="40"/>
      <c r="G523" s="40"/>
      <c r="H523" s="40"/>
      <c r="I523" s="40"/>
      <c r="J523" s="40"/>
      <c r="K523" s="41"/>
    </row>
    <row r="524" spans="2:11" x14ac:dyDescent="0.2">
      <c r="B524" s="38"/>
      <c r="C524" s="380" t="s">
        <v>318</v>
      </c>
      <c r="D524" s="380"/>
      <c r="E524" s="380"/>
      <c r="F524" s="380"/>
      <c r="G524" s="380"/>
      <c r="H524" s="380"/>
      <c r="I524" s="380"/>
      <c r="J524" s="40"/>
      <c r="K524" s="41"/>
    </row>
    <row r="525" spans="2:11" ht="15" customHeight="1" x14ac:dyDescent="0.2">
      <c r="B525" s="38"/>
      <c r="C525" s="380"/>
      <c r="D525" s="380"/>
      <c r="E525" s="380"/>
      <c r="F525" s="380"/>
      <c r="G525" s="380"/>
      <c r="H525" s="380"/>
      <c r="I525" s="380"/>
      <c r="J525" s="274">
        <v>1.17</v>
      </c>
      <c r="K525" s="41"/>
    </row>
    <row r="526" spans="2:11" x14ac:dyDescent="0.2">
      <c r="B526" s="38"/>
      <c r="C526" s="40" t="s">
        <v>260</v>
      </c>
      <c r="D526" s="40"/>
      <c r="E526" s="40"/>
      <c r="F526" s="40"/>
      <c r="G526" s="40"/>
      <c r="H526" s="40"/>
      <c r="I526" s="40"/>
      <c r="J526" s="248">
        <f>IF(J525&lt;=0,0,IF(J525&lt;=1,1,IF(J525&lt;=5,2,IF(J525&lt;=10,3,4))))</f>
        <v>2</v>
      </c>
      <c r="K526" s="41"/>
    </row>
    <row r="527" spans="2:11" x14ac:dyDescent="0.2">
      <c r="B527" s="283"/>
      <c r="C527" s="279" t="str">
        <f>"0:"</f>
        <v>0:</v>
      </c>
      <c r="D527" s="284" t="s">
        <v>965</v>
      </c>
      <c r="E527" s="285"/>
      <c r="F527" s="285"/>
      <c r="G527" s="285"/>
      <c r="H527" s="285"/>
      <c r="I527" s="285"/>
      <c r="J527" s="43"/>
      <c r="K527" s="286"/>
    </row>
    <row r="528" spans="2:11" s="51" customFormat="1" ht="9.75" customHeight="1" x14ac:dyDescent="0.2">
      <c r="B528" s="283"/>
      <c r="C528" s="280" t="str">
        <f>"1:"</f>
        <v>1:</v>
      </c>
      <c r="D528" s="284" t="s">
        <v>966</v>
      </c>
      <c r="E528" s="285"/>
      <c r="F528" s="285"/>
      <c r="G528" s="285"/>
      <c r="H528" s="285"/>
      <c r="I528" s="285"/>
      <c r="J528" s="43"/>
      <c r="K528" s="286"/>
    </row>
    <row r="529" spans="2:11" s="51" customFormat="1" ht="9.75" customHeight="1" x14ac:dyDescent="0.2">
      <c r="B529" s="283"/>
      <c r="C529" s="280" t="str">
        <f>"2:"</f>
        <v>2:</v>
      </c>
      <c r="D529" s="284" t="s">
        <v>967</v>
      </c>
      <c r="E529" s="285"/>
      <c r="F529" s="285"/>
      <c r="G529" s="285"/>
      <c r="H529" s="285"/>
      <c r="I529" s="285"/>
      <c r="J529" s="43"/>
      <c r="K529" s="286"/>
    </row>
    <row r="530" spans="2:11" s="51" customFormat="1" ht="9.75" customHeight="1" x14ac:dyDescent="0.2">
      <c r="B530" s="283"/>
      <c r="C530" s="280" t="str">
        <f>"3:"</f>
        <v>3:</v>
      </c>
      <c r="D530" s="284" t="s">
        <v>968</v>
      </c>
      <c r="E530" s="285"/>
      <c r="F530" s="285"/>
      <c r="G530" s="285"/>
      <c r="H530" s="285"/>
      <c r="I530" s="285"/>
      <c r="J530" s="43"/>
      <c r="K530" s="286"/>
    </row>
    <row r="531" spans="2:11" s="51" customFormat="1" ht="9.75" customHeight="1" x14ac:dyDescent="0.2">
      <c r="B531" s="283"/>
      <c r="C531" s="280" t="str">
        <f>"4:"</f>
        <v>4:</v>
      </c>
      <c r="D531" s="284" t="s">
        <v>969</v>
      </c>
      <c r="E531" s="285"/>
      <c r="F531" s="285"/>
      <c r="G531" s="285"/>
      <c r="H531" s="285"/>
      <c r="I531" s="285"/>
      <c r="J531" s="287"/>
      <c r="K531" s="286"/>
    </row>
    <row r="532" spans="2:11" s="51" customFormat="1" ht="12" customHeight="1" x14ac:dyDescent="0.2">
      <c r="B532" s="38"/>
      <c r="C532" s="40" t="s">
        <v>257</v>
      </c>
      <c r="D532" s="40"/>
      <c r="E532" s="40"/>
      <c r="F532" s="40"/>
      <c r="G532" s="40"/>
      <c r="H532" s="40"/>
      <c r="I532" s="40"/>
      <c r="J532" s="266" t="s">
        <v>874</v>
      </c>
      <c r="K532" s="41"/>
    </row>
    <row r="533" spans="2:11" x14ac:dyDescent="0.2">
      <c r="B533" s="38"/>
      <c r="C533" s="40" t="s">
        <v>261</v>
      </c>
      <c r="D533" s="40"/>
      <c r="E533" s="40"/>
      <c r="F533" s="40"/>
      <c r="G533" s="40"/>
      <c r="H533" s="40"/>
      <c r="I533" s="40"/>
      <c r="J533" s="245">
        <f>IF(J532=$B$973,$A$974,IF(J532=$B$974,$A$975,IF(J532=$B$975,$A$976,IF(J532=$B$976,$A$977,IF(J532=$B$977,$A$978,"Not Calculated")))))</f>
        <v>4</v>
      </c>
      <c r="K533" s="41"/>
    </row>
    <row r="534" spans="2:11" x14ac:dyDescent="0.2">
      <c r="B534" s="38"/>
      <c r="C534" s="40" t="s">
        <v>893</v>
      </c>
      <c r="D534" s="40"/>
      <c r="E534" s="40"/>
      <c r="F534" s="40"/>
      <c r="G534" s="40"/>
      <c r="H534" s="40"/>
      <c r="I534" s="40"/>
      <c r="J534" s="40"/>
      <c r="K534" s="41"/>
    </row>
    <row r="535" spans="2:11" ht="90" customHeight="1" x14ac:dyDescent="0.2">
      <c r="B535" s="38"/>
      <c r="C535" s="399" t="s">
        <v>1166</v>
      </c>
      <c r="D535" s="400"/>
      <c r="E535" s="400"/>
      <c r="F535" s="400"/>
      <c r="G535" s="400"/>
      <c r="H535" s="400"/>
      <c r="I535" s="400"/>
      <c r="J535" s="401"/>
      <c r="K535" s="41"/>
    </row>
    <row r="536" spans="2:11" ht="30" customHeight="1" x14ac:dyDescent="0.2">
      <c r="B536" s="38"/>
      <c r="C536" s="40"/>
      <c r="D536" s="40"/>
      <c r="E536" s="40"/>
      <c r="F536" s="40"/>
      <c r="G536" s="40"/>
      <c r="H536" s="40"/>
      <c r="I536" s="40"/>
      <c r="J536" s="40"/>
      <c r="K536" s="41"/>
    </row>
    <row r="537" spans="2:11" x14ac:dyDescent="0.2">
      <c r="B537" s="38"/>
      <c r="C537" s="179" t="s">
        <v>319</v>
      </c>
      <c r="D537" s="40"/>
      <c r="E537" s="40"/>
      <c r="F537" s="40"/>
      <c r="G537" s="40"/>
      <c r="H537" s="40"/>
      <c r="I537" s="40"/>
      <c r="J537" s="245">
        <f>IF(OR(J526="Not Calculated",J533="Not Calculated")=TRUE,"Not Calculated",AVERAGE(J526,J533))</f>
        <v>3</v>
      </c>
      <c r="K537" s="41"/>
    </row>
    <row r="538" spans="2:11" x14ac:dyDescent="0.2">
      <c r="B538" s="38"/>
      <c r="C538" s="40"/>
      <c r="D538" s="40"/>
      <c r="E538" s="40"/>
      <c r="F538" s="40"/>
      <c r="G538" s="40"/>
      <c r="H538" s="40"/>
      <c r="I538" s="40"/>
      <c r="J538" s="40"/>
      <c r="K538" s="41"/>
    </row>
    <row r="539" spans="2:11" ht="18" x14ac:dyDescent="0.2">
      <c r="B539" s="38"/>
      <c r="C539" s="180" t="s">
        <v>302</v>
      </c>
      <c r="D539" s="40"/>
      <c r="E539" s="40"/>
      <c r="F539" s="40"/>
      <c r="G539" s="40"/>
      <c r="H539" s="40"/>
      <c r="I539" s="40"/>
      <c r="J539" s="244">
        <f>IF(OR(J440="Not Calculated",J457="Not Calculated",J473="Not Calculated",J488="Not Calculated",J504="Not Calculated",J520="Not Calculated",J537="Not Calculated")=TRUE,"Not Calculated",AVERAGE(J440,J457,J473,J488,J504,J520,J537))</f>
        <v>2.0714285714285716</v>
      </c>
      <c r="K539" s="41"/>
    </row>
    <row r="540" spans="2:11" ht="16" thickBot="1" x14ac:dyDescent="0.25">
      <c r="B540" s="46"/>
      <c r="C540" s="47"/>
      <c r="D540" s="47"/>
      <c r="E540" s="47"/>
      <c r="F540" s="47"/>
      <c r="G540" s="47"/>
      <c r="H540" s="47"/>
      <c r="I540" s="47"/>
      <c r="J540" s="47"/>
      <c r="K540" s="49"/>
    </row>
    <row r="541" spans="2:11" ht="16" thickBot="1" x14ac:dyDescent="0.25"/>
    <row r="542" spans="2:11" x14ac:dyDescent="0.2">
      <c r="B542" s="33"/>
      <c r="C542" s="34"/>
      <c r="D542" s="34"/>
      <c r="E542" s="34"/>
      <c r="F542" s="34"/>
      <c r="G542" s="34"/>
      <c r="H542" s="34"/>
      <c r="I542" s="34"/>
      <c r="J542" s="34"/>
      <c r="K542" s="37"/>
    </row>
    <row r="543" spans="2:11" ht="21" x14ac:dyDescent="0.25">
      <c r="B543" s="38"/>
      <c r="C543" s="40"/>
      <c r="D543" s="40"/>
      <c r="E543" s="40"/>
      <c r="F543" s="40"/>
      <c r="G543" s="172" t="s">
        <v>29</v>
      </c>
      <c r="H543" s="40"/>
      <c r="I543" s="40"/>
      <c r="J543" s="40"/>
      <c r="K543" s="41"/>
    </row>
    <row r="544" spans="2:11" x14ac:dyDescent="0.2">
      <c r="B544" s="38"/>
      <c r="C544" s="40"/>
      <c r="D544" s="40"/>
      <c r="E544" s="40"/>
      <c r="F544" s="40"/>
      <c r="G544" s="40"/>
      <c r="H544" s="40"/>
      <c r="I544" s="40"/>
      <c r="J544" s="40"/>
      <c r="K544" s="41"/>
    </row>
    <row r="545" spans="2:14" ht="16" x14ac:dyDescent="0.2">
      <c r="B545" s="38"/>
      <c r="C545" s="45" t="s">
        <v>88</v>
      </c>
      <c r="D545" s="40"/>
      <c r="E545" s="40"/>
      <c r="F545" s="40"/>
      <c r="G545" s="40"/>
      <c r="H545" s="40"/>
      <c r="I545" s="40"/>
      <c r="J545" s="40"/>
      <c r="K545" s="41"/>
    </row>
    <row r="546" spans="2:14" x14ac:dyDescent="0.2">
      <c r="B546" s="38"/>
      <c r="C546" s="40" t="s">
        <v>448</v>
      </c>
      <c r="D546" s="40"/>
      <c r="E546" s="40"/>
      <c r="F546" s="40"/>
      <c r="G546" s="40"/>
      <c r="H546" s="40"/>
      <c r="I546" s="40"/>
      <c r="J546" s="251">
        <f>'Baseline Health'!G123</f>
        <v>0</v>
      </c>
      <c r="K546" s="41"/>
    </row>
    <row r="547" spans="2:14" x14ac:dyDescent="0.2">
      <c r="B547" s="38"/>
      <c r="C547" s="40" t="s">
        <v>322</v>
      </c>
      <c r="D547" s="40"/>
      <c r="E547" s="40"/>
      <c r="F547" s="40"/>
      <c r="G547" s="40"/>
      <c r="H547" s="40"/>
      <c r="I547" s="40"/>
      <c r="J547" s="264">
        <f>0.02*J546</f>
        <v>0</v>
      </c>
      <c r="K547" s="41"/>
    </row>
    <row r="548" spans="2:14" x14ac:dyDescent="0.2">
      <c r="B548" s="38"/>
      <c r="C548" s="40" t="s">
        <v>428</v>
      </c>
      <c r="D548" s="40"/>
      <c r="E548" s="40"/>
      <c r="F548" s="40"/>
      <c r="G548" s="40"/>
      <c r="H548" s="40"/>
      <c r="I548" s="40"/>
      <c r="J548" s="264">
        <f>J546</f>
        <v>0</v>
      </c>
      <c r="K548" s="41"/>
    </row>
    <row r="549" spans="2:14" x14ac:dyDescent="0.2">
      <c r="B549" s="38"/>
      <c r="C549" s="40" t="s">
        <v>260</v>
      </c>
      <c r="D549" s="40"/>
      <c r="E549" s="40"/>
      <c r="F549" s="40"/>
      <c r="G549" s="40"/>
      <c r="H549" s="40"/>
      <c r="I549" s="40"/>
      <c r="J549" s="245" t="str">
        <f>IF(OR(J546=0,J546="Not Calculated")=TRUE,"Not Calculated",IF(J546-J547=0,4,(IF(((J546+J548)/(J546-J547))&lt;=1,0,IF(((J546+J548)/(J546-J547))&lt;=1.05,1,IF(((J546+J548)/(J546-J547))&lt;=1.5, 2,IF(((J546+J548)/(J546-J547))&lt;=2,3,4)))))))</f>
        <v>Not Calculated</v>
      </c>
      <c r="K549" s="41"/>
    </row>
    <row r="550" spans="2:14" x14ac:dyDescent="0.2">
      <c r="B550" s="38"/>
      <c r="C550" s="279" t="str">
        <f>"0:"</f>
        <v>0:</v>
      </c>
      <c r="D550" s="278" t="s">
        <v>918</v>
      </c>
      <c r="E550" s="40"/>
      <c r="F550" s="40"/>
      <c r="G550" s="40"/>
      <c r="H550" s="40"/>
      <c r="I550" s="40"/>
      <c r="J550" s="251"/>
      <c r="K550" s="41"/>
    </row>
    <row r="551" spans="2:14" ht="9.75" customHeight="1" x14ac:dyDescent="0.2">
      <c r="B551" s="38"/>
      <c r="C551" s="280" t="str">
        <f>"1:"</f>
        <v>1:</v>
      </c>
      <c r="D551" s="278" t="s">
        <v>923</v>
      </c>
      <c r="E551" s="40"/>
      <c r="F551" s="40"/>
      <c r="G551" s="40"/>
      <c r="H551" s="40"/>
      <c r="I551" s="40"/>
      <c r="J551" s="251"/>
      <c r="K551" s="41"/>
    </row>
    <row r="552" spans="2:14" ht="9.75" customHeight="1" x14ac:dyDescent="0.2">
      <c r="B552" s="38"/>
      <c r="C552" s="280" t="str">
        <f>"2:"</f>
        <v>2:</v>
      </c>
      <c r="D552" s="278" t="s">
        <v>924</v>
      </c>
      <c r="E552" s="40"/>
      <c r="F552" s="40"/>
      <c r="G552" s="40"/>
      <c r="H552" s="40"/>
      <c r="I552" s="40"/>
      <c r="J552" s="251"/>
      <c r="K552" s="41"/>
    </row>
    <row r="553" spans="2:14" ht="9.75" customHeight="1" x14ac:dyDescent="0.2">
      <c r="B553" s="38"/>
      <c r="C553" s="280" t="str">
        <f>"3:"</f>
        <v>3:</v>
      </c>
      <c r="D553" s="278" t="s">
        <v>925</v>
      </c>
      <c r="E553" s="40"/>
      <c r="F553" s="40"/>
      <c r="G553" s="40"/>
      <c r="H553" s="40"/>
      <c r="I553" s="40"/>
      <c r="J553" s="251"/>
      <c r="K553" s="41"/>
    </row>
    <row r="554" spans="2:14" ht="9.75" customHeight="1" x14ac:dyDescent="0.2">
      <c r="B554" s="38"/>
      <c r="C554" s="280" t="str">
        <f>"4:"</f>
        <v>4:</v>
      </c>
      <c r="D554" s="278" t="s">
        <v>926</v>
      </c>
      <c r="E554" s="40"/>
      <c r="F554" s="40"/>
      <c r="G554" s="40"/>
      <c r="H554" s="40"/>
      <c r="I554" s="40"/>
      <c r="J554" s="40"/>
      <c r="K554" s="41"/>
    </row>
    <row r="555" spans="2:14" ht="12" customHeight="1" x14ac:dyDescent="0.2">
      <c r="B555" s="38"/>
      <c r="C555" s="174" t="s">
        <v>662</v>
      </c>
      <c r="D555" s="40"/>
      <c r="E555" s="40"/>
      <c r="F555" s="40"/>
      <c r="G555" s="40"/>
      <c r="H555" s="40"/>
      <c r="I555" s="40"/>
      <c r="J555" s="265" t="s">
        <v>661</v>
      </c>
      <c r="K555" s="41"/>
      <c r="N555" s="12" t="s">
        <v>661</v>
      </c>
    </row>
    <row r="556" spans="2:14" x14ac:dyDescent="0.2">
      <c r="B556" s="38"/>
      <c r="C556" s="174" t="s">
        <v>660</v>
      </c>
      <c r="D556" s="40"/>
      <c r="E556" s="40"/>
      <c r="F556" s="40"/>
      <c r="G556" s="40"/>
      <c r="H556" s="40"/>
      <c r="I556" s="40"/>
      <c r="J556" s="247" t="str">
        <f>IF(J555=N555,"N/A",IF(J555=N556,0,IF(J555=N557,1,IF(J555=N558,2,IF(J555=N559,3,IF(J555=N560,4,"N/A"))))))</f>
        <v>N/A</v>
      </c>
      <c r="K556" s="41"/>
      <c r="N556" s="12" t="s">
        <v>894</v>
      </c>
    </row>
    <row r="557" spans="2:14" x14ac:dyDescent="0.2">
      <c r="B557" s="38"/>
      <c r="C557" s="40" t="s">
        <v>257</v>
      </c>
      <c r="D557" s="40"/>
      <c r="E557" s="40"/>
      <c r="F557" s="40"/>
      <c r="G557" s="40"/>
      <c r="H557" s="40"/>
      <c r="I557" s="40"/>
      <c r="J557" s="266" t="s">
        <v>874</v>
      </c>
      <c r="K557" s="41"/>
      <c r="N557" s="12" t="s">
        <v>899</v>
      </c>
    </row>
    <row r="558" spans="2:14" x14ac:dyDescent="0.2">
      <c r="B558" s="38"/>
      <c r="C558" s="40" t="s">
        <v>261</v>
      </c>
      <c r="D558" s="40"/>
      <c r="E558" s="40"/>
      <c r="F558" s="40"/>
      <c r="G558" s="40"/>
      <c r="H558" s="40"/>
      <c r="I558" s="40"/>
      <c r="J558" s="245">
        <f>IF(J557=$B$973,$A$974,IF(J557=$B$974,$A$975,IF(J557=$B$975,$A$976,IF(J557=$B$976,$A$977,IF(J557=$B$977,$A$978,"Not Calculated")))))</f>
        <v>4</v>
      </c>
      <c r="K558" s="41"/>
      <c r="N558" s="12" t="s">
        <v>900</v>
      </c>
    </row>
    <row r="559" spans="2:14" x14ac:dyDescent="0.2">
      <c r="B559" s="38"/>
      <c r="C559" s="40" t="s">
        <v>893</v>
      </c>
      <c r="D559" s="40"/>
      <c r="E559" s="40"/>
      <c r="F559" s="40"/>
      <c r="G559" s="40"/>
      <c r="H559" s="40"/>
      <c r="I559" s="40"/>
      <c r="J559" s="40"/>
      <c r="K559" s="41"/>
      <c r="N559" s="12" t="s">
        <v>901</v>
      </c>
    </row>
    <row r="560" spans="2:14" ht="90" customHeight="1" x14ac:dyDescent="0.2">
      <c r="B560" s="38"/>
      <c r="C560" s="399" t="s">
        <v>429</v>
      </c>
      <c r="D560" s="400"/>
      <c r="E560" s="400"/>
      <c r="F560" s="400"/>
      <c r="G560" s="400"/>
      <c r="H560" s="400"/>
      <c r="I560" s="400"/>
      <c r="J560" s="401"/>
      <c r="K560" s="41"/>
      <c r="N560" s="12" t="s">
        <v>902</v>
      </c>
    </row>
    <row r="561" spans="2:12" ht="30" customHeight="1" x14ac:dyDescent="0.2">
      <c r="B561" s="38"/>
      <c r="C561" s="40"/>
      <c r="D561" s="40"/>
      <c r="E561" s="40"/>
      <c r="F561" s="40"/>
      <c r="G561" s="40"/>
      <c r="H561" s="40"/>
      <c r="I561" s="40"/>
      <c r="J561" s="40"/>
      <c r="K561" s="41"/>
    </row>
    <row r="562" spans="2:12" x14ac:dyDescent="0.2">
      <c r="B562" s="38"/>
      <c r="C562" s="179" t="s">
        <v>323</v>
      </c>
      <c r="D562" s="40"/>
      <c r="E562" s="40"/>
      <c r="F562" s="40"/>
      <c r="G562" s="40"/>
      <c r="H562" s="40"/>
      <c r="I562" s="40"/>
      <c r="J562" s="245" t="str">
        <f>IF(J556="N/A",IF(OR(J549="Not Calculated",J558="Not Calculated")=TRUE,"Not Calculated",AVERAGE(J549,J558)),AVERAGE(J556,J558))</f>
        <v>Not Calculated</v>
      </c>
      <c r="K562" s="41"/>
    </row>
    <row r="563" spans="2:12" x14ac:dyDescent="0.2">
      <c r="B563" s="38"/>
      <c r="C563" s="40"/>
      <c r="D563" s="40"/>
      <c r="E563" s="40"/>
      <c r="F563" s="40"/>
      <c r="G563" s="40"/>
      <c r="H563" s="40"/>
      <c r="I563" s="40"/>
      <c r="J563" s="40"/>
      <c r="K563" s="41"/>
    </row>
    <row r="564" spans="2:12" x14ac:dyDescent="0.2">
      <c r="B564" s="38"/>
      <c r="C564" s="40"/>
      <c r="D564" s="40"/>
      <c r="E564" s="40"/>
      <c r="F564" s="40"/>
      <c r="G564" s="40"/>
      <c r="H564" s="40"/>
      <c r="I564" s="40"/>
      <c r="J564" s="40"/>
      <c r="K564" s="41"/>
    </row>
    <row r="565" spans="2:12" ht="16" x14ac:dyDescent="0.2">
      <c r="B565" s="38"/>
      <c r="C565" s="45" t="s">
        <v>89</v>
      </c>
      <c r="D565" s="40"/>
      <c r="E565" s="40"/>
      <c r="F565" s="40"/>
      <c r="G565" s="40"/>
      <c r="H565" s="40"/>
      <c r="I565" s="40"/>
      <c r="J565" s="40"/>
      <c r="K565" s="41"/>
    </row>
    <row r="566" spans="2:12" x14ac:dyDescent="0.2">
      <c r="B566" s="38"/>
      <c r="C566" s="380" t="s">
        <v>333</v>
      </c>
      <c r="D566" s="380"/>
      <c r="E566" s="380"/>
      <c r="F566" s="380"/>
      <c r="G566" s="380"/>
      <c r="H566" s="380"/>
      <c r="I566" s="380"/>
      <c r="J566" s="40"/>
      <c r="K566" s="41"/>
    </row>
    <row r="567" spans="2:12" ht="15" customHeight="1" x14ac:dyDescent="0.2">
      <c r="B567" s="38"/>
      <c r="C567" s="380"/>
      <c r="D567" s="380"/>
      <c r="E567" s="380"/>
      <c r="F567" s="380"/>
      <c r="G567" s="380"/>
      <c r="H567" s="380"/>
      <c r="I567" s="380"/>
      <c r="J567" s="40"/>
      <c r="K567" s="41"/>
    </row>
    <row r="568" spans="2:12" x14ac:dyDescent="0.2">
      <c r="B568" s="38"/>
      <c r="C568" s="380"/>
      <c r="D568" s="380"/>
      <c r="E568" s="380"/>
      <c r="F568" s="380"/>
      <c r="G568" s="380"/>
      <c r="H568" s="380"/>
      <c r="I568" s="380"/>
      <c r="J568" s="251">
        <f>'Baseline Health'!G132</f>
        <v>0</v>
      </c>
      <c r="K568" s="41"/>
    </row>
    <row r="569" spans="2:12" x14ac:dyDescent="0.2">
      <c r="B569" s="38"/>
      <c r="C569" s="380" t="s">
        <v>334</v>
      </c>
      <c r="D569" s="380"/>
      <c r="E569" s="380"/>
      <c r="F569" s="380"/>
      <c r="G569" s="380"/>
      <c r="H569" s="380"/>
      <c r="I569" s="380"/>
      <c r="J569" s="245"/>
      <c r="K569" s="41"/>
    </row>
    <row r="570" spans="2:12" ht="15" customHeight="1" x14ac:dyDescent="0.2">
      <c r="B570" s="38"/>
      <c r="C570" s="380"/>
      <c r="D570" s="380"/>
      <c r="E570" s="380"/>
      <c r="F570" s="380"/>
      <c r="G570" s="380"/>
      <c r="H570" s="380"/>
      <c r="I570" s="380"/>
      <c r="J570" s="245"/>
      <c r="K570" s="41"/>
    </row>
    <row r="571" spans="2:12" x14ac:dyDescent="0.2">
      <c r="B571" s="38"/>
      <c r="C571" s="380"/>
      <c r="D571" s="380"/>
      <c r="E571" s="380"/>
      <c r="F571" s="380"/>
      <c r="G571" s="380"/>
      <c r="H571" s="380"/>
      <c r="I571" s="380"/>
      <c r="J571" s="264">
        <v>757</v>
      </c>
      <c r="K571" s="41"/>
    </row>
    <row r="572" spans="2:12" x14ac:dyDescent="0.2">
      <c r="B572" s="38"/>
      <c r="C572" s="40" t="s">
        <v>260</v>
      </c>
      <c r="D572" s="40"/>
      <c r="E572" s="40"/>
      <c r="F572" s="40"/>
      <c r="G572" s="40"/>
      <c r="H572" s="40"/>
      <c r="I572" s="40"/>
      <c r="J572" s="245" t="str">
        <f>IF(OR(J568=0,J568="Not Calculated")=TRUE,"Not Calculated",IF(((J568+J571)/J568)&lt;=1,0,IF(((J568+J571)/J568)&lt;=1.05,1,IF(((J568+J571)/J568)&lt;=1.5, 2,IF(((J568+J571)/J568)&lt;=2,3,4)))))</f>
        <v>Not Calculated</v>
      </c>
      <c r="K572" s="41"/>
      <c r="L572" s="12" t="s">
        <v>1168</v>
      </c>
    </row>
    <row r="573" spans="2:12" x14ac:dyDescent="0.2">
      <c r="B573" s="38"/>
      <c r="C573" s="279" t="str">
        <f>"0:"</f>
        <v>0:</v>
      </c>
      <c r="D573" s="281" t="s">
        <v>918</v>
      </c>
      <c r="E573" s="291"/>
      <c r="F573" s="291"/>
      <c r="G573" s="291"/>
      <c r="H573" s="291"/>
      <c r="I573" s="291"/>
      <c r="J573" s="251"/>
      <c r="K573" s="41"/>
    </row>
    <row r="574" spans="2:12" ht="9.75" customHeight="1" x14ac:dyDescent="0.2">
      <c r="B574" s="38"/>
      <c r="C574" s="280" t="str">
        <f>"1:"</f>
        <v>1:</v>
      </c>
      <c r="D574" s="281" t="s">
        <v>919</v>
      </c>
      <c r="E574" s="291"/>
      <c r="F574" s="291"/>
      <c r="G574" s="291"/>
      <c r="H574" s="291"/>
      <c r="I574" s="291"/>
      <c r="J574" s="251"/>
      <c r="K574" s="41"/>
    </row>
    <row r="575" spans="2:12" ht="9.75" customHeight="1" x14ac:dyDescent="0.2">
      <c r="B575" s="38"/>
      <c r="C575" s="280" t="str">
        <f>"2:"</f>
        <v>2:</v>
      </c>
      <c r="D575" s="281" t="s">
        <v>920</v>
      </c>
      <c r="E575" s="291"/>
      <c r="F575" s="291"/>
      <c r="G575" s="291"/>
      <c r="H575" s="291"/>
      <c r="I575" s="291"/>
      <c r="J575" s="251"/>
      <c r="K575" s="41"/>
    </row>
    <row r="576" spans="2:12" ht="9.75" customHeight="1" x14ac:dyDescent="0.2">
      <c r="B576" s="38"/>
      <c r="C576" s="280" t="str">
        <f>"3:"</f>
        <v>3:</v>
      </c>
      <c r="D576" s="281" t="s">
        <v>921</v>
      </c>
      <c r="E576" s="291"/>
      <c r="F576" s="291"/>
      <c r="G576" s="291"/>
      <c r="H576" s="291"/>
      <c r="I576" s="291"/>
      <c r="J576" s="251"/>
      <c r="K576" s="41"/>
    </row>
    <row r="577" spans="2:14" ht="9.75" customHeight="1" x14ac:dyDescent="0.2">
      <c r="B577" s="38"/>
      <c r="C577" s="280" t="str">
        <f>"4:"</f>
        <v>4:</v>
      </c>
      <c r="D577" s="281" t="s">
        <v>922</v>
      </c>
      <c r="E577" s="40"/>
      <c r="F577" s="40"/>
      <c r="G577" s="40"/>
      <c r="H577" s="40"/>
      <c r="I577" s="40"/>
      <c r="J577" s="40"/>
      <c r="K577" s="41"/>
    </row>
    <row r="578" spans="2:14" ht="12" customHeight="1" x14ac:dyDescent="0.2">
      <c r="B578" s="38"/>
      <c r="C578" s="174" t="s">
        <v>662</v>
      </c>
      <c r="D578" s="40"/>
      <c r="E578" s="40"/>
      <c r="F578" s="40"/>
      <c r="G578" s="40"/>
      <c r="H578" s="40"/>
      <c r="I578" s="40"/>
      <c r="J578" s="265" t="s">
        <v>661</v>
      </c>
      <c r="K578" s="41"/>
      <c r="N578" s="12" t="s">
        <v>661</v>
      </c>
    </row>
    <row r="579" spans="2:14" x14ac:dyDescent="0.2">
      <c r="B579" s="38"/>
      <c r="C579" s="174" t="s">
        <v>660</v>
      </c>
      <c r="D579" s="40"/>
      <c r="E579" s="40"/>
      <c r="F579" s="40"/>
      <c r="G579" s="40"/>
      <c r="H579" s="40"/>
      <c r="I579" s="40"/>
      <c r="J579" s="247" t="str">
        <f>IF(J578=N578,"N/A",IF(J578=N579,0,IF(J578=N580,1,IF(J578=N581,2,IF(J578=N582,3,IF(J578=N583,4,"N/A"))))))</f>
        <v>N/A</v>
      </c>
      <c r="K579" s="41"/>
      <c r="N579" s="12" t="s">
        <v>894</v>
      </c>
    </row>
    <row r="580" spans="2:14" x14ac:dyDescent="0.2">
      <c r="B580" s="38"/>
      <c r="C580" s="40" t="s">
        <v>257</v>
      </c>
      <c r="D580" s="40"/>
      <c r="E580" s="40"/>
      <c r="F580" s="40"/>
      <c r="G580" s="40"/>
      <c r="H580" s="40"/>
      <c r="I580" s="40"/>
      <c r="J580" s="266" t="s">
        <v>874</v>
      </c>
      <c r="K580" s="41"/>
      <c r="N580" s="12" t="s">
        <v>895</v>
      </c>
    </row>
    <row r="581" spans="2:14" x14ac:dyDescent="0.2">
      <c r="B581" s="38"/>
      <c r="C581" s="40" t="s">
        <v>261</v>
      </c>
      <c r="D581" s="40"/>
      <c r="E581" s="40"/>
      <c r="F581" s="40"/>
      <c r="G581" s="40"/>
      <c r="H581" s="40"/>
      <c r="I581" s="40"/>
      <c r="J581" s="245">
        <f>IF(J580=$B$973,$A$974,IF(J580=$B$974,$A$975,IF(J580=$B$975,$A$976,IF(J580=$B$976,$A$977,IF(J580=$B$977,$A$978,"Not Calculated")))))</f>
        <v>4</v>
      </c>
      <c r="K581" s="41"/>
      <c r="N581" s="12" t="s">
        <v>896</v>
      </c>
    </row>
    <row r="582" spans="2:14" x14ac:dyDescent="0.2">
      <c r="B582" s="38"/>
      <c r="C582" s="40" t="s">
        <v>893</v>
      </c>
      <c r="D582" s="40"/>
      <c r="E582" s="40"/>
      <c r="F582" s="40"/>
      <c r="G582" s="40"/>
      <c r="H582" s="40"/>
      <c r="I582" s="40"/>
      <c r="J582" s="40"/>
      <c r="K582" s="41"/>
      <c r="N582" s="12" t="s">
        <v>897</v>
      </c>
    </row>
    <row r="583" spans="2:14" ht="60" customHeight="1" x14ac:dyDescent="0.2">
      <c r="B583" s="38"/>
      <c r="C583" s="399" t="s">
        <v>1167</v>
      </c>
      <c r="D583" s="400"/>
      <c r="E583" s="400"/>
      <c r="F583" s="400"/>
      <c r="G583" s="400"/>
      <c r="H583" s="400"/>
      <c r="I583" s="400"/>
      <c r="J583" s="401"/>
      <c r="K583" s="41"/>
      <c r="N583" s="12" t="s">
        <v>898</v>
      </c>
    </row>
    <row r="584" spans="2:14" ht="30" customHeight="1" x14ac:dyDescent="0.2">
      <c r="B584" s="38"/>
      <c r="C584" s="40"/>
      <c r="D584" s="40"/>
      <c r="E584" s="40"/>
      <c r="F584" s="40"/>
      <c r="G584" s="40"/>
      <c r="H584" s="40"/>
      <c r="I584" s="40"/>
      <c r="J584" s="40"/>
      <c r="K584" s="41"/>
    </row>
    <row r="585" spans="2:14" x14ac:dyDescent="0.2">
      <c r="B585" s="38"/>
      <c r="C585" s="179" t="s">
        <v>324</v>
      </c>
      <c r="D585" s="40"/>
      <c r="E585" s="40"/>
      <c r="F585" s="40"/>
      <c r="G585" s="40"/>
      <c r="H585" s="40"/>
      <c r="I585" s="40"/>
      <c r="J585" s="245" t="str">
        <f>IF(J579="N/A",IF(OR(J572="Not Calculated",J581="Not Calculated")=TRUE,"Not Calculated",AVERAGE(J572,J581)),AVERAGE(J579,J581))</f>
        <v>Not Calculated</v>
      </c>
      <c r="K585" s="41"/>
    </row>
    <row r="586" spans="2:14" x14ac:dyDescent="0.2">
      <c r="B586" s="38"/>
      <c r="C586" s="40"/>
      <c r="D586" s="40"/>
      <c r="E586" s="40"/>
      <c r="F586" s="40"/>
      <c r="G586" s="40"/>
      <c r="H586" s="40"/>
      <c r="I586" s="40"/>
      <c r="J586" s="40"/>
      <c r="K586" s="41"/>
    </row>
    <row r="587" spans="2:14" x14ac:dyDescent="0.2">
      <c r="B587" s="38"/>
      <c r="C587" s="40"/>
      <c r="D587" s="40"/>
      <c r="E587" s="40"/>
      <c r="F587" s="40"/>
      <c r="G587" s="40"/>
      <c r="H587" s="40"/>
      <c r="I587" s="40"/>
      <c r="J587" s="40"/>
      <c r="K587" s="41"/>
    </row>
    <row r="588" spans="2:14" ht="16" x14ac:dyDescent="0.2">
      <c r="B588" s="38"/>
      <c r="C588" s="45" t="s">
        <v>115</v>
      </c>
      <c r="D588" s="40"/>
      <c r="E588" s="40"/>
      <c r="F588" s="40"/>
      <c r="G588" s="40"/>
      <c r="H588" s="40"/>
      <c r="I588" s="40"/>
      <c r="J588" s="40"/>
      <c r="K588" s="41"/>
    </row>
    <row r="589" spans="2:14" x14ac:dyDescent="0.2">
      <c r="B589" s="38"/>
      <c r="C589" s="40" t="s">
        <v>335</v>
      </c>
      <c r="D589" s="40"/>
      <c r="E589" s="40"/>
      <c r="F589" s="40"/>
      <c r="G589" s="40"/>
      <c r="H589" s="40"/>
      <c r="I589" s="40"/>
      <c r="J589" s="264">
        <v>77</v>
      </c>
      <c r="K589" s="41"/>
    </row>
    <row r="590" spans="2:14" x14ac:dyDescent="0.2">
      <c r="B590" s="38"/>
      <c r="C590" s="40" t="s">
        <v>260</v>
      </c>
      <c r="D590" s="40"/>
      <c r="E590" s="40"/>
      <c r="F590" s="40"/>
      <c r="G590" s="40"/>
      <c r="H590" s="40"/>
      <c r="I590" s="40"/>
      <c r="J590" s="255">
        <f>IF(J589&lt;=0,0,IF(J589&lt;=1000,1,IF(J589&lt;=5000,2,IF(J589&lt;=25000,3,4))))</f>
        <v>1</v>
      </c>
      <c r="K590" s="41"/>
      <c r="L590" s="12" t="s">
        <v>1169</v>
      </c>
    </row>
    <row r="591" spans="2:14" x14ac:dyDescent="0.2">
      <c r="B591" s="38"/>
      <c r="C591" s="279" t="str">
        <f>"0:"</f>
        <v>0:</v>
      </c>
      <c r="D591" s="284" t="s">
        <v>970</v>
      </c>
      <c r="E591" s="40"/>
      <c r="F591" s="40"/>
      <c r="G591" s="40"/>
      <c r="H591" s="40"/>
      <c r="I591" s="40"/>
      <c r="J591" s="251"/>
      <c r="K591" s="41"/>
    </row>
    <row r="592" spans="2:14" ht="9.75" customHeight="1" x14ac:dyDescent="0.2">
      <c r="B592" s="38"/>
      <c r="C592" s="280" t="str">
        <f>"1:"</f>
        <v>1:</v>
      </c>
      <c r="D592" s="284" t="s">
        <v>961</v>
      </c>
      <c r="E592" s="40"/>
      <c r="F592" s="40"/>
      <c r="G592" s="40"/>
      <c r="H592" s="40"/>
      <c r="I592" s="40"/>
      <c r="J592" s="251"/>
      <c r="K592" s="41"/>
    </row>
    <row r="593" spans="2:11" ht="9.75" customHeight="1" x14ac:dyDescent="0.2">
      <c r="B593" s="38"/>
      <c r="C593" s="280" t="str">
        <f>"2:"</f>
        <v>2:</v>
      </c>
      <c r="D593" s="284" t="s">
        <v>971</v>
      </c>
      <c r="E593" s="40"/>
      <c r="F593" s="40"/>
      <c r="G593" s="40"/>
      <c r="H593" s="40"/>
      <c r="I593" s="40"/>
      <c r="J593" s="251"/>
      <c r="K593" s="41"/>
    </row>
    <row r="594" spans="2:11" ht="9.75" customHeight="1" x14ac:dyDescent="0.2">
      <c r="B594" s="38"/>
      <c r="C594" s="280" t="str">
        <f>"3:"</f>
        <v>3:</v>
      </c>
      <c r="D594" s="284" t="s">
        <v>963</v>
      </c>
      <c r="E594" s="40"/>
      <c r="F594" s="40"/>
      <c r="G594" s="40"/>
      <c r="H594" s="40"/>
      <c r="I594" s="40"/>
      <c r="J594" s="251"/>
      <c r="K594" s="41"/>
    </row>
    <row r="595" spans="2:11" ht="9.75" customHeight="1" x14ac:dyDescent="0.2">
      <c r="B595" s="38"/>
      <c r="C595" s="280" t="str">
        <f>"4:"</f>
        <v>4:</v>
      </c>
      <c r="D595" s="284" t="s">
        <v>964</v>
      </c>
      <c r="E595" s="40"/>
      <c r="F595" s="40"/>
      <c r="G595" s="40"/>
      <c r="H595" s="40"/>
      <c r="I595" s="40"/>
      <c r="J595" s="40"/>
      <c r="K595" s="41"/>
    </row>
    <row r="596" spans="2:11" ht="12" customHeight="1" x14ac:dyDescent="0.2">
      <c r="B596" s="38"/>
      <c r="C596" s="40" t="s">
        <v>257</v>
      </c>
      <c r="D596" s="40"/>
      <c r="E596" s="40"/>
      <c r="F596" s="40"/>
      <c r="G596" s="40"/>
      <c r="H596" s="40"/>
      <c r="I596" s="40"/>
      <c r="J596" s="266" t="s">
        <v>874</v>
      </c>
      <c r="K596" s="41"/>
    </row>
    <row r="597" spans="2:11" x14ac:dyDescent="0.2">
      <c r="B597" s="38"/>
      <c r="C597" s="40" t="s">
        <v>261</v>
      </c>
      <c r="D597" s="40"/>
      <c r="E597" s="40"/>
      <c r="F597" s="40"/>
      <c r="G597" s="40"/>
      <c r="H597" s="40"/>
      <c r="I597" s="40"/>
      <c r="J597" s="245">
        <f>IF(J596=$B$973,$A$974,IF(J596=$B$974,$A$975,IF(J596=$B$975,$A$976,IF(J596=$B$976,$A$977,IF(J596=$B$977,$A$978,"Not Calculated")))))</f>
        <v>4</v>
      </c>
      <c r="K597" s="41"/>
    </row>
    <row r="598" spans="2:11" x14ac:dyDescent="0.2">
      <c r="B598" s="38"/>
      <c r="C598" s="40" t="s">
        <v>893</v>
      </c>
      <c r="D598" s="40"/>
      <c r="E598" s="40"/>
      <c r="F598" s="40"/>
      <c r="G598" s="40"/>
      <c r="H598" s="40"/>
      <c r="I598" s="40"/>
      <c r="J598" s="40"/>
      <c r="K598" s="41"/>
    </row>
    <row r="599" spans="2:11" ht="30" customHeight="1" x14ac:dyDescent="0.2">
      <c r="B599" s="38"/>
      <c r="C599" s="399" t="s">
        <v>1141</v>
      </c>
      <c r="D599" s="400"/>
      <c r="E599" s="400"/>
      <c r="F599" s="400"/>
      <c r="G599" s="400"/>
      <c r="H599" s="400"/>
      <c r="I599" s="400"/>
      <c r="J599" s="401"/>
      <c r="K599" s="41"/>
    </row>
    <row r="600" spans="2:11" ht="30" customHeight="1" x14ac:dyDescent="0.2">
      <c r="B600" s="38"/>
      <c r="C600" s="40"/>
      <c r="D600" s="40"/>
      <c r="E600" s="40"/>
      <c r="F600" s="40"/>
      <c r="G600" s="40"/>
      <c r="H600" s="40"/>
      <c r="I600" s="40"/>
      <c r="J600" s="40"/>
      <c r="K600" s="41"/>
    </row>
    <row r="601" spans="2:11" x14ac:dyDescent="0.2">
      <c r="B601" s="38"/>
      <c r="C601" s="179" t="s">
        <v>325</v>
      </c>
      <c r="D601" s="40"/>
      <c r="E601" s="40"/>
      <c r="F601" s="40"/>
      <c r="G601" s="40"/>
      <c r="H601" s="40"/>
      <c r="I601" s="40"/>
      <c r="J601" s="245">
        <f>IF(J590="Not Calculated","Not Calculated",AVERAGE(J590,J597))</f>
        <v>2.5</v>
      </c>
      <c r="K601" s="41"/>
    </row>
    <row r="602" spans="2:11" x14ac:dyDescent="0.2">
      <c r="B602" s="38"/>
      <c r="C602" s="40"/>
      <c r="D602" s="40"/>
      <c r="E602" s="40"/>
      <c r="F602" s="40"/>
      <c r="G602" s="40"/>
      <c r="H602" s="40"/>
      <c r="I602" s="40"/>
      <c r="J602" s="40"/>
      <c r="K602" s="41"/>
    </row>
    <row r="603" spans="2:11" x14ac:dyDescent="0.2">
      <c r="B603" s="38"/>
      <c r="C603" s="40"/>
      <c r="D603" s="40"/>
      <c r="E603" s="40"/>
      <c r="F603" s="40"/>
      <c r="G603" s="40"/>
      <c r="H603" s="40"/>
      <c r="I603" s="40"/>
      <c r="J603" s="40"/>
      <c r="K603" s="41"/>
    </row>
    <row r="604" spans="2:11" ht="16" x14ac:dyDescent="0.2">
      <c r="B604" s="38"/>
      <c r="C604" s="45" t="s">
        <v>326</v>
      </c>
      <c r="D604" s="40"/>
      <c r="E604" s="40"/>
      <c r="F604" s="40"/>
      <c r="G604" s="40"/>
      <c r="H604" s="40"/>
      <c r="I604" s="40"/>
      <c r="J604" s="40"/>
      <c r="K604" s="41"/>
    </row>
    <row r="605" spans="2:11" x14ac:dyDescent="0.2">
      <c r="B605" s="38"/>
      <c r="C605" s="40" t="s">
        <v>336</v>
      </c>
      <c r="D605" s="40"/>
      <c r="E605" s="40"/>
      <c r="F605" s="40"/>
      <c r="G605" s="40"/>
      <c r="H605" s="40"/>
      <c r="I605" s="40"/>
      <c r="J605" s="271">
        <v>100</v>
      </c>
      <c r="K605" s="41"/>
    </row>
    <row r="606" spans="2:11" x14ac:dyDescent="0.2">
      <c r="B606" s="38"/>
      <c r="C606" s="40" t="s">
        <v>260</v>
      </c>
      <c r="D606" s="40"/>
      <c r="E606" s="40"/>
      <c r="F606" s="40"/>
      <c r="G606" s="40"/>
      <c r="H606" s="40"/>
      <c r="I606" s="40"/>
      <c r="J606" s="248">
        <f>IF(J605&lt;=0,0,IF(J605&lt;=10,1,IF(J605&lt;=25,2,IF(J605&lt;=50,3,4))))</f>
        <v>4</v>
      </c>
      <c r="K606" s="41"/>
    </row>
    <row r="607" spans="2:11" x14ac:dyDescent="0.2">
      <c r="B607" s="38"/>
      <c r="C607" s="279" t="str">
        <f>"0:"</f>
        <v>0:</v>
      </c>
      <c r="D607" s="290" t="s">
        <v>944</v>
      </c>
      <c r="E607" s="40"/>
      <c r="F607" s="40"/>
      <c r="G607" s="40"/>
      <c r="H607" s="40"/>
      <c r="I607" s="40"/>
      <c r="J607" s="244"/>
      <c r="K607" s="41"/>
    </row>
    <row r="608" spans="2:11" ht="9.75" customHeight="1" x14ac:dyDescent="0.2">
      <c r="B608" s="38"/>
      <c r="C608" s="280" t="str">
        <f>"1:"</f>
        <v>1:</v>
      </c>
      <c r="D608" s="290" t="s">
        <v>947</v>
      </c>
      <c r="E608" s="40"/>
      <c r="F608" s="40"/>
      <c r="G608" s="40"/>
      <c r="H608" s="40"/>
      <c r="I608" s="40"/>
      <c r="J608" s="244"/>
      <c r="K608" s="41"/>
    </row>
    <row r="609" spans="2:11" ht="9.75" customHeight="1" x14ac:dyDescent="0.2">
      <c r="B609" s="38"/>
      <c r="C609" s="280" t="str">
        <f>"2:"</f>
        <v>2:</v>
      </c>
      <c r="D609" s="290" t="s">
        <v>972</v>
      </c>
      <c r="E609" s="40"/>
      <c r="F609" s="40"/>
      <c r="G609" s="40"/>
      <c r="H609" s="40"/>
      <c r="I609" s="40"/>
      <c r="J609" s="244"/>
      <c r="K609" s="41"/>
    </row>
    <row r="610" spans="2:11" ht="9.75" customHeight="1" x14ac:dyDescent="0.2">
      <c r="B610" s="38"/>
      <c r="C610" s="280" t="str">
        <f>"3:"</f>
        <v>3:</v>
      </c>
      <c r="D610" s="290" t="s">
        <v>973</v>
      </c>
      <c r="E610" s="40"/>
      <c r="F610" s="40"/>
      <c r="G610" s="40"/>
      <c r="H610" s="40"/>
      <c r="I610" s="40"/>
      <c r="J610" s="244"/>
      <c r="K610" s="41"/>
    </row>
    <row r="611" spans="2:11" ht="9.75" customHeight="1" x14ac:dyDescent="0.2">
      <c r="B611" s="38"/>
      <c r="C611" s="280" t="str">
        <f>"4:"</f>
        <v>4:</v>
      </c>
      <c r="D611" s="290" t="s">
        <v>974</v>
      </c>
      <c r="E611" s="40"/>
      <c r="F611" s="40"/>
      <c r="G611" s="40"/>
      <c r="H611" s="40"/>
      <c r="I611" s="40"/>
      <c r="J611" s="40"/>
      <c r="K611" s="41"/>
    </row>
    <row r="612" spans="2:11" ht="12" customHeight="1" x14ac:dyDescent="0.2">
      <c r="B612" s="38"/>
      <c r="C612" s="40" t="s">
        <v>893</v>
      </c>
      <c r="D612" s="40"/>
      <c r="E612" s="40"/>
      <c r="F612" s="40"/>
      <c r="G612" s="40"/>
      <c r="H612" s="40"/>
      <c r="I612" s="40"/>
      <c r="J612" s="40"/>
      <c r="K612" s="41"/>
    </row>
    <row r="613" spans="2:11" x14ac:dyDescent="0.2">
      <c r="B613" s="38"/>
      <c r="C613" s="399" t="s">
        <v>1170</v>
      </c>
      <c r="D613" s="400"/>
      <c r="E613" s="400"/>
      <c r="F613" s="400"/>
      <c r="G613" s="400"/>
      <c r="H613" s="400"/>
      <c r="I613" s="400"/>
      <c r="J613" s="401"/>
      <c r="K613" s="41"/>
    </row>
    <row r="614" spans="2:11" ht="30" customHeight="1" x14ac:dyDescent="0.2">
      <c r="B614" s="38"/>
      <c r="C614" s="40"/>
      <c r="D614" s="40"/>
      <c r="E614" s="40"/>
      <c r="F614" s="40"/>
      <c r="G614" s="40"/>
      <c r="H614" s="40"/>
      <c r="I614" s="40"/>
      <c r="J614" s="40"/>
      <c r="K614" s="41"/>
    </row>
    <row r="615" spans="2:11" x14ac:dyDescent="0.2">
      <c r="B615" s="38"/>
      <c r="C615" s="179" t="s">
        <v>327</v>
      </c>
      <c r="D615" s="40"/>
      <c r="E615" s="40"/>
      <c r="F615" s="40"/>
      <c r="G615" s="40"/>
      <c r="H615" s="40"/>
      <c r="I615" s="40"/>
      <c r="J615" s="245">
        <f>J606</f>
        <v>4</v>
      </c>
      <c r="K615" s="41"/>
    </row>
    <row r="616" spans="2:11" x14ac:dyDescent="0.2">
      <c r="B616" s="38"/>
      <c r="C616" s="40"/>
      <c r="D616" s="40"/>
      <c r="E616" s="40"/>
      <c r="F616" s="40"/>
      <c r="G616" s="40"/>
      <c r="H616" s="40"/>
      <c r="I616" s="40"/>
      <c r="J616" s="40"/>
      <c r="K616" s="41"/>
    </row>
    <row r="617" spans="2:11" x14ac:dyDescent="0.2">
      <c r="B617" s="38"/>
      <c r="C617" s="40"/>
      <c r="D617" s="40"/>
      <c r="E617" s="40"/>
      <c r="F617" s="40"/>
      <c r="G617" s="40"/>
      <c r="H617" s="40"/>
      <c r="I617" s="40"/>
      <c r="J617" s="40"/>
      <c r="K617" s="41"/>
    </row>
    <row r="618" spans="2:11" ht="16" x14ac:dyDescent="0.2">
      <c r="B618" s="38"/>
      <c r="C618" s="45" t="s">
        <v>92</v>
      </c>
      <c r="D618" s="40"/>
      <c r="E618" s="40"/>
      <c r="F618" s="40"/>
      <c r="G618" s="40"/>
      <c r="H618" s="40"/>
      <c r="I618" s="40"/>
      <c r="J618" s="40"/>
      <c r="K618" s="41"/>
    </row>
    <row r="619" spans="2:11" x14ac:dyDescent="0.2">
      <c r="B619" s="38"/>
      <c r="C619" s="40" t="s">
        <v>337</v>
      </c>
      <c r="D619" s="40"/>
      <c r="E619" s="40"/>
      <c r="F619" s="40"/>
      <c r="G619" s="40"/>
      <c r="H619" s="40"/>
      <c r="I619" s="40"/>
      <c r="J619" s="251">
        <f>'Baseline Health'!G137</f>
        <v>1</v>
      </c>
      <c r="K619" s="41"/>
    </row>
    <row r="620" spans="2:11" x14ac:dyDescent="0.2">
      <c r="B620" s="38"/>
      <c r="C620" s="380" t="s">
        <v>338</v>
      </c>
      <c r="D620" s="380"/>
      <c r="E620" s="380"/>
      <c r="F620" s="380"/>
      <c r="G620" s="380"/>
      <c r="H620" s="380"/>
      <c r="I620" s="380"/>
      <c r="J620" s="251"/>
      <c r="K620" s="41"/>
    </row>
    <row r="621" spans="2:11" ht="15" customHeight="1" x14ac:dyDescent="0.2">
      <c r="B621" s="38"/>
      <c r="C621" s="380"/>
      <c r="D621" s="380"/>
      <c r="E621" s="380"/>
      <c r="F621" s="380"/>
      <c r="G621" s="380"/>
      <c r="H621" s="380"/>
      <c r="I621" s="380"/>
      <c r="J621" s="264">
        <f>J571</f>
        <v>757</v>
      </c>
      <c r="K621" s="41"/>
    </row>
    <row r="622" spans="2:11" x14ac:dyDescent="0.2">
      <c r="B622" s="38"/>
      <c r="C622" s="40" t="s">
        <v>260</v>
      </c>
      <c r="D622" s="40"/>
      <c r="E622" s="40"/>
      <c r="F622" s="40"/>
      <c r="G622" s="40"/>
      <c r="H622" s="40"/>
      <c r="I622" s="40"/>
      <c r="J622" s="245">
        <f>IF(OR(J619=0,J619="Not Calculated")=TRUE,"Not Calculated",IF(((J619+J621)/J619)&lt;=1,0,IF(((J619+J621)/J619)&lt;=1.05,1,IF(((J619+J621)/J619)&lt;=1.5, 2,IF(((J619+J621)/J619)&lt;=2,3,4)))))</f>
        <v>4</v>
      </c>
      <c r="K622" s="41"/>
    </row>
    <row r="623" spans="2:11" x14ac:dyDescent="0.2">
      <c r="B623" s="38"/>
      <c r="C623" s="279" t="str">
        <f>"0:"</f>
        <v>0:</v>
      </c>
      <c r="D623" s="281" t="s">
        <v>918</v>
      </c>
      <c r="E623" s="291"/>
      <c r="F623" s="291"/>
      <c r="G623" s="291"/>
      <c r="H623" s="291"/>
      <c r="I623" s="291"/>
      <c r="J623" s="251"/>
      <c r="K623" s="41"/>
    </row>
    <row r="624" spans="2:11" ht="9.75" customHeight="1" x14ac:dyDescent="0.2">
      <c r="B624" s="38"/>
      <c r="C624" s="280" t="str">
        <f>"1:"</f>
        <v>1:</v>
      </c>
      <c r="D624" s="281" t="s">
        <v>919</v>
      </c>
      <c r="E624" s="291"/>
      <c r="F624" s="291"/>
      <c r="G624" s="291"/>
      <c r="H624" s="291"/>
      <c r="I624" s="291"/>
      <c r="J624" s="251"/>
      <c r="K624" s="41"/>
    </row>
    <row r="625" spans="2:14" ht="9.75" customHeight="1" x14ac:dyDescent="0.2">
      <c r="B625" s="38"/>
      <c r="C625" s="280" t="str">
        <f>"2:"</f>
        <v>2:</v>
      </c>
      <c r="D625" s="281" t="s">
        <v>920</v>
      </c>
      <c r="E625" s="291"/>
      <c r="F625" s="291"/>
      <c r="G625" s="291"/>
      <c r="H625" s="291"/>
      <c r="I625" s="291"/>
      <c r="J625" s="251"/>
      <c r="K625" s="41"/>
    </row>
    <row r="626" spans="2:14" ht="9.75" customHeight="1" x14ac:dyDescent="0.2">
      <c r="B626" s="38"/>
      <c r="C626" s="280" t="str">
        <f>"3:"</f>
        <v>3:</v>
      </c>
      <c r="D626" s="281" t="s">
        <v>921</v>
      </c>
      <c r="E626" s="291"/>
      <c r="F626" s="291"/>
      <c r="G626" s="291"/>
      <c r="H626" s="291"/>
      <c r="I626" s="291"/>
      <c r="J626" s="251"/>
      <c r="K626" s="41"/>
    </row>
    <row r="627" spans="2:14" ht="9.75" customHeight="1" x14ac:dyDescent="0.2">
      <c r="B627" s="38"/>
      <c r="C627" s="280" t="str">
        <f>"4:"</f>
        <v>4:</v>
      </c>
      <c r="D627" s="281" t="s">
        <v>922</v>
      </c>
      <c r="E627" s="40"/>
      <c r="F627" s="40"/>
      <c r="G627" s="40"/>
      <c r="H627" s="40"/>
      <c r="I627" s="40"/>
      <c r="J627" s="40"/>
      <c r="K627" s="41"/>
    </row>
    <row r="628" spans="2:14" ht="12" customHeight="1" x14ac:dyDescent="0.2">
      <c r="B628" s="38"/>
      <c r="C628" s="174" t="s">
        <v>662</v>
      </c>
      <c r="D628" s="40"/>
      <c r="E628" s="40"/>
      <c r="F628" s="40"/>
      <c r="G628" s="40"/>
      <c r="H628" s="40"/>
      <c r="I628" s="40"/>
      <c r="J628" s="265" t="s">
        <v>661</v>
      </c>
      <c r="K628" s="41"/>
      <c r="N628" s="12" t="s">
        <v>661</v>
      </c>
    </row>
    <row r="629" spans="2:14" x14ac:dyDescent="0.2">
      <c r="B629" s="38"/>
      <c r="C629" s="174" t="s">
        <v>660</v>
      </c>
      <c r="D629" s="40"/>
      <c r="E629" s="40"/>
      <c r="F629" s="40"/>
      <c r="G629" s="40"/>
      <c r="H629" s="40"/>
      <c r="I629" s="40"/>
      <c r="J629" s="247" t="str">
        <f>IF(J628=N628,"N/A",IF(J628=N629,0,IF(J628=N630,1,IF(J628=N631,2,IF(J628=N632,3,IF(J628=N633,4,"N/A"))))))</f>
        <v>N/A</v>
      </c>
      <c r="K629" s="41"/>
      <c r="N629" s="12" t="s">
        <v>894</v>
      </c>
    </row>
    <row r="630" spans="2:14" x14ac:dyDescent="0.2">
      <c r="B630" s="38"/>
      <c r="C630" s="40" t="s">
        <v>257</v>
      </c>
      <c r="D630" s="40"/>
      <c r="E630" s="40"/>
      <c r="F630" s="40"/>
      <c r="G630" s="40"/>
      <c r="H630" s="40"/>
      <c r="I630" s="40"/>
      <c r="J630" s="266" t="s">
        <v>874</v>
      </c>
      <c r="K630" s="41"/>
      <c r="N630" s="12" t="s">
        <v>895</v>
      </c>
    </row>
    <row r="631" spans="2:14" x14ac:dyDescent="0.2">
      <c r="B631" s="38"/>
      <c r="C631" s="40" t="s">
        <v>261</v>
      </c>
      <c r="D631" s="40"/>
      <c r="E631" s="40"/>
      <c r="F631" s="40"/>
      <c r="G631" s="40"/>
      <c r="H631" s="40"/>
      <c r="I631" s="40"/>
      <c r="J631" s="245">
        <f>IF(J630=$B$973,$A$974,IF(J630=$B$974,$A$975,IF(J630=$B$975,$A$976,IF(J630=$B$976,$A$977,IF(J630=$B$977,$A$978,"Not Calculated")))))</f>
        <v>4</v>
      </c>
      <c r="K631" s="41"/>
      <c r="N631" s="12" t="s">
        <v>896</v>
      </c>
    </row>
    <row r="632" spans="2:14" x14ac:dyDescent="0.2">
      <c r="B632" s="38"/>
      <c r="C632" s="40" t="s">
        <v>893</v>
      </c>
      <c r="D632" s="40"/>
      <c r="E632" s="40"/>
      <c r="F632" s="40"/>
      <c r="G632" s="40"/>
      <c r="H632" s="40"/>
      <c r="I632" s="40"/>
      <c r="J632" s="40"/>
      <c r="K632" s="41"/>
      <c r="N632" s="12" t="s">
        <v>897</v>
      </c>
    </row>
    <row r="633" spans="2:14" ht="30" customHeight="1" x14ac:dyDescent="0.2">
      <c r="B633" s="38"/>
      <c r="C633" s="399" t="s">
        <v>1171</v>
      </c>
      <c r="D633" s="400"/>
      <c r="E633" s="400"/>
      <c r="F633" s="400"/>
      <c r="G633" s="400"/>
      <c r="H633" s="400"/>
      <c r="I633" s="400"/>
      <c r="J633" s="401"/>
      <c r="K633" s="41"/>
      <c r="N633" s="12" t="s">
        <v>898</v>
      </c>
    </row>
    <row r="634" spans="2:14" ht="30" customHeight="1" x14ac:dyDescent="0.2">
      <c r="B634" s="38"/>
      <c r="C634" s="40"/>
      <c r="D634" s="40"/>
      <c r="E634" s="40"/>
      <c r="F634" s="40"/>
      <c r="G634" s="40"/>
      <c r="H634" s="40"/>
      <c r="I634" s="40"/>
      <c r="J634" s="40"/>
      <c r="K634" s="41"/>
    </row>
    <row r="635" spans="2:14" x14ac:dyDescent="0.2">
      <c r="B635" s="38"/>
      <c r="C635" s="179" t="s">
        <v>328</v>
      </c>
      <c r="D635" s="40"/>
      <c r="E635" s="40"/>
      <c r="F635" s="40"/>
      <c r="G635" s="40"/>
      <c r="H635" s="40"/>
      <c r="I635" s="40"/>
      <c r="J635" s="245">
        <f>IF(J629="N/A",IF(OR(J622="Not Calculated",J631="Not Calculated")=TRUE,"Not Calculated",AVERAGE(J622,J631)),AVERAGE(J629,J631))</f>
        <v>4</v>
      </c>
      <c r="K635" s="41"/>
    </row>
    <row r="636" spans="2:14" x14ac:dyDescent="0.2">
      <c r="B636" s="38"/>
      <c r="C636" s="40"/>
      <c r="D636" s="40"/>
      <c r="E636" s="40"/>
      <c r="F636" s="40"/>
      <c r="G636" s="40"/>
      <c r="H636" s="40"/>
      <c r="I636" s="40"/>
      <c r="J636" s="40"/>
      <c r="K636" s="41"/>
    </row>
    <row r="637" spans="2:14" x14ac:dyDescent="0.2">
      <c r="B637" s="38"/>
      <c r="C637" s="40"/>
      <c r="D637" s="40"/>
      <c r="E637" s="40"/>
      <c r="F637" s="40"/>
      <c r="G637" s="40"/>
      <c r="H637" s="40"/>
      <c r="I637" s="40"/>
      <c r="J637" s="40"/>
      <c r="K637" s="41"/>
    </row>
    <row r="638" spans="2:14" ht="16" x14ac:dyDescent="0.2">
      <c r="B638" s="38"/>
      <c r="C638" s="45" t="s">
        <v>329</v>
      </c>
      <c r="D638" s="40"/>
      <c r="E638" s="40"/>
      <c r="F638" s="40"/>
      <c r="G638" s="40"/>
      <c r="H638" s="40"/>
      <c r="I638" s="40"/>
      <c r="J638" s="40"/>
      <c r="K638" s="41"/>
    </row>
    <row r="639" spans="2:14" x14ac:dyDescent="0.2">
      <c r="B639" s="38"/>
      <c r="C639" s="380" t="s">
        <v>339</v>
      </c>
      <c r="D639" s="380"/>
      <c r="E639" s="380"/>
      <c r="F639" s="380"/>
      <c r="G639" s="380"/>
      <c r="H639" s="380"/>
      <c r="I639" s="380"/>
      <c r="J639" s="40"/>
      <c r="K639" s="41"/>
    </row>
    <row r="640" spans="2:14" ht="15" customHeight="1" x14ac:dyDescent="0.2">
      <c r="B640" s="38"/>
      <c r="C640" s="380"/>
      <c r="D640" s="380"/>
      <c r="E640" s="380"/>
      <c r="F640" s="380"/>
      <c r="G640" s="380"/>
      <c r="H640" s="380"/>
      <c r="I640" s="380"/>
      <c r="J640" s="250">
        <f>'Baseline Health'!G145</f>
        <v>0</v>
      </c>
      <c r="K640" s="41"/>
    </row>
    <row r="641" spans="2:14" x14ac:dyDescent="0.2">
      <c r="B641" s="38"/>
      <c r="C641" s="380" t="s">
        <v>340</v>
      </c>
      <c r="D641" s="380"/>
      <c r="E641" s="380"/>
      <c r="F641" s="380"/>
      <c r="G641" s="380"/>
      <c r="H641" s="380"/>
      <c r="I641" s="380"/>
      <c r="J641" s="245"/>
      <c r="K641" s="41"/>
    </row>
    <row r="642" spans="2:14" ht="15" customHeight="1" x14ac:dyDescent="0.2">
      <c r="B642" s="38"/>
      <c r="C642" s="380"/>
      <c r="D642" s="380"/>
      <c r="E642" s="380"/>
      <c r="F642" s="380"/>
      <c r="G642" s="380"/>
      <c r="H642" s="380"/>
      <c r="I642" s="380"/>
      <c r="J642" s="245"/>
      <c r="K642" s="41"/>
    </row>
    <row r="643" spans="2:14" x14ac:dyDescent="0.2">
      <c r="B643" s="38"/>
      <c r="C643" s="380"/>
      <c r="D643" s="380"/>
      <c r="E643" s="380"/>
      <c r="F643" s="380"/>
      <c r="G643" s="380"/>
      <c r="H643" s="380"/>
      <c r="I643" s="380"/>
      <c r="J643" s="272">
        <v>75</v>
      </c>
      <c r="K643" s="41"/>
    </row>
    <row r="644" spans="2:14" x14ac:dyDescent="0.2">
      <c r="B644" s="38"/>
      <c r="C644" s="40" t="s">
        <v>260</v>
      </c>
      <c r="D644" s="40"/>
      <c r="E644" s="40"/>
      <c r="F644" s="40"/>
      <c r="G644" s="40"/>
      <c r="H644" s="40"/>
      <c r="I644" s="40"/>
      <c r="J644" s="245" t="str">
        <f>IF(OR(J640=0,J640="Not Calculated")=TRUE,"Not Calculated",IF(((J640+J643)/J640)&lt;=1,0,IF(((J640+J643)/J640)&lt;=1.05,1,IF(((J640+J643)/J640)&lt;=1.5, 2,IF(((J640+J643)/J640)&lt;=2,3,4)))))</f>
        <v>Not Calculated</v>
      </c>
      <c r="K644" s="41"/>
    </row>
    <row r="645" spans="2:14" x14ac:dyDescent="0.2">
      <c r="B645" s="38"/>
      <c r="C645" s="279" t="str">
        <f>"0:"</f>
        <v>0:</v>
      </c>
      <c r="D645" s="281" t="s">
        <v>918</v>
      </c>
      <c r="E645" s="291"/>
      <c r="F645" s="291"/>
      <c r="G645" s="291"/>
      <c r="H645" s="291"/>
      <c r="I645" s="291"/>
      <c r="J645" s="250"/>
      <c r="K645" s="41"/>
    </row>
    <row r="646" spans="2:14" ht="9.75" customHeight="1" x14ac:dyDescent="0.2">
      <c r="B646" s="38"/>
      <c r="C646" s="280" t="str">
        <f>"1:"</f>
        <v>1:</v>
      </c>
      <c r="D646" s="281" t="s">
        <v>919</v>
      </c>
      <c r="E646" s="291"/>
      <c r="F646" s="291"/>
      <c r="G646" s="291"/>
      <c r="H646" s="291"/>
      <c r="I646" s="291"/>
      <c r="J646" s="250"/>
      <c r="K646" s="41"/>
    </row>
    <row r="647" spans="2:14" ht="9.75" customHeight="1" x14ac:dyDescent="0.2">
      <c r="B647" s="38"/>
      <c r="C647" s="280" t="str">
        <f>"2:"</f>
        <v>2:</v>
      </c>
      <c r="D647" s="281" t="s">
        <v>920</v>
      </c>
      <c r="E647" s="291"/>
      <c r="F647" s="291"/>
      <c r="G647" s="291"/>
      <c r="H647" s="291"/>
      <c r="I647" s="291"/>
      <c r="J647" s="250"/>
      <c r="K647" s="41"/>
    </row>
    <row r="648" spans="2:14" ht="9.75" customHeight="1" x14ac:dyDescent="0.2">
      <c r="B648" s="38"/>
      <c r="C648" s="280" t="str">
        <f>"3:"</f>
        <v>3:</v>
      </c>
      <c r="D648" s="281" t="s">
        <v>921</v>
      </c>
      <c r="E648" s="291"/>
      <c r="F648" s="291"/>
      <c r="G648" s="291"/>
      <c r="H648" s="291"/>
      <c r="I648" s="291"/>
      <c r="J648" s="250"/>
      <c r="K648" s="41"/>
    </row>
    <row r="649" spans="2:14" ht="9.75" customHeight="1" x14ac:dyDescent="0.2">
      <c r="B649" s="38"/>
      <c r="C649" s="280" t="str">
        <f>"4:"</f>
        <v>4:</v>
      </c>
      <c r="D649" s="281" t="s">
        <v>922</v>
      </c>
      <c r="E649" s="40"/>
      <c r="F649" s="40"/>
      <c r="G649" s="40"/>
      <c r="H649" s="40"/>
      <c r="I649" s="40"/>
      <c r="J649" s="40"/>
      <c r="K649" s="41"/>
    </row>
    <row r="650" spans="2:14" ht="12" customHeight="1" x14ac:dyDescent="0.2">
      <c r="B650" s="38"/>
      <c r="C650" s="174" t="s">
        <v>662</v>
      </c>
      <c r="D650" s="40"/>
      <c r="E650" s="40"/>
      <c r="F650" s="40"/>
      <c r="G650" s="40"/>
      <c r="H650" s="40"/>
      <c r="I650" s="40"/>
      <c r="J650" s="265" t="s">
        <v>661</v>
      </c>
      <c r="K650" s="41"/>
      <c r="N650" s="12" t="s">
        <v>661</v>
      </c>
    </row>
    <row r="651" spans="2:14" x14ac:dyDescent="0.2">
      <c r="B651" s="38"/>
      <c r="C651" s="174" t="s">
        <v>660</v>
      </c>
      <c r="D651" s="40"/>
      <c r="E651" s="40"/>
      <c r="F651" s="40"/>
      <c r="G651" s="40"/>
      <c r="H651" s="40"/>
      <c r="I651" s="40"/>
      <c r="J651" s="247" t="str">
        <f>IF(J650=N650,"N/A",IF(J650=N651,0,IF(J650=N652,1,IF(J650=N653,2,IF(J650=N654,3,IF(J650=N655,4,"N/A"))))))</f>
        <v>N/A</v>
      </c>
      <c r="K651" s="41"/>
      <c r="N651" s="12" t="s">
        <v>894</v>
      </c>
    </row>
    <row r="652" spans="2:14" x14ac:dyDescent="0.2">
      <c r="B652" s="38"/>
      <c r="C652" s="40" t="s">
        <v>257</v>
      </c>
      <c r="D652" s="40"/>
      <c r="E652" s="40"/>
      <c r="F652" s="40"/>
      <c r="G652" s="40"/>
      <c r="H652" s="40"/>
      <c r="I652" s="40"/>
      <c r="J652" s="266" t="s">
        <v>873</v>
      </c>
      <c r="K652" s="41"/>
      <c r="N652" s="12" t="s">
        <v>895</v>
      </c>
    </row>
    <row r="653" spans="2:14" x14ac:dyDescent="0.2">
      <c r="B653" s="38"/>
      <c r="C653" s="40" t="s">
        <v>261</v>
      </c>
      <c r="D653" s="40"/>
      <c r="E653" s="40"/>
      <c r="F653" s="40"/>
      <c r="G653" s="40"/>
      <c r="H653" s="40"/>
      <c r="I653" s="40"/>
      <c r="J653" s="245">
        <f>IF(J652=$B$973,$A$974,IF(J652=$B$974,$A$975,IF(J652=$B$975,$A$976,IF(J652=$B$976,$A$977,IF(J652=$B$977,$A$978,"Not Calculated")))))</f>
        <v>3</v>
      </c>
      <c r="K653" s="41"/>
      <c r="N653" s="12" t="s">
        <v>896</v>
      </c>
    </row>
    <row r="654" spans="2:14" x14ac:dyDescent="0.2">
      <c r="B654" s="38"/>
      <c r="C654" s="40" t="s">
        <v>893</v>
      </c>
      <c r="D654" s="40"/>
      <c r="E654" s="40"/>
      <c r="F654" s="40"/>
      <c r="G654" s="40"/>
      <c r="H654" s="40"/>
      <c r="I654" s="40"/>
      <c r="J654" s="40"/>
      <c r="K654" s="41"/>
      <c r="N654" s="12" t="s">
        <v>897</v>
      </c>
    </row>
    <row r="655" spans="2:14" ht="90" customHeight="1" x14ac:dyDescent="0.2">
      <c r="B655" s="38"/>
      <c r="C655" s="399" t="s">
        <v>421</v>
      </c>
      <c r="D655" s="400"/>
      <c r="E655" s="400"/>
      <c r="F655" s="400"/>
      <c r="G655" s="400"/>
      <c r="H655" s="400"/>
      <c r="I655" s="400"/>
      <c r="J655" s="401"/>
      <c r="K655" s="41"/>
      <c r="N655" s="12" t="s">
        <v>898</v>
      </c>
    </row>
    <row r="656" spans="2:14" ht="30" customHeight="1" x14ac:dyDescent="0.2">
      <c r="B656" s="38"/>
      <c r="C656" s="40"/>
      <c r="D656" s="40"/>
      <c r="E656" s="40"/>
      <c r="F656" s="40"/>
      <c r="G656" s="40"/>
      <c r="H656" s="40"/>
      <c r="I656" s="40"/>
      <c r="J656" s="40"/>
      <c r="K656" s="41"/>
    </row>
    <row r="657" spans="2:14" x14ac:dyDescent="0.2">
      <c r="B657" s="38"/>
      <c r="C657" s="179" t="s">
        <v>330</v>
      </c>
      <c r="D657" s="40"/>
      <c r="E657" s="40"/>
      <c r="F657" s="40"/>
      <c r="G657" s="40"/>
      <c r="H657" s="40"/>
      <c r="I657" s="40"/>
      <c r="J657" s="245" t="str">
        <f>IF(J651="N/A",IF(OR(J644="Not Calculated",J653="Not Calculated")=TRUE,"Not Calculated",AVERAGE(J644,J653)),AVERAGE(J651,J653))</f>
        <v>Not Calculated</v>
      </c>
      <c r="K657" s="41"/>
    </row>
    <row r="658" spans="2:14" x14ac:dyDescent="0.2">
      <c r="B658" s="38"/>
      <c r="C658" s="40"/>
      <c r="D658" s="40"/>
      <c r="E658" s="40"/>
      <c r="F658" s="40"/>
      <c r="G658" s="40"/>
      <c r="H658" s="40"/>
      <c r="I658" s="40"/>
      <c r="J658" s="40"/>
      <c r="K658" s="41"/>
    </row>
    <row r="659" spans="2:14" x14ac:dyDescent="0.2">
      <c r="B659" s="38"/>
      <c r="C659" s="40"/>
      <c r="D659" s="40"/>
      <c r="E659" s="40"/>
      <c r="F659" s="40"/>
      <c r="G659" s="40"/>
      <c r="H659" s="40"/>
      <c r="I659" s="40"/>
      <c r="J659" s="40"/>
      <c r="K659" s="41"/>
    </row>
    <row r="660" spans="2:14" ht="16" x14ac:dyDescent="0.2">
      <c r="B660" s="38"/>
      <c r="C660" s="45" t="s">
        <v>97</v>
      </c>
      <c r="D660" s="40"/>
      <c r="E660" s="40"/>
      <c r="F660" s="40"/>
      <c r="G660" s="40"/>
      <c r="H660" s="40"/>
      <c r="I660" s="40"/>
      <c r="J660" s="40"/>
      <c r="K660" s="41"/>
    </row>
    <row r="661" spans="2:14" x14ac:dyDescent="0.2">
      <c r="B661" s="38"/>
      <c r="C661" s="40" t="s">
        <v>449</v>
      </c>
      <c r="D661" s="40"/>
      <c r="E661" s="40"/>
      <c r="F661" s="40"/>
      <c r="G661" s="40"/>
      <c r="H661" s="40"/>
      <c r="I661" s="40"/>
      <c r="J661" s="263">
        <f>'Baseline Health'!G150</f>
        <v>0</v>
      </c>
      <c r="K661" s="41"/>
    </row>
    <row r="662" spans="2:14" x14ac:dyDescent="0.2">
      <c r="B662" s="38"/>
      <c r="C662" s="40" t="s">
        <v>341</v>
      </c>
      <c r="D662" s="40"/>
      <c r="E662" s="40"/>
      <c r="F662" s="40"/>
      <c r="G662" s="40"/>
      <c r="H662" s="40"/>
      <c r="I662" s="40"/>
      <c r="J662" s="273">
        <v>0</v>
      </c>
      <c r="K662" s="41"/>
    </row>
    <row r="663" spans="2:14" x14ac:dyDescent="0.2">
      <c r="B663" s="38"/>
      <c r="C663" s="40" t="s">
        <v>450</v>
      </c>
      <c r="D663" s="40"/>
      <c r="E663" s="40"/>
      <c r="F663" s="40"/>
      <c r="G663" s="40"/>
      <c r="H663" s="40"/>
      <c r="I663" s="40"/>
      <c r="J663" s="263">
        <f>J26</f>
        <v>34</v>
      </c>
      <c r="K663" s="41"/>
    </row>
    <row r="664" spans="2:14" x14ac:dyDescent="0.2">
      <c r="B664" s="38"/>
      <c r="C664" s="291"/>
      <c r="D664" s="380" t="s">
        <v>342</v>
      </c>
      <c r="E664" s="380"/>
      <c r="F664" s="380"/>
      <c r="G664" s="380"/>
      <c r="H664" s="380"/>
      <c r="I664" s="380"/>
      <c r="J664" s="245"/>
      <c r="K664" s="41"/>
    </row>
    <row r="665" spans="2:14" ht="15" customHeight="1" x14ac:dyDescent="0.2">
      <c r="B665" s="38"/>
      <c r="C665" s="291"/>
      <c r="D665" s="380"/>
      <c r="E665" s="380"/>
      <c r="F665" s="380"/>
      <c r="G665" s="380"/>
      <c r="H665" s="380"/>
      <c r="I665" s="380"/>
      <c r="J665" s="245"/>
      <c r="K665" s="41"/>
    </row>
    <row r="666" spans="2:14" x14ac:dyDescent="0.2">
      <c r="B666" s="38"/>
      <c r="C666" s="40" t="s">
        <v>260</v>
      </c>
      <c r="D666" s="40"/>
      <c r="E666" s="40"/>
      <c r="F666" s="40"/>
      <c r="G666" s="40"/>
      <c r="H666" s="40"/>
      <c r="I666" s="40"/>
      <c r="J666" s="245" t="str">
        <f>IF(OR(J661=0,J661="Not Calculated")=TRUE,"Not Calculated",IF(((J661+J663)/(J661-J662))&lt;=1,0,IF(((J661+J663)/(J661-J662))&lt;=1.1,1,IF(((J661+J663)/(J661-J662))&lt;=1.5, 2,IF(((J661+J663)/(J661-J662))&lt;=2,3,4)))))</f>
        <v>Not Calculated</v>
      </c>
      <c r="K666" s="41"/>
    </row>
    <row r="667" spans="2:14" x14ac:dyDescent="0.2">
      <c r="B667" s="38"/>
      <c r="C667" s="279" t="str">
        <f>"0:"</f>
        <v>0:</v>
      </c>
      <c r="D667" s="278" t="s">
        <v>918</v>
      </c>
      <c r="E667" s="291"/>
      <c r="F667" s="291"/>
      <c r="G667" s="291"/>
      <c r="H667" s="291"/>
      <c r="I667" s="291"/>
      <c r="J667" s="245"/>
      <c r="K667" s="41"/>
    </row>
    <row r="668" spans="2:14" ht="9.75" customHeight="1" x14ac:dyDescent="0.2">
      <c r="B668" s="38"/>
      <c r="C668" s="280" t="str">
        <f>"1:"</f>
        <v>1:</v>
      </c>
      <c r="D668" s="278" t="s">
        <v>923</v>
      </c>
      <c r="E668" s="291"/>
      <c r="F668" s="291"/>
      <c r="G668" s="291"/>
      <c r="H668" s="291"/>
      <c r="I668" s="291"/>
      <c r="J668" s="245"/>
      <c r="K668" s="41"/>
    </row>
    <row r="669" spans="2:14" ht="9.75" customHeight="1" x14ac:dyDescent="0.2">
      <c r="B669" s="38"/>
      <c r="C669" s="280" t="str">
        <f>"2:"</f>
        <v>2:</v>
      </c>
      <c r="D669" s="278" t="s">
        <v>924</v>
      </c>
      <c r="E669" s="291"/>
      <c r="F669" s="291"/>
      <c r="G669" s="291"/>
      <c r="H669" s="291"/>
      <c r="I669" s="291"/>
      <c r="J669" s="245"/>
      <c r="K669" s="41"/>
    </row>
    <row r="670" spans="2:14" ht="9.75" customHeight="1" x14ac:dyDescent="0.2">
      <c r="B670" s="38"/>
      <c r="C670" s="280" t="str">
        <f>"3:"</f>
        <v>3:</v>
      </c>
      <c r="D670" s="278" t="s">
        <v>925</v>
      </c>
      <c r="E670" s="291"/>
      <c r="F670" s="291"/>
      <c r="G670" s="291"/>
      <c r="H670" s="291"/>
      <c r="I670" s="291"/>
      <c r="J670" s="245"/>
      <c r="K670" s="41"/>
    </row>
    <row r="671" spans="2:14" ht="9.75" customHeight="1" x14ac:dyDescent="0.2">
      <c r="B671" s="38"/>
      <c r="C671" s="280" t="str">
        <f>"4:"</f>
        <v>4:</v>
      </c>
      <c r="D671" s="278" t="s">
        <v>926</v>
      </c>
      <c r="E671" s="40"/>
      <c r="F671" s="40"/>
      <c r="G671" s="40"/>
      <c r="H671" s="40"/>
      <c r="I671" s="40"/>
      <c r="J671" s="40"/>
      <c r="K671" s="41"/>
    </row>
    <row r="672" spans="2:14" ht="12" customHeight="1" x14ac:dyDescent="0.2">
      <c r="B672" s="38"/>
      <c r="C672" s="174" t="s">
        <v>662</v>
      </c>
      <c r="D672" s="40"/>
      <c r="E672" s="40"/>
      <c r="F672" s="40"/>
      <c r="G672" s="40"/>
      <c r="H672" s="40"/>
      <c r="I672" s="40"/>
      <c r="J672" s="265" t="s">
        <v>661</v>
      </c>
      <c r="K672" s="41"/>
      <c r="N672" s="12" t="s">
        <v>661</v>
      </c>
    </row>
    <row r="673" spans="2:14" x14ac:dyDescent="0.2">
      <c r="B673" s="38"/>
      <c r="C673" s="174" t="s">
        <v>660</v>
      </c>
      <c r="D673" s="40"/>
      <c r="E673" s="40"/>
      <c r="F673" s="40"/>
      <c r="G673" s="40"/>
      <c r="H673" s="40"/>
      <c r="I673" s="40"/>
      <c r="J673" s="246" t="str">
        <f>IF(J672=N672,"N/A",IF(J672=N673,0,IF(J672=N674,1,IF(J672=N675,2,IF(J672=N676,3,IF(J672=N677,4,"N/A"))))))</f>
        <v>N/A</v>
      </c>
      <c r="K673" s="41"/>
      <c r="N673" s="12" t="s">
        <v>894</v>
      </c>
    </row>
    <row r="674" spans="2:14" x14ac:dyDescent="0.2">
      <c r="B674" s="38"/>
      <c r="C674" s="40" t="s">
        <v>257</v>
      </c>
      <c r="D674" s="40"/>
      <c r="E674" s="40"/>
      <c r="F674" s="40"/>
      <c r="G674" s="40"/>
      <c r="H674" s="40"/>
      <c r="I674" s="40"/>
      <c r="J674" s="266" t="s">
        <v>874</v>
      </c>
      <c r="K674" s="41"/>
      <c r="N674" s="12" t="s">
        <v>908</v>
      </c>
    </row>
    <row r="675" spans="2:14" x14ac:dyDescent="0.2">
      <c r="B675" s="38"/>
      <c r="C675" s="40" t="s">
        <v>261</v>
      </c>
      <c r="D675" s="40"/>
      <c r="E675" s="40"/>
      <c r="F675" s="40"/>
      <c r="G675" s="40"/>
      <c r="H675" s="40"/>
      <c r="I675" s="40"/>
      <c r="J675" s="245">
        <f>IF(J674=$B$973,$A$974,IF(J674=$B$974,$A$975,IF(J674=$B$975,$A$976,IF(J674=$B$976,$A$977,IF(J674=$B$977,$A$978,"Not Calculated")))))</f>
        <v>4</v>
      </c>
      <c r="K675" s="41"/>
      <c r="N675" s="12" t="s">
        <v>900</v>
      </c>
    </row>
    <row r="676" spans="2:14" x14ac:dyDescent="0.2">
      <c r="B676" s="38"/>
      <c r="C676" s="40" t="s">
        <v>893</v>
      </c>
      <c r="D676" s="40"/>
      <c r="E676" s="40"/>
      <c r="F676" s="40"/>
      <c r="G676" s="40"/>
      <c r="H676" s="40"/>
      <c r="I676" s="40"/>
      <c r="J676" s="40"/>
      <c r="K676" s="41"/>
      <c r="N676" s="12" t="s">
        <v>901</v>
      </c>
    </row>
    <row r="677" spans="2:14" x14ac:dyDescent="0.2">
      <c r="B677" s="38"/>
      <c r="C677" s="399"/>
      <c r="D677" s="400"/>
      <c r="E677" s="400"/>
      <c r="F677" s="400"/>
      <c r="G677" s="400"/>
      <c r="H677" s="400"/>
      <c r="I677" s="400"/>
      <c r="J677" s="401"/>
      <c r="K677" s="41"/>
      <c r="N677" s="12" t="s">
        <v>909</v>
      </c>
    </row>
    <row r="678" spans="2:14" ht="15" customHeight="1" x14ac:dyDescent="0.2">
      <c r="B678" s="38"/>
      <c r="C678" s="40"/>
      <c r="D678" s="40"/>
      <c r="E678" s="40"/>
      <c r="F678" s="40"/>
      <c r="G678" s="40"/>
      <c r="H678" s="40"/>
      <c r="I678" s="40"/>
      <c r="J678" s="40"/>
      <c r="K678" s="41"/>
    </row>
    <row r="679" spans="2:14" x14ac:dyDescent="0.2">
      <c r="B679" s="38"/>
      <c r="C679" s="179" t="s">
        <v>331</v>
      </c>
      <c r="D679" s="40"/>
      <c r="E679" s="40"/>
      <c r="F679" s="40"/>
      <c r="G679" s="40"/>
      <c r="H679" s="40"/>
      <c r="I679" s="40"/>
      <c r="J679" s="245" t="str">
        <f>IF(J673="N/A",IF(OR(J666="Not Calculated",J675="Not Calculated")=TRUE,"Not Calculated",AVERAGE(J666,J675)),AVERAGE(J673,J675))</f>
        <v>Not Calculated</v>
      </c>
      <c r="K679" s="41"/>
    </row>
    <row r="680" spans="2:14" x14ac:dyDescent="0.2">
      <c r="B680" s="38"/>
      <c r="C680" s="40"/>
      <c r="D680" s="40"/>
      <c r="E680" s="40"/>
      <c r="F680" s="40"/>
      <c r="G680" s="40"/>
      <c r="H680" s="40"/>
      <c r="I680" s="40"/>
      <c r="J680" s="40"/>
      <c r="K680" s="41"/>
    </row>
    <row r="681" spans="2:14" ht="18" x14ac:dyDescent="0.2">
      <c r="B681" s="38"/>
      <c r="C681" s="180" t="s">
        <v>332</v>
      </c>
      <c r="D681" s="40"/>
      <c r="E681" s="40"/>
      <c r="F681" s="40"/>
      <c r="G681" s="40"/>
      <c r="H681" s="40"/>
      <c r="I681" s="40"/>
      <c r="J681" s="244" t="str">
        <f>IF(OR(J562="Not Calculated",J585="Not Calculated",J601="Not Calculated",J615="Not Calculated",J635="Not Calculated",J657="Not Calculated",J679="Not Calculated")=TRUE,"Not Calculated",AVERAGE(J562,J585,J601,J615,J635,J657,J679))</f>
        <v>Not Calculated</v>
      </c>
      <c r="K681" s="41"/>
    </row>
    <row r="682" spans="2:14" ht="16" thickBot="1" x14ac:dyDescent="0.25">
      <c r="B682" s="46"/>
      <c r="C682" s="47"/>
      <c r="D682" s="47"/>
      <c r="E682" s="47"/>
      <c r="F682" s="47"/>
      <c r="G682" s="47"/>
      <c r="H682" s="47"/>
      <c r="I682" s="47"/>
      <c r="J682" s="47"/>
      <c r="K682" s="49"/>
    </row>
    <row r="683" spans="2:14" ht="16" thickBot="1" x14ac:dyDescent="0.25"/>
    <row r="684" spans="2:14" x14ac:dyDescent="0.2">
      <c r="B684" s="33"/>
      <c r="C684" s="34"/>
      <c r="D684" s="34"/>
      <c r="E684" s="34"/>
      <c r="F684" s="34"/>
      <c r="G684" s="34"/>
      <c r="H684" s="34"/>
      <c r="I684" s="34"/>
      <c r="J684" s="34"/>
      <c r="K684" s="37"/>
    </row>
    <row r="685" spans="2:14" ht="21" x14ac:dyDescent="0.25">
      <c r="B685" s="38"/>
      <c r="C685" s="40"/>
      <c r="D685" s="40"/>
      <c r="E685" s="40"/>
      <c r="F685" s="40"/>
      <c r="G685" s="172" t="s">
        <v>346</v>
      </c>
      <c r="H685" s="40"/>
      <c r="I685" s="40"/>
      <c r="J685" s="40"/>
      <c r="K685" s="41"/>
    </row>
    <row r="686" spans="2:14" x14ac:dyDescent="0.2">
      <c r="B686" s="38"/>
      <c r="C686" s="40"/>
      <c r="D686" s="40"/>
      <c r="E686" s="40"/>
      <c r="F686" s="40"/>
      <c r="G686" s="40"/>
      <c r="H686" s="40"/>
      <c r="I686" s="40"/>
      <c r="J686" s="40"/>
      <c r="K686" s="41"/>
    </row>
    <row r="687" spans="2:14" ht="16" x14ac:dyDescent="0.2">
      <c r="B687" s="38"/>
      <c r="C687" s="182" t="s">
        <v>986</v>
      </c>
      <c r="D687" s="40"/>
      <c r="E687" s="40"/>
      <c r="F687" s="40"/>
      <c r="G687" s="40"/>
      <c r="H687" s="40"/>
      <c r="I687" s="40"/>
      <c r="J687" s="257" t="str">
        <f>IF(OR($J$133="Not Calculated",$J$261="Not Calculated",$J$421="Not Calculated",$J$539="Not Calculated",$J$681="Not Calculated")=TRUE,"Not Calculated",AVERAGE($J$133,$J$261,$J$421,$J$539,$J$681))</f>
        <v>Not Calculated</v>
      </c>
      <c r="K687" s="41"/>
    </row>
    <row r="688" spans="2:14" x14ac:dyDescent="0.2">
      <c r="B688" s="38"/>
      <c r="C688" s="40"/>
      <c r="D688" s="40" t="s">
        <v>343</v>
      </c>
      <c r="E688" s="40"/>
      <c r="F688" s="40"/>
      <c r="G688" s="40"/>
      <c r="H688" s="40"/>
      <c r="I688" s="40"/>
      <c r="J688" s="40"/>
      <c r="K688" s="41"/>
    </row>
    <row r="689" spans="2:11" x14ac:dyDescent="0.2">
      <c r="B689" s="38"/>
      <c r="C689" s="40"/>
      <c r="D689" s="40"/>
      <c r="E689" s="40"/>
      <c r="F689" s="40"/>
      <c r="G689" s="40"/>
      <c r="H689" s="40"/>
      <c r="I689" s="40"/>
      <c r="J689" s="40"/>
      <c r="K689" s="41"/>
    </row>
    <row r="690" spans="2:11" ht="16" x14ac:dyDescent="0.2">
      <c r="B690" s="38"/>
      <c r="C690" s="182" t="s">
        <v>987</v>
      </c>
      <c r="D690" s="40"/>
      <c r="E690" s="40"/>
      <c r="F690" s="40"/>
      <c r="G690" s="40"/>
      <c r="H690" s="40"/>
      <c r="I690" s="40"/>
      <c r="J690" s="257" t="str">
        <f>IF(OR($J$133="Not Calculated",$J$261="Not Calculated",$J$539="Not Calculated",$J$681="Not Calculated")=TRUE,"Not Calculated",AVERAGE($J$133,$J$261,$J$539,$J$681))</f>
        <v>Not Calculated</v>
      </c>
      <c r="K690" s="41"/>
    </row>
    <row r="691" spans="2:11" x14ac:dyDescent="0.2">
      <c r="B691" s="38"/>
      <c r="C691" s="40"/>
      <c r="D691" s="40" t="s">
        <v>344</v>
      </c>
      <c r="E691" s="40"/>
      <c r="F691" s="40"/>
      <c r="G691" s="40"/>
      <c r="H691" s="40"/>
      <c r="I691" s="40"/>
      <c r="J691" s="40"/>
      <c r="K691" s="41"/>
    </row>
    <row r="692" spans="2:11" x14ac:dyDescent="0.2">
      <c r="B692" s="38"/>
      <c r="C692" s="40"/>
      <c r="D692" s="40"/>
      <c r="E692" s="40"/>
      <c r="F692" s="40"/>
      <c r="G692" s="40"/>
      <c r="H692" s="40"/>
      <c r="I692" s="40"/>
      <c r="J692" s="40"/>
      <c r="K692" s="41"/>
    </row>
    <row r="693" spans="2:11" ht="16" x14ac:dyDescent="0.2">
      <c r="B693" s="38"/>
      <c r="C693" s="182" t="s">
        <v>988</v>
      </c>
      <c r="D693" s="40"/>
      <c r="E693" s="40"/>
      <c r="F693" s="40"/>
      <c r="G693" s="40"/>
      <c r="H693" s="40"/>
      <c r="I693" s="40"/>
      <c r="J693" s="257" t="str">
        <f>IF(OR($J$133="Not Calculated",$J$261="Not Calculated",$J$421="Not Calculated")=TRUE,"Not Calculated",AVERAGE($J$133,$J$261,$J$421))</f>
        <v>Not Calculated</v>
      </c>
      <c r="K693" s="41"/>
    </row>
    <row r="694" spans="2:11" x14ac:dyDescent="0.2">
      <c r="B694" s="38"/>
      <c r="C694" s="40"/>
      <c r="D694" s="40" t="s">
        <v>345</v>
      </c>
      <c r="E694" s="40"/>
      <c r="F694" s="40"/>
      <c r="G694" s="40"/>
      <c r="H694" s="40"/>
      <c r="I694" s="40"/>
      <c r="J694" s="40"/>
      <c r="K694" s="41"/>
    </row>
    <row r="695" spans="2:11" ht="16" thickBot="1" x14ac:dyDescent="0.25">
      <c r="B695" s="46"/>
      <c r="C695" s="47"/>
      <c r="D695" s="47"/>
      <c r="E695" s="47"/>
      <c r="F695" s="47"/>
      <c r="G695" s="47"/>
      <c r="H695" s="47"/>
      <c r="I695" s="47"/>
      <c r="J695" s="47"/>
      <c r="K695" s="49"/>
    </row>
    <row r="696" spans="2:11" ht="16" thickBot="1" x14ac:dyDescent="0.25"/>
    <row r="697" spans="2:11" x14ac:dyDescent="0.2">
      <c r="B697" s="183"/>
      <c r="C697" s="184"/>
      <c r="D697" s="184"/>
      <c r="E697" s="184"/>
      <c r="F697" s="184"/>
      <c r="G697" s="184"/>
      <c r="H697" s="184"/>
      <c r="I697" s="184"/>
      <c r="J697" s="184"/>
      <c r="K697" s="185"/>
    </row>
    <row r="698" spans="2:11" ht="21" x14ac:dyDescent="0.25">
      <c r="B698" s="186"/>
      <c r="C698" s="187"/>
      <c r="D698" s="187"/>
      <c r="E698" s="187"/>
      <c r="F698" s="187"/>
      <c r="G698" s="188" t="s">
        <v>231</v>
      </c>
      <c r="H698" s="187"/>
      <c r="I698" s="187"/>
      <c r="J698" s="187"/>
      <c r="K698" s="189"/>
    </row>
    <row r="699" spans="2:11" x14ac:dyDescent="0.2">
      <c r="B699" s="186"/>
      <c r="C699" s="187"/>
      <c r="D699" s="187"/>
      <c r="E699" s="187"/>
      <c r="F699" s="187"/>
      <c r="G699" s="187"/>
      <c r="H699" s="187"/>
      <c r="I699" s="187"/>
      <c r="J699" s="187"/>
      <c r="K699" s="189"/>
    </row>
    <row r="700" spans="2:11" ht="16" x14ac:dyDescent="0.2">
      <c r="B700" s="186"/>
      <c r="C700" s="190" t="s">
        <v>989</v>
      </c>
      <c r="D700" s="187"/>
      <c r="E700" s="187"/>
      <c r="F700" s="187"/>
      <c r="G700" s="187"/>
      <c r="H700" s="187"/>
      <c r="I700" s="187"/>
      <c r="J700" s="256" t="str">
        <f>IF(OR(J687="Not Calculated",$E$17="Not Calculated")=TRUE,"Not Calculated",(J687*$E$17*100/16))</f>
        <v>Not Calculated</v>
      </c>
      <c r="K700" s="189"/>
    </row>
    <row r="701" spans="2:11" x14ac:dyDescent="0.2">
      <c r="B701" s="186"/>
      <c r="C701" s="187"/>
      <c r="D701" s="187" t="s">
        <v>377</v>
      </c>
      <c r="E701" s="187"/>
      <c r="F701" s="187"/>
      <c r="G701" s="187"/>
      <c r="H701" s="187"/>
      <c r="I701" s="187"/>
      <c r="J701" s="187"/>
      <c r="K701" s="189"/>
    </row>
    <row r="702" spans="2:11" x14ac:dyDescent="0.2">
      <c r="B702" s="186"/>
      <c r="C702" s="187"/>
      <c r="D702" s="187"/>
      <c r="E702" s="187"/>
      <c r="F702" s="187"/>
      <c r="G702" s="187"/>
      <c r="H702" s="187"/>
      <c r="I702" s="187"/>
      <c r="J702" s="187"/>
      <c r="K702" s="189"/>
    </row>
    <row r="703" spans="2:11" ht="16" x14ac:dyDescent="0.2">
      <c r="B703" s="186"/>
      <c r="C703" s="190" t="s">
        <v>990</v>
      </c>
      <c r="D703" s="187"/>
      <c r="E703" s="187"/>
      <c r="F703" s="187"/>
      <c r="G703" s="187"/>
      <c r="H703" s="187"/>
      <c r="I703" s="187"/>
      <c r="J703" s="256" t="str">
        <f>IF(OR(J690="Not Calculated",$E$17="Not Calculated")=TRUE,"Not Calculated",(J690*$E$17*100/16))</f>
        <v>Not Calculated</v>
      </c>
      <c r="K703" s="189"/>
    </row>
    <row r="704" spans="2:11" x14ac:dyDescent="0.2">
      <c r="B704" s="186"/>
      <c r="C704" s="187"/>
      <c r="D704" s="187" t="s">
        <v>378</v>
      </c>
      <c r="E704" s="187"/>
      <c r="F704" s="187"/>
      <c r="G704" s="187"/>
      <c r="H704" s="187"/>
      <c r="I704" s="187"/>
      <c r="J704" s="187"/>
      <c r="K704" s="189"/>
    </row>
    <row r="705" spans="2:11" x14ac:dyDescent="0.2">
      <c r="B705" s="186"/>
      <c r="C705" s="187"/>
      <c r="D705" s="187"/>
      <c r="E705" s="187"/>
      <c r="F705" s="187"/>
      <c r="G705" s="187"/>
      <c r="H705" s="187"/>
      <c r="I705" s="187"/>
      <c r="J705" s="187"/>
      <c r="K705" s="189"/>
    </row>
    <row r="706" spans="2:11" ht="16" x14ac:dyDescent="0.2">
      <c r="B706" s="186"/>
      <c r="C706" s="190" t="s">
        <v>991</v>
      </c>
      <c r="D706" s="187"/>
      <c r="E706" s="187"/>
      <c r="F706" s="187"/>
      <c r="G706" s="187"/>
      <c r="H706" s="187"/>
      <c r="I706" s="187"/>
      <c r="J706" s="256" t="str">
        <f>IF(OR(J693="Not Calculated",$E$17="Not Calculated")=TRUE,"Not Calculated",(J693*$E$17*100/16))</f>
        <v>Not Calculated</v>
      </c>
      <c r="K706" s="189"/>
    </row>
    <row r="707" spans="2:11" x14ac:dyDescent="0.2">
      <c r="B707" s="186"/>
      <c r="C707" s="187"/>
      <c r="D707" s="187" t="s">
        <v>379</v>
      </c>
      <c r="E707" s="187"/>
      <c r="F707" s="187"/>
      <c r="G707" s="187"/>
      <c r="H707" s="187"/>
      <c r="I707" s="187"/>
      <c r="J707" s="187"/>
      <c r="K707" s="189"/>
    </row>
    <row r="708" spans="2:11" ht="16" thickBot="1" x14ac:dyDescent="0.25">
      <c r="B708" s="191"/>
      <c r="C708" s="192"/>
      <c r="D708" s="192"/>
      <c r="E708" s="192"/>
      <c r="F708" s="192"/>
      <c r="G708" s="192"/>
      <c r="H708" s="192"/>
      <c r="I708" s="192"/>
      <c r="J708" s="192"/>
      <c r="K708" s="193"/>
    </row>
    <row r="709" spans="2:11" ht="16" thickBot="1" x14ac:dyDescent="0.25"/>
    <row r="710" spans="2:11" x14ac:dyDescent="0.2">
      <c r="B710" s="53"/>
      <c r="C710" s="54"/>
      <c r="D710" s="54"/>
      <c r="E710" s="54"/>
      <c r="F710" s="54"/>
      <c r="G710" s="54"/>
      <c r="H710" s="54"/>
      <c r="I710" s="54"/>
      <c r="J710" s="54"/>
      <c r="K710" s="56"/>
    </row>
    <row r="711" spans="2:11" ht="21" x14ac:dyDescent="0.25">
      <c r="B711" s="57"/>
      <c r="C711" s="59"/>
      <c r="D711" s="59"/>
      <c r="E711" s="59"/>
      <c r="F711" s="59"/>
      <c r="G711" s="194" t="s">
        <v>232</v>
      </c>
      <c r="H711" s="59"/>
      <c r="I711" s="59"/>
      <c r="J711" s="59"/>
      <c r="K711" s="61"/>
    </row>
    <row r="712" spans="2:11" x14ac:dyDescent="0.2">
      <c r="B712" s="57"/>
      <c r="C712" s="59"/>
      <c r="D712" s="59"/>
      <c r="E712" s="59"/>
      <c r="F712" s="59"/>
      <c r="G712" s="59"/>
      <c r="H712" s="59"/>
      <c r="I712" s="59"/>
      <c r="J712" s="59"/>
      <c r="K712" s="61"/>
    </row>
    <row r="713" spans="2:11" ht="16" x14ac:dyDescent="0.2">
      <c r="B713" s="57"/>
      <c r="C713" s="195" t="s">
        <v>363</v>
      </c>
      <c r="D713" s="59"/>
      <c r="E713" s="59"/>
      <c r="F713" s="59"/>
      <c r="G713" s="59"/>
      <c r="H713" s="59"/>
      <c r="I713" s="59"/>
      <c r="J713" s="59"/>
      <c r="K713" s="61"/>
    </row>
    <row r="714" spans="2:11" x14ac:dyDescent="0.2">
      <c r="B714" s="57"/>
      <c r="C714" s="411" t="s">
        <v>364</v>
      </c>
      <c r="D714" s="411"/>
      <c r="E714" s="411"/>
      <c r="F714" s="411"/>
      <c r="G714" s="411"/>
      <c r="H714" s="411"/>
      <c r="I714" s="411"/>
      <c r="J714" s="411"/>
      <c r="K714" s="61"/>
    </row>
    <row r="715" spans="2:11" ht="15" customHeight="1" x14ac:dyDescent="0.2">
      <c r="B715" s="57"/>
      <c r="C715" s="411"/>
      <c r="D715" s="411"/>
      <c r="E715" s="411"/>
      <c r="F715" s="411"/>
      <c r="G715" s="411"/>
      <c r="H715" s="411"/>
      <c r="I715" s="411"/>
      <c r="J715" s="411"/>
      <c r="K715" s="61"/>
    </row>
    <row r="716" spans="2:11" x14ac:dyDescent="0.2">
      <c r="B716" s="57"/>
      <c r="C716" s="411"/>
      <c r="D716" s="411"/>
      <c r="E716" s="411"/>
      <c r="F716" s="411"/>
      <c r="G716" s="411"/>
      <c r="H716" s="411"/>
      <c r="I716" s="411"/>
      <c r="J716" s="411"/>
      <c r="K716" s="61"/>
    </row>
    <row r="717" spans="2:11" x14ac:dyDescent="0.2">
      <c r="B717" s="57"/>
      <c r="C717" s="196" t="s">
        <v>30</v>
      </c>
      <c r="D717" s="59"/>
      <c r="E717" s="59"/>
      <c r="F717" s="59"/>
      <c r="G717" s="431" t="s">
        <v>190</v>
      </c>
      <c r="H717" s="431"/>
      <c r="I717" s="59"/>
      <c r="J717" s="260">
        <f t="shared" ref="J717:J725" si="0">IF(G717=$B$994,$A$995,IF(G717=$B$995,$A$996,"Not Calculated"))</f>
        <v>1</v>
      </c>
      <c r="K717" s="61"/>
    </row>
    <row r="718" spans="2:11" x14ac:dyDescent="0.2">
      <c r="B718" s="57"/>
      <c r="C718" s="196" t="s">
        <v>32</v>
      </c>
      <c r="D718" s="59"/>
      <c r="E718" s="59"/>
      <c r="F718" s="59"/>
      <c r="G718" s="431" t="s">
        <v>190</v>
      </c>
      <c r="H718" s="431"/>
      <c r="I718" s="59"/>
      <c r="J718" s="260">
        <f t="shared" si="0"/>
        <v>1</v>
      </c>
      <c r="K718" s="61"/>
    </row>
    <row r="719" spans="2:11" x14ac:dyDescent="0.2">
      <c r="B719" s="57"/>
      <c r="C719" s="196" t="s">
        <v>34</v>
      </c>
      <c r="D719" s="59"/>
      <c r="E719" s="59"/>
      <c r="F719" s="59"/>
      <c r="G719" s="431" t="s">
        <v>202</v>
      </c>
      <c r="H719" s="431"/>
      <c r="I719" s="59"/>
      <c r="J719" s="260">
        <f t="shared" si="0"/>
        <v>0</v>
      </c>
      <c r="K719" s="61"/>
    </row>
    <row r="720" spans="2:11" x14ac:dyDescent="0.2">
      <c r="B720" s="57"/>
      <c r="C720" s="196" t="s">
        <v>35</v>
      </c>
      <c r="D720" s="59"/>
      <c r="E720" s="59"/>
      <c r="F720" s="59"/>
      <c r="G720" s="431" t="s">
        <v>190</v>
      </c>
      <c r="H720" s="431"/>
      <c r="I720" s="59"/>
      <c r="J720" s="260">
        <f t="shared" si="0"/>
        <v>1</v>
      </c>
      <c r="K720" s="61"/>
    </row>
    <row r="721" spans="2:11" x14ac:dyDescent="0.2">
      <c r="B721" s="57"/>
      <c r="C721" s="196" t="s">
        <v>37</v>
      </c>
      <c r="D721" s="59"/>
      <c r="E721" s="59"/>
      <c r="F721" s="59"/>
      <c r="G721" s="431" t="s">
        <v>190</v>
      </c>
      <c r="H721" s="431"/>
      <c r="I721" s="59"/>
      <c r="J721" s="260">
        <f t="shared" si="0"/>
        <v>1</v>
      </c>
      <c r="K721" s="61"/>
    </row>
    <row r="722" spans="2:11" x14ac:dyDescent="0.2">
      <c r="B722" s="57"/>
      <c r="C722" s="196" t="s">
        <v>38</v>
      </c>
      <c r="D722" s="59"/>
      <c r="E722" s="59"/>
      <c r="F722" s="59"/>
      <c r="G722" s="431" t="s">
        <v>190</v>
      </c>
      <c r="H722" s="431"/>
      <c r="I722" s="59"/>
      <c r="J722" s="260">
        <f t="shared" si="0"/>
        <v>1</v>
      </c>
      <c r="K722" s="61"/>
    </row>
    <row r="723" spans="2:11" x14ac:dyDescent="0.2">
      <c r="B723" s="57"/>
      <c r="C723" s="196" t="s">
        <v>40</v>
      </c>
      <c r="D723" s="59"/>
      <c r="E723" s="59"/>
      <c r="F723" s="59"/>
      <c r="G723" s="431" t="s">
        <v>190</v>
      </c>
      <c r="H723" s="431"/>
      <c r="I723" s="59"/>
      <c r="J723" s="260">
        <f t="shared" si="0"/>
        <v>1</v>
      </c>
      <c r="K723" s="61"/>
    </row>
    <row r="724" spans="2:11" x14ac:dyDescent="0.2">
      <c r="B724" s="57"/>
      <c r="C724" s="196" t="s">
        <v>41</v>
      </c>
      <c r="D724" s="59"/>
      <c r="E724" s="59"/>
      <c r="F724" s="59"/>
      <c r="G724" s="431" t="s">
        <v>190</v>
      </c>
      <c r="H724" s="431"/>
      <c r="I724" s="59"/>
      <c r="J724" s="260">
        <f t="shared" si="0"/>
        <v>1</v>
      </c>
      <c r="K724" s="61"/>
    </row>
    <row r="725" spans="2:11" x14ac:dyDescent="0.2">
      <c r="B725" s="57"/>
      <c r="C725" s="196" t="s">
        <v>43</v>
      </c>
      <c r="D725" s="59"/>
      <c r="E725" s="59"/>
      <c r="F725" s="59"/>
      <c r="G725" s="431" t="s">
        <v>190</v>
      </c>
      <c r="H725" s="431"/>
      <c r="I725" s="59"/>
      <c r="J725" s="260">
        <f t="shared" si="0"/>
        <v>1</v>
      </c>
      <c r="K725" s="61"/>
    </row>
    <row r="726" spans="2:11" x14ac:dyDescent="0.2">
      <c r="B726" s="57"/>
      <c r="C726" s="59"/>
      <c r="D726" s="59"/>
      <c r="E726" s="59"/>
      <c r="F726" s="59"/>
      <c r="G726" s="59"/>
      <c r="H726" s="59"/>
      <c r="I726" s="59"/>
      <c r="J726" s="59"/>
      <c r="K726" s="61"/>
    </row>
    <row r="727" spans="2:11" x14ac:dyDescent="0.2">
      <c r="B727" s="57"/>
      <c r="C727" s="59"/>
      <c r="D727" s="59"/>
      <c r="E727" s="59"/>
      <c r="F727" s="59"/>
      <c r="G727" s="59"/>
      <c r="H727" s="59"/>
      <c r="I727" s="59"/>
      <c r="J727" s="59"/>
      <c r="K727" s="61"/>
    </row>
    <row r="728" spans="2:11" ht="16" x14ac:dyDescent="0.2">
      <c r="B728" s="57"/>
      <c r="C728" s="195" t="s">
        <v>115</v>
      </c>
      <c r="D728" s="59"/>
      <c r="E728" s="59"/>
      <c r="F728" s="59"/>
      <c r="G728" s="59"/>
      <c r="H728" s="59"/>
      <c r="I728" s="59"/>
      <c r="J728" s="59"/>
      <c r="K728" s="61"/>
    </row>
    <row r="729" spans="2:11" x14ac:dyDescent="0.2">
      <c r="B729" s="57"/>
      <c r="C729" s="411" t="s">
        <v>365</v>
      </c>
      <c r="D729" s="411"/>
      <c r="E729" s="411"/>
      <c r="F729" s="411"/>
      <c r="G729" s="411"/>
      <c r="H729" s="411"/>
      <c r="I729" s="411"/>
      <c r="J729" s="411"/>
      <c r="K729" s="61"/>
    </row>
    <row r="730" spans="2:11" ht="15" customHeight="1" x14ac:dyDescent="0.2">
      <c r="B730" s="57"/>
      <c r="C730" s="411"/>
      <c r="D730" s="411"/>
      <c r="E730" s="411"/>
      <c r="F730" s="411"/>
      <c r="G730" s="411"/>
      <c r="H730" s="411"/>
      <c r="I730" s="411"/>
      <c r="J730" s="411"/>
      <c r="K730" s="61"/>
    </row>
    <row r="731" spans="2:11" x14ac:dyDescent="0.2">
      <c r="B731" s="57"/>
      <c r="C731" s="411"/>
      <c r="D731" s="411"/>
      <c r="E731" s="411"/>
      <c r="F731" s="411"/>
      <c r="G731" s="411"/>
      <c r="H731" s="411"/>
      <c r="I731" s="411"/>
      <c r="J731" s="411"/>
      <c r="K731" s="61"/>
    </row>
    <row r="732" spans="2:11" x14ac:dyDescent="0.2">
      <c r="B732" s="57"/>
      <c r="C732" s="196" t="s">
        <v>30</v>
      </c>
      <c r="D732" s="59"/>
      <c r="E732" s="59"/>
      <c r="F732" s="59"/>
      <c r="G732" s="431" t="s">
        <v>202</v>
      </c>
      <c r="H732" s="431"/>
      <c r="I732" s="59"/>
      <c r="J732" s="260">
        <f t="shared" ref="J732:J740" si="1">IF(G732=$B$994,$A$995,IF(G732=$B$995,$A$996,"Not Calculated"))</f>
        <v>0</v>
      </c>
      <c r="K732" s="61"/>
    </row>
    <row r="733" spans="2:11" x14ac:dyDescent="0.2">
      <c r="B733" s="57"/>
      <c r="C733" s="196" t="s">
        <v>32</v>
      </c>
      <c r="D733" s="59"/>
      <c r="E733" s="59"/>
      <c r="F733" s="59"/>
      <c r="G733" s="431" t="s">
        <v>202</v>
      </c>
      <c r="H733" s="431"/>
      <c r="I733" s="59"/>
      <c r="J733" s="260">
        <f t="shared" si="1"/>
        <v>0</v>
      </c>
      <c r="K733" s="61"/>
    </row>
    <row r="734" spans="2:11" x14ac:dyDescent="0.2">
      <c r="B734" s="57"/>
      <c r="C734" s="196" t="s">
        <v>34</v>
      </c>
      <c r="D734" s="59"/>
      <c r="E734" s="59"/>
      <c r="F734" s="59"/>
      <c r="G734" s="431" t="s">
        <v>202</v>
      </c>
      <c r="H734" s="431"/>
      <c r="I734" s="59"/>
      <c r="J734" s="260">
        <f t="shared" si="1"/>
        <v>0</v>
      </c>
      <c r="K734" s="61"/>
    </row>
    <row r="735" spans="2:11" x14ac:dyDescent="0.2">
      <c r="B735" s="57"/>
      <c r="C735" s="196" t="s">
        <v>35</v>
      </c>
      <c r="D735" s="59"/>
      <c r="E735" s="59"/>
      <c r="F735" s="59"/>
      <c r="G735" s="431" t="s">
        <v>202</v>
      </c>
      <c r="H735" s="431"/>
      <c r="I735" s="59"/>
      <c r="J735" s="260">
        <f t="shared" si="1"/>
        <v>0</v>
      </c>
      <c r="K735" s="61"/>
    </row>
    <row r="736" spans="2:11" x14ac:dyDescent="0.2">
      <c r="B736" s="57"/>
      <c r="C736" s="196" t="s">
        <v>37</v>
      </c>
      <c r="D736" s="59"/>
      <c r="E736" s="59"/>
      <c r="F736" s="59"/>
      <c r="G736" s="431" t="s">
        <v>202</v>
      </c>
      <c r="H736" s="431"/>
      <c r="I736" s="59"/>
      <c r="J736" s="260">
        <f t="shared" si="1"/>
        <v>0</v>
      </c>
      <c r="K736" s="61"/>
    </row>
    <row r="737" spans="2:11" x14ac:dyDescent="0.2">
      <c r="B737" s="57"/>
      <c r="C737" s="196" t="s">
        <v>38</v>
      </c>
      <c r="D737" s="59"/>
      <c r="E737" s="59"/>
      <c r="F737" s="59"/>
      <c r="G737" s="431" t="s">
        <v>202</v>
      </c>
      <c r="H737" s="431"/>
      <c r="I737" s="59"/>
      <c r="J737" s="260">
        <f t="shared" si="1"/>
        <v>0</v>
      </c>
      <c r="K737" s="61"/>
    </row>
    <row r="738" spans="2:11" x14ac:dyDescent="0.2">
      <c r="B738" s="57"/>
      <c r="C738" s="196" t="s">
        <v>40</v>
      </c>
      <c r="D738" s="59"/>
      <c r="E738" s="59"/>
      <c r="F738" s="59"/>
      <c r="G738" s="431" t="s">
        <v>202</v>
      </c>
      <c r="H738" s="431"/>
      <c r="I738" s="59"/>
      <c r="J738" s="260">
        <f t="shared" si="1"/>
        <v>0</v>
      </c>
      <c r="K738" s="61"/>
    </row>
    <row r="739" spans="2:11" x14ac:dyDescent="0.2">
      <c r="B739" s="57"/>
      <c r="C739" s="196" t="s">
        <v>41</v>
      </c>
      <c r="D739" s="59"/>
      <c r="E739" s="59"/>
      <c r="F739" s="59"/>
      <c r="G739" s="431" t="s">
        <v>202</v>
      </c>
      <c r="H739" s="431"/>
      <c r="I739" s="59"/>
      <c r="J739" s="260">
        <f t="shared" si="1"/>
        <v>0</v>
      </c>
      <c r="K739" s="61"/>
    </row>
    <row r="740" spans="2:11" x14ac:dyDescent="0.2">
      <c r="B740" s="57"/>
      <c r="C740" s="196" t="s">
        <v>43</v>
      </c>
      <c r="D740" s="59"/>
      <c r="E740" s="59"/>
      <c r="F740" s="59"/>
      <c r="G740" s="431" t="s">
        <v>202</v>
      </c>
      <c r="H740" s="431"/>
      <c r="I740" s="59"/>
      <c r="J740" s="260">
        <f t="shared" si="1"/>
        <v>0</v>
      </c>
      <c r="K740" s="61"/>
    </row>
    <row r="741" spans="2:11" x14ac:dyDescent="0.2">
      <c r="B741" s="57"/>
      <c r="C741" s="59"/>
      <c r="D741" s="59"/>
      <c r="E741" s="59"/>
      <c r="F741" s="59"/>
      <c r="G741" s="59"/>
      <c r="H741" s="59"/>
      <c r="I741" s="59"/>
      <c r="J741" s="59"/>
      <c r="K741" s="61"/>
    </row>
    <row r="742" spans="2:11" x14ac:dyDescent="0.2">
      <c r="B742" s="57"/>
      <c r="C742" s="59"/>
      <c r="D742" s="59"/>
      <c r="E742" s="59"/>
      <c r="F742" s="59"/>
      <c r="G742" s="59"/>
      <c r="H742" s="59"/>
      <c r="I742" s="59"/>
      <c r="J742" s="59"/>
      <c r="K742" s="61"/>
    </row>
    <row r="743" spans="2:11" ht="16" x14ac:dyDescent="0.2">
      <c r="B743" s="57"/>
      <c r="C743" s="195" t="s">
        <v>366</v>
      </c>
      <c r="D743" s="59"/>
      <c r="E743" s="59"/>
      <c r="F743" s="59"/>
      <c r="G743" s="59"/>
      <c r="H743" s="59"/>
      <c r="I743" s="59"/>
      <c r="J743" s="59"/>
      <c r="K743" s="61"/>
    </row>
    <row r="744" spans="2:11" x14ac:dyDescent="0.2">
      <c r="B744" s="57"/>
      <c r="C744" s="411" t="s">
        <v>367</v>
      </c>
      <c r="D744" s="411"/>
      <c r="E744" s="411"/>
      <c r="F744" s="411"/>
      <c r="G744" s="411"/>
      <c r="H744" s="411"/>
      <c r="I744" s="411"/>
      <c r="J744" s="411"/>
      <c r="K744" s="61"/>
    </row>
    <row r="745" spans="2:11" ht="15" customHeight="1" x14ac:dyDescent="0.2">
      <c r="B745" s="57"/>
      <c r="C745" s="411"/>
      <c r="D745" s="411"/>
      <c r="E745" s="411"/>
      <c r="F745" s="411"/>
      <c r="G745" s="411"/>
      <c r="H745" s="411"/>
      <c r="I745" s="411"/>
      <c r="J745" s="411"/>
      <c r="K745" s="61"/>
    </row>
    <row r="746" spans="2:11" x14ac:dyDescent="0.2">
      <c r="B746" s="57"/>
      <c r="C746" s="411"/>
      <c r="D746" s="411"/>
      <c r="E746" s="411"/>
      <c r="F746" s="411"/>
      <c r="G746" s="411"/>
      <c r="H746" s="411"/>
      <c r="I746" s="411"/>
      <c r="J746" s="411"/>
      <c r="K746" s="61"/>
    </row>
    <row r="747" spans="2:11" x14ac:dyDescent="0.2">
      <c r="B747" s="57"/>
      <c r="C747" s="196" t="s">
        <v>30</v>
      </c>
      <c r="D747" s="59"/>
      <c r="E747" s="59"/>
      <c r="F747" s="59"/>
      <c r="G747" s="431" t="s">
        <v>202</v>
      </c>
      <c r="H747" s="431"/>
      <c r="I747" s="59"/>
      <c r="J747" s="260">
        <f t="shared" ref="J747:J755" si="2">IF(G747=$B$994,$A$995,IF(G747=$B$995,$A$996,"Not Calculated"))</f>
        <v>0</v>
      </c>
      <c r="K747" s="61"/>
    </row>
    <row r="748" spans="2:11" x14ac:dyDescent="0.2">
      <c r="B748" s="57"/>
      <c r="C748" s="196" t="s">
        <v>32</v>
      </c>
      <c r="D748" s="59"/>
      <c r="E748" s="59"/>
      <c r="F748" s="59"/>
      <c r="G748" s="431" t="s">
        <v>190</v>
      </c>
      <c r="H748" s="431"/>
      <c r="I748" s="59"/>
      <c r="J748" s="260">
        <f t="shared" si="2"/>
        <v>1</v>
      </c>
      <c r="K748" s="61"/>
    </row>
    <row r="749" spans="2:11" x14ac:dyDescent="0.2">
      <c r="B749" s="57"/>
      <c r="C749" s="196" t="s">
        <v>34</v>
      </c>
      <c r="D749" s="59"/>
      <c r="E749" s="59"/>
      <c r="F749" s="59"/>
      <c r="G749" s="431" t="s">
        <v>190</v>
      </c>
      <c r="H749" s="431"/>
      <c r="I749" s="59"/>
      <c r="J749" s="260">
        <f t="shared" si="2"/>
        <v>1</v>
      </c>
      <c r="K749" s="61"/>
    </row>
    <row r="750" spans="2:11" x14ac:dyDescent="0.2">
      <c r="B750" s="57"/>
      <c r="C750" s="196" t="s">
        <v>35</v>
      </c>
      <c r="D750" s="59"/>
      <c r="E750" s="59"/>
      <c r="F750" s="59"/>
      <c r="G750" s="431" t="s">
        <v>190</v>
      </c>
      <c r="H750" s="431"/>
      <c r="I750" s="59"/>
      <c r="J750" s="260">
        <f t="shared" si="2"/>
        <v>1</v>
      </c>
      <c r="K750" s="61"/>
    </row>
    <row r="751" spans="2:11" x14ac:dyDescent="0.2">
      <c r="B751" s="57"/>
      <c r="C751" s="196" t="s">
        <v>37</v>
      </c>
      <c r="D751" s="59"/>
      <c r="E751" s="59"/>
      <c r="F751" s="59"/>
      <c r="G751" s="431" t="s">
        <v>202</v>
      </c>
      <c r="H751" s="431"/>
      <c r="I751" s="59"/>
      <c r="J751" s="260">
        <f t="shared" si="2"/>
        <v>0</v>
      </c>
      <c r="K751" s="61"/>
    </row>
    <row r="752" spans="2:11" x14ac:dyDescent="0.2">
      <c r="B752" s="57"/>
      <c r="C752" s="196" t="s">
        <v>38</v>
      </c>
      <c r="D752" s="59"/>
      <c r="E752" s="59"/>
      <c r="F752" s="59"/>
      <c r="G752" s="431" t="s">
        <v>190</v>
      </c>
      <c r="H752" s="431"/>
      <c r="I752" s="59"/>
      <c r="J752" s="260">
        <f t="shared" si="2"/>
        <v>1</v>
      </c>
      <c r="K752" s="61"/>
    </row>
    <row r="753" spans="2:11" x14ac:dyDescent="0.2">
      <c r="B753" s="57"/>
      <c r="C753" s="196" t="s">
        <v>40</v>
      </c>
      <c r="D753" s="59"/>
      <c r="E753" s="59"/>
      <c r="F753" s="59"/>
      <c r="G753" s="431" t="s">
        <v>190</v>
      </c>
      <c r="H753" s="431"/>
      <c r="I753" s="59"/>
      <c r="J753" s="260">
        <f t="shared" si="2"/>
        <v>1</v>
      </c>
      <c r="K753" s="61"/>
    </row>
    <row r="754" spans="2:11" x14ac:dyDescent="0.2">
      <c r="B754" s="57"/>
      <c r="C754" s="196" t="s">
        <v>41</v>
      </c>
      <c r="D754" s="59"/>
      <c r="E754" s="59"/>
      <c r="F754" s="59"/>
      <c r="G754" s="431" t="s">
        <v>190</v>
      </c>
      <c r="H754" s="431"/>
      <c r="I754" s="59"/>
      <c r="J754" s="260">
        <f t="shared" si="2"/>
        <v>1</v>
      </c>
      <c r="K754" s="61"/>
    </row>
    <row r="755" spans="2:11" x14ac:dyDescent="0.2">
      <c r="B755" s="57"/>
      <c r="C755" s="196" t="s">
        <v>43</v>
      </c>
      <c r="D755" s="59"/>
      <c r="E755" s="59"/>
      <c r="F755" s="59"/>
      <c r="G755" s="431" t="s">
        <v>190</v>
      </c>
      <c r="H755" s="431"/>
      <c r="I755" s="59"/>
      <c r="J755" s="260">
        <f t="shared" si="2"/>
        <v>1</v>
      </c>
      <c r="K755" s="61"/>
    </row>
    <row r="756" spans="2:11" x14ac:dyDescent="0.2">
      <c r="B756" s="57"/>
      <c r="C756" s="59"/>
      <c r="D756" s="59"/>
      <c r="E756" s="59"/>
      <c r="F756" s="59"/>
      <c r="G756" s="59"/>
      <c r="H756" s="59"/>
      <c r="I756" s="59"/>
      <c r="J756" s="59"/>
      <c r="K756" s="61"/>
    </row>
    <row r="757" spans="2:11" x14ac:dyDescent="0.2">
      <c r="B757" s="57"/>
      <c r="C757" s="59"/>
      <c r="D757" s="59"/>
      <c r="E757" s="59"/>
      <c r="F757" s="59"/>
      <c r="G757" s="59"/>
      <c r="H757" s="59"/>
      <c r="I757" s="59"/>
      <c r="J757" s="59"/>
      <c r="K757" s="61"/>
    </row>
    <row r="758" spans="2:11" ht="16" x14ac:dyDescent="0.2">
      <c r="B758" s="57"/>
      <c r="C758" s="195" t="s">
        <v>368</v>
      </c>
      <c r="D758" s="59"/>
      <c r="E758" s="59"/>
      <c r="F758" s="59"/>
      <c r="G758" s="59"/>
      <c r="H758" s="59"/>
      <c r="I758" s="59"/>
      <c r="J758" s="59"/>
      <c r="K758" s="61"/>
    </row>
    <row r="759" spans="2:11" x14ac:dyDescent="0.2">
      <c r="B759" s="57"/>
      <c r="C759" s="411" t="s">
        <v>369</v>
      </c>
      <c r="D759" s="411"/>
      <c r="E759" s="411"/>
      <c r="F759" s="411"/>
      <c r="G759" s="411"/>
      <c r="H759" s="411"/>
      <c r="I759" s="411"/>
      <c r="J759" s="411"/>
      <c r="K759" s="61"/>
    </row>
    <row r="760" spans="2:11" ht="15" customHeight="1" x14ac:dyDescent="0.2">
      <c r="B760" s="57"/>
      <c r="C760" s="411"/>
      <c r="D760" s="411"/>
      <c r="E760" s="411"/>
      <c r="F760" s="411"/>
      <c r="G760" s="411"/>
      <c r="H760" s="411"/>
      <c r="I760" s="411"/>
      <c r="J760" s="411"/>
      <c r="K760" s="61"/>
    </row>
    <row r="761" spans="2:11" x14ac:dyDescent="0.2">
      <c r="B761" s="57"/>
      <c r="C761" s="411"/>
      <c r="D761" s="411"/>
      <c r="E761" s="411"/>
      <c r="F761" s="411"/>
      <c r="G761" s="411"/>
      <c r="H761" s="411"/>
      <c r="I761" s="411"/>
      <c r="J761" s="411"/>
      <c r="K761" s="61"/>
    </row>
    <row r="762" spans="2:11" x14ac:dyDescent="0.2">
      <c r="B762" s="57"/>
      <c r="C762" s="196" t="s">
        <v>30</v>
      </c>
      <c r="D762" s="59"/>
      <c r="E762" s="59"/>
      <c r="F762" s="59"/>
      <c r="G762" s="431" t="s">
        <v>190</v>
      </c>
      <c r="H762" s="431"/>
      <c r="I762" s="59"/>
      <c r="J762" s="260">
        <f t="shared" ref="J762:J770" si="3">IF(G762=$B$994,$A$995,IF(G762=$B$995,$A$996,"Not Calculated"))</f>
        <v>1</v>
      </c>
      <c r="K762" s="61"/>
    </row>
    <row r="763" spans="2:11" x14ac:dyDescent="0.2">
      <c r="B763" s="57"/>
      <c r="C763" s="196" t="s">
        <v>32</v>
      </c>
      <c r="D763" s="59"/>
      <c r="E763" s="59"/>
      <c r="F763" s="59"/>
      <c r="G763" s="431" t="s">
        <v>190</v>
      </c>
      <c r="H763" s="431"/>
      <c r="I763" s="59"/>
      <c r="J763" s="260">
        <f t="shared" si="3"/>
        <v>1</v>
      </c>
      <c r="K763" s="61"/>
    </row>
    <row r="764" spans="2:11" x14ac:dyDescent="0.2">
      <c r="B764" s="57"/>
      <c r="C764" s="196" t="s">
        <v>34</v>
      </c>
      <c r="D764" s="59"/>
      <c r="E764" s="59"/>
      <c r="F764" s="59"/>
      <c r="G764" s="431" t="s">
        <v>190</v>
      </c>
      <c r="H764" s="431"/>
      <c r="I764" s="59"/>
      <c r="J764" s="260">
        <f t="shared" si="3"/>
        <v>1</v>
      </c>
      <c r="K764" s="61"/>
    </row>
    <row r="765" spans="2:11" x14ac:dyDescent="0.2">
      <c r="B765" s="57"/>
      <c r="C765" s="196" t="s">
        <v>35</v>
      </c>
      <c r="D765" s="59"/>
      <c r="E765" s="59"/>
      <c r="F765" s="59"/>
      <c r="G765" s="431" t="s">
        <v>190</v>
      </c>
      <c r="H765" s="431"/>
      <c r="I765" s="59"/>
      <c r="J765" s="260">
        <f t="shared" si="3"/>
        <v>1</v>
      </c>
      <c r="K765" s="61"/>
    </row>
    <row r="766" spans="2:11" x14ac:dyDescent="0.2">
      <c r="B766" s="57"/>
      <c r="C766" s="196" t="s">
        <v>37</v>
      </c>
      <c r="D766" s="59"/>
      <c r="E766" s="59"/>
      <c r="F766" s="59"/>
      <c r="G766" s="431" t="s">
        <v>190</v>
      </c>
      <c r="H766" s="431"/>
      <c r="I766" s="59"/>
      <c r="J766" s="260">
        <f t="shared" si="3"/>
        <v>1</v>
      </c>
      <c r="K766" s="61"/>
    </row>
    <row r="767" spans="2:11" x14ac:dyDescent="0.2">
      <c r="B767" s="57"/>
      <c r="C767" s="196" t="s">
        <v>38</v>
      </c>
      <c r="D767" s="59"/>
      <c r="E767" s="59"/>
      <c r="F767" s="59"/>
      <c r="G767" s="431" t="s">
        <v>190</v>
      </c>
      <c r="H767" s="431"/>
      <c r="I767" s="59"/>
      <c r="J767" s="260">
        <f t="shared" si="3"/>
        <v>1</v>
      </c>
      <c r="K767" s="61"/>
    </row>
    <row r="768" spans="2:11" x14ac:dyDescent="0.2">
      <c r="B768" s="57"/>
      <c r="C768" s="196" t="s">
        <v>40</v>
      </c>
      <c r="D768" s="59"/>
      <c r="E768" s="59"/>
      <c r="F768" s="59"/>
      <c r="G768" s="431" t="s">
        <v>190</v>
      </c>
      <c r="H768" s="431"/>
      <c r="I768" s="59"/>
      <c r="J768" s="260">
        <f t="shared" si="3"/>
        <v>1</v>
      </c>
      <c r="K768" s="61"/>
    </row>
    <row r="769" spans="2:11" x14ac:dyDescent="0.2">
      <c r="B769" s="57"/>
      <c r="C769" s="196" t="s">
        <v>41</v>
      </c>
      <c r="D769" s="59"/>
      <c r="E769" s="59"/>
      <c r="F769" s="59"/>
      <c r="G769" s="431" t="s">
        <v>190</v>
      </c>
      <c r="H769" s="431"/>
      <c r="I769" s="59"/>
      <c r="J769" s="260">
        <f t="shared" si="3"/>
        <v>1</v>
      </c>
      <c r="K769" s="61"/>
    </row>
    <row r="770" spans="2:11" x14ac:dyDescent="0.2">
      <c r="B770" s="57"/>
      <c r="C770" s="196" t="s">
        <v>43</v>
      </c>
      <c r="D770" s="59"/>
      <c r="E770" s="59"/>
      <c r="F770" s="59"/>
      <c r="G770" s="431" t="s">
        <v>190</v>
      </c>
      <c r="H770" s="431"/>
      <c r="I770" s="59"/>
      <c r="J770" s="260">
        <f t="shared" si="3"/>
        <v>1</v>
      </c>
      <c r="K770" s="61"/>
    </row>
    <row r="771" spans="2:11" x14ac:dyDescent="0.2">
      <c r="B771" s="57"/>
      <c r="C771" s="59"/>
      <c r="D771" s="59"/>
      <c r="E771" s="59"/>
      <c r="F771" s="59"/>
      <c r="G771" s="59"/>
      <c r="H771" s="59"/>
      <c r="I771" s="59"/>
      <c r="J771" s="59"/>
      <c r="K771" s="61"/>
    </row>
    <row r="772" spans="2:11" x14ac:dyDescent="0.2">
      <c r="B772" s="57"/>
      <c r="C772" s="59"/>
      <c r="D772" s="59"/>
      <c r="E772" s="59"/>
      <c r="F772" s="59"/>
      <c r="G772" s="59"/>
      <c r="H772" s="59"/>
      <c r="I772" s="59"/>
      <c r="J772" s="59"/>
      <c r="K772" s="61"/>
    </row>
    <row r="773" spans="2:11" ht="16" x14ac:dyDescent="0.2">
      <c r="B773" s="57"/>
      <c r="C773" s="197" t="s">
        <v>30</v>
      </c>
      <c r="D773" s="59"/>
      <c r="E773" s="59"/>
      <c r="F773" s="59"/>
      <c r="G773" s="59"/>
      <c r="H773" s="59"/>
      <c r="I773" s="59"/>
      <c r="J773" s="59"/>
      <c r="K773" s="61"/>
    </row>
    <row r="774" spans="2:11" x14ac:dyDescent="0.2">
      <c r="B774" s="57"/>
      <c r="C774" s="59"/>
      <c r="D774" s="59" t="s">
        <v>370</v>
      </c>
      <c r="E774" s="59"/>
      <c r="F774" s="59"/>
      <c r="G774" s="59"/>
      <c r="H774" s="59"/>
      <c r="I774" s="59"/>
      <c r="J774" s="60">
        <f>'Baseline At-Risk Pops'!H8</f>
        <v>0</v>
      </c>
      <c r="K774" s="61"/>
    </row>
    <row r="775" spans="2:11" x14ac:dyDescent="0.2">
      <c r="B775" s="57"/>
      <c r="C775" s="59"/>
      <c r="D775" s="59" t="s">
        <v>371</v>
      </c>
      <c r="E775" s="59"/>
      <c r="F775" s="59"/>
      <c r="G775" s="59"/>
      <c r="H775" s="59"/>
      <c r="I775" s="59"/>
      <c r="J775" s="60">
        <f>SUM(J717,J732,J747,J762)</f>
        <v>2</v>
      </c>
      <c r="K775" s="61"/>
    </row>
    <row r="776" spans="2:11" x14ac:dyDescent="0.2">
      <c r="B776" s="57"/>
      <c r="C776" s="59"/>
      <c r="D776" s="196" t="s">
        <v>372</v>
      </c>
      <c r="E776" s="59"/>
      <c r="F776" s="59"/>
      <c r="G776" s="59"/>
      <c r="H776" s="59"/>
      <c r="I776" s="59"/>
      <c r="J776" s="60">
        <f>AVERAGE(J774,J775)</f>
        <v>1</v>
      </c>
      <c r="K776" s="61"/>
    </row>
    <row r="777" spans="2:11" ht="16" x14ac:dyDescent="0.2">
      <c r="B777" s="57"/>
      <c r="C777" s="197" t="s">
        <v>32</v>
      </c>
      <c r="D777" s="59"/>
      <c r="E777" s="59"/>
      <c r="F777" s="59"/>
      <c r="G777" s="59"/>
      <c r="H777" s="59"/>
      <c r="I777" s="59"/>
      <c r="J777" s="60"/>
      <c r="K777" s="61"/>
    </row>
    <row r="778" spans="2:11" x14ac:dyDescent="0.2">
      <c r="B778" s="57"/>
      <c r="C778" s="59"/>
      <c r="D778" s="59" t="s">
        <v>370</v>
      </c>
      <c r="E778" s="59"/>
      <c r="F778" s="59"/>
      <c r="G778" s="59"/>
      <c r="H778" s="59"/>
      <c r="I778" s="59"/>
      <c r="J778" s="60">
        <f>'Baseline At-Risk Pops'!H14</f>
        <v>0</v>
      </c>
      <c r="K778" s="61"/>
    </row>
    <row r="779" spans="2:11" x14ac:dyDescent="0.2">
      <c r="B779" s="57"/>
      <c r="C779" s="59"/>
      <c r="D779" s="59" t="s">
        <v>371</v>
      </c>
      <c r="E779" s="59"/>
      <c r="F779" s="59"/>
      <c r="G779" s="59"/>
      <c r="H779" s="59"/>
      <c r="I779" s="59"/>
      <c r="J779" s="60">
        <f>SUM(J718,J733,J748,J763)</f>
        <v>3</v>
      </c>
      <c r="K779" s="61"/>
    </row>
    <row r="780" spans="2:11" x14ac:dyDescent="0.2">
      <c r="B780" s="57"/>
      <c r="C780" s="59"/>
      <c r="D780" s="196" t="s">
        <v>372</v>
      </c>
      <c r="E780" s="59"/>
      <c r="F780" s="59"/>
      <c r="G780" s="59"/>
      <c r="H780" s="59"/>
      <c r="I780" s="59"/>
      <c r="J780" s="60">
        <f>AVERAGE(J778,J779)</f>
        <v>1.5</v>
      </c>
      <c r="K780" s="61"/>
    </row>
    <row r="781" spans="2:11" ht="16" x14ac:dyDescent="0.2">
      <c r="B781" s="57"/>
      <c r="C781" s="197" t="s">
        <v>34</v>
      </c>
      <c r="D781" s="59"/>
      <c r="E781" s="59"/>
      <c r="F781" s="59"/>
      <c r="G781" s="59"/>
      <c r="H781" s="59"/>
      <c r="I781" s="59"/>
      <c r="J781" s="60"/>
      <c r="K781" s="61"/>
    </row>
    <row r="782" spans="2:11" ht="16" x14ac:dyDescent="0.2">
      <c r="B782" s="57"/>
      <c r="C782" s="197"/>
      <c r="D782" s="59" t="s">
        <v>370</v>
      </c>
      <c r="E782" s="59"/>
      <c r="F782" s="59"/>
      <c r="G782" s="59"/>
      <c r="H782" s="59"/>
      <c r="I782" s="59"/>
      <c r="J782" s="60">
        <f>'Baseline At-Risk Pops'!H21</f>
        <v>0</v>
      </c>
      <c r="K782" s="61"/>
    </row>
    <row r="783" spans="2:11" x14ac:dyDescent="0.2">
      <c r="B783" s="57"/>
      <c r="C783" s="59"/>
      <c r="D783" s="59" t="s">
        <v>371</v>
      </c>
      <c r="E783" s="59"/>
      <c r="F783" s="59"/>
      <c r="G783" s="59"/>
      <c r="H783" s="59"/>
      <c r="I783" s="59"/>
      <c r="J783" s="60">
        <f>SUM(J719,J734,J749,J764)</f>
        <v>2</v>
      </c>
      <c r="K783" s="61"/>
    </row>
    <row r="784" spans="2:11" x14ac:dyDescent="0.2">
      <c r="B784" s="57"/>
      <c r="C784" s="59"/>
      <c r="D784" s="196" t="s">
        <v>372</v>
      </c>
      <c r="E784" s="59"/>
      <c r="F784" s="59"/>
      <c r="G784" s="59"/>
      <c r="H784" s="59"/>
      <c r="I784" s="59"/>
      <c r="J784" s="60">
        <f>AVERAGE(J782,J783)</f>
        <v>1</v>
      </c>
      <c r="K784" s="61"/>
    </row>
    <row r="785" spans="2:11" ht="16" x14ac:dyDescent="0.2">
      <c r="B785" s="57"/>
      <c r="C785" s="197" t="s">
        <v>35</v>
      </c>
      <c r="D785" s="59"/>
      <c r="E785" s="59"/>
      <c r="F785" s="59"/>
      <c r="G785" s="59"/>
      <c r="H785" s="59"/>
      <c r="I785" s="59"/>
      <c r="J785" s="60"/>
      <c r="K785" s="61"/>
    </row>
    <row r="786" spans="2:11" x14ac:dyDescent="0.2">
      <c r="B786" s="57"/>
      <c r="C786" s="59"/>
      <c r="D786" s="59" t="s">
        <v>370</v>
      </c>
      <c r="E786" s="59"/>
      <c r="F786" s="59"/>
      <c r="G786" s="59"/>
      <c r="H786" s="59"/>
      <c r="I786" s="59"/>
      <c r="J786" s="60">
        <f>'Baseline At-Risk Pops'!H27</f>
        <v>0</v>
      </c>
      <c r="K786" s="61"/>
    </row>
    <row r="787" spans="2:11" x14ac:dyDescent="0.2">
      <c r="B787" s="57"/>
      <c r="C787" s="59"/>
      <c r="D787" s="59" t="s">
        <v>371</v>
      </c>
      <c r="E787" s="59"/>
      <c r="F787" s="59"/>
      <c r="G787" s="59"/>
      <c r="H787" s="59"/>
      <c r="I787" s="59"/>
      <c r="J787" s="60">
        <f>SUM(J720,J735,J750,J765)</f>
        <v>3</v>
      </c>
      <c r="K787" s="61"/>
    </row>
    <row r="788" spans="2:11" x14ac:dyDescent="0.2">
      <c r="B788" s="57"/>
      <c r="C788" s="59"/>
      <c r="D788" s="196" t="s">
        <v>372</v>
      </c>
      <c r="E788" s="59"/>
      <c r="F788" s="59"/>
      <c r="G788" s="59"/>
      <c r="H788" s="59"/>
      <c r="I788" s="59"/>
      <c r="J788" s="60">
        <f>AVERAGE(J786,J787)</f>
        <v>1.5</v>
      </c>
      <c r="K788" s="61"/>
    </row>
    <row r="789" spans="2:11" ht="16" x14ac:dyDescent="0.2">
      <c r="B789" s="57"/>
      <c r="C789" s="197" t="s">
        <v>37</v>
      </c>
      <c r="D789" s="59"/>
      <c r="E789" s="59"/>
      <c r="F789" s="59"/>
      <c r="G789" s="59"/>
      <c r="H789" s="59"/>
      <c r="I789" s="59"/>
      <c r="J789" s="60"/>
      <c r="K789" s="61"/>
    </row>
    <row r="790" spans="2:11" x14ac:dyDescent="0.2">
      <c r="B790" s="57"/>
      <c r="C790" s="59"/>
      <c r="D790" s="59" t="s">
        <v>370</v>
      </c>
      <c r="E790" s="59"/>
      <c r="F790" s="59"/>
      <c r="G790" s="59"/>
      <c r="H790" s="59"/>
      <c r="I790" s="59"/>
      <c r="J790" s="60">
        <f>'Baseline At-Risk Pops'!H34</f>
        <v>0</v>
      </c>
      <c r="K790" s="61"/>
    </row>
    <row r="791" spans="2:11" x14ac:dyDescent="0.2">
      <c r="B791" s="57"/>
      <c r="C791" s="59"/>
      <c r="D791" s="59" t="s">
        <v>371</v>
      </c>
      <c r="E791" s="59"/>
      <c r="F791" s="59"/>
      <c r="G791" s="59"/>
      <c r="H791" s="59"/>
      <c r="I791" s="59"/>
      <c r="J791" s="60">
        <f>SUM(J721,J736,J751,J766)</f>
        <v>2</v>
      </c>
      <c r="K791" s="61"/>
    </row>
    <row r="792" spans="2:11" x14ac:dyDescent="0.2">
      <c r="B792" s="57"/>
      <c r="C792" s="59"/>
      <c r="D792" s="196" t="s">
        <v>372</v>
      </c>
      <c r="E792" s="59"/>
      <c r="F792" s="59"/>
      <c r="G792" s="59"/>
      <c r="H792" s="59"/>
      <c r="I792" s="59"/>
      <c r="J792" s="60">
        <f>AVERAGE(J790,J791)</f>
        <v>1</v>
      </c>
      <c r="K792" s="61"/>
    </row>
    <row r="793" spans="2:11" ht="16" x14ac:dyDescent="0.2">
      <c r="B793" s="57"/>
      <c r="C793" s="197" t="s">
        <v>38</v>
      </c>
      <c r="D793" s="59"/>
      <c r="E793" s="59"/>
      <c r="F793" s="59"/>
      <c r="G793" s="59"/>
      <c r="H793" s="59"/>
      <c r="I793" s="59"/>
      <c r="J793" s="60"/>
      <c r="K793" s="61"/>
    </row>
    <row r="794" spans="2:11" x14ac:dyDescent="0.2">
      <c r="B794" s="57"/>
      <c r="C794" s="59"/>
      <c r="D794" s="59" t="s">
        <v>370</v>
      </c>
      <c r="E794" s="59"/>
      <c r="F794" s="59"/>
      <c r="G794" s="59"/>
      <c r="H794" s="59"/>
      <c r="I794" s="59"/>
      <c r="J794" s="60">
        <f>'Baseline At-Risk Pops'!H40</f>
        <v>0</v>
      </c>
      <c r="K794" s="61"/>
    </row>
    <row r="795" spans="2:11" x14ac:dyDescent="0.2">
      <c r="B795" s="57"/>
      <c r="C795" s="59"/>
      <c r="D795" s="59" t="s">
        <v>371</v>
      </c>
      <c r="E795" s="59"/>
      <c r="F795" s="59"/>
      <c r="G795" s="59"/>
      <c r="H795" s="59"/>
      <c r="I795" s="59"/>
      <c r="J795" s="60">
        <f>SUM(J722,J737,J752,J767)</f>
        <v>3</v>
      </c>
      <c r="K795" s="61"/>
    </row>
    <row r="796" spans="2:11" x14ac:dyDescent="0.2">
      <c r="B796" s="57"/>
      <c r="C796" s="59"/>
      <c r="D796" s="196" t="s">
        <v>372</v>
      </c>
      <c r="E796" s="59"/>
      <c r="F796" s="59"/>
      <c r="G796" s="59"/>
      <c r="H796" s="59"/>
      <c r="I796" s="59"/>
      <c r="J796" s="60">
        <f>AVERAGE(J794,J795)</f>
        <v>1.5</v>
      </c>
      <c r="K796" s="61"/>
    </row>
    <row r="797" spans="2:11" ht="16" x14ac:dyDescent="0.2">
      <c r="B797" s="57"/>
      <c r="C797" s="197" t="s">
        <v>40</v>
      </c>
      <c r="D797" s="59"/>
      <c r="E797" s="59"/>
      <c r="F797" s="59"/>
      <c r="G797" s="59"/>
      <c r="H797" s="59"/>
      <c r="I797" s="59"/>
      <c r="J797" s="60"/>
      <c r="K797" s="61"/>
    </row>
    <row r="798" spans="2:11" x14ac:dyDescent="0.2">
      <c r="B798" s="57"/>
      <c r="C798" s="59"/>
      <c r="D798" s="59" t="s">
        <v>370</v>
      </c>
      <c r="E798" s="59"/>
      <c r="F798" s="59"/>
      <c r="G798" s="59"/>
      <c r="H798" s="59"/>
      <c r="I798" s="59"/>
      <c r="J798" s="60">
        <f>'Baseline At-Risk Pops'!H46</f>
        <v>0</v>
      </c>
      <c r="K798" s="61"/>
    </row>
    <row r="799" spans="2:11" x14ac:dyDescent="0.2">
      <c r="B799" s="57"/>
      <c r="C799" s="59"/>
      <c r="D799" s="59" t="s">
        <v>371</v>
      </c>
      <c r="E799" s="59"/>
      <c r="F799" s="59"/>
      <c r="G799" s="59"/>
      <c r="H799" s="59"/>
      <c r="I799" s="59"/>
      <c r="J799" s="60">
        <f>SUM(J723,J738,J753,J768)</f>
        <v>3</v>
      </c>
      <c r="K799" s="61"/>
    </row>
    <row r="800" spans="2:11" x14ac:dyDescent="0.2">
      <c r="B800" s="57"/>
      <c r="C800" s="59"/>
      <c r="D800" s="196" t="s">
        <v>372</v>
      </c>
      <c r="E800" s="59"/>
      <c r="F800" s="59"/>
      <c r="G800" s="59"/>
      <c r="H800" s="59"/>
      <c r="I800" s="59"/>
      <c r="J800" s="60">
        <f>AVERAGE(J798,J799)</f>
        <v>1.5</v>
      </c>
      <c r="K800" s="61"/>
    </row>
    <row r="801" spans="2:11" ht="16" x14ac:dyDescent="0.2">
      <c r="B801" s="57"/>
      <c r="C801" s="197" t="s">
        <v>41</v>
      </c>
      <c r="D801" s="59"/>
      <c r="E801" s="59"/>
      <c r="F801" s="59"/>
      <c r="G801" s="59"/>
      <c r="H801" s="59"/>
      <c r="I801" s="59"/>
      <c r="J801" s="60"/>
      <c r="K801" s="61"/>
    </row>
    <row r="802" spans="2:11" ht="16" x14ac:dyDescent="0.2">
      <c r="B802" s="57"/>
      <c r="C802" s="197"/>
      <c r="D802" s="59" t="s">
        <v>370</v>
      </c>
      <c r="E802" s="59"/>
      <c r="F802" s="59"/>
      <c r="G802" s="59"/>
      <c r="H802" s="59"/>
      <c r="I802" s="59"/>
      <c r="J802" s="60">
        <f>'Baseline At-Risk Pops'!H52</f>
        <v>0</v>
      </c>
      <c r="K802" s="61"/>
    </row>
    <row r="803" spans="2:11" x14ac:dyDescent="0.2">
      <c r="B803" s="57"/>
      <c r="C803" s="59"/>
      <c r="D803" s="59" t="s">
        <v>371</v>
      </c>
      <c r="E803" s="59"/>
      <c r="F803" s="59"/>
      <c r="G803" s="59"/>
      <c r="H803" s="59"/>
      <c r="I803" s="59"/>
      <c r="J803" s="60">
        <f>SUM(J724,J739,J754,J769)</f>
        <v>3</v>
      </c>
      <c r="K803" s="61"/>
    </row>
    <row r="804" spans="2:11" x14ac:dyDescent="0.2">
      <c r="B804" s="57"/>
      <c r="C804" s="59"/>
      <c r="D804" s="196" t="s">
        <v>372</v>
      </c>
      <c r="E804" s="59"/>
      <c r="F804" s="59"/>
      <c r="G804" s="59"/>
      <c r="H804" s="59"/>
      <c r="I804" s="59"/>
      <c r="J804" s="60">
        <f>AVERAGE(J802,J803)</f>
        <v>1.5</v>
      </c>
      <c r="K804" s="61"/>
    </row>
    <row r="805" spans="2:11" ht="16" x14ac:dyDescent="0.2">
      <c r="B805" s="57"/>
      <c r="C805" s="197" t="s">
        <v>43</v>
      </c>
      <c r="D805" s="59"/>
      <c r="E805" s="59"/>
      <c r="F805" s="59"/>
      <c r="G805" s="59"/>
      <c r="H805" s="59"/>
      <c r="I805" s="59"/>
      <c r="J805" s="60"/>
      <c r="K805" s="61"/>
    </row>
    <row r="806" spans="2:11" x14ac:dyDescent="0.2">
      <c r="B806" s="57"/>
      <c r="C806" s="59"/>
      <c r="D806" s="59" t="s">
        <v>370</v>
      </c>
      <c r="E806" s="59"/>
      <c r="F806" s="59"/>
      <c r="G806" s="59"/>
      <c r="H806" s="59"/>
      <c r="I806" s="59"/>
      <c r="J806" s="60">
        <f>'Baseline At-Risk Pops'!H58</f>
        <v>0</v>
      </c>
      <c r="K806" s="61"/>
    </row>
    <row r="807" spans="2:11" x14ac:dyDescent="0.2">
      <c r="B807" s="57"/>
      <c r="C807" s="59"/>
      <c r="D807" s="59" t="s">
        <v>371</v>
      </c>
      <c r="E807" s="59"/>
      <c r="F807" s="59"/>
      <c r="G807" s="59"/>
      <c r="H807" s="59"/>
      <c r="I807" s="59"/>
      <c r="J807" s="60">
        <f>SUM(J725,J740,J755,J770)</f>
        <v>3</v>
      </c>
      <c r="K807" s="61"/>
    </row>
    <row r="808" spans="2:11" x14ac:dyDescent="0.2">
      <c r="B808" s="57"/>
      <c r="C808" s="59"/>
      <c r="D808" s="196" t="s">
        <v>372</v>
      </c>
      <c r="E808" s="59"/>
      <c r="F808" s="59"/>
      <c r="G808" s="59"/>
      <c r="H808" s="59"/>
      <c r="I808" s="59"/>
      <c r="J808" s="60">
        <f>AVERAGE(J806,J807)</f>
        <v>1.5</v>
      </c>
      <c r="K808" s="61"/>
    </row>
    <row r="809" spans="2:11" x14ac:dyDescent="0.2">
      <c r="B809" s="57"/>
      <c r="C809" s="59"/>
      <c r="D809" s="59"/>
      <c r="E809" s="59"/>
      <c r="F809" s="59"/>
      <c r="G809" s="59"/>
      <c r="H809" s="59"/>
      <c r="I809" s="59"/>
      <c r="J809" s="59"/>
      <c r="K809" s="61"/>
    </row>
    <row r="810" spans="2:11" x14ac:dyDescent="0.2">
      <c r="B810" s="57"/>
      <c r="C810" s="59"/>
      <c r="D810" s="59"/>
      <c r="E810" s="59"/>
      <c r="F810" s="59"/>
      <c r="G810" s="59"/>
      <c r="H810" s="59"/>
      <c r="I810" s="59"/>
      <c r="J810" s="59"/>
      <c r="K810" s="61"/>
    </row>
    <row r="811" spans="2:11" ht="16" x14ac:dyDescent="0.2">
      <c r="B811" s="57"/>
      <c r="C811" s="198" t="s">
        <v>373</v>
      </c>
      <c r="D811" s="59"/>
      <c r="E811" s="59"/>
      <c r="F811" s="59"/>
      <c r="G811" s="59"/>
      <c r="H811" s="59"/>
      <c r="I811" s="59"/>
      <c r="J811" s="261">
        <f>AVERAGE(J776,J780,J784,J788,J792,J796,J800,J804,J808)</f>
        <v>1.3333333333333333</v>
      </c>
      <c r="K811" s="61"/>
    </row>
    <row r="812" spans="2:11" ht="16" thickBot="1" x14ac:dyDescent="0.25">
      <c r="B812" s="73"/>
      <c r="C812" s="74"/>
      <c r="D812" s="74"/>
      <c r="E812" s="74"/>
      <c r="F812" s="74"/>
      <c r="G812" s="74"/>
      <c r="H812" s="74"/>
      <c r="I812" s="74"/>
      <c r="J812" s="74"/>
      <c r="K812" s="76"/>
    </row>
    <row r="813" spans="2:11" ht="16" thickBot="1" x14ac:dyDescent="0.25"/>
    <row r="814" spans="2:11" x14ac:dyDescent="0.2">
      <c r="B814" s="199"/>
      <c r="C814" s="200"/>
      <c r="D814" s="200"/>
      <c r="E814" s="200"/>
      <c r="F814" s="200"/>
      <c r="G814" s="200"/>
      <c r="H814" s="200"/>
      <c r="I814" s="200"/>
      <c r="J814" s="200"/>
      <c r="K814" s="201"/>
    </row>
    <row r="815" spans="2:11" ht="21" x14ac:dyDescent="0.25">
      <c r="B815" s="202"/>
      <c r="C815" s="203"/>
      <c r="D815" s="203"/>
      <c r="E815" s="203"/>
      <c r="F815" s="203"/>
      <c r="G815" s="204" t="s">
        <v>233</v>
      </c>
      <c r="H815" s="203"/>
      <c r="I815" s="203"/>
      <c r="J815" s="203"/>
      <c r="K815" s="205"/>
    </row>
    <row r="816" spans="2:11" x14ac:dyDescent="0.2">
      <c r="B816" s="202"/>
      <c r="C816" s="203"/>
      <c r="D816" s="203"/>
      <c r="E816" s="203"/>
      <c r="F816" s="203"/>
      <c r="G816" s="203"/>
      <c r="H816" s="203"/>
      <c r="I816" s="203"/>
      <c r="J816" s="203"/>
      <c r="K816" s="205"/>
    </row>
    <row r="817" spans="2:11" ht="16" x14ac:dyDescent="0.2">
      <c r="B817" s="202"/>
      <c r="C817" s="206" t="s">
        <v>992</v>
      </c>
      <c r="D817" s="203"/>
      <c r="E817" s="203"/>
      <c r="F817" s="203"/>
      <c r="G817" s="203"/>
      <c r="H817" s="203"/>
      <c r="I817" s="203"/>
      <c r="J817" s="262" t="str">
        <f>IF(J700="Not Calculated","Not Calculated",J700*(($J$811/4)+1))</f>
        <v>Not Calculated</v>
      </c>
      <c r="K817" s="205"/>
    </row>
    <row r="818" spans="2:11" x14ac:dyDescent="0.2">
      <c r="B818" s="202"/>
      <c r="C818" s="203"/>
      <c r="D818" s="203" t="s">
        <v>1119</v>
      </c>
      <c r="E818" s="203"/>
      <c r="F818" s="203"/>
      <c r="G818" s="203"/>
      <c r="H818" s="203"/>
      <c r="I818" s="203"/>
      <c r="J818" s="203"/>
      <c r="K818" s="205"/>
    </row>
    <row r="819" spans="2:11" x14ac:dyDescent="0.2">
      <c r="B819" s="202"/>
      <c r="C819" s="203"/>
      <c r="D819" s="203"/>
      <c r="E819" s="203"/>
      <c r="F819" s="203"/>
      <c r="G819" s="203"/>
      <c r="H819" s="203"/>
      <c r="I819" s="203"/>
      <c r="J819" s="203"/>
      <c r="K819" s="205"/>
    </row>
    <row r="820" spans="2:11" ht="16" x14ac:dyDescent="0.2">
      <c r="B820" s="202"/>
      <c r="C820" s="206" t="s">
        <v>993</v>
      </c>
      <c r="D820" s="203"/>
      <c r="E820" s="203"/>
      <c r="F820" s="203"/>
      <c r="G820" s="203"/>
      <c r="H820" s="203"/>
      <c r="I820" s="203"/>
      <c r="J820" s="262" t="str">
        <f>IF(J703="Not Calculated","Not Calculated",J703*(($J$811/4)+1))</f>
        <v>Not Calculated</v>
      </c>
      <c r="K820" s="205"/>
    </row>
    <row r="821" spans="2:11" x14ac:dyDescent="0.2">
      <c r="B821" s="202"/>
      <c r="C821" s="203"/>
      <c r="D821" s="203" t="s">
        <v>1120</v>
      </c>
      <c r="E821" s="203"/>
      <c r="F821" s="203"/>
      <c r="G821" s="203"/>
      <c r="H821" s="203"/>
      <c r="I821" s="203"/>
      <c r="J821" s="203"/>
      <c r="K821" s="205"/>
    </row>
    <row r="822" spans="2:11" x14ac:dyDescent="0.2">
      <c r="B822" s="202"/>
      <c r="C822" s="203"/>
      <c r="D822" s="203"/>
      <c r="E822" s="203"/>
      <c r="F822" s="203"/>
      <c r="G822" s="203"/>
      <c r="H822" s="203"/>
      <c r="I822" s="203"/>
      <c r="J822" s="203"/>
      <c r="K822" s="205"/>
    </row>
    <row r="823" spans="2:11" ht="16" x14ac:dyDescent="0.2">
      <c r="B823" s="202"/>
      <c r="C823" s="206" t="s">
        <v>994</v>
      </c>
      <c r="D823" s="203"/>
      <c r="E823" s="203"/>
      <c r="F823" s="203"/>
      <c r="G823" s="203"/>
      <c r="H823" s="203"/>
      <c r="I823" s="203"/>
      <c r="J823" s="262" t="str">
        <f>IF(J706="Not Calculated","Not Calculated",J706*(($J$811/4)+1))</f>
        <v>Not Calculated</v>
      </c>
      <c r="K823" s="205"/>
    </row>
    <row r="824" spans="2:11" x14ac:dyDescent="0.2">
      <c r="B824" s="202"/>
      <c r="C824" s="203"/>
      <c r="D824" s="203" t="s">
        <v>1121</v>
      </c>
      <c r="E824" s="203"/>
      <c r="F824" s="203"/>
      <c r="G824" s="203"/>
      <c r="H824" s="203"/>
      <c r="I824" s="203"/>
      <c r="J824" s="203"/>
      <c r="K824" s="205"/>
    </row>
    <row r="825" spans="2:11" ht="16" thickBot="1" x14ac:dyDescent="0.25">
      <c r="B825" s="207"/>
      <c r="C825" s="208"/>
      <c r="D825" s="208"/>
      <c r="E825" s="208"/>
      <c r="F825" s="208"/>
      <c r="G825" s="208"/>
      <c r="H825" s="208"/>
      <c r="I825" s="208"/>
      <c r="J825" s="208"/>
      <c r="K825" s="209"/>
    </row>
    <row r="826" spans="2:11" ht="16" thickBot="1" x14ac:dyDescent="0.25"/>
    <row r="827" spans="2:11" x14ac:dyDescent="0.2">
      <c r="B827" s="77"/>
      <c r="C827" s="78"/>
      <c r="D827" s="78"/>
      <c r="E827" s="78"/>
      <c r="F827" s="78"/>
      <c r="G827" s="78"/>
      <c r="H827" s="78"/>
      <c r="I827" s="78"/>
      <c r="J827" s="78"/>
      <c r="K827" s="80"/>
    </row>
    <row r="828" spans="2:11" ht="21" x14ac:dyDescent="0.25">
      <c r="B828" s="81"/>
      <c r="C828" s="85"/>
      <c r="D828" s="85"/>
      <c r="E828" s="85"/>
      <c r="F828" s="85"/>
      <c r="G828" s="210" t="s">
        <v>806</v>
      </c>
      <c r="H828" s="85"/>
      <c r="I828" s="85"/>
      <c r="J828" s="85"/>
      <c r="K828" s="87"/>
    </row>
    <row r="829" spans="2:11" x14ac:dyDescent="0.2">
      <c r="B829" s="81"/>
      <c r="C829" s="85"/>
      <c r="D829" s="85"/>
      <c r="E829" s="85"/>
      <c r="F829" s="85"/>
      <c r="G829" s="85"/>
      <c r="H829" s="85"/>
      <c r="I829" s="85"/>
      <c r="J829" s="85"/>
      <c r="K829" s="87"/>
    </row>
    <row r="830" spans="2:11" x14ac:dyDescent="0.2">
      <c r="B830" s="81"/>
      <c r="C830" s="424" t="s">
        <v>808</v>
      </c>
      <c r="D830" s="424"/>
      <c r="E830" s="424"/>
      <c r="F830" s="424"/>
      <c r="G830" s="424"/>
      <c r="H830" s="424"/>
      <c r="I830" s="424"/>
      <c r="J830" s="424"/>
      <c r="K830" s="87"/>
    </row>
    <row r="831" spans="2:11" ht="15" customHeight="1" x14ac:dyDescent="0.2">
      <c r="B831" s="81"/>
      <c r="C831" s="424"/>
      <c r="D831" s="424"/>
      <c r="E831" s="424"/>
      <c r="F831" s="424"/>
      <c r="G831" s="424"/>
      <c r="H831" s="424"/>
      <c r="I831" s="424"/>
      <c r="J831" s="424"/>
      <c r="K831" s="87"/>
    </row>
    <row r="832" spans="2:11" x14ac:dyDescent="0.2">
      <c r="B832" s="81"/>
      <c r="C832" s="85"/>
      <c r="D832" s="85"/>
      <c r="E832" s="85"/>
      <c r="F832" s="85"/>
      <c r="G832" s="85"/>
      <c r="H832" s="85"/>
      <c r="I832" s="85"/>
      <c r="J832" s="85"/>
      <c r="K832" s="87"/>
    </row>
    <row r="833" spans="2:11" ht="16" x14ac:dyDescent="0.2">
      <c r="B833" s="81"/>
      <c r="C833" s="211" t="s">
        <v>654</v>
      </c>
      <c r="D833" s="85"/>
      <c r="E833" s="85"/>
      <c r="F833" s="85"/>
      <c r="G833" s="85"/>
      <c r="H833" s="85"/>
      <c r="I833" s="85"/>
      <c r="J833" s="85"/>
      <c r="K833" s="87"/>
    </row>
    <row r="834" spans="2:11" x14ac:dyDescent="0.2">
      <c r="B834" s="81"/>
      <c r="C834" s="85" t="s">
        <v>380</v>
      </c>
      <c r="D834" s="85"/>
      <c r="E834" s="85"/>
      <c r="F834" s="85"/>
      <c r="G834" s="406" t="s">
        <v>234</v>
      </c>
      <c r="H834" s="407"/>
      <c r="I834" s="85"/>
      <c r="J834" s="83">
        <f>IF(G834=$B$998,$A$999,IF(G834=$B$999,$A$1000,IF(G834=$B$1000,$A$1001,IF(G834=$B$1001,$A$1002,IF(G834=$B$1002,$A$1003,"Not Calculated")))))</f>
        <v>4</v>
      </c>
      <c r="K834" s="87"/>
    </row>
    <row r="835" spans="2:11" x14ac:dyDescent="0.2">
      <c r="B835" s="81"/>
      <c r="C835" s="85" t="s">
        <v>134</v>
      </c>
      <c r="D835" s="85"/>
      <c r="E835" s="85"/>
      <c r="F835" s="85"/>
      <c r="G835" s="85"/>
      <c r="H835" s="85"/>
      <c r="I835" s="85"/>
      <c r="J835" s="240">
        <f>'Baseline PHP'!J16</f>
        <v>0</v>
      </c>
      <c r="K835" s="87"/>
    </row>
    <row r="836" spans="2:11" x14ac:dyDescent="0.2">
      <c r="B836" s="81"/>
      <c r="C836" s="85"/>
      <c r="D836" s="85"/>
      <c r="E836" s="85"/>
      <c r="F836" s="85"/>
      <c r="G836" s="85"/>
      <c r="H836" s="85"/>
      <c r="I836" s="85"/>
      <c r="J836" s="85"/>
      <c r="K836" s="87"/>
    </row>
    <row r="837" spans="2:11" ht="16" x14ac:dyDescent="0.2">
      <c r="B837" s="81"/>
      <c r="C837" s="211" t="s">
        <v>655</v>
      </c>
      <c r="D837" s="85"/>
      <c r="E837" s="85"/>
      <c r="F837" s="85"/>
      <c r="G837" s="85"/>
      <c r="H837" s="85"/>
      <c r="I837" s="85"/>
      <c r="J837" s="85"/>
      <c r="K837" s="87"/>
    </row>
    <row r="838" spans="2:11" x14ac:dyDescent="0.2">
      <c r="B838" s="81"/>
      <c r="C838" s="85" t="s">
        <v>380</v>
      </c>
      <c r="D838" s="85"/>
      <c r="E838" s="85"/>
      <c r="F838" s="85"/>
      <c r="G838" s="406" t="s">
        <v>234</v>
      </c>
      <c r="H838" s="407"/>
      <c r="I838" s="85"/>
      <c r="J838" s="83">
        <f>IF(G838=$B$998,$A$999,IF(G838=$B$999,$A$1000,IF(G838=$B$1000,$A$1001,IF(G838=$B$1001,$A$1002,IF(G838=$B$1002,$A$1003,"Not Calculated")))))</f>
        <v>4</v>
      </c>
      <c r="K838" s="87"/>
    </row>
    <row r="839" spans="2:11" x14ac:dyDescent="0.2">
      <c r="B839" s="81"/>
      <c r="C839" s="85" t="s">
        <v>134</v>
      </c>
      <c r="D839" s="85"/>
      <c r="E839" s="85"/>
      <c r="F839" s="85"/>
      <c r="G839" s="85"/>
      <c r="H839" s="85"/>
      <c r="I839" s="85"/>
      <c r="J839" s="240">
        <f>'Baseline PHP'!J28</f>
        <v>0</v>
      </c>
      <c r="K839" s="87"/>
    </row>
    <row r="840" spans="2:11" x14ac:dyDescent="0.2">
      <c r="B840" s="81"/>
      <c r="C840" s="85"/>
      <c r="D840" s="85"/>
      <c r="E840" s="85"/>
      <c r="F840" s="85"/>
      <c r="G840" s="85"/>
      <c r="H840" s="85"/>
      <c r="I840" s="85"/>
      <c r="J840" s="85"/>
      <c r="K840" s="87"/>
    </row>
    <row r="841" spans="2:11" ht="16" x14ac:dyDescent="0.2">
      <c r="B841" s="81"/>
      <c r="C841" s="211" t="s">
        <v>645</v>
      </c>
      <c r="D841" s="85"/>
      <c r="E841" s="85"/>
      <c r="F841" s="85"/>
      <c r="G841" s="85"/>
      <c r="H841" s="85"/>
      <c r="I841" s="85"/>
      <c r="J841" s="85"/>
      <c r="K841" s="87"/>
    </row>
    <row r="842" spans="2:11" x14ac:dyDescent="0.2">
      <c r="B842" s="81"/>
      <c r="C842" s="85" t="s">
        <v>380</v>
      </c>
      <c r="D842" s="85"/>
      <c r="E842" s="85"/>
      <c r="F842" s="85"/>
      <c r="G842" s="406" t="s">
        <v>234</v>
      </c>
      <c r="H842" s="407"/>
      <c r="I842" s="85"/>
      <c r="J842" s="83">
        <f>IF(G842=$B$998,$A$999,IF(G842=$B$999,$A$1000,IF(G842=$B$1000,$A$1001,IF(G842=$B$1001,$A$1002,IF(G842=$B$1002,$A$1003,"Not Calculated")))))</f>
        <v>4</v>
      </c>
      <c r="K842" s="87"/>
    </row>
    <row r="843" spans="2:11" x14ac:dyDescent="0.2">
      <c r="B843" s="81"/>
      <c r="C843" s="85" t="s">
        <v>134</v>
      </c>
      <c r="D843" s="85"/>
      <c r="E843" s="85"/>
      <c r="F843" s="85"/>
      <c r="G843" s="85"/>
      <c r="H843" s="85"/>
      <c r="I843" s="85"/>
      <c r="J843" s="240">
        <f>'Baseline PHP'!J44</f>
        <v>0</v>
      </c>
      <c r="K843" s="87"/>
    </row>
    <row r="844" spans="2:11" x14ac:dyDescent="0.2">
      <c r="B844" s="81"/>
      <c r="C844" s="85"/>
      <c r="D844" s="85"/>
      <c r="E844" s="85"/>
      <c r="F844" s="85"/>
      <c r="G844" s="85"/>
      <c r="H844" s="85"/>
      <c r="I844" s="85"/>
      <c r="J844" s="85"/>
      <c r="K844" s="87"/>
    </row>
    <row r="845" spans="2:11" ht="16" x14ac:dyDescent="0.2">
      <c r="B845" s="81"/>
      <c r="C845" s="211" t="s">
        <v>646</v>
      </c>
      <c r="D845" s="85"/>
      <c r="E845" s="85"/>
      <c r="F845" s="85"/>
      <c r="G845" s="85"/>
      <c r="H845" s="85"/>
      <c r="I845" s="85"/>
      <c r="J845" s="85"/>
      <c r="K845" s="87"/>
    </row>
    <row r="846" spans="2:11" x14ac:dyDescent="0.2">
      <c r="B846" s="81"/>
      <c r="C846" s="85" t="s">
        <v>380</v>
      </c>
      <c r="D846" s="85"/>
      <c r="E846" s="85"/>
      <c r="F846" s="85"/>
      <c r="G846" s="406" t="s">
        <v>234</v>
      </c>
      <c r="H846" s="407"/>
      <c r="I846" s="85"/>
      <c r="J846" s="83">
        <f>IF(G846=$B$998,$A$999,IF(G846=$B$999,$A$1000,IF(G846=$B$1000,$A$1001,IF(G846=$B$1001,$A$1002,IF(G846=$B$1002,$A$1003,"Not Calculated")))))</f>
        <v>4</v>
      </c>
      <c r="K846" s="87"/>
    </row>
    <row r="847" spans="2:11" x14ac:dyDescent="0.2">
      <c r="B847" s="81"/>
      <c r="C847" s="85" t="s">
        <v>134</v>
      </c>
      <c r="D847" s="85"/>
      <c r="E847" s="85"/>
      <c r="F847" s="85"/>
      <c r="G847" s="85"/>
      <c r="H847" s="85"/>
      <c r="I847" s="85"/>
      <c r="J847" s="240">
        <f>'Baseline PHP'!J60</f>
        <v>0</v>
      </c>
      <c r="K847" s="87"/>
    </row>
    <row r="848" spans="2:11" x14ac:dyDescent="0.2">
      <c r="B848" s="81"/>
      <c r="C848" s="85"/>
      <c r="D848" s="85"/>
      <c r="E848" s="85"/>
      <c r="F848" s="85"/>
      <c r="G848" s="85"/>
      <c r="H848" s="85"/>
      <c r="I848" s="85"/>
      <c r="J848" s="85"/>
      <c r="K848" s="87"/>
    </row>
    <row r="849" spans="2:11" ht="16" x14ac:dyDescent="0.2">
      <c r="B849" s="81"/>
      <c r="C849" s="211" t="s">
        <v>648</v>
      </c>
      <c r="D849" s="85"/>
      <c r="E849" s="85"/>
      <c r="F849" s="85"/>
      <c r="G849" s="85"/>
      <c r="H849" s="85"/>
      <c r="I849" s="85"/>
      <c r="J849" s="85"/>
      <c r="K849" s="87"/>
    </row>
    <row r="850" spans="2:11" x14ac:dyDescent="0.2">
      <c r="B850" s="81"/>
      <c r="C850" s="85" t="s">
        <v>380</v>
      </c>
      <c r="D850" s="85"/>
      <c r="E850" s="85"/>
      <c r="F850" s="85"/>
      <c r="G850" s="406" t="s">
        <v>234</v>
      </c>
      <c r="H850" s="407"/>
      <c r="I850" s="85"/>
      <c r="J850" s="83">
        <f>IF(G850=$B$998,$A$999,IF(G850=$B$999,$A$1000,IF(G850=$B$1000,$A$1001,IF(G850=$B$1001,$A$1002,IF(G850=$B$1002,$A$1003,"Not Calculated")))))</f>
        <v>4</v>
      </c>
      <c r="K850" s="87"/>
    </row>
    <row r="851" spans="2:11" x14ac:dyDescent="0.2">
      <c r="B851" s="81"/>
      <c r="C851" s="85" t="s">
        <v>134</v>
      </c>
      <c r="D851" s="85"/>
      <c r="E851" s="85"/>
      <c r="F851" s="85"/>
      <c r="G851" s="85"/>
      <c r="H851" s="85"/>
      <c r="I851" s="85"/>
      <c r="J851" s="240">
        <f>'Baseline PHP'!J76</f>
        <v>0</v>
      </c>
      <c r="K851" s="87"/>
    </row>
    <row r="852" spans="2:11" x14ac:dyDescent="0.2">
      <c r="B852" s="81"/>
      <c r="C852" s="85"/>
      <c r="D852" s="85"/>
      <c r="E852" s="85"/>
      <c r="F852" s="85"/>
      <c r="G852" s="85"/>
      <c r="H852" s="85"/>
      <c r="I852" s="85"/>
      <c r="J852" s="85"/>
      <c r="K852" s="87"/>
    </row>
    <row r="853" spans="2:11" ht="16" x14ac:dyDescent="0.2">
      <c r="B853" s="81"/>
      <c r="C853" s="211" t="s">
        <v>647</v>
      </c>
      <c r="D853" s="85"/>
      <c r="E853" s="85"/>
      <c r="F853" s="85"/>
      <c r="G853" s="85"/>
      <c r="H853" s="85"/>
      <c r="I853" s="85"/>
      <c r="J853" s="85"/>
      <c r="K853" s="87"/>
    </row>
    <row r="854" spans="2:11" x14ac:dyDescent="0.2">
      <c r="B854" s="81"/>
      <c r="C854" s="85" t="s">
        <v>380</v>
      </c>
      <c r="D854" s="85"/>
      <c r="E854" s="85"/>
      <c r="F854" s="85"/>
      <c r="G854" s="406" t="s">
        <v>234</v>
      </c>
      <c r="H854" s="407"/>
      <c r="I854" s="85"/>
      <c r="J854" s="83">
        <f>IF(G854=$B$998,$A$999,IF(G854=$B$999,$A$1000,IF(G854=$B$1000,$A$1001,IF(G854=$B$1001,$A$1002,IF(G854=$B$1002,$A$1003,"Not Calculated")))))</f>
        <v>4</v>
      </c>
      <c r="K854" s="87"/>
    </row>
    <row r="855" spans="2:11" x14ac:dyDescent="0.2">
      <c r="B855" s="81"/>
      <c r="C855" s="85" t="s">
        <v>134</v>
      </c>
      <c r="D855" s="85"/>
      <c r="E855" s="85"/>
      <c r="F855" s="85"/>
      <c r="G855" s="85"/>
      <c r="H855" s="85"/>
      <c r="I855" s="85"/>
      <c r="J855" s="240">
        <f>'Baseline PHP'!J88</f>
        <v>0</v>
      </c>
      <c r="K855" s="87"/>
    </row>
    <row r="856" spans="2:11" x14ac:dyDescent="0.2">
      <c r="B856" s="81"/>
      <c r="C856" s="85"/>
      <c r="D856" s="85"/>
      <c r="E856" s="85"/>
      <c r="F856" s="85"/>
      <c r="G856" s="85"/>
      <c r="H856" s="85"/>
      <c r="I856" s="85"/>
      <c r="J856" s="85"/>
      <c r="K856" s="87"/>
    </row>
    <row r="857" spans="2:11" ht="16" x14ac:dyDescent="0.2">
      <c r="B857" s="81"/>
      <c r="C857" s="211" t="s">
        <v>115</v>
      </c>
      <c r="D857" s="85"/>
      <c r="E857" s="85"/>
      <c r="F857" s="85"/>
      <c r="G857" s="85"/>
      <c r="H857" s="85"/>
      <c r="I857" s="85"/>
      <c r="J857" s="85"/>
      <c r="K857" s="87"/>
    </row>
    <row r="858" spans="2:11" x14ac:dyDescent="0.2">
      <c r="B858" s="81"/>
      <c r="C858" s="85" t="s">
        <v>380</v>
      </c>
      <c r="D858" s="85"/>
      <c r="E858" s="85"/>
      <c r="F858" s="85"/>
      <c r="G858" s="406" t="s">
        <v>237</v>
      </c>
      <c r="H858" s="407"/>
      <c r="I858" s="85"/>
      <c r="J858" s="83">
        <f>IF(G858=$B$998,$A$999,IF(G858=$B$999,$A$1000,IF(G858=$B$1000,$A$1001,IF(G858=$B$1001,$A$1002,IF(G858=$B$1002,$A$1003,"Not Calculated")))))</f>
        <v>1</v>
      </c>
      <c r="K858" s="87"/>
    </row>
    <row r="859" spans="2:11" x14ac:dyDescent="0.2">
      <c r="B859" s="81"/>
      <c r="C859" s="85" t="s">
        <v>134</v>
      </c>
      <c r="D859" s="85"/>
      <c r="E859" s="85"/>
      <c r="F859" s="85"/>
      <c r="G859" s="85"/>
      <c r="H859" s="85"/>
      <c r="I859" s="85"/>
      <c r="J859" s="240">
        <f>'Baseline PHP'!J102</f>
        <v>0</v>
      </c>
      <c r="K859" s="87"/>
    </row>
    <row r="860" spans="2:11" x14ac:dyDescent="0.2">
      <c r="B860" s="81"/>
      <c r="C860" s="85"/>
      <c r="D860" s="85"/>
      <c r="E860" s="85"/>
      <c r="F860" s="85"/>
      <c r="G860" s="85"/>
      <c r="H860" s="85"/>
      <c r="I860" s="85"/>
      <c r="J860" s="85"/>
      <c r="K860" s="87"/>
    </row>
    <row r="861" spans="2:11" ht="16" x14ac:dyDescent="0.2">
      <c r="B861" s="81"/>
      <c r="C861" s="211" t="s">
        <v>649</v>
      </c>
      <c r="D861" s="85"/>
      <c r="E861" s="85"/>
      <c r="F861" s="85"/>
      <c r="G861" s="85"/>
      <c r="H861" s="85"/>
      <c r="I861" s="85"/>
      <c r="J861" s="85"/>
      <c r="K861" s="87"/>
    </row>
    <row r="862" spans="2:11" x14ac:dyDescent="0.2">
      <c r="B862" s="81"/>
      <c r="C862" s="85" t="s">
        <v>380</v>
      </c>
      <c r="D862" s="85"/>
      <c r="E862" s="85"/>
      <c r="F862" s="85"/>
      <c r="G862" s="406" t="s">
        <v>234</v>
      </c>
      <c r="H862" s="407"/>
      <c r="I862" s="85"/>
      <c r="J862" s="83">
        <f>IF(G862=$B$998,$A$999,IF(G862=$B$999,$A$1000,IF(G862=$B$1000,$A$1001,IF(G862=$B$1001,$A$1002,IF(G862=$B$1002,$A$1003,"Not Calculated")))))</f>
        <v>4</v>
      </c>
      <c r="K862" s="87"/>
    </row>
    <row r="863" spans="2:11" x14ac:dyDescent="0.2">
      <c r="B863" s="81"/>
      <c r="C863" s="85" t="s">
        <v>134</v>
      </c>
      <c r="D863" s="85"/>
      <c r="E863" s="85"/>
      <c r="F863" s="85"/>
      <c r="G863" s="85"/>
      <c r="H863" s="85"/>
      <c r="I863" s="85"/>
      <c r="J863" s="240">
        <f>'Baseline PHP'!J118</f>
        <v>0</v>
      </c>
      <c r="K863" s="87"/>
    </row>
    <row r="864" spans="2:11" x14ac:dyDescent="0.2">
      <c r="B864" s="81"/>
      <c r="C864" s="85"/>
      <c r="D864" s="85"/>
      <c r="E864" s="85"/>
      <c r="F864" s="85"/>
      <c r="G864" s="85"/>
      <c r="H864" s="85"/>
      <c r="I864" s="85"/>
      <c r="J864" s="85"/>
      <c r="K864" s="87"/>
    </row>
    <row r="865" spans="2:11" ht="16" x14ac:dyDescent="0.2">
      <c r="B865" s="81"/>
      <c r="C865" s="211" t="s">
        <v>656</v>
      </c>
      <c r="D865" s="85"/>
      <c r="E865" s="85"/>
      <c r="F865" s="85"/>
      <c r="G865" s="85"/>
      <c r="H865" s="85"/>
      <c r="I865" s="85"/>
      <c r="J865" s="85"/>
      <c r="K865" s="87"/>
    </row>
    <row r="866" spans="2:11" x14ac:dyDescent="0.2">
      <c r="B866" s="81"/>
      <c r="C866" s="85" t="s">
        <v>380</v>
      </c>
      <c r="D866" s="85"/>
      <c r="E866" s="85"/>
      <c r="F866" s="85"/>
      <c r="G866" s="406" t="s">
        <v>234</v>
      </c>
      <c r="H866" s="407"/>
      <c r="I866" s="85"/>
      <c r="J866" s="83">
        <f>IF(G866=$B$998,$A$999,IF(G866=$B$999,$A$1000,IF(G866=$B$1000,$A$1001,IF(G866=$B$1001,$A$1002,IF(G866=$B$1002,$A$1003,"Not Calculated")))))</f>
        <v>4</v>
      </c>
      <c r="K866" s="87"/>
    </row>
    <row r="867" spans="2:11" x14ac:dyDescent="0.2">
      <c r="B867" s="81"/>
      <c r="C867" s="85" t="s">
        <v>134</v>
      </c>
      <c r="D867" s="85"/>
      <c r="E867" s="85"/>
      <c r="F867" s="85"/>
      <c r="G867" s="85"/>
      <c r="H867" s="85"/>
      <c r="I867" s="85"/>
      <c r="J867" s="240">
        <f>'Baseline PHP'!J136</f>
        <v>0</v>
      </c>
      <c r="K867" s="87"/>
    </row>
    <row r="868" spans="2:11" x14ac:dyDescent="0.2">
      <c r="B868" s="81"/>
      <c r="C868" s="85"/>
      <c r="D868" s="85"/>
      <c r="E868" s="85"/>
      <c r="F868" s="85"/>
      <c r="G868" s="85"/>
      <c r="H868" s="85"/>
      <c r="I868" s="85"/>
      <c r="J868" s="85"/>
      <c r="K868" s="87"/>
    </row>
    <row r="869" spans="2:11" ht="16" x14ac:dyDescent="0.2">
      <c r="B869" s="81"/>
      <c r="C869" s="211" t="s">
        <v>121</v>
      </c>
      <c r="D869" s="85"/>
      <c r="E869" s="85"/>
      <c r="F869" s="85"/>
      <c r="G869" s="85"/>
      <c r="H869" s="85"/>
      <c r="I869" s="85"/>
      <c r="J869" s="85"/>
      <c r="K869" s="87"/>
    </row>
    <row r="870" spans="2:11" x14ac:dyDescent="0.2">
      <c r="B870" s="81"/>
      <c r="C870" s="85" t="s">
        <v>380</v>
      </c>
      <c r="D870" s="85"/>
      <c r="E870" s="85"/>
      <c r="F870" s="85"/>
      <c r="G870" s="406" t="s">
        <v>234</v>
      </c>
      <c r="H870" s="407"/>
      <c r="I870" s="85"/>
      <c r="J870" s="83">
        <f>IF(G870=$B$998,$A$999,IF(G870=$B$999,$A$1000,IF(G870=$B$1000,$A$1001,IF(G870=$B$1001,$A$1002,IF(G870=$B$1002,$A$1003,"Not Calculated")))))</f>
        <v>4</v>
      </c>
      <c r="K870" s="87"/>
    </row>
    <row r="871" spans="2:11" x14ac:dyDescent="0.2">
      <c r="B871" s="81"/>
      <c r="C871" s="85" t="s">
        <v>134</v>
      </c>
      <c r="D871" s="85"/>
      <c r="E871" s="85"/>
      <c r="F871" s="85"/>
      <c r="G871" s="85"/>
      <c r="H871" s="85"/>
      <c r="I871" s="85"/>
      <c r="J871" s="240">
        <f>'Baseline PHP'!J150</f>
        <v>0</v>
      </c>
      <c r="K871" s="87"/>
    </row>
    <row r="872" spans="2:11" x14ac:dyDescent="0.2">
      <c r="B872" s="81"/>
      <c r="C872" s="85"/>
      <c r="D872" s="85"/>
      <c r="E872" s="85"/>
      <c r="F872" s="85"/>
      <c r="G872" s="85"/>
      <c r="H872" s="85"/>
      <c r="I872" s="85"/>
      <c r="J872" s="85"/>
      <c r="K872" s="87"/>
    </row>
    <row r="873" spans="2:11" ht="16" x14ac:dyDescent="0.2">
      <c r="B873" s="81"/>
      <c r="C873" s="211" t="s">
        <v>657</v>
      </c>
      <c r="D873" s="85"/>
      <c r="E873" s="85"/>
      <c r="F873" s="85"/>
      <c r="G873" s="85"/>
      <c r="H873" s="85"/>
      <c r="I873" s="85"/>
      <c r="J873" s="85"/>
      <c r="K873" s="87"/>
    </row>
    <row r="874" spans="2:11" x14ac:dyDescent="0.2">
      <c r="B874" s="81"/>
      <c r="C874" s="85" t="s">
        <v>380</v>
      </c>
      <c r="D874" s="85"/>
      <c r="E874" s="85"/>
      <c r="F874" s="85"/>
      <c r="G874" s="406" t="s">
        <v>234</v>
      </c>
      <c r="H874" s="407"/>
      <c r="I874" s="85"/>
      <c r="J874" s="83">
        <f>IF(G874=$B$998,$A$999,IF(G874=$B$999,$A$1000,IF(G874=$B$1000,$A$1001,IF(G874=$B$1001,$A$1002,IF(G874=$B$1002,$A$1003,"Not Calculated")))))</f>
        <v>4</v>
      </c>
      <c r="K874" s="87"/>
    </row>
    <row r="875" spans="2:11" x14ac:dyDescent="0.2">
      <c r="B875" s="81"/>
      <c r="C875" s="85" t="s">
        <v>134</v>
      </c>
      <c r="D875" s="85"/>
      <c r="E875" s="85"/>
      <c r="F875" s="85"/>
      <c r="G875" s="85"/>
      <c r="H875" s="85"/>
      <c r="I875" s="85"/>
      <c r="J875" s="240">
        <f>'Baseline PHP'!J164</f>
        <v>0</v>
      </c>
      <c r="K875" s="87"/>
    </row>
    <row r="876" spans="2:11" x14ac:dyDescent="0.2">
      <c r="B876" s="81"/>
      <c r="C876" s="85"/>
      <c r="D876" s="85"/>
      <c r="E876" s="85"/>
      <c r="F876" s="85"/>
      <c r="G876" s="85"/>
      <c r="H876" s="85"/>
      <c r="I876" s="85"/>
      <c r="J876" s="85"/>
      <c r="K876" s="87"/>
    </row>
    <row r="877" spans="2:11" ht="16" x14ac:dyDescent="0.2">
      <c r="B877" s="81"/>
      <c r="C877" s="211" t="s">
        <v>650</v>
      </c>
      <c r="D877" s="85"/>
      <c r="E877" s="85"/>
      <c r="F877" s="85"/>
      <c r="G877" s="85"/>
      <c r="H877" s="85"/>
      <c r="I877" s="85"/>
      <c r="J877" s="85"/>
      <c r="K877" s="87"/>
    </row>
    <row r="878" spans="2:11" x14ac:dyDescent="0.2">
      <c r="B878" s="81"/>
      <c r="C878" s="85" t="s">
        <v>380</v>
      </c>
      <c r="D878" s="85"/>
      <c r="E878" s="85"/>
      <c r="F878" s="85"/>
      <c r="G878" s="406" t="s">
        <v>234</v>
      </c>
      <c r="H878" s="407"/>
      <c r="I878" s="85"/>
      <c r="J878" s="83">
        <f>IF(G878=$B$998,$A$999,IF(G878=$B$999,$A$1000,IF(G878=$B$1000,$A$1001,IF(G878=$B$1001,$A$1002,IF(G878=$B$1002,$A$1003,"Not Calculated")))))</f>
        <v>4</v>
      </c>
      <c r="K878" s="87"/>
    </row>
    <row r="879" spans="2:11" x14ac:dyDescent="0.2">
      <c r="B879" s="81"/>
      <c r="C879" s="85" t="s">
        <v>134</v>
      </c>
      <c r="D879" s="85"/>
      <c r="E879" s="85"/>
      <c r="F879" s="85"/>
      <c r="G879" s="85"/>
      <c r="H879" s="85"/>
      <c r="I879" s="85"/>
      <c r="J879" s="240">
        <f>'Baseline PHP'!J180</f>
        <v>0</v>
      </c>
      <c r="K879" s="87"/>
    </row>
    <row r="880" spans="2:11" x14ac:dyDescent="0.2">
      <c r="B880" s="81"/>
      <c r="C880" s="85"/>
      <c r="D880" s="85"/>
      <c r="E880" s="85"/>
      <c r="F880" s="85"/>
      <c r="G880" s="85"/>
      <c r="H880" s="85"/>
      <c r="I880" s="85"/>
      <c r="J880" s="85"/>
      <c r="K880" s="87"/>
    </row>
    <row r="881" spans="2:11" ht="16" x14ac:dyDescent="0.2">
      <c r="B881" s="81"/>
      <c r="C881" s="211" t="s">
        <v>651</v>
      </c>
      <c r="D881" s="85"/>
      <c r="E881" s="85"/>
      <c r="F881" s="85"/>
      <c r="G881" s="85"/>
      <c r="H881" s="85"/>
      <c r="I881" s="85"/>
      <c r="J881" s="85"/>
      <c r="K881" s="87"/>
    </row>
    <row r="882" spans="2:11" x14ac:dyDescent="0.2">
      <c r="B882" s="81"/>
      <c r="C882" s="85" t="s">
        <v>380</v>
      </c>
      <c r="D882" s="85"/>
      <c r="E882" s="85"/>
      <c r="F882" s="85"/>
      <c r="G882" s="406" t="s">
        <v>234</v>
      </c>
      <c r="H882" s="407"/>
      <c r="I882" s="85"/>
      <c r="J882" s="83">
        <f>IF(G882=$B$998,$A$999,IF(G882=$B$999,$A$1000,IF(G882=$B$1000,$A$1001,IF(G882=$B$1001,$A$1002,IF(G882=$B$1002,$A$1003,"Not Calculated")))))</f>
        <v>4</v>
      </c>
      <c r="K882" s="87"/>
    </row>
    <row r="883" spans="2:11" x14ac:dyDescent="0.2">
      <c r="B883" s="81"/>
      <c r="C883" s="85" t="s">
        <v>134</v>
      </c>
      <c r="D883" s="85"/>
      <c r="E883" s="85"/>
      <c r="F883" s="85"/>
      <c r="G883" s="85"/>
      <c r="H883" s="85"/>
      <c r="I883" s="85"/>
      <c r="J883" s="240">
        <f>'Baseline PHP'!J194</f>
        <v>0</v>
      </c>
      <c r="K883" s="87"/>
    </row>
    <row r="884" spans="2:11" x14ac:dyDescent="0.2">
      <c r="B884" s="81"/>
      <c r="C884" s="85"/>
      <c r="D884" s="85"/>
      <c r="E884" s="85"/>
      <c r="F884" s="85"/>
      <c r="G884" s="85"/>
      <c r="H884" s="85"/>
      <c r="I884" s="85"/>
      <c r="J884" s="85"/>
      <c r="K884" s="87"/>
    </row>
    <row r="885" spans="2:11" ht="16" x14ac:dyDescent="0.2">
      <c r="B885" s="81"/>
      <c r="C885" s="211" t="s">
        <v>652</v>
      </c>
      <c r="D885" s="85"/>
      <c r="E885" s="85"/>
      <c r="F885" s="85"/>
      <c r="G885" s="85"/>
      <c r="H885" s="85"/>
      <c r="I885" s="85"/>
      <c r="J885" s="85"/>
      <c r="K885" s="87"/>
    </row>
    <row r="886" spans="2:11" x14ac:dyDescent="0.2">
      <c r="B886" s="81"/>
      <c r="C886" s="85" t="s">
        <v>380</v>
      </c>
      <c r="D886" s="85"/>
      <c r="E886" s="85"/>
      <c r="F886" s="85"/>
      <c r="G886" s="406" t="s">
        <v>234</v>
      </c>
      <c r="H886" s="407"/>
      <c r="I886" s="85"/>
      <c r="J886" s="83">
        <f>IF(G886=$B$998,$A$999,IF(G886=$B$999,$A$1000,IF(G886=$B$1000,$A$1001,IF(G886=$B$1001,$A$1002,IF(G886=$B$1002,$A$1003,"Not Calculated")))))</f>
        <v>4</v>
      </c>
      <c r="K886" s="87"/>
    </row>
    <row r="887" spans="2:11" x14ac:dyDescent="0.2">
      <c r="B887" s="81"/>
      <c r="C887" s="85" t="s">
        <v>134</v>
      </c>
      <c r="D887" s="85"/>
      <c r="E887" s="85"/>
      <c r="F887" s="85"/>
      <c r="G887" s="85"/>
      <c r="H887" s="85"/>
      <c r="I887" s="85"/>
      <c r="J887" s="240">
        <f>'Baseline PHP'!J208</f>
        <v>0</v>
      </c>
      <c r="K887" s="87"/>
    </row>
    <row r="888" spans="2:11" x14ac:dyDescent="0.2">
      <c r="B888" s="81"/>
      <c r="C888" s="85"/>
      <c r="D888" s="85"/>
      <c r="E888" s="85"/>
      <c r="F888" s="85"/>
      <c r="G888" s="85"/>
      <c r="H888" s="85"/>
      <c r="I888" s="85"/>
      <c r="J888" s="85"/>
      <c r="K888" s="87"/>
    </row>
    <row r="889" spans="2:11" ht="16" x14ac:dyDescent="0.2">
      <c r="B889" s="81"/>
      <c r="C889" s="211" t="s">
        <v>653</v>
      </c>
      <c r="D889" s="85"/>
      <c r="E889" s="85"/>
      <c r="F889" s="85"/>
      <c r="G889" s="85"/>
      <c r="H889" s="85"/>
      <c r="I889" s="85"/>
      <c r="J889" s="85"/>
      <c r="K889" s="87"/>
    </row>
    <row r="890" spans="2:11" x14ac:dyDescent="0.2">
      <c r="B890" s="81"/>
      <c r="C890" s="85" t="s">
        <v>380</v>
      </c>
      <c r="D890" s="85"/>
      <c r="E890" s="85"/>
      <c r="F890" s="85"/>
      <c r="G890" s="406" t="s">
        <v>234</v>
      </c>
      <c r="H890" s="407"/>
      <c r="I890" s="85"/>
      <c r="J890" s="83">
        <f>IF(G890=$B$998,$A$999,IF(G890=$B$999,$A$1000,IF(G890=$B$1000,$A$1001,IF(G890=$B$1001,$A$1002,IF(G890=$B$1002,$A$1003,"Not Calculated")))))</f>
        <v>4</v>
      </c>
      <c r="K890" s="87"/>
    </row>
    <row r="891" spans="2:11" x14ac:dyDescent="0.2">
      <c r="B891" s="81"/>
      <c r="C891" s="85" t="s">
        <v>134</v>
      </c>
      <c r="D891" s="85"/>
      <c r="E891" s="85"/>
      <c r="F891" s="85"/>
      <c r="G891" s="85"/>
      <c r="H891" s="85"/>
      <c r="I891" s="85"/>
      <c r="J891" s="240">
        <f>'Baseline PHP'!J222</f>
        <v>0</v>
      </c>
      <c r="K891" s="87"/>
    </row>
    <row r="892" spans="2:11" x14ac:dyDescent="0.2">
      <c r="B892" s="81"/>
      <c r="C892" s="85"/>
      <c r="D892" s="85"/>
      <c r="E892" s="85"/>
      <c r="F892" s="85"/>
      <c r="G892" s="85"/>
      <c r="H892" s="85"/>
      <c r="I892" s="85"/>
      <c r="J892" s="85"/>
      <c r="K892" s="87"/>
    </row>
    <row r="893" spans="2:11" x14ac:dyDescent="0.2">
      <c r="B893" s="81"/>
      <c r="C893" s="85"/>
      <c r="D893" s="85"/>
      <c r="E893" s="85"/>
      <c r="F893" s="85"/>
      <c r="G893" s="85"/>
      <c r="H893" s="85"/>
      <c r="I893" s="85"/>
      <c r="J893" s="85"/>
      <c r="K893" s="87"/>
    </row>
    <row r="894" spans="2:11" ht="16" x14ac:dyDescent="0.2">
      <c r="B894" s="81"/>
      <c r="C894" s="212" t="s">
        <v>813</v>
      </c>
      <c r="D894" s="85"/>
      <c r="E894" s="85"/>
      <c r="F894" s="85"/>
      <c r="G894" s="85"/>
      <c r="H894" s="85"/>
      <c r="I894" s="85"/>
      <c r="J894" s="241">
        <f>IF(OR(J854="Not Calculated",J858="Not Calculated",J862="Not Calculated",J866="Not Calculated",J870="Not Calculated",J874="Not Calculated",J878="Not Calculated",J882="Not Calculated",J886="Not Calculated",J890="Not Calculated",J834="Not Calculated",J838="Not Calculated",J842="Not Calculated",J846="Not Calculated",J850="Not Calculated",J855="Not Calculated",J859="Not Calculated",J863="Not Calculated",J867="Not Calculated",J871="Not Calculated",J875="Not Calculated",J879="Not Calculated",J883="Not Calculated",J887="Not Calculated",J891="Not Calculated",J835="Not Calculated",J839="Not Calculated",J843="Not Calculated",J847="Not Calculated",J851="Not Calculated")=TRUE,"Not Calculated",((J834*J835)+(J838*J839)+(J842*J843)+(J846*J847)+(J850*J851)+(J854*J855)+(J858*J859)+(J862*J863)+(J866*J867)+(J870*J871)+(J874*J875)+(J878*J879)+(J882*J883)+(J886*J887)+(J890*J891))/(J834+J838+J842+J846+J850+J854+J858+J862+J866+J870+J874+J878+J882+J886+J890))</f>
        <v>0</v>
      </c>
      <c r="K894" s="87"/>
    </row>
    <row r="895" spans="2:11" ht="16" thickBot="1" x14ac:dyDescent="0.25">
      <c r="B895" s="213"/>
      <c r="C895" s="94"/>
      <c r="D895" s="94"/>
      <c r="E895" s="94"/>
      <c r="F895" s="94"/>
      <c r="G895" s="94"/>
      <c r="H895" s="94"/>
      <c r="I895" s="94"/>
      <c r="J895" s="94"/>
      <c r="K895" s="96"/>
    </row>
    <row r="896" spans="2:11" ht="16" thickBot="1" x14ac:dyDescent="0.25">
      <c r="C896" s="102"/>
      <c r="D896" s="102"/>
      <c r="E896" s="102"/>
      <c r="F896" s="102"/>
      <c r="G896" s="102"/>
      <c r="H896" s="102"/>
      <c r="I896" s="102"/>
      <c r="J896" s="102"/>
    </row>
    <row r="897" spans="2:11" x14ac:dyDescent="0.2">
      <c r="B897" s="77"/>
      <c r="C897" s="78"/>
      <c r="D897" s="78"/>
      <c r="E897" s="78"/>
      <c r="F897" s="78"/>
      <c r="G897" s="78"/>
      <c r="H897" s="78"/>
      <c r="I897" s="78"/>
      <c r="J897" s="78"/>
      <c r="K897" s="80"/>
    </row>
    <row r="898" spans="2:11" ht="21" x14ac:dyDescent="0.25">
      <c r="B898" s="81"/>
      <c r="C898" s="85"/>
      <c r="D898" s="85"/>
      <c r="E898" s="85"/>
      <c r="F898" s="85"/>
      <c r="G898" s="210" t="s">
        <v>807</v>
      </c>
      <c r="H898" s="85"/>
      <c r="I898" s="85"/>
      <c r="J898" s="85"/>
      <c r="K898" s="87"/>
    </row>
    <row r="899" spans="2:11" x14ac:dyDescent="0.2">
      <c r="B899" s="81"/>
      <c r="C899" s="85"/>
      <c r="D899" s="85"/>
      <c r="E899" s="85"/>
      <c r="F899" s="85"/>
      <c r="G899" s="85"/>
      <c r="H899" s="85"/>
      <c r="I899" s="85"/>
      <c r="J899" s="85"/>
      <c r="K899" s="87"/>
    </row>
    <row r="900" spans="2:11" x14ac:dyDescent="0.2">
      <c r="B900" s="81"/>
      <c r="C900" s="424" t="s">
        <v>809</v>
      </c>
      <c r="D900" s="424"/>
      <c r="E900" s="424"/>
      <c r="F900" s="424"/>
      <c r="G900" s="424"/>
      <c r="H900" s="424"/>
      <c r="I900" s="424"/>
      <c r="J900" s="424"/>
      <c r="K900" s="87"/>
    </row>
    <row r="901" spans="2:11" ht="15" customHeight="1" x14ac:dyDescent="0.2">
      <c r="B901" s="81"/>
      <c r="C901" s="424"/>
      <c r="D901" s="424"/>
      <c r="E901" s="424"/>
      <c r="F901" s="424"/>
      <c r="G901" s="424"/>
      <c r="H901" s="424"/>
      <c r="I901" s="424"/>
      <c r="J901" s="424"/>
      <c r="K901" s="87"/>
    </row>
    <row r="902" spans="2:11" x14ac:dyDescent="0.2">
      <c r="B902" s="81"/>
      <c r="C902" s="85"/>
      <c r="D902" s="85"/>
      <c r="E902" s="85"/>
      <c r="F902" s="85"/>
      <c r="G902" s="85"/>
      <c r="H902" s="85"/>
      <c r="I902" s="85"/>
      <c r="J902" s="85"/>
      <c r="K902" s="87"/>
    </row>
    <row r="903" spans="2:11" ht="16" x14ac:dyDescent="0.2">
      <c r="B903" s="81"/>
      <c r="C903" s="211" t="s">
        <v>810</v>
      </c>
      <c r="D903" s="85"/>
      <c r="E903" s="85"/>
      <c r="F903" s="85"/>
      <c r="G903" s="85"/>
      <c r="H903" s="85"/>
      <c r="I903" s="85"/>
      <c r="J903" s="85"/>
      <c r="K903" s="87"/>
    </row>
    <row r="904" spans="2:11" x14ac:dyDescent="0.2">
      <c r="B904" s="81"/>
      <c r="C904" s="85" t="s">
        <v>380</v>
      </c>
      <c r="D904" s="85"/>
      <c r="E904" s="85"/>
      <c r="F904" s="85"/>
      <c r="G904" s="406" t="s">
        <v>234</v>
      </c>
      <c r="H904" s="407"/>
      <c r="I904" s="85"/>
      <c r="J904" s="83">
        <f>IF(G904=$B$998,$A$999,IF(G904=$B$999,$A$1000,IF(G904=$B$1000,$A$1001,IF(G904=$B$1001,$A$1002,IF(G904=$B$1002,$A$1003,"Not Calculated")))))</f>
        <v>4</v>
      </c>
      <c r="K904" s="87"/>
    </row>
    <row r="905" spans="2:11" x14ac:dyDescent="0.2">
      <c r="B905" s="81"/>
      <c r="C905" s="85" t="s">
        <v>134</v>
      </c>
      <c r="D905" s="85"/>
      <c r="E905" s="85"/>
      <c r="F905" s="85"/>
      <c r="G905" s="85"/>
      <c r="H905" s="85"/>
      <c r="I905" s="85"/>
      <c r="J905" s="240">
        <f>'Baseline HP'!J22</f>
        <v>0</v>
      </c>
      <c r="K905" s="87"/>
    </row>
    <row r="906" spans="2:11" x14ac:dyDescent="0.2">
      <c r="B906" s="81"/>
      <c r="C906" s="85"/>
      <c r="D906" s="85"/>
      <c r="E906" s="85"/>
      <c r="F906" s="85"/>
      <c r="G906" s="85"/>
      <c r="H906" s="85"/>
      <c r="I906" s="85"/>
      <c r="J906" s="85"/>
      <c r="K906" s="87"/>
    </row>
    <row r="907" spans="2:11" ht="16" x14ac:dyDescent="0.2">
      <c r="B907" s="81"/>
      <c r="C907" s="211" t="s">
        <v>811</v>
      </c>
      <c r="D907" s="85"/>
      <c r="E907" s="85"/>
      <c r="F907" s="85"/>
      <c r="G907" s="85"/>
      <c r="H907" s="85"/>
      <c r="I907" s="85"/>
      <c r="J907" s="85"/>
      <c r="K907" s="87"/>
    </row>
    <row r="908" spans="2:11" x14ac:dyDescent="0.2">
      <c r="B908" s="81"/>
      <c r="C908" s="85" t="s">
        <v>380</v>
      </c>
      <c r="D908" s="85"/>
      <c r="E908" s="85"/>
      <c r="F908" s="85"/>
      <c r="G908" s="406" t="s">
        <v>234</v>
      </c>
      <c r="H908" s="407"/>
      <c r="I908" s="85"/>
      <c r="J908" s="83">
        <f>IF(G908=$B$998,$A$999,IF(G908=$B$999,$A$1000,IF(G908=$B$1000,$A$1001,IF(G908=$B$1001,$A$1002,IF(G908=$B$1002,$A$1003,"Not Calculated")))))</f>
        <v>4</v>
      </c>
      <c r="K908" s="87"/>
    </row>
    <row r="909" spans="2:11" x14ac:dyDescent="0.2">
      <c r="B909" s="81"/>
      <c r="C909" s="85" t="s">
        <v>134</v>
      </c>
      <c r="D909" s="85"/>
      <c r="E909" s="85"/>
      <c r="F909" s="85"/>
      <c r="G909" s="85"/>
      <c r="H909" s="85"/>
      <c r="I909" s="85"/>
      <c r="J909" s="240">
        <f>'Baseline HP'!J32</f>
        <v>0</v>
      </c>
      <c r="K909" s="87"/>
    </row>
    <row r="910" spans="2:11" x14ac:dyDescent="0.2">
      <c r="B910" s="81"/>
      <c r="C910" s="85"/>
      <c r="D910" s="85"/>
      <c r="E910" s="85"/>
      <c r="F910" s="85"/>
      <c r="G910" s="85"/>
      <c r="H910" s="85"/>
      <c r="I910" s="85"/>
      <c r="J910" s="85"/>
      <c r="K910" s="87"/>
    </row>
    <row r="911" spans="2:11" ht="16" x14ac:dyDescent="0.2">
      <c r="B911" s="81"/>
      <c r="C911" s="211" t="s">
        <v>645</v>
      </c>
      <c r="D911" s="85"/>
      <c r="E911" s="85"/>
      <c r="F911" s="85"/>
      <c r="G911" s="85"/>
      <c r="H911" s="85"/>
      <c r="I911" s="85"/>
      <c r="J911" s="85"/>
      <c r="K911" s="87"/>
    </row>
    <row r="912" spans="2:11" x14ac:dyDescent="0.2">
      <c r="B912" s="81"/>
      <c r="C912" s="85" t="s">
        <v>380</v>
      </c>
      <c r="D912" s="85"/>
      <c r="E912" s="85"/>
      <c r="F912" s="85"/>
      <c r="G912" s="406" t="s">
        <v>234</v>
      </c>
      <c r="H912" s="407"/>
      <c r="I912" s="85"/>
      <c r="J912" s="83">
        <f>IF(G912=$B$998,$A$999,IF(G912=$B$999,$A$1000,IF(G912=$B$1000,$A$1001,IF(G912=$B$1001,$A$1002,IF(G912=$B$1002,$A$1003,"Not Calculated")))))</f>
        <v>4</v>
      </c>
      <c r="K912" s="87"/>
    </row>
    <row r="913" spans="2:11" x14ac:dyDescent="0.2">
      <c r="B913" s="81"/>
      <c r="C913" s="85" t="s">
        <v>134</v>
      </c>
      <c r="D913" s="85"/>
      <c r="E913" s="85"/>
      <c r="F913" s="85"/>
      <c r="G913" s="85"/>
      <c r="H913" s="85"/>
      <c r="I913" s="85"/>
      <c r="J913" s="240">
        <f>'Baseline HP'!J46</f>
        <v>0</v>
      </c>
      <c r="K913" s="87"/>
    </row>
    <row r="914" spans="2:11" x14ac:dyDescent="0.2">
      <c r="B914" s="81"/>
      <c r="C914" s="85"/>
      <c r="D914" s="85"/>
      <c r="E914" s="85"/>
      <c r="F914" s="85"/>
      <c r="G914" s="85"/>
      <c r="H914" s="85"/>
      <c r="I914" s="85"/>
      <c r="J914" s="85"/>
      <c r="K914" s="87"/>
    </row>
    <row r="915" spans="2:11" ht="16" x14ac:dyDescent="0.2">
      <c r="B915" s="81"/>
      <c r="C915" s="211" t="s">
        <v>648</v>
      </c>
      <c r="D915" s="85"/>
      <c r="E915" s="85"/>
      <c r="F915" s="85"/>
      <c r="G915" s="85"/>
      <c r="H915" s="85"/>
      <c r="I915" s="85"/>
      <c r="J915" s="85"/>
      <c r="K915" s="87"/>
    </row>
    <row r="916" spans="2:11" x14ac:dyDescent="0.2">
      <c r="B916" s="81"/>
      <c r="C916" s="85" t="s">
        <v>380</v>
      </c>
      <c r="D916" s="85"/>
      <c r="E916" s="85"/>
      <c r="F916" s="85"/>
      <c r="G916" s="406" t="s">
        <v>234</v>
      </c>
      <c r="H916" s="407"/>
      <c r="I916" s="85"/>
      <c r="J916" s="83">
        <f>IF(G916=$B$998,$A$999,IF(G916=$B$999,$A$1000,IF(G916=$B$1000,$A$1001,IF(G916=$B$1001,$A$1002,IF(G916=$B$1002,$A$1003,"Not Calculated")))))</f>
        <v>4</v>
      </c>
      <c r="K916" s="87"/>
    </row>
    <row r="917" spans="2:11" x14ac:dyDescent="0.2">
      <c r="B917" s="81"/>
      <c r="C917" s="85" t="s">
        <v>134</v>
      </c>
      <c r="D917" s="85"/>
      <c r="E917" s="85"/>
      <c r="F917" s="85"/>
      <c r="G917" s="85"/>
      <c r="H917" s="85"/>
      <c r="I917" s="85"/>
      <c r="J917" s="240">
        <f>'Baseline HP'!J58</f>
        <v>0</v>
      </c>
      <c r="K917" s="87"/>
    </row>
    <row r="918" spans="2:11" x14ac:dyDescent="0.2">
      <c r="B918" s="81"/>
      <c r="C918" s="85"/>
      <c r="D918" s="85"/>
      <c r="E918" s="85"/>
      <c r="F918" s="85"/>
      <c r="G918" s="85"/>
      <c r="H918" s="85"/>
      <c r="I918" s="85"/>
      <c r="J918" s="85"/>
      <c r="K918" s="87"/>
    </row>
    <row r="919" spans="2:11" ht="16" x14ac:dyDescent="0.2">
      <c r="B919" s="81"/>
      <c r="C919" s="211" t="s">
        <v>647</v>
      </c>
      <c r="D919" s="85"/>
      <c r="E919" s="85"/>
      <c r="F919" s="85"/>
      <c r="G919" s="85"/>
      <c r="H919" s="85"/>
      <c r="I919" s="85"/>
      <c r="J919" s="85"/>
      <c r="K919" s="87"/>
    </row>
    <row r="920" spans="2:11" x14ac:dyDescent="0.2">
      <c r="B920" s="81"/>
      <c r="C920" s="85" t="s">
        <v>380</v>
      </c>
      <c r="D920" s="85"/>
      <c r="E920" s="85"/>
      <c r="F920" s="85"/>
      <c r="G920" s="406" t="s">
        <v>234</v>
      </c>
      <c r="H920" s="407"/>
      <c r="I920" s="85"/>
      <c r="J920" s="83">
        <f>IF(G920=$B$998,$A$999,IF(G920=$B$999,$A$1000,IF(G920=$B$1000,$A$1001,IF(G920=$B$1001,$A$1002,IF(G920=$B$1002,$A$1003,"Not Calculated")))))</f>
        <v>4</v>
      </c>
      <c r="K920" s="87"/>
    </row>
    <row r="921" spans="2:11" x14ac:dyDescent="0.2">
      <c r="B921" s="81"/>
      <c r="C921" s="85" t="s">
        <v>134</v>
      </c>
      <c r="D921" s="85"/>
      <c r="E921" s="85"/>
      <c r="F921" s="85"/>
      <c r="G921" s="85"/>
      <c r="H921" s="85"/>
      <c r="I921" s="85"/>
      <c r="J921" s="240">
        <f>'Baseline HP'!J68</f>
        <v>0</v>
      </c>
      <c r="K921" s="87"/>
    </row>
    <row r="922" spans="2:11" x14ac:dyDescent="0.2">
      <c r="B922" s="81"/>
      <c r="C922" s="85"/>
      <c r="D922" s="85"/>
      <c r="E922" s="85"/>
      <c r="F922" s="85"/>
      <c r="G922" s="85"/>
      <c r="H922" s="85"/>
      <c r="I922" s="85"/>
      <c r="J922" s="85"/>
      <c r="K922" s="87"/>
    </row>
    <row r="923" spans="2:11" ht="16" x14ac:dyDescent="0.2">
      <c r="B923" s="81"/>
      <c r="C923" s="211" t="s">
        <v>121</v>
      </c>
      <c r="D923" s="85"/>
      <c r="E923" s="85"/>
      <c r="F923" s="85"/>
      <c r="G923" s="85"/>
      <c r="H923" s="85"/>
      <c r="I923" s="85"/>
      <c r="J923" s="85"/>
      <c r="K923" s="87"/>
    </row>
    <row r="924" spans="2:11" x14ac:dyDescent="0.2">
      <c r="B924" s="81"/>
      <c r="C924" s="85" t="s">
        <v>380</v>
      </c>
      <c r="D924" s="85"/>
      <c r="E924" s="85"/>
      <c r="F924" s="85"/>
      <c r="G924" s="406" t="s">
        <v>234</v>
      </c>
      <c r="H924" s="407"/>
      <c r="I924" s="85"/>
      <c r="J924" s="83">
        <f>IF(G924=$B$998,$A$999,IF(G924=$B$999,$A$1000,IF(G924=$B$1000,$A$1001,IF(G924=$B$1001,$A$1002,IF(G924=$B$1002,$A$1003,"Not Calculated")))))</f>
        <v>4</v>
      </c>
      <c r="K924" s="87"/>
    </row>
    <row r="925" spans="2:11" x14ac:dyDescent="0.2">
      <c r="B925" s="81"/>
      <c r="C925" s="85" t="s">
        <v>134</v>
      </c>
      <c r="D925" s="85"/>
      <c r="E925" s="85"/>
      <c r="F925" s="85"/>
      <c r="G925" s="85"/>
      <c r="H925" s="85"/>
      <c r="I925" s="85"/>
      <c r="J925" s="240">
        <f>'Baseline HP'!J84</f>
        <v>0</v>
      </c>
      <c r="K925" s="87"/>
    </row>
    <row r="926" spans="2:11" x14ac:dyDescent="0.2">
      <c r="B926" s="81"/>
      <c r="C926" s="85"/>
      <c r="D926" s="85"/>
      <c r="E926" s="85"/>
      <c r="F926" s="85"/>
      <c r="G926" s="85"/>
      <c r="H926" s="85"/>
      <c r="I926" s="85"/>
      <c r="J926" s="85"/>
      <c r="K926" s="87"/>
    </row>
    <row r="927" spans="2:11" ht="16" x14ac:dyDescent="0.2">
      <c r="B927" s="81"/>
      <c r="C927" s="211" t="s">
        <v>652</v>
      </c>
      <c r="D927" s="85"/>
      <c r="E927" s="85"/>
      <c r="F927" s="85"/>
      <c r="G927" s="85"/>
      <c r="H927" s="85"/>
      <c r="I927" s="85"/>
      <c r="J927" s="85"/>
      <c r="K927" s="87"/>
    </row>
    <row r="928" spans="2:11" x14ac:dyDescent="0.2">
      <c r="B928" s="81"/>
      <c r="C928" s="85" t="s">
        <v>380</v>
      </c>
      <c r="D928" s="85"/>
      <c r="E928" s="85"/>
      <c r="F928" s="85"/>
      <c r="G928" s="406" t="s">
        <v>234</v>
      </c>
      <c r="H928" s="407"/>
      <c r="I928" s="85"/>
      <c r="J928" s="83">
        <f>IF(G928=$B$998,$A$999,IF(G928=$B$999,$A$1000,IF(G928=$B$1000,$A$1001,IF(G928=$B$1001,$A$1002,IF(G928=$B$1002,$A$1003,"Not Calculated")))))</f>
        <v>4</v>
      </c>
      <c r="K928" s="87"/>
    </row>
    <row r="929" spans="2:11" x14ac:dyDescent="0.2">
      <c r="B929" s="81"/>
      <c r="C929" s="85" t="s">
        <v>134</v>
      </c>
      <c r="D929" s="85"/>
      <c r="E929" s="85"/>
      <c r="F929" s="85"/>
      <c r="G929" s="85"/>
      <c r="H929" s="85"/>
      <c r="I929" s="85"/>
      <c r="J929" s="240">
        <f>'Baseline HP'!J94</f>
        <v>0</v>
      </c>
      <c r="K929" s="87"/>
    </row>
    <row r="930" spans="2:11" x14ac:dyDescent="0.2">
      <c r="B930" s="81"/>
      <c r="C930" s="85"/>
      <c r="D930" s="85"/>
      <c r="E930" s="85"/>
      <c r="F930" s="85"/>
      <c r="G930" s="85"/>
      <c r="H930" s="85"/>
      <c r="I930" s="85"/>
      <c r="J930" s="85"/>
      <c r="K930" s="87"/>
    </row>
    <row r="931" spans="2:11" ht="16" x14ac:dyDescent="0.2">
      <c r="B931" s="81"/>
      <c r="C931" s="211" t="s">
        <v>653</v>
      </c>
      <c r="D931" s="85"/>
      <c r="E931" s="85"/>
      <c r="F931" s="85"/>
      <c r="G931" s="85"/>
      <c r="H931" s="85"/>
      <c r="I931" s="85"/>
      <c r="J931" s="85"/>
      <c r="K931" s="87"/>
    </row>
    <row r="932" spans="2:11" x14ac:dyDescent="0.2">
      <c r="B932" s="81"/>
      <c r="C932" s="85" t="s">
        <v>380</v>
      </c>
      <c r="D932" s="85"/>
      <c r="E932" s="85"/>
      <c r="F932" s="85"/>
      <c r="G932" s="406" t="s">
        <v>234</v>
      </c>
      <c r="H932" s="407"/>
      <c r="I932" s="85"/>
      <c r="J932" s="83">
        <f>IF(G932=$B$998,$A$999,IF(G932=$B$999,$A$1000,IF(G932=$B$1000,$A$1001,IF(G932=$B$1001,$A$1002,IF(G932=$B$1002,$A$1003,"Not Calculated")))))</f>
        <v>4</v>
      </c>
      <c r="K932" s="87"/>
    </row>
    <row r="933" spans="2:11" x14ac:dyDescent="0.2">
      <c r="B933" s="81"/>
      <c r="C933" s="85" t="s">
        <v>134</v>
      </c>
      <c r="D933" s="85"/>
      <c r="E933" s="85"/>
      <c r="F933" s="85"/>
      <c r="G933" s="85"/>
      <c r="H933" s="85"/>
      <c r="I933" s="85"/>
      <c r="J933" s="240">
        <f>'Baseline HP'!J108</f>
        <v>0</v>
      </c>
      <c r="K933" s="87"/>
    </row>
    <row r="934" spans="2:11" x14ac:dyDescent="0.2">
      <c r="B934" s="81"/>
      <c r="C934" s="85"/>
      <c r="D934" s="85"/>
      <c r="E934" s="85"/>
      <c r="F934" s="85"/>
      <c r="G934" s="85"/>
      <c r="H934" s="85"/>
      <c r="I934" s="85"/>
      <c r="J934" s="85"/>
      <c r="K934" s="87"/>
    </row>
    <row r="935" spans="2:11" x14ac:dyDescent="0.2">
      <c r="B935" s="81"/>
      <c r="C935" s="85"/>
      <c r="D935" s="85"/>
      <c r="E935" s="85"/>
      <c r="F935" s="85"/>
      <c r="G935" s="85"/>
      <c r="H935" s="85"/>
      <c r="I935" s="85"/>
      <c r="J935" s="85"/>
      <c r="K935" s="87"/>
    </row>
    <row r="936" spans="2:11" ht="16" x14ac:dyDescent="0.2">
      <c r="B936" s="81"/>
      <c r="C936" s="212" t="s">
        <v>812</v>
      </c>
      <c r="D936" s="85"/>
      <c r="E936" s="85"/>
      <c r="F936" s="85"/>
      <c r="G936" s="85"/>
      <c r="H936" s="85"/>
      <c r="I936" s="85"/>
      <c r="J936" s="241">
        <f>IF(OR(J920="Not Calculated",J924="Not Calculated",J928="Not Calculated",J932="Not Calculated",J904="Not Calculated",J908="Not Calculated",J912="Not Calculated",J916="Not Calculated",J921="Not Calculated",J925="Not Calculated",J929="Not Calculated",J933="Not Calculated",J905="Not Calculated",J909="Not Calculated",J913="Not Calculated",J917="Not Calculated")=TRUE,"Not Calculated",((J904*J905)+(J908*J909)+(J912*J913)+(J916*J917)+(J920*J921)+(J924*J925)+(J928*J929)+(J932*J933))/(J904+J908+J912+J916+J920+J924+J928+J932))</f>
        <v>0</v>
      </c>
      <c r="K936" s="87"/>
    </row>
    <row r="937" spans="2:11" ht="16" thickBot="1" x14ac:dyDescent="0.25">
      <c r="B937" s="213"/>
      <c r="C937" s="94"/>
      <c r="D937" s="94"/>
      <c r="E937" s="94"/>
      <c r="F937" s="94"/>
      <c r="G937" s="94"/>
      <c r="H937" s="94"/>
      <c r="I937" s="94"/>
      <c r="J937" s="94"/>
      <c r="K937" s="96"/>
    </row>
    <row r="938" spans="2:11" ht="16" thickBot="1" x14ac:dyDescent="0.25"/>
    <row r="939" spans="2:11" x14ac:dyDescent="0.2">
      <c r="B939" s="77"/>
      <c r="C939" s="78"/>
      <c r="D939" s="78"/>
      <c r="E939" s="78"/>
      <c r="F939" s="78"/>
      <c r="G939" s="78"/>
      <c r="H939" s="78"/>
      <c r="I939" s="78"/>
      <c r="J939" s="78"/>
      <c r="K939" s="80"/>
    </row>
    <row r="940" spans="2:11" ht="21" x14ac:dyDescent="0.25">
      <c r="B940" s="81"/>
      <c r="C940" s="85"/>
      <c r="D940" s="85"/>
      <c r="E940" s="85"/>
      <c r="F940" s="85"/>
      <c r="G940" s="210" t="s">
        <v>815</v>
      </c>
      <c r="H940" s="85"/>
      <c r="I940" s="85"/>
      <c r="J940" s="85"/>
      <c r="K940" s="87"/>
    </row>
    <row r="941" spans="2:11" ht="21" x14ac:dyDescent="0.25">
      <c r="B941" s="81"/>
      <c r="C941" s="85"/>
      <c r="D941" s="85"/>
      <c r="E941" s="85"/>
      <c r="F941" s="85"/>
      <c r="G941" s="210"/>
      <c r="H941" s="85"/>
      <c r="I941" s="85"/>
      <c r="J941" s="85"/>
      <c r="K941" s="87"/>
    </row>
    <row r="942" spans="2:11" ht="16" x14ac:dyDescent="0.2">
      <c r="B942" s="81"/>
      <c r="C942" s="212" t="s">
        <v>995</v>
      </c>
      <c r="D942" s="85"/>
      <c r="E942" s="85"/>
      <c r="F942" s="85"/>
      <c r="G942" s="85"/>
      <c r="H942" s="85"/>
      <c r="I942" s="85"/>
      <c r="J942" s="241">
        <f>IF(OR(J936="Not Calculated",J894="Not Calculated")=TRUE,"Not Calculated",AVERAGE(J936,J894))</f>
        <v>0</v>
      </c>
      <c r="K942" s="87"/>
    </row>
    <row r="943" spans="2:11" ht="16" x14ac:dyDescent="0.2">
      <c r="B943" s="81"/>
      <c r="C943" s="212"/>
      <c r="D943" s="85" t="s">
        <v>814</v>
      </c>
      <c r="E943" s="85"/>
      <c r="F943" s="85"/>
      <c r="G943" s="85"/>
      <c r="H943" s="85"/>
      <c r="I943" s="85"/>
      <c r="J943" s="241"/>
      <c r="K943" s="87"/>
    </row>
    <row r="944" spans="2:11" ht="17" thickBot="1" x14ac:dyDescent="0.25">
      <c r="B944" s="213"/>
      <c r="C944" s="227"/>
      <c r="D944" s="94"/>
      <c r="E944" s="94"/>
      <c r="F944" s="94"/>
      <c r="G944" s="94"/>
      <c r="H944" s="94"/>
      <c r="I944" s="94"/>
      <c r="J944" s="228"/>
      <c r="K944" s="96"/>
    </row>
    <row r="945" spans="2:11" ht="16" thickBot="1" x14ac:dyDescent="0.25"/>
    <row r="946" spans="2:11" x14ac:dyDescent="0.2">
      <c r="B946" s="214"/>
      <c r="C946" s="215"/>
      <c r="D946" s="215"/>
      <c r="E946" s="215"/>
      <c r="F946" s="215"/>
      <c r="G946" s="215"/>
      <c r="H946" s="215"/>
      <c r="I946" s="215"/>
      <c r="J946" s="215"/>
      <c r="K946" s="216"/>
    </row>
    <row r="947" spans="2:11" ht="21" x14ac:dyDescent="0.25">
      <c r="B947" s="217"/>
      <c r="C947" s="218"/>
      <c r="D947" s="218"/>
      <c r="E947" s="218"/>
      <c r="F947" s="218"/>
      <c r="G947" s="219" t="s">
        <v>239</v>
      </c>
      <c r="H947" s="218"/>
      <c r="I947" s="218"/>
      <c r="J947" s="218"/>
      <c r="K947" s="220"/>
    </row>
    <row r="948" spans="2:11" x14ac:dyDescent="0.2">
      <c r="B948" s="217"/>
      <c r="C948" s="218"/>
      <c r="D948" s="218"/>
      <c r="E948" s="218"/>
      <c r="F948" s="218"/>
      <c r="G948" s="218"/>
      <c r="H948" s="218"/>
      <c r="I948" s="218"/>
      <c r="J948" s="218"/>
      <c r="K948" s="220"/>
    </row>
    <row r="949" spans="2:11" ht="16" x14ac:dyDescent="0.2">
      <c r="B949" s="217"/>
      <c r="C949" s="221" t="s">
        <v>393</v>
      </c>
      <c r="D949" s="218"/>
      <c r="E949" s="218"/>
      <c r="F949" s="218"/>
      <c r="G949" s="218"/>
      <c r="H949" s="218"/>
      <c r="I949" s="218"/>
      <c r="J949" s="242" t="str">
        <f>IF(OR(J817="Not Calculated",J942="Not Calculated")=TRUE,"Not Calculated",J817/J942)</f>
        <v>Not Calculated</v>
      </c>
      <c r="K949" s="220"/>
    </row>
    <row r="950" spans="2:11" x14ac:dyDescent="0.2">
      <c r="B950" s="217"/>
      <c r="C950" s="218"/>
      <c r="D950" s="218" t="s">
        <v>816</v>
      </c>
      <c r="E950" s="218"/>
      <c r="F950" s="218"/>
      <c r="G950" s="218"/>
      <c r="H950" s="218"/>
      <c r="I950" s="218"/>
      <c r="J950" s="218"/>
      <c r="K950" s="220"/>
    </row>
    <row r="951" spans="2:11" x14ac:dyDescent="0.2">
      <c r="B951" s="217"/>
      <c r="C951" s="218"/>
      <c r="D951" s="218"/>
      <c r="E951" s="218"/>
      <c r="F951" s="218"/>
      <c r="G951" s="218"/>
      <c r="H951" s="218"/>
      <c r="I951" s="218"/>
      <c r="J951" s="218"/>
      <c r="K951" s="220"/>
    </row>
    <row r="952" spans="2:11" ht="16" x14ac:dyDescent="0.2">
      <c r="B952" s="217"/>
      <c r="C952" s="221" t="s">
        <v>996</v>
      </c>
      <c r="D952" s="218"/>
      <c r="E952" s="218"/>
      <c r="F952" s="218"/>
      <c r="G952" s="218"/>
      <c r="H952" s="218"/>
      <c r="I952" s="218"/>
      <c r="J952" s="242" t="str">
        <f>IF(OR(J820="Not Calculated",J894="Not Calculated")=TRUE,"Not Calculated",J820/J894)</f>
        <v>Not Calculated</v>
      </c>
      <c r="K952" s="220"/>
    </row>
    <row r="953" spans="2:11" x14ac:dyDescent="0.2">
      <c r="B953" s="217"/>
      <c r="C953" s="218"/>
      <c r="D953" s="218" t="s">
        <v>817</v>
      </c>
      <c r="E953" s="218"/>
      <c r="F953" s="218"/>
      <c r="G953" s="218"/>
      <c r="H953" s="218"/>
      <c r="I953" s="218"/>
      <c r="J953" s="218"/>
      <c r="K953" s="220"/>
    </row>
    <row r="954" spans="2:11" x14ac:dyDescent="0.2">
      <c r="B954" s="217"/>
      <c r="C954" s="218"/>
      <c r="D954" s="218"/>
      <c r="E954" s="218"/>
      <c r="F954" s="218"/>
      <c r="G954" s="218"/>
      <c r="H954" s="218"/>
      <c r="I954" s="218"/>
      <c r="J954" s="218"/>
      <c r="K954" s="220"/>
    </row>
    <row r="955" spans="2:11" ht="16" x14ac:dyDescent="0.2">
      <c r="B955" s="217"/>
      <c r="C955" s="221" t="s">
        <v>997</v>
      </c>
      <c r="D955" s="218"/>
      <c r="E955" s="218"/>
      <c r="F955" s="218"/>
      <c r="G955" s="218"/>
      <c r="H955" s="218"/>
      <c r="I955" s="218"/>
      <c r="J955" s="242" t="str">
        <f>IF(OR(J936="Not Calculated",J823="Not Calculated")=TRUE,"Not Calculated",J823/J936)</f>
        <v>Not Calculated</v>
      </c>
      <c r="K955" s="220"/>
    </row>
    <row r="956" spans="2:11" x14ac:dyDescent="0.2">
      <c r="B956" s="217"/>
      <c r="C956" s="218"/>
      <c r="D956" s="218" t="s">
        <v>818</v>
      </c>
      <c r="E956" s="218"/>
      <c r="F956" s="218"/>
      <c r="G956" s="218"/>
      <c r="H956" s="218"/>
      <c r="I956" s="218"/>
      <c r="J956" s="218"/>
      <c r="K956" s="220"/>
    </row>
    <row r="957" spans="2:11" ht="16" thickBot="1" x14ac:dyDescent="0.25">
      <c r="B957" s="222"/>
      <c r="C957" s="223"/>
      <c r="D957" s="223"/>
      <c r="E957" s="223"/>
      <c r="F957" s="223"/>
      <c r="G957" s="223"/>
      <c r="H957" s="223"/>
      <c r="I957" s="223"/>
      <c r="J957" s="223"/>
      <c r="K957" s="224"/>
    </row>
    <row r="959" spans="2:11" x14ac:dyDescent="0.2">
      <c r="F959" s="405"/>
      <c r="G959" s="405"/>
      <c r="H959" s="405"/>
    </row>
    <row r="960" spans="2:11" x14ac:dyDescent="0.2">
      <c r="F960" s="405"/>
      <c r="G960" s="405"/>
      <c r="H960" s="405"/>
    </row>
    <row r="966" spans="1:3" ht="15" hidden="1" customHeight="1" x14ac:dyDescent="0.2">
      <c r="A966" s="12" t="s">
        <v>228</v>
      </c>
      <c r="B966" s="12" t="s">
        <v>250</v>
      </c>
      <c r="C966" s="12" t="s">
        <v>240</v>
      </c>
    </row>
    <row r="967" spans="1:3" ht="15" hidden="1" customHeight="1" x14ac:dyDescent="0.2">
      <c r="A967" s="12">
        <v>0</v>
      </c>
      <c r="B967" s="12" t="s">
        <v>251</v>
      </c>
      <c r="C967" s="12" t="s">
        <v>241</v>
      </c>
    </row>
    <row r="968" spans="1:3" ht="15" hidden="1" customHeight="1" x14ac:dyDescent="0.2">
      <c r="A968" s="12">
        <v>1</v>
      </c>
      <c r="B968" s="12" t="s">
        <v>252</v>
      </c>
      <c r="C968" s="12" t="s">
        <v>242</v>
      </c>
    </row>
    <row r="969" spans="1:3" ht="15" hidden="1" customHeight="1" x14ac:dyDescent="0.2">
      <c r="A969" s="12">
        <v>2</v>
      </c>
      <c r="B969" s="12" t="s">
        <v>253</v>
      </c>
      <c r="C969" s="12" t="s">
        <v>227</v>
      </c>
    </row>
    <row r="970" spans="1:3" ht="15" hidden="1" customHeight="1" x14ac:dyDescent="0.2">
      <c r="A970" s="12">
        <v>3</v>
      </c>
      <c r="B970" s="12" t="s">
        <v>254</v>
      </c>
      <c r="C970" s="12" t="s">
        <v>243</v>
      </c>
    </row>
    <row r="971" spans="1:3" ht="15" hidden="1" customHeight="1" x14ac:dyDescent="0.2">
      <c r="A971" s="12">
        <v>4</v>
      </c>
    </row>
    <row r="972" spans="1:3" ht="15" hidden="1" customHeight="1" x14ac:dyDescent="0.2"/>
    <row r="973" spans="1:3" ht="15" hidden="1" customHeight="1" x14ac:dyDescent="0.2">
      <c r="A973" s="12" t="s">
        <v>259</v>
      </c>
      <c r="B973" s="225" t="s">
        <v>870</v>
      </c>
    </row>
    <row r="974" spans="1:3" ht="15" hidden="1" customHeight="1" x14ac:dyDescent="0.2">
      <c r="A974" s="12">
        <v>0</v>
      </c>
      <c r="B974" s="12" t="s">
        <v>880</v>
      </c>
    </row>
    <row r="975" spans="1:3" ht="15" hidden="1" customHeight="1" x14ac:dyDescent="0.2">
      <c r="A975" s="12">
        <v>1</v>
      </c>
      <c r="B975" s="12" t="s">
        <v>872</v>
      </c>
    </row>
    <row r="976" spans="1:3" ht="15" hidden="1" customHeight="1" x14ac:dyDescent="0.2">
      <c r="A976" s="12">
        <v>2</v>
      </c>
      <c r="B976" s="12" t="s">
        <v>873</v>
      </c>
    </row>
    <row r="977" spans="1:2" ht="15" hidden="1" customHeight="1" x14ac:dyDescent="0.2">
      <c r="A977" s="12">
        <v>3</v>
      </c>
      <c r="B977" s="12" t="s">
        <v>874</v>
      </c>
    </row>
    <row r="978" spans="1:2" ht="15" hidden="1" customHeight="1" x14ac:dyDescent="0.2">
      <c r="A978" s="12">
        <v>4</v>
      </c>
    </row>
    <row r="979" spans="1:2" ht="15" hidden="1" customHeight="1" x14ac:dyDescent="0.2"/>
    <row r="980" spans="1:2" ht="15" hidden="1" customHeight="1" x14ac:dyDescent="0.2">
      <c r="A980" s="12" t="s">
        <v>294</v>
      </c>
      <c r="B980" s="225" t="s">
        <v>870</v>
      </c>
    </row>
    <row r="981" spans="1:2" ht="15" hidden="1" customHeight="1" x14ac:dyDescent="0.2">
      <c r="A981" s="12">
        <v>0</v>
      </c>
      <c r="B981" s="12" t="s">
        <v>875</v>
      </c>
    </row>
    <row r="982" spans="1:2" ht="15" hidden="1" customHeight="1" x14ac:dyDescent="0.2">
      <c r="A982" s="12">
        <v>1</v>
      </c>
      <c r="B982" s="12" t="s">
        <v>876</v>
      </c>
    </row>
    <row r="983" spans="1:2" ht="15" hidden="1" customHeight="1" x14ac:dyDescent="0.2">
      <c r="A983" s="12">
        <v>2</v>
      </c>
      <c r="B983" s="12" t="s">
        <v>877</v>
      </c>
    </row>
    <row r="984" spans="1:2" ht="15" hidden="1" customHeight="1" x14ac:dyDescent="0.2">
      <c r="A984" s="12">
        <v>3</v>
      </c>
      <c r="B984" s="12" t="s">
        <v>878</v>
      </c>
    </row>
    <row r="985" spans="1:2" ht="15" hidden="1" customHeight="1" x14ac:dyDescent="0.2">
      <c r="A985" s="12">
        <v>4</v>
      </c>
    </row>
    <row r="986" spans="1:2" ht="15" hidden="1" customHeight="1" x14ac:dyDescent="0.2"/>
    <row r="987" spans="1:2" ht="15" hidden="1" customHeight="1" x14ac:dyDescent="0.2">
      <c r="A987" s="12" t="s">
        <v>244</v>
      </c>
      <c r="B987" s="12" t="s">
        <v>245</v>
      </c>
    </row>
    <row r="988" spans="1:2" ht="15" hidden="1" customHeight="1" x14ac:dyDescent="0.2">
      <c r="A988" s="12">
        <v>0</v>
      </c>
      <c r="B988" s="12" t="s">
        <v>246</v>
      </c>
    </row>
    <row r="989" spans="1:2" ht="15" hidden="1" customHeight="1" x14ac:dyDescent="0.2">
      <c r="A989" s="12">
        <v>1</v>
      </c>
      <c r="B989" s="12" t="s">
        <v>247</v>
      </c>
    </row>
    <row r="990" spans="1:2" ht="15" hidden="1" customHeight="1" x14ac:dyDescent="0.2">
      <c r="A990" s="12">
        <v>2</v>
      </c>
      <c r="B990" s="12" t="s">
        <v>229</v>
      </c>
    </row>
    <row r="991" spans="1:2" ht="15" hidden="1" customHeight="1" x14ac:dyDescent="0.2">
      <c r="A991" s="12">
        <v>3</v>
      </c>
      <c r="B991" s="12" t="s">
        <v>248</v>
      </c>
    </row>
    <row r="992" spans="1:2" ht="15" hidden="1" customHeight="1" x14ac:dyDescent="0.2">
      <c r="A992" s="12">
        <v>4</v>
      </c>
    </row>
    <row r="993" spans="1:11" ht="15" hidden="1" customHeight="1" x14ac:dyDescent="0.2"/>
    <row r="994" spans="1:11" ht="15" hidden="1" customHeight="1" x14ac:dyDescent="0.2">
      <c r="A994" s="12" t="s">
        <v>381</v>
      </c>
      <c r="B994" s="12" t="s">
        <v>202</v>
      </c>
    </row>
    <row r="995" spans="1:11" ht="15" hidden="1" customHeight="1" x14ac:dyDescent="0.2">
      <c r="A995" s="12">
        <v>0</v>
      </c>
      <c r="B995" s="12" t="s">
        <v>190</v>
      </c>
    </row>
    <row r="996" spans="1:11" ht="15" hidden="1" customHeight="1" x14ac:dyDescent="0.2">
      <c r="A996" s="12">
        <v>1</v>
      </c>
    </row>
    <row r="997" spans="1:11" ht="15" hidden="1" customHeight="1" x14ac:dyDescent="0.2"/>
    <row r="998" spans="1:11" ht="15" hidden="1" customHeight="1" x14ac:dyDescent="0.2">
      <c r="A998" s="12" t="s">
        <v>249</v>
      </c>
      <c r="B998" s="12" t="s">
        <v>236</v>
      </c>
    </row>
    <row r="999" spans="1:11" ht="15" hidden="1" customHeight="1" x14ac:dyDescent="0.2">
      <c r="A999" s="12">
        <v>0</v>
      </c>
      <c r="B999" s="12" t="s">
        <v>237</v>
      </c>
    </row>
    <row r="1000" spans="1:11" ht="15" hidden="1" customHeight="1" x14ac:dyDescent="0.2">
      <c r="A1000" s="12">
        <v>1</v>
      </c>
      <c r="B1000" s="12" t="s">
        <v>235</v>
      </c>
    </row>
    <row r="1001" spans="1:11" ht="15" hidden="1" customHeight="1" x14ac:dyDescent="0.2">
      <c r="A1001" s="12">
        <v>2</v>
      </c>
      <c r="B1001" s="12" t="s">
        <v>238</v>
      </c>
    </row>
    <row r="1002" spans="1:11" ht="15" hidden="1" customHeight="1" x14ac:dyDescent="0.2">
      <c r="A1002" s="12">
        <v>3</v>
      </c>
      <c r="B1002" s="12" t="s">
        <v>234</v>
      </c>
    </row>
    <row r="1003" spans="1:11" ht="15" hidden="1" customHeight="1" x14ac:dyDescent="0.2">
      <c r="A1003" s="12">
        <v>4</v>
      </c>
      <c r="B1003" s="12" t="s">
        <v>685</v>
      </c>
    </row>
    <row r="1004" spans="1:11" x14ac:dyDescent="0.2">
      <c r="B1004" s="402" t="s">
        <v>693</v>
      </c>
      <c r="C1004" s="403"/>
      <c r="D1004" s="403"/>
      <c r="E1004" s="403"/>
      <c r="F1004" s="403"/>
      <c r="G1004" s="403"/>
      <c r="H1004" s="403"/>
      <c r="I1004" s="403"/>
      <c r="J1004" s="403"/>
      <c r="K1004" s="404"/>
    </row>
    <row r="1005" spans="1:11" ht="30" customHeight="1" x14ac:dyDescent="0.2">
      <c r="B1005" s="396"/>
      <c r="C1005" s="397"/>
      <c r="D1005" s="397"/>
      <c r="E1005" s="397"/>
      <c r="F1005" s="397"/>
      <c r="G1005" s="397"/>
      <c r="H1005" s="397"/>
      <c r="I1005" s="397"/>
      <c r="J1005" s="397"/>
      <c r="K1005" s="398"/>
    </row>
    <row r="1006" spans="1:11" ht="15" customHeight="1" x14ac:dyDescent="0.2">
      <c r="B1006" s="396" t="s">
        <v>695</v>
      </c>
      <c r="C1006" s="397"/>
      <c r="D1006" s="397"/>
      <c r="E1006" s="397"/>
      <c r="F1006" s="397"/>
      <c r="G1006" s="397"/>
      <c r="H1006" s="397"/>
      <c r="I1006" s="397"/>
      <c r="J1006" s="397"/>
      <c r="K1006" s="398"/>
    </row>
    <row r="1007" spans="1:11" ht="15" customHeight="1" x14ac:dyDescent="0.2">
      <c r="B1007" s="396"/>
      <c r="C1007" s="397"/>
      <c r="D1007" s="397"/>
      <c r="E1007" s="397"/>
      <c r="F1007" s="397"/>
      <c r="G1007" s="397"/>
      <c r="H1007" s="397"/>
      <c r="I1007" s="397"/>
      <c r="J1007" s="397"/>
      <c r="K1007" s="398"/>
    </row>
    <row r="1008" spans="1:11" ht="15" customHeight="1" x14ac:dyDescent="0.2">
      <c r="B1008" s="396" t="s">
        <v>689</v>
      </c>
      <c r="C1008" s="397"/>
      <c r="D1008" s="397"/>
      <c r="E1008" s="397"/>
      <c r="F1008" s="397"/>
      <c r="G1008" s="397"/>
      <c r="H1008" s="397"/>
      <c r="I1008" s="397"/>
      <c r="J1008" s="397"/>
      <c r="K1008" s="398"/>
    </row>
    <row r="1009" spans="2:11" ht="30" customHeight="1" x14ac:dyDescent="0.2">
      <c r="B1009" s="396"/>
      <c r="C1009" s="397"/>
      <c r="D1009" s="397"/>
      <c r="E1009" s="397"/>
      <c r="F1009" s="397"/>
      <c r="G1009" s="397"/>
      <c r="H1009" s="397"/>
      <c r="I1009" s="397"/>
      <c r="J1009" s="397"/>
      <c r="K1009" s="398"/>
    </row>
    <row r="1010" spans="2:11" ht="15" customHeight="1" x14ac:dyDescent="0.2">
      <c r="B1010" s="396" t="s">
        <v>696</v>
      </c>
      <c r="C1010" s="397"/>
      <c r="D1010" s="397"/>
      <c r="E1010" s="397"/>
      <c r="F1010" s="397"/>
      <c r="G1010" s="397"/>
      <c r="H1010" s="397"/>
      <c r="I1010" s="397"/>
      <c r="J1010" s="397"/>
      <c r="K1010" s="398"/>
    </row>
    <row r="1011" spans="2:11" ht="30" customHeight="1" x14ac:dyDescent="0.2">
      <c r="B1011" s="396"/>
      <c r="C1011" s="397"/>
      <c r="D1011" s="397"/>
      <c r="E1011" s="397"/>
      <c r="F1011" s="397"/>
      <c r="G1011" s="397"/>
      <c r="H1011" s="397"/>
      <c r="I1011" s="397"/>
      <c r="J1011" s="397"/>
      <c r="K1011" s="398"/>
    </row>
    <row r="1012" spans="2:11" ht="15" customHeight="1" x14ac:dyDescent="0.2">
      <c r="B1012" s="396" t="s">
        <v>697</v>
      </c>
      <c r="C1012" s="397"/>
      <c r="D1012" s="397"/>
      <c r="E1012" s="397"/>
      <c r="F1012" s="397"/>
      <c r="G1012" s="397"/>
      <c r="H1012" s="397"/>
      <c r="I1012" s="397"/>
      <c r="J1012" s="397"/>
      <c r="K1012" s="398"/>
    </row>
    <row r="1013" spans="2:11" ht="30" customHeight="1" x14ac:dyDescent="0.2">
      <c r="B1013" s="396"/>
      <c r="C1013" s="397"/>
      <c r="D1013" s="397"/>
      <c r="E1013" s="397"/>
      <c r="F1013" s="397"/>
      <c r="G1013" s="397"/>
      <c r="H1013" s="397"/>
      <c r="I1013" s="397"/>
      <c r="J1013" s="397"/>
      <c r="K1013" s="398"/>
    </row>
    <row r="1014" spans="2:11" ht="15" customHeight="1" x14ac:dyDescent="0.2">
      <c r="B1014" s="396"/>
      <c r="C1014" s="397"/>
      <c r="D1014" s="397"/>
      <c r="E1014" s="397"/>
      <c r="F1014" s="397"/>
      <c r="G1014" s="397"/>
      <c r="H1014" s="397"/>
      <c r="I1014" s="397"/>
      <c r="J1014" s="397"/>
      <c r="K1014" s="398"/>
    </row>
    <row r="1015" spans="2:11" ht="15" customHeight="1" x14ac:dyDescent="0.2">
      <c r="B1015" s="396"/>
      <c r="C1015" s="397"/>
      <c r="D1015" s="397"/>
      <c r="E1015" s="397"/>
      <c r="F1015" s="397"/>
      <c r="G1015" s="397"/>
      <c r="H1015" s="397"/>
      <c r="I1015" s="397"/>
      <c r="J1015" s="397"/>
      <c r="K1015" s="398"/>
    </row>
    <row r="1016" spans="2:11" ht="15" customHeight="1" x14ac:dyDescent="0.2">
      <c r="B1016" s="396"/>
      <c r="C1016" s="397"/>
      <c r="D1016" s="397"/>
      <c r="E1016" s="397"/>
      <c r="F1016" s="397"/>
      <c r="G1016" s="397"/>
      <c r="H1016" s="397"/>
      <c r="I1016" s="397"/>
      <c r="J1016" s="397"/>
      <c r="K1016" s="398"/>
    </row>
    <row r="1017" spans="2:11" ht="15" customHeight="1" x14ac:dyDescent="0.2">
      <c r="B1017" s="396"/>
      <c r="C1017" s="397"/>
      <c r="D1017" s="397"/>
      <c r="E1017" s="397"/>
      <c r="F1017" s="397"/>
      <c r="G1017" s="397"/>
      <c r="H1017" s="397"/>
      <c r="I1017" s="397"/>
      <c r="J1017" s="397"/>
      <c r="K1017" s="398"/>
    </row>
    <row r="1018" spans="2:11" ht="15" customHeight="1" x14ac:dyDescent="0.2">
      <c r="B1018" s="396"/>
      <c r="C1018" s="397"/>
      <c r="D1018" s="397"/>
      <c r="E1018" s="397"/>
      <c r="F1018" s="397"/>
      <c r="G1018" s="397"/>
      <c r="H1018" s="397"/>
      <c r="I1018" s="397"/>
      <c r="J1018" s="397"/>
      <c r="K1018" s="398"/>
    </row>
    <row r="1019" spans="2:11" ht="15" customHeight="1" x14ac:dyDescent="0.2">
      <c r="B1019" s="396"/>
      <c r="C1019" s="397"/>
      <c r="D1019" s="397"/>
      <c r="E1019" s="397"/>
      <c r="F1019" s="397"/>
      <c r="G1019" s="397"/>
      <c r="H1019" s="397"/>
      <c r="I1019" s="397"/>
      <c r="J1019" s="397"/>
      <c r="K1019" s="398"/>
    </row>
    <row r="1020" spans="2:11" ht="15" customHeight="1" x14ac:dyDescent="0.2">
      <c r="B1020" s="396"/>
      <c r="C1020" s="397"/>
      <c r="D1020" s="397"/>
      <c r="E1020" s="397"/>
      <c r="F1020" s="397"/>
      <c r="G1020" s="397"/>
      <c r="H1020" s="397"/>
      <c r="I1020" s="397"/>
      <c r="J1020" s="397"/>
      <c r="K1020" s="398"/>
    </row>
    <row r="1021" spans="2:11" ht="15" customHeight="1" x14ac:dyDescent="0.2">
      <c r="B1021" s="396"/>
      <c r="C1021" s="397"/>
      <c r="D1021" s="397"/>
      <c r="E1021" s="397"/>
      <c r="F1021" s="397"/>
      <c r="G1021" s="397"/>
      <c r="H1021" s="397"/>
      <c r="I1021" s="397"/>
      <c r="J1021" s="397"/>
      <c r="K1021" s="398"/>
    </row>
    <row r="1022" spans="2:11" ht="15" customHeight="1" x14ac:dyDescent="0.2">
      <c r="B1022" s="396"/>
      <c r="C1022" s="397"/>
      <c r="D1022" s="397"/>
      <c r="E1022" s="397"/>
      <c r="F1022" s="397"/>
      <c r="G1022" s="397"/>
      <c r="H1022" s="397"/>
      <c r="I1022" s="397"/>
      <c r="J1022" s="397"/>
      <c r="K1022" s="398"/>
    </row>
    <row r="1023" spans="2:11" ht="15" customHeight="1" x14ac:dyDescent="0.2">
      <c r="B1023" s="396"/>
      <c r="C1023" s="397"/>
      <c r="D1023" s="397"/>
      <c r="E1023" s="397"/>
      <c r="F1023" s="397"/>
      <c r="G1023" s="397"/>
      <c r="H1023" s="397"/>
      <c r="I1023" s="397"/>
      <c r="J1023" s="397"/>
      <c r="K1023" s="398"/>
    </row>
    <row r="1024" spans="2:11" ht="15" customHeight="1" x14ac:dyDescent="0.2">
      <c r="B1024" s="396"/>
      <c r="C1024" s="397"/>
      <c r="D1024" s="397"/>
      <c r="E1024" s="397"/>
      <c r="F1024" s="397"/>
      <c r="G1024" s="397"/>
      <c r="H1024" s="397"/>
      <c r="I1024" s="397"/>
      <c r="J1024" s="397"/>
      <c r="K1024" s="398"/>
    </row>
    <row r="1025" spans="2:11" ht="15" customHeight="1" x14ac:dyDescent="0.2">
      <c r="B1025" s="396"/>
      <c r="C1025" s="397"/>
      <c r="D1025" s="397"/>
      <c r="E1025" s="397"/>
      <c r="F1025" s="397"/>
      <c r="G1025" s="397"/>
      <c r="H1025" s="397"/>
      <c r="I1025" s="397"/>
      <c r="J1025" s="397"/>
      <c r="K1025" s="398"/>
    </row>
    <row r="1026" spans="2:11" ht="15" customHeight="1" x14ac:dyDescent="0.2">
      <c r="B1026" s="396"/>
      <c r="C1026" s="397"/>
      <c r="D1026" s="397"/>
      <c r="E1026" s="397"/>
      <c r="F1026" s="397"/>
      <c r="G1026" s="397"/>
      <c r="H1026" s="397"/>
      <c r="I1026" s="397"/>
      <c r="J1026" s="397"/>
      <c r="K1026" s="398"/>
    </row>
    <row r="1027" spans="2:11" ht="15" customHeight="1" x14ac:dyDescent="0.2">
      <c r="B1027" s="396"/>
      <c r="C1027" s="397"/>
      <c r="D1027" s="397"/>
      <c r="E1027" s="397"/>
      <c r="F1027" s="397"/>
      <c r="G1027" s="397"/>
      <c r="H1027" s="397"/>
      <c r="I1027" s="397"/>
      <c r="J1027" s="397"/>
      <c r="K1027" s="398"/>
    </row>
    <row r="1028" spans="2:11" ht="15" customHeight="1" x14ac:dyDescent="0.2">
      <c r="B1028" s="396"/>
      <c r="C1028" s="397"/>
      <c r="D1028" s="397"/>
      <c r="E1028" s="397"/>
      <c r="F1028" s="397"/>
      <c r="G1028" s="397"/>
      <c r="H1028" s="397"/>
      <c r="I1028" s="397"/>
      <c r="J1028" s="397"/>
      <c r="K1028" s="398"/>
    </row>
    <row r="1029" spans="2:11" ht="15" customHeight="1" x14ac:dyDescent="0.2">
      <c r="B1029" s="393"/>
      <c r="C1029" s="394"/>
      <c r="D1029" s="394"/>
      <c r="E1029" s="394"/>
      <c r="F1029" s="394"/>
      <c r="G1029" s="394"/>
      <c r="H1029" s="394"/>
      <c r="I1029" s="394"/>
      <c r="J1029" s="394"/>
      <c r="K1029" s="395"/>
    </row>
    <row r="1030" spans="2:11" ht="15" customHeight="1" x14ac:dyDescent="0.2"/>
  </sheetData>
  <sheetProtection formatCells="0" formatColumns="0" formatRows="0" selectLockedCells="1"/>
  <mergeCells count="151">
    <mergeCell ref="C391:I392"/>
    <mergeCell ref="C292:I293"/>
    <mergeCell ref="C311:I312"/>
    <mergeCell ref="C340:I341"/>
    <mergeCell ref="C305:J305"/>
    <mergeCell ref="C385:J385"/>
    <mergeCell ref="C324:J324"/>
    <mergeCell ref="B5:K5"/>
    <mergeCell ref="B6:K6"/>
    <mergeCell ref="B7:K7"/>
    <mergeCell ref="B8:K8"/>
    <mergeCell ref="B9:K9"/>
    <mergeCell ref="C76:J76"/>
    <mergeCell ref="E14:J14"/>
    <mergeCell ref="C38:J38"/>
    <mergeCell ref="C57:J57"/>
    <mergeCell ref="C120:J122"/>
    <mergeCell ref="C123:J124"/>
    <mergeCell ref="C129:J129"/>
    <mergeCell ref="C95:J95"/>
    <mergeCell ref="C114:J114"/>
    <mergeCell ref="C155:J155"/>
    <mergeCell ref="C176:J176"/>
    <mergeCell ref="C196:J196"/>
    <mergeCell ref="C216:J216"/>
    <mergeCell ref="C237:J237"/>
    <mergeCell ref="C257:J257"/>
    <mergeCell ref="C330:I331"/>
    <mergeCell ref="C347:J347"/>
    <mergeCell ref="D343:I344"/>
    <mergeCell ref="C365:J365"/>
    <mergeCell ref="C371:I372"/>
    <mergeCell ref="C286:J286"/>
    <mergeCell ref="C402:J402"/>
    <mergeCell ref="C416:J416"/>
    <mergeCell ref="C438:J438"/>
    <mergeCell ref="C444:I445"/>
    <mergeCell ref="C420:I421"/>
    <mergeCell ref="C518:J518"/>
    <mergeCell ref="C471:J471"/>
    <mergeCell ref="C477:I478"/>
    <mergeCell ref="C486:J486"/>
    <mergeCell ref="C502:J502"/>
    <mergeCell ref="C455:J455"/>
    <mergeCell ref="G752:H752"/>
    <mergeCell ref="G753:H753"/>
    <mergeCell ref="C759:J761"/>
    <mergeCell ref="G762:H762"/>
    <mergeCell ref="G763:H763"/>
    <mergeCell ref="G764:H764"/>
    <mergeCell ref="G765:H765"/>
    <mergeCell ref="C639:I640"/>
    <mergeCell ref="C641:I643"/>
    <mergeCell ref="G734:H734"/>
    <mergeCell ref="G735:H735"/>
    <mergeCell ref="G724:H724"/>
    <mergeCell ref="G725:H725"/>
    <mergeCell ref="G719:H719"/>
    <mergeCell ref="G720:H720"/>
    <mergeCell ref="G721:H721"/>
    <mergeCell ref="G717:H717"/>
    <mergeCell ref="G718:H718"/>
    <mergeCell ref="C729:J731"/>
    <mergeCell ref="G732:H732"/>
    <mergeCell ref="G733:H733"/>
    <mergeCell ref="C714:J716"/>
    <mergeCell ref="C655:J655"/>
    <mergeCell ref="D664:I665"/>
    <mergeCell ref="C677:J677"/>
    <mergeCell ref="C599:J599"/>
    <mergeCell ref="G750:H750"/>
    <mergeCell ref="G751:H751"/>
    <mergeCell ref="G739:H739"/>
    <mergeCell ref="G740:H740"/>
    <mergeCell ref="G737:H737"/>
    <mergeCell ref="G738:H738"/>
    <mergeCell ref="G748:H748"/>
    <mergeCell ref="G749:H749"/>
    <mergeCell ref="C524:I525"/>
    <mergeCell ref="C535:J535"/>
    <mergeCell ref="C613:J613"/>
    <mergeCell ref="C560:J560"/>
    <mergeCell ref="C566:I568"/>
    <mergeCell ref="C569:I571"/>
    <mergeCell ref="C583:J583"/>
    <mergeCell ref="C620:I621"/>
    <mergeCell ref="C633:J633"/>
    <mergeCell ref="G870:H870"/>
    <mergeCell ref="G874:H874"/>
    <mergeCell ref="G846:H846"/>
    <mergeCell ref="G722:H722"/>
    <mergeCell ref="G723:H723"/>
    <mergeCell ref="G850:H850"/>
    <mergeCell ref="G862:H862"/>
    <mergeCell ref="G866:H866"/>
    <mergeCell ref="G854:H854"/>
    <mergeCell ref="G858:H858"/>
    <mergeCell ref="G736:H736"/>
    <mergeCell ref="C744:J746"/>
    <mergeCell ref="G747:H747"/>
    <mergeCell ref="G769:H769"/>
    <mergeCell ref="G770:H770"/>
    <mergeCell ref="G767:H767"/>
    <mergeCell ref="G768:H768"/>
    <mergeCell ref="C830:J831"/>
    <mergeCell ref="G834:H834"/>
    <mergeCell ref="G838:H838"/>
    <mergeCell ref="G842:H842"/>
    <mergeCell ref="G766:H766"/>
    <mergeCell ref="G754:H754"/>
    <mergeCell ref="G755:H755"/>
    <mergeCell ref="G878:H878"/>
    <mergeCell ref="F959:H960"/>
    <mergeCell ref="G886:H886"/>
    <mergeCell ref="G890:H890"/>
    <mergeCell ref="G882:H882"/>
    <mergeCell ref="C900:J901"/>
    <mergeCell ref="G904:H904"/>
    <mergeCell ref="G908:H908"/>
    <mergeCell ref="G912:H912"/>
    <mergeCell ref="B1026:K1026"/>
    <mergeCell ref="B1027:K1027"/>
    <mergeCell ref="B1028:K1028"/>
    <mergeCell ref="B1029:K1029"/>
    <mergeCell ref="B1005:K1005"/>
    <mergeCell ref="B1006:K1006"/>
    <mergeCell ref="B1007:K1007"/>
    <mergeCell ref="B1008:K1008"/>
    <mergeCell ref="B1017:K1017"/>
    <mergeCell ref="B1018:K1018"/>
    <mergeCell ref="B1015:K1015"/>
    <mergeCell ref="B1016:K1016"/>
    <mergeCell ref="B1019:K1019"/>
    <mergeCell ref="B1020:K1020"/>
    <mergeCell ref="B1021:K1021"/>
    <mergeCell ref="B1009:K1009"/>
    <mergeCell ref="B1010:K1010"/>
    <mergeCell ref="B1011:K1011"/>
    <mergeCell ref="B1012:K1012"/>
    <mergeCell ref="B1013:K1013"/>
    <mergeCell ref="B1014:K1014"/>
    <mergeCell ref="B1022:K1022"/>
    <mergeCell ref="B1004:K1004"/>
    <mergeCell ref="G924:H924"/>
    <mergeCell ref="G916:H916"/>
    <mergeCell ref="G920:H920"/>
    <mergeCell ref="G928:H928"/>
    <mergeCell ref="G932:H932"/>
    <mergeCell ref="B1023:K1023"/>
    <mergeCell ref="B1024:K1024"/>
    <mergeCell ref="B1025:K1025"/>
  </mergeCells>
  <dataValidations count="23">
    <dataValidation type="list" allowBlank="1" showInputMessage="1" showErrorMessage="1" sqref="E14:E15" xr:uid="{00000000-0002-0000-0A00-000000000000}">
      <formula1>$C$966:$C$970</formula1>
    </dataValidation>
    <dataValidation type="list" allowBlank="1" showInputMessage="1" showErrorMessage="1" sqref="G834:H834 G886:H886 G882:H882 G878:H878 G874:H874 G838:H838 G870:H870 G866:H866 G862:H862 G858:H858 G854:H854 G850:H850 G846:H846 G842:H842 G890:H890 G904:H904 G928:H928 G908:H908 G924:H924 G920:H920 G916:H916 G912:H912 G932:H932" xr:uid="{00000000-0002-0000-0A00-000001000000}">
      <formula1>$B$998:$B$1002</formula1>
    </dataValidation>
    <dataValidation type="list" allowBlank="1" showInputMessage="1" showErrorMessage="1" sqref="G717:H725 G762:H770 G732:H740 G747:H755" xr:uid="{00000000-0002-0000-0A00-000002000000}">
      <formula1>$B$994:$B$995</formula1>
    </dataValidation>
    <dataValidation type="list" allowBlank="1" showInputMessage="1" showErrorMessage="1" sqref="J302 J362" xr:uid="{00000000-0002-0000-0A00-000003000000}">
      <formula1>$B$980:$B$984</formula1>
    </dataValidation>
    <dataValidation type="list" allowBlank="1" showInputMessage="1" showErrorMessage="1" sqref="C123:J124" xr:uid="{00000000-0002-0000-0A00-000004000000}">
      <formula1>$B$987:$B$991</formula1>
    </dataValidation>
    <dataValidation type="list" allowBlank="1" showInputMessage="1" showErrorMessage="1" sqref="J515 J630 J499 J254 J234 J213 J193 J173 J152 J126 J111 J92 J73 J54 J35 J283 J532 J580 J596 J674 J652 J435 J452 J468 J557" xr:uid="{00000000-0002-0000-0A00-000005000000}">
      <formula1>$B$973:$B$977</formula1>
    </dataValidation>
    <dataValidation type="list" allowBlank="1" showInputMessage="1" showErrorMessage="1" sqref="J33" xr:uid="{00000000-0002-0000-0A00-000006000000}">
      <formula1>$N$33:$N$38</formula1>
    </dataValidation>
    <dataValidation type="list" allowBlank="1" showInputMessage="1" showErrorMessage="1" sqref="J52" xr:uid="{00000000-0002-0000-0A00-000007000000}">
      <formula1>$N$52:$N$57</formula1>
    </dataValidation>
    <dataValidation type="list" allowBlank="1" showInputMessage="1" showErrorMessage="1" sqref="J71" xr:uid="{00000000-0002-0000-0A00-000008000000}">
      <formula1>$N$71:$N$76</formula1>
    </dataValidation>
    <dataValidation type="list" allowBlank="1" showInputMessage="1" showErrorMessage="1" sqref="J90" xr:uid="{00000000-0002-0000-0A00-000009000000}">
      <formula1>$N$90:$N$95</formula1>
    </dataValidation>
    <dataValidation type="list" allowBlank="1" showInputMessage="1" showErrorMessage="1" sqref="J109" xr:uid="{00000000-0002-0000-0A00-00000A000000}">
      <formula1>$N$109:$N$114</formula1>
    </dataValidation>
    <dataValidation type="list" allowBlank="1" showInputMessage="1" showErrorMessage="1" sqref="J150" xr:uid="{00000000-0002-0000-0A00-00000B000000}">
      <formula1>$N$150:$N$155</formula1>
    </dataValidation>
    <dataValidation type="list" allowBlank="1" showInputMessage="1" showErrorMessage="1" sqref="J171" xr:uid="{00000000-0002-0000-0A00-00000C000000}">
      <formula1>$N$171:$N$176</formula1>
    </dataValidation>
    <dataValidation type="list" allowBlank="1" showInputMessage="1" showErrorMessage="1" sqref="J191" xr:uid="{00000000-0002-0000-0A00-00000D000000}">
      <formula1>$N$191:$N$196</formula1>
    </dataValidation>
    <dataValidation type="list" allowBlank="1" showInputMessage="1" showErrorMessage="1" sqref="J211" xr:uid="{00000000-0002-0000-0A00-00000E000000}">
      <formula1>$N$211:$N$216</formula1>
    </dataValidation>
    <dataValidation type="list" allowBlank="1" showInputMessage="1" showErrorMessage="1" sqref="J232" xr:uid="{00000000-0002-0000-0A00-00000F000000}">
      <formula1>$N$232:$N$237</formula1>
    </dataValidation>
    <dataValidation type="list" allowBlank="1" showInputMessage="1" showErrorMessage="1" sqref="J252" xr:uid="{00000000-0002-0000-0A00-000010000000}">
      <formula1>$N$252:$N$257</formula1>
    </dataValidation>
    <dataValidation type="list" allowBlank="1" showInputMessage="1" showErrorMessage="1" sqref="J281" xr:uid="{00000000-0002-0000-0A00-000011000000}">
      <formula1>$N$281:$N$286</formula1>
    </dataValidation>
    <dataValidation type="list" allowBlank="1" showInputMessage="1" showErrorMessage="1" sqref="J555" xr:uid="{00000000-0002-0000-0A00-000012000000}">
      <formula1>$N$555:$N$560</formula1>
    </dataValidation>
    <dataValidation type="list" allowBlank="1" showInputMessage="1" showErrorMessage="1" sqref="J578" xr:uid="{00000000-0002-0000-0A00-000013000000}">
      <formula1>$N$578:$N$583</formula1>
    </dataValidation>
    <dataValidation type="list" allowBlank="1" showInputMessage="1" showErrorMessage="1" sqref="J628" xr:uid="{00000000-0002-0000-0A00-000014000000}">
      <formula1>$N$628:$N$633</formula1>
    </dataValidation>
    <dataValidation type="list" allowBlank="1" showInputMessage="1" showErrorMessage="1" sqref="J650" xr:uid="{00000000-0002-0000-0A00-000015000000}">
      <formula1>$N$650:$N$655</formula1>
    </dataValidation>
    <dataValidation type="list" allowBlank="1" showInputMessage="1" showErrorMessage="1" sqref="J672" xr:uid="{00000000-0002-0000-0A00-000016000000}">
      <formula1>$N$672:$N$677</formula1>
    </dataValidation>
  </dataValidations>
  <pageMargins left="0.7" right="0.7" top="0.75" bottom="0.75" header="0.3" footer="0.3"/>
  <pageSetup scale="7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dimension ref="A1:N1029"/>
  <sheetViews>
    <sheetView showGridLines="0" showRowColHeaders="0" zoomScaleNormal="100" workbookViewId="0"/>
  </sheetViews>
  <sheetFormatPr baseColWidth="10" defaultColWidth="9.1640625" defaultRowHeight="15" x14ac:dyDescent="0.2"/>
  <cols>
    <col min="1" max="1" width="9.1640625" style="12"/>
    <col min="2" max="3" width="9.1640625" style="12" customWidth="1"/>
    <col min="4" max="4" width="9.1640625" style="12"/>
    <col min="5" max="5" width="9.1640625" style="12" customWidth="1"/>
    <col min="6" max="9" width="9.1640625" style="12"/>
    <col min="10" max="10" width="25.6640625" style="12" customWidth="1"/>
    <col min="11" max="13" width="9.1640625" style="12"/>
    <col min="14" max="14" width="9.1640625" style="12" hidden="1" customWidth="1"/>
    <col min="15" max="16384" width="9.1640625" style="12"/>
  </cols>
  <sheetData>
    <row r="1" spans="2:13" x14ac:dyDescent="0.2">
      <c r="I1" s="29"/>
    </row>
    <row r="2" spans="2:13" ht="33" x14ac:dyDescent="0.2">
      <c r="G2" s="16" t="s">
        <v>1038</v>
      </c>
      <c r="I2" s="29"/>
    </row>
    <row r="3" spans="2:13" ht="23" x14ac:dyDescent="0.25">
      <c r="G3" s="30" t="s">
        <v>17</v>
      </c>
      <c r="I3" s="29"/>
      <c r="L3" s="157"/>
      <c r="M3" s="157"/>
    </row>
    <row r="4" spans="2:13" x14ac:dyDescent="0.2">
      <c r="G4" s="98"/>
      <c r="I4" s="29"/>
      <c r="L4" s="158"/>
      <c r="M4" s="157"/>
    </row>
    <row r="5" spans="2:13" ht="105" customHeight="1" x14ac:dyDescent="0.2">
      <c r="B5" s="425" t="s">
        <v>666</v>
      </c>
      <c r="C5" s="341"/>
      <c r="D5" s="341"/>
      <c r="E5" s="341"/>
      <c r="F5" s="341"/>
      <c r="G5" s="341"/>
      <c r="H5" s="341"/>
      <c r="I5" s="341"/>
      <c r="J5" s="341"/>
      <c r="K5" s="341"/>
      <c r="L5" s="158"/>
      <c r="M5" s="157"/>
    </row>
    <row r="6" spans="2:13" ht="15" customHeight="1" x14ac:dyDescent="0.2">
      <c r="B6" s="426"/>
      <c r="C6" s="427"/>
      <c r="D6" s="427"/>
      <c r="E6" s="427"/>
      <c r="F6" s="427"/>
      <c r="G6" s="427"/>
      <c r="H6" s="427"/>
      <c r="I6" s="427"/>
      <c r="J6" s="427"/>
      <c r="K6" s="427"/>
      <c r="L6" s="158"/>
    </row>
    <row r="7" spans="2:13" ht="60" customHeight="1" x14ac:dyDescent="0.2">
      <c r="B7" s="425" t="s">
        <v>664</v>
      </c>
      <c r="C7" s="341"/>
      <c r="D7" s="341"/>
      <c r="E7" s="341"/>
      <c r="F7" s="341"/>
      <c r="G7" s="341"/>
      <c r="H7" s="341"/>
      <c r="I7" s="341"/>
      <c r="J7" s="341"/>
      <c r="K7" s="341"/>
      <c r="L7" s="158"/>
    </row>
    <row r="8" spans="2:13" x14ac:dyDescent="0.2">
      <c r="B8" s="426"/>
      <c r="C8" s="426"/>
      <c r="D8" s="426"/>
      <c r="E8" s="426"/>
      <c r="F8" s="426"/>
      <c r="G8" s="426"/>
      <c r="H8" s="426"/>
      <c r="I8" s="426"/>
      <c r="J8" s="426"/>
      <c r="K8" s="426"/>
      <c r="L8" s="158"/>
    </row>
    <row r="9" spans="2:13" ht="30" customHeight="1" x14ac:dyDescent="0.2">
      <c r="B9" s="445" t="s">
        <v>665</v>
      </c>
      <c r="C9" s="446"/>
      <c r="D9" s="446"/>
      <c r="E9" s="446"/>
      <c r="F9" s="446"/>
      <c r="G9" s="446"/>
      <c r="H9" s="446"/>
      <c r="I9" s="446"/>
      <c r="J9" s="446"/>
      <c r="K9" s="446"/>
      <c r="L9" s="158"/>
    </row>
    <row r="10" spans="2:13" ht="120.75" customHeight="1" x14ac:dyDescent="0.2">
      <c r="B10" s="447" t="s">
        <v>1004</v>
      </c>
      <c r="C10" s="448"/>
      <c r="D10" s="448"/>
      <c r="E10" s="448"/>
      <c r="F10" s="448"/>
      <c r="G10" s="448"/>
      <c r="H10" s="448"/>
      <c r="I10" s="448"/>
      <c r="J10" s="448"/>
      <c r="K10" s="449"/>
      <c r="L10" s="12" t="s">
        <v>1194</v>
      </c>
    </row>
    <row r="11" spans="2:13" ht="16" thickBot="1" x14ac:dyDescent="0.25"/>
    <row r="12" spans="2:13" x14ac:dyDescent="0.2">
      <c r="B12" s="159"/>
      <c r="C12" s="160"/>
      <c r="D12" s="160"/>
      <c r="E12" s="160"/>
      <c r="F12" s="160"/>
      <c r="G12" s="160"/>
      <c r="H12" s="160"/>
      <c r="I12" s="160"/>
      <c r="J12" s="160"/>
      <c r="K12" s="161"/>
    </row>
    <row r="13" spans="2:13" ht="21" x14ac:dyDescent="0.25">
      <c r="B13" s="162"/>
      <c r="C13" s="163"/>
      <c r="D13" s="163"/>
      <c r="E13" s="163"/>
      <c r="F13" s="163"/>
      <c r="G13" s="164" t="s">
        <v>226</v>
      </c>
      <c r="H13" s="163"/>
      <c r="I13" s="163"/>
      <c r="J13" s="163"/>
      <c r="K13" s="165"/>
    </row>
    <row r="14" spans="2:13" ht="21" x14ac:dyDescent="0.25">
      <c r="B14" s="162"/>
      <c r="C14" s="163"/>
      <c r="D14" s="163"/>
      <c r="E14" s="163"/>
      <c r="F14" s="163"/>
      <c r="G14" s="164"/>
      <c r="H14" s="163"/>
      <c r="I14" s="163"/>
      <c r="J14" s="163"/>
      <c r="K14" s="165"/>
    </row>
    <row r="15" spans="2:13" ht="26.25" customHeight="1" x14ac:dyDescent="0.2">
      <c r="B15" s="162"/>
      <c r="C15" s="163" t="s">
        <v>255</v>
      </c>
      <c r="D15" s="163"/>
      <c r="E15" s="412" t="s">
        <v>241</v>
      </c>
      <c r="F15" s="413"/>
      <c r="G15" s="413"/>
      <c r="H15" s="413"/>
      <c r="I15" s="413"/>
      <c r="J15" s="414"/>
      <c r="K15" s="165"/>
    </row>
    <row r="16" spans="2:13" x14ac:dyDescent="0.2">
      <c r="B16" s="162"/>
      <c r="C16" s="163"/>
      <c r="D16" s="163"/>
      <c r="E16" s="163"/>
      <c r="F16" s="163"/>
      <c r="G16" s="163"/>
      <c r="H16" s="163"/>
      <c r="I16" s="163"/>
      <c r="J16" s="163"/>
      <c r="K16" s="165"/>
    </row>
    <row r="17" spans="2:14" x14ac:dyDescent="0.2">
      <c r="B17" s="162"/>
      <c r="C17" s="166" t="s">
        <v>256</v>
      </c>
      <c r="D17" s="163"/>
      <c r="E17" s="167">
        <f>IF(E15=$C$966,$A$966,IF(E15=$C$967,$A$967,IF(E15=$C$968,$A$968,IF(E15=$C$969,$A$969,IF(E15=$C$970,$A$970,"Not Calculated")))))</f>
        <v>1</v>
      </c>
      <c r="F17" s="163"/>
      <c r="G17" s="163"/>
      <c r="H17" s="163"/>
      <c r="I17" s="163"/>
      <c r="J17" s="163"/>
      <c r="K17" s="165"/>
    </row>
    <row r="18" spans="2:14" x14ac:dyDescent="0.2">
      <c r="B18" s="162"/>
      <c r="C18" s="163"/>
      <c r="D18" s="163"/>
      <c r="E18" s="167" t="str">
        <f>IF(E15=$C$966,$B$966,IF(E15=$C$967,$B$967,IF(E15=$C$968,$B$968,IF(E15=$C$969,$B$969,IF(E15=$C$970,$B$970,"Not Calculated")))))</f>
        <v>Remote</v>
      </c>
      <c r="F18" s="163"/>
      <c r="G18" s="163"/>
      <c r="H18" s="163"/>
      <c r="I18" s="163"/>
      <c r="J18" s="163"/>
      <c r="K18" s="165"/>
    </row>
    <row r="19" spans="2:14" ht="16" thickBot="1" x14ac:dyDescent="0.25">
      <c r="B19" s="168"/>
      <c r="C19" s="169"/>
      <c r="D19" s="169"/>
      <c r="E19" s="169"/>
      <c r="F19" s="169"/>
      <c r="G19" s="169"/>
      <c r="H19" s="169"/>
      <c r="I19" s="169"/>
      <c r="J19" s="169"/>
      <c r="K19" s="170"/>
    </row>
    <row r="20" spans="2:14" ht="16" thickBot="1" x14ac:dyDescent="0.25"/>
    <row r="21" spans="2:14" x14ac:dyDescent="0.2">
      <c r="B21" s="33"/>
      <c r="C21" s="34"/>
      <c r="D21" s="34"/>
      <c r="E21" s="34"/>
      <c r="F21" s="34"/>
      <c r="G21" s="34"/>
      <c r="H21" s="34"/>
      <c r="I21" s="34"/>
      <c r="J21" s="34"/>
      <c r="K21" s="37"/>
    </row>
    <row r="22" spans="2:14" ht="21" x14ac:dyDescent="0.25">
      <c r="B22" s="38"/>
      <c r="C22" s="171"/>
      <c r="D22" s="40"/>
      <c r="E22" s="40"/>
      <c r="F22" s="40"/>
      <c r="G22" s="172" t="s">
        <v>26</v>
      </c>
      <c r="H22" s="40"/>
      <c r="I22" s="40"/>
      <c r="J22" s="40"/>
      <c r="K22" s="41"/>
    </row>
    <row r="23" spans="2:14" x14ac:dyDescent="0.2">
      <c r="B23" s="38"/>
      <c r="C23" s="40"/>
      <c r="D23" s="40"/>
      <c r="E23" s="40"/>
      <c r="F23" s="40"/>
      <c r="G23" s="40"/>
      <c r="H23" s="40"/>
      <c r="I23" s="40"/>
      <c r="J23" s="40"/>
      <c r="K23" s="41"/>
    </row>
    <row r="24" spans="2:14" ht="16" x14ac:dyDescent="0.2">
      <c r="B24" s="38"/>
      <c r="C24" s="45" t="s">
        <v>61</v>
      </c>
      <c r="D24" s="40"/>
      <c r="E24" s="40"/>
      <c r="F24" s="40"/>
      <c r="G24" s="40"/>
      <c r="H24" s="40"/>
      <c r="I24" s="40"/>
      <c r="J24" s="40"/>
      <c r="K24" s="41"/>
    </row>
    <row r="25" spans="2:14" x14ac:dyDescent="0.2">
      <c r="B25" s="38"/>
      <c r="C25" s="40" t="s">
        <v>434</v>
      </c>
      <c r="D25" s="40"/>
      <c r="E25" s="40"/>
      <c r="F25" s="40"/>
      <c r="G25" s="40"/>
      <c r="H25" s="40"/>
      <c r="I25" s="40"/>
      <c r="J25" s="252">
        <f>'Baseline Health'!G11</f>
        <v>0</v>
      </c>
      <c r="K25" s="41"/>
    </row>
    <row r="26" spans="2:14" x14ac:dyDescent="0.2">
      <c r="B26" s="38"/>
      <c r="C26" s="40" t="s">
        <v>288</v>
      </c>
      <c r="D26" s="40"/>
      <c r="E26" s="40"/>
      <c r="F26" s="40"/>
      <c r="G26" s="40"/>
      <c r="H26" s="40"/>
      <c r="I26" s="40"/>
      <c r="J26" s="264">
        <f>'Community Characteristics'!H111*0.95</f>
        <v>0</v>
      </c>
      <c r="K26" s="41"/>
    </row>
    <row r="27" spans="2:14" x14ac:dyDescent="0.2">
      <c r="B27" s="38"/>
      <c r="C27" s="40" t="s">
        <v>260</v>
      </c>
      <c r="D27" s="40"/>
      <c r="E27" s="40"/>
      <c r="F27" s="40"/>
      <c r="G27" s="40"/>
      <c r="H27" s="40"/>
      <c r="I27" s="40"/>
      <c r="J27" s="248" t="str">
        <f>IF(OR(J25=0,J25="Not Calculated")=TRUE,"Not Calculated",(IF(((J26+J25)/J25)&lt;=1,0,IF(((J26+J25)/J25)&lt;=1.05,1,IF(((J26+J25)/J25)&lt;=1.5, 2,IF(((J26+J25)/J25)&lt;=2,3,4))))))</f>
        <v>Not Calculated</v>
      </c>
      <c r="K27" s="41"/>
    </row>
    <row r="28" spans="2:14" ht="9.75" customHeight="1" x14ac:dyDescent="0.2">
      <c r="B28" s="38"/>
      <c r="C28" s="279" t="str">
        <f>"0:"</f>
        <v>0:</v>
      </c>
      <c r="D28" s="281" t="s">
        <v>918</v>
      </c>
      <c r="E28" s="40"/>
      <c r="F28" s="40"/>
      <c r="G28" s="40"/>
      <c r="H28" s="40"/>
      <c r="I28" s="40"/>
      <c r="J28" s="40"/>
      <c r="K28" s="41"/>
    </row>
    <row r="29" spans="2:14" ht="9.75" customHeight="1" x14ac:dyDescent="0.2">
      <c r="B29" s="38"/>
      <c r="C29" s="280" t="str">
        <f>"1:"</f>
        <v>1:</v>
      </c>
      <c r="D29" s="281" t="s">
        <v>919</v>
      </c>
      <c r="E29" s="40"/>
      <c r="F29" s="40"/>
      <c r="G29" s="40"/>
      <c r="H29" s="40"/>
      <c r="I29" s="40"/>
      <c r="J29" s="40"/>
      <c r="K29" s="41"/>
    </row>
    <row r="30" spans="2:14" ht="9.75" customHeight="1" x14ac:dyDescent="0.2">
      <c r="B30" s="38"/>
      <c r="C30" s="280" t="str">
        <f>"2:"</f>
        <v>2:</v>
      </c>
      <c r="D30" s="281" t="s">
        <v>920</v>
      </c>
      <c r="E30" s="40"/>
      <c r="F30" s="40"/>
      <c r="G30" s="40"/>
      <c r="H30" s="40"/>
      <c r="I30" s="40"/>
      <c r="J30" s="40"/>
      <c r="K30" s="41"/>
    </row>
    <row r="31" spans="2:14" ht="9.75" customHeight="1" x14ac:dyDescent="0.2">
      <c r="B31" s="38"/>
      <c r="C31" s="280" t="str">
        <f>"3:"</f>
        <v>3:</v>
      </c>
      <c r="D31" s="281" t="s">
        <v>921</v>
      </c>
      <c r="E31" s="40"/>
      <c r="F31" s="40"/>
      <c r="G31" s="40"/>
      <c r="H31" s="40"/>
      <c r="I31" s="40"/>
      <c r="J31" s="40"/>
      <c r="K31" s="41"/>
    </row>
    <row r="32" spans="2:14" ht="9.75" customHeight="1" x14ac:dyDescent="0.2">
      <c r="B32" s="38"/>
      <c r="C32" s="280" t="str">
        <f>"4:"</f>
        <v>4:</v>
      </c>
      <c r="D32" s="281" t="s">
        <v>922</v>
      </c>
      <c r="E32" s="40"/>
      <c r="F32" s="40"/>
      <c r="G32" s="40"/>
      <c r="H32" s="40"/>
      <c r="I32" s="40"/>
      <c r="J32" s="40"/>
      <c r="K32" s="41"/>
      <c r="N32" s="12" t="s">
        <v>661</v>
      </c>
    </row>
    <row r="33" spans="2:14" x14ac:dyDescent="0.2">
      <c r="B33" s="38"/>
      <c r="C33" s="174" t="s">
        <v>662</v>
      </c>
      <c r="D33" s="40"/>
      <c r="E33" s="40"/>
      <c r="F33" s="40"/>
      <c r="G33" s="40"/>
      <c r="H33" s="40"/>
      <c r="I33" s="40"/>
      <c r="J33" s="265" t="s">
        <v>661</v>
      </c>
      <c r="K33" s="41"/>
      <c r="N33" s="12" t="s">
        <v>894</v>
      </c>
    </row>
    <row r="34" spans="2:14" x14ac:dyDescent="0.2">
      <c r="B34" s="38"/>
      <c r="C34" s="174" t="s">
        <v>660</v>
      </c>
      <c r="D34" s="40"/>
      <c r="E34" s="40"/>
      <c r="F34" s="40"/>
      <c r="G34" s="40"/>
      <c r="H34" s="40"/>
      <c r="I34" s="40"/>
      <c r="J34" s="246" t="str">
        <f>IF(J33=N32,"N/A",IF(J33=N33,0,IF(J33=N34,1,IF(J33=N35,2,IF(J33=N36,3,IF(J33=N37,4,"N/A"))))))</f>
        <v>N/A</v>
      </c>
      <c r="K34" s="41"/>
      <c r="N34" s="12" t="s">
        <v>895</v>
      </c>
    </row>
    <row r="35" spans="2:14" x14ac:dyDescent="0.2">
      <c r="B35" s="38"/>
      <c r="C35" s="40" t="s">
        <v>257</v>
      </c>
      <c r="D35" s="40"/>
      <c r="E35" s="40"/>
      <c r="F35" s="40"/>
      <c r="G35" s="40"/>
      <c r="H35" s="40"/>
      <c r="I35" s="40"/>
      <c r="J35" s="266" t="s">
        <v>882</v>
      </c>
      <c r="K35" s="41"/>
      <c r="N35" s="12" t="s">
        <v>896</v>
      </c>
    </row>
    <row r="36" spans="2:14" x14ac:dyDescent="0.2">
      <c r="B36" s="38"/>
      <c r="C36" s="40" t="s">
        <v>261</v>
      </c>
      <c r="D36" s="40"/>
      <c r="E36" s="40"/>
      <c r="F36" s="40"/>
      <c r="G36" s="40"/>
      <c r="H36" s="40"/>
      <c r="I36" s="40"/>
      <c r="J36" s="248">
        <f>IF(J35=$B$973,$A$973,IF(J35=$B$974,$A$974,IF(J35=$B$975,$A$975,IF(J35=$B$976,$A$976,IF(J35=$B$977,$A$977,"Not Calculated")))))</f>
        <v>1</v>
      </c>
      <c r="K36" s="41"/>
      <c r="N36" s="12" t="s">
        <v>897</v>
      </c>
    </row>
    <row r="37" spans="2:14" x14ac:dyDescent="0.2">
      <c r="B37" s="38"/>
      <c r="C37" s="40" t="s">
        <v>893</v>
      </c>
      <c r="D37" s="40"/>
      <c r="E37" s="40"/>
      <c r="F37" s="40"/>
      <c r="G37" s="40"/>
      <c r="H37" s="40"/>
      <c r="I37" s="40"/>
      <c r="J37" s="175"/>
      <c r="K37" s="41"/>
      <c r="N37" s="12" t="s">
        <v>898</v>
      </c>
    </row>
    <row r="38" spans="2:14" s="178" customFormat="1" ht="30" customHeight="1" x14ac:dyDescent="0.2">
      <c r="B38" s="176"/>
      <c r="C38" s="415" t="s">
        <v>1005</v>
      </c>
      <c r="D38" s="400"/>
      <c r="E38" s="400"/>
      <c r="F38" s="400"/>
      <c r="G38" s="400"/>
      <c r="H38" s="400"/>
      <c r="I38" s="400"/>
      <c r="J38" s="401"/>
      <c r="K38" s="177"/>
    </row>
    <row r="39" spans="2:14" x14ac:dyDescent="0.2">
      <c r="B39" s="38"/>
      <c r="C39" s="40"/>
      <c r="D39" s="40"/>
      <c r="E39" s="40"/>
      <c r="F39" s="40"/>
      <c r="G39" s="40"/>
      <c r="H39" s="40"/>
      <c r="I39" s="40"/>
      <c r="J39" s="40"/>
      <c r="K39" s="41"/>
    </row>
    <row r="40" spans="2:14" x14ac:dyDescent="0.2">
      <c r="B40" s="38"/>
      <c r="C40" s="179" t="s">
        <v>258</v>
      </c>
      <c r="D40" s="40"/>
      <c r="E40" s="40"/>
      <c r="F40" s="40"/>
      <c r="G40" s="40"/>
      <c r="H40" s="40"/>
      <c r="I40" s="40"/>
      <c r="J40" s="245" t="str">
        <f>IF(J34="N/A",IF(OR(J27="Not Calculated",J36="Not Calculated")=TRUE,"Not Calculated",AVERAGE(J27,J36)),AVERAGE(J34,J36))</f>
        <v>Not Calculated</v>
      </c>
      <c r="K40" s="41"/>
    </row>
    <row r="41" spans="2:14" x14ac:dyDescent="0.2">
      <c r="B41" s="38"/>
      <c r="C41" s="179"/>
      <c r="D41" s="40"/>
      <c r="E41" s="40"/>
      <c r="F41" s="40"/>
      <c r="G41" s="40"/>
      <c r="H41" s="40"/>
      <c r="I41" s="40"/>
      <c r="J41" s="245"/>
      <c r="K41" s="41"/>
    </row>
    <row r="42" spans="2:14" x14ac:dyDescent="0.2">
      <c r="B42" s="38"/>
      <c r="C42" s="40"/>
      <c r="D42" s="40"/>
      <c r="E42" s="40"/>
      <c r="F42" s="40"/>
      <c r="G42" s="40"/>
      <c r="H42" s="40"/>
      <c r="I42" s="40"/>
      <c r="J42" s="40"/>
      <c r="K42" s="41"/>
    </row>
    <row r="43" spans="2:14" ht="16" x14ac:dyDescent="0.2">
      <c r="B43" s="38"/>
      <c r="C43" s="45" t="s">
        <v>51</v>
      </c>
      <c r="D43" s="40"/>
      <c r="E43" s="40"/>
      <c r="F43" s="40"/>
      <c r="G43" s="40"/>
      <c r="H43" s="40"/>
      <c r="I43" s="40"/>
      <c r="J43" s="40"/>
      <c r="K43" s="41"/>
    </row>
    <row r="44" spans="2:14" x14ac:dyDescent="0.2">
      <c r="B44" s="38"/>
      <c r="C44" s="40" t="s">
        <v>435</v>
      </c>
      <c r="D44" s="40"/>
      <c r="E44" s="40"/>
      <c r="F44" s="40"/>
      <c r="G44" s="40"/>
      <c r="H44" s="40"/>
      <c r="I44" s="40"/>
      <c r="J44" s="252">
        <f>'Baseline Health'!G17</f>
        <v>0</v>
      </c>
      <c r="K44" s="41"/>
    </row>
    <row r="45" spans="2:14" x14ac:dyDescent="0.2">
      <c r="B45" s="38"/>
      <c r="C45" s="40" t="s">
        <v>287</v>
      </c>
      <c r="D45" s="40"/>
      <c r="E45" s="40"/>
      <c r="F45" s="40"/>
      <c r="G45" s="40"/>
      <c r="H45" s="40"/>
      <c r="I45" s="40"/>
      <c r="J45" s="264">
        <f>'Community Characteristics'!H111*0.05</f>
        <v>0</v>
      </c>
      <c r="K45" s="41"/>
    </row>
    <row r="46" spans="2:14" x14ac:dyDescent="0.2">
      <c r="B46" s="38"/>
      <c r="C46" s="40" t="s">
        <v>260</v>
      </c>
      <c r="D46" s="40"/>
      <c r="E46" s="40"/>
      <c r="F46" s="40"/>
      <c r="G46" s="40"/>
      <c r="H46" s="40"/>
      <c r="I46" s="40"/>
      <c r="J46" s="248" t="str">
        <f>IF(OR(J44=0,J44="Not Calculated")=TRUE,"Not Calculated",(IF(((J45+J44)/J44)&lt;=1,0,IF(((J45+J44)/J44)&lt;=1.05,1,IF(((J45+J44)/J44)&lt;=1.5, 2,IF(((J45+J44)/J44)&lt;=2,3,4))))))</f>
        <v>Not Calculated</v>
      </c>
      <c r="K46" s="41"/>
    </row>
    <row r="47" spans="2:14" ht="9.75" customHeight="1" x14ac:dyDescent="0.2">
      <c r="B47" s="38"/>
      <c r="C47" s="279" t="str">
        <f>"0:"</f>
        <v>0:</v>
      </c>
      <c r="D47" s="281" t="s">
        <v>918</v>
      </c>
      <c r="E47" s="40"/>
      <c r="F47" s="40"/>
      <c r="G47" s="40"/>
      <c r="H47" s="40"/>
      <c r="I47" s="40"/>
      <c r="J47" s="40"/>
      <c r="K47" s="41"/>
    </row>
    <row r="48" spans="2:14" ht="9.75" customHeight="1" x14ac:dyDescent="0.2">
      <c r="B48" s="38"/>
      <c r="C48" s="280" t="str">
        <f>"1:"</f>
        <v>1:</v>
      </c>
      <c r="D48" s="281" t="s">
        <v>919</v>
      </c>
      <c r="E48" s="40"/>
      <c r="F48" s="40"/>
      <c r="G48" s="40"/>
      <c r="H48" s="40"/>
      <c r="I48" s="40"/>
      <c r="J48" s="40"/>
      <c r="K48" s="41"/>
    </row>
    <row r="49" spans="2:14" ht="9.75" customHeight="1" x14ac:dyDescent="0.2">
      <c r="B49" s="38"/>
      <c r="C49" s="280" t="str">
        <f>"2:"</f>
        <v>2:</v>
      </c>
      <c r="D49" s="281" t="s">
        <v>920</v>
      </c>
      <c r="E49" s="40"/>
      <c r="F49" s="40"/>
      <c r="G49" s="40"/>
      <c r="H49" s="40"/>
      <c r="I49" s="40"/>
      <c r="J49" s="40"/>
      <c r="K49" s="41"/>
    </row>
    <row r="50" spans="2:14" ht="9.75" customHeight="1" x14ac:dyDescent="0.2">
      <c r="B50" s="38"/>
      <c r="C50" s="280" t="str">
        <f>"3:"</f>
        <v>3:</v>
      </c>
      <c r="D50" s="281" t="s">
        <v>921</v>
      </c>
      <c r="E50" s="40"/>
      <c r="F50" s="40"/>
      <c r="G50" s="40"/>
      <c r="H50" s="40"/>
      <c r="I50" s="40"/>
      <c r="J50" s="40"/>
      <c r="K50" s="41"/>
    </row>
    <row r="51" spans="2:14" ht="9.75" customHeight="1" x14ac:dyDescent="0.2">
      <c r="B51" s="38"/>
      <c r="C51" s="280" t="str">
        <f>"4:"</f>
        <v>4:</v>
      </c>
      <c r="D51" s="281" t="s">
        <v>922</v>
      </c>
      <c r="E51" s="40"/>
      <c r="F51" s="40"/>
      <c r="G51" s="40"/>
      <c r="H51" s="40"/>
      <c r="I51" s="40"/>
      <c r="J51" s="40"/>
      <c r="K51" s="41"/>
      <c r="N51" s="12" t="s">
        <v>661</v>
      </c>
    </row>
    <row r="52" spans="2:14" x14ac:dyDescent="0.2">
      <c r="B52" s="38"/>
      <c r="C52" s="174" t="s">
        <v>662</v>
      </c>
      <c r="D52" s="40"/>
      <c r="E52" s="40"/>
      <c r="F52" s="40"/>
      <c r="G52" s="40"/>
      <c r="H52" s="40"/>
      <c r="I52" s="40"/>
      <c r="J52" s="265" t="s">
        <v>661</v>
      </c>
      <c r="K52" s="41"/>
      <c r="N52" s="12" t="s">
        <v>894</v>
      </c>
    </row>
    <row r="53" spans="2:14" x14ac:dyDescent="0.2">
      <c r="B53" s="38"/>
      <c r="C53" s="174" t="s">
        <v>660</v>
      </c>
      <c r="D53" s="40"/>
      <c r="E53" s="40"/>
      <c r="F53" s="40"/>
      <c r="G53" s="40"/>
      <c r="H53" s="40"/>
      <c r="I53" s="40"/>
      <c r="J53" s="246" t="str">
        <f>IF(J52=N51,"N/A",IF(J52=N52,0,IF(J52=N53,1,IF(J52=N54,2,IF(J52=N55,3,IF(J52=N56,4,"N/A"))))))</f>
        <v>N/A</v>
      </c>
      <c r="K53" s="41"/>
      <c r="N53" s="12" t="s">
        <v>895</v>
      </c>
    </row>
    <row r="54" spans="2:14" x14ac:dyDescent="0.2">
      <c r="B54" s="38"/>
      <c r="C54" s="40" t="s">
        <v>257</v>
      </c>
      <c r="D54" s="40"/>
      <c r="E54" s="40"/>
      <c r="F54" s="40"/>
      <c r="G54" s="40"/>
      <c r="H54" s="40"/>
      <c r="I54" s="40"/>
      <c r="J54" s="266" t="s">
        <v>882</v>
      </c>
      <c r="K54" s="41"/>
      <c r="N54" s="12" t="s">
        <v>896</v>
      </c>
    </row>
    <row r="55" spans="2:14" x14ac:dyDescent="0.2">
      <c r="B55" s="38"/>
      <c r="C55" s="40" t="s">
        <v>261</v>
      </c>
      <c r="D55" s="40"/>
      <c r="E55" s="40"/>
      <c r="F55" s="40"/>
      <c r="G55" s="40"/>
      <c r="H55" s="40"/>
      <c r="I55" s="40"/>
      <c r="J55" s="248">
        <f>IF(J54=$B$973,$A$973,IF(J54=$B$974,$A$974,IF(J54=$B$975,$A$975,IF(J54=$B$976,$A$976,IF(J54=$B$977,$A$977,"Not Calculated")))))</f>
        <v>1</v>
      </c>
      <c r="K55" s="41"/>
      <c r="N55" s="12" t="s">
        <v>897</v>
      </c>
    </row>
    <row r="56" spans="2:14" x14ac:dyDescent="0.2">
      <c r="B56" s="38"/>
      <c r="C56" s="40" t="s">
        <v>893</v>
      </c>
      <c r="D56" s="40"/>
      <c r="E56" s="40"/>
      <c r="F56" s="40"/>
      <c r="G56" s="40"/>
      <c r="H56" s="40"/>
      <c r="I56" s="40"/>
      <c r="J56" s="175"/>
      <c r="K56" s="41"/>
      <c r="N56" s="12" t="s">
        <v>898</v>
      </c>
    </row>
    <row r="57" spans="2:14" s="178" customFormat="1" ht="45" customHeight="1" x14ac:dyDescent="0.2">
      <c r="B57" s="176"/>
      <c r="C57" s="415" t="s">
        <v>1006</v>
      </c>
      <c r="D57" s="400"/>
      <c r="E57" s="400"/>
      <c r="F57" s="400"/>
      <c r="G57" s="400"/>
      <c r="H57" s="400"/>
      <c r="I57" s="400"/>
      <c r="J57" s="401"/>
      <c r="K57" s="177"/>
    </row>
    <row r="58" spans="2:14" x14ac:dyDescent="0.2">
      <c r="B58" s="38"/>
      <c r="C58" s="40"/>
      <c r="D58" s="40"/>
      <c r="E58" s="40"/>
      <c r="F58" s="40"/>
      <c r="G58" s="40"/>
      <c r="H58" s="40"/>
      <c r="I58" s="40"/>
      <c r="J58" s="40"/>
      <c r="K58" s="41"/>
    </row>
    <row r="59" spans="2:14" x14ac:dyDescent="0.2">
      <c r="B59" s="38"/>
      <c r="C59" s="179" t="s">
        <v>263</v>
      </c>
      <c r="D59" s="40"/>
      <c r="E59" s="40"/>
      <c r="F59" s="40"/>
      <c r="G59" s="40"/>
      <c r="H59" s="40"/>
      <c r="I59" s="40"/>
      <c r="J59" s="245" t="str">
        <f>IF(J53="N/A",IF(OR(J46="Not Calculated",J55="Not Calculated")=TRUE,"Not Calculated",AVERAGE(J46,J55)),AVERAGE(J53,J55))</f>
        <v>Not Calculated</v>
      </c>
      <c r="K59" s="41"/>
    </row>
    <row r="60" spans="2:14" x14ac:dyDescent="0.2">
      <c r="B60" s="38"/>
      <c r="C60" s="40"/>
      <c r="D60" s="40"/>
      <c r="E60" s="40"/>
      <c r="F60" s="40"/>
      <c r="G60" s="40"/>
      <c r="H60" s="40"/>
      <c r="I60" s="40"/>
      <c r="J60" s="40"/>
      <c r="K60" s="41"/>
    </row>
    <row r="61" spans="2:14" x14ac:dyDescent="0.2">
      <c r="B61" s="38"/>
      <c r="C61" s="40"/>
      <c r="D61" s="40"/>
      <c r="E61" s="40"/>
      <c r="F61" s="40"/>
      <c r="G61" s="40"/>
      <c r="H61" s="40"/>
      <c r="I61" s="40"/>
      <c r="J61" s="40"/>
      <c r="K61" s="41"/>
    </row>
    <row r="62" spans="2:14" ht="16" x14ac:dyDescent="0.2">
      <c r="B62" s="38"/>
      <c r="C62" s="45" t="s">
        <v>54</v>
      </c>
      <c r="D62" s="40"/>
      <c r="E62" s="40"/>
      <c r="F62" s="40"/>
      <c r="G62" s="40"/>
      <c r="H62" s="40"/>
      <c r="I62" s="40"/>
      <c r="J62" s="40"/>
      <c r="K62" s="41"/>
    </row>
    <row r="63" spans="2:14" x14ac:dyDescent="0.2">
      <c r="B63" s="38"/>
      <c r="C63" s="40" t="s">
        <v>436</v>
      </c>
      <c r="D63" s="40"/>
      <c r="E63" s="40"/>
      <c r="F63" s="40"/>
      <c r="G63" s="40"/>
      <c r="H63" s="40"/>
      <c r="I63" s="40"/>
      <c r="J63" s="252">
        <f>'Baseline Health'!G23</f>
        <v>0</v>
      </c>
      <c r="K63" s="41"/>
    </row>
    <row r="64" spans="2:14" x14ac:dyDescent="0.2">
      <c r="B64" s="38"/>
      <c r="C64" s="40" t="s">
        <v>289</v>
      </c>
      <c r="D64" s="40"/>
      <c r="E64" s="40"/>
      <c r="F64" s="40"/>
      <c r="G64" s="40"/>
      <c r="H64" s="40"/>
      <c r="I64" s="40"/>
      <c r="J64" s="264">
        <f>J45</f>
        <v>0</v>
      </c>
      <c r="K64" s="41"/>
    </row>
    <row r="65" spans="2:14" x14ac:dyDescent="0.2">
      <c r="B65" s="38"/>
      <c r="C65" s="40" t="s">
        <v>260</v>
      </c>
      <c r="D65" s="40"/>
      <c r="E65" s="40"/>
      <c r="F65" s="40"/>
      <c r="G65" s="40"/>
      <c r="H65" s="40"/>
      <c r="I65" s="40"/>
      <c r="J65" s="248" t="str">
        <f>IF(OR(J63=0,J63="Not Calculated")=TRUE,"Not Calculated",(IF(((J64+J63)/J63)&lt;=1,0,IF(((J64+J63)/J63)&lt;=1.05,1,IF(((J64+J63)/J63)&lt;=1.5, 2,IF(((J64+J63)/J63)&lt;=2,3,4))))))</f>
        <v>Not Calculated</v>
      </c>
      <c r="K65" s="41"/>
    </row>
    <row r="66" spans="2:14" ht="9.75" customHeight="1" x14ac:dyDescent="0.2">
      <c r="B66" s="38"/>
      <c r="C66" s="279" t="str">
        <f>"0:"</f>
        <v>0:</v>
      </c>
      <c r="D66" s="281" t="s">
        <v>918</v>
      </c>
      <c r="E66" s="40"/>
      <c r="F66" s="40"/>
      <c r="G66" s="40"/>
      <c r="H66" s="40"/>
      <c r="I66" s="40"/>
      <c r="J66" s="40"/>
      <c r="K66" s="41"/>
    </row>
    <row r="67" spans="2:14" ht="9.75" customHeight="1" x14ac:dyDescent="0.2">
      <c r="B67" s="38"/>
      <c r="C67" s="280" t="str">
        <f>"1:"</f>
        <v>1:</v>
      </c>
      <c r="D67" s="281" t="s">
        <v>919</v>
      </c>
      <c r="E67" s="40"/>
      <c r="F67" s="40"/>
      <c r="G67" s="40"/>
      <c r="H67" s="40"/>
      <c r="I67" s="40"/>
      <c r="J67" s="40"/>
      <c r="K67" s="41"/>
    </row>
    <row r="68" spans="2:14" ht="9.75" customHeight="1" x14ac:dyDescent="0.2">
      <c r="B68" s="38"/>
      <c r="C68" s="280" t="str">
        <f>"2:"</f>
        <v>2:</v>
      </c>
      <c r="D68" s="281" t="s">
        <v>920</v>
      </c>
      <c r="E68" s="40"/>
      <c r="F68" s="40"/>
      <c r="G68" s="40"/>
      <c r="H68" s="40"/>
      <c r="I68" s="40"/>
      <c r="J68" s="40"/>
      <c r="K68" s="41"/>
    </row>
    <row r="69" spans="2:14" ht="9.75" customHeight="1" x14ac:dyDescent="0.2">
      <c r="B69" s="38"/>
      <c r="C69" s="280" t="str">
        <f>"3:"</f>
        <v>3:</v>
      </c>
      <c r="D69" s="281" t="s">
        <v>921</v>
      </c>
      <c r="E69" s="40"/>
      <c r="F69" s="40"/>
      <c r="G69" s="40"/>
      <c r="H69" s="40"/>
      <c r="I69" s="40"/>
      <c r="J69" s="40"/>
      <c r="K69" s="41"/>
    </row>
    <row r="70" spans="2:14" ht="9.75" customHeight="1" x14ac:dyDescent="0.2">
      <c r="B70" s="38"/>
      <c r="C70" s="280" t="str">
        <f>"4:"</f>
        <v>4:</v>
      </c>
      <c r="D70" s="281" t="s">
        <v>922</v>
      </c>
      <c r="E70" s="40"/>
      <c r="F70" s="40"/>
      <c r="G70" s="40"/>
      <c r="H70" s="40"/>
      <c r="I70" s="40"/>
      <c r="J70" s="40"/>
      <c r="K70" s="41"/>
      <c r="N70" s="12" t="s">
        <v>661</v>
      </c>
    </row>
    <row r="71" spans="2:14" x14ac:dyDescent="0.2">
      <c r="B71" s="38"/>
      <c r="C71" s="174" t="s">
        <v>662</v>
      </c>
      <c r="D71" s="40"/>
      <c r="E71" s="40"/>
      <c r="F71" s="40"/>
      <c r="G71" s="40"/>
      <c r="H71" s="40"/>
      <c r="I71" s="40"/>
      <c r="J71" s="265" t="s">
        <v>661</v>
      </c>
      <c r="K71" s="41"/>
      <c r="N71" s="12" t="s">
        <v>894</v>
      </c>
    </row>
    <row r="72" spans="2:14" x14ac:dyDescent="0.2">
      <c r="B72" s="38"/>
      <c r="C72" s="174" t="s">
        <v>660</v>
      </c>
      <c r="D72" s="40"/>
      <c r="E72" s="40"/>
      <c r="F72" s="40"/>
      <c r="G72" s="40"/>
      <c r="H72" s="40"/>
      <c r="I72" s="40"/>
      <c r="J72" s="246" t="str">
        <f>IF(J71=N70,"N/A",IF(J71=N71,0,IF(J71=N72,1,IF(J71=N73,2,IF(J71=N74,3,IF(J71=N75,4,"N/A"))))))</f>
        <v>N/A</v>
      </c>
      <c r="K72" s="41"/>
      <c r="N72" s="12" t="s">
        <v>895</v>
      </c>
    </row>
    <row r="73" spans="2:14" x14ac:dyDescent="0.2">
      <c r="B73" s="38"/>
      <c r="C73" s="40" t="s">
        <v>257</v>
      </c>
      <c r="D73" s="40"/>
      <c r="E73" s="40"/>
      <c r="F73" s="40"/>
      <c r="G73" s="40"/>
      <c r="H73" s="40"/>
      <c r="I73" s="40"/>
      <c r="J73" s="266" t="s">
        <v>882</v>
      </c>
      <c r="K73" s="41"/>
      <c r="N73" s="12" t="s">
        <v>896</v>
      </c>
    </row>
    <row r="74" spans="2:14" x14ac:dyDescent="0.2">
      <c r="B74" s="38"/>
      <c r="C74" s="40" t="s">
        <v>261</v>
      </c>
      <c r="D74" s="40"/>
      <c r="E74" s="40"/>
      <c r="F74" s="40"/>
      <c r="G74" s="40"/>
      <c r="H74" s="40"/>
      <c r="I74" s="40"/>
      <c r="J74" s="248">
        <f>IF(J73=$B$973,$A$973,IF(J73=$B$974,$A$974,IF(J73=$B$975,$A$975,IF(J73=$B$976,$A$976,IF(J73=$B$977,$A$977,"Not Calculated")))))</f>
        <v>1</v>
      </c>
      <c r="K74" s="41"/>
      <c r="N74" s="12" t="s">
        <v>897</v>
      </c>
    </row>
    <row r="75" spans="2:14" x14ac:dyDescent="0.2">
      <c r="B75" s="38"/>
      <c r="C75" s="40" t="s">
        <v>893</v>
      </c>
      <c r="D75" s="40"/>
      <c r="E75" s="40"/>
      <c r="F75" s="40"/>
      <c r="G75" s="40"/>
      <c r="H75" s="40"/>
      <c r="I75" s="40"/>
      <c r="J75" s="175"/>
      <c r="K75" s="41"/>
      <c r="N75" s="12" t="s">
        <v>898</v>
      </c>
    </row>
    <row r="76" spans="2:14" s="178" customFormat="1" ht="45" customHeight="1" x14ac:dyDescent="0.2">
      <c r="B76" s="176"/>
      <c r="C76" s="415" t="s">
        <v>1006</v>
      </c>
      <c r="D76" s="400"/>
      <c r="E76" s="400"/>
      <c r="F76" s="400"/>
      <c r="G76" s="400"/>
      <c r="H76" s="400"/>
      <c r="I76" s="400"/>
      <c r="J76" s="401"/>
      <c r="K76" s="177"/>
    </row>
    <row r="77" spans="2:14" x14ac:dyDescent="0.2">
      <c r="B77" s="38"/>
      <c r="C77" s="40"/>
      <c r="D77" s="40"/>
      <c r="E77" s="40"/>
      <c r="F77" s="40"/>
      <c r="G77" s="40"/>
      <c r="H77" s="40"/>
      <c r="I77" s="40"/>
      <c r="J77" s="40"/>
      <c r="K77" s="41"/>
    </row>
    <row r="78" spans="2:14" x14ac:dyDescent="0.2">
      <c r="B78" s="38"/>
      <c r="C78" s="179" t="s">
        <v>264</v>
      </c>
      <c r="D78" s="40"/>
      <c r="E78" s="40"/>
      <c r="F78" s="40"/>
      <c r="G78" s="40"/>
      <c r="H78" s="40"/>
      <c r="I78" s="40"/>
      <c r="J78" s="245" t="str">
        <f>IF(J72="N/A",IF(OR(J65="Not Calculated",J74="Not Calculated")=TRUE,"Not Calculated",AVERAGE(J65,J74)),AVERAGE(J72,J74))</f>
        <v>Not Calculated</v>
      </c>
      <c r="K78" s="41"/>
    </row>
    <row r="79" spans="2:14" x14ac:dyDescent="0.2">
      <c r="B79" s="38"/>
      <c r="C79" s="40"/>
      <c r="D79" s="40"/>
      <c r="E79" s="40"/>
      <c r="F79" s="40"/>
      <c r="G79" s="40"/>
      <c r="H79" s="40"/>
      <c r="I79" s="40"/>
      <c r="J79" s="40"/>
      <c r="K79" s="41"/>
    </row>
    <row r="80" spans="2:14" x14ac:dyDescent="0.2">
      <c r="B80" s="38"/>
      <c r="C80" s="40"/>
      <c r="D80" s="40"/>
      <c r="E80" s="40"/>
      <c r="F80" s="40"/>
      <c r="G80" s="40"/>
      <c r="H80" s="40"/>
      <c r="I80" s="40"/>
      <c r="J80" s="40"/>
      <c r="K80" s="41"/>
    </row>
    <row r="81" spans="2:14" ht="16" x14ac:dyDescent="0.2">
      <c r="B81" s="38"/>
      <c r="C81" s="45" t="s">
        <v>57</v>
      </c>
      <c r="D81" s="40"/>
      <c r="E81" s="40"/>
      <c r="F81" s="40"/>
      <c r="G81" s="40"/>
      <c r="H81" s="40"/>
      <c r="I81" s="40"/>
      <c r="J81" s="40"/>
      <c r="K81" s="41"/>
    </row>
    <row r="82" spans="2:14" x14ac:dyDescent="0.2">
      <c r="B82" s="38"/>
      <c r="C82" s="40" t="s">
        <v>437</v>
      </c>
      <c r="D82" s="40"/>
      <c r="E82" s="40"/>
      <c r="F82" s="40"/>
      <c r="G82" s="40"/>
      <c r="H82" s="40"/>
      <c r="I82" s="40"/>
      <c r="J82" s="252">
        <f>'Baseline Health'!G29</f>
        <v>0</v>
      </c>
      <c r="K82" s="41"/>
    </row>
    <row r="83" spans="2:14" x14ac:dyDescent="0.2">
      <c r="B83" s="38"/>
      <c r="C83" s="40" t="s">
        <v>290</v>
      </c>
      <c r="D83" s="40"/>
      <c r="E83" s="40"/>
      <c r="F83" s="40"/>
      <c r="G83" s="40"/>
      <c r="H83" s="40"/>
      <c r="I83" s="40"/>
      <c r="J83" s="264">
        <f>J82*0.5</f>
        <v>0</v>
      </c>
      <c r="K83" s="41"/>
    </row>
    <row r="84" spans="2:14" x14ac:dyDescent="0.2">
      <c r="B84" s="38"/>
      <c r="C84" s="40" t="s">
        <v>260</v>
      </c>
      <c r="D84" s="40"/>
      <c r="E84" s="40"/>
      <c r="F84" s="40"/>
      <c r="G84" s="40"/>
      <c r="H84" s="40"/>
      <c r="I84" s="40"/>
      <c r="J84" s="248" t="str">
        <f>IF(OR(J82=0,J82="Not Calculated")=TRUE,"Not Calculated",(IF(((J83+J82)/J82)&lt;=1,0,IF(((J83+J82)/J82)&lt;=1.05,1,IF(((J83+J82)/J82)&lt;=1.5, 2,IF(((J83+J82)/J82)&lt;=2,3,4))))))</f>
        <v>Not Calculated</v>
      </c>
      <c r="K84" s="41"/>
    </row>
    <row r="85" spans="2:14" ht="9.75" customHeight="1" x14ac:dyDescent="0.2">
      <c r="B85" s="38"/>
      <c r="C85" s="279" t="str">
        <f>"0:"</f>
        <v>0:</v>
      </c>
      <c r="D85" s="281" t="s">
        <v>918</v>
      </c>
      <c r="E85" s="40"/>
      <c r="F85" s="40"/>
      <c r="G85" s="40"/>
      <c r="H85" s="40"/>
      <c r="I85" s="40"/>
      <c r="J85" s="40"/>
      <c r="K85" s="41"/>
    </row>
    <row r="86" spans="2:14" ht="9.75" customHeight="1" x14ac:dyDescent="0.2">
      <c r="B86" s="38"/>
      <c r="C86" s="280" t="str">
        <f>"1:"</f>
        <v>1:</v>
      </c>
      <c r="D86" s="281" t="s">
        <v>919</v>
      </c>
      <c r="E86" s="40"/>
      <c r="F86" s="40"/>
      <c r="G86" s="40"/>
      <c r="H86" s="40"/>
      <c r="I86" s="40"/>
      <c r="J86" s="40"/>
      <c r="K86" s="41"/>
    </row>
    <row r="87" spans="2:14" ht="9.75" customHeight="1" x14ac:dyDescent="0.2">
      <c r="B87" s="38"/>
      <c r="C87" s="280" t="str">
        <f>"2:"</f>
        <v>2:</v>
      </c>
      <c r="D87" s="281" t="s">
        <v>920</v>
      </c>
      <c r="E87" s="40"/>
      <c r="F87" s="40"/>
      <c r="G87" s="40"/>
      <c r="H87" s="40"/>
      <c r="I87" s="40"/>
      <c r="J87" s="40"/>
      <c r="K87" s="41"/>
    </row>
    <row r="88" spans="2:14" ht="9.75" customHeight="1" x14ac:dyDescent="0.2">
      <c r="B88" s="38"/>
      <c r="C88" s="280" t="str">
        <f>"3:"</f>
        <v>3:</v>
      </c>
      <c r="D88" s="281" t="s">
        <v>921</v>
      </c>
      <c r="E88" s="40"/>
      <c r="F88" s="40"/>
      <c r="G88" s="40"/>
      <c r="H88" s="40"/>
      <c r="I88" s="40"/>
      <c r="J88" s="40"/>
      <c r="K88" s="41"/>
    </row>
    <row r="89" spans="2:14" ht="9.75" customHeight="1" x14ac:dyDescent="0.2">
      <c r="B89" s="38"/>
      <c r="C89" s="280" t="str">
        <f>"4:"</f>
        <v>4:</v>
      </c>
      <c r="D89" s="281" t="s">
        <v>922</v>
      </c>
      <c r="E89" s="40"/>
      <c r="F89" s="40"/>
      <c r="G89" s="40"/>
      <c r="H89" s="40"/>
      <c r="I89" s="40"/>
      <c r="J89" s="40"/>
      <c r="K89" s="41"/>
      <c r="N89" s="12" t="s">
        <v>661</v>
      </c>
    </row>
    <row r="90" spans="2:14" x14ac:dyDescent="0.2">
      <c r="B90" s="38"/>
      <c r="C90" s="174" t="s">
        <v>662</v>
      </c>
      <c r="D90" s="40"/>
      <c r="E90" s="40"/>
      <c r="F90" s="40"/>
      <c r="G90" s="40"/>
      <c r="H90" s="40"/>
      <c r="I90" s="40"/>
      <c r="J90" s="265" t="s">
        <v>661</v>
      </c>
      <c r="K90" s="41"/>
      <c r="N90" s="12" t="s">
        <v>894</v>
      </c>
    </row>
    <row r="91" spans="2:14" x14ac:dyDescent="0.2">
      <c r="B91" s="38"/>
      <c r="C91" s="174" t="s">
        <v>660</v>
      </c>
      <c r="D91" s="40"/>
      <c r="E91" s="40"/>
      <c r="F91" s="40"/>
      <c r="G91" s="40"/>
      <c r="H91" s="40"/>
      <c r="I91" s="40"/>
      <c r="J91" s="246" t="str">
        <f>IF(J90=N89,"N/A",IF(J90=N90,0,IF(J90=N91,1,IF(J90=N92,2,IF(J90=N93,3,IF(J90=N94,4,"N/A"))))))</f>
        <v>N/A</v>
      </c>
      <c r="K91" s="41"/>
      <c r="N91" s="12" t="s">
        <v>895</v>
      </c>
    </row>
    <row r="92" spans="2:14" x14ac:dyDescent="0.2">
      <c r="B92" s="38"/>
      <c r="C92" s="40" t="s">
        <v>257</v>
      </c>
      <c r="D92" s="40"/>
      <c r="E92" s="40"/>
      <c r="F92" s="40"/>
      <c r="G92" s="40"/>
      <c r="H92" s="40"/>
      <c r="I92" s="40"/>
      <c r="J92" s="266" t="s">
        <v>874</v>
      </c>
      <c r="K92" s="41"/>
      <c r="N92" s="12" t="s">
        <v>896</v>
      </c>
    </row>
    <row r="93" spans="2:14" x14ac:dyDescent="0.2">
      <c r="B93" s="38"/>
      <c r="C93" s="40" t="s">
        <v>261</v>
      </c>
      <c r="D93" s="40"/>
      <c r="E93" s="40"/>
      <c r="F93" s="40"/>
      <c r="G93" s="40"/>
      <c r="H93" s="40"/>
      <c r="I93" s="40"/>
      <c r="J93" s="248">
        <f>IF(J92=$B$973,$A$973,IF(J92=$B$974,$A$974,IF(J92=$B$975,$A$975,IF(J92=$B$976,$A$976,IF(J92=$B$977,$A$977,"Not Calculated")))))</f>
        <v>4</v>
      </c>
      <c r="K93" s="41"/>
      <c r="N93" s="12" t="s">
        <v>897</v>
      </c>
    </row>
    <row r="94" spans="2:14" x14ac:dyDescent="0.2">
      <c r="B94" s="38"/>
      <c r="C94" s="40" t="s">
        <v>893</v>
      </c>
      <c r="D94" s="40"/>
      <c r="E94" s="40"/>
      <c r="F94" s="40"/>
      <c r="G94" s="40"/>
      <c r="H94" s="40"/>
      <c r="I94" s="40"/>
      <c r="J94" s="175"/>
      <c r="K94" s="41"/>
      <c r="N94" s="12" t="s">
        <v>898</v>
      </c>
    </row>
    <row r="95" spans="2:14" s="178" customFormat="1" ht="30" customHeight="1" x14ac:dyDescent="0.2">
      <c r="B95" s="176"/>
      <c r="C95" s="415" t="s">
        <v>422</v>
      </c>
      <c r="D95" s="400"/>
      <c r="E95" s="400"/>
      <c r="F95" s="400"/>
      <c r="G95" s="400"/>
      <c r="H95" s="400"/>
      <c r="I95" s="400"/>
      <c r="J95" s="401"/>
      <c r="K95" s="177"/>
    </row>
    <row r="96" spans="2:14" x14ac:dyDescent="0.2">
      <c r="B96" s="38"/>
      <c r="C96" s="40"/>
      <c r="D96" s="40"/>
      <c r="E96" s="40"/>
      <c r="F96" s="40"/>
      <c r="G96" s="40"/>
      <c r="H96" s="40"/>
      <c r="I96" s="40"/>
      <c r="J96" s="40"/>
      <c r="K96" s="41"/>
    </row>
    <row r="97" spans="2:14" x14ac:dyDescent="0.2">
      <c r="B97" s="38"/>
      <c r="C97" s="179" t="s">
        <v>265</v>
      </c>
      <c r="D97" s="40"/>
      <c r="E97" s="40"/>
      <c r="F97" s="40"/>
      <c r="G97" s="40"/>
      <c r="H97" s="40"/>
      <c r="I97" s="40"/>
      <c r="J97" s="245" t="str">
        <f>IF(J91="N/A",IF(OR(J84="Not Calculated",J93="Not Calculated")=TRUE,"Not Calculated",AVERAGE(J84,J93)),AVERAGE(J91,J93))</f>
        <v>Not Calculated</v>
      </c>
      <c r="K97" s="41"/>
    </row>
    <row r="98" spans="2:14" x14ac:dyDescent="0.2">
      <c r="B98" s="38"/>
      <c r="C98" s="40"/>
      <c r="D98" s="40"/>
      <c r="E98" s="40"/>
      <c r="F98" s="40"/>
      <c r="G98" s="40"/>
      <c r="H98" s="40"/>
      <c r="I98" s="40"/>
      <c r="J98" s="40"/>
      <c r="K98" s="41"/>
    </row>
    <row r="99" spans="2:14" x14ac:dyDescent="0.2">
      <c r="B99" s="38"/>
      <c r="C99" s="40"/>
      <c r="D99" s="40"/>
      <c r="E99" s="40"/>
      <c r="F99" s="40"/>
      <c r="G99" s="40"/>
      <c r="H99" s="40"/>
      <c r="I99" s="40"/>
      <c r="J99" s="40"/>
      <c r="K99" s="41"/>
    </row>
    <row r="100" spans="2:14" ht="16" x14ac:dyDescent="0.2">
      <c r="B100" s="38"/>
      <c r="C100" s="45" t="s">
        <v>60</v>
      </c>
      <c r="D100" s="40"/>
      <c r="E100" s="40"/>
      <c r="F100" s="40"/>
      <c r="G100" s="40"/>
      <c r="H100" s="40"/>
      <c r="I100" s="40"/>
      <c r="J100" s="40"/>
      <c r="K100" s="41"/>
    </row>
    <row r="101" spans="2:14" x14ac:dyDescent="0.2">
      <c r="B101" s="38"/>
      <c r="C101" s="40" t="s">
        <v>438</v>
      </c>
      <c r="D101" s="40"/>
      <c r="E101" s="40"/>
      <c r="F101" s="40"/>
      <c r="G101" s="40"/>
      <c r="H101" s="40"/>
      <c r="I101" s="40"/>
      <c r="J101" s="252">
        <f>'Baseline Health'!G35</f>
        <v>0</v>
      </c>
      <c r="K101" s="41"/>
    </row>
    <row r="102" spans="2:14" x14ac:dyDescent="0.2">
      <c r="B102" s="38"/>
      <c r="C102" s="40" t="s">
        <v>291</v>
      </c>
      <c r="D102" s="40"/>
      <c r="E102" s="40"/>
      <c r="F102" s="40"/>
      <c r="G102" s="40"/>
      <c r="H102" s="40"/>
      <c r="I102" s="40"/>
      <c r="J102" s="264">
        <v>2</v>
      </c>
      <c r="K102" s="41"/>
    </row>
    <row r="103" spans="2:14" x14ac:dyDescent="0.2">
      <c r="B103" s="38"/>
      <c r="C103" s="40" t="s">
        <v>260</v>
      </c>
      <c r="D103" s="40"/>
      <c r="E103" s="40"/>
      <c r="F103" s="40"/>
      <c r="G103" s="40"/>
      <c r="H103" s="40"/>
      <c r="I103" s="40"/>
      <c r="J103" s="248" t="str">
        <f>IF(OR(J101=0,J101="Not Calculated")=TRUE,"Not Calculated",(IF(((J102+J101)/J101)&lt;=1,0,IF(((J102+J101)/J101)&lt;=1.05,1,IF(((J102+J101)/J101)&lt;=1.5, 2,IF(((J102+J101)/J101)&lt;=2,3,4))))))</f>
        <v>Not Calculated</v>
      </c>
      <c r="K103" s="41"/>
    </row>
    <row r="104" spans="2:14" ht="9.75" customHeight="1" x14ac:dyDescent="0.2">
      <c r="B104" s="38"/>
      <c r="C104" s="279" t="str">
        <f>"0:"</f>
        <v>0:</v>
      </c>
      <c r="D104" s="281" t="s">
        <v>918</v>
      </c>
      <c r="E104" s="40"/>
      <c r="F104" s="40"/>
      <c r="G104" s="40"/>
      <c r="H104" s="40"/>
      <c r="I104" s="40"/>
      <c r="J104" s="40"/>
      <c r="K104" s="41"/>
    </row>
    <row r="105" spans="2:14" ht="9.75" customHeight="1" x14ac:dyDescent="0.2">
      <c r="B105" s="38"/>
      <c r="C105" s="280" t="str">
        <f>"1:"</f>
        <v>1:</v>
      </c>
      <c r="D105" s="281" t="s">
        <v>919</v>
      </c>
      <c r="E105" s="40"/>
      <c r="F105" s="40"/>
      <c r="G105" s="40"/>
      <c r="H105" s="40"/>
      <c r="I105" s="40"/>
      <c r="J105" s="40"/>
      <c r="K105" s="41"/>
    </row>
    <row r="106" spans="2:14" ht="9.75" customHeight="1" x14ac:dyDescent="0.2">
      <c r="B106" s="38"/>
      <c r="C106" s="280" t="str">
        <f>"2:"</f>
        <v>2:</v>
      </c>
      <c r="D106" s="281" t="s">
        <v>920</v>
      </c>
      <c r="E106" s="40"/>
      <c r="F106" s="40"/>
      <c r="G106" s="40"/>
      <c r="H106" s="40"/>
      <c r="I106" s="40"/>
      <c r="J106" s="40"/>
      <c r="K106" s="41"/>
    </row>
    <row r="107" spans="2:14" ht="9.75" customHeight="1" x14ac:dyDescent="0.2">
      <c r="B107" s="38"/>
      <c r="C107" s="280" t="str">
        <f>"3:"</f>
        <v>3:</v>
      </c>
      <c r="D107" s="281" t="s">
        <v>921</v>
      </c>
      <c r="E107" s="40"/>
      <c r="F107" s="40"/>
      <c r="G107" s="40"/>
      <c r="H107" s="40"/>
      <c r="I107" s="40"/>
      <c r="J107" s="40"/>
      <c r="K107" s="41"/>
    </row>
    <row r="108" spans="2:14" ht="9.75" customHeight="1" x14ac:dyDescent="0.2">
      <c r="B108" s="38"/>
      <c r="C108" s="280" t="str">
        <f>"4:"</f>
        <v>4:</v>
      </c>
      <c r="D108" s="281" t="s">
        <v>922</v>
      </c>
      <c r="E108" s="40"/>
      <c r="F108" s="40"/>
      <c r="G108" s="40"/>
      <c r="H108" s="40"/>
      <c r="I108" s="40"/>
      <c r="J108" s="40"/>
      <c r="K108" s="41"/>
      <c r="N108" s="12" t="s">
        <v>661</v>
      </c>
    </row>
    <row r="109" spans="2:14" x14ac:dyDescent="0.2">
      <c r="B109" s="38"/>
      <c r="C109" s="174" t="s">
        <v>662</v>
      </c>
      <c r="D109" s="40"/>
      <c r="E109" s="40"/>
      <c r="F109" s="40"/>
      <c r="G109" s="40"/>
      <c r="H109" s="40"/>
      <c r="I109" s="40"/>
      <c r="J109" s="265" t="s">
        <v>661</v>
      </c>
      <c r="K109" s="41"/>
      <c r="N109" s="12" t="s">
        <v>894</v>
      </c>
    </row>
    <row r="110" spans="2:14" x14ac:dyDescent="0.2">
      <c r="B110" s="38"/>
      <c r="C110" s="174" t="s">
        <v>660</v>
      </c>
      <c r="D110" s="40"/>
      <c r="E110" s="40"/>
      <c r="F110" s="40"/>
      <c r="G110" s="40"/>
      <c r="H110" s="40"/>
      <c r="I110" s="40"/>
      <c r="J110" s="246" t="str">
        <f>IF(J109=N108,"N/A",IF(J109=N109,0,IF(J109=N110,1,IF(J109=N111,2,IF(J109=N112,3,IF(J109=N113,4,"N/A"))))))</f>
        <v>N/A</v>
      </c>
      <c r="K110" s="41"/>
      <c r="N110" s="12" t="s">
        <v>895</v>
      </c>
    </row>
    <row r="111" spans="2:14" x14ac:dyDescent="0.2">
      <c r="B111" s="38"/>
      <c r="C111" s="40" t="s">
        <v>257</v>
      </c>
      <c r="D111" s="40"/>
      <c r="E111" s="40"/>
      <c r="F111" s="40"/>
      <c r="G111" s="40"/>
      <c r="H111" s="40"/>
      <c r="I111" s="40"/>
      <c r="J111" s="266" t="s">
        <v>882</v>
      </c>
      <c r="K111" s="41"/>
      <c r="N111" s="12" t="s">
        <v>896</v>
      </c>
    </row>
    <row r="112" spans="2:14" x14ac:dyDescent="0.2">
      <c r="B112" s="38"/>
      <c r="C112" s="40" t="s">
        <v>261</v>
      </c>
      <c r="D112" s="40"/>
      <c r="E112" s="40"/>
      <c r="F112" s="40"/>
      <c r="G112" s="40"/>
      <c r="H112" s="40"/>
      <c r="I112" s="40"/>
      <c r="J112" s="248">
        <f>IF(J111=$B$973,$A$973,IF(J111=$B$974,$A$974,IF(J111=$B$975,$A$975,IF(J111=$B$976,$A$976,IF(J111=$B$977,$A$977,"Not Calculated")))))</f>
        <v>1</v>
      </c>
      <c r="K112" s="41"/>
      <c r="N112" s="12" t="s">
        <v>897</v>
      </c>
    </row>
    <row r="113" spans="2:14" x14ac:dyDescent="0.2">
      <c r="B113" s="38"/>
      <c r="C113" s="40" t="s">
        <v>893</v>
      </c>
      <c r="D113" s="40"/>
      <c r="E113" s="40"/>
      <c r="F113" s="40"/>
      <c r="G113" s="40"/>
      <c r="H113" s="40"/>
      <c r="I113" s="40"/>
      <c r="J113" s="175"/>
      <c r="K113" s="41"/>
      <c r="N113" s="12" t="s">
        <v>898</v>
      </c>
    </row>
    <row r="114" spans="2:14" s="178" customFormat="1" ht="60" customHeight="1" x14ac:dyDescent="0.2">
      <c r="B114" s="176"/>
      <c r="C114" s="415" t="s">
        <v>1007</v>
      </c>
      <c r="D114" s="400"/>
      <c r="E114" s="400"/>
      <c r="F114" s="400"/>
      <c r="G114" s="400"/>
      <c r="H114" s="400"/>
      <c r="I114" s="400"/>
      <c r="J114" s="401"/>
      <c r="K114" s="177"/>
    </row>
    <row r="115" spans="2:14" x14ac:dyDescent="0.2">
      <c r="B115" s="38"/>
      <c r="C115" s="40"/>
      <c r="D115" s="40"/>
      <c r="E115" s="40"/>
      <c r="F115" s="40"/>
      <c r="G115" s="40"/>
      <c r="H115" s="40"/>
      <c r="I115" s="40"/>
      <c r="J115" s="40"/>
      <c r="K115" s="41"/>
    </row>
    <row r="116" spans="2:14" x14ac:dyDescent="0.2">
      <c r="B116" s="38"/>
      <c r="C116" s="179" t="s">
        <v>266</v>
      </c>
      <c r="D116" s="40"/>
      <c r="E116" s="40"/>
      <c r="F116" s="40"/>
      <c r="G116" s="40"/>
      <c r="H116" s="40"/>
      <c r="I116" s="40"/>
      <c r="J116" s="245" t="str">
        <f>IF(J110="N/A",IF(OR(J103="Not Calculated",J112="Not Calculated")=TRUE,"Not Calculated",AVERAGE(J103,J112)),AVERAGE(J110,J112))</f>
        <v>Not Calculated</v>
      </c>
      <c r="K116" s="41"/>
    </row>
    <row r="117" spans="2:14" x14ac:dyDescent="0.2">
      <c r="B117" s="38"/>
      <c r="C117" s="40"/>
      <c r="D117" s="40"/>
      <c r="E117" s="40"/>
      <c r="F117" s="40"/>
      <c r="G117" s="40"/>
      <c r="H117" s="40"/>
      <c r="I117" s="40"/>
      <c r="J117" s="40"/>
      <c r="K117" s="41"/>
    </row>
    <row r="118" spans="2:14" x14ac:dyDescent="0.2">
      <c r="B118" s="38"/>
      <c r="C118" s="40"/>
      <c r="D118" s="40"/>
      <c r="E118" s="40"/>
      <c r="F118" s="40"/>
      <c r="G118" s="40"/>
      <c r="H118" s="40"/>
      <c r="I118" s="40"/>
      <c r="J118" s="40"/>
      <c r="K118" s="41"/>
    </row>
    <row r="119" spans="2:14" ht="16" x14ac:dyDescent="0.2">
      <c r="B119" s="38"/>
      <c r="C119" s="45" t="s">
        <v>262</v>
      </c>
      <c r="D119" s="40"/>
      <c r="E119" s="40"/>
      <c r="F119" s="40"/>
      <c r="G119" s="40"/>
      <c r="H119" s="40"/>
      <c r="I119" s="40"/>
      <c r="J119" s="40"/>
      <c r="K119" s="41"/>
    </row>
    <row r="120" spans="2:14" ht="15" customHeight="1" x14ac:dyDescent="0.2">
      <c r="B120" s="38"/>
      <c r="C120" s="422" t="s">
        <v>268</v>
      </c>
      <c r="D120" s="422"/>
      <c r="E120" s="422"/>
      <c r="F120" s="422"/>
      <c r="G120" s="422"/>
      <c r="H120" s="422"/>
      <c r="I120" s="422"/>
      <c r="J120" s="422"/>
      <c r="K120" s="41"/>
    </row>
    <row r="121" spans="2:14" x14ac:dyDescent="0.2">
      <c r="B121" s="38"/>
      <c r="C121" s="422"/>
      <c r="D121" s="422"/>
      <c r="E121" s="422"/>
      <c r="F121" s="422"/>
      <c r="G121" s="422"/>
      <c r="H121" s="422"/>
      <c r="I121" s="422"/>
      <c r="J121" s="422"/>
      <c r="K121" s="41"/>
    </row>
    <row r="122" spans="2:14" x14ac:dyDescent="0.2">
      <c r="B122" s="38"/>
      <c r="C122" s="423"/>
      <c r="D122" s="423"/>
      <c r="E122" s="423"/>
      <c r="F122" s="423"/>
      <c r="G122" s="423"/>
      <c r="H122" s="423"/>
      <c r="I122" s="423"/>
      <c r="J122" s="423"/>
      <c r="K122" s="41"/>
    </row>
    <row r="123" spans="2:14" ht="15" customHeight="1" x14ac:dyDescent="0.2">
      <c r="B123" s="38"/>
      <c r="C123" s="416" t="s">
        <v>248</v>
      </c>
      <c r="D123" s="417"/>
      <c r="E123" s="417"/>
      <c r="F123" s="417"/>
      <c r="G123" s="417"/>
      <c r="H123" s="417"/>
      <c r="I123" s="417"/>
      <c r="J123" s="418"/>
      <c r="K123" s="41"/>
    </row>
    <row r="124" spans="2:14" x14ac:dyDescent="0.2">
      <c r="B124" s="38"/>
      <c r="C124" s="419"/>
      <c r="D124" s="420"/>
      <c r="E124" s="420"/>
      <c r="F124" s="420"/>
      <c r="G124" s="420"/>
      <c r="H124" s="420"/>
      <c r="I124" s="420"/>
      <c r="J124" s="421"/>
      <c r="K124" s="41"/>
    </row>
    <row r="125" spans="2:14" ht="15" customHeight="1" x14ac:dyDescent="0.2">
      <c r="B125" s="38"/>
      <c r="C125" s="40" t="s">
        <v>260</v>
      </c>
      <c r="D125" s="40"/>
      <c r="E125" s="40"/>
      <c r="F125" s="40"/>
      <c r="G125" s="40"/>
      <c r="H125" s="40"/>
      <c r="I125" s="40"/>
      <c r="J125" s="246">
        <f>IF(C123=B987,A987,IF(C123=B988,A988,IF(C123=B989,A989,IF(C123=B990,A990,IF(C123=B991,A991,"Not Calculated")))))</f>
        <v>4</v>
      </c>
      <c r="K125" s="41"/>
    </row>
    <row r="126" spans="2:14" ht="15" customHeight="1" x14ac:dyDescent="0.2">
      <c r="B126" s="38"/>
      <c r="C126" s="40" t="s">
        <v>257</v>
      </c>
      <c r="D126" s="40"/>
      <c r="E126" s="40"/>
      <c r="F126" s="40"/>
      <c r="G126" s="40"/>
      <c r="H126" s="40"/>
      <c r="I126" s="40"/>
      <c r="J126" s="266" t="s">
        <v>874</v>
      </c>
      <c r="K126" s="41"/>
    </row>
    <row r="127" spans="2:14" x14ac:dyDescent="0.2">
      <c r="B127" s="38"/>
      <c r="C127" s="40" t="s">
        <v>261</v>
      </c>
      <c r="D127" s="40"/>
      <c r="E127" s="40"/>
      <c r="F127" s="40"/>
      <c r="G127" s="40"/>
      <c r="H127" s="40"/>
      <c r="I127" s="40"/>
      <c r="J127" s="248">
        <f>IF(J126=$B$973,$A$973,IF(J126=$B$974,$A$974,IF(J126=$B$975,$A$975,IF(J126=$B$976,$A$976,IF(J126=$B$977,$A$977,"Not Calculated")))))</f>
        <v>4</v>
      </c>
      <c r="K127" s="41"/>
    </row>
    <row r="128" spans="2:14" ht="15" customHeight="1" x14ac:dyDescent="0.2">
      <c r="B128" s="38"/>
      <c r="C128" s="40" t="s">
        <v>893</v>
      </c>
      <c r="D128" s="40"/>
      <c r="E128" s="40"/>
      <c r="F128" s="40"/>
      <c r="G128" s="40"/>
      <c r="H128" s="40"/>
      <c r="I128" s="40"/>
      <c r="J128" s="175"/>
      <c r="K128" s="41"/>
    </row>
    <row r="129" spans="2:11" s="178" customFormat="1" ht="30" customHeight="1" x14ac:dyDescent="0.2">
      <c r="B129" s="176"/>
      <c r="C129" s="415" t="s">
        <v>453</v>
      </c>
      <c r="D129" s="400"/>
      <c r="E129" s="400"/>
      <c r="F129" s="400"/>
      <c r="G129" s="400"/>
      <c r="H129" s="400"/>
      <c r="I129" s="400"/>
      <c r="J129" s="401"/>
      <c r="K129" s="177"/>
    </row>
    <row r="130" spans="2:11" x14ac:dyDescent="0.2">
      <c r="B130" s="38"/>
      <c r="C130" s="40"/>
      <c r="D130" s="40"/>
      <c r="E130" s="40"/>
      <c r="F130" s="40"/>
      <c r="G130" s="40"/>
      <c r="H130" s="40"/>
      <c r="I130" s="40"/>
      <c r="J130" s="40"/>
      <c r="K130" s="41"/>
    </row>
    <row r="131" spans="2:11" x14ac:dyDescent="0.2">
      <c r="B131" s="38"/>
      <c r="C131" s="179" t="s">
        <v>267</v>
      </c>
      <c r="D131" s="40"/>
      <c r="E131" s="40"/>
      <c r="F131" s="40"/>
      <c r="G131" s="40"/>
      <c r="H131" s="40"/>
      <c r="I131" s="40"/>
      <c r="J131" s="245">
        <f>IF(OR(J125="Not Calculated",J127="Not Calculated")=TRUE,"Not Calculated",AVERAGE(J125,J127))</f>
        <v>4</v>
      </c>
      <c r="K131" s="41"/>
    </row>
    <row r="132" spans="2:11" x14ac:dyDescent="0.2">
      <c r="B132" s="38"/>
      <c r="C132" s="179"/>
      <c r="D132" s="40"/>
      <c r="E132" s="40"/>
      <c r="F132" s="40"/>
      <c r="G132" s="40"/>
      <c r="H132" s="40"/>
      <c r="I132" s="40"/>
      <c r="J132" s="245"/>
      <c r="K132" s="41"/>
    </row>
    <row r="133" spans="2:11" ht="18" x14ac:dyDescent="0.2">
      <c r="B133" s="38"/>
      <c r="C133" s="180" t="s">
        <v>269</v>
      </c>
      <c r="D133" s="40"/>
      <c r="E133" s="40"/>
      <c r="F133" s="40"/>
      <c r="G133" s="40"/>
      <c r="H133" s="40"/>
      <c r="I133" s="40"/>
      <c r="J133" s="244" t="str">
        <f>IF(OR(J40="Not Calculated",J59="Not Calculated",J78="Not Calculated",J97="Not Calculated",J116="Not Calculated",J131="Not Calculated",)=TRUE,"Not Calculated",AVERAGE(J40,J59,J78,J97,J116,J131))</f>
        <v>Not Calculated</v>
      </c>
      <c r="K133" s="41"/>
    </row>
    <row r="134" spans="2:11" ht="16" thickBot="1" x14ac:dyDescent="0.25">
      <c r="B134" s="46"/>
      <c r="C134" s="47"/>
      <c r="D134" s="47"/>
      <c r="E134" s="47"/>
      <c r="F134" s="47"/>
      <c r="G134" s="47"/>
      <c r="H134" s="47"/>
      <c r="I134" s="47"/>
      <c r="J134" s="47"/>
      <c r="K134" s="49"/>
    </row>
    <row r="135" spans="2:11" ht="16" thickBot="1" x14ac:dyDescent="0.25"/>
    <row r="136" spans="2:11" x14ac:dyDescent="0.2">
      <c r="B136" s="33"/>
      <c r="C136" s="34"/>
      <c r="D136" s="34"/>
      <c r="E136" s="34"/>
      <c r="F136" s="34"/>
      <c r="G136" s="34"/>
      <c r="H136" s="34"/>
      <c r="I136" s="34"/>
      <c r="J136" s="34"/>
      <c r="K136" s="37"/>
    </row>
    <row r="137" spans="2:11" ht="21" x14ac:dyDescent="0.25">
      <c r="B137" s="38"/>
      <c r="C137" s="171"/>
      <c r="D137" s="40"/>
      <c r="E137" s="40"/>
      <c r="F137" s="40"/>
      <c r="G137" s="172" t="s">
        <v>27</v>
      </c>
      <c r="H137" s="40"/>
      <c r="I137" s="40"/>
      <c r="J137" s="40"/>
      <c r="K137" s="41"/>
    </row>
    <row r="138" spans="2:11" x14ac:dyDescent="0.2">
      <c r="B138" s="38"/>
      <c r="C138" s="40"/>
      <c r="D138" s="40"/>
      <c r="E138" s="40"/>
      <c r="F138" s="40"/>
      <c r="G138" s="40"/>
      <c r="H138" s="40"/>
      <c r="I138" s="40"/>
      <c r="J138" s="40"/>
      <c r="K138" s="41"/>
    </row>
    <row r="139" spans="2:11" ht="16" x14ac:dyDescent="0.2">
      <c r="B139" s="38"/>
      <c r="C139" s="45" t="s">
        <v>72</v>
      </c>
      <c r="D139" s="40"/>
      <c r="E139" s="40"/>
      <c r="F139" s="40"/>
      <c r="G139" s="40"/>
      <c r="H139" s="40"/>
      <c r="I139" s="40"/>
      <c r="J139" s="40"/>
      <c r="K139" s="41"/>
    </row>
    <row r="140" spans="2:11" x14ac:dyDescent="0.2">
      <c r="B140" s="38"/>
      <c r="C140" s="40" t="s">
        <v>440</v>
      </c>
      <c r="D140" s="40"/>
      <c r="E140" s="40"/>
      <c r="F140" s="40"/>
      <c r="G140" s="40"/>
      <c r="H140" s="40"/>
      <c r="I140" s="40"/>
      <c r="J140" s="252">
        <f>'Baseline Health'!G45</f>
        <v>0</v>
      </c>
      <c r="K140" s="41"/>
    </row>
    <row r="141" spans="2:11" x14ac:dyDescent="0.2">
      <c r="B141" s="38"/>
      <c r="C141" s="40" t="s">
        <v>270</v>
      </c>
      <c r="D141" s="40"/>
      <c r="E141" s="40"/>
      <c r="F141" s="40"/>
      <c r="G141" s="40"/>
      <c r="H141" s="40"/>
      <c r="I141" s="40"/>
      <c r="J141" s="264">
        <v>0</v>
      </c>
      <c r="K141" s="41"/>
    </row>
    <row r="142" spans="2:11" x14ac:dyDescent="0.2">
      <c r="B142" s="38"/>
      <c r="C142" s="40" t="s">
        <v>439</v>
      </c>
      <c r="D142" s="40"/>
      <c r="E142" s="40"/>
      <c r="F142" s="40"/>
      <c r="G142" s="40"/>
      <c r="H142" s="40"/>
      <c r="I142" s="40"/>
      <c r="J142" s="255">
        <f>J83/20</f>
        <v>0</v>
      </c>
      <c r="K142" s="41"/>
    </row>
    <row r="143" spans="2:11" x14ac:dyDescent="0.2">
      <c r="B143" s="38"/>
      <c r="C143" s="40"/>
      <c r="D143" s="40" t="s">
        <v>351</v>
      </c>
      <c r="E143" s="40"/>
      <c r="F143" s="40"/>
      <c r="G143" s="40"/>
      <c r="H143" s="40"/>
      <c r="I143" s="40"/>
      <c r="J143" s="40"/>
      <c r="K143" s="41"/>
    </row>
    <row r="144" spans="2:11" x14ac:dyDescent="0.2">
      <c r="B144" s="38"/>
      <c r="C144" s="40" t="s">
        <v>260</v>
      </c>
      <c r="D144" s="40"/>
      <c r="E144" s="40"/>
      <c r="F144" s="40"/>
      <c r="G144" s="40"/>
      <c r="H144" s="40"/>
      <c r="I144" s="40"/>
      <c r="J144" s="245" t="str">
        <f>IF(OR(J140=0,J140="Not Calculated")=TRUE,"Not Calculated",IF((J140-J141)&lt;=0,4,IF(((J140+J142)/(J140-J141))&lt;=1,0,IF(((J140+J142)/(J140-J141))&lt;=1.05,1,IF(((J140+J142)/(J140-J141))&lt;=1.5, 2,IF(((J140+J142)/(J140-J141))&lt;=2,3,4))))))</f>
        <v>Not Calculated</v>
      </c>
      <c r="K144" s="41"/>
    </row>
    <row r="145" spans="2:14" ht="9.75" customHeight="1" x14ac:dyDescent="0.2">
      <c r="B145" s="38"/>
      <c r="C145" s="279" t="str">
        <f>"0:"</f>
        <v>0:</v>
      </c>
      <c r="D145" s="278" t="s">
        <v>918</v>
      </c>
      <c r="E145" s="40"/>
      <c r="F145" s="40"/>
      <c r="G145" s="40"/>
      <c r="H145" s="40"/>
      <c r="I145" s="40"/>
      <c r="J145" s="40"/>
      <c r="K145" s="41"/>
    </row>
    <row r="146" spans="2:14" ht="9.75" customHeight="1" x14ac:dyDescent="0.2">
      <c r="B146" s="38"/>
      <c r="C146" s="280" t="str">
        <f>"1:"</f>
        <v>1:</v>
      </c>
      <c r="D146" s="278" t="s">
        <v>923</v>
      </c>
      <c r="E146" s="40"/>
      <c r="F146" s="40"/>
      <c r="G146" s="40"/>
      <c r="H146" s="40"/>
      <c r="I146" s="40"/>
      <c r="J146" s="40"/>
      <c r="K146" s="41"/>
    </row>
    <row r="147" spans="2:14" ht="9.75" customHeight="1" x14ac:dyDescent="0.2">
      <c r="B147" s="38"/>
      <c r="C147" s="280" t="str">
        <f>"2:"</f>
        <v>2:</v>
      </c>
      <c r="D147" s="278" t="s">
        <v>924</v>
      </c>
      <c r="E147" s="40"/>
      <c r="F147" s="40"/>
      <c r="G147" s="40"/>
      <c r="H147" s="40"/>
      <c r="I147" s="40"/>
      <c r="J147" s="40"/>
      <c r="K147" s="41"/>
    </row>
    <row r="148" spans="2:14" ht="9.75" customHeight="1" x14ac:dyDescent="0.2">
      <c r="B148" s="38"/>
      <c r="C148" s="280" t="str">
        <f>"3:"</f>
        <v>3:</v>
      </c>
      <c r="D148" s="278" t="s">
        <v>925</v>
      </c>
      <c r="E148" s="40"/>
      <c r="F148" s="40"/>
      <c r="G148" s="40"/>
      <c r="H148" s="40"/>
      <c r="I148" s="40"/>
      <c r="J148" s="40"/>
      <c r="K148" s="41"/>
    </row>
    <row r="149" spans="2:14" ht="9.75" customHeight="1" x14ac:dyDescent="0.2">
      <c r="B149" s="38"/>
      <c r="C149" s="280" t="str">
        <f>"4:"</f>
        <v>4:</v>
      </c>
      <c r="D149" s="278" t="s">
        <v>926</v>
      </c>
      <c r="E149" s="40"/>
      <c r="F149" s="40"/>
      <c r="G149" s="40"/>
      <c r="H149" s="40"/>
      <c r="I149" s="40"/>
      <c r="J149" s="40"/>
      <c r="K149" s="41"/>
      <c r="N149" s="12" t="s">
        <v>661</v>
      </c>
    </row>
    <row r="150" spans="2:14" x14ac:dyDescent="0.2">
      <c r="B150" s="38"/>
      <c r="C150" s="174" t="s">
        <v>662</v>
      </c>
      <c r="D150" s="40"/>
      <c r="E150" s="40"/>
      <c r="F150" s="40"/>
      <c r="G150" s="40"/>
      <c r="H150" s="40"/>
      <c r="I150" s="40"/>
      <c r="J150" s="265" t="s">
        <v>661</v>
      </c>
      <c r="K150" s="41"/>
      <c r="N150" s="12" t="s">
        <v>894</v>
      </c>
    </row>
    <row r="151" spans="2:14" x14ac:dyDescent="0.2">
      <c r="B151" s="38"/>
      <c r="C151" s="174" t="s">
        <v>660</v>
      </c>
      <c r="D151" s="40"/>
      <c r="E151" s="40"/>
      <c r="F151" s="40"/>
      <c r="G151" s="40"/>
      <c r="H151" s="40"/>
      <c r="I151" s="40"/>
      <c r="J151" s="246" t="str">
        <f>IF(J150=N149,"N/A",IF(J150=N150,0,IF(J150=N151,1,IF(J150=N152,2,IF(J150=N153,3,IF(J150=N154,4,"N/A"))))))</f>
        <v>N/A</v>
      </c>
      <c r="K151" s="41"/>
      <c r="N151" s="12" t="s">
        <v>899</v>
      </c>
    </row>
    <row r="152" spans="2:14" x14ac:dyDescent="0.2">
      <c r="B152" s="38"/>
      <c r="C152" s="40" t="s">
        <v>257</v>
      </c>
      <c r="D152" s="40"/>
      <c r="E152" s="40"/>
      <c r="F152" s="40"/>
      <c r="G152" s="40"/>
      <c r="H152" s="40"/>
      <c r="I152" s="40"/>
      <c r="J152" s="266" t="s">
        <v>874</v>
      </c>
      <c r="K152" s="41"/>
      <c r="N152" s="12" t="s">
        <v>900</v>
      </c>
    </row>
    <row r="153" spans="2:14" x14ac:dyDescent="0.2">
      <c r="B153" s="38"/>
      <c r="C153" s="40" t="s">
        <v>261</v>
      </c>
      <c r="D153" s="40"/>
      <c r="E153" s="40"/>
      <c r="F153" s="40"/>
      <c r="G153" s="40"/>
      <c r="H153" s="40"/>
      <c r="I153" s="40"/>
      <c r="J153" s="248">
        <f>IF(J152=$B$973,$A$973,IF(J152=$B$974,$A$974,IF(J152=$B$975,$A$975,IF(J152=$B$976,$A$976,IF(J152=$B$977,$A$977,"Not Calculated")))))</f>
        <v>4</v>
      </c>
      <c r="K153" s="41"/>
      <c r="N153" s="12" t="s">
        <v>901</v>
      </c>
    </row>
    <row r="154" spans="2:14" x14ac:dyDescent="0.2">
      <c r="B154" s="38"/>
      <c r="C154" s="40" t="s">
        <v>893</v>
      </c>
      <c r="D154" s="40"/>
      <c r="E154" s="40"/>
      <c r="F154" s="40"/>
      <c r="G154" s="40"/>
      <c r="H154" s="40"/>
      <c r="I154" s="40"/>
      <c r="J154" s="40"/>
      <c r="K154" s="41"/>
      <c r="N154" s="12" t="s">
        <v>902</v>
      </c>
    </row>
    <row r="155" spans="2:14" ht="15" customHeight="1" x14ac:dyDescent="0.2">
      <c r="B155" s="38"/>
      <c r="C155" s="399"/>
      <c r="D155" s="400"/>
      <c r="E155" s="400"/>
      <c r="F155" s="400"/>
      <c r="G155" s="400"/>
      <c r="H155" s="400"/>
      <c r="I155" s="400"/>
      <c r="J155" s="401"/>
      <c r="K155" s="41"/>
    </row>
    <row r="156" spans="2:14" x14ac:dyDescent="0.2">
      <c r="B156" s="38"/>
      <c r="C156" s="40"/>
      <c r="D156" s="40"/>
      <c r="E156" s="40"/>
      <c r="F156" s="40"/>
      <c r="G156" s="40"/>
      <c r="H156" s="40"/>
      <c r="I156" s="40"/>
      <c r="J156" s="40"/>
      <c r="K156" s="41"/>
    </row>
    <row r="157" spans="2:14" x14ac:dyDescent="0.2">
      <c r="B157" s="38"/>
      <c r="C157" s="179" t="s">
        <v>271</v>
      </c>
      <c r="D157" s="40"/>
      <c r="E157" s="40"/>
      <c r="F157" s="40"/>
      <c r="G157" s="40"/>
      <c r="H157" s="40"/>
      <c r="I157" s="40"/>
      <c r="J157" s="245" t="str">
        <f>IF(J151="N/A",IF(OR(J144="Not Calculated",J153="Not Calculated")=TRUE,"Not Calculated",AVERAGE(J144,J153)),AVERAGE(J151,J153))</f>
        <v>Not Calculated</v>
      </c>
      <c r="K157" s="41"/>
    </row>
    <row r="158" spans="2:14" x14ac:dyDescent="0.2">
      <c r="B158" s="38"/>
      <c r="C158" s="40"/>
      <c r="D158" s="40"/>
      <c r="E158" s="40"/>
      <c r="F158" s="40"/>
      <c r="G158" s="40"/>
      <c r="H158" s="40"/>
      <c r="I158" s="40"/>
      <c r="J158" s="40"/>
      <c r="K158" s="41"/>
    </row>
    <row r="159" spans="2:14" x14ac:dyDescent="0.2">
      <c r="B159" s="38"/>
      <c r="C159" s="40"/>
      <c r="D159" s="40"/>
      <c r="E159" s="40"/>
      <c r="F159" s="40"/>
      <c r="G159" s="40"/>
      <c r="H159" s="40"/>
      <c r="I159" s="40"/>
      <c r="J159" s="40"/>
      <c r="K159" s="41"/>
    </row>
    <row r="160" spans="2:14" ht="16" x14ac:dyDescent="0.2">
      <c r="B160" s="38"/>
      <c r="C160" s="45" t="s">
        <v>273</v>
      </c>
      <c r="D160" s="40"/>
      <c r="E160" s="40"/>
      <c r="F160" s="40"/>
      <c r="G160" s="40"/>
      <c r="H160" s="40"/>
      <c r="I160" s="40"/>
      <c r="J160" s="40"/>
      <c r="K160" s="41"/>
    </row>
    <row r="161" spans="2:14" x14ac:dyDescent="0.2">
      <c r="B161" s="38"/>
      <c r="C161" s="40" t="s">
        <v>441</v>
      </c>
      <c r="D161" s="40"/>
      <c r="E161" s="40"/>
      <c r="F161" s="40"/>
      <c r="G161" s="40"/>
      <c r="H161" s="40"/>
      <c r="I161" s="40"/>
      <c r="J161" s="252">
        <f>'Baseline Health'!G51</f>
        <v>0</v>
      </c>
      <c r="K161" s="41"/>
    </row>
    <row r="162" spans="2:14" x14ac:dyDescent="0.2">
      <c r="B162" s="38"/>
      <c r="C162" s="40" t="s">
        <v>280</v>
      </c>
      <c r="D162" s="40"/>
      <c r="E162" s="40"/>
      <c r="F162" s="40"/>
      <c r="G162" s="40"/>
      <c r="H162" s="40"/>
      <c r="I162" s="40"/>
      <c r="J162" s="264">
        <v>0</v>
      </c>
      <c r="K162" s="41"/>
    </row>
    <row r="163" spans="2:14" x14ac:dyDescent="0.2">
      <c r="B163" s="38"/>
      <c r="C163" s="40" t="s">
        <v>442</v>
      </c>
      <c r="D163" s="40"/>
      <c r="E163" s="40"/>
      <c r="F163" s="40"/>
      <c r="G163" s="40"/>
      <c r="H163" s="40"/>
      <c r="I163" s="40"/>
      <c r="J163" s="255">
        <f>(J64)/4.5</f>
        <v>0</v>
      </c>
      <c r="K163" s="41"/>
    </row>
    <row r="164" spans="2:14" x14ac:dyDescent="0.2">
      <c r="B164" s="38"/>
      <c r="C164" s="40"/>
      <c r="D164" s="40" t="s">
        <v>353</v>
      </c>
      <c r="E164" s="40"/>
      <c r="F164" s="40"/>
      <c r="G164" s="40"/>
      <c r="H164" s="40"/>
      <c r="I164" s="40"/>
      <c r="J164" s="40"/>
      <c r="K164" s="41"/>
    </row>
    <row r="165" spans="2:14" x14ac:dyDescent="0.2">
      <c r="B165" s="38"/>
      <c r="C165" s="40" t="s">
        <v>260</v>
      </c>
      <c r="D165" s="40"/>
      <c r="E165" s="40"/>
      <c r="F165" s="40"/>
      <c r="G165" s="40"/>
      <c r="H165" s="40"/>
      <c r="I165" s="40"/>
      <c r="J165" s="245" t="str">
        <f>IF(OR(J161=0,J161="Not Calculated")=TRUE,"Not Calculated",IF((J161-J162)&lt;=0,4,IF(((J161+J163)/(J161-J162))&lt;=1,0,IF(((J161+J163)/(J161-J162))&lt;=1.05,1,IF(((J161+J163)/(J161-J162))&lt;=1.5, 2,IF(((J161+J163)/(J161-J162))&lt;=2,3,4))))))</f>
        <v>Not Calculated</v>
      </c>
      <c r="K165" s="41"/>
    </row>
    <row r="166" spans="2:14" ht="9.75" customHeight="1" x14ac:dyDescent="0.2">
      <c r="B166" s="38"/>
      <c r="C166" s="279" t="str">
        <f>"0:"</f>
        <v>0:</v>
      </c>
      <c r="D166" s="278" t="s">
        <v>918</v>
      </c>
      <c r="E166" s="40"/>
      <c r="F166" s="40"/>
      <c r="G166" s="40"/>
      <c r="H166" s="40"/>
      <c r="I166" s="40"/>
      <c r="J166" s="40"/>
      <c r="K166" s="41"/>
    </row>
    <row r="167" spans="2:14" ht="9.75" customHeight="1" x14ac:dyDescent="0.2">
      <c r="B167" s="38"/>
      <c r="C167" s="280" t="str">
        <f>"1:"</f>
        <v>1:</v>
      </c>
      <c r="D167" s="278" t="s">
        <v>923</v>
      </c>
      <c r="E167" s="40"/>
      <c r="F167" s="40"/>
      <c r="G167" s="40"/>
      <c r="H167" s="40"/>
      <c r="I167" s="40"/>
      <c r="J167" s="40"/>
      <c r="K167" s="41"/>
    </row>
    <row r="168" spans="2:14" ht="9.75" customHeight="1" x14ac:dyDescent="0.2">
      <c r="B168" s="38"/>
      <c r="C168" s="280" t="str">
        <f>"2:"</f>
        <v>2:</v>
      </c>
      <c r="D168" s="278" t="s">
        <v>924</v>
      </c>
      <c r="E168" s="40"/>
      <c r="F168" s="40"/>
      <c r="G168" s="40"/>
      <c r="H168" s="40"/>
      <c r="I168" s="40"/>
      <c r="J168" s="40"/>
      <c r="K168" s="41"/>
    </row>
    <row r="169" spans="2:14" ht="9.75" customHeight="1" x14ac:dyDescent="0.2">
      <c r="B169" s="38"/>
      <c r="C169" s="280" t="str">
        <f>"3:"</f>
        <v>3:</v>
      </c>
      <c r="D169" s="278" t="s">
        <v>925</v>
      </c>
      <c r="E169" s="40"/>
      <c r="F169" s="40"/>
      <c r="G169" s="40"/>
      <c r="H169" s="40"/>
      <c r="I169" s="40"/>
      <c r="J169" s="40"/>
      <c r="K169" s="41"/>
    </row>
    <row r="170" spans="2:14" ht="9.75" customHeight="1" x14ac:dyDescent="0.2">
      <c r="B170" s="38"/>
      <c r="C170" s="280" t="str">
        <f>"4:"</f>
        <v>4:</v>
      </c>
      <c r="D170" s="278" t="s">
        <v>926</v>
      </c>
      <c r="E170" s="40"/>
      <c r="F170" s="40"/>
      <c r="G170" s="40"/>
      <c r="H170" s="40"/>
      <c r="I170" s="40"/>
      <c r="J170" s="40"/>
      <c r="K170" s="41"/>
      <c r="N170" s="12" t="s">
        <v>661</v>
      </c>
    </row>
    <row r="171" spans="2:14" x14ac:dyDescent="0.2">
      <c r="B171" s="38"/>
      <c r="C171" s="174" t="s">
        <v>662</v>
      </c>
      <c r="D171" s="40"/>
      <c r="E171" s="40"/>
      <c r="F171" s="40"/>
      <c r="G171" s="40"/>
      <c r="H171" s="40"/>
      <c r="I171" s="40"/>
      <c r="J171" s="265" t="s">
        <v>661</v>
      </c>
      <c r="K171" s="41"/>
      <c r="N171" s="12" t="s">
        <v>894</v>
      </c>
    </row>
    <row r="172" spans="2:14" x14ac:dyDescent="0.2">
      <c r="B172" s="38"/>
      <c r="C172" s="174" t="s">
        <v>660</v>
      </c>
      <c r="D172" s="40"/>
      <c r="E172" s="40"/>
      <c r="F172" s="40"/>
      <c r="G172" s="40"/>
      <c r="H172" s="40"/>
      <c r="I172" s="40"/>
      <c r="J172" s="246" t="str">
        <f>IF(J171=N170,"N/A",IF(J171=N171,0,IF(J171=N172,1,IF(J171=N173,2,IF(J171=N174,3,IF(J171=N175,4,"N/A"))))))</f>
        <v>N/A</v>
      </c>
      <c r="K172" s="41"/>
      <c r="N172" s="12" t="s">
        <v>899</v>
      </c>
    </row>
    <row r="173" spans="2:14" x14ac:dyDescent="0.2">
      <c r="B173" s="38"/>
      <c r="C173" s="40" t="s">
        <v>257</v>
      </c>
      <c r="D173" s="40"/>
      <c r="E173" s="40"/>
      <c r="F173" s="40"/>
      <c r="G173" s="40"/>
      <c r="H173" s="40"/>
      <c r="I173" s="40"/>
      <c r="J173" s="266" t="s">
        <v>874</v>
      </c>
      <c r="K173" s="41"/>
      <c r="N173" s="12" t="s">
        <v>900</v>
      </c>
    </row>
    <row r="174" spans="2:14" x14ac:dyDescent="0.2">
      <c r="B174" s="38"/>
      <c r="C174" s="40" t="s">
        <v>261</v>
      </c>
      <c r="D174" s="40"/>
      <c r="E174" s="40"/>
      <c r="F174" s="40"/>
      <c r="G174" s="40"/>
      <c r="H174" s="40"/>
      <c r="I174" s="40"/>
      <c r="J174" s="248">
        <f>IF(J173=$B$973,$A$973,IF(J173=$B$974,$A$974,IF(J173=$B$975,$A$975,IF(J173=$B$976,$A$976,IF(J173=$B$977,$A$977,"Not Calculated")))))</f>
        <v>4</v>
      </c>
      <c r="K174" s="41"/>
      <c r="N174" s="12" t="s">
        <v>901</v>
      </c>
    </row>
    <row r="175" spans="2:14" x14ac:dyDescent="0.2">
      <c r="B175" s="38"/>
      <c r="C175" s="40" t="s">
        <v>893</v>
      </c>
      <c r="D175" s="40"/>
      <c r="E175" s="40"/>
      <c r="F175" s="40"/>
      <c r="G175" s="40"/>
      <c r="H175" s="40"/>
      <c r="I175" s="40"/>
      <c r="J175" s="40"/>
      <c r="K175" s="41"/>
      <c r="N175" s="12" t="s">
        <v>902</v>
      </c>
    </row>
    <row r="176" spans="2:14" ht="15" customHeight="1" x14ac:dyDescent="0.2">
      <c r="B176" s="38"/>
      <c r="C176" s="399"/>
      <c r="D176" s="400"/>
      <c r="E176" s="400"/>
      <c r="F176" s="400"/>
      <c r="G176" s="400"/>
      <c r="H176" s="400"/>
      <c r="I176" s="400"/>
      <c r="J176" s="401"/>
      <c r="K176" s="41"/>
    </row>
    <row r="177" spans="2:14" x14ac:dyDescent="0.2">
      <c r="B177" s="38"/>
      <c r="C177" s="40"/>
      <c r="D177" s="40"/>
      <c r="E177" s="40"/>
      <c r="F177" s="40"/>
      <c r="G177" s="40"/>
      <c r="H177" s="40"/>
      <c r="I177" s="40"/>
      <c r="J177" s="40"/>
      <c r="K177" s="41"/>
    </row>
    <row r="178" spans="2:14" x14ac:dyDescent="0.2">
      <c r="B178" s="38"/>
      <c r="C178" s="179" t="s">
        <v>274</v>
      </c>
      <c r="D178" s="40"/>
      <c r="E178" s="40"/>
      <c r="F178" s="40"/>
      <c r="G178" s="40"/>
      <c r="H178" s="40"/>
      <c r="I178" s="40"/>
      <c r="J178" s="245" t="str">
        <f>IF(J172="N/A",IF(OR(J165="Not Calculated",J174="Not Calculated")=TRUE,"Not Calculated",AVERAGE(J165,J174)),AVERAGE(J172,J174))</f>
        <v>Not Calculated</v>
      </c>
      <c r="K178" s="41"/>
    </row>
    <row r="179" spans="2:14" x14ac:dyDescent="0.2">
      <c r="B179" s="38"/>
      <c r="C179" s="40"/>
      <c r="D179" s="40"/>
      <c r="E179" s="40"/>
      <c r="F179" s="40"/>
      <c r="G179" s="40"/>
      <c r="H179" s="40"/>
      <c r="I179" s="40"/>
      <c r="J179" s="40"/>
      <c r="K179" s="41"/>
    </row>
    <row r="180" spans="2:14" x14ac:dyDescent="0.2">
      <c r="B180" s="38"/>
      <c r="C180" s="40"/>
      <c r="D180" s="40"/>
      <c r="E180" s="40"/>
      <c r="F180" s="40"/>
      <c r="G180" s="40"/>
      <c r="H180" s="40"/>
      <c r="I180" s="40"/>
      <c r="J180" s="40"/>
      <c r="K180" s="41"/>
    </row>
    <row r="181" spans="2:14" ht="16" x14ac:dyDescent="0.2">
      <c r="B181" s="38"/>
      <c r="C181" s="45" t="s">
        <v>74</v>
      </c>
      <c r="D181" s="40"/>
      <c r="E181" s="40"/>
      <c r="F181" s="40"/>
      <c r="G181" s="40"/>
      <c r="H181" s="40"/>
      <c r="I181" s="40"/>
      <c r="J181" s="40"/>
      <c r="K181" s="41"/>
    </row>
    <row r="182" spans="2:14" x14ac:dyDescent="0.2">
      <c r="B182" s="38"/>
      <c r="C182" s="40" t="s">
        <v>443</v>
      </c>
      <c r="D182" s="40"/>
      <c r="E182" s="40"/>
      <c r="F182" s="40"/>
      <c r="G182" s="40"/>
      <c r="H182" s="40"/>
      <c r="I182" s="40"/>
      <c r="J182" s="252">
        <f>'Baseline Health'!G59</f>
        <v>0</v>
      </c>
      <c r="K182" s="41"/>
    </row>
    <row r="183" spans="2:14" x14ac:dyDescent="0.2">
      <c r="B183" s="38"/>
      <c r="C183" s="40" t="s">
        <v>281</v>
      </c>
      <c r="D183" s="40"/>
      <c r="E183" s="40"/>
      <c r="F183" s="40"/>
      <c r="G183" s="40"/>
      <c r="H183" s="40"/>
      <c r="I183" s="40"/>
      <c r="J183" s="264">
        <v>0</v>
      </c>
      <c r="K183" s="41"/>
    </row>
    <row r="184" spans="2:14" x14ac:dyDescent="0.2">
      <c r="B184" s="38"/>
      <c r="C184" s="40" t="s">
        <v>354</v>
      </c>
      <c r="D184" s="40"/>
      <c r="E184" s="40"/>
      <c r="F184" s="40"/>
      <c r="G184" s="40"/>
      <c r="H184" s="40"/>
      <c r="I184" s="40"/>
      <c r="J184" s="264">
        <f>J64</f>
        <v>0</v>
      </c>
      <c r="K184" s="41"/>
    </row>
    <row r="185" spans="2:14" x14ac:dyDescent="0.2">
      <c r="B185" s="38"/>
      <c r="C185" s="40" t="s">
        <v>260</v>
      </c>
      <c r="D185" s="40"/>
      <c r="E185" s="40"/>
      <c r="F185" s="40"/>
      <c r="G185" s="40"/>
      <c r="H185" s="40"/>
      <c r="I185" s="40"/>
      <c r="J185" s="248" t="str">
        <f>IF(OR(J182=0,J182="Not Calculated")=TRUE,"Not Calculated",IF(J182-J183=0,4,IF(((J182+J184)/(J182-J183))&lt;=1,0,IF(((J182+J184)/(J182-J183))&lt;=1.05,1,IF(((J182+J184)/(J182-J183))&lt;=1.5, 2,IF(((J182+J184)/(J182-J183))&lt;=2,3,4))))))</f>
        <v>Not Calculated</v>
      </c>
      <c r="K185" s="41"/>
    </row>
    <row r="186" spans="2:14" ht="9.75" customHeight="1" x14ac:dyDescent="0.2">
      <c r="B186" s="38"/>
      <c r="C186" s="279" t="str">
        <f>"0:"</f>
        <v>0:</v>
      </c>
      <c r="D186" s="278" t="s">
        <v>918</v>
      </c>
      <c r="E186" s="40"/>
      <c r="F186" s="40"/>
      <c r="G186" s="40"/>
      <c r="H186" s="40"/>
      <c r="I186" s="40"/>
      <c r="J186" s="40"/>
      <c r="K186" s="41"/>
    </row>
    <row r="187" spans="2:14" ht="9.75" customHeight="1" x14ac:dyDescent="0.2">
      <c r="B187" s="38"/>
      <c r="C187" s="280" t="str">
        <f>"1:"</f>
        <v>1:</v>
      </c>
      <c r="D187" s="278" t="s">
        <v>923</v>
      </c>
      <c r="E187" s="40"/>
      <c r="F187" s="40"/>
      <c r="G187" s="40"/>
      <c r="H187" s="40"/>
      <c r="I187" s="40"/>
      <c r="J187" s="40"/>
      <c r="K187" s="41"/>
    </row>
    <row r="188" spans="2:14" ht="9.75" customHeight="1" x14ac:dyDescent="0.2">
      <c r="B188" s="38"/>
      <c r="C188" s="280" t="str">
        <f>"2:"</f>
        <v>2:</v>
      </c>
      <c r="D188" s="278" t="s">
        <v>924</v>
      </c>
      <c r="E188" s="40"/>
      <c r="F188" s="40"/>
      <c r="G188" s="40"/>
      <c r="H188" s="40"/>
      <c r="I188" s="40"/>
      <c r="J188" s="40"/>
      <c r="K188" s="41"/>
    </row>
    <row r="189" spans="2:14" ht="9.75" customHeight="1" x14ac:dyDescent="0.2">
      <c r="B189" s="38"/>
      <c r="C189" s="280" t="str">
        <f>"3:"</f>
        <v>3:</v>
      </c>
      <c r="D189" s="278" t="s">
        <v>925</v>
      </c>
      <c r="E189" s="40"/>
      <c r="F189" s="40"/>
      <c r="G189" s="40"/>
      <c r="H189" s="40"/>
      <c r="I189" s="40"/>
      <c r="J189" s="40"/>
      <c r="K189" s="41"/>
    </row>
    <row r="190" spans="2:14" ht="9.75" customHeight="1" x14ac:dyDescent="0.2">
      <c r="B190" s="38"/>
      <c r="C190" s="280" t="str">
        <f>"4:"</f>
        <v>4:</v>
      </c>
      <c r="D190" s="278" t="s">
        <v>926</v>
      </c>
      <c r="E190" s="40"/>
      <c r="F190" s="40"/>
      <c r="G190" s="40"/>
      <c r="H190" s="40"/>
      <c r="I190" s="40"/>
      <c r="J190" s="40"/>
      <c r="K190" s="41"/>
      <c r="N190" s="12" t="s">
        <v>661</v>
      </c>
    </row>
    <row r="191" spans="2:14" x14ac:dyDescent="0.2">
      <c r="B191" s="38"/>
      <c r="C191" s="174" t="s">
        <v>662</v>
      </c>
      <c r="D191" s="40"/>
      <c r="E191" s="40"/>
      <c r="F191" s="40"/>
      <c r="G191" s="40"/>
      <c r="H191" s="40"/>
      <c r="I191" s="40"/>
      <c r="J191" s="265" t="s">
        <v>661</v>
      </c>
      <c r="K191" s="41"/>
      <c r="N191" s="12" t="s">
        <v>894</v>
      </c>
    </row>
    <row r="192" spans="2:14" x14ac:dyDescent="0.2">
      <c r="B192" s="38"/>
      <c r="C192" s="174" t="s">
        <v>660</v>
      </c>
      <c r="D192" s="40"/>
      <c r="E192" s="40"/>
      <c r="F192" s="40"/>
      <c r="G192" s="40"/>
      <c r="H192" s="40"/>
      <c r="I192" s="40"/>
      <c r="J192" s="246" t="str">
        <f>IF(J191=N190,"N/A",IF(J191=N191,0,IF(J191=N192,1,IF(J191=N193,2,IF(J191=N194,3,IF(J191=N195,4,"N/A"))))))</f>
        <v>N/A</v>
      </c>
      <c r="K192" s="41"/>
      <c r="N192" s="12" t="s">
        <v>899</v>
      </c>
    </row>
    <row r="193" spans="2:14" x14ac:dyDescent="0.2">
      <c r="B193" s="38"/>
      <c r="C193" s="40" t="s">
        <v>257</v>
      </c>
      <c r="D193" s="40"/>
      <c r="E193" s="40"/>
      <c r="F193" s="40"/>
      <c r="G193" s="40"/>
      <c r="H193" s="40"/>
      <c r="I193" s="40"/>
      <c r="J193" s="266" t="s">
        <v>874</v>
      </c>
      <c r="K193" s="41"/>
      <c r="N193" s="12" t="s">
        <v>900</v>
      </c>
    </row>
    <row r="194" spans="2:14" x14ac:dyDescent="0.2">
      <c r="B194" s="38"/>
      <c r="C194" s="40" t="s">
        <v>261</v>
      </c>
      <c r="D194" s="40"/>
      <c r="E194" s="40"/>
      <c r="F194" s="40"/>
      <c r="G194" s="40"/>
      <c r="H194" s="40"/>
      <c r="I194" s="40"/>
      <c r="J194" s="248">
        <f>IF(J193=$B$973,$A$973,IF(J193=$B$974,$A$974,IF(J193=$B$975,$A$975,IF(J193=$B$976,$A$976,IF(J193=$B$977,$A$977,"Not Calculated")))))</f>
        <v>4</v>
      </c>
      <c r="K194" s="41"/>
      <c r="N194" s="12" t="s">
        <v>901</v>
      </c>
    </row>
    <row r="195" spans="2:14" x14ac:dyDescent="0.2">
      <c r="B195" s="38"/>
      <c r="C195" s="40" t="s">
        <v>893</v>
      </c>
      <c r="D195" s="40"/>
      <c r="E195" s="40"/>
      <c r="F195" s="40"/>
      <c r="G195" s="40"/>
      <c r="H195" s="40"/>
      <c r="I195" s="40"/>
      <c r="J195" s="40"/>
      <c r="K195" s="41"/>
      <c r="N195" s="12" t="s">
        <v>902</v>
      </c>
    </row>
    <row r="196" spans="2:14" ht="30" customHeight="1" x14ac:dyDescent="0.2">
      <c r="B196" s="38"/>
      <c r="C196" s="399" t="s">
        <v>1008</v>
      </c>
      <c r="D196" s="400"/>
      <c r="E196" s="400"/>
      <c r="F196" s="400"/>
      <c r="G196" s="400"/>
      <c r="H196" s="400"/>
      <c r="I196" s="400"/>
      <c r="J196" s="401"/>
      <c r="K196" s="41"/>
    </row>
    <row r="197" spans="2:14" x14ac:dyDescent="0.2">
      <c r="B197" s="38"/>
      <c r="C197" s="40"/>
      <c r="D197" s="40"/>
      <c r="E197" s="40"/>
      <c r="F197" s="40"/>
      <c r="G197" s="40"/>
      <c r="H197" s="40"/>
      <c r="I197" s="40"/>
      <c r="J197" s="40"/>
      <c r="K197" s="41"/>
    </row>
    <row r="198" spans="2:14" x14ac:dyDescent="0.2">
      <c r="B198" s="38"/>
      <c r="C198" s="179" t="s">
        <v>275</v>
      </c>
      <c r="D198" s="40"/>
      <c r="E198" s="40"/>
      <c r="F198" s="40"/>
      <c r="G198" s="40"/>
      <c r="H198" s="40"/>
      <c r="I198" s="40"/>
      <c r="J198" s="245" t="str">
        <f>IF(J192="N/A",IF(OR(J185="Not Calculated",J194="Not Calculated")=TRUE,"Not Calculated",AVERAGE(J185,J194)),AVERAGE(J192,J194))</f>
        <v>Not Calculated</v>
      </c>
      <c r="K198" s="41"/>
    </row>
    <row r="199" spans="2:14" x14ac:dyDescent="0.2">
      <c r="B199" s="38"/>
      <c r="C199" s="40"/>
      <c r="D199" s="40"/>
      <c r="E199" s="40"/>
      <c r="F199" s="40"/>
      <c r="G199" s="40"/>
      <c r="H199" s="40"/>
      <c r="I199" s="40"/>
      <c r="J199" s="40"/>
      <c r="K199" s="41"/>
    </row>
    <row r="200" spans="2:14" x14ac:dyDescent="0.2">
      <c r="B200" s="38"/>
      <c r="C200" s="40"/>
      <c r="D200" s="40"/>
      <c r="E200" s="40"/>
      <c r="F200" s="40"/>
      <c r="G200" s="40"/>
      <c r="H200" s="40"/>
      <c r="I200" s="40"/>
      <c r="J200" s="40"/>
      <c r="K200" s="41"/>
    </row>
    <row r="201" spans="2:14" ht="16" x14ac:dyDescent="0.2">
      <c r="B201" s="38"/>
      <c r="C201" s="45" t="s">
        <v>75</v>
      </c>
      <c r="D201" s="40"/>
      <c r="E201" s="40"/>
      <c r="F201" s="40"/>
      <c r="G201" s="40"/>
      <c r="H201" s="40"/>
      <c r="I201" s="40"/>
      <c r="J201" s="40"/>
      <c r="K201" s="41"/>
    </row>
    <row r="202" spans="2:14" x14ac:dyDescent="0.2">
      <c r="B202" s="38"/>
      <c r="C202" s="40" t="s">
        <v>444</v>
      </c>
      <c r="D202" s="40"/>
      <c r="E202" s="40"/>
      <c r="F202" s="40"/>
      <c r="G202" s="40"/>
      <c r="H202" s="40"/>
      <c r="I202" s="40"/>
      <c r="J202" s="252">
        <f>'Baseline Health'!G65</f>
        <v>0</v>
      </c>
      <c r="K202" s="41"/>
    </row>
    <row r="203" spans="2:14" x14ac:dyDescent="0.2">
      <c r="B203" s="38"/>
      <c r="C203" s="40" t="s">
        <v>282</v>
      </c>
      <c r="D203" s="40"/>
      <c r="E203" s="40"/>
      <c r="F203" s="40"/>
      <c r="G203" s="40"/>
      <c r="H203" s="40"/>
      <c r="I203" s="40"/>
      <c r="J203" s="264">
        <v>0</v>
      </c>
      <c r="K203" s="41"/>
    </row>
    <row r="204" spans="2:14" x14ac:dyDescent="0.2">
      <c r="B204" s="38"/>
      <c r="C204" s="40" t="s">
        <v>355</v>
      </c>
      <c r="D204" s="40"/>
      <c r="E204" s="40"/>
      <c r="F204" s="40"/>
      <c r="G204" s="40"/>
      <c r="H204" s="40"/>
      <c r="I204" s="40"/>
      <c r="J204" s="264">
        <f>J202*0.5</f>
        <v>0</v>
      </c>
      <c r="K204" s="41"/>
    </row>
    <row r="205" spans="2:14" x14ac:dyDescent="0.2">
      <c r="B205" s="38"/>
      <c r="C205" s="40" t="s">
        <v>260</v>
      </c>
      <c r="D205" s="40"/>
      <c r="E205" s="40"/>
      <c r="F205" s="40"/>
      <c r="G205" s="40"/>
      <c r="H205" s="40"/>
      <c r="I205" s="40"/>
      <c r="J205" s="248" t="str">
        <f>IF(OR(J202=0,J202="Not Calculated")=TRUE,"Not Calculated",IF(J202-J203=0,4,IF(((J202+J204)/(J202-J203))&lt;=1,0,IF(((J202+J204)/(J202-J203))&lt;=1.05,1,IF(((J202+J204)/(J202-J203))&lt;=1.5, 2,IF(((J202+J204)/(J202-J203))&lt;=2,3,4))))))</f>
        <v>Not Calculated</v>
      </c>
      <c r="K205" s="41"/>
    </row>
    <row r="206" spans="2:14" ht="9.75" customHeight="1" x14ac:dyDescent="0.2">
      <c r="B206" s="38"/>
      <c r="C206" s="279" t="str">
        <f>"0:"</f>
        <v>0:</v>
      </c>
      <c r="D206" s="278" t="s">
        <v>918</v>
      </c>
      <c r="E206" s="40"/>
      <c r="F206" s="40"/>
      <c r="G206" s="40"/>
      <c r="H206" s="40"/>
      <c r="I206" s="40"/>
      <c r="J206" s="40"/>
      <c r="K206" s="41"/>
    </row>
    <row r="207" spans="2:14" ht="9.75" customHeight="1" x14ac:dyDescent="0.2">
      <c r="B207" s="38"/>
      <c r="C207" s="280" t="str">
        <f>"1:"</f>
        <v>1:</v>
      </c>
      <c r="D207" s="278" t="s">
        <v>923</v>
      </c>
      <c r="E207" s="40"/>
      <c r="F207" s="40"/>
      <c r="G207" s="40"/>
      <c r="H207" s="40"/>
      <c r="I207" s="40"/>
      <c r="J207" s="40"/>
      <c r="K207" s="41"/>
    </row>
    <row r="208" spans="2:14" ht="9.75" customHeight="1" x14ac:dyDescent="0.2">
      <c r="B208" s="38"/>
      <c r="C208" s="280" t="str">
        <f>"2:"</f>
        <v>2:</v>
      </c>
      <c r="D208" s="278" t="s">
        <v>924</v>
      </c>
      <c r="E208" s="40"/>
      <c r="F208" s="40"/>
      <c r="G208" s="40"/>
      <c r="H208" s="40"/>
      <c r="I208" s="40"/>
      <c r="J208" s="40"/>
      <c r="K208" s="41"/>
    </row>
    <row r="209" spans="2:14" ht="9.75" customHeight="1" x14ac:dyDescent="0.2">
      <c r="B209" s="38"/>
      <c r="C209" s="280" t="str">
        <f>"3:"</f>
        <v>3:</v>
      </c>
      <c r="D209" s="278" t="s">
        <v>925</v>
      </c>
      <c r="E209" s="40"/>
      <c r="F209" s="40"/>
      <c r="G209" s="40"/>
      <c r="H209" s="40"/>
      <c r="I209" s="40"/>
      <c r="J209" s="40"/>
      <c r="K209" s="41"/>
    </row>
    <row r="210" spans="2:14" ht="9.75" customHeight="1" x14ac:dyDescent="0.2">
      <c r="B210" s="38"/>
      <c r="C210" s="280" t="str">
        <f>"4:"</f>
        <v>4:</v>
      </c>
      <c r="D210" s="278" t="s">
        <v>926</v>
      </c>
      <c r="E210" s="40"/>
      <c r="F210" s="40"/>
      <c r="G210" s="40"/>
      <c r="H210" s="40"/>
      <c r="I210" s="40"/>
      <c r="J210" s="40"/>
      <c r="K210" s="41"/>
      <c r="N210" s="12" t="s">
        <v>661</v>
      </c>
    </row>
    <row r="211" spans="2:14" x14ac:dyDescent="0.2">
      <c r="B211" s="38"/>
      <c r="C211" s="174" t="s">
        <v>662</v>
      </c>
      <c r="D211" s="40"/>
      <c r="E211" s="40"/>
      <c r="F211" s="40"/>
      <c r="G211" s="40"/>
      <c r="H211" s="40"/>
      <c r="I211" s="40"/>
      <c r="J211" s="265" t="s">
        <v>661</v>
      </c>
      <c r="K211" s="41"/>
      <c r="N211" s="12" t="s">
        <v>894</v>
      </c>
    </row>
    <row r="212" spans="2:14" x14ac:dyDescent="0.2">
      <c r="B212" s="38"/>
      <c r="C212" s="174" t="s">
        <v>660</v>
      </c>
      <c r="D212" s="40"/>
      <c r="E212" s="40"/>
      <c r="F212" s="40"/>
      <c r="G212" s="40"/>
      <c r="H212" s="40"/>
      <c r="I212" s="40"/>
      <c r="J212" s="246" t="str">
        <f>IF(J211=N210,"N/A",IF(J211=N211,0,IF(J211=N212,1,IF(J211=N213,2,IF(J211=N214,3,IF(J211=N215,4,"N/A"))))))</f>
        <v>N/A</v>
      </c>
      <c r="K212" s="41"/>
      <c r="N212" s="12" t="s">
        <v>899</v>
      </c>
    </row>
    <row r="213" spans="2:14" x14ac:dyDescent="0.2">
      <c r="B213" s="38"/>
      <c r="C213" s="40" t="s">
        <v>257</v>
      </c>
      <c r="D213" s="40"/>
      <c r="E213" s="40"/>
      <c r="F213" s="40"/>
      <c r="G213" s="40"/>
      <c r="H213" s="40"/>
      <c r="I213" s="40"/>
      <c r="J213" s="266" t="s">
        <v>874</v>
      </c>
      <c r="K213" s="41"/>
      <c r="N213" s="12" t="s">
        <v>900</v>
      </c>
    </row>
    <row r="214" spans="2:14" x14ac:dyDescent="0.2">
      <c r="B214" s="38"/>
      <c r="C214" s="40" t="s">
        <v>261</v>
      </c>
      <c r="D214" s="40"/>
      <c r="E214" s="40"/>
      <c r="F214" s="40"/>
      <c r="G214" s="40"/>
      <c r="H214" s="40"/>
      <c r="I214" s="40"/>
      <c r="J214" s="248">
        <f>IF(J213=$B$973,$A$973,IF(J213=$B$974,$A$974,IF(J213=$B$975,$A$975,IF(J213=$B$976,$A$976,IF(J213=$B$977,$A$977,"Not Calculated")))))</f>
        <v>4</v>
      </c>
      <c r="K214" s="41"/>
      <c r="N214" s="12" t="s">
        <v>901</v>
      </c>
    </row>
    <row r="215" spans="2:14" x14ac:dyDescent="0.2">
      <c r="B215" s="38"/>
      <c r="C215" s="40" t="s">
        <v>893</v>
      </c>
      <c r="D215" s="40"/>
      <c r="E215" s="40"/>
      <c r="F215" s="40"/>
      <c r="G215" s="40"/>
      <c r="H215" s="40"/>
      <c r="I215" s="40"/>
      <c r="J215" s="40"/>
      <c r="K215" s="41"/>
      <c r="N215" s="12" t="s">
        <v>902</v>
      </c>
    </row>
    <row r="216" spans="2:14" ht="30" customHeight="1" x14ac:dyDescent="0.2">
      <c r="B216" s="38"/>
      <c r="C216" s="399" t="s">
        <v>423</v>
      </c>
      <c r="D216" s="400"/>
      <c r="E216" s="400"/>
      <c r="F216" s="400"/>
      <c r="G216" s="400"/>
      <c r="H216" s="400"/>
      <c r="I216" s="400"/>
      <c r="J216" s="401"/>
      <c r="K216" s="41"/>
    </row>
    <row r="217" spans="2:14" x14ac:dyDescent="0.2">
      <c r="B217" s="38"/>
      <c r="C217" s="40"/>
      <c r="D217" s="40"/>
      <c r="E217" s="40"/>
      <c r="F217" s="40"/>
      <c r="G217" s="40"/>
      <c r="H217" s="40"/>
      <c r="I217" s="40"/>
      <c r="J217" s="40"/>
      <c r="K217" s="41"/>
    </row>
    <row r="218" spans="2:14" x14ac:dyDescent="0.2">
      <c r="B218" s="38"/>
      <c r="C218" s="179" t="s">
        <v>276</v>
      </c>
      <c r="D218" s="40"/>
      <c r="E218" s="40"/>
      <c r="F218" s="40"/>
      <c r="G218" s="40"/>
      <c r="H218" s="40"/>
      <c r="I218" s="40"/>
      <c r="J218" s="245" t="str">
        <f>IF(J212="N/A",IF(OR(J205="Not Calculated",J214="Not Calculated")=TRUE,"Not Calculated",AVERAGE(J205,J214)),AVERAGE(J212,J214))</f>
        <v>Not Calculated</v>
      </c>
      <c r="K218" s="41"/>
    </row>
    <row r="219" spans="2:14" x14ac:dyDescent="0.2">
      <c r="B219" s="38"/>
      <c r="C219" s="40"/>
      <c r="D219" s="40"/>
      <c r="E219" s="40"/>
      <c r="F219" s="40"/>
      <c r="G219" s="40"/>
      <c r="H219" s="40"/>
      <c r="I219" s="40"/>
      <c r="J219" s="40"/>
      <c r="K219" s="41"/>
    </row>
    <row r="220" spans="2:14" x14ac:dyDescent="0.2">
      <c r="B220" s="38"/>
      <c r="C220" s="40"/>
      <c r="D220" s="40"/>
      <c r="E220" s="40"/>
      <c r="F220" s="40"/>
      <c r="G220" s="40"/>
      <c r="H220" s="40"/>
      <c r="I220" s="40"/>
      <c r="J220" s="40"/>
      <c r="K220" s="41"/>
    </row>
    <row r="221" spans="2:14" ht="16" x14ac:dyDescent="0.2">
      <c r="B221" s="38"/>
      <c r="C221" s="45" t="s">
        <v>76</v>
      </c>
      <c r="D221" s="40"/>
      <c r="E221" s="40"/>
      <c r="F221" s="40"/>
      <c r="G221" s="40"/>
      <c r="H221" s="40"/>
      <c r="I221" s="40"/>
      <c r="J221" s="40"/>
      <c r="K221" s="41"/>
    </row>
    <row r="222" spans="2:14" ht="15" customHeight="1" x14ac:dyDescent="0.2">
      <c r="B222" s="38"/>
      <c r="C222" s="40" t="s">
        <v>356</v>
      </c>
      <c r="D222" s="40"/>
      <c r="E222" s="40"/>
      <c r="F222" s="40"/>
      <c r="G222" s="40"/>
      <c r="H222" s="40"/>
      <c r="I222" s="40"/>
      <c r="J222" s="252">
        <f>'Baseline Health'!G71</f>
        <v>0</v>
      </c>
      <c r="K222" s="41"/>
    </row>
    <row r="223" spans="2:14" x14ac:dyDescent="0.2">
      <c r="B223" s="38"/>
      <c r="C223" s="40" t="s">
        <v>357</v>
      </c>
      <c r="D223" s="40"/>
      <c r="E223" s="40"/>
      <c r="F223" s="40"/>
      <c r="G223" s="40"/>
      <c r="H223" s="40"/>
      <c r="I223" s="40"/>
      <c r="J223" s="264">
        <v>0</v>
      </c>
      <c r="K223" s="41"/>
    </row>
    <row r="224" spans="2:14" x14ac:dyDescent="0.2">
      <c r="B224" s="38"/>
      <c r="C224" s="40" t="s">
        <v>445</v>
      </c>
      <c r="D224" s="40"/>
      <c r="E224" s="40"/>
      <c r="F224" s="40"/>
      <c r="G224" s="40"/>
      <c r="H224" s="40"/>
      <c r="I224" s="40"/>
      <c r="J224" s="255">
        <f>J102</f>
        <v>2</v>
      </c>
      <c r="K224" s="41"/>
    </row>
    <row r="225" spans="2:14" x14ac:dyDescent="0.2">
      <c r="B225" s="38"/>
      <c r="C225" s="40"/>
      <c r="D225" s="40" t="s">
        <v>446</v>
      </c>
      <c r="E225" s="40"/>
      <c r="F225" s="40"/>
      <c r="G225" s="40"/>
      <c r="H225" s="40"/>
      <c r="I225" s="40"/>
      <c r="J225" s="40"/>
      <c r="K225" s="41"/>
    </row>
    <row r="226" spans="2:14" x14ac:dyDescent="0.2">
      <c r="B226" s="38"/>
      <c r="C226" s="40" t="s">
        <v>260</v>
      </c>
      <c r="D226" s="40"/>
      <c r="E226" s="40"/>
      <c r="F226" s="40"/>
      <c r="G226" s="40"/>
      <c r="H226" s="40"/>
      <c r="I226" s="40"/>
      <c r="J226" s="245" t="str">
        <f>IF(OR(J222=0,J222="Not Calculated")=TRUE,"Not Calculated",IF(J222-J223=0,4,IF(((J222+J224)/(J222-J223))&lt;=1,0,IF(((J222+J224)/(J222-J223))&lt;=1.05,1,IF(((J222+J224)/(J222-J223))&lt;=1.5, 2,IF(((J222+J224)/(J222-J223))&lt;=2,3,4))))))</f>
        <v>Not Calculated</v>
      </c>
      <c r="K226" s="41"/>
    </row>
    <row r="227" spans="2:14" ht="9.75" customHeight="1" x14ac:dyDescent="0.2">
      <c r="B227" s="38"/>
      <c r="C227" s="279" t="str">
        <f>"0:"</f>
        <v>0:</v>
      </c>
      <c r="D227" s="278" t="s">
        <v>918</v>
      </c>
      <c r="E227" s="40"/>
      <c r="F227" s="40"/>
      <c r="G227" s="40"/>
      <c r="H227" s="40"/>
      <c r="I227" s="40"/>
      <c r="J227" s="40"/>
      <c r="K227" s="41"/>
    </row>
    <row r="228" spans="2:14" ht="9.75" customHeight="1" x14ac:dyDescent="0.2">
      <c r="B228" s="38"/>
      <c r="C228" s="280" t="str">
        <f>"1:"</f>
        <v>1:</v>
      </c>
      <c r="D228" s="278" t="s">
        <v>923</v>
      </c>
      <c r="E228" s="40"/>
      <c r="F228" s="40"/>
      <c r="G228" s="40"/>
      <c r="H228" s="40"/>
      <c r="I228" s="40"/>
      <c r="J228" s="40"/>
      <c r="K228" s="41"/>
    </row>
    <row r="229" spans="2:14" ht="9.75" customHeight="1" x14ac:dyDescent="0.2">
      <c r="B229" s="38"/>
      <c r="C229" s="280" t="str">
        <f>"2:"</f>
        <v>2:</v>
      </c>
      <c r="D229" s="278" t="s">
        <v>924</v>
      </c>
      <c r="E229" s="40"/>
      <c r="F229" s="40"/>
      <c r="G229" s="40"/>
      <c r="H229" s="40"/>
      <c r="I229" s="40"/>
      <c r="J229" s="40"/>
      <c r="K229" s="41"/>
    </row>
    <row r="230" spans="2:14" ht="9.75" customHeight="1" x14ac:dyDescent="0.2">
      <c r="B230" s="38"/>
      <c r="C230" s="280" t="str">
        <f>"3:"</f>
        <v>3:</v>
      </c>
      <c r="D230" s="278" t="s">
        <v>925</v>
      </c>
      <c r="E230" s="40"/>
      <c r="F230" s="40"/>
      <c r="G230" s="40"/>
      <c r="H230" s="40"/>
      <c r="I230" s="40"/>
      <c r="J230" s="40"/>
      <c r="K230" s="41"/>
    </row>
    <row r="231" spans="2:14" ht="9.75" customHeight="1" x14ac:dyDescent="0.2">
      <c r="B231" s="38"/>
      <c r="C231" s="280" t="str">
        <f>"4:"</f>
        <v>4:</v>
      </c>
      <c r="D231" s="278" t="s">
        <v>926</v>
      </c>
      <c r="E231" s="40"/>
      <c r="F231" s="40"/>
      <c r="G231" s="40"/>
      <c r="H231" s="40"/>
      <c r="I231" s="40"/>
      <c r="J231" s="40"/>
      <c r="K231" s="41"/>
      <c r="N231" s="12" t="s">
        <v>661</v>
      </c>
    </row>
    <row r="232" spans="2:14" x14ac:dyDescent="0.2">
      <c r="B232" s="38"/>
      <c r="C232" s="174" t="s">
        <v>662</v>
      </c>
      <c r="D232" s="40"/>
      <c r="E232" s="40"/>
      <c r="F232" s="40"/>
      <c r="G232" s="40"/>
      <c r="H232" s="40"/>
      <c r="I232" s="40"/>
      <c r="J232" s="265" t="s">
        <v>661</v>
      </c>
      <c r="K232" s="41"/>
      <c r="N232" s="12" t="s">
        <v>894</v>
      </c>
    </row>
    <row r="233" spans="2:14" x14ac:dyDescent="0.2">
      <c r="B233" s="38"/>
      <c r="C233" s="174" t="s">
        <v>660</v>
      </c>
      <c r="D233" s="40"/>
      <c r="E233" s="40"/>
      <c r="F233" s="40"/>
      <c r="G233" s="40"/>
      <c r="H233" s="40"/>
      <c r="I233" s="40"/>
      <c r="J233" s="246" t="str">
        <f>IF(J232=N231,"N/A",IF(J232=N232,0,IF(J232=N233,1,IF(J232=N234,2,IF(J232=N235,3,IF(J232=N236,4,"N/A"))))))</f>
        <v>N/A</v>
      </c>
      <c r="K233" s="41"/>
      <c r="N233" s="12" t="s">
        <v>899</v>
      </c>
    </row>
    <row r="234" spans="2:14" x14ac:dyDescent="0.2">
      <c r="B234" s="38"/>
      <c r="C234" s="40" t="s">
        <v>257</v>
      </c>
      <c r="D234" s="40"/>
      <c r="E234" s="40"/>
      <c r="F234" s="40"/>
      <c r="G234" s="40"/>
      <c r="H234" s="40"/>
      <c r="I234" s="40"/>
      <c r="J234" s="266" t="s">
        <v>874</v>
      </c>
      <c r="K234" s="41"/>
      <c r="N234" s="12" t="s">
        <v>900</v>
      </c>
    </row>
    <row r="235" spans="2:14" x14ac:dyDescent="0.2">
      <c r="B235" s="38"/>
      <c r="C235" s="40" t="s">
        <v>261</v>
      </c>
      <c r="D235" s="40"/>
      <c r="E235" s="40"/>
      <c r="F235" s="40"/>
      <c r="G235" s="40"/>
      <c r="H235" s="40"/>
      <c r="I235" s="40"/>
      <c r="J235" s="248">
        <f>IF(J234=$B$973,$A$973,IF(J234=$B$974,$A$974,IF(J234=$B$975,$A$975,IF(J234=$B$976,$A$976,IF(J234=$B$977,$A$977,"Not Calculated")))))</f>
        <v>4</v>
      </c>
      <c r="K235" s="41"/>
      <c r="N235" s="12" t="s">
        <v>901</v>
      </c>
    </row>
    <row r="236" spans="2:14" x14ac:dyDescent="0.2">
      <c r="B236" s="38"/>
      <c r="C236" s="40" t="s">
        <v>893</v>
      </c>
      <c r="D236" s="40"/>
      <c r="E236" s="40"/>
      <c r="F236" s="40"/>
      <c r="G236" s="40"/>
      <c r="H236" s="40"/>
      <c r="I236" s="40"/>
      <c r="J236" s="40"/>
      <c r="K236" s="41"/>
      <c r="N236" s="12" t="s">
        <v>902</v>
      </c>
    </row>
    <row r="237" spans="2:14" ht="15" customHeight="1" x14ac:dyDescent="0.2">
      <c r="B237" s="38"/>
      <c r="C237" s="399"/>
      <c r="D237" s="400"/>
      <c r="E237" s="400"/>
      <c r="F237" s="400"/>
      <c r="G237" s="400"/>
      <c r="H237" s="400"/>
      <c r="I237" s="400"/>
      <c r="J237" s="401"/>
      <c r="K237" s="41"/>
    </row>
    <row r="238" spans="2:14" x14ac:dyDescent="0.2">
      <c r="B238" s="38"/>
      <c r="C238" s="40"/>
      <c r="D238" s="40"/>
      <c r="E238" s="40"/>
      <c r="F238" s="40"/>
      <c r="G238" s="40"/>
      <c r="H238" s="40"/>
      <c r="I238" s="40"/>
      <c r="J238" s="40"/>
      <c r="K238" s="41"/>
    </row>
    <row r="239" spans="2:14" x14ac:dyDescent="0.2">
      <c r="B239" s="38"/>
      <c r="C239" s="179" t="s">
        <v>277</v>
      </c>
      <c r="D239" s="40"/>
      <c r="E239" s="40"/>
      <c r="F239" s="40"/>
      <c r="G239" s="40"/>
      <c r="H239" s="40"/>
      <c r="I239" s="40"/>
      <c r="J239" s="245" t="str">
        <f>IF(J233="N/A",IF(OR(J226="Not Calculated",J235="Not Calculated")=TRUE,"Not Calculated",AVERAGE(J226,J235)),AVERAGE(J233,J235))</f>
        <v>Not Calculated</v>
      </c>
      <c r="K239" s="41"/>
    </row>
    <row r="240" spans="2:14" x14ac:dyDescent="0.2">
      <c r="B240" s="38"/>
      <c r="C240" s="40"/>
      <c r="D240" s="40"/>
      <c r="E240" s="40"/>
      <c r="F240" s="40"/>
      <c r="G240" s="40"/>
      <c r="H240" s="40"/>
      <c r="I240" s="40"/>
      <c r="J240" s="40"/>
      <c r="K240" s="41"/>
    </row>
    <row r="241" spans="2:14" x14ac:dyDescent="0.2">
      <c r="B241" s="38"/>
      <c r="C241" s="40"/>
      <c r="D241" s="40"/>
      <c r="E241" s="40"/>
      <c r="F241" s="40"/>
      <c r="G241" s="40"/>
      <c r="H241" s="40"/>
      <c r="I241" s="40"/>
      <c r="J241" s="40"/>
      <c r="K241" s="41"/>
    </row>
    <row r="242" spans="2:14" ht="16" x14ac:dyDescent="0.2">
      <c r="B242" s="38"/>
      <c r="C242" s="45" t="s">
        <v>278</v>
      </c>
      <c r="D242" s="40"/>
      <c r="E242" s="40"/>
      <c r="F242" s="40"/>
      <c r="G242" s="40"/>
      <c r="H242" s="40"/>
      <c r="I242" s="40"/>
      <c r="J242" s="40"/>
      <c r="K242" s="41"/>
    </row>
    <row r="243" spans="2:14" ht="15" customHeight="1" x14ac:dyDescent="0.2">
      <c r="B243" s="38"/>
      <c r="C243" s="40" t="s">
        <v>447</v>
      </c>
      <c r="D243" s="40"/>
      <c r="E243" s="40"/>
      <c r="F243" s="40"/>
      <c r="G243" s="40"/>
      <c r="H243" s="40"/>
      <c r="I243" s="40"/>
      <c r="J243" s="254">
        <f>'Baseline Health'!G77</f>
        <v>0</v>
      </c>
      <c r="K243" s="41"/>
    </row>
    <row r="244" spans="2:14" x14ac:dyDescent="0.2">
      <c r="B244" s="38"/>
      <c r="C244" s="40" t="s">
        <v>358</v>
      </c>
      <c r="D244" s="40"/>
      <c r="E244" s="40"/>
      <c r="F244" s="40"/>
      <c r="G244" s="40"/>
      <c r="H244" s="40"/>
      <c r="I244" s="40"/>
      <c r="J244" s="264">
        <v>0</v>
      </c>
      <c r="K244" s="41"/>
    </row>
    <row r="245" spans="2:14" x14ac:dyDescent="0.2">
      <c r="B245" s="38"/>
      <c r="C245" s="40" t="s">
        <v>360</v>
      </c>
      <c r="D245" s="291"/>
      <c r="E245" s="291"/>
      <c r="F245" s="291"/>
      <c r="G245" s="291"/>
      <c r="H245" s="291"/>
      <c r="I245" s="291"/>
      <c r="J245" s="264">
        <f>('Baseline Health'!G6*0.6)*40/250</f>
        <v>0</v>
      </c>
      <c r="K245" s="41"/>
    </row>
    <row r="246" spans="2:14" x14ac:dyDescent="0.2">
      <c r="B246" s="38"/>
      <c r="C246" s="40" t="s">
        <v>260</v>
      </c>
      <c r="D246" s="40"/>
      <c r="E246" s="40"/>
      <c r="F246" s="40"/>
      <c r="G246" s="40"/>
      <c r="H246" s="40"/>
      <c r="I246" s="40"/>
      <c r="J246" s="248" t="str">
        <f>IF(OR(J243=0,J243="Not Calculated")=TRUE,"Not Calculated",IF(J243-J244=0,4,(IF(((J243+J245)/(J243-J244))&lt;=1,0,IF(((J243+J245)/(J243-J244))&lt;=1.05,1,IF(((J243+J245)/(J243-J244))&lt;=1.5,2,IF(((J243+J245)/(J243-J244))&lt;=2,3,4)))))))</f>
        <v>Not Calculated</v>
      </c>
      <c r="K246" s="41"/>
    </row>
    <row r="247" spans="2:14" ht="9.75" customHeight="1" x14ac:dyDescent="0.2">
      <c r="B247" s="38"/>
      <c r="C247" s="279" t="str">
        <f>"0:"</f>
        <v>0:</v>
      </c>
      <c r="D247" s="278" t="s">
        <v>918</v>
      </c>
      <c r="E247" s="40"/>
      <c r="F247" s="40"/>
      <c r="G247" s="40"/>
      <c r="H247" s="40"/>
      <c r="I247" s="40"/>
      <c r="J247" s="40"/>
      <c r="K247" s="41"/>
    </row>
    <row r="248" spans="2:14" ht="9.75" customHeight="1" x14ac:dyDescent="0.2">
      <c r="B248" s="38"/>
      <c r="C248" s="280" t="str">
        <f>"1:"</f>
        <v>1:</v>
      </c>
      <c r="D248" s="278" t="s">
        <v>923</v>
      </c>
      <c r="E248" s="40"/>
      <c r="F248" s="40"/>
      <c r="G248" s="40"/>
      <c r="H248" s="40"/>
      <c r="I248" s="40"/>
      <c r="J248" s="40"/>
      <c r="K248" s="41"/>
    </row>
    <row r="249" spans="2:14" ht="9.75" customHeight="1" x14ac:dyDescent="0.2">
      <c r="B249" s="38"/>
      <c r="C249" s="280" t="str">
        <f>"2:"</f>
        <v>2:</v>
      </c>
      <c r="D249" s="278" t="s">
        <v>924</v>
      </c>
      <c r="E249" s="40"/>
      <c r="F249" s="40"/>
      <c r="G249" s="40"/>
      <c r="H249" s="40"/>
      <c r="I249" s="40"/>
      <c r="J249" s="40"/>
      <c r="K249" s="41"/>
    </row>
    <row r="250" spans="2:14" ht="9.75" customHeight="1" x14ac:dyDescent="0.2">
      <c r="B250" s="38"/>
      <c r="C250" s="280" t="str">
        <f>"3:"</f>
        <v>3:</v>
      </c>
      <c r="D250" s="278" t="s">
        <v>925</v>
      </c>
      <c r="E250" s="40"/>
      <c r="F250" s="40"/>
      <c r="G250" s="40"/>
      <c r="H250" s="40"/>
      <c r="I250" s="40"/>
      <c r="J250" s="40"/>
      <c r="K250" s="41"/>
    </row>
    <row r="251" spans="2:14" ht="9.75" customHeight="1" x14ac:dyDescent="0.2">
      <c r="B251" s="38"/>
      <c r="C251" s="280" t="str">
        <f>"4:"</f>
        <v>4:</v>
      </c>
      <c r="D251" s="278" t="s">
        <v>926</v>
      </c>
      <c r="E251" s="40"/>
      <c r="F251" s="40"/>
      <c r="G251" s="40"/>
      <c r="H251" s="40"/>
      <c r="I251" s="40"/>
      <c r="J251" s="40"/>
      <c r="K251" s="41"/>
      <c r="N251" s="12" t="s">
        <v>661</v>
      </c>
    </row>
    <row r="252" spans="2:14" x14ac:dyDescent="0.2">
      <c r="B252" s="38"/>
      <c r="C252" s="174" t="s">
        <v>662</v>
      </c>
      <c r="D252" s="40"/>
      <c r="E252" s="40"/>
      <c r="F252" s="40"/>
      <c r="G252" s="40"/>
      <c r="H252" s="40"/>
      <c r="I252" s="40"/>
      <c r="J252" s="265" t="s">
        <v>661</v>
      </c>
      <c r="K252" s="41"/>
      <c r="N252" s="12" t="s">
        <v>894</v>
      </c>
    </row>
    <row r="253" spans="2:14" x14ac:dyDescent="0.2">
      <c r="B253" s="38"/>
      <c r="C253" s="174" t="s">
        <v>660</v>
      </c>
      <c r="D253" s="40"/>
      <c r="E253" s="40"/>
      <c r="F253" s="40"/>
      <c r="G253" s="40"/>
      <c r="H253" s="40"/>
      <c r="I253" s="40"/>
      <c r="J253" s="246" t="str">
        <f>IF(J252=N251,"N/A",IF(J252=N252,0,IF(J252=N253,1,IF(J252=N254,2,IF(J252=N255,3,IF(J252=N256,4,"N/A"))))))</f>
        <v>N/A</v>
      </c>
      <c r="K253" s="41"/>
      <c r="N253" s="12" t="s">
        <v>899</v>
      </c>
    </row>
    <row r="254" spans="2:14" x14ac:dyDescent="0.2">
      <c r="B254" s="38"/>
      <c r="C254" s="40" t="s">
        <v>257</v>
      </c>
      <c r="D254" s="40"/>
      <c r="E254" s="40"/>
      <c r="F254" s="40"/>
      <c r="G254" s="40"/>
      <c r="H254" s="40"/>
      <c r="I254" s="40"/>
      <c r="J254" s="266" t="s">
        <v>874</v>
      </c>
      <c r="K254" s="41"/>
      <c r="N254" s="12" t="s">
        <v>900</v>
      </c>
    </row>
    <row r="255" spans="2:14" x14ac:dyDescent="0.2">
      <c r="B255" s="38"/>
      <c r="C255" s="40" t="s">
        <v>261</v>
      </c>
      <c r="D255" s="40"/>
      <c r="E255" s="40"/>
      <c r="F255" s="40"/>
      <c r="G255" s="40"/>
      <c r="H255" s="40"/>
      <c r="I255" s="40"/>
      <c r="J255" s="248">
        <f>IF(J254=$B$973,$A$973,IF(J254=$B$974,$A$974,IF(J254=$B$975,$A$975,IF(J254=$B$976,$A$976,IF(J254=$B$977,$A$977,"Not Calculated")))))</f>
        <v>4</v>
      </c>
      <c r="K255" s="41"/>
      <c r="N255" s="12" t="s">
        <v>901</v>
      </c>
    </row>
    <row r="256" spans="2:14" x14ac:dyDescent="0.2">
      <c r="B256" s="38"/>
      <c r="C256" s="40" t="s">
        <v>893</v>
      </c>
      <c r="D256" s="40"/>
      <c r="E256" s="40"/>
      <c r="F256" s="40"/>
      <c r="G256" s="40"/>
      <c r="H256" s="40"/>
      <c r="I256" s="40"/>
      <c r="J256" s="40"/>
      <c r="K256" s="41"/>
      <c r="N256" s="12" t="s">
        <v>902</v>
      </c>
    </row>
    <row r="257" spans="2:11" ht="30" customHeight="1" x14ac:dyDescent="0.2">
      <c r="B257" s="38"/>
      <c r="C257" s="399" t="s">
        <v>424</v>
      </c>
      <c r="D257" s="400"/>
      <c r="E257" s="400"/>
      <c r="F257" s="400"/>
      <c r="G257" s="400"/>
      <c r="H257" s="400"/>
      <c r="I257" s="400"/>
      <c r="J257" s="401"/>
      <c r="K257" s="41"/>
    </row>
    <row r="258" spans="2:11" x14ac:dyDescent="0.2">
      <c r="B258" s="38"/>
      <c r="C258" s="40"/>
      <c r="D258" s="40"/>
      <c r="E258" s="40"/>
      <c r="F258" s="40"/>
      <c r="G258" s="40"/>
      <c r="H258" s="40"/>
      <c r="I258" s="40"/>
      <c r="J258" s="40"/>
      <c r="K258" s="41"/>
    </row>
    <row r="259" spans="2:11" x14ac:dyDescent="0.2">
      <c r="B259" s="38"/>
      <c r="C259" s="179" t="s">
        <v>279</v>
      </c>
      <c r="D259" s="40"/>
      <c r="E259" s="40"/>
      <c r="F259" s="40"/>
      <c r="G259" s="40"/>
      <c r="H259" s="40"/>
      <c r="I259" s="40"/>
      <c r="J259" s="245" t="str">
        <f>IF(J253="N/A",IF(OR(J246="Not Calculated",J255="Not Calculated")=TRUE,"Not Calculated",AVERAGE(J246,J255)),AVERAGE(J253,J255))</f>
        <v>Not Calculated</v>
      </c>
      <c r="K259" s="41"/>
    </row>
    <row r="260" spans="2:11" x14ac:dyDescent="0.2">
      <c r="B260" s="38"/>
      <c r="C260" s="40"/>
      <c r="D260" s="40"/>
      <c r="E260" s="40"/>
      <c r="F260" s="40"/>
      <c r="G260" s="40"/>
      <c r="H260" s="40"/>
      <c r="I260" s="40"/>
      <c r="J260" s="40"/>
      <c r="K260" s="41"/>
    </row>
    <row r="261" spans="2:11" ht="18" x14ac:dyDescent="0.2">
      <c r="B261" s="38"/>
      <c r="C261" s="180" t="s">
        <v>272</v>
      </c>
      <c r="D261" s="40"/>
      <c r="E261" s="40"/>
      <c r="F261" s="40"/>
      <c r="G261" s="40"/>
      <c r="H261" s="40"/>
      <c r="I261" s="40"/>
      <c r="J261" s="244" t="str">
        <f>IF(OR(J157="Not Calculated",J178="Not Calculated",J198="Not Calculated",J218="Not Calculated",J239="Not Calculated",J259="Not Calculated",)=TRUE,"Not Calculated",AVERAGE(J157,J178,J198,J218,J239,J259))</f>
        <v>Not Calculated</v>
      </c>
      <c r="K261" s="41"/>
    </row>
    <row r="262" spans="2:11" ht="16" thickBot="1" x14ac:dyDescent="0.25">
      <c r="B262" s="46"/>
      <c r="C262" s="47"/>
      <c r="D262" s="47"/>
      <c r="E262" s="47"/>
      <c r="F262" s="47"/>
      <c r="G262" s="47"/>
      <c r="H262" s="47"/>
      <c r="I262" s="47"/>
      <c r="J262" s="47"/>
      <c r="K262" s="49"/>
    </row>
    <row r="263" spans="2:11" ht="16" thickBot="1" x14ac:dyDescent="0.25"/>
    <row r="264" spans="2:11" x14ac:dyDescent="0.2">
      <c r="B264" s="33"/>
      <c r="C264" s="34"/>
      <c r="D264" s="34"/>
      <c r="E264" s="34"/>
      <c r="F264" s="34"/>
      <c r="G264" s="34"/>
      <c r="H264" s="34"/>
      <c r="I264" s="34"/>
      <c r="J264" s="34"/>
      <c r="K264" s="37"/>
    </row>
    <row r="265" spans="2:11" ht="21" x14ac:dyDescent="0.25">
      <c r="B265" s="38"/>
      <c r="C265" s="40"/>
      <c r="D265" s="40"/>
      <c r="E265" s="40"/>
      <c r="F265" s="40"/>
      <c r="G265" s="172" t="s">
        <v>864</v>
      </c>
      <c r="H265" s="40"/>
      <c r="I265" s="40"/>
      <c r="J265" s="40"/>
      <c r="K265" s="41"/>
    </row>
    <row r="266" spans="2:11" ht="15" customHeight="1" x14ac:dyDescent="0.2">
      <c r="B266" s="38"/>
      <c r="C266" s="40"/>
      <c r="D266" s="40"/>
      <c r="E266" s="40"/>
      <c r="F266" s="40"/>
      <c r="G266" s="40"/>
      <c r="H266" s="40"/>
      <c r="I266" s="40"/>
      <c r="J266" s="40"/>
      <c r="K266" s="41"/>
    </row>
    <row r="267" spans="2:11" ht="16" x14ac:dyDescent="0.2">
      <c r="B267" s="38"/>
      <c r="C267" s="45" t="s">
        <v>80</v>
      </c>
      <c r="D267" s="40"/>
      <c r="E267" s="40"/>
      <c r="F267" s="40"/>
      <c r="G267" s="40"/>
      <c r="H267" s="40"/>
      <c r="I267" s="40"/>
      <c r="J267" s="40"/>
      <c r="K267" s="41"/>
    </row>
    <row r="268" spans="2:11" x14ac:dyDescent="0.2">
      <c r="B268" s="38"/>
      <c r="C268" s="40" t="s">
        <v>283</v>
      </c>
      <c r="D268" s="40"/>
      <c r="E268" s="40"/>
      <c r="F268" s="40"/>
      <c r="G268" s="40"/>
      <c r="H268" s="40"/>
      <c r="I268" s="40"/>
      <c r="J268" s="254">
        <f>'Baseline Health'!G88</f>
        <v>0</v>
      </c>
      <c r="K268" s="41"/>
    </row>
    <row r="269" spans="2:11" x14ac:dyDescent="0.2">
      <c r="B269" s="38"/>
      <c r="C269" s="40" t="s">
        <v>284</v>
      </c>
      <c r="D269" s="40"/>
      <c r="E269" s="40"/>
      <c r="F269" s="40"/>
      <c r="G269" s="40"/>
      <c r="H269" s="40"/>
      <c r="I269" s="40"/>
      <c r="J269" s="264">
        <v>0</v>
      </c>
      <c r="K269" s="41"/>
    </row>
    <row r="270" spans="2:11" x14ac:dyDescent="0.2">
      <c r="B270" s="38"/>
      <c r="C270" s="40" t="s">
        <v>285</v>
      </c>
      <c r="D270" s="40"/>
      <c r="E270" s="40"/>
      <c r="F270" s="40"/>
      <c r="G270" s="40"/>
      <c r="H270" s="40"/>
      <c r="I270" s="40"/>
      <c r="J270" s="259">
        <f>'Baseline Health'!G93</f>
        <v>0</v>
      </c>
      <c r="K270" s="41"/>
    </row>
    <row r="271" spans="2:11" x14ac:dyDescent="0.2">
      <c r="B271" s="38"/>
      <c r="C271" s="40" t="s">
        <v>286</v>
      </c>
      <c r="D271" s="40"/>
      <c r="E271" s="40"/>
      <c r="F271" s="40"/>
      <c r="G271" s="40"/>
      <c r="H271" s="40"/>
      <c r="I271" s="40"/>
      <c r="J271" s="250">
        <f>J184</f>
        <v>0</v>
      </c>
      <c r="K271" s="41"/>
    </row>
    <row r="272" spans="2:11" x14ac:dyDescent="0.2">
      <c r="B272" s="38"/>
      <c r="C272" s="40"/>
      <c r="D272" s="40" t="s">
        <v>432</v>
      </c>
      <c r="E272" s="40"/>
      <c r="F272" s="40"/>
      <c r="G272" s="40"/>
      <c r="H272" s="40"/>
      <c r="I272" s="40"/>
      <c r="J272" s="40"/>
      <c r="K272" s="41"/>
    </row>
    <row r="273" spans="2:14" x14ac:dyDescent="0.2">
      <c r="B273" s="38"/>
      <c r="C273" s="40" t="s">
        <v>292</v>
      </c>
      <c r="D273" s="40"/>
      <c r="E273" s="40"/>
      <c r="F273" s="40"/>
      <c r="G273" s="40"/>
      <c r="H273" s="40"/>
      <c r="I273" s="40"/>
      <c r="J273" s="258" t="str">
        <f>'Baseline Health'!G97</f>
        <v>N/A</v>
      </c>
      <c r="K273" s="41"/>
    </row>
    <row r="274" spans="2:14" x14ac:dyDescent="0.2">
      <c r="B274" s="38"/>
      <c r="C274" s="40" t="s">
        <v>293</v>
      </c>
      <c r="D274" s="40"/>
      <c r="E274" s="40"/>
      <c r="F274" s="40"/>
      <c r="G274" s="40"/>
      <c r="H274" s="40"/>
      <c r="I274" s="40"/>
      <c r="J274" s="258" t="str">
        <f>IF(J273="N/A","N/A",IF(J268-J269=0,"No Nurses",((J270+J271)/(J268-J269))))</f>
        <v>N/A</v>
      </c>
      <c r="K274" s="41"/>
    </row>
    <row r="275" spans="2:14" x14ac:dyDescent="0.2">
      <c r="B275" s="38"/>
      <c r="C275" s="40" t="s">
        <v>260</v>
      </c>
      <c r="D275" s="40"/>
      <c r="E275" s="40"/>
      <c r="F275" s="40"/>
      <c r="G275" s="40"/>
      <c r="H275" s="40"/>
      <c r="I275" s="40"/>
      <c r="J275" s="245">
        <f>IF(J273=0,"Not Calculated",IF(J274="N/A",0,IF(J274="No Nurses",4,IF((J274/J273)&lt;=1,0,IF((J274/J273)&lt;=1.1,1,IF((J274/J273)&lt;=1=1.25,2,IF((J274/J273)&lt;=1.5,3,4)))))))</f>
        <v>0</v>
      </c>
      <c r="K275" s="41"/>
    </row>
    <row r="276" spans="2:14" ht="9.75" customHeight="1" x14ac:dyDescent="0.2">
      <c r="B276" s="38"/>
      <c r="C276" s="279" t="str">
        <f>"0:"</f>
        <v>0:</v>
      </c>
      <c r="D276" s="278" t="s">
        <v>927</v>
      </c>
      <c r="E276" s="40"/>
      <c r="F276" s="40"/>
      <c r="G276" s="40"/>
      <c r="H276" s="40"/>
      <c r="I276" s="40"/>
      <c r="J276" s="258"/>
      <c r="K276" s="41"/>
    </row>
    <row r="277" spans="2:14" ht="9.75" customHeight="1" x14ac:dyDescent="0.2">
      <c r="B277" s="38"/>
      <c r="C277" s="280" t="str">
        <f>"1:"</f>
        <v>1:</v>
      </c>
      <c r="D277" s="278" t="s">
        <v>928</v>
      </c>
      <c r="E277" s="40"/>
      <c r="F277" s="40"/>
      <c r="G277" s="40"/>
      <c r="H277" s="40"/>
      <c r="I277" s="40"/>
      <c r="J277" s="258"/>
      <c r="K277" s="41"/>
    </row>
    <row r="278" spans="2:14" ht="9.75" customHeight="1" x14ac:dyDescent="0.2">
      <c r="B278" s="38"/>
      <c r="C278" s="280" t="str">
        <f>"2:"</f>
        <v>2:</v>
      </c>
      <c r="D278" s="278" t="s">
        <v>929</v>
      </c>
      <c r="E278" s="40"/>
      <c r="F278" s="40"/>
      <c r="G278" s="40"/>
      <c r="H278" s="40"/>
      <c r="I278" s="40"/>
      <c r="J278" s="258"/>
      <c r="K278" s="41"/>
    </row>
    <row r="279" spans="2:14" ht="9.75" customHeight="1" x14ac:dyDescent="0.2">
      <c r="B279" s="38"/>
      <c r="C279" s="280" t="str">
        <f>"3:"</f>
        <v>3:</v>
      </c>
      <c r="D279" s="278" t="s">
        <v>930</v>
      </c>
      <c r="E279" s="40"/>
      <c r="F279" s="40"/>
      <c r="G279" s="40"/>
      <c r="H279" s="40"/>
      <c r="I279" s="40"/>
      <c r="J279" s="258"/>
      <c r="K279" s="41"/>
    </row>
    <row r="280" spans="2:14" ht="9.75" customHeight="1" x14ac:dyDescent="0.2">
      <c r="B280" s="38"/>
      <c r="C280" s="280" t="str">
        <f>"4:"</f>
        <v>4:</v>
      </c>
      <c r="D280" s="278" t="s">
        <v>931</v>
      </c>
      <c r="E280" s="40"/>
      <c r="F280" s="40"/>
      <c r="G280" s="40"/>
      <c r="H280" s="40"/>
      <c r="I280" s="40"/>
      <c r="J280" s="40"/>
      <c r="K280" s="41"/>
      <c r="N280" s="12" t="s">
        <v>661</v>
      </c>
    </row>
    <row r="281" spans="2:14" x14ac:dyDescent="0.2">
      <c r="B281" s="38"/>
      <c r="C281" s="174" t="s">
        <v>662</v>
      </c>
      <c r="D281" s="40"/>
      <c r="E281" s="40"/>
      <c r="F281" s="40"/>
      <c r="G281" s="40"/>
      <c r="H281" s="40"/>
      <c r="I281" s="40"/>
      <c r="J281" s="265" t="s">
        <v>661</v>
      </c>
      <c r="K281" s="41"/>
      <c r="N281" s="12" t="s">
        <v>903</v>
      </c>
    </row>
    <row r="282" spans="2:14" x14ac:dyDescent="0.2">
      <c r="B282" s="38"/>
      <c r="C282" s="174" t="s">
        <v>660</v>
      </c>
      <c r="D282" s="40"/>
      <c r="E282" s="40"/>
      <c r="F282" s="40"/>
      <c r="G282" s="40"/>
      <c r="H282" s="40"/>
      <c r="I282" s="40"/>
      <c r="J282" s="246" t="str">
        <f>IF(J281=N280,"N/A",IF(J281=N281,0,IF(J281=N282,1,IF(J281=N283,2,IF(J281=N284,3,IF(J281=N285,4,"N/A"))))))</f>
        <v>N/A</v>
      </c>
      <c r="K282" s="41"/>
      <c r="N282" s="12" t="s">
        <v>904</v>
      </c>
    </row>
    <row r="283" spans="2:14" x14ac:dyDescent="0.2">
      <c r="B283" s="38"/>
      <c r="C283" s="40" t="s">
        <v>257</v>
      </c>
      <c r="D283" s="40"/>
      <c r="E283" s="40"/>
      <c r="F283" s="40"/>
      <c r="G283" s="40"/>
      <c r="H283" s="40"/>
      <c r="I283" s="40"/>
      <c r="J283" s="266" t="s">
        <v>874</v>
      </c>
      <c r="K283" s="41"/>
      <c r="N283" s="12" t="s">
        <v>905</v>
      </c>
    </row>
    <row r="284" spans="2:14" x14ac:dyDescent="0.2">
      <c r="B284" s="38"/>
      <c r="C284" s="40" t="s">
        <v>261</v>
      </c>
      <c r="D284" s="40"/>
      <c r="E284" s="40"/>
      <c r="F284" s="40"/>
      <c r="G284" s="40"/>
      <c r="H284" s="40"/>
      <c r="I284" s="40"/>
      <c r="J284" s="248">
        <f>IF(J283=$B$973,$A$973,IF(J283=$B$974,$A$974,IF(J283=$B$975,$A$975,IF(J283=$B$976,$A$976,IF(J283=$B$977,$A$977,"Not Calculated")))))</f>
        <v>4</v>
      </c>
      <c r="K284" s="41"/>
      <c r="N284" s="12" t="s">
        <v>906</v>
      </c>
    </row>
    <row r="285" spans="2:14" x14ac:dyDescent="0.2">
      <c r="B285" s="38"/>
      <c r="C285" s="40" t="s">
        <v>893</v>
      </c>
      <c r="D285" s="40"/>
      <c r="E285" s="40"/>
      <c r="F285" s="40"/>
      <c r="G285" s="40"/>
      <c r="H285" s="40"/>
      <c r="I285" s="40"/>
      <c r="J285" s="40"/>
      <c r="K285" s="41"/>
      <c r="N285" s="12" t="s">
        <v>907</v>
      </c>
    </row>
    <row r="286" spans="2:14" ht="45" customHeight="1" x14ac:dyDescent="0.2">
      <c r="B286" s="38"/>
      <c r="C286" s="399" t="s">
        <v>1006</v>
      </c>
      <c r="D286" s="400"/>
      <c r="E286" s="400"/>
      <c r="F286" s="400"/>
      <c r="G286" s="400"/>
      <c r="H286" s="400"/>
      <c r="I286" s="400"/>
      <c r="J286" s="401"/>
      <c r="K286" s="41"/>
    </row>
    <row r="287" spans="2:14" x14ac:dyDescent="0.2">
      <c r="B287" s="38"/>
      <c r="C287" s="40"/>
      <c r="D287" s="40"/>
      <c r="E287" s="40"/>
      <c r="F287" s="40"/>
      <c r="G287" s="40"/>
      <c r="H287" s="40"/>
      <c r="I287" s="40"/>
      <c r="J287" s="40"/>
      <c r="K287" s="41"/>
    </row>
    <row r="288" spans="2:14" x14ac:dyDescent="0.2">
      <c r="B288" s="38"/>
      <c r="C288" s="179" t="s">
        <v>295</v>
      </c>
      <c r="D288" s="40"/>
      <c r="E288" s="40"/>
      <c r="F288" s="40"/>
      <c r="G288" s="40"/>
      <c r="H288" s="40"/>
      <c r="I288" s="40"/>
      <c r="J288" s="245">
        <f>IF(J282="N/A",IF(OR(J275="Not Calculated",J284="Not Calculated")=TRUE,"Not Calculated",AVERAGE(J275,J284)),AVERAGE(J282,J284))</f>
        <v>2</v>
      </c>
      <c r="K288" s="41"/>
    </row>
    <row r="289" spans="2:11" x14ac:dyDescent="0.2">
      <c r="B289" s="38"/>
      <c r="C289" s="40"/>
      <c r="D289" s="40"/>
      <c r="E289" s="40"/>
      <c r="F289" s="40"/>
      <c r="G289" s="40"/>
      <c r="H289" s="40"/>
      <c r="I289" s="40"/>
      <c r="J289" s="245"/>
      <c r="K289" s="41"/>
    </row>
    <row r="290" spans="2:11" x14ac:dyDescent="0.2">
      <c r="B290" s="38"/>
      <c r="C290" s="40"/>
      <c r="D290" s="40"/>
      <c r="E290" s="40"/>
      <c r="F290" s="40"/>
      <c r="G290" s="40"/>
      <c r="H290" s="40"/>
      <c r="I290" s="40"/>
      <c r="J290" s="40"/>
      <c r="K290" s="41"/>
    </row>
    <row r="291" spans="2:11" ht="16" x14ac:dyDescent="0.2">
      <c r="B291" s="38"/>
      <c r="C291" s="45" t="s">
        <v>856</v>
      </c>
      <c r="D291" s="40"/>
      <c r="E291" s="40"/>
      <c r="F291" s="40"/>
      <c r="G291" s="40"/>
      <c r="H291" s="40"/>
      <c r="I291" s="40"/>
      <c r="J291" s="40"/>
      <c r="K291" s="41"/>
    </row>
    <row r="292" spans="2:11" x14ac:dyDescent="0.2">
      <c r="B292" s="38"/>
      <c r="C292" s="380" t="s">
        <v>855</v>
      </c>
      <c r="D292" s="380"/>
      <c r="E292" s="380"/>
      <c r="F292" s="380"/>
      <c r="G292" s="380"/>
      <c r="H292" s="380"/>
      <c r="I292" s="380"/>
      <c r="J292" s="40"/>
      <c r="K292" s="41"/>
    </row>
    <row r="293" spans="2:11" x14ac:dyDescent="0.2">
      <c r="B293" s="38"/>
      <c r="C293" s="380"/>
      <c r="D293" s="380"/>
      <c r="E293" s="380"/>
      <c r="F293" s="380"/>
      <c r="G293" s="380"/>
      <c r="H293" s="380"/>
      <c r="I293" s="380"/>
      <c r="J293" s="264">
        <v>0</v>
      </c>
      <c r="K293" s="41"/>
    </row>
    <row r="294" spans="2:11" x14ac:dyDescent="0.2">
      <c r="B294" s="38"/>
      <c r="C294" s="40" t="s">
        <v>853</v>
      </c>
      <c r="D294" s="291"/>
      <c r="E294" s="291"/>
      <c r="F294" s="291"/>
      <c r="G294" s="291"/>
      <c r="H294" s="291"/>
      <c r="I294" s="291"/>
      <c r="J294" s="255">
        <f>'Baseline Health'!$G$102</f>
        <v>0</v>
      </c>
      <c r="K294" s="41"/>
    </row>
    <row r="295" spans="2:11" x14ac:dyDescent="0.2">
      <c r="B295" s="38"/>
      <c r="C295" s="40" t="s">
        <v>842</v>
      </c>
      <c r="D295" s="40"/>
      <c r="E295" s="40"/>
      <c r="F295" s="40"/>
      <c r="G295" s="40"/>
      <c r="H295" s="40"/>
      <c r="I295" s="40"/>
      <c r="J295" s="244" t="str">
        <f>IF('Baseline Health'!$G$102=0,"Not Calculated",100*J293/'Baseline Health'!$G$102)</f>
        <v>Not Calculated</v>
      </c>
      <c r="K295" s="41"/>
    </row>
    <row r="296" spans="2:11" x14ac:dyDescent="0.2">
      <c r="B296" s="38"/>
      <c r="C296" s="40" t="s">
        <v>260</v>
      </c>
      <c r="D296" s="40"/>
      <c r="E296" s="40"/>
      <c r="F296" s="40"/>
      <c r="G296" s="40"/>
      <c r="H296" s="40"/>
      <c r="I296" s="40"/>
      <c r="J296" s="245">
        <f>IF(J295&lt;=0,0,IF(J295&lt;=1,1,IF(J295&lt;=5,2,IF(J295&lt;=10,3,4))))</f>
        <v>4</v>
      </c>
      <c r="K296" s="41"/>
    </row>
    <row r="297" spans="2:11" ht="9.75" customHeight="1" x14ac:dyDescent="0.2">
      <c r="B297" s="38"/>
      <c r="C297" s="279" t="str">
        <f>"0:"</f>
        <v>0:</v>
      </c>
      <c r="D297" s="278" t="s">
        <v>932</v>
      </c>
      <c r="E297" s="40"/>
      <c r="F297" s="40"/>
      <c r="G297" s="40"/>
      <c r="H297" s="40"/>
      <c r="I297" s="40"/>
      <c r="J297" s="244"/>
      <c r="K297" s="41"/>
    </row>
    <row r="298" spans="2:11" ht="9.75" customHeight="1" x14ac:dyDescent="0.2">
      <c r="B298" s="38"/>
      <c r="C298" s="280" t="str">
        <f>"1:"</f>
        <v>1:</v>
      </c>
      <c r="D298" s="278" t="s">
        <v>934</v>
      </c>
      <c r="E298" s="40"/>
      <c r="F298" s="40"/>
      <c r="G298" s="40"/>
      <c r="H298" s="40"/>
      <c r="I298" s="40"/>
      <c r="J298" s="244"/>
      <c r="K298" s="41"/>
    </row>
    <row r="299" spans="2:11" ht="9.75" customHeight="1" x14ac:dyDescent="0.2">
      <c r="B299" s="38"/>
      <c r="C299" s="280" t="str">
        <f>"2:"</f>
        <v>2:</v>
      </c>
      <c r="D299" s="278" t="s">
        <v>933</v>
      </c>
      <c r="E299" s="40"/>
      <c r="F299" s="40"/>
      <c r="G299" s="40"/>
      <c r="H299" s="40"/>
      <c r="I299" s="40"/>
      <c r="J299" s="244"/>
      <c r="K299" s="41"/>
    </row>
    <row r="300" spans="2:11" ht="9.75" customHeight="1" x14ac:dyDescent="0.2">
      <c r="B300" s="38"/>
      <c r="C300" s="280" t="str">
        <f>"3:"</f>
        <v>3:</v>
      </c>
      <c r="D300" s="278" t="s">
        <v>935</v>
      </c>
      <c r="E300" s="40"/>
      <c r="F300" s="40"/>
      <c r="G300" s="40"/>
      <c r="H300" s="40"/>
      <c r="I300" s="40"/>
      <c r="J300" s="244"/>
      <c r="K300" s="41"/>
    </row>
    <row r="301" spans="2:11" ht="9.75" customHeight="1" x14ac:dyDescent="0.2">
      <c r="B301" s="38"/>
      <c r="C301" s="280" t="str">
        <f>"4:"</f>
        <v>4:</v>
      </c>
      <c r="D301" s="278" t="s">
        <v>936</v>
      </c>
      <c r="E301" s="40"/>
      <c r="F301" s="40"/>
      <c r="G301" s="40"/>
      <c r="H301" s="40"/>
      <c r="I301" s="40"/>
      <c r="J301" s="40"/>
      <c r="K301" s="41"/>
    </row>
    <row r="302" spans="2:11" x14ac:dyDescent="0.2">
      <c r="B302" s="38"/>
      <c r="C302" s="40" t="s">
        <v>257</v>
      </c>
      <c r="D302" s="40"/>
      <c r="E302" s="40"/>
      <c r="F302" s="40"/>
      <c r="G302" s="40"/>
      <c r="H302" s="40"/>
      <c r="I302" s="40"/>
      <c r="J302" s="266" t="s">
        <v>870</v>
      </c>
      <c r="K302" s="41"/>
    </row>
    <row r="303" spans="2:11" x14ac:dyDescent="0.2">
      <c r="B303" s="38"/>
      <c r="C303" s="40" t="s">
        <v>261</v>
      </c>
      <c r="D303" s="40"/>
      <c r="E303" s="40"/>
      <c r="F303" s="40"/>
      <c r="G303" s="40"/>
      <c r="H303" s="40"/>
      <c r="I303" s="40"/>
      <c r="J303" s="245">
        <f>IF(J302=$B$980,$A$980,IF(J302=$B$981,$A$981,IF(J302=$B$982,$A$982,IF(J302=$B$983,$A$983,IF(J302=$B$984,$A$984,"Not Calculated")))))</f>
        <v>0</v>
      </c>
      <c r="K303" s="41"/>
    </row>
    <row r="304" spans="2:11" x14ac:dyDescent="0.2">
      <c r="B304" s="38"/>
      <c r="C304" s="40" t="s">
        <v>893</v>
      </c>
      <c r="D304" s="40"/>
      <c r="E304" s="40"/>
      <c r="F304" s="40"/>
      <c r="G304" s="40"/>
      <c r="H304" s="40"/>
      <c r="I304" s="40"/>
      <c r="J304" s="40"/>
      <c r="K304" s="41"/>
    </row>
    <row r="305" spans="2:11" ht="15" customHeight="1" x14ac:dyDescent="0.2">
      <c r="B305" s="38"/>
      <c r="C305" s="399"/>
      <c r="D305" s="400"/>
      <c r="E305" s="400"/>
      <c r="F305" s="400"/>
      <c r="G305" s="400"/>
      <c r="H305" s="400"/>
      <c r="I305" s="400"/>
      <c r="J305" s="401"/>
      <c r="K305" s="41"/>
    </row>
    <row r="306" spans="2:11" x14ac:dyDescent="0.2">
      <c r="B306" s="38"/>
      <c r="C306" s="40"/>
      <c r="D306" s="40"/>
      <c r="E306" s="40"/>
      <c r="F306" s="40"/>
      <c r="G306" s="40"/>
      <c r="H306" s="40"/>
      <c r="I306" s="40"/>
      <c r="J306" s="40"/>
      <c r="K306" s="41"/>
    </row>
    <row r="307" spans="2:11" x14ac:dyDescent="0.2">
      <c r="B307" s="38"/>
      <c r="C307" s="179" t="s">
        <v>885</v>
      </c>
      <c r="D307" s="40"/>
      <c r="E307" s="40"/>
      <c r="F307" s="40"/>
      <c r="G307" s="40"/>
      <c r="H307" s="40"/>
      <c r="I307" s="40"/>
      <c r="J307" s="245">
        <f>IF(OR(J296="Not Calculated",J303="Not Calculated")=TRUE,"Not Calculated",AVERAGE(J296,J303))</f>
        <v>2</v>
      </c>
      <c r="K307" s="41"/>
    </row>
    <row r="308" spans="2:11" x14ac:dyDescent="0.2">
      <c r="B308" s="38"/>
      <c r="C308" s="40"/>
      <c r="D308" s="40"/>
      <c r="E308" s="40"/>
      <c r="F308" s="40"/>
      <c r="G308" s="40"/>
      <c r="H308" s="40"/>
      <c r="I308" s="40"/>
      <c r="J308" s="40"/>
      <c r="K308" s="41"/>
    </row>
    <row r="309" spans="2:11" x14ac:dyDescent="0.2">
      <c r="B309" s="38"/>
      <c r="C309" s="40"/>
      <c r="D309" s="40"/>
      <c r="E309" s="40"/>
      <c r="F309" s="40"/>
      <c r="G309" s="40"/>
      <c r="H309" s="40"/>
      <c r="I309" s="40"/>
      <c r="J309" s="40"/>
      <c r="K309" s="41"/>
    </row>
    <row r="310" spans="2:11" ht="16" x14ac:dyDescent="0.2">
      <c r="B310" s="38"/>
      <c r="C310" s="45" t="s">
        <v>857</v>
      </c>
      <c r="D310" s="40"/>
      <c r="E310" s="40"/>
      <c r="F310" s="40"/>
      <c r="G310" s="40"/>
      <c r="H310" s="40"/>
      <c r="I310" s="40"/>
      <c r="J310" s="40"/>
      <c r="K310" s="41"/>
    </row>
    <row r="311" spans="2:11" x14ac:dyDescent="0.2">
      <c r="B311" s="38"/>
      <c r="C311" s="380" t="s">
        <v>843</v>
      </c>
      <c r="D311" s="380"/>
      <c r="E311" s="380"/>
      <c r="F311" s="380"/>
      <c r="G311" s="380"/>
      <c r="H311" s="380"/>
      <c r="I311" s="380"/>
      <c r="J311" s="40"/>
      <c r="K311" s="41"/>
    </row>
    <row r="312" spans="2:11" x14ac:dyDescent="0.2">
      <c r="B312" s="38"/>
      <c r="C312" s="380"/>
      <c r="D312" s="380"/>
      <c r="E312" s="380"/>
      <c r="F312" s="380"/>
      <c r="G312" s="380"/>
      <c r="H312" s="380"/>
      <c r="I312" s="380"/>
      <c r="J312" s="264">
        <v>0</v>
      </c>
      <c r="K312" s="41"/>
    </row>
    <row r="313" spans="2:11" x14ac:dyDescent="0.2">
      <c r="B313" s="38"/>
      <c r="C313" s="40" t="s">
        <v>853</v>
      </c>
      <c r="D313" s="291"/>
      <c r="E313" s="291"/>
      <c r="F313" s="291"/>
      <c r="G313" s="291"/>
      <c r="H313" s="291"/>
      <c r="I313" s="291"/>
      <c r="J313" s="255">
        <f>'Baseline Health'!$G$102</f>
        <v>0</v>
      </c>
      <c r="K313" s="41"/>
    </row>
    <row r="314" spans="2:11" x14ac:dyDescent="0.2">
      <c r="B314" s="38"/>
      <c r="C314" s="40" t="s">
        <v>842</v>
      </c>
      <c r="D314" s="40"/>
      <c r="E314" s="40"/>
      <c r="F314" s="40"/>
      <c r="G314" s="40"/>
      <c r="H314" s="40"/>
      <c r="I314" s="40"/>
      <c r="J314" s="244" t="str">
        <f>IF('Baseline Health'!$G$102=0,"Not Calculated",100*J312/'Baseline Health'!$G$102)</f>
        <v>Not Calculated</v>
      </c>
      <c r="K314" s="41"/>
    </row>
    <row r="315" spans="2:11" x14ac:dyDescent="0.2">
      <c r="B315" s="38"/>
      <c r="C315" s="40" t="s">
        <v>260</v>
      </c>
      <c r="D315" s="40"/>
      <c r="E315" s="40"/>
      <c r="F315" s="40"/>
      <c r="G315" s="40"/>
      <c r="H315" s="40"/>
      <c r="I315" s="40"/>
      <c r="J315" s="245">
        <f>IF(J314&lt;=0,0,IF(J314&lt;=1,1,IF(J314&lt;=5,2,IF(J314&lt;=10,3,4))))</f>
        <v>4</v>
      </c>
      <c r="K315" s="41"/>
    </row>
    <row r="316" spans="2:11" ht="9.75" customHeight="1" x14ac:dyDescent="0.2">
      <c r="B316" s="38"/>
      <c r="C316" s="279" t="str">
        <f>"0:"</f>
        <v>0:</v>
      </c>
      <c r="D316" s="278" t="s">
        <v>932</v>
      </c>
      <c r="E316" s="40"/>
      <c r="F316" s="40"/>
      <c r="G316" s="40"/>
      <c r="H316" s="40"/>
      <c r="I316" s="40"/>
      <c r="J316" s="244"/>
      <c r="K316" s="41"/>
    </row>
    <row r="317" spans="2:11" ht="9.75" customHeight="1" x14ac:dyDescent="0.2">
      <c r="B317" s="38"/>
      <c r="C317" s="280" t="str">
        <f>"1:"</f>
        <v>1:</v>
      </c>
      <c r="D317" s="278" t="s">
        <v>934</v>
      </c>
      <c r="E317" s="40"/>
      <c r="F317" s="40"/>
      <c r="G317" s="40"/>
      <c r="H317" s="40"/>
      <c r="I317" s="40"/>
      <c r="J317" s="244"/>
      <c r="K317" s="41"/>
    </row>
    <row r="318" spans="2:11" ht="9.75" customHeight="1" x14ac:dyDescent="0.2">
      <c r="B318" s="38"/>
      <c r="C318" s="280" t="str">
        <f>"2:"</f>
        <v>2:</v>
      </c>
      <c r="D318" s="278" t="s">
        <v>933</v>
      </c>
      <c r="E318" s="40"/>
      <c r="F318" s="40"/>
      <c r="G318" s="40"/>
      <c r="H318" s="40"/>
      <c r="I318" s="40"/>
      <c r="J318" s="244"/>
      <c r="K318" s="41"/>
    </row>
    <row r="319" spans="2:11" ht="9.75" customHeight="1" x14ac:dyDescent="0.2">
      <c r="B319" s="38"/>
      <c r="C319" s="280" t="str">
        <f>"3:"</f>
        <v>3:</v>
      </c>
      <c r="D319" s="278" t="s">
        <v>935</v>
      </c>
      <c r="E319" s="40"/>
      <c r="F319" s="40"/>
      <c r="G319" s="40"/>
      <c r="H319" s="40"/>
      <c r="I319" s="40"/>
      <c r="J319" s="244"/>
      <c r="K319" s="41"/>
    </row>
    <row r="320" spans="2:11" ht="9.75" customHeight="1" x14ac:dyDescent="0.2">
      <c r="B320" s="38"/>
      <c r="C320" s="280" t="str">
        <f>"4:"</f>
        <v>4:</v>
      </c>
      <c r="D320" s="278" t="s">
        <v>936</v>
      </c>
      <c r="E320" s="40"/>
      <c r="F320" s="40"/>
      <c r="G320" s="40"/>
      <c r="H320" s="40"/>
      <c r="I320" s="40"/>
      <c r="J320" s="40"/>
      <c r="K320" s="41"/>
    </row>
    <row r="321" spans="2:11" x14ac:dyDescent="0.2">
      <c r="B321" s="38"/>
      <c r="C321" s="40" t="s">
        <v>296</v>
      </c>
      <c r="D321" s="40"/>
      <c r="E321" s="40"/>
      <c r="F321" s="40"/>
      <c r="G321" s="40"/>
      <c r="H321" s="40"/>
      <c r="I321" s="40"/>
      <c r="J321" s="266">
        <v>0</v>
      </c>
      <c r="K321" s="41"/>
    </row>
    <row r="322" spans="2:11" x14ac:dyDescent="0.2">
      <c r="B322" s="38"/>
      <c r="C322" s="40" t="s">
        <v>261</v>
      </c>
      <c r="D322" s="40"/>
      <c r="E322" s="40"/>
      <c r="F322" s="40"/>
      <c r="G322" s="40"/>
      <c r="H322" s="40"/>
      <c r="I322" s="40"/>
      <c r="J322" s="245">
        <f>IF(J321&lt;=0,0,IF(J321&lt;=2,1,IF(J321&lt;=6,2,IF(J321&lt;=12,3,4))))</f>
        <v>0</v>
      </c>
      <c r="K322" s="41"/>
    </row>
    <row r="323" spans="2:11" x14ac:dyDescent="0.2">
      <c r="B323" s="38"/>
      <c r="C323" s="40" t="s">
        <v>893</v>
      </c>
      <c r="D323" s="40"/>
      <c r="E323" s="40"/>
      <c r="F323" s="40"/>
      <c r="G323" s="40"/>
      <c r="H323" s="40"/>
      <c r="I323" s="40"/>
      <c r="J323" s="40"/>
      <c r="K323" s="41"/>
    </row>
    <row r="324" spans="2:11" ht="15" customHeight="1" x14ac:dyDescent="0.2">
      <c r="B324" s="38"/>
      <c r="C324" s="399"/>
      <c r="D324" s="400"/>
      <c r="E324" s="400"/>
      <c r="F324" s="400"/>
      <c r="G324" s="400"/>
      <c r="H324" s="400"/>
      <c r="I324" s="400"/>
      <c r="J324" s="401"/>
      <c r="K324" s="41"/>
    </row>
    <row r="325" spans="2:11" x14ac:dyDescent="0.2">
      <c r="B325" s="38"/>
      <c r="C325" s="40"/>
      <c r="D325" s="40"/>
      <c r="E325" s="40"/>
      <c r="F325" s="40"/>
      <c r="G325" s="40"/>
      <c r="H325" s="40"/>
      <c r="I325" s="40"/>
      <c r="J325" s="40"/>
      <c r="K325" s="41"/>
    </row>
    <row r="326" spans="2:11" x14ac:dyDescent="0.2">
      <c r="B326" s="38"/>
      <c r="C326" s="179" t="s">
        <v>886</v>
      </c>
      <c r="D326" s="40"/>
      <c r="E326" s="40"/>
      <c r="F326" s="40"/>
      <c r="G326" s="40"/>
      <c r="H326" s="40"/>
      <c r="I326" s="40"/>
      <c r="J326" s="245">
        <f>IF(OR(J315="Not Calculated",J322="Not Calculated")=TRUE,"Not Calculated",AVERAGE(J315,J322))</f>
        <v>2</v>
      </c>
      <c r="K326" s="41"/>
    </row>
    <row r="327" spans="2:11" x14ac:dyDescent="0.2">
      <c r="B327" s="38"/>
      <c r="C327" s="40"/>
      <c r="D327" s="40"/>
      <c r="E327" s="40"/>
      <c r="F327" s="40"/>
      <c r="G327" s="40"/>
      <c r="H327" s="40"/>
      <c r="I327" s="40"/>
      <c r="J327" s="40"/>
      <c r="K327" s="41"/>
    </row>
    <row r="328" spans="2:11" x14ac:dyDescent="0.2">
      <c r="B328" s="38"/>
      <c r="C328" s="40"/>
      <c r="D328" s="40"/>
      <c r="E328" s="40"/>
      <c r="F328" s="40"/>
      <c r="G328" s="40"/>
      <c r="H328" s="40"/>
      <c r="I328" s="40"/>
      <c r="J328" s="40"/>
      <c r="K328" s="41"/>
    </row>
    <row r="329" spans="2:11" ht="16" x14ac:dyDescent="0.2">
      <c r="B329" s="38"/>
      <c r="C329" s="45" t="s">
        <v>858</v>
      </c>
      <c r="D329" s="40"/>
      <c r="E329" s="40"/>
      <c r="F329" s="40"/>
      <c r="G329" s="40"/>
      <c r="H329" s="40"/>
      <c r="I329" s="40"/>
      <c r="J329" s="40"/>
      <c r="K329" s="41"/>
    </row>
    <row r="330" spans="2:11" ht="15" customHeight="1" x14ac:dyDescent="0.2">
      <c r="B330" s="38"/>
      <c r="C330" s="380" t="s">
        <v>844</v>
      </c>
      <c r="D330" s="380"/>
      <c r="E330" s="380"/>
      <c r="F330" s="380"/>
      <c r="G330" s="380"/>
      <c r="H330" s="380"/>
      <c r="I330" s="380"/>
      <c r="J330" s="40"/>
      <c r="K330" s="41"/>
    </row>
    <row r="331" spans="2:11" x14ac:dyDescent="0.2">
      <c r="B331" s="38"/>
      <c r="C331" s="380"/>
      <c r="D331" s="380"/>
      <c r="E331" s="380"/>
      <c r="F331" s="380"/>
      <c r="G331" s="380"/>
      <c r="H331" s="380"/>
      <c r="I331" s="380"/>
      <c r="J331" s="264">
        <v>0</v>
      </c>
      <c r="K331" s="41"/>
    </row>
    <row r="332" spans="2:11" x14ac:dyDescent="0.2">
      <c r="B332" s="38"/>
      <c r="C332" s="40" t="s">
        <v>853</v>
      </c>
      <c r="D332" s="291"/>
      <c r="E332" s="291"/>
      <c r="F332" s="291"/>
      <c r="G332" s="291"/>
      <c r="H332" s="291"/>
      <c r="I332" s="291"/>
      <c r="J332" s="255">
        <f>'Baseline Health'!$G$102</f>
        <v>0</v>
      </c>
      <c r="K332" s="41"/>
    </row>
    <row r="333" spans="2:11" x14ac:dyDescent="0.2">
      <c r="B333" s="38"/>
      <c r="C333" s="40" t="s">
        <v>845</v>
      </c>
      <c r="D333" s="40"/>
      <c r="E333" s="40"/>
      <c r="F333" s="40"/>
      <c r="G333" s="40"/>
      <c r="H333" s="40"/>
      <c r="I333" s="40"/>
      <c r="J333" s="244" t="str">
        <f>IF('Baseline Health'!$G$102=0,"Not Calculated",100*J331/'Baseline Health'!$G$102)</f>
        <v>Not Calculated</v>
      </c>
      <c r="K333" s="41"/>
    </row>
    <row r="334" spans="2:11" x14ac:dyDescent="0.2">
      <c r="B334" s="38"/>
      <c r="C334" s="40" t="s">
        <v>260</v>
      </c>
      <c r="D334" s="40"/>
      <c r="E334" s="40"/>
      <c r="F334" s="40"/>
      <c r="G334" s="40"/>
      <c r="H334" s="40"/>
      <c r="I334" s="40"/>
      <c r="J334" s="245">
        <f>IF(J333&lt;=0,0,IF(J333&lt;=1,1,IF(J333&lt;=5,2,IF(J333&lt;=10,3,4))))</f>
        <v>4</v>
      </c>
      <c r="K334" s="41"/>
    </row>
    <row r="335" spans="2:11" ht="9.75" customHeight="1" x14ac:dyDescent="0.2">
      <c r="B335" s="38"/>
      <c r="C335" s="279" t="str">
        <f>"0:"</f>
        <v>0:</v>
      </c>
      <c r="D335" s="278" t="s">
        <v>932</v>
      </c>
      <c r="E335" s="40"/>
      <c r="F335" s="40"/>
      <c r="G335" s="40"/>
      <c r="H335" s="40"/>
      <c r="I335" s="40"/>
      <c r="J335" s="244"/>
      <c r="K335" s="41"/>
    </row>
    <row r="336" spans="2:11" ht="9.75" customHeight="1" x14ac:dyDescent="0.2">
      <c r="B336" s="38"/>
      <c r="C336" s="280" t="str">
        <f>"1:"</f>
        <v>1:</v>
      </c>
      <c r="D336" s="278" t="s">
        <v>934</v>
      </c>
      <c r="E336" s="40"/>
      <c r="F336" s="40"/>
      <c r="G336" s="40"/>
      <c r="H336" s="40"/>
      <c r="I336" s="40"/>
      <c r="J336" s="244"/>
      <c r="K336" s="41"/>
    </row>
    <row r="337" spans="2:11" ht="9.75" customHeight="1" x14ac:dyDescent="0.2">
      <c r="B337" s="38"/>
      <c r="C337" s="280" t="str">
        <f>"2:"</f>
        <v>2:</v>
      </c>
      <c r="D337" s="278" t="s">
        <v>933</v>
      </c>
      <c r="E337" s="40"/>
      <c r="F337" s="40"/>
      <c r="G337" s="40"/>
      <c r="H337" s="40"/>
      <c r="I337" s="40"/>
      <c r="J337" s="244"/>
      <c r="K337" s="41"/>
    </row>
    <row r="338" spans="2:11" ht="9.75" customHeight="1" x14ac:dyDescent="0.2">
      <c r="B338" s="38"/>
      <c r="C338" s="280" t="str">
        <f>"3:"</f>
        <v>3:</v>
      </c>
      <c r="D338" s="278" t="s">
        <v>935</v>
      </c>
      <c r="E338" s="40"/>
      <c r="F338" s="40"/>
      <c r="G338" s="40"/>
      <c r="H338" s="40"/>
      <c r="I338" s="40"/>
      <c r="J338" s="244"/>
      <c r="K338" s="41"/>
    </row>
    <row r="339" spans="2:11" ht="9.75" customHeight="1" x14ac:dyDescent="0.2">
      <c r="B339" s="38"/>
      <c r="C339" s="280" t="str">
        <f>"4:"</f>
        <v>4:</v>
      </c>
      <c r="D339" s="278" t="s">
        <v>936</v>
      </c>
      <c r="E339" s="40"/>
      <c r="F339" s="40"/>
      <c r="G339" s="40"/>
      <c r="H339" s="40"/>
      <c r="I339" s="40"/>
      <c r="J339" s="40"/>
      <c r="K339" s="41"/>
    </row>
    <row r="340" spans="2:11" x14ac:dyDescent="0.2">
      <c r="B340" s="38"/>
      <c r="C340" s="380" t="s">
        <v>84</v>
      </c>
      <c r="D340" s="380"/>
      <c r="E340" s="380"/>
      <c r="F340" s="380"/>
      <c r="G340" s="380"/>
      <c r="H340" s="380"/>
      <c r="I340" s="380"/>
      <c r="J340" s="245"/>
      <c r="K340" s="41"/>
    </row>
    <row r="341" spans="2:11" x14ac:dyDescent="0.2">
      <c r="B341" s="38"/>
      <c r="C341" s="380"/>
      <c r="D341" s="380"/>
      <c r="E341" s="380"/>
      <c r="F341" s="380"/>
      <c r="G341" s="380"/>
      <c r="H341" s="380"/>
      <c r="I341" s="380"/>
      <c r="J341" s="251">
        <f>'Baseline Health'!G108</f>
        <v>40</v>
      </c>
      <c r="K341" s="41"/>
    </row>
    <row r="342" spans="2:11" ht="15" customHeight="1" x14ac:dyDescent="0.2">
      <c r="B342" s="38"/>
      <c r="C342" s="40" t="s">
        <v>833</v>
      </c>
      <c r="D342" s="40"/>
      <c r="E342" s="40"/>
      <c r="F342" s="40"/>
      <c r="G342" s="40"/>
      <c r="H342" s="40"/>
      <c r="I342" s="40"/>
      <c r="J342" s="245">
        <f>IF(J341&gt;J321,0,J321-J341)</f>
        <v>0</v>
      </c>
      <c r="K342" s="41"/>
    </row>
    <row r="343" spans="2:11" x14ac:dyDescent="0.2">
      <c r="B343" s="38"/>
      <c r="C343" s="40"/>
      <c r="D343" s="380" t="s">
        <v>834</v>
      </c>
      <c r="E343" s="380"/>
      <c r="F343" s="380"/>
      <c r="G343" s="380"/>
      <c r="H343" s="380"/>
      <c r="I343" s="380"/>
      <c r="J343" s="40"/>
      <c r="K343" s="41"/>
    </row>
    <row r="344" spans="2:11" x14ac:dyDescent="0.2">
      <c r="B344" s="38"/>
      <c r="C344" s="40"/>
      <c r="D344" s="380"/>
      <c r="E344" s="380"/>
      <c r="F344" s="380"/>
      <c r="G344" s="380"/>
      <c r="H344" s="380"/>
      <c r="I344" s="380"/>
      <c r="J344" s="40"/>
      <c r="K344" s="41"/>
    </row>
    <row r="345" spans="2:11" x14ac:dyDescent="0.2">
      <c r="B345" s="38"/>
      <c r="C345" s="40" t="s">
        <v>261</v>
      </c>
      <c r="D345" s="40"/>
      <c r="E345" s="40"/>
      <c r="F345" s="40"/>
      <c r="G345" s="40"/>
      <c r="H345" s="40"/>
      <c r="I345" s="40"/>
      <c r="J345" s="245">
        <f>IF(J342&lt;=0,0,IF(J342&lt;=2,1,IF(J342&lt;=6,2,IF(J342&lt;=12,3,4))))</f>
        <v>0</v>
      </c>
      <c r="K345" s="41"/>
    </row>
    <row r="346" spans="2:11" x14ac:dyDescent="0.2">
      <c r="B346" s="38"/>
      <c r="C346" s="40" t="s">
        <v>893</v>
      </c>
      <c r="D346" s="40"/>
      <c r="E346" s="40"/>
      <c r="F346" s="40"/>
      <c r="G346" s="40"/>
      <c r="H346" s="40"/>
      <c r="I346" s="40"/>
      <c r="J346" s="40"/>
      <c r="K346" s="41"/>
    </row>
    <row r="347" spans="2:11" ht="15" customHeight="1" x14ac:dyDescent="0.2">
      <c r="B347" s="38"/>
      <c r="C347" s="399"/>
      <c r="D347" s="400"/>
      <c r="E347" s="400"/>
      <c r="F347" s="400"/>
      <c r="G347" s="400"/>
      <c r="H347" s="400"/>
      <c r="I347" s="400"/>
      <c r="J347" s="401"/>
      <c r="K347" s="41"/>
    </row>
    <row r="348" spans="2:11" x14ac:dyDescent="0.2">
      <c r="B348" s="38"/>
      <c r="C348" s="40"/>
      <c r="D348" s="40"/>
      <c r="E348" s="40"/>
      <c r="F348" s="40"/>
      <c r="G348" s="40"/>
      <c r="H348" s="40"/>
      <c r="I348" s="40"/>
      <c r="J348" s="40"/>
      <c r="K348" s="41"/>
    </row>
    <row r="349" spans="2:11" x14ac:dyDescent="0.2">
      <c r="B349" s="38"/>
      <c r="C349" s="179" t="s">
        <v>887</v>
      </c>
      <c r="D349" s="40"/>
      <c r="E349" s="40"/>
      <c r="F349" s="40"/>
      <c r="G349" s="40"/>
      <c r="H349" s="40"/>
      <c r="I349" s="40"/>
      <c r="J349" s="245">
        <f>IF(OR(J334="Not Calculated",J345="Not Calculated")=TRUE,"Not Calculated",AVERAGE(J334,J345))</f>
        <v>2</v>
      </c>
      <c r="K349" s="41"/>
    </row>
    <row r="350" spans="2:11" x14ac:dyDescent="0.2">
      <c r="B350" s="38"/>
      <c r="C350" s="40"/>
      <c r="D350" s="40"/>
      <c r="E350" s="40"/>
      <c r="F350" s="40"/>
      <c r="G350" s="40"/>
      <c r="H350" s="40"/>
      <c r="I350" s="40"/>
      <c r="J350" s="40"/>
      <c r="K350" s="41"/>
    </row>
    <row r="351" spans="2:11" x14ac:dyDescent="0.2">
      <c r="B351" s="38"/>
      <c r="C351" s="40"/>
      <c r="D351" s="40"/>
      <c r="E351" s="40"/>
      <c r="F351" s="40"/>
      <c r="G351" s="40"/>
      <c r="H351" s="40"/>
      <c r="I351" s="40"/>
      <c r="J351" s="40"/>
      <c r="K351" s="41"/>
    </row>
    <row r="352" spans="2:11" ht="15" customHeight="1" x14ac:dyDescent="0.2">
      <c r="B352" s="38"/>
      <c r="C352" s="45" t="s">
        <v>884</v>
      </c>
      <c r="D352" s="40"/>
      <c r="E352" s="40"/>
      <c r="F352" s="40"/>
      <c r="G352" s="40"/>
      <c r="H352" s="40"/>
      <c r="I352" s="40"/>
      <c r="J352" s="40"/>
      <c r="K352" s="41"/>
    </row>
    <row r="353" spans="2:11" x14ac:dyDescent="0.2">
      <c r="B353" s="38"/>
      <c r="C353" s="40" t="s">
        <v>846</v>
      </c>
      <c r="D353" s="40"/>
      <c r="E353" s="40"/>
      <c r="F353" s="40"/>
      <c r="G353" s="40"/>
      <c r="H353" s="40"/>
      <c r="I353" s="40"/>
      <c r="J353" s="264">
        <v>0</v>
      </c>
      <c r="K353" s="41"/>
    </row>
    <row r="354" spans="2:11" x14ac:dyDescent="0.2">
      <c r="B354" s="38"/>
      <c r="C354" s="40" t="s">
        <v>854</v>
      </c>
      <c r="D354" s="40"/>
      <c r="E354" s="40"/>
      <c r="F354" s="40"/>
      <c r="G354" s="40"/>
      <c r="H354" s="40"/>
      <c r="I354" s="40"/>
      <c r="J354" s="255">
        <f>'Baseline Health'!$G$59</f>
        <v>0</v>
      </c>
      <c r="K354" s="41"/>
    </row>
    <row r="355" spans="2:11" x14ac:dyDescent="0.2">
      <c r="B355" s="38"/>
      <c r="C355" s="40" t="s">
        <v>847</v>
      </c>
      <c r="D355" s="40"/>
      <c r="E355" s="40"/>
      <c r="F355" s="40"/>
      <c r="G355" s="40"/>
      <c r="H355" s="40"/>
      <c r="I355" s="40"/>
      <c r="J355" s="244">
        <f>IF(J353=0,0,IF('Baseline Health'!G$59=0,"Not Calculated",100*J353/'Baseline Health'!$G$59))</f>
        <v>0</v>
      </c>
      <c r="K355" s="41"/>
    </row>
    <row r="356" spans="2:11" x14ac:dyDescent="0.2">
      <c r="B356" s="38"/>
      <c r="C356" s="40" t="s">
        <v>260</v>
      </c>
      <c r="D356" s="40"/>
      <c r="E356" s="40"/>
      <c r="F356" s="40"/>
      <c r="G356" s="40"/>
      <c r="H356" s="40"/>
      <c r="I356" s="40"/>
      <c r="J356" s="245">
        <f>IF(J355&lt;=0,0,IF(J355&lt;=5,1,IF(J355&lt;=10,2,IF(J355&lt;=25,3,4))))</f>
        <v>0</v>
      </c>
      <c r="K356" s="41"/>
    </row>
    <row r="357" spans="2:11" ht="9.75" customHeight="1" x14ac:dyDescent="0.2">
      <c r="B357" s="38"/>
      <c r="C357" s="279" t="str">
        <f>"0:"</f>
        <v>0:</v>
      </c>
      <c r="D357" s="278" t="s">
        <v>932</v>
      </c>
      <c r="E357" s="40"/>
      <c r="F357" s="40"/>
      <c r="G357" s="40"/>
      <c r="H357" s="40"/>
      <c r="I357" s="40"/>
      <c r="J357" s="244"/>
      <c r="K357" s="41"/>
    </row>
    <row r="358" spans="2:11" ht="9.75" customHeight="1" x14ac:dyDescent="0.2">
      <c r="B358" s="38"/>
      <c r="C358" s="280" t="str">
        <f>"1:"</f>
        <v>1:</v>
      </c>
      <c r="D358" s="278" t="s">
        <v>933</v>
      </c>
      <c r="E358" s="40"/>
      <c r="F358" s="40"/>
      <c r="G358" s="40"/>
      <c r="H358" s="40"/>
      <c r="I358" s="40"/>
      <c r="J358" s="244"/>
      <c r="K358" s="41"/>
    </row>
    <row r="359" spans="2:11" ht="9.75" customHeight="1" x14ac:dyDescent="0.2">
      <c r="B359" s="38"/>
      <c r="C359" s="280" t="str">
        <f>"2:"</f>
        <v>2:</v>
      </c>
      <c r="D359" s="278" t="s">
        <v>935</v>
      </c>
      <c r="E359" s="40"/>
      <c r="F359" s="40"/>
      <c r="G359" s="40"/>
      <c r="H359" s="40"/>
      <c r="I359" s="40"/>
      <c r="J359" s="244"/>
      <c r="K359" s="41"/>
    </row>
    <row r="360" spans="2:11" ht="9.75" customHeight="1" x14ac:dyDescent="0.2">
      <c r="B360" s="38"/>
      <c r="C360" s="280" t="str">
        <f>"3:"</f>
        <v>3:</v>
      </c>
      <c r="D360" s="278" t="s">
        <v>937</v>
      </c>
      <c r="E360" s="40"/>
      <c r="F360" s="40"/>
      <c r="G360" s="40"/>
      <c r="H360" s="40"/>
      <c r="I360" s="40"/>
      <c r="J360" s="244"/>
      <c r="K360" s="41"/>
    </row>
    <row r="361" spans="2:11" ht="9.75" customHeight="1" x14ac:dyDescent="0.2">
      <c r="B361" s="38"/>
      <c r="C361" s="280" t="str">
        <f>"4:"</f>
        <v>4:</v>
      </c>
      <c r="D361" s="278" t="s">
        <v>938</v>
      </c>
      <c r="E361" s="40"/>
      <c r="F361" s="40"/>
      <c r="G361" s="40"/>
      <c r="H361" s="40"/>
      <c r="I361" s="40"/>
      <c r="J361" s="40"/>
      <c r="K361" s="41"/>
    </row>
    <row r="362" spans="2:11" x14ac:dyDescent="0.2">
      <c r="B362" s="38"/>
      <c r="C362" s="40" t="s">
        <v>257</v>
      </c>
      <c r="D362" s="40"/>
      <c r="E362" s="40"/>
      <c r="F362" s="40"/>
      <c r="G362" s="40"/>
      <c r="H362" s="40"/>
      <c r="I362" s="40"/>
      <c r="J362" s="266" t="s">
        <v>870</v>
      </c>
      <c r="K362" s="41"/>
    </row>
    <row r="363" spans="2:11" x14ac:dyDescent="0.2">
      <c r="B363" s="38"/>
      <c r="C363" s="40" t="s">
        <v>261</v>
      </c>
      <c r="D363" s="40"/>
      <c r="E363" s="40"/>
      <c r="F363" s="40"/>
      <c r="G363" s="40"/>
      <c r="H363" s="40"/>
      <c r="I363" s="40"/>
      <c r="J363" s="245">
        <f>IF(J362=$B$980,$A$980,IF(J362=$B$981,$A$981,IF(J362=$B$982,$A$982,IF(J362=$B$983,$A$983,IF(J362=$B$984,$A$984,"Not Calculated")))))</f>
        <v>0</v>
      </c>
      <c r="K363" s="41"/>
    </row>
    <row r="364" spans="2:11" x14ac:dyDescent="0.2">
      <c r="B364" s="38"/>
      <c r="C364" s="40" t="s">
        <v>893</v>
      </c>
      <c r="D364" s="40"/>
      <c r="E364" s="40"/>
      <c r="F364" s="40"/>
      <c r="G364" s="40"/>
      <c r="H364" s="40"/>
      <c r="I364" s="40"/>
      <c r="J364" s="40"/>
      <c r="K364" s="41"/>
    </row>
    <row r="365" spans="2:11" ht="15" customHeight="1" x14ac:dyDescent="0.2">
      <c r="B365" s="38"/>
      <c r="C365" s="399"/>
      <c r="D365" s="400"/>
      <c r="E365" s="400"/>
      <c r="F365" s="400"/>
      <c r="G365" s="400"/>
      <c r="H365" s="400"/>
      <c r="I365" s="400"/>
      <c r="J365" s="401"/>
      <c r="K365" s="41"/>
    </row>
    <row r="366" spans="2:11" x14ac:dyDescent="0.2">
      <c r="B366" s="38"/>
      <c r="C366" s="40"/>
      <c r="D366" s="40"/>
      <c r="E366" s="40"/>
      <c r="F366" s="40"/>
      <c r="G366" s="40"/>
      <c r="H366" s="40"/>
      <c r="I366" s="40"/>
      <c r="J366" s="40"/>
      <c r="K366" s="41"/>
    </row>
    <row r="367" spans="2:11" x14ac:dyDescent="0.2">
      <c r="B367" s="38"/>
      <c r="C367" s="179" t="s">
        <v>888</v>
      </c>
      <c r="D367" s="40"/>
      <c r="E367" s="40"/>
      <c r="F367" s="40"/>
      <c r="G367" s="40"/>
      <c r="H367" s="40"/>
      <c r="I367" s="40"/>
      <c r="J367" s="245">
        <f>IF(OR(J356="Not Calculated",J363="Not Calculated")=TRUE,"Not Calculated",AVERAGE(J356,J363))</f>
        <v>0</v>
      </c>
      <c r="K367" s="41"/>
    </row>
    <row r="368" spans="2:11" x14ac:dyDescent="0.2">
      <c r="B368" s="38"/>
      <c r="C368" s="40"/>
      <c r="D368" s="40"/>
      <c r="E368" s="40"/>
      <c r="F368" s="40"/>
      <c r="G368" s="40"/>
      <c r="H368" s="40"/>
      <c r="I368" s="40"/>
      <c r="J368" s="40"/>
      <c r="K368" s="41"/>
    </row>
    <row r="369" spans="2:11" x14ac:dyDescent="0.2">
      <c r="B369" s="38"/>
      <c r="C369" s="40"/>
      <c r="D369" s="40"/>
      <c r="E369" s="40"/>
      <c r="F369" s="40"/>
      <c r="G369" s="40"/>
      <c r="H369" s="40"/>
      <c r="I369" s="40"/>
      <c r="J369" s="40"/>
      <c r="K369" s="41"/>
    </row>
    <row r="370" spans="2:11" ht="16" x14ac:dyDescent="0.2">
      <c r="B370" s="38"/>
      <c r="C370" s="45" t="s">
        <v>863</v>
      </c>
      <c r="D370" s="40"/>
      <c r="E370" s="40"/>
      <c r="F370" s="40"/>
      <c r="G370" s="40"/>
      <c r="H370" s="40"/>
      <c r="I370" s="40"/>
      <c r="J370" s="40"/>
      <c r="K370" s="41"/>
    </row>
    <row r="371" spans="2:11" ht="15" customHeight="1" x14ac:dyDescent="0.2">
      <c r="B371" s="38"/>
      <c r="C371" s="380" t="s">
        <v>848</v>
      </c>
      <c r="D371" s="380"/>
      <c r="E371" s="380"/>
      <c r="F371" s="380"/>
      <c r="G371" s="380"/>
      <c r="H371" s="380"/>
      <c r="I371" s="380"/>
      <c r="J371" s="181"/>
      <c r="K371" s="41"/>
    </row>
    <row r="372" spans="2:11" x14ac:dyDescent="0.2">
      <c r="B372" s="38"/>
      <c r="C372" s="380"/>
      <c r="D372" s="380"/>
      <c r="E372" s="380"/>
      <c r="F372" s="380"/>
      <c r="G372" s="380"/>
      <c r="H372" s="380"/>
      <c r="I372" s="380"/>
      <c r="J372" s="264">
        <v>0</v>
      </c>
      <c r="K372" s="41"/>
    </row>
    <row r="373" spans="2:11" x14ac:dyDescent="0.2">
      <c r="B373" s="38"/>
      <c r="C373" s="40" t="s">
        <v>853</v>
      </c>
      <c r="D373" s="291"/>
      <c r="E373" s="291"/>
      <c r="F373" s="291"/>
      <c r="G373" s="291"/>
      <c r="H373" s="291"/>
      <c r="I373" s="291"/>
      <c r="J373" s="255">
        <f>'Baseline Health'!$G$102</f>
        <v>0</v>
      </c>
      <c r="K373" s="41"/>
    </row>
    <row r="374" spans="2:11" x14ac:dyDescent="0.2">
      <c r="B374" s="38"/>
      <c r="C374" s="40" t="s">
        <v>842</v>
      </c>
      <c r="D374" s="291"/>
      <c r="E374" s="291"/>
      <c r="F374" s="291"/>
      <c r="G374" s="291"/>
      <c r="H374" s="291"/>
      <c r="I374" s="291"/>
      <c r="J374" s="244" t="str">
        <f>IF('Baseline Health'!$G$102=0,"Not Calculated",100*J372/'Baseline Health'!$G$102)</f>
        <v>Not Calculated</v>
      </c>
      <c r="K374" s="41"/>
    </row>
    <row r="375" spans="2:11" x14ac:dyDescent="0.2">
      <c r="B375" s="38"/>
      <c r="C375" s="40" t="s">
        <v>260</v>
      </c>
      <c r="D375" s="40"/>
      <c r="E375" s="40"/>
      <c r="F375" s="40"/>
      <c r="G375" s="40"/>
      <c r="H375" s="40"/>
      <c r="I375" s="40"/>
      <c r="J375" s="251">
        <f>IF(J374&lt;=0,0,IF(J374&lt;=1,1,IF(J374&lt;=5,2,IF(J374&lt;=10,3,4))))</f>
        <v>4</v>
      </c>
      <c r="K375" s="41"/>
    </row>
    <row r="376" spans="2:11" ht="9.75" customHeight="1" x14ac:dyDescent="0.2">
      <c r="B376" s="38"/>
      <c r="C376" s="279" t="str">
        <f>"0:"</f>
        <v>0:</v>
      </c>
      <c r="D376" s="278" t="s">
        <v>932</v>
      </c>
      <c r="E376" s="291"/>
      <c r="F376" s="291"/>
      <c r="G376" s="291"/>
      <c r="H376" s="291"/>
      <c r="I376" s="291"/>
      <c r="J376" s="244"/>
      <c r="K376" s="41"/>
    </row>
    <row r="377" spans="2:11" ht="9.75" customHeight="1" x14ac:dyDescent="0.2">
      <c r="B377" s="38"/>
      <c r="C377" s="280" t="str">
        <f>"1:"</f>
        <v>1:</v>
      </c>
      <c r="D377" s="278" t="s">
        <v>934</v>
      </c>
      <c r="E377" s="291"/>
      <c r="F377" s="291"/>
      <c r="G377" s="291"/>
      <c r="H377" s="291"/>
      <c r="I377" s="291"/>
      <c r="J377" s="244"/>
      <c r="K377" s="41"/>
    </row>
    <row r="378" spans="2:11" ht="9.75" customHeight="1" x14ac:dyDescent="0.2">
      <c r="B378" s="38"/>
      <c r="C378" s="280" t="str">
        <f>"2:"</f>
        <v>2:</v>
      </c>
      <c r="D378" s="278" t="s">
        <v>933</v>
      </c>
      <c r="E378" s="291"/>
      <c r="F378" s="291"/>
      <c r="G378" s="291"/>
      <c r="H378" s="291"/>
      <c r="I378" s="291"/>
      <c r="J378" s="244"/>
      <c r="K378" s="41"/>
    </row>
    <row r="379" spans="2:11" ht="9.75" customHeight="1" x14ac:dyDescent="0.2">
      <c r="B379" s="38"/>
      <c r="C379" s="280" t="str">
        <f>"3:"</f>
        <v>3:</v>
      </c>
      <c r="D379" s="278" t="s">
        <v>935</v>
      </c>
      <c r="E379" s="291"/>
      <c r="F379" s="291"/>
      <c r="G379" s="291"/>
      <c r="H379" s="291"/>
      <c r="I379" s="291"/>
      <c r="J379" s="244"/>
      <c r="K379" s="41"/>
    </row>
    <row r="380" spans="2:11" ht="9.75" customHeight="1" x14ac:dyDescent="0.2">
      <c r="B380" s="38"/>
      <c r="C380" s="280" t="str">
        <f>"4:"</f>
        <v>4:</v>
      </c>
      <c r="D380" s="278" t="s">
        <v>936</v>
      </c>
      <c r="E380" s="40"/>
      <c r="F380" s="40"/>
      <c r="G380" s="40"/>
      <c r="H380" s="40"/>
      <c r="I380" s="40"/>
      <c r="J380" s="40"/>
      <c r="K380" s="41"/>
    </row>
    <row r="381" spans="2:11" x14ac:dyDescent="0.2">
      <c r="B381" s="38"/>
      <c r="C381" s="40" t="s">
        <v>85</v>
      </c>
      <c r="D381" s="40"/>
      <c r="E381" s="40"/>
      <c r="F381" s="40"/>
      <c r="G381" s="40"/>
      <c r="H381" s="40"/>
      <c r="I381" s="40"/>
      <c r="J381" s="254">
        <f>'Baseline Health'!G114</f>
        <v>7</v>
      </c>
      <c r="K381" s="41"/>
    </row>
    <row r="382" spans="2:11" x14ac:dyDescent="0.2">
      <c r="B382" s="38"/>
      <c r="C382" s="40" t="s">
        <v>297</v>
      </c>
      <c r="D382" s="40"/>
      <c r="E382" s="40"/>
      <c r="F382" s="40"/>
      <c r="G382" s="40"/>
      <c r="H382" s="40"/>
      <c r="I382" s="40"/>
      <c r="J382" s="266">
        <v>0</v>
      </c>
      <c r="K382" s="41"/>
    </row>
    <row r="383" spans="2:11" x14ac:dyDescent="0.2">
      <c r="B383" s="38"/>
      <c r="C383" s="40" t="s">
        <v>261</v>
      </c>
      <c r="D383" s="40"/>
      <c r="E383" s="40"/>
      <c r="F383" s="40"/>
      <c r="G383" s="40"/>
      <c r="H383" s="40"/>
      <c r="I383" s="40"/>
      <c r="J383" s="248">
        <f>IF((J382-J381)&lt;1,0,IF((J382-J381)&lt;3,1,IF((J382-J381)&lt;5,2,IF((J382-J381)&lt;7,3,4))))</f>
        <v>0</v>
      </c>
      <c r="K383" s="41"/>
    </row>
    <row r="384" spans="2:11" x14ac:dyDescent="0.2">
      <c r="B384" s="38"/>
      <c r="C384" s="40" t="s">
        <v>893</v>
      </c>
      <c r="D384" s="40"/>
      <c r="E384" s="40"/>
      <c r="F384" s="40"/>
      <c r="G384" s="40"/>
      <c r="H384" s="40"/>
      <c r="I384" s="40"/>
      <c r="J384" s="40"/>
      <c r="K384" s="41"/>
    </row>
    <row r="385" spans="2:11" ht="15" customHeight="1" x14ac:dyDescent="0.2">
      <c r="B385" s="38"/>
      <c r="C385" s="399"/>
      <c r="D385" s="400"/>
      <c r="E385" s="400"/>
      <c r="F385" s="400"/>
      <c r="G385" s="400"/>
      <c r="H385" s="400"/>
      <c r="I385" s="400"/>
      <c r="J385" s="401"/>
      <c r="K385" s="41"/>
    </row>
    <row r="386" spans="2:11" x14ac:dyDescent="0.2">
      <c r="B386" s="38"/>
      <c r="C386" s="40"/>
      <c r="D386" s="40"/>
      <c r="E386" s="40"/>
      <c r="F386" s="40"/>
      <c r="G386" s="40"/>
      <c r="H386" s="40"/>
      <c r="I386" s="40"/>
      <c r="J386" s="40"/>
      <c r="K386" s="41"/>
    </row>
    <row r="387" spans="2:11" x14ac:dyDescent="0.2">
      <c r="B387" s="38"/>
      <c r="C387" s="179" t="s">
        <v>889</v>
      </c>
      <c r="D387" s="40"/>
      <c r="E387" s="40"/>
      <c r="F387" s="40"/>
      <c r="G387" s="40"/>
      <c r="H387" s="40"/>
      <c r="I387" s="40"/>
      <c r="J387" s="245">
        <f>IF(OR(J375="Not Calculated",J383="Not Calculated")=TRUE,"Not Calculated",AVERAGE(J375,J383))</f>
        <v>2</v>
      </c>
      <c r="K387" s="41"/>
    </row>
    <row r="388" spans="2:11" x14ac:dyDescent="0.2">
      <c r="B388" s="38"/>
      <c r="C388" s="40"/>
      <c r="D388" s="40"/>
      <c r="E388" s="40"/>
      <c r="F388" s="40"/>
      <c r="G388" s="40"/>
      <c r="H388" s="40"/>
      <c r="I388" s="40"/>
      <c r="J388" s="40"/>
      <c r="K388" s="41"/>
    </row>
    <row r="389" spans="2:11" x14ac:dyDescent="0.2">
      <c r="B389" s="38"/>
      <c r="C389" s="40"/>
      <c r="D389" s="40"/>
      <c r="E389" s="40"/>
      <c r="F389" s="40"/>
      <c r="G389" s="40"/>
      <c r="H389" s="40"/>
      <c r="I389" s="40"/>
      <c r="J389" s="40"/>
      <c r="K389" s="41"/>
    </row>
    <row r="390" spans="2:11" ht="16" x14ac:dyDescent="0.2">
      <c r="B390" s="38"/>
      <c r="C390" s="45" t="s">
        <v>860</v>
      </c>
      <c r="D390" s="40"/>
      <c r="E390" s="40"/>
      <c r="F390" s="40"/>
      <c r="G390" s="40"/>
      <c r="H390" s="40"/>
      <c r="I390" s="40"/>
      <c r="J390" s="40"/>
      <c r="K390" s="41"/>
    </row>
    <row r="391" spans="2:11" x14ac:dyDescent="0.2">
      <c r="B391" s="38"/>
      <c r="C391" s="380" t="s">
        <v>849</v>
      </c>
      <c r="D391" s="380"/>
      <c r="E391" s="380"/>
      <c r="F391" s="380"/>
      <c r="G391" s="380"/>
      <c r="H391" s="380"/>
      <c r="I391" s="380"/>
      <c r="J391" s="181"/>
      <c r="K391" s="41"/>
    </row>
    <row r="392" spans="2:11" x14ac:dyDescent="0.2">
      <c r="B392" s="38"/>
      <c r="C392" s="380"/>
      <c r="D392" s="380"/>
      <c r="E392" s="380"/>
      <c r="F392" s="380"/>
      <c r="G392" s="380"/>
      <c r="H392" s="380"/>
      <c r="I392" s="380"/>
      <c r="J392" s="264">
        <v>0</v>
      </c>
      <c r="K392" s="41"/>
    </row>
    <row r="393" spans="2:11" x14ac:dyDescent="0.2">
      <c r="B393" s="38"/>
      <c r="C393" s="40" t="s">
        <v>853</v>
      </c>
      <c r="D393" s="291"/>
      <c r="E393" s="291"/>
      <c r="F393" s="291"/>
      <c r="G393" s="291"/>
      <c r="H393" s="291"/>
      <c r="I393" s="291"/>
      <c r="J393" s="255">
        <f>'Baseline Health'!$G$102</f>
        <v>0</v>
      </c>
      <c r="K393" s="41"/>
    </row>
    <row r="394" spans="2:11" ht="15" customHeight="1" x14ac:dyDescent="0.2">
      <c r="B394" s="38"/>
      <c r="C394" s="40" t="s">
        <v>850</v>
      </c>
      <c r="D394" s="291"/>
      <c r="E394" s="291"/>
      <c r="F394" s="291"/>
      <c r="G394" s="291"/>
      <c r="H394" s="291"/>
      <c r="I394" s="291"/>
      <c r="J394" s="244" t="str">
        <f>IF('Baseline Health'!$G$102=0,"Not Calculated",100*J392/'Baseline Health'!$G$102)</f>
        <v>Not Calculated</v>
      </c>
      <c r="K394" s="41"/>
    </row>
    <row r="395" spans="2:11" ht="15" customHeight="1" x14ac:dyDescent="0.2">
      <c r="B395" s="38"/>
      <c r="C395" s="40" t="s">
        <v>260</v>
      </c>
      <c r="D395" s="40"/>
      <c r="E395" s="40"/>
      <c r="F395" s="40"/>
      <c r="G395" s="40"/>
      <c r="H395" s="40"/>
      <c r="I395" s="40"/>
      <c r="J395" s="43">
        <f>IF(J394&lt;=0,0,IF(J394&lt;=1,1,IF(J394&lt;=5,2,IF(J394&lt;=10,3,4))))</f>
        <v>4</v>
      </c>
      <c r="K395" s="41"/>
    </row>
    <row r="396" spans="2:11" ht="9.75" customHeight="1" x14ac:dyDescent="0.2">
      <c r="B396" s="38"/>
      <c r="C396" s="279" t="str">
        <f>"0:"</f>
        <v>0:</v>
      </c>
      <c r="D396" s="278" t="s">
        <v>932</v>
      </c>
      <c r="E396" s="291"/>
      <c r="F396" s="291"/>
      <c r="G396" s="291"/>
      <c r="H396" s="291"/>
      <c r="I396" s="291"/>
      <c r="J396" s="244"/>
      <c r="K396" s="41"/>
    </row>
    <row r="397" spans="2:11" ht="9.75" customHeight="1" x14ac:dyDescent="0.2">
      <c r="B397" s="38"/>
      <c r="C397" s="280" t="str">
        <f>"1:"</f>
        <v>1:</v>
      </c>
      <c r="D397" s="278" t="s">
        <v>934</v>
      </c>
      <c r="E397" s="291"/>
      <c r="F397" s="291"/>
      <c r="G397" s="291"/>
      <c r="H397" s="291"/>
      <c r="I397" s="291"/>
      <c r="J397" s="244"/>
      <c r="K397" s="41"/>
    </row>
    <row r="398" spans="2:11" ht="9.75" customHeight="1" x14ac:dyDescent="0.2">
      <c r="B398" s="38"/>
      <c r="C398" s="280" t="str">
        <f>"2:"</f>
        <v>2:</v>
      </c>
      <c r="D398" s="278" t="s">
        <v>933</v>
      </c>
      <c r="E398" s="291"/>
      <c r="F398" s="291"/>
      <c r="G398" s="291"/>
      <c r="H398" s="291"/>
      <c r="I398" s="291"/>
      <c r="J398" s="244"/>
      <c r="K398" s="41"/>
    </row>
    <row r="399" spans="2:11" ht="9.75" customHeight="1" x14ac:dyDescent="0.2">
      <c r="B399" s="38"/>
      <c r="C399" s="280" t="str">
        <f>"3:"</f>
        <v>3:</v>
      </c>
      <c r="D399" s="278" t="s">
        <v>935</v>
      </c>
      <c r="E399" s="291"/>
      <c r="F399" s="291"/>
      <c r="G399" s="291"/>
      <c r="H399" s="291"/>
      <c r="I399" s="291"/>
      <c r="J399" s="244"/>
      <c r="K399" s="41"/>
    </row>
    <row r="400" spans="2:11" ht="9.75" customHeight="1" x14ac:dyDescent="0.2">
      <c r="B400" s="38"/>
      <c r="C400" s="280" t="str">
        <f>"4:"</f>
        <v>4:</v>
      </c>
      <c r="D400" s="278" t="s">
        <v>936</v>
      </c>
      <c r="E400" s="40"/>
      <c r="F400" s="40"/>
      <c r="G400" s="40"/>
      <c r="H400" s="40"/>
      <c r="I400" s="40"/>
      <c r="J400" s="40"/>
      <c r="K400" s="41"/>
    </row>
    <row r="401" spans="2:11" x14ac:dyDescent="0.2">
      <c r="B401" s="38"/>
      <c r="C401" s="40" t="s">
        <v>893</v>
      </c>
      <c r="D401" s="40"/>
      <c r="E401" s="40"/>
      <c r="F401" s="40"/>
      <c r="G401" s="40"/>
      <c r="H401" s="40"/>
      <c r="I401" s="40"/>
      <c r="J401" s="40"/>
      <c r="K401" s="41"/>
    </row>
    <row r="402" spans="2:11" ht="15" customHeight="1" x14ac:dyDescent="0.2">
      <c r="B402" s="38"/>
      <c r="C402" s="399"/>
      <c r="D402" s="400"/>
      <c r="E402" s="400"/>
      <c r="F402" s="400"/>
      <c r="G402" s="400"/>
      <c r="H402" s="400"/>
      <c r="I402" s="400"/>
      <c r="J402" s="401"/>
      <c r="K402" s="41"/>
    </row>
    <row r="403" spans="2:11" x14ac:dyDescent="0.2">
      <c r="B403" s="38"/>
      <c r="C403" s="40"/>
      <c r="D403" s="40"/>
      <c r="E403" s="40"/>
      <c r="F403" s="40"/>
      <c r="G403" s="40"/>
      <c r="H403" s="40"/>
      <c r="I403" s="40"/>
      <c r="J403" s="40"/>
      <c r="K403" s="41"/>
    </row>
    <row r="404" spans="2:11" x14ac:dyDescent="0.2">
      <c r="B404" s="38"/>
      <c r="C404" s="179" t="s">
        <v>890</v>
      </c>
      <c r="D404" s="40"/>
      <c r="E404" s="40"/>
      <c r="F404" s="40"/>
      <c r="G404" s="40"/>
      <c r="H404" s="40"/>
      <c r="I404" s="40"/>
      <c r="J404" s="245">
        <f>J395</f>
        <v>4</v>
      </c>
      <c r="K404" s="41"/>
    </row>
    <row r="405" spans="2:11" x14ac:dyDescent="0.2">
      <c r="B405" s="38"/>
      <c r="C405" s="40"/>
      <c r="D405" s="40"/>
      <c r="E405" s="40"/>
      <c r="F405" s="40"/>
      <c r="G405" s="40"/>
      <c r="H405" s="40"/>
      <c r="I405" s="40"/>
      <c r="J405" s="40"/>
      <c r="K405" s="41"/>
    </row>
    <row r="406" spans="2:11" x14ac:dyDescent="0.2">
      <c r="B406" s="38"/>
      <c r="C406" s="40"/>
      <c r="D406" s="40"/>
      <c r="E406" s="40"/>
      <c r="F406" s="40"/>
      <c r="G406" s="40"/>
      <c r="H406" s="40"/>
      <c r="I406" s="40"/>
      <c r="J406" s="40"/>
      <c r="K406" s="41"/>
    </row>
    <row r="407" spans="2:11" ht="16" x14ac:dyDescent="0.2">
      <c r="B407" s="38"/>
      <c r="C407" s="45" t="s">
        <v>861</v>
      </c>
      <c r="D407" s="40"/>
      <c r="E407" s="40"/>
      <c r="F407" s="40"/>
      <c r="G407" s="40"/>
      <c r="H407" s="40"/>
      <c r="I407" s="40"/>
      <c r="J407" s="40"/>
      <c r="K407" s="41"/>
    </row>
    <row r="408" spans="2:11" x14ac:dyDescent="0.2">
      <c r="B408" s="38"/>
      <c r="C408" s="40" t="s">
        <v>298</v>
      </c>
      <c r="D408" s="40"/>
      <c r="E408" s="40"/>
      <c r="F408" s="40"/>
      <c r="G408" s="40"/>
      <c r="H408" s="40"/>
      <c r="I408" s="40"/>
      <c r="J408" s="269">
        <v>0</v>
      </c>
      <c r="K408" s="41"/>
    </row>
    <row r="409" spans="2:11" x14ac:dyDescent="0.2">
      <c r="B409" s="38"/>
      <c r="C409" s="40" t="s">
        <v>260</v>
      </c>
      <c r="D409" s="40"/>
      <c r="E409" s="40"/>
      <c r="F409" s="40"/>
      <c r="G409" s="40"/>
      <c r="H409" s="40"/>
      <c r="I409" s="40"/>
      <c r="J409" s="253">
        <f>IF(J408&lt;=0,0,IF(J408&lt;=(J161*0.01),1,IF(J408&lt;=(J161*0.05),2,IF(J408&lt;=(J161*0.1),3,4))))</f>
        <v>0</v>
      </c>
      <c r="K409" s="41"/>
    </row>
    <row r="410" spans="2:11" ht="9.75" customHeight="1" x14ac:dyDescent="0.2">
      <c r="B410" s="38"/>
      <c r="C410" s="279" t="str">
        <f>"0:"</f>
        <v>0:</v>
      </c>
      <c r="D410" s="278" t="s">
        <v>939</v>
      </c>
      <c r="E410" s="40"/>
      <c r="F410" s="40"/>
      <c r="G410" s="40"/>
      <c r="H410" s="40"/>
      <c r="I410" s="40"/>
      <c r="J410" s="282"/>
      <c r="K410" s="41"/>
    </row>
    <row r="411" spans="2:11" ht="9.75" customHeight="1" x14ac:dyDescent="0.2">
      <c r="B411" s="38"/>
      <c r="C411" s="280" t="str">
        <f>"1:"</f>
        <v>1:</v>
      </c>
      <c r="D411" s="278" t="s">
        <v>940</v>
      </c>
      <c r="E411" s="40"/>
      <c r="F411" s="40"/>
      <c r="G411" s="40"/>
      <c r="H411" s="40"/>
      <c r="I411" s="40"/>
      <c r="J411" s="282"/>
      <c r="K411" s="41"/>
    </row>
    <row r="412" spans="2:11" ht="9.75" customHeight="1" x14ac:dyDescent="0.2">
      <c r="B412" s="38"/>
      <c r="C412" s="280" t="str">
        <f>"2:"</f>
        <v>2:</v>
      </c>
      <c r="D412" s="278" t="s">
        <v>941</v>
      </c>
      <c r="E412" s="40"/>
      <c r="F412" s="40"/>
      <c r="G412" s="40"/>
      <c r="H412" s="40"/>
      <c r="I412" s="40"/>
      <c r="J412" s="282"/>
      <c r="K412" s="41"/>
    </row>
    <row r="413" spans="2:11" ht="9.75" customHeight="1" x14ac:dyDescent="0.2">
      <c r="B413" s="38"/>
      <c r="C413" s="280" t="str">
        <f>"3:"</f>
        <v>3:</v>
      </c>
      <c r="D413" s="278" t="s">
        <v>942</v>
      </c>
      <c r="E413" s="40"/>
      <c r="F413" s="40"/>
      <c r="G413" s="40"/>
      <c r="H413" s="40"/>
      <c r="I413" s="40"/>
      <c r="J413" s="282"/>
      <c r="K413" s="41"/>
    </row>
    <row r="414" spans="2:11" ht="9.75" customHeight="1" x14ac:dyDescent="0.2">
      <c r="B414" s="38"/>
      <c r="C414" s="280" t="str">
        <f>"4:"</f>
        <v>4:</v>
      </c>
      <c r="D414" s="278" t="s">
        <v>943</v>
      </c>
      <c r="E414" s="40"/>
      <c r="F414" s="40"/>
      <c r="G414" s="40"/>
      <c r="H414" s="40"/>
      <c r="I414" s="40"/>
      <c r="J414" s="40"/>
      <c r="K414" s="41"/>
    </row>
    <row r="415" spans="2:11" x14ac:dyDescent="0.2">
      <c r="B415" s="38"/>
      <c r="C415" s="40" t="s">
        <v>893</v>
      </c>
      <c r="D415" s="40"/>
      <c r="E415" s="40"/>
      <c r="F415" s="40"/>
      <c r="G415" s="40"/>
      <c r="H415" s="40"/>
      <c r="I415" s="40"/>
      <c r="J415" s="40"/>
      <c r="K415" s="41"/>
    </row>
    <row r="416" spans="2:11" ht="30" customHeight="1" x14ac:dyDescent="0.2">
      <c r="B416" s="38"/>
      <c r="C416" s="399" t="s">
        <v>425</v>
      </c>
      <c r="D416" s="400"/>
      <c r="E416" s="400"/>
      <c r="F416" s="400"/>
      <c r="G416" s="400"/>
      <c r="H416" s="400"/>
      <c r="I416" s="400"/>
      <c r="J416" s="401"/>
      <c r="K416" s="41"/>
    </row>
    <row r="417" spans="2:11" x14ac:dyDescent="0.2">
      <c r="B417" s="38"/>
      <c r="C417" s="40"/>
      <c r="D417" s="40"/>
      <c r="E417" s="40"/>
      <c r="F417" s="40"/>
      <c r="G417" s="40"/>
      <c r="H417" s="40"/>
      <c r="I417" s="40"/>
      <c r="J417" s="40"/>
      <c r="K417" s="41"/>
    </row>
    <row r="418" spans="2:11" x14ac:dyDescent="0.2">
      <c r="B418" s="38"/>
      <c r="C418" s="179" t="s">
        <v>891</v>
      </c>
      <c r="D418" s="40"/>
      <c r="E418" s="40"/>
      <c r="F418" s="40"/>
      <c r="G418" s="40"/>
      <c r="H418" s="40"/>
      <c r="I418" s="40"/>
      <c r="J418" s="245">
        <f>J409</f>
        <v>0</v>
      </c>
      <c r="K418" s="41"/>
    </row>
    <row r="419" spans="2:11" x14ac:dyDescent="0.2">
      <c r="B419" s="38"/>
      <c r="C419" s="40"/>
      <c r="D419" s="40"/>
      <c r="E419" s="40"/>
      <c r="F419" s="40"/>
      <c r="G419" s="40"/>
      <c r="H419" s="40"/>
      <c r="I419" s="40"/>
      <c r="J419" s="40"/>
      <c r="K419" s="41"/>
    </row>
    <row r="420" spans="2:11" x14ac:dyDescent="0.2">
      <c r="B420" s="38"/>
      <c r="C420" s="410" t="s">
        <v>881</v>
      </c>
      <c r="D420" s="410"/>
      <c r="E420" s="410"/>
      <c r="F420" s="410"/>
      <c r="G420" s="410"/>
      <c r="H420" s="410"/>
      <c r="I420" s="410"/>
      <c r="J420" s="40"/>
      <c r="K420" s="41"/>
    </row>
    <row r="421" spans="2:11" x14ac:dyDescent="0.2">
      <c r="B421" s="38"/>
      <c r="C421" s="410"/>
      <c r="D421" s="410"/>
      <c r="E421" s="410"/>
      <c r="F421" s="410"/>
      <c r="G421" s="410"/>
      <c r="H421" s="410"/>
      <c r="I421" s="410"/>
      <c r="J421" s="244">
        <f>IF(OR(J288="Not Calculated",J307="Not Calculated",J326="Not Calculated",J349="Not Calculated",J367="Not Calculated",J387="Not Calculated",J404="Not Calculated",J418="Not Calculated")=TRUE,"Not Calculated",AVERAGE(J288,J307,J326,J349,J367,J387,J404,J418))</f>
        <v>1.75</v>
      </c>
      <c r="K421" s="41"/>
    </row>
    <row r="422" spans="2:11" ht="16" thickBot="1" x14ac:dyDescent="0.25">
      <c r="B422" s="46"/>
      <c r="C422" s="47"/>
      <c r="D422" s="47"/>
      <c r="E422" s="47"/>
      <c r="F422" s="47"/>
      <c r="G422" s="47"/>
      <c r="H422" s="47"/>
      <c r="I422" s="47"/>
      <c r="J422" s="47"/>
      <c r="K422" s="49"/>
    </row>
    <row r="423" spans="2:11" ht="16" thickBot="1" x14ac:dyDescent="0.25"/>
    <row r="424" spans="2:11" x14ac:dyDescent="0.2">
      <c r="B424" s="33"/>
      <c r="C424" s="34"/>
      <c r="D424" s="34"/>
      <c r="E424" s="34"/>
      <c r="F424" s="34"/>
      <c r="G424" s="34"/>
      <c r="H424" s="34"/>
      <c r="I424" s="34"/>
      <c r="J424" s="34"/>
      <c r="K424" s="37"/>
    </row>
    <row r="425" spans="2:11" ht="21" x14ac:dyDescent="0.25">
      <c r="B425" s="38"/>
      <c r="C425" s="40"/>
      <c r="D425" s="40"/>
      <c r="E425" s="40"/>
      <c r="F425" s="40"/>
      <c r="G425" s="172" t="s">
        <v>230</v>
      </c>
      <c r="H425" s="40"/>
      <c r="I425" s="40"/>
      <c r="J425" s="40"/>
      <c r="K425" s="41"/>
    </row>
    <row r="426" spans="2:11" x14ac:dyDescent="0.2">
      <c r="B426" s="38"/>
      <c r="C426" s="40"/>
      <c r="D426" s="40"/>
      <c r="E426" s="40"/>
      <c r="F426" s="40"/>
      <c r="G426" s="40"/>
      <c r="H426" s="40"/>
      <c r="I426" s="40"/>
      <c r="J426" s="40"/>
      <c r="K426" s="41"/>
    </row>
    <row r="427" spans="2:11" ht="16" x14ac:dyDescent="0.2">
      <c r="B427" s="38"/>
      <c r="C427" s="45" t="s">
        <v>299</v>
      </c>
      <c r="D427" s="40"/>
      <c r="E427" s="40"/>
      <c r="F427" s="40"/>
      <c r="G427" s="40"/>
      <c r="H427" s="40"/>
      <c r="I427" s="40"/>
      <c r="J427" s="40"/>
      <c r="K427" s="41"/>
    </row>
    <row r="428" spans="2:11" x14ac:dyDescent="0.2">
      <c r="B428" s="38"/>
      <c r="C428" s="40" t="s">
        <v>300</v>
      </c>
      <c r="D428" s="40"/>
      <c r="E428" s="40"/>
      <c r="F428" s="40"/>
      <c r="G428" s="40"/>
      <c r="H428" s="40"/>
      <c r="I428" s="40"/>
      <c r="J428" s="270">
        <v>0</v>
      </c>
      <c r="K428" s="41"/>
    </row>
    <row r="429" spans="2:11" x14ac:dyDescent="0.2">
      <c r="B429" s="38"/>
      <c r="C429" s="40" t="s">
        <v>260</v>
      </c>
      <c r="D429" s="40"/>
      <c r="E429" s="40"/>
      <c r="F429" s="40"/>
      <c r="G429" s="40"/>
      <c r="H429" s="40"/>
      <c r="I429" s="40"/>
      <c r="J429" s="248">
        <f>IF(J428&lt;=0,0,IF(J428&lt;=1,1,IF(J428&lt;=5,2,IF(J428&lt;=10,3,4))))</f>
        <v>0</v>
      </c>
      <c r="K429" s="41"/>
    </row>
    <row r="430" spans="2:11" s="98" customFormat="1" ht="9.75" customHeight="1" x14ac:dyDescent="0.2">
      <c r="B430" s="288"/>
      <c r="C430" s="279" t="str">
        <f>"0:"</f>
        <v>0:</v>
      </c>
      <c r="D430" s="290" t="s">
        <v>944</v>
      </c>
      <c r="E430" s="245"/>
      <c r="F430" s="245"/>
      <c r="G430" s="245"/>
      <c r="H430" s="245"/>
      <c r="I430" s="245"/>
      <c r="J430" s="245"/>
      <c r="K430" s="289"/>
    </row>
    <row r="431" spans="2:11" s="98" customFormat="1" ht="9.75" customHeight="1" x14ac:dyDescent="0.2">
      <c r="B431" s="288"/>
      <c r="C431" s="280" t="str">
        <f>"1:"</f>
        <v>1:</v>
      </c>
      <c r="D431" s="290" t="s">
        <v>945</v>
      </c>
      <c r="E431" s="245"/>
      <c r="F431" s="245"/>
      <c r="G431" s="245"/>
      <c r="H431" s="245"/>
      <c r="I431" s="245"/>
      <c r="J431" s="245"/>
      <c r="K431" s="289"/>
    </row>
    <row r="432" spans="2:11" s="98" customFormat="1" ht="9.75" customHeight="1" x14ac:dyDescent="0.2">
      <c r="B432" s="288"/>
      <c r="C432" s="280" t="str">
        <f>"2:"</f>
        <v>2:</v>
      </c>
      <c r="D432" s="290" t="s">
        <v>946</v>
      </c>
      <c r="E432" s="245"/>
      <c r="F432" s="245"/>
      <c r="G432" s="245"/>
      <c r="H432" s="245"/>
      <c r="I432" s="245"/>
      <c r="J432" s="245"/>
      <c r="K432" s="289"/>
    </row>
    <row r="433" spans="2:11" s="98" customFormat="1" ht="9.75" customHeight="1" x14ac:dyDescent="0.2">
      <c r="B433" s="288"/>
      <c r="C433" s="280" t="str">
        <f>"3:"</f>
        <v>3:</v>
      </c>
      <c r="D433" s="290" t="s">
        <v>947</v>
      </c>
      <c r="E433" s="245"/>
      <c r="F433" s="245"/>
      <c r="G433" s="245"/>
      <c r="H433" s="245"/>
      <c r="I433" s="245"/>
      <c r="J433" s="245"/>
      <c r="K433" s="289"/>
    </row>
    <row r="434" spans="2:11" s="98" customFormat="1" ht="9.75" customHeight="1" x14ac:dyDescent="0.2">
      <c r="B434" s="288"/>
      <c r="C434" s="280" t="str">
        <f>"4:"</f>
        <v>4:</v>
      </c>
      <c r="D434" s="290" t="s">
        <v>948</v>
      </c>
      <c r="E434" s="245"/>
      <c r="F434" s="245"/>
      <c r="G434" s="245"/>
      <c r="H434" s="245"/>
      <c r="I434" s="245"/>
      <c r="J434" s="247"/>
      <c r="K434" s="289"/>
    </row>
    <row r="435" spans="2:11" x14ac:dyDescent="0.2">
      <c r="B435" s="38"/>
      <c r="C435" s="40" t="s">
        <v>257</v>
      </c>
      <c r="D435" s="40"/>
      <c r="E435" s="40"/>
      <c r="F435" s="40"/>
      <c r="G435" s="40"/>
      <c r="H435" s="40"/>
      <c r="I435" s="40"/>
      <c r="J435" s="266" t="s">
        <v>870</v>
      </c>
      <c r="K435" s="41"/>
    </row>
    <row r="436" spans="2:11" x14ac:dyDescent="0.2">
      <c r="B436" s="38"/>
      <c r="C436" s="40" t="s">
        <v>261</v>
      </c>
      <c r="D436" s="40"/>
      <c r="E436" s="40"/>
      <c r="F436" s="40"/>
      <c r="G436" s="40"/>
      <c r="H436" s="40"/>
      <c r="I436" s="40"/>
      <c r="J436" s="248">
        <f>IF(J435=$B$973,$A$973,IF(J435=$B$974,$A$974,IF(J435=$B$975,$A$975,IF(J435=$B$976,$A$976,IF(J435=$B$977,$A$977,"Not Calculated")))))</f>
        <v>0</v>
      </c>
      <c r="K436" s="41"/>
    </row>
    <row r="437" spans="2:11" x14ac:dyDescent="0.2">
      <c r="B437" s="38"/>
      <c r="C437" s="40" t="s">
        <v>893</v>
      </c>
      <c r="D437" s="40"/>
      <c r="E437" s="40"/>
      <c r="F437" s="40"/>
      <c r="G437" s="40"/>
      <c r="H437" s="40"/>
      <c r="I437" s="40"/>
      <c r="J437" s="40"/>
      <c r="K437" s="41"/>
    </row>
    <row r="438" spans="2:11" ht="15" customHeight="1" x14ac:dyDescent="0.2">
      <c r="B438" s="38"/>
      <c r="C438" s="399"/>
      <c r="D438" s="400"/>
      <c r="E438" s="400"/>
      <c r="F438" s="400"/>
      <c r="G438" s="400"/>
      <c r="H438" s="400"/>
      <c r="I438" s="400"/>
      <c r="J438" s="401"/>
      <c r="K438" s="41"/>
    </row>
    <row r="439" spans="2:11" x14ac:dyDescent="0.2">
      <c r="B439" s="38"/>
      <c r="C439" s="40"/>
      <c r="D439" s="40"/>
      <c r="E439" s="40"/>
      <c r="F439" s="40"/>
      <c r="G439" s="40"/>
      <c r="H439" s="40"/>
      <c r="I439" s="40"/>
      <c r="J439" s="40"/>
      <c r="K439" s="41"/>
    </row>
    <row r="440" spans="2:11" x14ac:dyDescent="0.2">
      <c r="B440" s="38"/>
      <c r="C440" s="179" t="s">
        <v>301</v>
      </c>
      <c r="D440" s="40"/>
      <c r="E440" s="40"/>
      <c r="F440" s="40"/>
      <c r="G440" s="40"/>
      <c r="H440" s="40"/>
      <c r="I440" s="40"/>
      <c r="J440" s="245">
        <f>IF(OR(J429="Not Calculated",J436="Not Calculated")=TRUE,"Not Calculated",AVERAGE(J429,J436))</f>
        <v>0</v>
      </c>
      <c r="K440" s="41"/>
    </row>
    <row r="441" spans="2:11" x14ac:dyDescent="0.2">
      <c r="B441" s="38"/>
      <c r="C441" s="40"/>
      <c r="D441" s="40"/>
      <c r="E441" s="40"/>
      <c r="F441" s="40"/>
      <c r="G441" s="40"/>
      <c r="H441" s="40"/>
      <c r="I441" s="40"/>
      <c r="J441" s="40"/>
      <c r="K441" s="41"/>
    </row>
    <row r="442" spans="2:11" x14ac:dyDescent="0.2">
      <c r="B442" s="38"/>
      <c r="C442" s="40"/>
      <c r="D442" s="40"/>
      <c r="E442" s="40"/>
      <c r="F442" s="40"/>
      <c r="G442" s="40"/>
      <c r="H442" s="40"/>
      <c r="I442" s="40"/>
      <c r="J442" s="40"/>
      <c r="K442" s="41"/>
    </row>
    <row r="443" spans="2:11" ht="16" x14ac:dyDescent="0.2">
      <c r="B443" s="38"/>
      <c r="C443" s="45" t="s">
        <v>303</v>
      </c>
      <c r="D443" s="40"/>
      <c r="E443" s="40"/>
      <c r="F443" s="40"/>
      <c r="G443" s="40"/>
      <c r="H443" s="40"/>
      <c r="I443" s="40"/>
      <c r="J443" s="40"/>
      <c r="K443" s="41"/>
    </row>
    <row r="444" spans="2:11" ht="15" customHeight="1" x14ac:dyDescent="0.2">
      <c r="B444" s="38"/>
      <c r="C444" s="380" t="s">
        <v>305</v>
      </c>
      <c r="D444" s="380"/>
      <c r="E444" s="380"/>
      <c r="F444" s="380"/>
      <c r="G444" s="380"/>
      <c r="H444" s="380"/>
      <c r="I444" s="380"/>
      <c r="J444" s="40"/>
      <c r="K444" s="41"/>
    </row>
    <row r="445" spans="2:11" x14ac:dyDescent="0.2">
      <c r="B445" s="38"/>
      <c r="C445" s="380"/>
      <c r="D445" s="380"/>
      <c r="E445" s="380"/>
      <c r="F445" s="380"/>
      <c r="G445" s="380"/>
      <c r="H445" s="380"/>
      <c r="I445" s="380"/>
      <c r="J445" s="270">
        <v>0</v>
      </c>
      <c r="K445" s="41"/>
    </row>
    <row r="446" spans="2:11" x14ac:dyDescent="0.2">
      <c r="B446" s="38"/>
      <c r="C446" s="40" t="s">
        <v>260</v>
      </c>
      <c r="D446" s="40"/>
      <c r="E446" s="40"/>
      <c r="F446" s="40"/>
      <c r="G446" s="40"/>
      <c r="H446" s="40"/>
      <c r="I446" s="40"/>
      <c r="J446" s="248">
        <f>IF(J445&lt;=0,0,IF(J445&lt;=1,1,IF(J445&lt;=5,2,IF(J445&lt;=10,3,4))))</f>
        <v>0</v>
      </c>
      <c r="K446" s="41"/>
    </row>
    <row r="447" spans="2:11" ht="9.75" customHeight="1" x14ac:dyDescent="0.2">
      <c r="B447" s="38"/>
      <c r="C447" s="279" t="str">
        <f>"0:"</f>
        <v>0:</v>
      </c>
      <c r="D447" s="278" t="s">
        <v>944</v>
      </c>
      <c r="E447" s="40"/>
      <c r="F447" s="40"/>
      <c r="G447" s="40"/>
      <c r="H447" s="40"/>
      <c r="I447" s="40"/>
      <c r="J447" s="245"/>
      <c r="K447" s="41"/>
    </row>
    <row r="448" spans="2:11" ht="9.75" customHeight="1" x14ac:dyDescent="0.2">
      <c r="B448" s="38"/>
      <c r="C448" s="280" t="str">
        <f>"1:"</f>
        <v>1:</v>
      </c>
      <c r="D448" s="278" t="s">
        <v>945</v>
      </c>
      <c r="E448" s="40"/>
      <c r="F448" s="40"/>
      <c r="G448" s="40"/>
      <c r="H448" s="40"/>
      <c r="I448" s="40"/>
      <c r="J448" s="245"/>
      <c r="K448" s="41"/>
    </row>
    <row r="449" spans="2:11" ht="9.75" customHeight="1" x14ac:dyDescent="0.2">
      <c r="B449" s="38"/>
      <c r="C449" s="280" t="str">
        <f>"2:"</f>
        <v>2:</v>
      </c>
      <c r="D449" s="278" t="s">
        <v>946</v>
      </c>
      <c r="E449" s="40"/>
      <c r="F449" s="40"/>
      <c r="G449" s="40"/>
      <c r="H449" s="40"/>
      <c r="I449" s="40"/>
      <c r="J449" s="245"/>
      <c r="K449" s="41"/>
    </row>
    <row r="450" spans="2:11" ht="9.75" customHeight="1" x14ac:dyDescent="0.2">
      <c r="B450" s="38"/>
      <c r="C450" s="280" t="str">
        <f>"3:"</f>
        <v>3:</v>
      </c>
      <c r="D450" s="278" t="s">
        <v>947</v>
      </c>
      <c r="E450" s="40"/>
      <c r="F450" s="40"/>
      <c r="G450" s="40"/>
      <c r="H450" s="40"/>
      <c r="I450" s="40"/>
      <c r="J450" s="245"/>
      <c r="K450" s="41"/>
    </row>
    <row r="451" spans="2:11" ht="9.75" customHeight="1" x14ac:dyDescent="0.2">
      <c r="B451" s="38"/>
      <c r="C451" s="280" t="str">
        <f>"4:"</f>
        <v>4:</v>
      </c>
      <c r="D451" s="278" t="s">
        <v>948</v>
      </c>
      <c r="E451" s="40"/>
      <c r="F451" s="40"/>
      <c r="G451" s="40"/>
      <c r="H451" s="40"/>
      <c r="I451" s="40"/>
      <c r="J451" s="247"/>
      <c r="K451" s="41"/>
    </row>
    <row r="452" spans="2:11" x14ac:dyDescent="0.2">
      <c r="B452" s="38"/>
      <c r="C452" s="40" t="s">
        <v>257</v>
      </c>
      <c r="D452" s="40"/>
      <c r="E452" s="40"/>
      <c r="F452" s="40"/>
      <c r="G452" s="40"/>
      <c r="H452" s="40"/>
      <c r="I452" s="40"/>
      <c r="J452" s="266" t="s">
        <v>870</v>
      </c>
      <c r="K452" s="41"/>
    </row>
    <row r="453" spans="2:11" x14ac:dyDescent="0.2">
      <c r="B453" s="38"/>
      <c r="C453" s="40" t="s">
        <v>261</v>
      </c>
      <c r="D453" s="40"/>
      <c r="E453" s="40"/>
      <c r="F453" s="40"/>
      <c r="G453" s="40"/>
      <c r="H453" s="40"/>
      <c r="I453" s="40"/>
      <c r="J453" s="248">
        <f>IF(J452=$B$973,$A$973,IF(J452=$B$974,$A$974,IF(J452=$B$975,$A$975,IF(J452=$B$976,$A$976,IF(J452=$B$977,$A$977,"Not Calculated")))))</f>
        <v>0</v>
      </c>
      <c r="K453" s="41"/>
    </row>
    <row r="454" spans="2:11" x14ac:dyDescent="0.2">
      <c r="B454" s="38"/>
      <c r="C454" s="40" t="s">
        <v>893</v>
      </c>
      <c r="D454" s="40"/>
      <c r="E454" s="40"/>
      <c r="F454" s="40"/>
      <c r="G454" s="40"/>
      <c r="H454" s="40"/>
      <c r="I454" s="40"/>
      <c r="J454" s="40"/>
      <c r="K454" s="41"/>
    </row>
    <row r="455" spans="2:11" ht="15" customHeight="1" x14ac:dyDescent="0.2">
      <c r="B455" s="38"/>
      <c r="C455" s="399"/>
      <c r="D455" s="400"/>
      <c r="E455" s="400"/>
      <c r="F455" s="400"/>
      <c r="G455" s="400"/>
      <c r="H455" s="400"/>
      <c r="I455" s="400"/>
      <c r="J455" s="401"/>
      <c r="K455" s="41"/>
    </row>
    <row r="456" spans="2:11" x14ac:dyDescent="0.2">
      <c r="B456" s="38"/>
      <c r="C456" s="40"/>
      <c r="D456" s="40"/>
      <c r="E456" s="40"/>
      <c r="F456" s="40"/>
      <c r="G456" s="40"/>
      <c r="H456" s="40"/>
      <c r="I456" s="40"/>
      <c r="J456" s="40"/>
      <c r="K456" s="41"/>
    </row>
    <row r="457" spans="2:11" x14ac:dyDescent="0.2">
      <c r="B457" s="38"/>
      <c r="C457" s="179" t="s">
        <v>304</v>
      </c>
      <c r="D457" s="40"/>
      <c r="E457" s="40"/>
      <c r="F457" s="40"/>
      <c r="G457" s="40"/>
      <c r="H457" s="40"/>
      <c r="I457" s="40"/>
      <c r="J457" s="245">
        <f>IF(OR(J446="Not Calculated",J453="Not Calculated")=TRUE,"Not Calculated",AVERAGE(J446,J453))</f>
        <v>0</v>
      </c>
      <c r="K457" s="41"/>
    </row>
    <row r="458" spans="2:11" x14ac:dyDescent="0.2">
      <c r="B458" s="38"/>
      <c r="C458" s="40"/>
      <c r="D458" s="40"/>
      <c r="E458" s="40"/>
      <c r="F458" s="40"/>
      <c r="G458" s="40"/>
      <c r="H458" s="40"/>
      <c r="I458" s="40"/>
      <c r="J458" s="40"/>
      <c r="K458" s="41"/>
    </row>
    <row r="459" spans="2:11" x14ac:dyDescent="0.2">
      <c r="B459" s="38"/>
      <c r="C459" s="40"/>
      <c r="D459" s="40"/>
      <c r="E459" s="40"/>
      <c r="F459" s="40"/>
      <c r="G459" s="40"/>
      <c r="H459" s="40"/>
      <c r="I459" s="40"/>
      <c r="J459" s="40"/>
      <c r="K459" s="41"/>
    </row>
    <row r="460" spans="2:11" ht="16" x14ac:dyDescent="0.2">
      <c r="B460" s="38"/>
      <c r="C460" s="45" t="s">
        <v>306</v>
      </c>
      <c r="D460" s="40"/>
      <c r="E460" s="40"/>
      <c r="F460" s="40"/>
      <c r="G460" s="40"/>
      <c r="H460" s="40"/>
      <c r="I460" s="40"/>
      <c r="J460" s="40"/>
      <c r="K460" s="41"/>
    </row>
    <row r="461" spans="2:11" x14ac:dyDescent="0.2">
      <c r="B461" s="38"/>
      <c r="C461" s="40" t="s">
        <v>949</v>
      </c>
      <c r="D461" s="40"/>
      <c r="E461" s="40"/>
      <c r="F461" s="40"/>
      <c r="G461" s="40"/>
      <c r="H461" s="40"/>
      <c r="I461" s="40"/>
      <c r="J461" s="270">
        <v>0</v>
      </c>
      <c r="K461" s="41"/>
    </row>
    <row r="462" spans="2:11" x14ac:dyDescent="0.2">
      <c r="B462" s="38"/>
      <c r="C462" s="40" t="s">
        <v>260</v>
      </c>
      <c r="D462" s="40"/>
      <c r="E462" s="40"/>
      <c r="F462" s="40"/>
      <c r="G462" s="40"/>
      <c r="H462" s="40"/>
      <c r="I462" s="40"/>
      <c r="J462" s="248">
        <f>IF(J461&lt;=0,0,IF(J461&lt;=1,1,IF(J461&lt;=5,2,IF(J461&lt;=10,3,4))))</f>
        <v>0</v>
      </c>
      <c r="K462" s="41"/>
    </row>
    <row r="463" spans="2:11" ht="9.75" customHeight="1" x14ac:dyDescent="0.2">
      <c r="B463" s="38"/>
      <c r="C463" s="279" t="str">
        <f>"0:"</f>
        <v>0:</v>
      </c>
      <c r="D463" s="290" t="s">
        <v>944</v>
      </c>
      <c r="E463" s="40"/>
      <c r="F463" s="40"/>
      <c r="G463" s="40"/>
      <c r="H463" s="40"/>
      <c r="I463" s="40"/>
      <c r="J463" s="245"/>
      <c r="K463" s="41"/>
    </row>
    <row r="464" spans="2:11" ht="9.75" customHeight="1" x14ac:dyDescent="0.2">
      <c r="B464" s="38"/>
      <c r="C464" s="280" t="str">
        <f>"1:"</f>
        <v>1:</v>
      </c>
      <c r="D464" s="290" t="s">
        <v>945</v>
      </c>
      <c r="E464" s="40"/>
      <c r="F464" s="40"/>
      <c r="G464" s="40"/>
      <c r="H464" s="40"/>
      <c r="I464" s="40"/>
      <c r="J464" s="245"/>
      <c r="K464" s="41"/>
    </row>
    <row r="465" spans="2:11" ht="9.75" customHeight="1" x14ac:dyDescent="0.2">
      <c r="B465" s="38"/>
      <c r="C465" s="280" t="str">
        <f>"2:"</f>
        <v>2:</v>
      </c>
      <c r="D465" s="290" t="s">
        <v>946</v>
      </c>
      <c r="E465" s="40"/>
      <c r="F465" s="40"/>
      <c r="G465" s="40"/>
      <c r="H465" s="40"/>
      <c r="I465" s="40"/>
      <c r="J465" s="245"/>
      <c r="K465" s="41"/>
    </row>
    <row r="466" spans="2:11" ht="9.75" customHeight="1" x14ac:dyDescent="0.2">
      <c r="B466" s="38"/>
      <c r="C466" s="280" t="str">
        <f>"3:"</f>
        <v>3:</v>
      </c>
      <c r="D466" s="290" t="s">
        <v>947</v>
      </c>
      <c r="E466" s="40"/>
      <c r="F466" s="40"/>
      <c r="G466" s="40"/>
      <c r="H466" s="40"/>
      <c r="I466" s="40"/>
      <c r="J466" s="245"/>
      <c r="K466" s="41"/>
    </row>
    <row r="467" spans="2:11" ht="9.75" customHeight="1" x14ac:dyDescent="0.2">
      <c r="B467" s="38"/>
      <c r="C467" s="280" t="str">
        <f>"4:"</f>
        <v>4:</v>
      </c>
      <c r="D467" s="290" t="s">
        <v>948</v>
      </c>
      <c r="E467" s="40"/>
      <c r="F467" s="40"/>
      <c r="G467" s="40"/>
      <c r="H467" s="40"/>
      <c r="I467" s="40"/>
      <c r="J467" s="247"/>
      <c r="K467" s="41"/>
    </row>
    <row r="468" spans="2:11" x14ac:dyDescent="0.2">
      <c r="B468" s="38"/>
      <c r="C468" s="40" t="s">
        <v>257</v>
      </c>
      <c r="D468" s="40"/>
      <c r="E468" s="40"/>
      <c r="F468" s="40"/>
      <c r="G468" s="40"/>
      <c r="H468" s="40"/>
      <c r="I468" s="40"/>
      <c r="J468" s="266" t="s">
        <v>870</v>
      </c>
      <c r="K468" s="41"/>
    </row>
    <row r="469" spans="2:11" ht="15" customHeight="1" x14ac:dyDescent="0.2">
      <c r="B469" s="38"/>
      <c r="C469" s="40" t="s">
        <v>261</v>
      </c>
      <c r="D469" s="40"/>
      <c r="E469" s="40"/>
      <c r="F469" s="40"/>
      <c r="G469" s="40"/>
      <c r="H469" s="40"/>
      <c r="I469" s="40"/>
      <c r="J469" s="248">
        <f>IF(J468=$B$973,$A$973,IF(J468=$B$974,$A$974,IF(J468=$B$975,$A$975,IF(J468=$B$976,$A$976,IF(J468=$B$977,$A$977,"Not Calculated")))))</f>
        <v>0</v>
      </c>
      <c r="K469" s="41"/>
    </row>
    <row r="470" spans="2:11" x14ac:dyDescent="0.2">
      <c r="B470" s="38"/>
      <c r="C470" s="40" t="s">
        <v>893</v>
      </c>
      <c r="D470" s="40"/>
      <c r="E470" s="40"/>
      <c r="F470" s="40"/>
      <c r="G470" s="40"/>
      <c r="H470" s="40"/>
      <c r="I470" s="40"/>
      <c r="J470" s="40"/>
      <c r="K470" s="41"/>
    </row>
    <row r="471" spans="2:11" ht="15" customHeight="1" x14ac:dyDescent="0.2">
      <c r="B471" s="38"/>
      <c r="C471" s="399"/>
      <c r="D471" s="400"/>
      <c r="E471" s="400"/>
      <c r="F471" s="400"/>
      <c r="G471" s="400"/>
      <c r="H471" s="400"/>
      <c r="I471" s="400"/>
      <c r="J471" s="401"/>
      <c r="K471" s="41"/>
    </row>
    <row r="472" spans="2:11" x14ac:dyDescent="0.2">
      <c r="B472" s="38"/>
      <c r="C472" s="40"/>
      <c r="D472" s="40"/>
      <c r="E472" s="40"/>
      <c r="F472" s="40"/>
      <c r="G472" s="40"/>
      <c r="H472" s="40"/>
      <c r="I472" s="40"/>
      <c r="J472" s="40"/>
      <c r="K472" s="41"/>
    </row>
    <row r="473" spans="2:11" x14ac:dyDescent="0.2">
      <c r="B473" s="38"/>
      <c r="C473" s="179" t="s">
        <v>307</v>
      </c>
      <c r="D473" s="40"/>
      <c r="E473" s="40"/>
      <c r="F473" s="40"/>
      <c r="G473" s="40"/>
      <c r="H473" s="40"/>
      <c r="I473" s="40"/>
      <c r="J473" s="245">
        <f>IF(OR(J462="Not Calculated",J469="Not Calculated")=TRUE,"Not Calculated",AVERAGE(J462,J469))</f>
        <v>0</v>
      </c>
      <c r="K473" s="41"/>
    </row>
    <row r="474" spans="2:11" x14ac:dyDescent="0.2">
      <c r="B474" s="38"/>
      <c r="C474" s="40"/>
      <c r="D474" s="40"/>
      <c r="E474" s="40"/>
      <c r="F474" s="40"/>
      <c r="G474" s="40"/>
      <c r="H474" s="40"/>
      <c r="I474" s="40"/>
      <c r="J474" s="40"/>
      <c r="K474" s="41"/>
    </row>
    <row r="475" spans="2:11" x14ac:dyDescent="0.2">
      <c r="B475" s="38"/>
      <c r="C475" s="40"/>
      <c r="D475" s="40"/>
      <c r="E475" s="40"/>
      <c r="F475" s="40"/>
      <c r="G475" s="40"/>
      <c r="H475" s="40"/>
      <c r="I475" s="40"/>
      <c r="J475" s="40"/>
      <c r="K475" s="41"/>
    </row>
    <row r="476" spans="2:11" ht="16" x14ac:dyDescent="0.2">
      <c r="B476" s="38"/>
      <c r="C476" s="45" t="s">
        <v>308</v>
      </c>
      <c r="D476" s="40"/>
      <c r="E476" s="40"/>
      <c r="F476" s="40"/>
      <c r="G476" s="40"/>
      <c r="H476" s="40"/>
      <c r="I476" s="40"/>
      <c r="J476" s="40"/>
      <c r="K476" s="41"/>
    </row>
    <row r="477" spans="2:11" ht="15" customHeight="1" x14ac:dyDescent="0.2">
      <c r="B477" s="38"/>
      <c r="C477" s="380" t="s">
        <v>310</v>
      </c>
      <c r="D477" s="380"/>
      <c r="E477" s="380"/>
      <c r="F477" s="380"/>
      <c r="G477" s="380"/>
      <c r="H477" s="380"/>
      <c r="I477" s="380"/>
      <c r="J477" s="40"/>
      <c r="K477" s="41"/>
    </row>
    <row r="478" spans="2:11" x14ac:dyDescent="0.2">
      <c r="B478" s="38"/>
      <c r="C478" s="380"/>
      <c r="D478" s="380"/>
      <c r="E478" s="380"/>
      <c r="F478" s="380"/>
      <c r="G478" s="380"/>
      <c r="H478" s="380"/>
      <c r="I478" s="380"/>
      <c r="J478" s="131">
        <v>7</v>
      </c>
      <c r="K478" s="41"/>
    </row>
    <row r="479" spans="2:11" x14ac:dyDescent="0.2">
      <c r="B479" s="38"/>
      <c r="C479" s="40" t="s">
        <v>261</v>
      </c>
      <c r="D479" s="40"/>
      <c r="E479" s="40"/>
      <c r="F479" s="40"/>
      <c r="G479" s="40"/>
      <c r="H479" s="40"/>
      <c r="I479" s="40"/>
      <c r="J479" s="248">
        <f>IF(J478&lt;=0,0,IF(J478&lt;=1,1,IF(J478&lt;=7,2,IF(J478&lt;=14,3,4))))</f>
        <v>2</v>
      </c>
      <c r="K479" s="41"/>
    </row>
    <row r="480" spans="2:11" s="51" customFormat="1" ht="9.75" customHeight="1" x14ac:dyDescent="0.2">
      <c r="B480" s="283"/>
      <c r="C480" s="279" t="str">
        <f>"0:"</f>
        <v>0:</v>
      </c>
      <c r="D480" s="284" t="s">
        <v>950</v>
      </c>
      <c r="E480" s="285"/>
      <c r="F480" s="285"/>
      <c r="G480" s="285"/>
      <c r="H480" s="285"/>
      <c r="I480" s="285"/>
      <c r="J480" s="43"/>
      <c r="K480" s="286"/>
    </row>
    <row r="481" spans="2:11" s="51" customFormat="1" ht="9.75" customHeight="1" x14ac:dyDescent="0.2">
      <c r="B481" s="283"/>
      <c r="C481" s="280" t="str">
        <f>"1:"</f>
        <v>1:</v>
      </c>
      <c r="D481" s="284" t="s">
        <v>951</v>
      </c>
      <c r="E481" s="285"/>
      <c r="F481" s="285"/>
      <c r="G481" s="285"/>
      <c r="H481" s="285"/>
      <c r="I481" s="285"/>
      <c r="J481" s="43"/>
      <c r="K481" s="286"/>
    </row>
    <row r="482" spans="2:11" s="51" customFormat="1" ht="9.75" customHeight="1" x14ac:dyDescent="0.2">
      <c r="B482" s="283"/>
      <c r="C482" s="280" t="str">
        <f>"2:"</f>
        <v>2:</v>
      </c>
      <c r="D482" s="284" t="s">
        <v>952</v>
      </c>
      <c r="E482" s="285"/>
      <c r="F482" s="285"/>
      <c r="G482" s="285"/>
      <c r="H482" s="285"/>
      <c r="I482" s="285"/>
      <c r="J482" s="43"/>
      <c r="K482" s="286"/>
    </row>
    <row r="483" spans="2:11" s="51" customFormat="1" ht="9.75" customHeight="1" x14ac:dyDescent="0.2">
      <c r="B483" s="283"/>
      <c r="C483" s="280" t="str">
        <f>"3:"</f>
        <v>3:</v>
      </c>
      <c r="D483" s="284" t="s">
        <v>953</v>
      </c>
      <c r="E483" s="285"/>
      <c r="F483" s="285"/>
      <c r="G483" s="285"/>
      <c r="H483" s="285"/>
      <c r="I483" s="285"/>
      <c r="J483" s="43"/>
      <c r="K483" s="286"/>
    </row>
    <row r="484" spans="2:11" s="51" customFormat="1" ht="9.75" customHeight="1" x14ac:dyDescent="0.2">
      <c r="B484" s="283"/>
      <c r="C484" s="280" t="str">
        <f>"4:"</f>
        <v>4:</v>
      </c>
      <c r="D484" s="284" t="s">
        <v>954</v>
      </c>
      <c r="E484" s="285"/>
      <c r="F484" s="285"/>
      <c r="G484" s="285"/>
      <c r="H484" s="285"/>
      <c r="I484" s="285"/>
      <c r="J484" s="43"/>
      <c r="K484" s="286"/>
    </row>
    <row r="485" spans="2:11" x14ac:dyDescent="0.2">
      <c r="B485" s="38"/>
      <c r="C485" s="40" t="s">
        <v>893</v>
      </c>
      <c r="D485" s="40"/>
      <c r="E485" s="40"/>
      <c r="F485" s="40"/>
      <c r="G485" s="40"/>
      <c r="H485" s="40"/>
      <c r="I485" s="40"/>
      <c r="J485" s="40"/>
      <c r="K485" s="41"/>
    </row>
    <row r="486" spans="2:11" ht="15" customHeight="1" x14ac:dyDescent="0.2">
      <c r="B486" s="38"/>
      <c r="C486" s="399" t="s">
        <v>426</v>
      </c>
      <c r="D486" s="400"/>
      <c r="E486" s="400"/>
      <c r="F486" s="400"/>
      <c r="G486" s="400"/>
      <c r="H486" s="400"/>
      <c r="I486" s="400"/>
      <c r="J486" s="401"/>
      <c r="K486" s="41"/>
    </row>
    <row r="487" spans="2:11" x14ac:dyDescent="0.2">
      <c r="B487" s="38"/>
      <c r="C487" s="40"/>
      <c r="D487" s="40"/>
      <c r="E487" s="40"/>
      <c r="F487" s="40"/>
      <c r="G487" s="40"/>
      <c r="H487" s="40"/>
      <c r="I487" s="40"/>
      <c r="J487" s="40"/>
      <c r="K487" s="41"/>
    </row>
    <row r="488" spans="2:11" x14ac:dyDescent="0.2">
      <c r="B488" s="38"/>
      <c r="C488" s="179" t="s">
        <v>309</v>
      </c>
      <c r="D488" s="40"/>
      <c r="E488" s="40"/>
      <c r="F488" s="40"/>
      <c r="G488" s="40"/>
      <c r="H488" s="40"/>
      <c r="I488" s="40"/>
      <c r="J488" s="245">
        <f>J479</f>
        <v>2</v>
      </c>
      <c r="K488" s="41"/>
    </row>
    <row r="489" spans="2:11" x14ac:dyDescent="0.2">
      <c r="B489" s="38"/>
      <c r="C489" s="40"/>
      <c r="D489" s="40"/>
      <c r="E489" s="40"/>
      <c r="F489" s="40"/>
      <c r="G489" s="40"/>
      <c r="H489" s="40"/>
      <c r="I489" s="40"/>
      <c r="J489" s="40"/>
      <c r="K489" s="41"/>
    </row>
    <row r="490" spans="2:11" x14ac:dyDescent="0.2">
      <c r="B490" s="38"/>
      <c r="C490" s="40"/>
      <c r="D490" s="40"/>
      <c r="E490" s="40"/>
      <c r="F490" s="40"/>
      <c r="G490" s="40"/>
      <c r="H490" s="40"/>
      <c r="I490" s="40"/>
      <c r="J490" s="40"/>
      <c r="K490" s="41"/>
    </row>
    <row r="491" spans="2:11" ht="16" x14ac:dyDescent="0.2">
      <c r="B491" s="38"/>
      <c r="C491" s="45" t="s">
        <v>311</v>
      </c>
      <c r="D491" s="40"/>
      <c r="E491" s="40"/>
      <c r="F491" s="40"/>
      <c r="G491" s="40"/>
      <c r="H491" s="40"/>
      <c r="I491" s="40"/>
      <c r="J491" s="40"/>
      <c r="K491" s="41"/>
    </row>
    <row r="492" spans="2:11" x14ac:dyDescent="0.2">
      <c r="B492" s="38"/>
      <c r="C492" s="40" t="s">
        <v>312</v>
      </c>
      <c r="D492" s="40"/>
      <c r="E492" s="40"/>
      <c r="F492" s="40"/>
      <c r="G492" s="40"/>
      <c r="H492" s="40"/>
      <c r="I492" s="40"/>
      <c r="J492" s="270">
        <v>0</v>
      </c>
      <c r="K492" s="41"/>
    </row>
    <row r="493" spans="2:11" x14ac:dyDescent="0.2">
      <c r="B493" s="38"/>
      <c r="C493" s="40" t="s">
        <v>260</v>
      </c>
      <c r="D493" s="40"/>
      <c r="E493" s="40"/>
      <c r="F493" s="40"/>
      <c r="G493" s="40"/>
      <c r="H493" s="40"/>
      <c r="I493" s="40"/>
      <c r="J493" s="248">
        <f>IF(J492&lt;=0,0,IF(J492&lt;=1,1,IF(J492&lt;=5,2,IF(J492&lt;=10,3,4))))</f>
        <v>0</v>
      </c>
      <c r="K493" s="41"/>
    </row>
    <row r="494" spans="2:11" ht="9.75" customHeight="1" x14ac:dyDescent="0.2">
      <c r="B494" s="38"/>
      <c r="C494" s="279" t="str">
        <f>"0:"</f>
        <v>0:</v>
      </c>
      <c r="D494" s="290" t="s">
        <v>955</v>
      </c>
      <c r="E494" s="40"/>
      <c r="F494" s="40"/>
      <c r="G494" s="40"/>
      <c r="H494" s="40"/>
      <c r="I494" s="40"/>
      <c r="J494" s="245"/>
      <c r="K494" s="41"/>
    </row>
    <row r="495" spans="2:11" ht="9.75" customHeight="1" x14ac:dyDescent="0.2">
      <c r="B495" s="38"/>
      <c r="C495" s="280" t="str">
        <f>"1:"</f>
        <v>1:</v>
      </c>
      <c r="D495" s="290" t="s">
        <v>956</v>
      </c>
      <c r="E495" s="40"/>
      <c r="F495" s="40"/>
      <c r="G495" s="40"/>
      <c r="H495" s="40"/>
      <c r="I495" s="40"/>
      <c r="J495" s="245"/>
      <c r="K495" s="41"/>
    </row>
    <row r="496" spans="2:11" ht="9.75" customHeight="1" x14ac:dyDescent="0.2">
      <c r="B496" s="38"/>
      <c r="C496" s="280" t="str">
        <f>"2:"</f>
        <v>2:</v>
      </c>
      <c r="D496" s="290" t="s">
        <v>957</v>
      </c>
      <c r="E496" s="40"/>
      <c r="F496" s="40"/>
      <c r="G496" s="40"/>
      <c r="H496" s="40"/>
      <c r="I496" s="40"/>
      <c r="J496" s="245"/>
      <c r="K496" s="41"/>
    </row>
    <row r="497" spans="2:11" ht="9.75" customHeight="1" x14ac:dyDescent="0.2">
      <c r="B497" s="38"/>
      <c r="C497" s="280" t="str">
        <f>"3:"</f>
        <v>3:</v>
      </c>
      <c r="D497" s="290" t="s">
        <v>958</v>
      </c>
      <c r="E497" s="40"/>
      <c r="F497" s="40"/>
      <c r="G497" s="40"/>
      <c r="H497" s="40"/>
      <c r="I497" s="40"/>
      <c r="J497" s="245"/>
      <c r="K497" s="41"/>
    </row>
    <row r="498" spans="2:11" ht="9.75" customHeight="1" x14ac:dyDescent="0.2">
      <c r="B498" s="38"/>
      <c r="C498" s="280" t="str">
        <f>"4:"</f>
        <v>4:</v>
      </c>
      <c r="D498" s="290" t="s">
        <v>959</v>
      </c>
      <c r="E498" s="40"/>
      <c r="F498" s="40"/>
      <c r="G498" s="40"/>
      <c r="H498" s="40"/>
      <c r="I498" s="40"/>
      <c r="J498" s="247"/>
      <c r="K498" s="41"/>
    </row>
    <row r="499" spans="2:11" x14ac:dyDescent="0.2">
      <c r="B499" s="38"/>
      <c r="C499" s="40" t="s">
        <v>313</v>
      </c>
      <c r="D499" s="40"/>
      <c r="E499" s="40"/>
      <c r="F499" s="40"/>
      <c r="G499" s="40"/>
      <c r="H499" s="40"/>
      <c r="I499" s="40"/>
      <c r="J499" s="266" t="s">
        <v>870</v>
      </c>
      <c r="K499" s="41"/>
    </row>
    <row r="500" spans="2:11" x14ac:dyDescent="0.2">
      <c r="B500" s="38"/>
      <c r="C500" s="40" t="s">
        <v>261</v>
      </c>
      <c r="D500" s="40"/>
      <c r="E500" s="40"/>
      <c r="F500" s="40"/>
      <c r="G500" s="40"/>
      <c r="H500" s="40"/>
      <c r="I500" s="40"/>
      <c r="J500" s="248">
        <f>IF(J499=$B$973,$A$973,IF(J499=$B$974,$A$974,IF(J499=$B$975,$A$975,IF(J499=$B$976,$A$976,IF(J499=$B$977,$A$977,"Not Calculated")))))</f>
        <v>0</v>
      </c>
      <c r="K500" s="41"/>
    </row>
    <row r="501" spans="2:11" x14ac:dyDescent="0.2">
      <c r="B501" s="38"/>
      <c r="C501" s="40" t="s">
        <v>893</v>
      </c>
      <c r="D501" s="40"/>
      <c r="E501" s="40"/>
      <c r="F501" s="40"/>
      <c r="G501" s="40"/>
      <c r="H501" s="40"/>
      <c r="I501" s="40"/>
      <c r="J501" s="40"/>
      <c r="K501" s="41"/>
    </row>
    <row r="502" spans="2:11" ht="15" customHeight="1" x14ac:dyDescent="0.2">
      <c r="B502" s="38"/>
      <c r="C502" s="399"/>
      <c r="D502" s="400"/>
      <c r="E502" s="400"/>
      <c r="F502" s="400"/>
      <c r="G502" s="400"/>
      <c r="H502" s="400"/>
      <c r="I502" s="400"/>
      <c r="J502" s="401"/>
      <c r="K502" s="41"/>
    </row>
    <row r="503" spans="2:11" x14ac:dyDescent="0.2">
      <c r="B503" s="38"/>
      <c r="C503" s="40"/>
      <c r="D503" s="40"/>
      <c r="E503" s="40"/>
      <c r="F503" s="40"/>
      <c r="G503" s="40"/>
      <c r="H503" s="40"/>
      <c r="I503" s="40"/>
      <c r="J503" s="40"/>
      <c r="K503" s="41"/>
    </row>
    <row r="504" spans="2:11" x14ac:dyDescent="0.2">
      <c r="B504" s="38"/>
      <c r="C504" s="179" t="s">
        <v>321</v>
      </c>
      <c r="D504" s="40"/>
      <c r="E504" s="40"/>
      <c r="F504" s="40"/>
      <c r="G504" s="40"/>
      <c r="H504" s="40"/>
      <c r="I504" s="40"/>
      <c r="J504" s="245">
        <f>IF(OR(J493="Not Calculated",J500="Not Calculated")=TRUE,"Not Calculated",AVERAGE(J493,J500))</f>
        <v>0</v>
      </c>
      <c r="K504" s="41"/>
    </row>
    <row r="505" spans="2:11" x14ac:dyDescent="0.2">
      <c r="B505" s="38"/>
      <c r="C505" s="40"/>
      <c r="D505" s="40"/>
      <c r="E505" s="40"/>
      <c r="F505" s="40"/>
      <c r="G505" s="40"/>
      <c r="H505" s="40"/>
      <c r="I505" s="40"/>
      <c r="J505" s="40"/>
      <c r="K505" s="41"/>
    </row>
    <row r="506" spans="2:11" x14ac:dyDescent="0.2">
      <c r="B506" s="38"/>
      <c r="C506" s="40"/>
      <c r="D506" s="40"/>
      <c r="E506" s="40"/>
      <c r="F506" s="40"/>
      <c r="G506" s="40"/>
      <c r="H506" s="40"/>
      <c r="I506" s="40"/>
      <c r="J506" s="40"/>
      <c r="K506" s="41"/>
    </row>
    <row r="507" spans="2:11" ht="16" x14ac:dyDescent="0.2">
      <c r="B507" s="38"/>
      <c r="C507" s="45" t="s">
        <v>314</v>
      </c>
      <c r="D507" s="40"/>
      <c r="E507" s="40"/>
      <c r="F507" s="40"/>
      <c r="G507" s="40"/>
      <c r="H507" s="40"/>
      <c r="I507" s="40"/>
      <c r="J507" s="40"/>
      <c r="K507" s="41"/>
    </row>
    <row r="508" spans="2:11" x14ac:dyDescent="0.2">
      <c r="B508" s="38"/>
      <c r="C508" s="40" t="s">
        <v>316</v>
      </c>
      <c r="D508" s="40"/>
      <c r="E508" s="40"/>
      <c r="F508" s="40"/>
      <c r="G508" s="40"/>
      <c r="H508" s="40"/>
      <c r="I508" s="40"/>
      <c r="J508" s="269">
        <f>'Community Characteristics'!H114*0.25</f>
        <v>0</v>
      </c>
      <c r="K508" s="41"/>
    </row>
    <row r="509" spans="2:11" x14ac:dyDescent="0.2">
      <c r="B509" s="38"/>
      <c r="C509" s="40" t="s">
        <v>260</v>
      </c>
      <c r="D509" s="40"/>
      <c r="E509" s="40"/>
      <c r="F509" s="40"/>
      <c r="G509" s="40"/>
      <c r="H509" s="40"/>
      <c r="I509" s="40"/>
      <c r="J509" s="248">
        <f>IF(J508&lt;=0,0,IF(J508&lt;=1000,1,IF(J508&lt;=5000,2,IF(J508&lt;=25000,3,4))))</f>
        <v>0</v>
      </c>
      <c r="K509" s="41"/>
    </row>
    <row r="510" spans="2:11" s="51" customFormat="1" ht="9.75" customHeight="1" x14ac:dyDescent="0.2">
      <c r="B510" s="283"/>
      <c r="C510" s="279" t="str">
        <f>"0:"</f>
        <v>0:</v>
      </c>
      <c r="D510" s="284" t="s">
        <v>960</v>
      </c>
      <c r="E510" s="285"/>
      <c r="F510" s="285"/>
      <c r="G510" s="285"/>
      <c r="H510" s="285"/>
      <c r="I510" s="285"/>
      <c r="J510" s="43"/>
      <c r="K510" s="286"/>
    </row>
    <row r="511" spans="2:11" s="51" customFormat="1" ht="9.75" customHeight="1" x14ac:dyDescent="0.2">
      <c r="B511" s="283"/>
      <c r="C511" s="280" t="str">
        <f>"1:"</f>
        <v>1:</v>
      </c>
      <c r="D511" s="284" t="s">
        <v>961</v>
      </c>
      <c r="E511" s="285"/>
      <c r="F511" s="285"/>
      <c r="G511" s="285"/>
      <c r="H511" s="285"/>
      <c r="I511" s="285"/>
      <c r="J511" s="43"/>
      <c r="K511" s="286"/>
    </row>
    <row r="512" spans="2:11" s="51" customFormat="1" ht="9.75" customHeight="1" x14ac:dyDescent="0.2">
      <c r="B512" s="283"/>
      <c r="C512" s="280" t="str">
        <f>"2:"</f>
        <v>2:</v>
      </c>
      <c r="D512" s="284" t="s">
        <v>962</v>
      </c>
      <c r="E512" s="285"/>
      <c r="F512" s="285"/>
      <c r="G512" s="285"/>
      <c r="H512" s="285"/>
      <c r="I512" s="285"/>
      <c r="J512" s="43"/>
      <c r="K512" s="286"/>
    </row>
    <row r="513" spans="2:11" s="51" customFormat="1" ht="9.75" customHeight="1" x14ac:dyDescent="0.2">
      <c r="B513" s="283"/>
      <c r="C513" s="280" t="str">
        <f>"3:"</f>
        <v>3:</v>
      </c>
      <c r="D513" s="284" t="s">
        <v>963</v>
      </c>
      <c r="E513" s="285"/>
      <c r="F513" s="285"/>
      <c r="G513" s="285"/>
      <c r="H513" s="285"/>
      <c r="I513" s="285"/>
      <c r="J513" s="43"/>
      <c r="K513" s="286"/>
    </row>
    <row r="514" spans="2:11" s="51" customFormat="1" ht="9.75" customHeight="1" x14ac:dyDescent="0.2">
      <c r="B514" s="283"/>
      <c r="C514" s="280" t="str">
        <f>"4:"</f>
        <v>4:</v>
      </c>
      <c r="D514" s="284" t="s">
        <v>964</v>
      </c>
      <c r="E514" s="285"/>
      <c r="F514" s="285"/>
      <c r="G514" s="285"/>
      <c r="H514" s="285"/>
      <c r="I514" s="285"/>
      <c r="J514" s="287"/>
      <c r="K514" s="286"/>
    </row>
    <row r="515" spans="2:11" x14ac:dyDescent="0.2">
      <c r="B515" s="38"/>
      <c r="C515" s="40" t="s">
        <v>315</v>
      </c>
      <c r="D515" s="40"/>
      <c r="E515" s="40"/>
      <c r="F515" s="40"/>
      <c r="G515" s="40"/>
      <c r="H515" s="40"/>
      <c r="I515" s="40"/>
      <c r="J515" s="266" t="s">
        <v>872</v>
      </c>
      <c r="K515" s="41"/>
    </row>
    <row r="516" spans="2:11" x14ac:dyDescent="0.2">
      <c r="B516" s="38"/>
      <c r="C516" s="40" t="s">
        <v>261</v>
      </c>
      <c r="D516" s="40"/>
      <c r="E516" s="40"/>
      <c r="F516" s="40"/>
      <c r="G516" s="40"/>
      <c r="H516" s="40"/>
      <c r="I516" s="40"/>
      <c r="J516" s="248">
        <f>IF(J515=$B$973,$A$973,IF(J515=$B$974,$A$974,IF(J515=$B$975,$A$975,IF(J515=$B$976,$A$976,IF(J515=$B$977,$A$977,"Not Calculated")))))</f>
        <v>2</v>
      </c>
      <c r="K516" s="41"/>
    </row>
    <row r="517" spans="2:11" x14ac:dyDescent="0.2">
      <c r="B517" s="38"/>
      <c r="C517" s="40" t="s">
        <v>893</v>
      </c>
      <c r="D517" s="40"/>
      <c r="E517" s="40"/>
      <c r="F517" s="40"/>
      <c r="G517" s="40"/>
      <c r="H517" s="40"/>
      <c r="I517" s="40"/>
      <c r="J517" s="40"/>
      <c r="K517" s="41"/>
    </row>
    <row r="518" spans="2:11" ht="30" customHeight="1" x14ac:dyDescent="0.2">
      <c r="B518" s="38"/>
      <c r="C518" s="399" t="s">
        <v>1009</v>
      </c>
      <c r="D518" s="400"/>
      <c r="E518" s="400"/>
      <c r="F518" s="400"/>
      <c r="G518" s="400"/>
      <c r="H518" s="400"/>
      <c r="I518" s="400"/>
      <c r="J518" s="401"/>
      <c r="K518" s="41"/>
    </row>
    <row r="519" spans="2:11" x14ac:dyDescent="0.2">
      <c r="B519" s="38"/>
      <c r="C519" s="40"/>
      <c r="D519" s="40"/>
      <c r="E519" s="40"/>
      <c r="F519" s="40"/>
      <c r="G519" s="40"/>
      <c r="H519" s="40"/>
      <c r="I519" s="40"/>
      <c r="J519" s="40"/>
      <c r="K519" s="41"/>
    </row>
    <row r="520" spans="2:11" x14ac:dyDescent="0.2">
      <c r="B520" s="38"/>
      <c r="C520" s="179" t="s">
        <v>320</v>
      </c>
      <c r="D520" s="40"/>
      <c r="E520" s="40"/>
      <c r="F520" s="40"/>
      <c r="G520" s="40"/>
      <c r="H520" s="40"/>
      <c r="I520" s="40"/>
      <c r="J520" s="245">
        <f>IF(OR(J509="Not Calculated",J516="Not Calculated")=TRUE,"Not Calculated",AVERAGE(J509,J516))</f>
        <v>1</v>
      </c>
      <c r="K520" s="41"/>
    </row>
    <row r="521" spans="2:11" x14ac:dyDescent="0.2">
      <c r="B521" s="38"/>
      <c r="C521" s="40"/>
      <c r="D521" s="40"/>
      <c r="E521" s="40"/>
      <c r="F521" s="40"/>
      <c r="G521" s="40"/>
      <c r="H521" s="40"/>
      <c r="I521" s="40"/>
      <c r="J521" s="40"/>
      <c r="K521" s="41"/>
    </row>
    <row r="522" spans="2:11" x14ac:dyDescent="0.2">
      <c r="B522" s="38"/>
      <c r="C522" s="40"/>
      <c r="D522" s="40"/>
      <c r="E522" s="40"/>
      <c r="F522" s="40"/>
      <c r="G522" s="40"/>
      <c r="H522" s="40"/>
      <c r="I522" s="40"/>
      <c r="J522" s="40"/>
      <c r="K522" s="41"/>
    </row>
    <row r="523" spans="2:11" ht="16" x14ac:dyDescent="0.2">
      <c r="B523" s="38"/>
      <c r="C523" s="45" t="s">
        <v>317</v>
      </c>
      <c r="D523" s="40"/>
      <c r="E523" s="40"/>
      <c r="F523" s="40"/>
      <c r="G523" s="40"/>
      <c r="H523" s="40"/>
      <c r="I523" s="40"/>
      <c r="J523" s="40"/>
      <c r="K523" s="41"/>
    </row>
    <row r="524" spans="2:11" ht="15" customHeight="1" x14ac:dyDescent="0.2">
      <c r="B524" s="38"/>
      <c r="C524" s="380" t="s">
        <v>318</v>
      </c>
      <c r="D524" s="380"/>
      <c r="E524" s="380"/>
      <c r="F524" s="380"/>
      <c r="G524" s="380"/>
      <c r="H524" s="380"/>
      <c r="I524" s="380"/>
      <c r="J524" s="40"/>
      <c r="K524" s="41"/>
    </row>
    <row r="525" spans="2:11" x14ac:dyDescent="0.2">
      <c r="B525" s="38"/>
      <c r="C525" s="380"/>
      <c r="D525" s="380"/>
      <c r="E525" s="380"/>
      <c r="F525" s="380"/>
      <c r="G525" s="380"/>
      <c r="H525" s="380"/>
      <c r="I525" s="380"/>
      <c r="J525" s="274">
        <v>0.5</v>
      </c>
      <c r="K525" s="41"/>
    </row>
    <row r="526" spans="2:11" x14ac:dyDescent="0.2">
      <c r="B526" s="38"/>
      <c r="C526" s="40" t="s">
        <v>260</v>
      </c>
      <c r="D526" s="40"/>
      <c r="E526" s="40"/>
      <c r="F526" s="40"/>
      <c r="G526" s="40"/>
      <c r="H526" s="40"/>
      <c r="I526" s="40"/>
      <c r="J526" s="248">
        <f>IF(J525&lt;=0,0,IF(J525&lt;=1,1,IF(J525&lt;=5,2,IF(J525&lt;=10,3,4))))</f>
        <v>1</v>
      </c>
      <c r="K526" s="41"/>
    </row>
    <row r="527" spans="2:11" s="51" customFormat="1" ht="9.75" customHeight="1" x14ac:dyDescent="0.2">
      <c r="B527" s="283"/>
      <c r="C527" s="279" t="str">
        <f>"0:"</f>
        <v>0:</v>
      </c>
      <c r="D527" s="284" t="s">
        <v>965</v>
      </c>
      <c r="E527" s="285"/>
      <c r="F527" s="285"/>
      <c r="G527" s="285"/>
      <c r="H527" s="285"/>
      <c r="I527" s="285"/>
      <c r="J527" s="43"/>
      <c r="K527" s="286"/>
    </row>
    <row r="528" spans="2:11" s="51" customFormat="1" ht="9.75" customHeight="1" x14ac:dyDescent="0.2">
      <c r="B528" s="283"/>
      <c r="C528" s="280" t="str">
        <f>"1:"</f>
        <v>1:</v>
      </c>
      <c r="D528" s="284" t="s">
        <v>966</v>
      </c>
      <c r="E528" s="285"/>
      <c r="F528" s="285"/>
      <c r="G528" s="285"/>
      <c r="H528" s="285"/>
      <c r="I528" s="285"/>
      <c r="J528" s="43"/>
      <c r="K528" s="286"/>
    </row>
    <row r="529" spans="2:11" s="51" customFormat="1" ht="9.75" customHeight="1" x14ac:dyDescent="0.2">
      <c r="B529" s="283"/>
      <c r="C529" s="280" t="str">
        <f>"2:"</f>
        <v>2:</v>
      </c>
      <c r="D529" s="284" t="s">
        <v>967</v>
      </c>
      <c r="E529" s="285"/>
      <c r="F529" s="285"/>
      <c r="G529" s="285"/>
      <c r="H529" s="285"/>
      <c r="I529" s="285"/>
      <c r="J529" s="43"/>
      <c r="K529" s="286"/>
    </row>
    <row r="530" spans="2:11" s="51" customFormat="1" ht="9.75" customHeight="1" x14ac:dyDescent="0.2">
      <c r="B530" s="283"/>
      <c r="C530" s="280" t="str">
        <f>"3:"</f>
        <v>3:</v>
      </c>
      <c r="D530" s="284" t="s">
        <v>968</v>
      </c>
      <c r="E530" s="285"/>
      <c r="F530" s="285"/>
      <c r="G530" s="285"/>
      <c r="H530" s="285"/>
      <c r="I530" s="285"/>
      <c r="J530" s="43"/>
      <c r="K530" s="286"/>
    </row>
    <row r="531" spans="2:11" s="51" customFormat="1" ht="9.75" customHeight="1" x14ac:dyDescent="0.2">
      <c r="B531" s="283"/>
      <c r="C531" s="280" t="str">
        <f>"4:"</f>
        <v>4:</v>
      </c>
      <c r="D531" s="284" t="s">
        <v>969</v>
      </c>
      <c r="E531" s="285"/>
      <c r="F531" s="285"/>
      <c r="G531" s="285"/>
      <c r="H531" s="285"/>
      <c r="I531" s="285"/>
      <c r="J531" s="287"/>
      <c r="K531" s="286"/>
    </row>
    <row r="532" spans="2:11" x14ac:dyDescent="0.2">
      <c r="B532" s="38"/>
      <c r="C532" s="40" t="s">
        <v>257</v>
      </c>
      <c r="D532" s="40"/>
      <c r="E532" s="40"/>
      <c r="F532" s="40"/>
      <c r="G532" s="40"/>
      <c r="H532" s="40"/>
      <c r="I532" s="40"/>
      <c r="J532" s="266" t="s">
        <v>874</v>
      </c>
      <c r="K532" s="41"/>
    </row>
    <row r="533" spans="2:11" x14ac:dyDescent="0.2">
      <c r="B533" s="38"/>
      <c r="C533" s="40" t="s">
        <v>261</v>
      </c>
      <c r="D533" s="40"/>
      <c r="E533" s="40"/>
      <c r="F533" s="40"/>
      <c r="G533" s="40"/>
      <c r="H533" s="40"/>
      <c r="I533" s="40"/>
      <c r="J533" s="248">
        <f>IF(J532=$B$973,$A$973,IF(J532=$B$974,$A$974,IF(J532=$B$975,$A$975,IF(J532=$B$976,$A$976,IF(J532=$B$977,$A$977,"Not Calculated")))))</f>
        <v>4</v>
      </c>
      <c r="K533" s="41"/>
    </row>
    <row r="534" spans="2:11" x14ac:dyDescent="0.2">
      <c r="B534" s="38"/>
      <c r="C534" s="40" t="s">
        <v>893</v>
      </c>
      <c r="D534" s="40"/>
      <c r="E534" s="40"/>
      <c r="F534" s="40"/>
      <c r="G534" s="40"/>
      <c r="H534" s="40"/>
      <c r="I534" s="40"/>
      <c r="J534" s="40"/>
      <c r="K534" s="41"/>
    </row>
    <row r="535" spans="2:11" ht="30" customHeight="1" x14ac:dyDescent="0.2">
      <c r="B535" s="38"/>
      <c r="C535" s="399" t="s">
        <v>1010</v>
      </c>
      <c r="D535" s="400"/>
      <c r="E535" s="400"/>
      <c r="F535" s="400"/>
      <c r="G535" s="400"/>
      <c r="H535" s="400"/>
      <c r="I535" s="400"/>
      <c r="J535" s="401"/>
      <c r="K535" s="41"/>
    </row>
    <row r="536" spans="2:11" x14ac:dyDescent="0.2">
      <c r="B536" s="38"/>
      <c r="C536" s="40"/>
      <c r="D536" s="40"/>
      <c r="E536" s="40"/>
      <c r="F536" s="40"/>
      <c r="G536" s="40"/>
      <c r="H536" s="40"/>
      <c r="I536" s="40"/>
      <c r="J536" s="40"/>
      <c r="K536" s="41"/>
    </row>
    <row r="537" spans="2:11" x14ac:dyDescent="0.2">
      <c r="B537" s="38"/>
      <c r="C537" s="179" t="s">
        <v>319</v>
      </c>
      <c r="D537" s="40"/>
      <c r="E537" s="40"/>
      <c r="F537" s="40"/>
      <c r="G537" s="40"/>
      <c r="H537" s="40"/>
      <c r="I537" s="40"/>
      <c r="J537" s="245">
        <f>IF(OR(J526="Not Calculated",J533="Not Calculated")=TRUE,"Not Calculated",AVERAGE(J526,J533))</f>
        <v>2.5</v>
      </c>
      <c r="K537" s="41"/>
    </row>
    <row r="538" spans="2:11" x14ac:dyDescent="0.2">
      <c r="B538" s="38"/>
      <c r="C538" s="40"/>
      <c r="D538" s="40"/>
      <c r="E538" s="40"/>
      <c r="F538" s="40"/>
      <c r="G538" s="40"/>
      <c r="H538" s="40"/>
      <c r="I538" s="40"/>
      <c r="J538" s="40"/>
      <c r="K538" s="41"/>
    </row>
    <row r="539" spans="2:11" ht="18" x14ac:dyDescent="0.2">
      <c r="B539" s="38"/>
      <c r="C539" s="180" t="s">
        <v>302</v>
      </c>
      <c r="D539" s="40"/>
      <c r="E539" s="40"/>
      <c r="F539" s="40"/>
      <c r="G539" s="40"/>
      <c r="H539" s="40"/>
      <c r="I539" s="40"/>
      <c r="J539" s="244">
        <f>IF(OR(J440="Not Calculated",J457="Not Calculated",J473="Not Calculated",J488="Not Calculated",J504="Not Calculated",J520="Not Calculated",J537="Not Calculated")=TRUE,"Not Calculated",AVERAGE(J440,J457,J473,J488,J504,J520,J537))</f>
        <v>0.7857142857142857</v>
      </c>
      <c r="K539" s="41"/>
    </row>
    <row r="540" spans="2:11" ht="16" thickBot="1" x14ac:dyDescent="0.25">
      <c r="B540" s="46"/>
      <c r="C540" s="47"/>
      <c r="D540" s="47"/>
      <c r="E540" s="47"/>
      <c r="F540" s="47"/>
      <c r="G540" s="47"/>
      <c r="H540" s="47"/>
      <c r="I540" s="47"/>
      <c r="J540" s="47"/>
      <c r="K540" s="49"/>
    </row>
    <row r="541" spans="2:11" ht="16" thickBot="1" x14ac:dyDescent="0.25"/>
    <row r="542" spans="2:11" x14ac:dyDescent="0.2">
      <c r="B542" s="33"/>
      <c r="C542" s="34"/>
      <c r="D542" s="34"/>
      <c r="E542" s="34"/>
      <c r="F542" s="34"/>
      <c r="G542" s="34"/>
      <c r="H542" s="34"/>
      <c r="I542" s="34"/>
      <c r="J542" s="34"/>
      <c r="K542" s="37"/>
    </row>
    <row r="543" spans="2:11" ht="21" x14ac:dyDescent="0.25">
      <c r="B543" s="38"/>
      <c r="C543" s="40"/>
      <c r="D543" s="40"/>
      <c r="E543" s="40"/>
      <c r="F543" s="40"/>
      <c r="G543" s="172" t="s">
        <v>29</v>
      </c>
      <c r="H543" s="40"/>
      <c r="I543" s="40"/>
      <c r="J543" s="40"/>
      <c r="K543" s="41"/>
    </row>
    <row r="544" spans="2:11" ht="15" customHeight="1" x14ac:dyDescent="0.2">
      <c r="B544" s="38"/>
      <c r="C544" s="40"/>
      <c r="D544" s="40"/>
      <c r="E544" s="40"/>
      <c r="F544" s="40"/>
      <c r="G544" s="40"/>
      <c r="H544" s="40"/>
      <c r="I544" s="40"/>
      <c r="J544" s="40"/>
      <c r="K544" s="41"/>
    </row>
    <row r="545" spans="2:14" ht="16" x14ac:dyDescent="0.2">
      <c r="B545" s="38"/>
      <c r="C545" s="45" t="s">
        <v>88</v>
      </c>
      <c r="D545" s="40"/>
      <c r="E545" s="40"/>
      <c r="F545" s="40"/>
      <c r="G545" s="40"/>
      <c r="H545" s="40"/>
      <c r="I545" s="40"/>
      <c r="J545" s="40"/>
      <c r="K545" s="41"/>
    </row>
    <row r="546" spans="2:14" x14ac:dyDescent="0.2">
      <c r="B546" s="38"/>
      <c r="C546" s="40" t="s">
        <v>448</v>
      </c>
      <c r="D546" s="40"/>
      <c r="E546" s="40"/>
      <c r="F546" s="40"/>
      <c r="G546" s="40"/>
      <c r="H546" s="40"/>
      <c r="I546" s="40"/>
      <c r="J546" s="252">
        <f>'Baseline Health'!G123</f>
        <v>0</v>
      </c>
      <c r="K546" s="41"/>
    </row>
    <row r="547" spans="2:14" x14ac:dyDescent="0.2">
      <c r="B547" s="38"/>
      <c r="C547" s="40" t="s">
        <v>322</v>
      </c>
      <c r="D547" s="40"/>
      <c r="E547" s="40"/>
      <c r="F547" s="40"/>
      <c r="G547" s="40"/>
      <c r="H547" s="40"/>
      <c r="I547" s="40"/>
      <c r="J547" s="264">
        <v>0</v>
      </c>
      <c r="K547" s="41"/>
    </row>
    <row r="548" spans="2:14" x14ac:dyDescent="0.2">
      <c r="B548" s="38"/>
      <c r="C548" s="40" t="s">
        <v>428</v>
      </c>
      <c r="D548" s="40"/>
      <c r="E548" s="40"/>
      <c r="F548" s="40"/>
      <c r="G548" s="40"/>
      <c r="H548" s="40"/>
      <c r="I548" s="40"/>
      <c r="J548" s="264">
        <v>70</v>
      </c>
      <c r="K548" s="41"/>
    </row>
    <row r="549" spans="2:14" x14ac:dyDescent="0.2">
      <c r="B549" s="38"/>
      <c r="C549" s="40" t="s">
        <v>260</v>
      </c>
      <c r="D549" s="40"/>
      <c r="E549" s="40"/>
      <c r="F549" s="40"/>
      <c r="G549" s="40"/>
      <c r="H549" s="40"/>
      <c r="I549" s="40"/>
      <c r="J549" s="248" t="str">
        <f>IF(OR(J546=0,J546="Not Calculated")=TRUE,"Not Calculated",IF(J546-J547=0,4,(IF(((J546+J548)/(J546-J547))&lt;=1,0,IF(((J546+J548)/(J546-J547))&lt;=1.05,1,IF(((J546+J548)/(J546-J547))&lt;=1.5, 2,IF(((J546+J548)/(J546-J547))&lt;=2,3,4)))))))</f>
        <v>Not Calculated</v>
      </c>
      <c r="K549" s="41"/>
    </row>
    <row r="550" spans="2:14" ht="9.75" customHeight="1" x14ac:dyDescent="0.2">
      <c r="B550" s="38"/>
      <c r="C550" s="279" t="str">
        <f>"0:"</f>
        <v>0:</v>
      </c>
      <c r="D550" s="278" t="s">
        <v>918</v>
      </c>
      <c r="E550" s="40"/>
      <c r="F550" s="40"/>
      <c r="G550" s="40"/>
      <c r="H550" s="40"/>
      <c r="I550" s="40"/>
      <c r="J550" s="251"/>
      <c r="K550" s="41"/>
    </row>
    <row r="551" spans="2:14" ht="9.75" customHeight="1" x14ac:dyDescent="0.2">
      <c r="B551" s="38"/>
      <c r="C551" s="280" t="str">
        <f>"1:"</f>
        <v>1:</v>
      </c>
      <c r="D551" s="278" t="s">
        <v>923</v>
      </c>
      <c r="E551" s="40"/>
      <c r="F551" s="40"/>
      <c r="G551" s="40"/>
      <c r="H551" s="40"/>
      <c r="I551" s="40"/>
      <c r="J551" s="251"/>
      <c r="K551" s="41"/>
    </row>
    <row r="552" spans="2:14" ht="9.75" customHeight="1" x14ac:dyDescent="0.2">
      <c r="B552" s="38"/>
      <c r="C552" s="280" t="str">
        <f>"2:"</f>
        <v>2:</v>
      </c>
      <c r="D552" s="278" t="s">
        <v>924</v>
      </c>
      <c r="E552" s="40"/>
      <c r="F552" s="40"/>
      <c r="G552" s="40"/>
      <c r="H552" s="40"/>
      <c r="I552" s="40"/>
      <c r="J552" s="251"/>
      <c r="K552" s="41"/>
    </row>
    <row r="553" spans="2:14" ht="9.75" customHeight="1" x14ac:dyDescent="0.2">
      <c r="B553" s="38"/>
      <c r="C553" s="280" t="str">
        <f>"3:"</f>
        <v>3:</v>
      </c>
      <c r="D553" s="278" t="s">
        <v>925</v>
      </c>
      <c r="E553" s="40"/>
      <c r="F553" s="40"/>
      <c r="G553" s="40"/>
      <c r="H553" s="40"/>
      <c r="I553" s="40"/>
      <c r="J553" s="251"/>
      <c r="K553" s="41"/>
    </row>
    <row r="554" spans="2:14" ht="9.75" customHeight="1" x14ac:dyDescent="0.2">
      <c r="B554" s="38"/>
      <c r="C554" s="280" t="str">
        <f>"4:"</f>
        <v>4:</v>
      </c>
      <c r="D554" s="278" t="s">
        <v>926</v>
      </c>
      <c r="E554" s="40"/>
      <c r="F554" s="40"/>
      <c r="G554" s="40"/>
      <c r="H554" s="40"/>
      <c r="I554" s="40"/>
      <c r="J554" s="40"/>
      <c r="K554" s="41"/>
      <c r="N554" s="12" t="s">
        <v>661</v>
      </c>
    </row>
    <row r="555" spans="2:14" x14ac:dyDescent="0.2">
      <c r="B555" s="38"/>
      <c r="C555" s="174" t="s">
        <v>662</v>
      </c>
      <c r="D555" s="40"/>
      <c r="E555" s="40"/>
      <c r="F555" s="40"/>
      <c r="G555" s="40"/>
      <c r="H555" s="40"/>
      <c r="I555" s="40"/>
      <c r="J555" s="265" t="s">
        <v>661</v>
      </c>
      <c r="K555" s="41"/>
      <c r="N555" s="12" t="s">
        <v>894</v>
      </c>
    </row>
    <row r="556" spans="2:14" x14ac:dyDescent="0.2">
      <c r="B556" s="38"/>
      <c r="C556" s="174" t="s">
        <v>660</v>
      </c>
      <c r="D556" s="40"/>
      <c r="E556" s="40"/>
      <c r="F556" s="40"/>
      <c r="G556" s="40"/>
      <c r="H556" s="40"/>
      <c r="I556" s="40"/>
      <c r="J556" s="247" t="str">
        <f>IF(J555=N554,"N/A",IF(J555=N555,0,IF(J555=N556,1,IF(J555=N557,2,IF(J555=N558,3,IF(J555=N559,4,"N/A"))))))</f>
        <v>N/A</v>
      </c>
      <c r="K556" s="41"/>
      <c r="N556" s="12" t="s">
        <v>899</v>
      </c>
    </row>
    <row r="557" spans="2:14" x14ac:dyDescent="0.2">
      <c r="B557" s="38"/>
      <c r="C557" s="40" t="s">
        <v>257</v>
      </c>
      <c r="D557" s="40"/>
      <c r="E557" s="40"/>
      <c r="F557" s="40"/>
      <c r="G557" s="40"/>
      <c r="H557" s="40"/>
      <c r="I557" s="40"/>
      <c r="J557" s="266" t="s">
        <v>874</v>
      </c>
      <c r="K557" s="41"/>
      <c r="N557" s="12" t="s">
        <v>900</v>
      </c>
    </row>
    <row r="558" spans="2:14" x14ac:dyDescent="0.2">
      <c r="B558" s="38"/>
      <c r="C558" s="40" t="s">
        <v>261</v>
      </c>
      <c r="D558" s="40"/>
      <c r="E558" s="40"/>
      <c r="F558" s="40"/>
      <c r="G558" s="40"/>
      <c r="H558" s="40"/>
      <c r="I558" s="40"/>
      <c r="J558" s="248">
        <f>IF(J557=$B$973,$A$973,IF(J557=$B$974,$A$974,IF(J557=$B$975,$A$975,IF(J557=$B$976,$A$976,IF(J557=$B$977,$A$977,"Not Calculated")))))</f>
        <v>4</v>
      </c>
      <c r="K558" s="41"/>
      <c r="N558" s="12" t="s">
        <v>901</v>
      </c>
    </row>
    <row r="559" spans="2:14" x14ac:dyDescent="0.2">
      <c r="B559" s="38"/>
      <c r="C559" s="40" t="s">
        <v>893</v>
      </c>
      <c r="D559" s="40"/>
      <c r="E559" s="40"/>
      <c r="F559" s="40"/>
      <c r="G559" s="40"/>
      <c r="H559" s="40"/>
      <c r="I559" s="40"/>
      <c r="J559" s="40"/>
      <c r="K559" s="41"/>
      <c r="N559" s="12" t="s">
        <v>902</v>
      </c>
    </row>
    <row r="560" spans="2:14" ht="45" customHeight="1" x14ac:dyDescent="0.2">
      <c r="B560" s="38"/>
      <c r="C560" s="399" t="s">
        <v>427</v>
      </c>
      <c r="D560" s="400"/>
      <c r="E560" s="400"/>
      <c r="F560" s="400"/>
      <c r="G560" s="400"/>
      <c r="H560" s="400"/>
      <c r="I560" s="400"/>
      <c r="J560" s="401"/>
      <c r="K560" s="41"/>
    </row>
    <row r="561" spans="2:11" x14ac:dyDescent="0.2">
      <c r="B561" s="38"/>
      <c r="C561" s="40"/>
      <c r="D561" s="40"/>
      <c r="E561" s="40"/>
      <c r="F561" s="40"/>
      <c r="G561" s="40"/>
      <c r="H561" s="40"/>
      <c r="I561" s="40"/>
      <c r="J561" s="40"/>
      <c r="K561" s="41"/>
    </row>
    <row r="562" spans="2:11" x14ac:dyDescent="0.2">
      <c r="B562" s="38"/>
      <c r="C562" s="179" t="s">
        <v>323</v>
      </c>
      <c r="D562" s="40"/>
      <c r="E562" s="40"/>
      <c r="F562" s="40"/>
      <c r="G562" s="40"/>
      <c r="H562" s="40"/>
      <c r="I562" s="40"/>
      <c r="J562" s="245" t="str">
        <f>IF(J556="N/A",IF(OR(J549="Not Calculated",J558="Not Calculated")=TRUE,"Not Calculated",AVERAGE(J549,J558)),AVERAGE(J556,J558))</f>
        <v>Not Calculated</v>
      </c>
      <c r="K562" s="41"/>
    </row>
    <row r="563" spans="2:11" x14ac:dyDescent="0.2">
      <c r="B563" s="38"/>
      <c r="C563" s="40"/>
      <c r="D563" s="40"/>
      <c r="E563" s="40"/>
      <c r="F563" s="40"/>
      <c r="G563" s="40"/>
      <c r="H563" s="40"/>
      <c r="I563" s="40"/>
      <c r="J563" s="40"/>
      <c r="K563" s="41"/>
    </row>
    <row r="564" spans="2:11" x14ac:dyDescent="0.2">
      <c r="B564" s="38"/>
      <c r="C564" s="40"/>
      <c r="D564" s="40"/>
      <c r="E564" s="40"/>
      <c r="F564" s="40"/>
      <c r="G564" s="40"/>
      <c r="H564" s="40"/>
      <c r="I564" s="40"/>
      <c r="J564" s="40"/>
      <c r="K564" s="41"/>
    </row>
    <row r="565" spans="2:11" ht="16" x14ac:dyDescent="0.2">
      <c r="B565" s="38"/>
      <c r="C565" s="45" t="s">
        <v>89</v>
      </c>
      <c r="D565" s="40"/>
      <c r="E565" s="40"/>
      <c r="F565" s="40"/>
      <c r="G565" s="40"/>
      <c r="H565" s="40"/>
      <c r="I565" s="40"/>
      <c r="J565" s="40"/>
      <c r="K565" s="41"/>
    </row>
    <row r="566" spans="2:11" ht="15" customHeight="1" x14ac:dyDescent="0.2">
      <c r="B566" s="38"/>
      <c r="C566" s="380" t="s">
        <v>333</v>
      </c>
      <c r="D566" s="380"/>
      <c r="E566" s="380"/>
      <c r="F566" s="380"/>
      <c r="G566" s="380"/>
      <c r="H566" s="380"/>
      <c r="I566" s="380"/>
      <c r="J566" s="40"/>
      <c r="K566" s="41"/>
    </row>
    <row r="567" spans="2:11" x14ac:dyDescent="0.2">
      <c r="B567" s="38"/>
      <c r="C567" s="380"/>
      <c r="D567" s="380"/>
      <c r="E567" s="380"/>
      <c r="F567" s="380"/>
      <c r="G567" s="380"/>
      <c r="H567" s="380"/>
      <c r="I567" s="380"/>
      <c r="J567" s="40"/>
      <c r="K567" s="41"/>
    </row>
    <row r="568" spans="2:11" x14ac:dyDescent="0.2">
      <c r="B568" s="38"/>
      <c r="C568" s="380"/>
      <c r="D568" s="380"/>
      <c r="E568" s="380"/>
      <c r="F568" s="380"/>
      <c r="G568" s="380"/>
      <c r="H568" s="380"/>
      <c r="I568" s="380"/>
      <c r="J568" s="251">
        <f>'Baseline Health'!G132</f>
        <v>0</v>
      </c>
      <c r="K568" s="41"/>
    </row>
    <row r="569" spans="2:11" ht="15" customHeight="1" x14ac:dyDescent="0.2">
      <c r="B569" s="38"/>
      <c r="C569" s="380" t="s">
        <v>334</v>
      </c>
      <c r="D569" s="380"/>
      <c r="E569" s="380"/>
      <c r="F569" s="380"/>
      <c r="G569" s="380"/>
      <c r="H569" s="380"/>
      <c r="I569" s="380"/>
      <c r="J569" s="245"/>
      <c r="K569" s="41"/>
    </row>
    <row r="570" spans="2:11" x14ac:dyDescent="0.2">
      <c r="B570" s="38"/>
      <c r="C570" s="380"/>
      <c r="D570" s="380"/>
      <c r="E570" s="380"/>
      <c r="F570" s="380"/>
      <c r="G570" s="380"/>
      <c r="H570" s="380"/>
      <c r="I570" s="380"/>
      <c r="J570" s="245"/>
      <c r="K570" s="41"/>
    </row>
    <row r="571" spans="2:11" ht="15" customHeight="1" x14ac:dyDescent="0.2">
      <c r="B571" s="38"/>
      <c r="C571" s="380"/>
      <c r="D571" s="380"/>
      <c r="E571" s="380"/>
      <c r="F571" s="380"/>
      <c r="G571" s="380"/>
      <c r="H571" s="380"/>
      <c r="I571" s="380"/>
      <c r="J571" s="264">
        <f>'Community Characteristics'!H111*0.05</f>
        <v>0</v>
      </c>
      <c r="K571" s="41"/>
    </row>
    <row r="572" spans="2:11" ht="15" customHeight="1" x14ac:dyDescent="0.2">
      <c r="B572" s="38"/>
      <c r="C572" s="40" t="s">
        <v>260</v>
      </c>
      <c r="D572" s="40"/>
      <c r="E572" s="40"/>
      <c r="F572" s="40"/>
      <c r="G572" s="40"/>
      <c r="H572" s="40"/>
      <c r="I572" s="40"/>
      <c r="J572" s="248" t="str">
        <f>IF(OR(J568=0,J568="Not Calculated")=TRUE,"Not Calculated",IF(((J568+J571)/J568)&lt;=1,0,IF(((J568+J571)/J568)&lt;=1.05,1,IF(((J568+J571)/J568)&lt;=1.5, 2,IF(((J568+J571)/J568)&lt;=2,3,4)))))</f>
        <v>Not Calculated</v>
      </c>
      <c r="K572" s="41"/>
    </row>
    <row r="573" spans="2:11" ht="9.75" customHeight="1" x14ac:dyDescent="0.2">
      <c r="B573" s="38"/>
      <c r="C573" s="279" t="str">
        <f>"0:"</f>
        <v>0:</v>
      </c>
      <c r="D573" s="281" t="s">
        <v>918</v>
      </c>
      <c r="E573" s="291"/>
      <c r="F573" s="291"/>
      <c r="G573" s="291"/>
      <c r="H573" s="291"/>
      <c r="I573" s="291"/>
      <c r="J573" s="251"/>
      <c r="K573" s="41"/>
    </row>
    <row r="574" spans="2:11" ht="9.75" customHeight="1" x14ac:dyDescent="0.2">
      <c r="B574" s="38"/>
      <c r="C574" s="280" t="str">
        <f>"1:"</f>
        <v>1:</v>
      </c>
      <c r="D574" s="281" t="s">
        <v>919</v>
      </c>
      <c r="E574" s="291"/>
      <c r="F574" s="291"/>
      <c r="G574" s="291"/>
      <c r="H574" s="291"/>
      <c r="I574" s="291"/>
      <c r="J574" s="251"/>
      <c r="K574" s="41"/>
    </row>
    <row r="575" spans="2:11" ht="9.75" customHeight="1" x14ac:dyDescent="0.2">
      <c r="B575" s="38"/>
      <c r="C575" s="280" t="str">
        <f>"2:"</f>
        <v>2:</v>
      </c>
      <c r="D575" s="281" t="s">
        <v>920</v>
      </c>
      <c r="E575" s="291"/>
      <c r="F575" s="291"/>
      <c r="G575" s="291"/>
      <c r="H575" s="291"/>
      <c r="I575" s="291"/>
      <c r="J575" s="251"/>
      <c r="K575" s="41"/>
    </row>
    <row r="576" spans="2:11" ht="9.75" customHeight="1" x14ac:dyDescent="0.2">
      <c r="B576" s="38"/>
      <c r="C576" s="280" t="str">
        <f>"3:"</f>
        <v>3:</v>
      </c>
      <c r="D576" s="281" t="s">
        <v>921</v>
      </c>
      <c r="E576" s="291"/>
      <c r="F576" s="291"/>
      <c r="G576" s="291"/>
      <c r="H576" s="291"/>
      <c r="I576" s="291"/>
      <c r="J576" s="251"/>
      <c r="K576" s="41"/>
    </row>
    <row r="577" spans="2:14" ht="9.75" customHeight="1" x14ac:dyDescent="0.2">
      <c r="B577" s="38"/>
      <c r="C577" s="280" t="str">
        <f>"4:"</f>
        <v>4:</v>
      </c>
      <c r="D577" s="281" t="s">
        <v>922</v>
      </c>
      <c r="E577" s="40"/>
      <c r="F577" s="40"/>
      <c r="G577" s="40"/>
      <c r="H577" s="40"/>
      <c r="I577" s="40"/>
      <c r="J577" s="40"/>
      <c r="K577" s="41"/>
      <c r="N577" s="12" t="s">
        <v>661</v>
      </c>
    </row>
    <row r="578" spans="2:14" ht="15" customHeight="1" x14ac:dyDescent="0.2">
      <c r="B578" s="38"/>
      <c r="C578" s="174" t="s">
        <v>662</v>
      </c>
      <c r="D578" s="40"/>
      <c r="E578" s="40"/>
      <c r="F578" s="40"/>
      <c r="G578" s="40"/>
      <c r="H578" s="40"/>
      <c r="I578" s="40"/>
      <c r="J578" s="265" t="s">
        <v>661</v>
      </c>
      <c r="K578" s="41"/>
      <c r="N578" s="12" t="s">
        <v>894</v>
      </c>
    </row>
    <row r="579" spans="2:14" ht="15" customHeight="1" x14ac:dyDescent="0.2">
      <c r="B579" s="38"/>
      <c r="C579" s="174" t="s">
        <v>660</v>
      </c>
      <c r="D579" s="40"/>
      <c r="E579" s="40"/>
      <c r="F579" s="40"/>
      <c r="G579" s="40"/>
      <c r="H579" s="40"/>
      <c r="I579" s="40"/>
      <c r="J579" s="247" t="str">
        <f>IF(J578=N577,"N/A",IF(J578=N578,0,IF(J578=N579,1,IF(J578=N580,2,IF(J578=N581,3,IF(J578=N582,4,"N/A"))))))</f>
        <v>N/A</v>
      </c>
      <c r="K579" s="41"/>
      <c r="N579" s="12" t="s">
        <v>895</v>
      </c>
    </row>
    <row r="580" spans="2:14" x14ac:dyDescent="0.2">
      <c r="B580" s="38"/>
      <c r="C580" s="40" t="s">
        <v>257</v>
      </c>
      <c r="D580" s="40"/>
      <c r="E580" s="40"/>
      <c r="F580" s="40"/>
      <c r="G580" s="40"/>
      <c r="H580" s="40"/>
      <c r="I580" s="40"/>
      <c r="J580" s="266" t="s">
        <v>874</v>
      </c>
      <c r="K580" s="41"/>
      <c r="N580" s="12" t="s">
        <v>896</v>
      </c>
    </row>
    <row r="581" spans="2:14" x14ac:dyDescent="0.2">
      <c r="B581" s="38"/>
      <c r="C581" s="40" t="s">
        <v>261</v>
      </c>
      <c r="D581" s="40"/>
      <c r="E581" s="40"/>
      <c r="F581" s="40"/>
      <c r="G581" s="40"/>
      <c r="H581" s="40"/>
      <c r="I581" s="40"/>
      <c r="J581" s="248">
        <f>IF(J580=$B$973,$A$973,IF(J580=$B$974,$A$974,IF(J580=$B$975,$A$975,IF(J580=$B$976,$A$976,IF(J580=$B$977,$A$977,"Not Calculated")))))</f>
        <v>4</v>
      </c>
      <c r="K581" s="41"/>
      <c r="N581" s="12" t="s">
        <v>897</v>
      </c>
    </row>
    <row r="582" spans="2:14" x14ac:dyDescent="0.2">
      <c r="B582" s="38"/>
      <c r="C582" s="40" t="s">
        <v>893</v>
      </c>
      <c r="D582" s="40"/>
      <c r="E582" s="40"/>
      <c r="F582" s="40"/>
      <c r="G582" s="40"/>
      <c r="H582" s="40"/>
      <c r="I582" s="40"/>
      <c r="J582" s="40"/>
      <c r="K582" s="41"/>
      <c r="N582" s="12" t="s">
        <v>898</v>
      </c>
    </row>
    <row r="583" spans="2:14" ht="45" customHeight="1" x14ac:dyDescent="0.2">
      <c r="B583" s="38"/>
      <c r="C583" s="399" t="s">
        <v>1011</v>
      </c>
      <c r="D583" s="400"/>
      <c r="E583" s="400"/>
      <c r="F583" s="400"/>
      <c r="G583" s="400"/>
      <c r="H583" s="400"/>
      <c r="I583" s="400"/>
      <c r="J583" s="401"/>
      <c r="K583" s="41"/>
    </row>
    <row r="584" spans="2:14" x14ac:dyDescent="0.2">
      <c r="B584" s="38"/>
      <c r="C584" s="40"/>
      <c r="D584" s="40"/>
      <c r="E584" s="40"/>
      <c r="F584" s="40"/>
      <c r="G584" s="40"/>
      <c r="H584" s="40"/>
      <c r="I584" s="40"/>
      <c r="J584" s="40"/>
      <c r="K584" s="41"/>
    </row>
    <row r="585" spans="2:14" x14ac:dyDescent="0.2">
      <c r="B585" s="38"/>
      <c r="C585" s="179" t="s">
        <v>324</v>
      </c>
      <c r="D585" s="40"/>
      <c r="E585" s="40"/>
      <c r="F585" s="40"/>
      <c r="G585" s="40"/>
      <c r="H585" s="40"/>
      <c r="I585" s="40"/>
      <c r="J585" s="245" t="str">
        <f>IF(J579="N/A",IF(OR(J572="Not Calculated",J581="Not Calculated")=TRUE,"Not Calculated",AVERAGE(J572,J581)),AVERAGE(J579,J581))</f>
        <v>Not Calculated</v>
      </c>
      <c r="K585" s="41"/>
    </row>
    <row r="586" spans="2:14" x14ac:dyDescent="0.2">
      <c r="B586" s="38"/>
      <c r="C586" s="40"/>
      <c r="D586" s="40"/>
      <c r="E586" s="40"/>
      <c r="F586" s="40"/>
      <c r="G586" s="40"/>
      <c r="H586" s="40"/>
      <c r="I586" s="40"/>
      <c r="J586" s="40"/>
      <c r="K586" s="41"/>
    </row>
    <row r="587" spans="2:14" x14ac:dyDescent="0.2">
      <c r="B587" s="38"/>
      <c r="C587" s="40"/>
      <c r="D587" s="40"/>
      <c r="E587" s="40"/>
      <c r="F587" s="40"/>
      <c r="G587" s="40"/>
      <c r="H587" s="40"/>
      <c r="I587" s="40"/>
      <c r="J587" s="40"/>
      <c r="K587" s="41"/>
    </row>
    <row r="588" spans="2:14" ht="16" x14ac:dyDescent="0.2">
      <c r="B588" s="38"/>
      <c r="C588" s="45" t="s">
        <v>115</v>
      </c>
      <c r="D588" s="40"/>
      <c r="E588" s="40"/>
      <c r="F588" s="40"/>
      <c r="G588" s="40"/>
      <c r="H588" s="40"/>
      <c r="I588" s="40"/>
      <c r="J588" s="40"/>
      <c r="K588" s="41"/>
    </row>
    <row r="589" spans="2:14" x14ac:dyDescent="0.2">
      <c r="B589" s="38"/>
      <c r="C589" s="40" t="s">
        <v>335</v>
      </c>
      <c r="D589" s="40"/>
      <c r="E589" s="40"/>
      <c r="F589" s="40"/>
      <c r="G589" s="40"/>
      <c r="H589" s="40"/>
      <c r="I589" s="40"/>
      <c r="J589" s="264">
        <f>'Community Characteristics'!H114/4</f>
        <v>0</v>
      </c>
      <c r="K589" s="41"/>
    </row>
    <row r="590" spans="2:14" x14ac:dyDescent="0.2">
      <c r="B590" s="38"/>
      <c r="C590" s="40" t="s">
        <v>260</v>
      </c>
      <c r="D590" s="40"/>
      <c r="E590" s="40"/>
      <c r="F590" s="40"/>
      <c r="G590" s="40"/>
      <c r="H590" s="40"/>
      <c r="I590" s="40"/>
      <c r="J590" s="255">
        <f>IF(J589&lt;=0,0,IF(J589&lt;=1000,1,IF(J589&lt;=5000,2,IF(J589&lt;=25000,3,4))))</f>
        <v>0</v>
      </c>
      <c r="K590" s="41"/>
    </row>
    <row r="591" spans="2:14" ht="9.75" customHeight="1" x14ac:dyDescent="0.2">
      <c r="B591" s="38"/>
      <c r="C591" s="279" t="str">
        <f>"0:"</f>
        <v>0:</v>
      </c>
      <c r="D591" s="284" t="s">
        <v>970</v>
      </c>
      <c r="E591" s="40"/>
      <c r="F591" s="40"/>
      <c r="G591" s="40"/>
      <c r="H591" s="40"/>
      <c r="I591" s="40"/>
      <c r="J591" s="251"/>
      <c r="K591" s="41"/>
    </row>
    <row r="592" spans="2:14" ht="9.75" customHeight="1" x14ac:dyDescent="0.2">
      <c r="B592" s="38"/>
      <c r="C592" s="280" t="str">
        <f>"1:"</f>
        <v>1:</v>
      </c>
      <c r="D592" s="284" t="s">
        <v>961</v>
      </c>
      <c r="E592" s="40"/>
      <c r="F592" s="40"/>
      <c r="G592" s="40"/>
      <c r="H592" s="40"/>
      <c r="I592" s="40"/>
      <c r="J592" s="251"/>
      <c r="K592" s="41"/>
    </row>
    <row r="593" spans="2:11" ht="9.75" customHeight="1" x14ac:dyDescent="0.2">
      <c r="B593" s="38"/>
      <c r="C593" s="280" t="str">
        <f>"2:"</f>
        <v>2:</v>
      </c>
      <c r="D593" s="284" t="s">
        <v>971</v>
      </c>
      <c r="E593" s="40"/>
      <c r="F593" s="40"/>
      <c r="G593" s="40"/>
      <c r="H593" s="40"/>
      <c r="I593" s="40"/>
      <c r="J593" s="251"/>
      <c r="K593" s="41"/>
    </row>
    <row r="594" spans="2:11" ht="9.75" customHeight="1" x14ac:dyDescent="0.2">
      <c r="B594" s="38"/>
      <c r="C594" s="280" t="str">
        <f>"3:"</f>
        <v>3:</v>
      </c>
      <c r="D594" s="284" t="s">
        <v>963</v>
      </c>
      <c r="E594" s="40"/>
      <c r="F594" s="40"/>
      <c r="G594" s="40"/>
      <c r="H594" s="40"/>
      <c r="I594" s="40"/>
      <c r="J594" s="251"/>
      <c r="K594" s="41"/>
    </row>
    <row r="595" spans="2:11" ht="9.75" customHeight="1" x14ac:dyDescent="0.2">
      <c r="B595" s="38"/>
      <c r="C595" s="280" t="str">
        <f>"4:"</f>
        <v>4:</v>
      </c>
      <c r="D595" s="284" t="s">
        <v>964</v>
      </c>
      <c r="E595" s="40"/>
      <c r="F595" s="40"/>
      <c r="G595" s="40"/>
      <c r="H595" s="40"/>
      <c r="I595" s="40"/>
      <c r="J595" s="40"/>
      <c r="K595" s="41"/>
    </row>
    <row r="596" spans="2:11" ht="15" customHeight="1" x14ac:dyDescent="0.2">
      <c r="B596" s="38"/>
      <c r="C596" s="40" t="s">
        <v>257</v>
      </c>
      <c r="D596" s="40"/>
      <c r="E596" s="40"/>
      <c r="F596" s="40"/>
      <c r="G596" s="40"/>
      <c r="H596" s="40"/>
      <c r="I596" s="40"/>
      <c r="J596" s="266" t="s">
        <v>872</v>
      </c>
      <c r="K596" s="41"/>
    </row>
    <row r="597" spans="2:11" ht="15" customHeight="1" x14ac:dyDescent="0.2">
      <c r="B597" s="38"/>
      <c r="C597" s="40" t="s">
        <v>261</v>
      </c>
      <c r="D597" s="40"/>
      <c r="E597" s="40"/>
      <c r="F597" s="40"/>
      <c r="G597" s="40"/>
      <c r="H597" s="40"/>
      <c r="I597" s="40"/>
      <c r="J597" s="245">
        <f>IF(J596=$B$973,$A$973,IF(J596=$B$974,$A$974,IF(J596=$B$975,$A$975,IF(J596=$B$976,$A$976,IF(J596=$B$977,$A$977,"Not Calculated")))))</f>
        <v>2</v>
      </c>
      <c r="K597" s="41"/>
    </row>
    <row r="598" spans="2:11" x14ac:dyDescent="0.2">
      <c r="B598" s="38"/>
      <c r="C598" s="40" t="s">
        <v>893</v>
      </c>
      <c r="D598" s="40"/>
      <c r="E598" s="40"/>
      <c r="F598" s="40"/>
      <c r="G598" s="40"/>
      <c r="H598" s="40"/>
      <c r="I598" s="40"/>
      <c r="J598" s="40"/>
      <c r="K598" s="41"/>
    </row>
    <row r="599" spans="2:11" ht="45" customHeight="1" x14ac:dyDescent="0.2">
      <c r="B599" s="38"/>
      <c r="C599" s="399" t="s">
        <v>1012</v>
      </c>
      <c r="D599" s="400"/>
      <c r="E599" s="400"/>
      <c r="F599" s="400"/>
      <c r="G599" s="400"/>
      <c r="H599" s="400"/>
      <c r="I599" s="400"/>
      <c r="J599" s="401"/>
      <c r="K599" s="41"/>
    </row>
    <row r="600" spans="2:11" x14ac:dyDescent="0.2">
      <c r="B600" s="38"/>
      <c r="C600" s="40"/>
      <c r="D600" s="40"/>
      <c r="E600" s="40"/>
      <c r="F600" s="40"/>
      <c r="G600" s="40"/>
      <c r="H600" s="40"/>
      <c r="I600" s="40"/>
      <c r="J600" s="40"/>
      <c r="K600" s="41"/>
    </row>
    <row r="601" spans="2:11" x14ac:dyDescent="0.2">
      <c r="B601" s="38"/>
      <c r="C601" s="179" t="s">
        <v>325</v>
      </c>
      <c r="D601" s="40"/>
      <c r="E601" s="40"/>
      <c r="F601" s="40"/>
      <c r="G601" s="40"/>
      <c r="H601" s="40"/>
      <c r="I601" s="40"/>
      <c r="J601" s="245">
        <f>IF(J590="Not Calculated","Not Calculated",AVERAGE(J590,J597))</f>
        <v>1</v>
      </c>
      <c r="K601" s="41"/>
    </row>
    <row r="602" spans="2:11" x14ac:dyDescent="0.2">
      <c r="B602" s="38"/>
      <c r="C602" s="40"/>
      <c r="D602" s="40"/>
      <c r="E602" s="40"/>
      <c r="F602" s="40"/>
      <c r="G602" s="40"/>
      <c r="H602" s="40"/>
      <c r="I602" s="40"/>
      <c r="J602" s="40"/>
      <c r="K602" s="41"/>
    </row>
    <row r="603" spans="2:11" x14ac:dyDescent="0.2">
      <c r="B603" s="38"/>
      <c r="C603" s="40"/>
      <c r="D603" s="40"/>
      <c r="E603" s="40"/>
      <c r="F603" s="40"/>
      <c r="G603" s="40"/>
      <c r="H603" s="40"/>
      <c r="I603" s="40"/>
      <c r="J603" s="40"/>
      <c r="K603" s="41"/>
    </row>
    <row r="604" spans="2:11" ht="16" x14ac:dyDescent="0.2">
      <c r="B604" s="38"/>
      <c r="C604" s="45" t="s">
        <v>326</v>
      </c>
      <c r="D604" s="40"/>
      <c r="E604" s="40"/>
      <c r="F604" s="40"/>
      <c r="G604" s="40"/>
      <c r="H604" s="40"/>
      <c r="I604" s="40"/>
      <c r="J604" s="40"/>
      <c r="K604" s="41"/>
    </row>
    <row r="605" spans="2:11" x14ac:dyDescent="0.2">
      <c r="B605" s="38"/>
      <c r="C605" s="40" t="s">
        <v>336</v>
      </c>
      <c r="D605" s="40"/>
      <c r="E605" s="40"/>
      <c r="F605" s="40"/>
      <c r="G605" s="40"/>
      <c r="H605" s="40"/>
      <c r="I605" s="40"/>
      <c r="J605" s="271" t="str">
        <f>IF('Baseline Health'!G6=0,"Not Calculated",(('Community Characteristics'!H111*0.05)/'Baseline Health'!G6)*100)</f>
        <v>Not Calculated</v>
      </c>
      <c r="K605" s="41"/>
    </row>
    <row r="606" spans="2:11" x14ac:dyDescent="0.2">
      <c r="B606" s="38"/>
      <c r="C606" s="40" t="s">
        <v>260</v>
      </c>
      <c r="D606" s="40"/>
      <c r="E606" s="40"/>
      <c r="F606" s="40"/>
      <c r="G606" s="40"/>
      <c r="H606" s="40"/>
      <c r="I606" s="40"/>
      <c r="J606" s="248">
        <f>IF(J605&lt;=0,0,IF(J605&lt;=10,1,IF(J605&lt;=25,2,IF(J605&lt;=50,3,4))))</f>
        <v>4</v>
      </c>
      <c r="K606" s="41"/>
    </row>
    <row r="607" spans="2:11" ht="9.75" customHeight="1" x14ac:dyDescent="0.2">
      <c r="B607" s="38"/>
      <c r="C607" s="279" t="str">
        <f>"0:"</f>
        <v>0:</v>
      </c>
      <c r="D607" s="290" t="s">
        <v>944</v>
      </c>
      <c r="E607" s="40"/>
      <c r="F607" s="40"/>
      <c r="G607" s="40"/>
      <c r="H607" s="40"/>
      <c r="I607" s="40"/>
      <c r="J607" s="244"/>
      <c r="K607" s="41"/>
    </row>
    <row r="608" spans="2:11" ht="9.75" customHeight="1" x14ac:dyDescent="0.2">
      <c r="B608" s="38"/>
      <c r="C608" s="280" t="str">
        <f>"1:"</f>
        <v>1:</v>
      </c>
      <c r="D608" s="290" t="s">
        <v>947</v>
      </c>
      <c r="E608" s="40"/>
      <c r="F608" s="40"/>
      <c r="G608" s="40"/>
      <c r="H608" s="40"/>
      <c r="I608" s="40"/>
      <c r="J608" s="244"/>
      <c r="K608" s="41"/>
    </row>
    <row r="609" spans="2:11" ht="9.75" customHeight="1" x14ac:dyDescent="0.2">
      <c r="B609" s="38"/>
      <c r="C609" s="280" t="str">
        <f>"2:"</f>
        <v>2:</v>
      </c>
      <c r="D609" s="290" t="s">
        <v>972</v>
      </c>
      <c r="E609" s="40"/>
      <c r="F609" s="40"/>
      <c r="G609" s="40"/>
      <c r="H609" s="40"/>
      <c r="I609" s="40"/>
      <c r="J609" s="244"/>
      <c r="K609" s="41"/>
    </row>
    <row r="610" spans="2:11" ht="9.75" customHeight="1" x14ac:dyDescent="0.2">
      <c r="B610" s="38"/>
      <c r="C610" s="280" t="str">
        <f>"3:"</f>
        <v>3:</v>
      </c>
      <c r="D610" s="290" t="s">
        <v>973</v>
      </c>
      <c r="E610" s="40"/>
      <c r="F610" s="40"/>
      <c r="G610" s="40"/>
      <c r="H610" s="40"/>
      <c r="I610" s="40"/>
      <c r="J610" s="244"/>
      <c r="K610" s="41"/>
    </row>
    <row r="611" spans="2:11" ht="9.75" customHeight="1" x14ac:dyDescent="0.2">
      <c r="B611" s="38"/>
      <c r="C611" s="280" t="str">
        <f>"4:"</f>
        <v>4:</v>
      </c>
      <c r="D611" s="290" t="s">
        <v>974</v>
      </c>
      <c r="E611" s="40"/>
      <c r="F611" s="40"/>
      <c r="G611" s="40"/>
      <c r="H611" s="40"/>
      <c r="I611" s="40"/>
      <c r="J611" s="40"/>
      <c r="K611" s="41"/>
    </row>
    <row r="612" spans="2:11" x14ac:dyDescent="0.2">
      <c r="B612" s="38"/>
      <c r="C612" s="40" t="s">
        <v>893</v>
      </c>
      <c r="D612" s="40"/>
      <c r="E612" s="40"/>
      <c r="F612" s="40"/>
      <c r="G612" s="40"/>
      <c r="H612" s="40"/>
      <c r="I612" s="40"/>
      <c r="J612" s="40"/>
      <c r="K612" s="41"/>
    </row>
    <row r="613" spans="2:11" ht="45" customHeight="1" x14ac:dyDescent="0.2">
      <c r="B613" s="38"/>
      <c r="C613" s="399" t="s">
        <v>1013</v>
      </c>
      <c r="D613" s="400"/>
      <c r="E613" s="400"/>
      <c r="F613" s="400"/>
      <c r="G613" s="400"/>
      <c r="H613" s="400"/>
      <c r="I613" s="400"/>
      <c r="J613" s="401"/>
      <c r="K613" s="41"/>
    </row>
    <row r="614" spans="2:11" x14ac:dyDescent="0.2">
      <c r="B614" s="38"/>
      <c r="C614" s="40"/>
      <c r="D614" s="40"/>
      <c r="E614" s="40"/>
      <c r="F614" s="40"/>
      <c r="G614" s="40"/>
      <c r="H614" s="40"/>
      <c r="I614" s="40"/>
      <c r="J614" s="40"/>
      <c r="K614" s="41"/>
    </row>
    <row r="615" spans="2:11" x14ac:dyDescent="0.2">
      <c r="B615" s="38"/>
      <c r="C615" s="179" t="s">
        <v>327</v>
      </c>
      <c r="D615" s="40"/>
      <c r="E615" s="40"/>
      <c r="F615" s="40"/>
      <c r="G615" s="40"/>
      <c r="H615" s="40"/>
      <c r="I615" s="40"/>
      <c r="J615" s="245">
        <f>J606</f>
        <v>4</v>
      </c>
      <c r="K615" s="41"/>
    </row>
    <row r="616" spans="2:11" x14ac:dyDescent="0.2">
      <c r="B616" s="38"/>
      <c r="C616" s="40"/>
      <c r="D616" s="40"/>
      <c r="E616" s="40"/>
      <c r="F616" s="40"/>
      <c r="G616" s="40"/>
      <c r="H616" s="40"/>
      <c r="I616" s="40"/>
      <c r="J616" s="40"/>
      <c r="K616" s="41"/>
    </row>
    <row r="617" spans="2:11" x14ac:dyDescent="0.2">
      <c r="B617" s="38"/>
      <c r="C617" s="40"/>
      <c r="D617" s="40"/>
      <c r="E617" s="40"/>
      <c r="F617" s="40"/>
      <c r="G617" s="40"/>
      <c r="H617" s="40"/>
      <c r="I617" s="40"/>
      <c r="J617" s="40"/>
      <c r="K617" s="41"/>
    </row>
    <row r="618" spans="2:11" ht="16" x14ac:dyDescent="0.2">
      <c r="B618" s="38"/>
      <c r="C618" s="45" t="s">
        <v>92</v>
      </c>
      <c r="D618" s="40"/>
      <c r="E618" s="40"/>
      <c r="F618" s="40"/>
      <c r="G618" s="40"/>
      <c r="H618" s="40"/>
      <c r="I618" s="40"/>
      <c r="J618" s="40"/>
      <c r="K618" s="41"/>
    </row>
    <row r="619" spans="2:11" x14ac:dyDescent="0.2">
      <c r="B619" s="38"/>
      <c r="C619" s="40" t="s">
        <v>337</v>
      </c>
      <c r="D619" s="40"/>
      <c r="E619" s="40"/>
      <c r="F619" s="40"/>
      <c r="G619" s="40"/>
      <c r="H619" s="40"/>
      <c r="I619" s="40"/>
      <c r="J619" s="251">
        <f>'Baseline Health'!G137</f>
        <v>1</v>
      </c>
      <c r="K619" s="41"/>
    </row>
    <row r="620" spans="2:11" ht="15" customHeight="1" x14ac:dyDescent="0.2">
      <c r="B620" s="38"/>
      <c r="C620" s="380" t="s">
        <v>338</v>
      </c>
      <c r="D620" s="380"/>
      <c r="E620" s="380"/>
      <c r="F620" s="380"/>
      <c r="G620" s="380"/>
      <c r="H620" s="380"/>
      <c r="I620" s="380"/>
      <c r="J620" s="251"/>
      <c r="K620" s="41"/>
    </row>
    <row r="621" spans="2:11" x14ac:dyDescent="0.2">
      <c r="B621" s="38"/>
      <c r="C621" s="380"/>
      <c r="D621" s="380"/>
      <c r="E621" s="380"/>
      <c r="F621" s="380"/>
      <c r="G621" s="380"/>
      <c r="H621" s="380"/>
      <c r="I621" s="380"/>
      <c r="J621" s="264">
        <v>200</v>
      </c>
      <c r="K621" s="41"/>
    </row>
    <row r="622" spans="2:11" x14ac:dyDescent="0.2">
      <c r="B622" s="38"/>
      <c r="C622" s="40" t="s">
        <v>260</v>
      </c>
      <c r="D622" s="40"/>
      <c r="E622" s="40"/>
      <c r="F622" s="40"/>
      <c r="G622" s="40"/>
      <c r="H622" s="40"/>
      <c r="I622" s="40"/>
      <c r="J622" s="248">
        <f>IF(OR(J619=0,J619="Not Calculated")=TRUE,"Not Calculated",IF(((J619+J621)/J619)&lt;=1,0,IF(((J619+J621)/J619)&lt;=1.05,1,IF(((J619+J621)/J619)&lt;=1.5, 2,IF(((J619+J621)/J619)&lt;=2,3,4)))))</f>
        <v>4</v>
      </c>
      <c r="K622" s="41"/>
    </row>
    <row r="623" spans="2:11" ht="9.75" customHeight="1" x14ac:dyDescent="0.2">
      <c r="B623" s="38"/>
      <c r="C623" s="279" t="str">
        <f>"0:"</f>
        <v>0:</v>
      </c>
      <c r="D623" s="281" t="s">
        <v>918</v>
      </c>
      <c r="E623" s="291"/>
      <c r="F623" s="291"/>
      <c r="G623" s="291"/>
      <c r="H623" s="291"/>
      <c r="I623" s="291"/>
      <c r="J623" s="251"/>
      <c r="K623" s="41"/>
    </row>
    <row r="624" spans="2:11" ht="9.75" customHeight="1" x14ac:dyDescent="0.2">
      <c r="B624" s="38"/>
      <c r="C624" s="280" t="str">
        <f>"1:"</f>
        <v>1:</v>
      </c>
      <c r="D624" s="281" t="s">
        <v>919</v>
      </c>
      <c r="E624" s="291"/>
      <c r="F624" s="291"/>
      <c r="G624" s="291"/>
      <c r="H624" s="291"/>
      <c r="I624" s="291"/>
      <c r="J624" s="251"/>
      <c r="K624" s="41"/>
    </row>
    <row r="625" spans="2:14" ht="9.75" customHeight="1" x14ac:dyDescent="0.2">
      <c r="B625" s="38"/>
      <c r="C625" s="280" t="str">
        <f>"2:"</f>
        <v>2:</v>
      </c>
      <c r="D625" s="281" t="s">
        <v>920</v>
      </c>
      <c r="E625" s="291"/>
      <c r="F625" s="291"/>
      <c r="G625" s="291"/>
      <c r="H625" s="291"/>
      <c r="I625" s="291"/>
      <c r="J625" s="251"/>
      <c r="K625" s="41"/>
    </row>
    <row r="626" spans="2:14" ht="9.75" customHeight="1" x14ac:dyDescent="0.2">
      <c r="B626" s="38"/>
      <c r="C626" s="280" t="str">
        <f>"3:"</f>
        <v>3:</v>
      </c>
      <c r="D626" s="281" t="s">
        <v>921</v>
      </c>
      <c r="E626" s="291"/>
      <c r="F626" s="291"/>
      <c r="G626" s="291"/>
      <c r="H626" s="291"/>
      <c r="I626" s="291"/>
      <c r="J626" s="251"/>
      <c r="K626" s="41"/>
    </row>
    <row r="627" spans="2:14" ht="9.75" customHeight="1" x14ac:dyDescent="0.2">
      <c r="B627" s="38"/>
      <c r="C627" s="280" t="str">
        <f>"4:"</f>
        <v>4:</v>
      </c>
      <c r="D627" s="281" t="s">
        <v>922</v>
      </c>
      <c r="E627" s="40"/>
      <c r="F627" s="40"/>
      <c r="G627" s="40"/>
      <c r="H627" s="40"/>
      <c r="I627" s="40"/>
      <c r="J627" s="40"/>
      <c r="K627" s="41"/>
      <c r="N627" s="12" t="s">
        <v>661</v>
      </c>
    </row>
    <row r="628" spans="2:14" x14ac:dyDescent="0.2">
      <c r="B628" s="38"/>
      <c r="C628" s="174" t="s">
        <v>662</v>
      </c>
      <c r="D628" s="40"/>
      <c r="E628" s="40"/>
      <c r="F628" s="40"/>
      <c r="G628" s="40"/>
      <c r="H628" s="40"/>
      <c r="I628" s="40"/>
      <c r="J628" s="265" t="s">
        <v>661</v>
      </c>
      <c r="K628" s="41"/>
      <c r="N628" s="12" t="s">
        <v>894</v>
      </c>
    </row>
    <row r="629" spans="2:14" x14ac:dyDescent="0.2">
      <c r="B629" s="38"/>
      <c r="C629" s="174" t="s">
        <v>660</v>
      </c>
      <c r="D629" s="40"/>
      <c r="E629" s="40"/>
      <c r="F629" s="40"/>
      <c r="G629" s="40"/>
      <c r="H629" s="40"/>
      <c r="I629" s="40"/>
      <c r="J629" s="247" t="str">
        <f>IF(J628=N627,"N/A",IF(J628=N628,0,IF(J628=N629,1,IF(J628=N630,2,IF(J628=N631,3,IF(J628=N632,4,"N/A"))))))</f>
        <v>N/A</v>
      </c>
      <c r="K629" s="41"/>
      <c r="N629" s="12" t="s">
        <v>895</v>
      </c>
    </row>
    <row r="630" spans="2:14" x14ac:dyDescent="0.2">
      <c r="B630" s="38"/>
      <c r="C630" s="40" t="s">
        <v>257</v>
      </c>
      <c r="D630" s="40"/>
      <c r="E630" s="40"/>
      <c r="F630" s="40"/>
      <c r="G630" s="40"/>
      <c r="H630" s="40"/>
      <c r="I630" s="40"/>
      <c r="J630" s="266" t="s">
        <v>872</v>
      </c>
      <c r="K630" s="41"/>
      <c r="N630" s="12" t="s">
        <v>896</v>
      </c>
    </row>
    <row r="631" spans="2:14" x14ac:dyDescent="0.2">
      <c r="B631" s="38"/>
      <c r="C631" s="40" t="s">
        <v>261</v>
      </c>
      <c r="D631" s="40"/>
      <c r="E631" s="40"/>
      <c r="F631" s="40"/>
      <c r="G631" s="40"/>
      <c r="H631" s="40"/>
      <c r="I631" s="40"/>
      <c r="J631" s="248">
        <f>IF(J630=$B$973,$A$973,IF(J630=$B$974,$A$974,IF(J630=$B$975,$A$975,IF(J630=$B$976,$A$976,IF(J630=$B$977,$A$977,"Not Calculated")))))</f>
        <v>2</v>
      </c>
      <c r="K631" s="41"/>
      <c r="N631" s="12" t="s">
        <v>897</v>
      </c>
    </row>
    <row r="632" spans="2:14" x14ac:dyDescent="0.2">
      <c r="B632" s="38"/>
      <c r="C632" s="40" t="s">
        <v>893</v>
      </c>
      <c r="D632" s="40"/>
      <c r="E632" s="40"/>
      <c r="F632" s="40"/>
      <c r="G632" s="40"/>
      <c r="H632" s="40"/>
      <c r="I632" s="40"/>
      <c r="J632" s="40"/>
      <c r="K632" s="41"/>
      <c r="N632" s="12" t="s">
        <v>898</v>
      </c>
    </row>
    <row r="633" spans="2:14" ht="45" customHeight="1" x14ac:dyDescent="0.2">
      <c r="B633" s="38"/>
      <c r="C633" s="399" t="s">
        <v>430</v>
      </c>
      <c r="D633" s="400"/>
      <c r="E633" s="400"/>
      <c r="F633" s="400"/>
      <c r="G633" s="400"/>
      <c r="H633" s="400"/>
      <c r="I633" s="400"/>
      <c r="J633" s="401"/>
      <c r="K633" s="41"/>
    </row>
    <row r="634" spans="2:14" x14ac:dyDescent="0.2">
      <c r="B634" s="38"/>
      <c r="C634" s="40"/>
      <c r="D634" s="40"/>
      <c r="E634" s="40"/>
      <c r="F634" s="40"/>
      <c r="G634" s="40"/>
      <c r="H634" s="40"/>
      <c r="I634" s="40"/>
      <c r="J634" s="40"/>
      <c r="K634" s="41"/>
    </row>
    <row r="635" spans="2:14" x14ac:dyDescent="0.2">
      <c r="B635" s="38"/>
      <c r="C635" s="179" t="s">
        <v>328</v>
      </c>
      <c r="D635" s="40"/>
      <c r="E635" s="40"/>
      <c r="F635" s="40"/>
      <c r="G635" s="40"/>
      <c r="H635" s="40"/>
      <c r="I635" s="40"/>
      <c r="J635" s="245">
        <f>IF(J629="N/A",IF(OR(J622="Not Calculated",J631="Not Calculated")=TRUE,"Not Calculated",AVERAGE(J622,J631)),AVERAGE(J629,J631))</f>
        <v>3</v>
      </c>
      <c r="K635" s="41"/>
    </row>
    <row r="636" spans="2:14" x14ac:dyDescent="0.2">
      <c r="B636" s="38"/>
      <c r="C636" s="40"/>
      <c r="D636" s="40"/>
      <c r="E636" s="40"/>
      <c r="F636" s="40"/>
      <c r="G636" s="40"/>
      <c r="H636" s="40"/>
      <c r="I636" s="40"/>
      <c r="J636" s="40"/>
      <c r="K636" s="41"/>
    </row>
    <row r="637" spans="2:14" x14ac:dyDescent="0.2">
      <c r="B637" s="38"/>
      <c r="C637" s="40"/>
      <c r="D637" s="40"/>
      <c r="E637" s="40"/>
      <c r="F637" s="40"/>
      <c r="G637" s="40"/>
      <c r="H637" s="40"/>
      <c r="I637" s="40"/>
      <c r="J637" s="40"/>
      <c r="K637" s="41"/>
    </row>
    <row r="638" spans="2:14" ht="16" x14ac:dyDescent="0.2">
      <c r="B638" s="38"/>
      <c r="C638" s="45" t="s">
        <v>329</v>
      </c>
      <c r="D638" s="40"/>
      <c r="E638" s="40"/>
      <c r="F638" s="40"/>
      <c r="G638" s="40"/>
      <c r="H638" s="40"/>
      <c r="I638" s="40"/>
      <c r="J638" s="40"/>
      <c r="K638" s="41"/>
    </row>
    <row r="639" spans="2:14" ht="15" customHeight="1" x14ac:dyDescent="0.2">
      <c r="B639" s="38"/>
      <c r="C639" s="380" t="s">
        <v>339</v>
      </c>
      <c r="D639" s="380"/>
      <c r="E639" s="380"/>
      <c r="F639" s="380"/>
      <c r="G639" s="380"/>
      <c r="H639" s="380"/>
      <c r="I639" s="380"/>
      <c r="J639" s="40"/>
      <c r="K639" s="41"/>
    </row>
    <row r="640" spans="2:14" x14ac:dyDescent="0.2">
      <c r="B640" s="38"/>
      <c r="C640" s="380"/>
      <c r="D640" s="380"/>
      <c r="E640" s="380"/>
      <c r="F640" s="380"/>
      <c r="G640" s="380"/>
      <c r="H640" s="380"/>
      <c r="I640" s="380"/>
      <c r="J640" s="250">
        <f>'Baseline Health'!G145</f>
        <v>0</v>
      </c>
      <c r="K640" s="41"/>
    </row>
    <row r="641" spans="2:14" ht="15" customHeight="1" x14ac:dyDescent="0.2">
      <c r="B641" s="38"/>
      <c r="C641" s="380" t="s">
        <v>340</v>
      </c>
      <c r="D641" s="380"/>
      <c r="E641" s="380"/>
      <c r="F641" s="380"/>
      <c r="G641" s="380"/>
      <c r="H641" s="380"/>
      <c r="I641" s="380"/>
      <c r="J641" s="245"/>
      <c r="K641" s="41"/>
    </row>
    <row r="642" spans="2:14" x14ac:dyDescent="0.2">
      <c r="B642" s="38"/>
      <c r="C642" s="380"/>
      <c r="D642" s="380"/>
      <c r="E642" s="380"/>
      <c r="F642" s="380"/>
      <c r="G642" s="380"/>
      <c r="H642" s="380"/>
      <c r="I642" s="380"/>
      <c r="J642" s="245"/>
      <c r="K642" s="41"/>
    </row>
    <row r="643" spans="2:14" x14ac:dyDescent="0.2">
      <c r="B643" s="38"/>
      <c r="C643" s="380"/>
      <c r="D643" s="380"/>
      <c r="E643" s="380"/>
      <c r="F643" s="380"/>
      <c r="G643" s="380"/>
      <c r="H643" s="380"/>
      <c r="I643" s="380"/>
      <c r="J643" s="272">
        <v>75</v>
      </c>
      <c r="K643" s="41"/>
    </row>
    <row r="644" spans="2:14" x14ac:dyDescent="0.2">
      <c r="B644" s="38"/>
      <c r="C644" s="40" t="s">
        <v>260</v>
      </c>
      <c r="D644" s="40"/>
      <c r="E644" s="40"/>
      <c r="F644" s="40"/>
      <c r="G644" s="40"/>
      <c r="H644" s="40"/>
      <c r="I644" s="40"/>
      <c r="J644" s="248" t="str">
        <f>IF(OR(J640=0,J640="Not Calculated")=TRUE,"Not Calculated",IF(((J640+J643)/J640)&lt;=1,0,IF(((J640+J643)/J640)&lt;=1.05,1,IF(((J640+J643)/J640)&lt;=1.5, 2,IF(((J640+J643)/J640)&lt;=2,3,4)))))</f>
        <v>Not Calculated</v>
      </c>
      <c r="K644" s="41"/>
    </row>
    <row r="645" spans="2:14" ht="9.75" customHeight="1" x14ac:dyDescent="0.2">
      <c r="B645" s="38"/>
      <c r="C645" s="279" t="str">
        <f>"0:"</f>
        <v>0:</v>
      </c>
      <c r="D645" s="281" t="s">
        <v>918</v>
      </c>
      <c r="E645" s="291"/>
      <c r="F645" s="291"/>
      <c r="G645" s="291"/>
      <c r="H645" s="291"/>
      <c r="I645" s="291"/>
      <c r="J645" s="250"/>
      <c r="K645" s="41"/>
    </row>
    <row r="646" spans="2:14" ht="9.75" customHeight="1" x14ac:dyDescent="0.2">
      <c r="B646" s="38"/>
      <c r="C646" s="280" t="str">
        <f>"1:"</f>
        <v>1:</v>
      </c>
      <c r="D646" s="281" t="s">
        <v>919</v>
      </c>
      <c r="E646" s="291"/>
      <c r="F646" s="291"/>
      <c r="G646" s="291"/>
      <c r="H646" s="291"/>
      <c r="I646" s="291"/>
      <c r="J646" s="250"/>
      <c r="K646" s="41"/>
    </row>
    <row r="647" spans="2:14" ht="9.75" customHeight="1" x14ac:dyDescent="0.2">
      <c r="B647" s="38"/>
      <c r="C647" s="280" t="str">
        <f>"2:"</f>
        <v>2:</v>
      </c>
      <c r="D647" s="281" t="s">
        <v>920</v>
      </c>
      <c r="E647" s="291"/>
      <c r="F647" s="291"/>
      <c r="G647" s="291"/>
      <c r="H647" s="291"/>
      <c r="I647" s="291"/>
      <c r="J647" s="250"/>
      <c r="K647" s="41"/>
    </row>
    <row r="648" spans="2:14" ht="9.75" customHeight="1" x14ac:dyDescent="0.2">
      <c r="B648" s="38"/>
      <c r="C648" s="280" t="str">
        <f>"3:"</f>
        <v>3:</v>
      </c>
      <c r="D648" s="281" t="s">
        <v>921</v>
      </c>
      <c r="E648" s="291"/>
      <c r="F648" s="291"/>
      <c r="G648" s="291"/>
      <c r="H648" s="291"/>
      <c r="I648" s="291"/>
      <c r="J648" s="250"/>
      <c r="K648" s="41"/>
    </row>
    <row r="649" spans="2:14" ht="9.75" customHeight="1" x14ac:dyDescent="0.2">
      <c r="B649" s="38"/>
      <c r="C649" s="280" t="str">
        <f>"4:"</f>
        <v>4:</v>
      </c>
      <c r="D649" s="281" t="s">
        <v>922</v>
      </c>
      <c r="E649" s="40"/>
      <c r="F649" s="40"/>
      <c r="G649" s="40"/>
      <c r="H649" s="40"/>
      <c r="I649" s="40"/>
      <c r="J649" s="40"/>
      <c r="K649" s="41"/>
      <c r="N649" s="12" t="s">
        <v>661</v>
      </c>
    </row>
    <row r="650" spans="2:14" x14ac:dyDescent="0.2">
      <c r="B650" s="38"/>
      <c r="C650" s="174" t="s">
        <v>662</v>
      </c>
      <c r="D650" s="40"/>
      <c r="E650" s="40"/>
      <c r="F650" s="40"/>
      <c r="G650" s="40"/>
      <c r="H650" s="40"/>
      <c r="I650" s="40"/>
      <c r="J650" s="265" t="s">
        <v>661</v>
      </c>
      <c r="K650" s="41"/>
      <c r="N650" s="12" t="s">
        <v>894</v>
      </c>
    </row>
    <row r="651" spans="2:14" x14ac:dyDescent="0.2">
      <c r="B651" s="38"/>
      <c r="C651" s="174" t="s">
        <v>660</v>
      </c>
      <c r="D651" s="40"/>
      <c r="E651" s="40"/>
      <c r="F651" s="40"/>
      <c r="G651" s="40"/>
      <c r="H651" s="40"/>
      <c r="I651" s="40"/>
      <c r="J651" s="247" t="str">
        <f>IF(J650=N649,"N/A",IF(J650=N650,0,IF(J650=N651,1,IF(J650=N652,2,IF(J650=N653,3,IF(J650=N654,4,"N/A"))))))</f>
        <v>N/A</v>
      </c>
      <c r="K651" s="41"/>
      <c r="N651" s="12" t="s">
        <v>895</v>
      </c>
    </row>
    <row r="652" spans="2:14" ht="15" customHeight="1" x14ac:dyDescent="0.2">
      <c r="B652" s="38"/>
      <c r="C652" s="40" t="s">
        <v>257</v>
      </c>
      <c r="D652" s="40"/>
      <c r="E652" s="40"/>
      <c r="F652" s="40"/>
      <c r="G652" s="40"/>
      <c r="H652" s="40"/>
      <c r="I652" s="40"/>
      <c r="J652" s="266" t="s">
        <v>873</v>
      </c>
      <c r="K652" s="41"/>
      <c r="N652" s="12" t="s">
        <v>896</v>
      </c>
    </row>
    <row r="653" spans="2:14" x14ac:dyDescent="0.2">
      <c r="B653" s="38"/>
      <c r="C653" s="40" t="s">
        <v>261</v>
      </c>
      <c r="D653" s="40"/>
      <c r="E653" s="40"/>
      <c r="F653" s="40"/>
      <c r="G653" s="40"/>
      <c r="H653" s="40"/>
      <c r="I653" s="40"/>
      <c r="J653" s="248">
        <f>IF(J652=$B$973,$A$973,IF(J652=$B$974,$A$974,IF(J652=$B$975,$A$975,IF(J652=$B$976,$A$976,IF(J652=$B$977,$A$977,"Not Calculated")))))</f>
        <v>3</v>
      </c>
      <c r="K653" s="41"/>
      <c r="N653" s="12" t="s">
        <v>897</v>
      </c>
    </row>
    <row r="654" spans="2:14" x14ac:dyDescent="0.2">
      <c r="B654" s="38"/>
      <c r="C654" s="40" t="s">
        <v>893</v>
      </c>
      <c r="D654" s="40"/>
      <c r="E654" s="40"/>
      <c r="F654" s="40"/>
      <c r="G654" s="40"/>
      <c r="H654" s="40"/>
      <c r="I654" s="40"/>
      <c r="J654" s="40"/>
      <c r="K654" s="41"/>
      <c r="N654" s="12" t="s">
        <v>898</v>
      </c>
    </row>
    <row r="655" spans="2:14" ht="30" customHeight="1" x14ac:dyDescent="0.2">
      <c r="B655" s="38"/>
      <c r="C655" s="399" t="s">
        <v>431</v>
      </c>
      <c r="D655" s="400"/>
      <c r="E655" s="400"/>
      <c r="F655" s="400"/>
      <c r="G655" s="400"/>
      <c r="H655" s="400"/>
      <c r="I655" s="400"/>
      <c r="J655" s="401"/>
      <c r="K655" s="41"/>
    </row>
    <row r="656" spans="2:14" x14ac:dyDescent="0.2">
      <c r="B656" s="38"/>
      <c r="C656" s="40"/>
      <c r="D656" s="40"/>
      <c r="E656" s="40"/>
      <c r="F656" s="40"/>
      <c r="G656" s="40"/>
      <c r="H656" s="40"/>
      <c r="I656" s="40"/>
      <c r="J656" s="40"/>
      <c r="K656" s="41"/>
    </row>
    <row r="657" spans="2:14" x14ac:dyDescent="0.2">
      <c r="B657" s="38"/>
      <c r="C657" s="179" t="s">
        <v>330</v>
      </c>
      <c r="D657" s="40"/>
      <c r="E657" s="40"/>
      <c r="F657" s="40"/>
      <c r="G657" s="40"/>
      <c r="H657" s="40"/>
      <c r="I657" s="40"/>
      <c r="J657" s="245" t="str">
        <f>IF(J651="N/A",IF(OR(J644="Not Calculated",J653="Not Calculated")=TRUE,"Not Calculated",AVERAGE(J644,J653)),AVERAGE(J651,J653))</f>
        <v>Not Calculated</v>
      </c>
      <c r="K657" s="41"/>
    </row>
    <row r="658" spans="2:14" x14ac:dyDescent="0.2">
      <c r="B658" s="38"/>
      <c r="C658" s="40"/>
      <c r="D658" s="40"/>
      <c r="E658" s="40"/>
      <c r="F658" s="40"/>
      <c r="G658" s="40"/>
      <c r="H658" s="40"/>
      <c r="I658" s="40"/>
      <c r="J658" s="40"/>
      <c r="K658" s="41"/>
    </row>
    <row r="659" spans="2:14" x14ac:dyDescent="0.2">
      <c r="B659" s="38"/>
      <c r="C659" s="40"/>
      <c r="D659" s="40"/>
      <c r="E659" s="40"/>
      <c r="F659" s="40"/>
      <c r="G659" s="40"/>
      <c r="H659" s="40"/>
      <c r="I659" s="40"/>
      <c r="J659" s="40"/>
      <c r="K659" s="41"/>
    </row>
    <row r="660" spans="2:14" ht="16" x14ac:dyDescent="0.2">
      <c r="B660" s="38"/>
      <c r="C660" s="45" t="s">
        <v>97</v>
      </c>
      <c r="D660" s="40"/>
      <c r="E660" s="40"/>
      <c r="F660" s="40"/>
      <c r="G660" s="40"/>
      <c r="H660" s="40"/>
      <c r="I660" s="40"/>
      <c r="J660" s="40"/>
      <c r="K660" s="41"/>
    </row>
    <row r="661" spans="2:14" x14ac:dyDescent="0.2">
      <c r="B661" s="38"/>
      <c r="C661" s="40" t="s">
        <v>449</v>
      </c>
      <c r="D661" s="40"/>
      <c r="E661" s="40"/>
      <c r="F661" s="40"/>
      <c r="G661" s="40"/>
      <c r="H661" s="40"/>
      <c r="I661" s="40"/>
      <c r="J661" s="249">
        <f>'Baseline Health'!G150</f>
        <v>0</v>
      </c>
      <c r="K661" s="41"/>
    </row>
    <row r="662" spans="2:14" x14ac:dyDescent="0.2">
      <c r="B662" s="38"/>
      <c r="C662" s="40" t="s">
        <v>341</v>
      </c>
      <c r="D662" s="40"/>
      <c r="E662" s="40"/>
      <c r="F662" s="40"/>
      <c r="G662" s="40"/>
      <c r="H662" s="40"/>
      <c r="I662" s="40"/>
      <c r="J662" s="273">
        <v>0</v>
      </c>
      <c r="K662" s="41"/>
    </row>
    <row r="663" spans="2:14" x14ac:dyDescent="0.2">
      <c r="B663" s="38"/>
      <c r="C663" s="40" t="s">
        <v>450</v>
      </c>
      <c r="D663" s="40"/>
      <c r="E663" s="40"/>
      <c r="F663" s="40"/>
      <c r="G663" s="40"/>
      <c r="H663" s="40"/>
      <c r="I663" s="40"/>
      <c r="J663" s="243">
        <f>J26</f>
        <v>0</v>
      </c>
      <c r="K663" s="41"/>
    </row>
    <row r="664" spans="2:14" ht="15" customHeight="1" x14ac:dyDescent="0.2">
      <c r="B664" s="38"/>
      <c r="C664" s="291"/>
      <c r="D664" s="380" t="s">
        <v>342</v>
      </c>
      <c r="E664" s="380"/>
      <c r="F664" s="380"/>
      <c r="G664" s="380"/>
      <c r="H664" s="380"/>
      <c r="I664" s="380"/>
      <c r="J664" s="245"/>
      <c r="K664" s="41"/>
    </row>
    <row r="665" spans="2:14" x14ac:dyDescent="0.2">
      <c r="B665" s="38"/>
      <c r="C665" s="291"/>
      <c r="D665" s="380"/>
      <c r="E665" s="380"/>
      <c r="F665" s="380"/>
      <c r="G665" s="380"/>
      <c r="H665" s="380"/>
      <c r="I665" s="380"/>
      <c r="J665" s="245"/>
      <c r="K665" s="41"/>
    </row>
    <row r="666" spans="2:14" x14ac:dyDescent="0.2">
      <c r="B666" s="38"/>
      <c r="C666" s="40" t="s">
        <v>260</v>
      </c>
      <c r="D666" s="40"/>
      <c r="E666" s="40"/>
      <c r="F666" s="40"/>
      <c r="G666" s="40"/>
      <c r="H666" s="40"/>
      <c r="I666" s="40"/>
      <c r="J666" s="245" t="str">
        <f>IF(OR(J661=0,J661="Not Calculated")=TRUE,"Not Calculated",IF(((J661+J663)/(J661-J662))&lt;=1,0,IF(((J661+J663)/(J661-J662))&lt;=1.1,1,IF(((J661+J663)/(J661-J662))&lt;=1.5, 2,IF(((J661+J663)/(J661-J662))&lt;=2,3,4)))))</f>
        <v>Not Calculated</v>
      </c>
      <c r="K666" s="41"/>
    </row>
    <row r="667" spans="2:14" ht="9.75" customHeight="1" x14ac:dyDescent="0.2">
      <c r="B667" s="38"/>
      <c r="C667" s="279" t="str">
        <f>"0:"</f>
        <v>0:</v>
      </c>
      <c r="D667" s="278" t="s">
        <v>918</v>
      </c>
      <c r="E667" s="291"/>
      <c r="F667" s="291"/>
      <c r="G667" s="291"/>
      <c r="H667" s="291"/>
      <c r="I667" s="291"/>
      <c r="J667" s="245"/>
      <c r="K667" s="41"/>
    </row>
    <row r="668" spans="2:14" ht="9.75" customHeight="1" x14ac:dyDescent="0.2">
      <c r="B668" s="38"/>
      <c r="C668" s="280" t="str">
        <f>"1:"</f>
        <v>1:</v>
      </c>
      <c r="D668" s="278" t="s">
        <v>923</v>
      </c>
      <c r="E668" s="291"/>
      <c r="F668" s="291"/>
      <c r="G668" s="291"/>
      <c r="H668" s="291"/>
      <c r="I668" s="291"/>
      <c r="J668" s="245"/>
      <c r="K668" s="41"/>
    </row>
    <row r="669" spans="2:14" ht="9.75" customHeight="1" x14ac:dyDescent="0.2">
      <c r="B669" s="38"/>
      <c r="C669" s="280" t="str">
        <f>"2:"</f>
        <v>2:</v>
      </c>
      <c r="D669" s="278" t="s">
        <v>924</v>
      </c>
      <c r="E669" s="291"/>
      <c r="F669" s="291"/>
      <c r="G669" s="291"/>
      <c r="H669" s="291"/>
      <c r="I669" s="291"/>
      <c r="J669" s="245"/>
      <c r="K669" s="41"/>
    </row>
    <row r="670" spans="2:14" ht="9.75" customHeight="1" x14ac:dyDescent="0.2">
      <c r="B670" s="38"/>
      <c r="C670" s="280" t="str">
        <f>"3:"</f>
        <v>3:</v>
      </c>
      <c r="D670" s="278" t="s">
        <v>925</v>
      </c>
      <c r="E670" s="291"/>
      <c r="F670" s="291"/>
      <c r="G670" s="291"/>
      <c r="H670" s="291"/>
      <c r="I670" s="291"/>
      <c r="J670" s="245"/>
      <c r="K670" s="41"/>
    </row>
    <row r="671" spans="2:14" ht="9.75" customHeight="1" x14ac:dyDescent="0.2">
      <c r="B671" s="38"/>
      <c r="C671" s="280" t="str">
        <f>"4:"</f>
        <v>4:</v>
      </c>
      <c r="D671" s="278" t="s">
        <v>926</v>
      </c>
      <c r="E671" s="40"/>
      <c r="F671" s="40"/>
      <c r="G671" s="40"/>
      <c r="H671" s="40"/>
      <c r="I671" s="40"/>
      <c r="J671" s="40"/>
      <c r="K671" s="41"/>
      <c r="N671" s="12" t="s">
        <v>661</v>
      </c>
    </row>
    <row r="672" spans="2:14" ht="15" customHeight="1" x14ac:dyDescent="0.2">
      <c r="B672" s="38"/>
      <c r="C672" s="174" t="s">
        <v>662</v>
      </c>
      <c r="D672" s="40"/>
      <c r="E672" s="40"/>
      <c r="F672" s="40"/>
      <c r="G672" s="40"/>
      <c r="H672" s="40"/>
      <c r="I672" s="40"/>
      <c r="J672" s="265" t="s">
        <v>661</v>
      </c>
      <c r="K672" s="41"/>
      <c r="N672" s="12" t="s">
        <v>894</v>
      </c>
    </row>
    <row r="673" spans="2:14" ht="15" customHeight="1" x14ac:dyDescent="0.2">
      <c r="B673" s="38"/>
      <c r="C673" s="174" t="s">
        <v>660</v>
      </c>
      <c r="D673" s="40"/>
      <c r="E673" s="40"/>
      <c r="F673" s="40"/>
      <c r="G673" s="40"/>
      <c r="H673" s="40"/>
      <c r="I673" s="40"/>
      <c r="J673" s="246" t="str">
        <f>IF(J672=N671,"N/A",IF(J672=N672,0,IF(J672=N673,1,IF(J672=N674,2,IF(J672=N675,3,IF(J672=N676,4,"N/A"))))))</f>
        <v>N/A</v>
      </c>
      <c r="K673" s="41"/>
      <c r="N673" s="12" t="s">
        <v>908</v>
      </c>
    </row>
    <row r="674" spans="2:14" ht="15" customHeight="1" x14ac:dyDescent="0.2">
      <c r="B674" s="38"/>
      <c r="C674" s="40" t="s">
        <v>257</v>
      </c>
      <c r="D674" s="40"/>
      <c r="E674" s="40"/>
      <c r="F674" s="40"/>
      <c r="G674" s="40"/>
      <c r="H674" s="40"/>
      <c r="I674" s="40"/>
      <c r="J674" s="266" t="s">
        <v>882</v>
      </c>
      <c r="K674" s="41"/>
      <c r="N674" s="12" t="s">
        <v>900</v>
      </c>
    </row>
    <row r="675" spans="2:14" x14ac:dyDescent="0.2">
      <c r="B675" s="38"/>
      <c r="C675" s="40" t="s">
        <v>261</v>
      </c>
      <c r="D675" s="40"/>
      <c r="E675" s="40"/>
      <c r="F675" s="40"/>
      <c r="G675" s="40"/>
      <c r="H675" s="40"/>
      <c r="I675" s="40"/>
      <c r="J675" s="248">
        <f>IF(J674=$B$973,$A$973,IF(J674=$B$974,$A$974,IF(J674=$B$975,$A$975,IF(J674=$B$976,$A$976,IF(J674=$B$977,$A$977,"Not Calculated")))))</f>
        <v>1</v>
      </c>
      <c r="K675" s="41"/>
      <c r="N675" s="12" t="s">
        <v>901</v>
      </c>
    </row>
    <row r="676" spans="2:14" ht="15" customHeight="1" x14ac:dyDescent="0.2">
      <c r="B676" s="38"/>
      <c r="C676" s="40" t="s">
        <v>893</v>
      </c>
      <c r="D676" s="40"/>
      <c r="E676" s="40"/>
      <c r="F676" s="40"/>
      <c r="G676" s="40"/>
      <c r="H676" s="40"/>
      <c r="I676" s="40"/>
      <c r="J676" s="40"/>
      <c r="K676" s="41"/>
      <c r="N676" s="12" t="s">
        <v>909</v>
      </c>
    </row>
    <row r="677" spans="2:14" ht="15" customHeight="1" x14ac:dyDescent="0.2">
      <c r="B677" s="38"/>
      <c r="C677" s="399"/>
      <c r="D677" s="400"/>
      <c r="E677" s="400"/>
      <c r="F677" s="400"/>
      <c r="G677" s="400"/>
      <c r="H677" s="400"/>
      <c r="I677" s="400"/>
      <c r="J677" s="401"/>
      <c r="K677" s="41"/>
    </row>
    <row r="678" spans="2:14" x14ac:dyDescent="0.2">
      <c r="B678" s="38"/>
      <c r="C678" s="40"/>
      <c r="D678" s="40"/>
      <c r="E678" s="40"/>
      <c r="F678" s="40"/>
      <c r="G678" s="40"/>
      <c r="H678" s="40"/>
      <c r="I678" s="40"/>
      <c r="J678" s="40"/>
      <c r="K678" s="41"/>
    </row>
    <row r="679" spans="2:14" x14ac:dyDescent="0.2">
      <c r="B679" s="38"/>
      <c r="C679" s="179" t="s">
        <v>331</v>
      </c>
      <c r="D679" s="40"/>
      <c r="E679" s="40"/>
      <c r="F679" s="40"/>
      <c r="G679" s="40"/>
      <c r="H679" s="40"/>
      <c r="I679" s="40"/>
      <c r="J679" s="245" t="str">
        <f>IF(J673="N/A",IF(OR(J666="Not Calculated",J675="Not Calculated")=TRUE,"Not Calculated",AVERAGE(J666,J675)),AVERAGE(J673,J675))</f>
        <v>Not Calculated</v>
      </c>
      <c r="K679" s="41"/>
    </row>
    <row r="680" spans="2:14" x14ac:dyDescent="0.2">
      <c r="B680" s="38"/>
      <c r="C680" s="40"/>
      <c r="D680" s="40"/>
      <c r="E680" s="40"/>
      <c r="F680" s="40"/>
      <c r="G680" s="40"/>
      <c r="H680" s="40"/>
      <c r="I680" s="40"/>
      <c r="J680" s="40"/>
      <c r="K680" s="41"/>
    </row>
    <row r="681" spans="2:14" ht="18" x14ac:dyDescent="0.2">
      <c r="B681" s="38"/>
      <c r="C681" s="180" t="s">
        <v>332</v>
      </c>
      <c r="D681" s="40"/>
      <c r="E681" s="40"/>
      <c r="F681" s="40"/>
      <c r="G681" s="40"/>
      <c r="H681" s="40"/>
      <c r="I681" s="40"/>
      <c r="J681" s="244" t="str">
        <f>IF(OR(J562="Not Calculated",J585="Not Calculated",J601="Not Calculated",J615="Not Calculated",J635="Not Calculated",J657="Not Calculated",J679="Not Calculated")=TRUE,"Not Calculated",AVERAGE(J562,J585,J601,J615,J635,J657,J679))</f>
        <v>Not Calculated</v>
      </c>
      <c r="K681" s="41"/>
    </row>
    <row r="682" spans="2:14" ht="16" thickBot="1" x14ac:dyDescent="0.25">
      <c r="B682" s="46"/>
      <c r="C682" s="47"/>
      <c r="D682" s="47"/>
      <c r="E682" s="47"/>
      <c r="F682" s="47"/>
      <c r="G682" s="47"/>
      <c r="H682" s="47"/>
      <c r="I682" s="47"/>
      <c r="J682" s="47"/>
      <c r="K682" s="49"/>
    </row>
    <row r="683" spans="2:14" ht="16" thickBot="1" x14ac:dyDescent="0.25"/>
    <row r="684" spans="2:14" x14ac:dyDescent="0.2">
      <c r="B684" s="33"/>
      <c r="C684" s="34"/>
      <c r="D684" s="34"/>
      <c r="E684" s="34"/>
      <c r="F684" s="34"/>
      <c r="G684" s="34"/>
      <c r="H684" s="34"/>
      <c r="I684" s="34"/>
      <c r="J684" s="34"/>
      <c r="K684" s="37"/>
    </row>
    <row r="685" spans="2:14" ht="21" x14ac:dyDescent="0.25">
      <c r="B685" s="38"/>
      <c r="C685" s="40"/>
      <c r="D685" s="40"/>
      <c r="E685" s="40"/>
      <c r="F685" s="40"/>
      <c r="G685" s="172" t="s">
        <v>346</v>
      </c>
      <c r="H685" s="40"/>
      <c r="I685" s="40"/>
      <c r="J685" s="40"/>
      <c r="K685" s="41"/>
    </row>
    <row r="686" spans="2:14" x14ac:dyDescent="0.2">
      <c r="B686" s="38"/>
      <c r="C686" s="40"/>
      <c r="D686" s="40"/>
      <c r="E686" s="40"/>
      <c r="F686" s="40"/>
      <c r="G686" s="40"/>
      <c r="H686" s="40"/>
      <c r="I686" s="40"/>
      <c r="J686" s="40"/>
      <c r="K686" s="41"/>
    </row>
    <row r="687" spans="2:14" ht="16" x14ac:dyDescent="0.2">
      <c r="B687" s="38"/>
      <c r="C687" s="182" t="s">
        <v>986</v>
      </c>
      <c r="D687" s="40"/>
      <c r="E687" s="40"/>
      <c r="F687" s="40"/>
      <c r="G687" s="40"/>
      <c r="H687" s="40"/>
      <c r="I687" s="40"/>
      <c r="J687" s="257" t="str">
        <f>IF(OR($J$133="Not Calculated",$J$261="Not Calculated",$J$421="Not Calculated",$J$539="Not Calculated",$J$681="Not Calculated")=TRUE,"Not Calculated",AVERAGE($J$133,$J$261,$J$421,$J$539,$J$681))</f>
        <v>Not Calculated</v>
      </c>
      <c r="K687" s="41"/>
    </row>
    <row r="688" spans="2:14" x14ac:dyDescent="0.2">
      <c r="B688" s="38"/>
      <c r="C688" s="40"/>
      <c r="D688" s="40" t="s">
        <v>343</v>
      </c>
      <c r="E688" s="40"/>
      <c r="F688" s="40"/>
      <c r="G688" s="40"/>
      <c r="H688" s="40"/>
      <c r="I688" s="40"/>
      <c r="J688" s="40"/>
      <c r="K688" s="41"/>
    </row>
    <row r="689" spans="2:11" ht="15" customHeight="1" x14ac:dyDescent="0.2">
      <c r="B689" s="38"/>
      <c r="C689" s="40"/>
      <c r="D689" s="40"/>
      <c r="E689" s="40"/>
      <c r="F689" s="40"/>
      <c r="G689" s="40"/>
      <c r="H689" s="40"/>
      <c r="I689" s="40"/>
      <c r="J689" s="40"/>
      <c r="K689" s="41"/>
    </row>
    <row r="690" spans="2:11" ht="16" x14ac:dyDescent="0.2">
      <c r="B690" s="38"/>
      <c r="C690" s="182" t="s">
        <v>987</v>
      </c>
      <c r="D690" s="40"/>
      <c r="E690" s="40"/>
      <c r="F690" s="40"/>
      <c r="G690" s="40"/>
      <c r="H690" s="40"/>
      <c r="I690" s="40"/>
      <c r="J690" s="257" t="str">
        <f>IF(OR($J$133="Not Calculated",$J$261="Not Calculated",$J$539="Not Calculated",$J$681="Not Calculated")=TRUE,"Not Calculated",AVERAGE($J$133,$J$261,$J$539,$J$681))</f>
        <v>Not Calculated</v>
      </c>
      <c r="K690" s="41"/>
    </row>
    <row r="691" spans="2:11" ht="15" customHeight="1" x14ac:dyDescent="0.2">
      <c r="B691" s="38"/>
      <c r="C691" s="40"/>
      <c r="D691" s="40" t="s">
        <v>344</v>
      </c>
      <c r="E691" s="40"/>
      <c r="F691" s="40"/>
      <c r="G691" s="40"/>
      <c r="H691" s="40"/>
      <c r="I691" s="40"/>
      <c r="J691" s="40"/>
      <c r="K691" s="41"/>
    </row>
    <row r="692" spans="2:11" x14ac:dyDescent="0.2">
      <c r="B692" s="38"/>
      <c r="C692" s="40"/>
      <c r="D692" s="40"/>
      <c r="E692" s="40"/>
      <c r="F692" s="40"/>
      <c r="G692" s="40"/>
      <c r="H692" s="40"/>
      <c r="I692" s="40"/>
      <c r="J692" s="40"/>
      <c r="K692" s="41"/>
    </row>
    <row r="693" spans="2:11" ht="16" x14ac:dyDescent="0.2">
      <c r="B693" s="38"/>
      <c r="C693" s="182" t="s">
        <v>988</v>
      </c>
      <c r="D693" s="40"/>
      <c r="E693" s="40"/>
      <c r="F693" s="40"/>
      <c r="G693" s="40"/>
      <c r="H693" s="40"/>
      <c r="I693" s="40"/>
      <c r="J693" s="257" t="str">
        <f>IF(OR($J$133="Not Calculated",$J$261="Not Calculated",$J$421="Not Calculated")=TRUE,"Not Calculated",AVERAGE($J$133,$J$261,$J$421))</f>
        <v>Not Calculated</v>
      </c>
      <c r="K693" s="41"/>
    </row>
    <row r="694" spans="2:11" x14ac:dyDescent="0.2">
      <c r="B694" s="38"/>
      <c r="C694" s="40"/>
      <c r="D694" s="40" t="s">
        <v>345</v>
      </c>
      <c r="E694" s="40"/>
      <c r="F694" s="40"/>
      <c r="G694" s="40"/>
      <c r="H694" s="40"/>
      <c r="I694" s="40"/>
      <c r="J694" s="40"/>
      <c r="K694" s="41"/>
    </row>
    <row r="695" spans="2:11" ht="16" thickBot="1" x14ac:dyDescent="0.25">
      <c r="B695" s="46"/>
      <c r="C695" s="47"/>
      <c r="D695" s="47"/>
      <c r="E695" s="47"/>
      <c r="F695" s="47"/>
      <c r="G695" s="47"/>
      <c r="H695" s="47"/>
      <c r="I695" s="47"/>
      <c r="J695" s="47"/>
      <c r="K695" s="49"/>
    </row>
    <row r="696" spans="2:11" ht="16" thickBot="1" x14ac:dyDescent="0.25"/>
    <row r="697" spans="2:11" x14ac:dyDescent="0.2">
      <c r="B697" s="183"/>
      <c r="C697" s="184"/>
      <c r="D697" s="184"/>
      <c r="E697" s="184"/>
      <c r="F697" s="184"/>
      <c r="G697" s="184"/>
      <c r="H697" s="184"/>
      <c r="I697" s="184"/>
      <c r="J697" s="184"/>
      <c r="K697" s="185"/>
    </row>
    <row r="698" spans="2:11" ht="21" x14ac:dyDescent="0.25">
      <c r="B698" s="186"/>
      <c r="C698" s="187"/>
      <c r="D698" s="187"/>
      <c r="E698" s="187"/>
      <c r="F698" s="187"/>
      <c r="G698" s="188" t="s">
        <v>231</v>
      </c>
      <c r="H698" s="187"/>
      <c r="I698" s="187"/>
      <c r="J698" s="187"/>
      <c r="K698" s="189"/>
    </row>
    <row r="699" spans="2:11" x14ac:dyDescent="0.2">
      <c r="B699" s="186"/>
      <c r="C699" s="187"/>
      <c r="D699" s="187"/>
      <c r="E699" s="187"/>
      <c r="F699" s="187"/>
      <c r="G699" s="187"/>
      <c r="H699" s="187"/>
      <c r="I699" s="187"/>
      <c r="J699" s="187"/>
      <c r="K699" s="189"/>
    </row>
    <row r="700" spans="2:11" ht="16" x14ac:dyDescent="0.2">
      <c r="B700" s="186"/>
      <c r="C700" s="190" t="s">
        <v>989</v>
      </c>
      <c r="D700" s="187"/>
      <c r="E700" s="187"/>
      <c r="F700" s="187"/>
      <c r="G700" s="187"/>
      <c r="H700" s="187"/>
      <c r="I700" s="187"/>
      <c r="J700" s="256" t="str">
        <f>IF(OR(J687="Not Calculated",$E$17="Not Calculated")=TRUE,"Not Calculated",(J687*$E$17*100/16))</f>
        <v>Not Calculated</v>
      </c>
      <c r="K700" s="189"/>
    </row>
    <row r="701" spans="2:11" x14ac:dyDescent="0.2">
      <c r="B701" s="186"/>
      <c r="C701" s="187"/>
      <c r="D701" s="187" t="s">
        <v>377</v>
      </c>
      <c r="E701" s="187"/>
      <c r="F701" s="187"/>
      <c r="G701" s="187"/>
      <c r="H701" s="187"/>
      <c r="I701" s="187"/>
      <c r="J701" s="187"/>
      <c r="K701" s="189"/>
    </row>
    <row r="702" spans="2:11" x14ac:dyDescent="0.2">
      <c r="B702" s="186"/>
      <c r="C702" s="187"/>
      <c r="D702" s="187"/>
      <c r="E702" s="187"/>
      <c r="F702" s="187"/>
      <c r="G702" s="187"/>
      <c r="H702" s="187"/>
      <c r="I702" s="187"/>
      <c r="J702" s="187"/>
      <c r="K702" s="189"/>
    </row>
    <row r="703" spans="2:11" ht="16" x14ac:dyDescent="0.2">
      <c r="B703" s="186"/>
      <c r="C703" s="190" t="s">
        <v>990</v>
      </c>
      <c r="D703" s="187"/>
      <c r="E703" s="187"/>
      <c r="F703" s="187"/>
      <c r="G703" s="187"/>
      <c r="H703" s="187"/>
      <c r="I703" s="187"/>
      <c r="J703" s="256" t="str">
        <f>IF(OR(J690="Not Calculated",$E$17="Not Calculated")=TRUE,"Not Calculated",(J690*$E$17*100/16))</f>
        <v>Not Calculated</v>
      </c>
      <c r="K703" s="189"/>
    </row>
    <row r="704" spans="2:11" x14ac:dyDescent="0.2">
      <c r="B704" s="186"/>
      <c r="C704" s="187"/>
      <c r="D704" s="187" t="s">
        <v>378</v>
      </c>
      <c r="E704" s="187"/>
      <c r="F704" s="187"/>
      <c r="G704" s="187"/>
      <c r="H704" s="187"/>
      <c r="I704" s="187"/>
      <c r="J704" s="187"/>
      <c r="K704" s="189"/>
    </row>
    <row r="705" spans="2:11" x14ac:dyDescent="0.2">
      <c r="B705" s="186"/>
      <c r="C705" s="187"/>
      <c r="D705" s="187"/>
      <c r="E705" s="187"/>
      <c r="F705" s="187"/>
      <c r="G705" s="187"/>
      <c r="H705" s="187"/>
      <c r="I705" s="187"/>
      <c r="J705" s="187"/>
      <c r="K705" s="189"/>
    </row>
    <row r="706" spans="2:11" ht="16" x14ac:dyDescent="0.2">
      <c r="B706" s="186"/>
      <c r="C706" s="190" t="s">
        <v>991</v>
      </c>
      <c r="D706" s="187"/>
      <c r="E706" s="187"/>
      <c r="F706" s="187"/>
      <c r="G706" s="187"/>
      <c r="H706" s="187"/>
      <c r="I706" s="187"/>
      <c r="J706" s="256" t="str">
        <f>IF(OR(J693="Not Calculated",$E$17="Not Calculated")=TRUE,"Not Calculated",(J693*$E$17*100/16))</f>
        <v>Not Calculated</v>
      </c>
      <c r="K706" s="189"/>
    </row>
    <row r="707" spans="2:11" x14ac:dyDescent="0.2">
      <c r="B707" s="186"/>
      <c r="C707" s="187"/>
      <c r="D707" s="187" t="s">
        <v>379</v>
      </c>
      <c r="E707" s="187"/>
      <c r="F707" s="187"/>
      <c r="G707" s="187"/>
      <c r="H707" s="187"/>
      <c r="I707" s="187"/>
      <c r="J707" s="187"/>
      <c r="K707" s="189"/>
    </row>
    <row r="708" spans="2:11" ht="16" thickBot="1" x14ac:dyDescent="0.25">
      <c r="B708" s="191"/>
      <c r="C708" s="192"/>
      <c r="D708" s="192"/>
      <c r="E708" s="192"/>
      <c r="F708" s="192"/>
      <c r="G708" s="192"/>
      <c r="H708" s="192"/>
      <c r="I708" s="192"/>
      <c r="J708" s="192"/>
      <c r="K708" s="193"/>
    </row>
    <row r="709" spans="2:11" ht="16" thickBot="1" x14ac:dyDescent="0.25"/>
    <row r="710" spans="2:11" x14ac:dyDescent="0.2">
      <c r="B710" s="53"/>
      <c r="C710" s="54"/>
      <c r="D710" s="54"/>
      <c r="E710" s="54"/>
      <c r="F710" s="54"/>
      <c r="G710" s="54"/>
      <c r="H710" s="54"/>
      <c r="I710" s="54"/>
      <c r="J710" s="54"/>
      <c r="K710" s="56"/>
    </row>
    <row r="711" spans="2:11" ht="21" x14ac:dyDescent="0.25">
      <c r="B711" s="57"/>
      <c r="C711" s="59"/>
      <c r="D711" s="59"/>
      <c r="E711" s="59"/>
      <c r="F711" s="59"/>
      <c r="G711" s="194" t="s">
        <v>232</v>
      </c>
      <c r="H711" s="59"/>
      <c r="I711" s="59"/>
      <c r="J711" s="59"/>
      <c r="K711" s="61"/>
    </row>
    <row r="712" spans="2:11" x14ac:dyDescent="0.2">
      <c r="B712" s="57"/>
      <c r="C712" s="59"/>
      <c r="D712" s="59"/>
      <c r="E712" s="59"/>
      <c r="F712" s="59"/>
      <c r="G712" s="59"/>
      <c r="H712" s="59"/>
      <c r="I712" s="59"/>
      <c r="J712" s="59"/>
      <c r="K712" s="61"/>
    </row>
    <row r="713" spans="2:11" ht="16" x14ac:dyDescent="0.2">
      <c r="B713" s="57"/>
      <c r="C713" s="195" t="s">
        <v>363</v>
      </c>
      <c r="D713" s="59"/>
      <c r="E713" s="59"/>
      <c r="F713" s="59"/>
      <c r="G713" s="59"/>
      <c r="H713" s="59"/>
      <c r="I713" s="59"/>
      <c r="J713" s="59"/>
      <c r="K713" s="61"/>
    </row>
    <row r="714" spans="2:11" ht="15" customHeight="1" x14ac:dyDescent="0.2">
      <c r="B714" s="57"/>
      <c r="C714" s="411" t="s">
        <v>364</v>
      </c>
      <c r="D714" s="411"/>
      <c r="E714" s="411"/>
      <c r="F714" s="411"/>
      <c r="G714" s="411"/>
      <c r="H714" s="411"/>
      <c r="I714" s="411"/>
      <c r="J714" s="411"/>
      <c r="K714" s="61"/>
    </row>
    <row r="715" spans="2:11" x14ac:dyDescent="0.2">
      <c r="B715" s="57"/>
      <c r="C715" s="411"/>
      <c r="D715" s="411"/>
      <c r="E715" s="411"/>
      <c r="F715" s="411"/>
      <c r="G715" s="411"/>
      <c r="H715" s="411"/>
      <c r="I715" s="411"/>
      <c r="J715" s="411"/>
      <c r="K715" s="61"/>
    </row>
    <row r="716" spans="2:11" x14ac:dyDescent="0.2">
      <c r="B716" s="57"/>
      <c r="C716" s="411"/>
      <c r="D716" s="411"/>
      <c r="E716" s="411"/>
      <c r="F716" s="411"/>
      <c r="G716" s="411"/>
      <c r="H716" s="411"/>
      <c r="I716" s="411"/>
      <c r="J716" s="411"/>
      <c r="K716" s="61"/>
    </row>
    <row r="717" spans="2:11" x14ac:dyDescent="0.2">
      <c r="B717" s="57"/>
      <c r="C717" s="196" t="s">
        <v>30</v>
      </c>
      <c r="D717" s="59"/>
      <c r="E717" s="59"/>
      <c r="F717" s="59"/>
      <c r="G717" s="408" t="s">
        <v>190</v>
      </c>
      <c r="H717" s="409"/>
      <c r="I717" s="59"/>
      <c r="J717" s="260">
        <f>IF(G717=$B$994,$A$994,IF(G717=$B$995,$A$995,"Not Calculated"))</f>
        <v>1</v>
      </c>
      <c r="K717" s="61"/>
    </row>
    <row r="718" spans="2:11" x14ac:dyDescent="0.2">
      <c r="B718" s="57"/>
      <c r="C718" s="196" t="s">
        <v>32</v>
      </c>
      <c r="D718" s="59"/>
      <c r="E718" s="59"/>
      <c r="F718" s="59"/>
      <c r="G718" s="408" t="s">
        <v>190</v>
      </c>
      <c r="H718" s="409"/>
      <c r="I718" s="59"/>
      <c r="J718" s="260">
        <f t="shared" ref="J718:J725" si="0">IF(G718=$B$994,$A$994,IF(G718=$B$995,$A$995,"Not Calculated"))</f>
        <v>1</v>
      </c>
      <c r="K718" s="61"/>
    </row>
    <row r="719" spans="2:11" x14ac:dyDescent="0.2">
      <c r="B719" s="57"/>
      <c r="C719" s="196" t="s">
        <v>34</v>
      </c>
      <c r="D719" s="59"/>
      <c r="E719" s="59"/>
      <c r="F719" s="59"/>
      <c r="G719" s="408" t="s">
        <v>202</v>
      </c>
      <c r="H719" s="409"/>
      <c r="I719" s="59"/>
      <c r="J719" s="260">
        <f t="shared" si="0"/>
        <v>0</v>
      </c>
      <c r="K719" s="61"/>
    </row>
    <row r="720" spans="2:11" x14ac:dyDescent="0.2">
      <c r="B720" s="57"/>
      <c r="C720" s="196" t="s">
        <v>35</v>
      </c>
      <c r="D720" s="59"/>
      <c r="E720" s="59"/>
      <c r="F720" s="59"/>
      <c r="G720" s="408" t="s">
        <v>190</v>
      </c>
      <c r="H720" s="409"/>
      <c r="I720" s="59"/>
      <c r="J720" s="260">
        <f t="shared" si="0"/>
        <v>1</v>
      </c>
      <c r="K720" s="61"/>
    </row>
    <row r="721" spans="2:11" x14ac:dyDescent="0.2">
      <c r="B721" s="57"/>
      <c r="C721" s="196" t="s">
        <v>37</v>
      </c>
      <c r="D721" s="59"/>
      <c r="E721" s="59"/>
      <c r="F721" s="59"/>
      <c r="G721" s="408" t="s">
        <v>190</v>
      </c>
      <c r="H721" s="409"/>
      <c r="I721" s="59"/>
      <c r="J721" s="260">
        <f t="shared" si="0"/>
        <v>1</v>
      </c>
      <c r="K721" s="61"/>
    </row>
    <row r="722" spans="2:11" x14ac:dyDescent="0.2">
      <c r="B722" s="57"/>
      <c r="C722" s="196" t="s">
        <v>38</v>
      </c>
      <c r="D722" s="59"/>
      <c r="E722" s="59"/>
      <c r="F722" s="59"/>
      <c r="G722" s="408" t="s">
        <v>190</v>
      </c>
      <c r="H722" s="409"/>
      <c r="I722" s="59"/>
      <c r="J722" s="260">
        <f t="shared" si="0"/>
        <v>1</v>
      </c>
      <c r="K722" s="61"/>
    </row>
    <row r="723" spans="2:11" x14ac:dyDescent="0.2">
      <c r="B723" s="57"/>
      <c r="C723" s="196" t="s">
        <v>40</v>
      </c>
      <c r="D723" s="59"/>
      <c r="E723" s="59"/>
      <c r="F723" s="59"/>
      <c r="G723" s="408" t="s">
        <v>202</v>
      </c>
      <c r="H723" s="409"/>
      <c r="I723" s="59"/>
      <c r="J723" s="260">
        <f t="shared" si="0"/>
        <v>0</v>
      </c>
      <c r="K723" s="61"/>
    </row>
    <row r="724" spans="2:11" x14ac:dyDescent="0.2">
      <c r="B724" s="57"/>
      <c r="C724" s="196" t="s">
        <v>41</v>
      </c>
      <c r="D724" s="59"/>
      <c r="E724" s="59"/>
      <c r="F724" s="59"/>
      <c r="G724" s="408" t="s">
        <v>190</v>
      </c>
      <c r="H724" s="409"/>
      <c r="I724" s="59"/>
      <c r="J724" s="260">
        <f t="shared" si="0"/>
        <v>1</v>
      </c>
      <c r="K724" s="61"/>
    </row>
    <row r="725" spans="2:11" x14ac:dyDescent="0.2">
      <c r="B725" s="57"/>
      <c r="C725" s="196" t="s">
        <v>43</v>
      </c>
      <c r="D725" s="59"/>
      <c r="E725" s="59"/>
      <c r="F725" s="59"/>
      <c r="G725" s="408" t="s">
        <v>202</v>
      </c>
      <c r="H725" s="409"/>
      <c r="I725" s="59"/>
      <c r="J725" s="260">
        <f t="shared" si="0"/>
        <v>0</v>
      </c>
      <c r="K725" s="61"/>
    </row>
    <row r="726" spans="2:11" x14ac:dyDescent="0.2">
      <c r="B726" s="57"/>
      <c r="C726" s="59"/>
      <c r="D726" s="59"/>
      <c r="E726" s="59"/>
      <c r="F726" s="59"/>
      <c r="G726" s="59"/>
      <c r="H726" s="59"/>
      <c r="I726" s="59"/>
      <c r="J726" s="59"/>
      <c r="K726" s="61"/>
    </row>
    <row r="727" spans="2:11" x14ac:dyDescent="0.2">
      <c r="B727" s="57"/>
      <c r="C727" s="59"/>
      <c r="D727" s="59"/>
      <c r="E727" s="59"/>
      <c r="F727" s="59"/>
      <c r="G727" s="59"/>
      <c r="H727" s="59"/>
      <c r="I727" s="59"/>
      <c r="J727" s="59"/>
      <c r="K727" s="61"/>
    </row>
    <row r="728" spans="2:11" ht="16" x14ac:dyDescent="0.2">
      <c r="B728" s="57"/>
      <c r="C728" s="195" t="s">
        <v>115</v>
      </c>
      <c r="D728" s="59"/>
      <c r="E728" s="59"/>
      <c r="F728" s="59"/>
      <c r="G728" s="59"/>
      <c r="H728" s="59"/>
      <c r="I728" s="59"/>
      <c r="J728" s="59"/>
      <c r="K728" s="61"/>
    </row>
    <row r="729" spans="2:11" ht="15" customHeight="1" x14ac:dyDescent="0.2">
      <c r="B729" s="57"/>
      <c r="C729" s="411" t="s">
        <v>365</v>
      </c>
      <c r="D729" s="411"/>
      <c r="E729" s="411"/>
      <c r="F729" s="411"/>
      <c r="G729" s="411"/>
      <c r="H729" s="411"/>
      <c r="I729" s="411"/>
      <c r="J729" s="411"/>
      <c r="K729" s="61"/>
    </row>
    <row r="730" spans="2:11" x14ac:dyDescent="0.2">
      <c r="B730" s="57"/>
      <c r="C730" s="411"/>
      <c r="D730" s="411"/>
      <c r="E730" s="411"/>
      <c r="F730" s="411"/>
      <c r="G730" s="411"/>
      <c r="H730" s="411"/>
      <c r="I730" s="411"/>
      <c r="J730" s="411"/>
      <c r="K730" s="61"/>
    </row>
    <row r="731" spans="2:11" x14ac:dyDescent="0.2">
      <c r="B731" s="57"/>
      <c r="C731" s="411"/>
      <c r="D731" s="411"/>
      <c r="E731" s="411"/>
      <c r="F731" s="411"/>
      <c r="G731" s="411"/>
      <c r="H731" s="411"/>
      <c r="I731" s="411"/>
      <c r="J731" s="411"/>
      <c r="K731" s="61"/>
    </row>
    <row r="732" spans="2:11" x14ac:dyDescent="0.2">
      <c r="B732" s="57"/>
      <c r="C732" s="196" t="s">
        <v>30</v>
      </c>
      <c r="D732" s="59"/>
      <c r="E732" s="59"/>
      <c r="F732" s="59"/>
      <c r="G732" s="408" t="s">
        <v>190</v>
      </c>
      <c r="H732" s="409"/>
      <c r="I732" s="59"/>
      <c r="J732" s="260">
        <f>IF(G732=$B$994,$A$994,IF(G732=$B$995,$A$995,"Not Calculated"))</f>
        <v>1</v>
      </c>
      <c r="K732" s="61"/>
    </row>
    <row r="733" spans="2:11" x14ac:dyDescent="0.2">
      <c r="B733" s="57"/>
      <c r="C733" s="196" t="s">
        <v>32</v>
      </c>
      <c r="D733" s="59"/>
      <c r="E733" s="59"/>
      <c r="F733" s="59"/>
      <c r="G733" s="408" t="s">
        <v>190</v>
      </c>
      <c r="H733" s="409"/>
      <c r="I733" s="59"/>
      <c r="J733" s="260">
        <f t="shared" ref="J733:J740" si="1">IF(G733=$B$994,$A$994,IF(G733=$B$995,$A$995,"Not Calculated"))</f>
        <v>1</v>
      </c>
      <c r="K733" s="61"/>
    </row>
    <row r="734" spans="2:11" ht="15" customHeight="1" x14ac:dyDescent="0.2">
      <c r="B734" s="57"/>
      <c r="C734" s="196" t="s">
        <v>34</v>
      </c>
      <c r="D734" s="59"/>
      <c r="E734" s="59"/>
      <c r="F734" s="59"/>
      <c r="G734" s="408" t="s">
        <v>190</v>
      </c>
      <c r="H734" s="409"/>
      <c r="I734" s="59"/>
      <c r="J734" s="260">
        <f t="shared" si="1"/>
        <v>1</v>
      </c>
      <c r="K734" s="61"/>
    </row>
    <row r="735" spans="2:11" x14ac:dyDescent="0.2">
      <c r="B735" s="57"/>
      <c r="C735" s="196" t="s">
        <v>35</v>
      </c>
      <c r="D735" s="59"/>
      <c r="E735" s="59"/>
      <c r="F735" s="59"/>
      <c r="G735" s="408" t="s">
        <v>190</v>
      </c>
      <c r="H735" s="409"/>
      <c r="I735" s="59"/>
      <c r="J735" s="260">
        <f t="shared" si="1"/>
        <v>1</v>
      </c>
      <c r="K735" s="61"/>
    </row>
    <row r="736" spans="2:11" x14ac:dyDescent="0.2">
      <c r="B736" s="57"/>
      <c r="C736" s="196" t="s">
        <v>37</v>
      </c>
      <c r="D736" s="59"/>
      <c r="E736" s="59"/>
      <c r="F736" s="59"/>
      <c r="G736" s="408" t="s">
        <v>190</v>
      </c>
      <c r="H736" s="409"/>
      <c r="I736" s="59"/>
      <c r="J736" s="260">
        <f t="shared" si="1"/>
        <v>1</v>
      </c>
      <c r="K736" s="61"/>
    </row>
    <row r="737" spans="2:11" x14ac:dyDescent="0.2">
      <c r="B737" s="57"/>
      <c r="C737" s="196" t="s">
        <v>38</v>
      </c>
      <c r="D737" s="59"/>
      <c r="E737" s="59"/>
      <c r="F737" s="59"/>
      <c r="G737" s="408" t="s">
        <v>202</v>
      </c>
      <c r="H737" s="409"/>
      <c r="I737" s="59"/>
      <c r="J737" s="260">
        <f t="shared" si="1"/>
        <v>0</v>
      </c>
      <c r="K737" s="61"/>
    </row>
    <row r="738" spans="2:11" x14ac:dyDescent="0.2">
      <c r="B738" s="57"/>
      <c r="C738" s="196" t="s">
        <v>40</v>
      </c>
      <c r="D738" s="59"/>
      <c r="E738" s="59"/>
      <c r="F738" s="59"/>
      <c r="G738" s="408" t="s">
        <v>190</v>
      </c>
      <c r="H738" s="409"/>
      <c r="I738" s="59"/>
      <c r="J738" s="260">
        <f t="shared" si="1"/>
        <v>1</v>
      </c>
      <c r="K738" s="61"/>
    </row>
    <row r="739" spans="2:11" x14ac:dyDescent="0.2">
      <c r="B739" s="57"/>
      <c r="C739" s="196" t="s">
        <v>41</v>
      </c>
      <c r="D739" s="59"/>
      <c r="E739" s="59"/>
      <c r="F739" s="59"/>
      <c r="G739" s="408" t="s">
        <v>190</v>
      </c>
      <c r="H739" s="409"/>
      <c r="I739" s="59"/>
      <c r="J739" s="260">
        <f t="shared" si="1"/>
        <v>1</v>
      </c>
      <c r="K739" s="61"/>
    </row>
    <row r="740" spans="2:11" x14ac:dyDescent="0.2">
      <c r="B740" s="57"/>
      <c r="C740" s="196" t="s">
        <v>43</v>
      </c>
      <c r="D740" s="59"/>
      <c r="E740" s="59"/>
      <c r="F740" s="59"/>
      <c r="G740" s="408" t="s">
        <v>190</v>
      </c>
      <c r="H740" s="409"/>
      <c r="I740" s="59"/>
      <c r="J740" s="260">
        <f t="shared" si="1"/>
        <v>1</v>
      </c>
      <c r="K740" s="61"/>
    </row>
    <row r="741" spans="2:11" x14ac:dyDescent="0.2">
      <c r="B741" s="57"/>
      <c r="C741" s="59"/>
      <c r="D741" s="59"/>
      <c r="E741" s="59"/>
      <c r="F741" s="59"/>
      <c r="G741" s="59"/>
      <c r="H741" s="59"/>
      <c r="I741" s="59"/>
      <c r="J741" s="59"/>
      <c r="K741" s="61"/>
    </row>
    <row r="742" spans="2:11" x14ac:dyDescent="0.2">
      <c r="B742" s="57"/>
      <c r="C742" s="59"/>
      <c r="D742" s="59"/>
      <c r="E742" s="59"/>
      <c r="F742" s="59"/>
      <c r="G742" s="59"/>
      <c r="H742" s="59"/>
      <c r="I742" s="59"/>
      <c r="J742" s="59"/>
      <c r="K742" s="61"/>
    </row>
    <row r="743" spans="2:11" ht="16" x14ac:dyDescent="0.2">
      <c r="B743" s="57"/>
      <c r="C743" s="195" t="s">
        <v>366</v>
      </c>
      <c r="D743" s="59"/>
      <c r="E743" s="59"/>
      <c r="F743" s="59"/>
      <c r="G743" s="59"/>
      <c r="H743" s="59"/>
      <c r="I743" s="59"/>
      <c r="J743" s="59"/>
      <c r="K743" s="61"/>
    </row>
    <row r="744" spans="2:11" ht="15" customHeight="1" x14ac:dyDescent="0.2">
      <c r="B744" s="57"/>
      <c r="C744" s="411" t="s">
        <v>367</v>
      </c>
      <c r="D744" s="411"/>
      <c r="E744" s="411"/>
      <c r="F744" s="411"/>
      <c r="G744" s="411"/>
      <c r="H744" s="411"/>
      <c r="I744" s="411"/>
      <c r="J744" s="411"/>
      <c r="K744" s="61"/>
    </row>
    <row r="745" spans="2:11" x14ac:dyDescent="0.2">
      <c r="B745" s="57"/>
      <c r="C745" s="411"/>
      <c r="D745" s="411"/>
      <c r="E745" s="411"/>
      <c r="F745" s="411"/>
      <c r="G745" s="411"/>
      <c r="H745" s="411"/>
      <c r="I745" s="411"/>
      <c r="J745" s="411"/>
      <c r="K745" s="61"/>
    </row>
    <row r="746" spans="2:11" x14ac:dyDescent="0.2">
      <c r="B746" s="57"/>
      <c r="C746" s="411"/>
      <c r="D746" s="411"/>
      <c r="E746" s="411"/>
      <c r="F746" s="411"/>
      <c r="G746" s="411"/>
      <c r="H746" s="411"/>
      <c r="I746" s="411"/>
      <c r="J746" s="411"/>
      <c r="K746" s="61"/>
    </row>
    <row r="747" spans="2:11" x14ac:dyDescent="0.2">
      <c r="B747" s="57"/>
      <c r="C747" s="196" t="s">
        <v>30</v>
      </c>
      <c r="D747" s="59"/>
      <c r="E747" s="59"/>
      <c r="F747" s="59"/>
      <c r="G747" s="408" t="s">
        <v>202</v>
      </c>
      <c r="H747" s="409"/>
      <c r="I747" s="59"/>
      <c r="J747" s="260">
        <f>IF(G747=$B$994,$A$994,IF(G747=$B$995,$A$995,"Not Calculated"))</f>
        <v>0</v>
      </c>
      <c r="K747" s="61"/>
    </row>
    <row r="748" spans="2:11" x14ac:dyDescent="0.2">
      <c r="B748" s="57"/>
      <c r="C748" s="196" t="s">
        <v>32</v>
      </c>
      <c r="D748" s="59"/>
      <c r="E748" s="59"/>
      <c r="F748" s="59"/>
      <c r="G748" s="408" t="s">
        <v>190</v>
      </c>
      <c r="H748" s="409"/>
      <c r="I748" s="59"/>
      <c r="J748" s="260">
        <f t="shared" ref="J748:J755" si="2">IF(G748=$B$994,$A$994,IF(G748=$B$995,$A$995,"Not Calculated"))</f>
        <v>1</v>
      </c>
      <c r="K748" s="61"/>
    </row>
    <row r="749" spans="2:11" ht="15" customHeight="1" x14ac:dyDescent="0.2">
      <c r="B749" s="57"/>
      <c r="C749" s="196" t="s">
        <v>34</v>
      </c>
      <c r="D749" s="59"/>
      <c r="E749" s="59"/>
      <c r="F749" s="59"/>
      <c r="G749" s="408" t="s">
        <v>190</v>
      </c>
      <c r="H749" s="409"/>
      <c r="I749" s="59"/>
      <c r="J749" s="260">
        <f t="shared" si="2"/>
        <v>1</v>
      </c>
      <c r="K749" s="61"/>
    </row>
    <row r="750" spans="2:11" x14ac:dyDescent="0.2">
      <c r="B750" s="57"/>
      <c r="C750" s="196" t="s">
        <v>35</v>
      </c>
      <c r="D750" s="59"/>
      <c r="E750" s="59"/>
      <c r="F750" s="59"/>
      <c r="G750" s="408" t="s">
        <v>190</v>
      </c>
      <c r="H750" s="409"/>
      <c r="I750" s="59"/>
      <c r="J750" s="260">
        <f t="shared" si="2"/>
        <v>1</v>
      </c>
      <c r="K750" s="61"/>
    </row>
    <row r="751" spans="2:11" x14ac:dyDescent="0.2">
      <c r="B751" s="57"/>
      <c r="C751" s="196" t="s">
        <v>37</v>
      </c>
      <c r="D751" s="59"/>
      <c r="E751" s="59"/>
      <c r="F751" s="59"/>
      <c r="G751" s="408" t="s">
        <v>202</v>
      </c>
      <c r="H751" s="409"/>
      <c r="I751" s="59"/>
      <c r="J751" s="260">
        <f t="shared" si="2"/>
        <v>0</v>
      </c>
      <c r="K751" s="61"/>
    </row>
    <row r="752" spans="2:11" x14ac:dyDescent="0.2">
      <c r="B752" s="57"/>
      <c r="C752" s="196" t="s">
        <v>38</v>
      </c>
      <c r="D752" s="59"/>
      <c r="E752" s="59"/>
      <c r="F752" s="59"/>
      <c r="G752" s="408" t="s">
        <v>190</v>
      </c>
      <c r="H752" s="409"/>
      <c r="I752" s="59"/>
      <c r="J752" s="260">
        <f t="shared" si="2"/>
        <v>1</v>
      </c>
      <c r="K752" s="61"/>
    </row>
    <row r="753" spans="2:11" x14ac:dyDescent="0.2">
      <c r="B753" s="57"/>
      <c r="C753" s="196" t="s">
        <v>40</v>
      </c>
      <c r="D753" s="59"/>
      <c r="E753" s="59"/>
      <c r="F753" s="59"/>
      <c r="G753" s="408" t="s">
        <v>190</v>
      </c>
      <c r="H753" s="409"/>
      <c r="I753" s="59"/>
      <c r="J753" s="260">
        <f t="shared" si="2"/>
        <v>1</v>
      </c>
      <c r="K753" s="61"/>
    </row>
    <row r="754" spans="2:11" x14ac:dyDescent="0.2">
      <c r="B754" s="57"/>
      <c r="C754" s="196" t="s">
        <v>41</v>
      </c>
      <c r="D754" s="59"/>
      <c r="E754" s="59"/>
      <c r="F754" s="59"/>
      <c r="G754" s="408" t="s">
        <v>190</v>
      </c>
      <c r="H754" s="409"/>
      <c r="I754" s="59"/>
      <c r="J754" s="260">
        <f t="shared" si="2"/>
        <v>1</v>
      </c>
      <c r="K754" s="61"/>
    </row>
    <row r="755" spans="2:11" x14ac:dyDescent="0.2">
      <c r="B755" s="57"/>
      <c r="C755" s="196" t="s">
        <v>43</v>
      </c>
      <c r="D755" s="59"/>
      <c r="E755" s="59"/>
      <c r="F755" s="59"/>
      <c r="G755" s="408" t="s">
        <v>190</v>
      </c>
      <c r="H755" s="409"/>
      <c r="I755" s="59"/>
      <c r="J755" s="260">
        <f t="shared" si="2"/>
        <v>1</v>
      </c>
      <c r="K755" s="61"/>
    </row>
    <row r="756" spans="2:11" x14ac:dyDescent="0.2">
      <c r="B756" s="57"/>
      <c r="C756" s="59"/>
      <c r="D756" s="59"/>
      <c r="E756" s="59"/>
      <c r="F756" s="59"/>
      <c r="G756" s="59"/>
      <c r="H756" s="59"/>
      <c r="I756" s="59"/>
      <c r="J756" s="59"/>
      <c r="K756" s="61"/>
    </row>
    <row r="757" spans="2:11" x14ac:dyDescent="0.2">
      <c r="B757" s="57"/>
      <c r="C757" s="59"/>
      <c r="D757" s="59"/>
      <c r="E757" s="59"/>
      <c r="F757" s="59"/>
      <c r="G757" s="59"/>
      <c r="H757" s="59"/>
      <c r="I757" s="59"/>
      <c r="J757" s="59"/>
      <c r="K757" s="61"/>
    </row>
    <row r="758" spans="2:11" ht="16" x14ac:dyDescent="0.2">
      <c r="B758" s="57"/>
      <c r="C758" s="195" t="s">
        <v>368</v>
      </c>
      <c r="D758" s="59"/>
      <c r="E758" s="59"/>
      <c r="F758" s="59"/>
      <c r="G758" s="59"/>
      <c r="H758" s="59"/>
      <c r="I758" s="59"/>
      <c r="J758" s="59"/>
      <c r="K758" s="61"/>
    </row>
    <row r="759" spans="2:11" ht="15" customHeight="1" x14ac:dyDescent="0.2">
      <c r="B759" s="57"/>
      <c r="C759" s="411" t="s">
        <v>369</v>
      </c>
      <c r="D759" s="411"/>
      <c r="E759" s="411"/>
      <c r="F759" s="411"/>
      <c r="G759" s="411"/>
      <c r="H759" s="411"/>
      <c r="I759" s="411"/>
      <c r="J759" s="411"/>
      <c r="K759" s="61"/>
    </row>
    <row r="760" spans="2:11" x14ac:dyDescent="0.2">
      <c r="B760" s="57"/>
      <c r="C760" s="411"/>
      <c r="D760" s="411"/>
      <c r="E760" s="411"/>
      <c r="F760" s="411"/>
      <c r="G760" s="411"/>
      <c r="H760" s="411"/>
      <c r="I760" s="411"/>
      <c r="J760" s="411"/>
      <c r="K760" s="61"/>
    </row>
    <row r="761" spans="2:11" x14ac:dyDescent="0.2">
      <c r="B761" s="57"/>
      <c r="C761" s="411"/>
      <c r="D761" s="411"/>
      <c r="E761" s="411"/>
      <c r="F761" s="411"/>
      <c r="G761" s="411"/>
      <c r="H761" s="411"/>
      <c r="I761" s="411"/>
      <c r="J761" s="411"/>
      <c r="K761" s="61"/>
    </row>
    <row r="762" spans="2:11" x14ac:dyDescent="0.2">
      <c r="B762" s="57"/>
      <c r="C762" s="196" t="s">
        <v>30</v>
      </c>
      <c r="D762" s="59"/>
      <c r="E762" s="59"/>
      <c r="F762" s="59"/>
      <c r="G762" s="408" t="s">
        <v>190</v>
      </c>
      <c r="H762" s="409"/>
      <c r="I762" s="59"/>
      <c r="J762" s="260">
        <f>IF(G762=$B$994,$A$994,IF(G762=$B$995,$A$995,"Not Calculated"))</f>
        <v>1</v>
      </c>
      <c r="K762" s="61"/>
    </row>
    <row r="763" spans="2:11" x14ac:dyDescent="0.2">
      <c r="B763" s="57"/>
      <c r="C763" s="196" t="s">
        <v>32</v>
      </c>
      <c r="D763" s="59"/>
      <c r="E763" s="59"/>
      <c r="F763" s="59"/>
      <c r="G763" s="408" t="s">
        <v>190</v>
      </c>
      <c r="H763" s="409"/>
      <c r="I763" s="59"/>
      <c r="J763" s="260">
        <f t="shared" ref="J763:J770" si="3">IF(G763=$B$994,$A$994,IF(G763=$B$995,$A$995,"Not Calculated"))</f>
        <v>1</v>
      </c>
      <c r="K763" s="61"/>
    </row>
    <row r="764" spans="2:11" ht="15" customHeight="1" x14ac:dyDescent="0.2">
      <c r="B764" s="57"/>
      <c r="C764" s="196" t="s">
        <v>34</v>
      </c>
      <c r="D764" s="59"/>
      <c r="E764" s="59"/>
      <c r="F764" s="59"/>
      <c r="G764" s="408" t="s">
        <v>190</v>
      </c>
      <c r="H764" s="409"/>
      <c r="I764" s="59"/>
      <c r="J764" s="260">
        <f t="shared" si="3"/>
        <v>1</v>
      </c>
      <c r="K764" s="61"/>
    </row>
    <row r="765" spans="2:11" x14ac:dyDescent="0.2">
      <c r="B765" s="57"/>
      <c r="C765" s="196" t="s">
        <v>35</v>
      </c>
      <c r="D765" s="59"/>
      <c r="E765" s="59"/>
      <c r="F765" s="59"/>
      <c r="G765" s="408" t="s">
        <v>190</v>
      </c>
      <c r="H765" s="409"/>
      <c r="I765" s="59"/>
      <c r="J765" s="260">
        <f t="shared" si="3"/>
        <v>1</v>
      </c>
      <c r="K765" s="61"/>
    </row>
    <row r="766" spans="2:11" x14ac:dyDescent="0.2">
      <c r="B766" s="57"/>
      <c r="C766" s="196" t="s">
        <v>37</v>
      </c>
      <c r="D766" s="59"/>
      <c r="E766" s="59"/>
      <c r="F766" s="59"/>
      <c r="G766" s="408" t="s">
        <v>190</v>
      </c>
      <c r="H766" s="409"/>
      <c r="I766" s="59"/>
      <c r="J766" s="260">
        <f t="shared" si="3"/>
        <v>1</v>
      </c>
      <c r="K766" s="61"/>
    </row>
    <row r="767" spans="2:11" x14ac:dyDescent="0.2">
      <c r="B767" s="57"/>
      <c r="C767" s="196" t="s">
        <v>38</v>
      </c>
      <c r="D767" s="59"/>
      <c r="E767" s="59"/>
      <c r="F767" s="59"/>
      <c r="G767" s="408" t="s">
        <v>190</v>
      </c>
      <c r="H767" s="409"/>
      <c r="I767" s="59"/>
      <c r="J767" s="260">
        <f t="shared" si="3"/>
        <v>1</v>
      </c>
      <c r="K767" s="61"/>
    </row>
    <row r="768" spans="2:11" x14ac:dyDescent="0.2">
      <c r="B768" s="57"/>
      <c r="C768" s="196" t="s">
        <v>40</v>
      </c>
      <c r="D768" s="59"/>
      <c r="E768" s="59"/>
      <c r="F768" s="59"/>
      <c r="G768" s="408" t="s">
        <v>190</v>
      </c>
      <c r="H768" s="409"/>
      <c r="I768" s="59"/>
      <c r="J768" s="260">
        <f t="shared" si="3"/>
        <v>1</v>
      </c>
      <c r="K768" s="61"/>
    </row>
    <row r="769" spans="2:11" x14ac:dyDescent="0.2">
      <c r="B769" s="57"/>
      <c r="C769" s="196" t="s">
        <v>41</v>
      </c>
      <c r="D769" s="59"/>
      <c r="E769" s="59"/>
      <c r="F769" s="59"/>
      <c r="G769" s="408" t="s">
        <v>190</v>
      </c>
      <c r="H769" s="409"/>
      <c r="I769" s="59"/>
      <c r="J769" s="260">
        <f t="shared" si="3"/>
        <v>1</v>
      </c>
      <c r="K769" s="61"/>
    </row>
    <row r="770" spans="2:11" x14ac:dyDescent="0.2">
      <c r="B770" s="57"/>
      <c r="C770" s="196" t="s">
        <v>43</v>
      </c>
      <c r="D770" s="59"/>
      <c r="E770" s="59"/>
      <c r="F770" s="59"/>
      <c r="G770" s="408" t="s">
        <v>190</v>
      </c>
      <c r="H770" s="409"/>
      <c r="I770" s="59"/>
      <c r="J770" s="260">
        <f t="shared" si="3"/>
        <v>1</v>
      </c>
      <c r="K770" s="61"/>
    </row>
    <row r="771" spans="2:11" x14ac:dyDescent="0.2">
      <c r="B771" s="57"/>
      <c r="C771" s="59"/>
      <c r="D771" s="59"/>
      <c r="E771" s="59"/>
      <c r="F771" s="59"/>
      <c r="G771" s="59"/>
      <c r="H771" s="59"/>
      <c r="I771" s="59"/>
      <c r="J771" s="59"/>
      <c r="K771" s="61"/>
    </row>
    <row r="772" spans="2:11" x14ac:dyDescent="0.2">
      <c r="B772" s="57"/>
      <c r="C772" s="59"/>
      <c r="D772" s="59"/>
      <c r="E772" s="59"/>
      <c r="F772" s="59"/>
      <c r="G772" s="59"/>
      <c r="H772" s="59"/>
      <c r="I772" s="59"/>
      <c r="J772" s="59"/>
      <c r="K772" s="61"/>
    </row>
    <row r="773" spans="2:11" ht="16" x14ac:dyDescent="0.2">
      <c r="B773" s="57"/>
      <c r="C773" s="197" t="s">
        <v>30</v>
      </c>
      <c r="D773" s="59"/>
      <c r="E773" s="59"/>
      <c r="F773" s="59"/>
      <c r="G773" s="59"/>
      <c r="H773" s="59"/>
      <c r="I773" s="59"/>
      <c r="J773" s="59"/>
      <c r="K773" s="61"/>
    </row>
    <row r="774" spans="2:11" x14ac:dyDescent="0.2">
      <c r="B774" s="57"/>
      <c r="C774" s="59"/>
      <c r="D774" s="59" t="s">
        <v>370</v>
      </c>
      <c r="E774" s="59"/>
      <c r="F774" s="59"/>
      <c r="G774" s="59"/>
      <c r="H774" s="59"/>
      <c r="I774" s="59"/>
      <c r="J774" s="60">
        <f>'Baseline At-Risk Pops'!H8</f>
        <v>0</v>
      </c>
      <c r="K774" s="61"/>
    </row>
    <row r="775" spans="2:11" x14ac:dyDescent="0.2">
      <c r="B775" s="57"/>
      <c r="C775" s="59"/>
      <c r="D775" s="59" t="s">
        <v>371</v>
      </c>
      <c r="E775" s="59"/>
      <c r="F775" s="59"/>
      <c r="G775" s="59"/>
      <c r="H775" s="59"/>
      <c r="I775" s="59"/>
      <c r="J775" s="60">
        <f>SUM(J717,J732,J747,J762)</f>
        <v>3</v>
      </c>
      <c r="K775" s="61"/>
    </row>
    <row r="776" spans="2:11" x14ac:dyDescent="0.2">
      <c r="B776" s="57"/>
      <c r="C776" s="59"/>
      <c r="D776" s="196" t="s">
        <v>372</v>
      </c>
      <c r="E776" s="59"/>
      <c r="F776" s="59"/>
      <c r="G776" s="59"/>
      <c r="H776" s="59"/>
      <c r="I776" s="59"/>
      <c r="J776" s="60">
        <f>AVERAGE(J774,J775)</f>
        <v>1.5</v>
      </c>
      <c r="K776" s="61"/>
    </row>
    <row r="777" spans="2:11" ht="16" x14ac:dyDescent="0.2">
      <c r="B777" s="57"/>
      <c r="C777" s="197" t="s">
        <v>32</v>
      </c>
      <c r="D777" s="59"/>
      <c r="E777" s="59"/>
      <c r="F777" s="59"/>
      <c r="G777" s="59"/>
      <c r="H777" s="59"/>
      <c r="I777" s="59"/>
      <c r="J777" s="60"/>
      <c r="K777" s="61"/>
    </row>
    <row r="778" spans="2:11" x14ac:dyDescent="0.2">
      <c r="B778" s="57"/>
      <c r="C778" s="59"/>
      <c r="D778" s="59" t="s">
        <v>370</v>
      </c>
      <c r="E778" s="59"/>
      <c r="F778" s="59"/>
      <c r="G778" s="59"/>
      <c r="H778" s="59"/>
      <c r="I778" s="59"/>
      <c r="J778" s="60">
        <f>'Baseline At-Risk Pops'!H14</f>
        <v>0</v>
      </c>
      <c r="K778" s="61"/>
    </row>
    <row r="779" spans="2:11" ht="15" customHeight="1" x14ac:dyDescent="0.2">
      <c r="B779" s="57"/>
      <c r="C779" s="59"/>
      <c r="D779" s="59" t="s">
        <v>371</v>
      </c>
      <c r="E779" s="59"/>
      <c r="F779" s="59"/>
      <c r="G779" s="59"/>
      <c r="H779" s="59"/>
      <c r="I779" s="59"/>
      <c r="J779" s="60">
        <f>SUM(J718,J733,J748,J763)</f>
        <v>4</v>
      </c>
      <c r="K779" s="61"/>
    </row>
    <row r="780" spans="2:11" x14ac:dyDescent="0.2">
      <c r="B780" s="57"/>
      <c r="C780" s="59"/>
      <c r="D780" s="196" t="s">
        <v>372</v>
      </c>
      <c r="E780" s="59"/>
      <c r="F780" s="59"/>
      <c r="G780" s="59"/>
      <c r="H780" s="59"/>
      <c r="I780" s="59"/>
      <c r="J780" s="60">
        <f>AVERAGE(J778,J779)</f>
        <v>2</v>
      </c>
      <c r="K780" s="61"/>
    </row>
    <row r="781" spans="2:11" ht="16" x14ac:dyDescent="0.2">
      <c r="B781" s="57"/>
      <c r="C781" s="197" t="s">
        <v>34</v>
      </c>
      <c r="D781" s="59"/>
      <c r="E781" s="59"/>
      <c r="F781" s="59"/>
      <c r="G781" s="59"/>
      <c r="H781" s="59"/>
      <c r="I781" s="59"/>
      <c r="J781" s="60"/>
      <c r="K781" s="61"/>
    </row>
    <row r="782" spans="2:11" ht="16" x14ac:dyDescent="0.2">
      <c r="B782" s="57"/>
      <c r="C782" s="197"/>
      <c r="D782" s="59" t="s">
        <v>370</v>
      </c>
      <c r="E782" s="59"/>
      <c r="F782" s="59"/>
      <c r="G782" s="59"/>
      <c r="H782" s="59"/>
      <c r="I782" s="59"/>
      <c r="J782" s="60">
        <f>'Baseline At-Risk Pops'!H21</f>
        <v>0</v>
      </c>
      <c r="K782" s="61"/>
    </row>
    <row r="783" spans="2:11" x14ac:dyDescent="0.2">
      <c r="B783" s="57"/>
      <c r="C783" s="59"/>
      <c r="D783" s="59" t="s">
        <v>371</v>
      </c>
      <c r="E783" s="59"/>
      <c r="F783" s="59"/>
      <c r="G783" s="59"/>
      <c r="H783" s="59"/>
      <c r="I783" s="59"/>
      <c r="J783" s="60">
        <f>SUM(J719,J734,J749,J764)</f>
        <v>3</v>
      </c>
      <c r="K783" s="61"/>
    </row>
    <row r="784" spans="2:11" x14ac:dyDescent="0.2">
      <c r="B784" s="57"/>
      <c r="C784" s="59"/>
      <c r="D784" s="196" t="s">
        <v>372</v>
      </c>
      <c r="E784" s="59"/>
      <c r="F784" s="59"/>
      <c r="G784" s="59"/>
      <c r="H784" s="59"/>
      <c r="I784" s="59"/>
      <c r="J784" s="60">
        <f>AVERAGE(J782,J783)</f>
        <v>1.5</v>
      </c>
      <c r="K784" s="61"/>
    </row>
    <row r="785" spans="2:11" ht="16" x14ac:dyDescent="0.2">
      <c r="B785" s="57"/>
      <c r="C785" s="197" t="s">
        <v>35</v>
      </c>
      <c r="D785" s="59"/>
      <c r="E785" s="59"/>
      <c r="F785" s="59"/>
      <c r="G785" s="59"/>
      <c r="H785" s="59"/>
      <c r="I785" s="59"/>
      <c r="J785" s="60"/>
      <c r="K785" s="61"/>
    </row>
    <row r="786" spans="2:11" x14ac:dyDescent="0.2">
      <c r="B786" s="57"/>
      <c r="C786" s="59"/>
      <c r="D786" s="59" t="s">
        <v>370</v>
      </c>
      <c r="E786" s="59"/>
      <c r="F786" s="59"/>
      <c r="G786" s="59"/>
      <c r="H786" s="59"/>
      <c r="I786" s="59"/>
      <c r="J786" s="60">
        <f>'Baseline At-Risk Pops'!H27</f>
        <v>0</v>
      </c>
      <c r="K786" s="61"/>
    </row>
    <row r="787" spans="2:11" x14ac:dyDescent="0.2">
      <c r="B787" s="57"/>
      <c r="C787" s="59"/>
      <c r="D787" s="59" t="s">
        <v>371</v>
      </c>
      <c r="E787" s="59"/>
      <c r="F787" s="59"/>
      <c r="G787" s="59"/>
      <c r="H787" s="59"/>
      <c r="I787" s="59"/>
      <c r="J787" s="60">
        <f>SUM(J720,J735,J750,J765)</f>
        <v>4</v>
      </c>
      <c r="K787" s="61"/>
    </row>
    <row r="788" spans="2:11" x14ac:dyDescent="0.2">
      <c r="B788" s="57"/>
      <c r="C788" s="59"/>
      <c r="D788" s="196" t="s">
        <v>372</v>
      </c>
      <c r="E788" s="59"/>
      <c r="F788" s="59"/>
      <c r="G788" s="59"/>
      <c r="H788" s="59"/>
      <c r="I788" s="59"/>
      <c r="J788" s="60">
        <f>AVERAGE(J786,J787)</f>
        <v>2</v>
      </c>
      <c r="K788" s="61"/>
    </row>
    <row r="789" spans="2:11" ht="16" x14ac:dyDescent="0.2">
      <c r="B789" s="57"/>
      <c r="C789" s="197" t="s">
        <v>37</v>
      </c>
      <c r="D789" s="59"/>
      <c r="E789" s="59"/>
      <c r="F789" s="59"/>
      <c r="G789" s="59"/>
      <c r="H789" s="59"/>
      <c r="I789" s="59"/>
      <c r="J789" s="60"/>
      <c r="K789" s="61"/>
    </row>
    <row r="790" spans="2:11" x14ac:dyDescent="0.2">
      <c r="B790" s="57"/>
      <c r="C790" s="59"/>
      <c r="D790" s="59" t="s">
        <v>370</v>
      </c>
      <c r="E790" s="59"/>
      <c r="F790" s="59"/>
      <c r="G790" s="59"/>
      <c r="H790" s="59"/>
      <c r="I790" s="59"/>
      <c r="J790" s="60">
        <f>'Baseline At-Risk Pops'!H34</f>
        <v>0</v>
      </c>
      <c r="K790" s="61"/>
    </row>
    <row r="791" spans="2:11" x14ac:dyDescent="0.2">
      <c r="B791" s="57"/>
      <c r="C791" s="59"/>
      <c r="D791" s="59" t="s">
        <v>371</v>
      </c>
      <c r="E791" s="59"/>
      <c r="F791" s="59"/>
      <c r="G791" s="59"/>
      <c r="H791" s="59"/>
      <c r="I791" s="59"/>
      <c r="J791" s="60">
        <f>SUM(J721,J736,J751,J766)</f>
        <v>3</v>
      </c>
      <c r="K791" s="61"/>
    </row>
    <row r="792" spans="2:11" x14ac:dyDescent="0.2">
      <c r="B792" s="57"/>
      <c r="C792" s="59"/>
      <c r="D792" s="196" t="s">
        <v>372</v>
      </c>
      <c r="E792" s="59"/>
      <c r="F792" s="59"/>
      <c r="G792" s="59"/>
      <c r="H792" s="59"/>
      <c r="I792" s="59"/>
      <c r="J792" s="60">
        <f>AVERAGE(J790,J791)</f>
        <v>1.5</v>
      </c>
      <c r="K792" s="61"/>
    </row>
    <row r="793" spans="2:11" ht="16" x14ac:dyDescent="0.2">
      <c r="B793" s="57"/>
      <c r="C793" s="197" t="s">
        <v>38</v>
      </c>
      <c r="D793" s="59"/>
      <c r="E793" s="59"/>
      <c r="F793" s="59"/>
      <c r="G793" s="59"/>
      <c r="H793" s="59"/>
      <c r="I793" s="59"/>
      <c r="J793" s="60"/>
      <c r="K793" s="61"/>
    </row>
    <row r="794" spans="2:11" x14ac:dyDescent="0.2">
      <c r="B794" s="57"/>
      <c r="C794" s="59"/>
      <c r="D794" s="59" t="s">
        <v>370</v>
      </c>
      <c r="E794" s="59"/>
      <c r="F794" s="59"/>
      <c r="G794" s="59"/>
      <c r="H794" s="59"/>
      <c r="I794" s="59"/>
      <c r="J794" s="60">
        <f>'Baseline At-Risk Pops'!H40</f>
        <v>0</v>
      </c>
      <c r="K794" s="61"/>
    </row>
    <row r="795" spans="2:11" x14ac:dyDescent="0.2">
      <c r="B795" s="57"/>
      <c r="C795" s="59"/>
      <c r="D795" s="59" t="s">
        <v>371</v>
      </c>
      <c r="E795" s="59"/>
      <c r="F795" s="59"/>
      <c r="G795" s="59"/>
      <c r="H795" s="59"/>
      <c r="I795" s="59"/>
      <c r="J795" s="60">
        <f>SUM(J722,J737,J752,J767)</f>
        <v>3</v>
      </c>
      <c r="K795" s="61"/>
    </row>
    <row r="796" spans="2:11" x14ac:dyDescent="0.2">
      <c r="B796" s="57"/>
      <c r="C796" s="59"/>
      <c r="D796" s="196" t="s">
        <v>372</v>
      </c>
      <c r="E796" s="59"/>
      <c r="F796" s="59"/>
      <c r="G796" s="59"/>
      <c r="H796" s="59"/>
      <c r="I796" s="59"/>
      <c r="J796" s="60">
        <f>AVERAGE(J794,J795)</f>
        <v>1.5</v>
      </c>
      <c r="K796" s="61"/>
    </row>
    <row r="797" spans="2:11" ht="16" x14ac:dyDescent="0.2">
      <c r="B797" s="57"/>
      <c r="C797" s="197" t="s">
        <v>40</v>
      </c>
      <c r="D797" s="59"/>
      <c r="E797" s="59"/>
      <c r="F797" s="59"/>
      <c r="G797" s="59"/>
      <c r="H797" s="59"/>
      <c r="I797" s="59"/>
      <c r="J797" s="60"/>
      <c r="K797" s="61"/>
    </row>
    <row r="798" spans="2:11" x14ac:dyDescent="0.2">
      <c r="B798" s="57"/>
      <c r="C798" s="59"/>
      <c r="D798" s="59" t="s">
        <v>370</v>
      </c>
      <c r="E798" s="59"/>
      <c r="F798" s="59"/>
      <c r="G798" s="59"/>
      <c r="H798" s="59"/>
      <c r="I798" s="59"/>
      <c r="J798" s="60">
        <f>'Baseline At-Risk Pops'!H46</f>
        <v>0</v>
      </c>
      <c r="K798" s="61"/>
    </row>
    <row r="799" spans="2:11" x14ac:dyDescent="0.2">
      <c r="B799" s="57"/>
      <c r="C799" s="59"/>
      <c r="D799" s="59" t="s">
        <v>371</v>
      </c>
      <c r="E799" s="59"/>
      <c r="F799" s="59"/>
      <c r="G799" s="59"/>
      <c r="H799" s="59"/>
      <c r="I799" s="59"/>
      <c r="J799" s="60">
        <f>SUM(J723,J738,J753,J768)</f>
        <v>3</v>
      </c>
      <c r="K799" s="61"/>
    </row>
    <row r="800" spans="2:11" x14ac:dyDescent="0.2">
      <c r="B800" s="57"/>
      <c r="C800" s="59"/>
      <c r="D800" s="196" t="s">
        <v>372</v>
      </c>
      <c r="E800" s="59"/>
      <c r="F800" s="59"/>
      <c r="G800" s="59"/>
      <c r="H800" s="59"/>
      <c r="I800" s="59"/>
      <c r="J800" s="60">
        <f>AVERAGE(J798,J799)</f>
        <v>1.5</v>
      </c>
      <c r="K800" s="61"/>
    </row>
    <row r="801" spans="2:11" ht="16" x14ac:dyDescent="0.2">
      <c r="B801" s="57"/>
      <c r="C801" s="197" t="s">
        <v>41</v>
      </c>
      <c r="D801" s="59"/>
      <c r="E801" s="59"/>
      <c r="F801" s="59"/>
      <c r="G801" s="59"/>
      <c r="H801" s="59"/>
      <c r="I801" s="59"/>
      <c r="J801" s="60"/>
      <c r="K801" s="61"/>
    </row>
    <row r="802" spans="2:11" ht="16" x14ac:dyDescent="0.2">
      <c r="B802" s="57"/>
      <c r="C802" s="197"/>
      <c r="D802" s="59" t="s">
        <v>370</v>
      </c>
      <c r="E802" s="59"/>
      <c r="F802" s="59"/>
      <c r="G802" s="59"/>
      <c r="H802" s="59"/>
      <c r="I802" s="59"/>
      <c r="J802" s="60">
        <f>'Baseline At-Risk Pops'!H52</f>
        <v>0</v>
      </c>
      <c r="K802" s="61"/>
    </row>
    <row r="803" spans="2:11" x14ac:dyDescent="0.2">
      <c r="B803" s="57"/>
      <c r="C803" s="59"/>
      <c r="D803" s="59" t="s">
        <v>371</v>
      </c>
      <c r="E803" s="59"/>
      <c r="F803" s="59"/>
      <c r="G803" s="59"/>
      <c r="H803" s="59"/>
      <c r="I803" s="59"/>
      <c r="J803" s="60">
        <f>SUM(J724,J739,J754,J769)</f>
        <v>4</v>
      </c>
      <c r="K803" s="61"/>
    </row>
    <row r="804" spans="2:11" x14ac:dyDescent="0.2">
      <c r="B804" s="57"/>
      <c r="C804" s="59"/>
      <c r="D804" s="196" t="s">
        <v>372</v>
      </c>
      <c r="E804" s="59"/>
      <c r="F804" s="59"/>
      <c r="G804" s="59"/>
      <c r="H804" s="59"/>
      <c r="I804" s="59"/>
      <c r="J804" s="60">
        <f>AVERAGE(J802,J803)</f>
        <v>2</v>
      </c>
      <c r="K804" s="61"/>
    </row>
    <row r="805" spans="2:11" ht="16" x14ac:dyDescent="0.2">
      <c r="B805" s="57"/>
      <c r="C805" s="197" t="s">
        <v>43</v>
      </c>
      <c r="D805" s="59"/>
      <c r="E805" s="59"/>
      <c r="F805" s="59"/>
      <c r="G805" s="59"/>
      <c r="H805" s="59"/>
      <c r="I805" s="59"/>
      <c r="J805" s="60"/>
      <c r="K805" s="61"/>
    </row>
    <row r="806" spans="2:11" x14ac:dyDescent="0.2">
      <c r="B806" s="57"/>
      <c r="C806" s="59"/>
      <c r="D806" s="59" t="s">
        <v>370</v>
      </c>
      <c r="E806" s="59"/>
      <c r="F806" s="59"/>
      <c r="G806" s="59"/>
      <c r="H806" s="59"/>
      <c r="I806" s="59"/>
      <c r="J806" s="60">
        <f>'Baseline At-Risk Pops'!H58</f>
        <v>0</v>
      </c>
      <c r="K806" s="61"/>
    </row>
    <row r="807" spans="2:11" x14ac:dyDescent="0.2">
      <c r="B807" s="57"/>
      <c r="C807" s="59"/>
      <c r="D807" s="59" t="s">
        <v>371</v>
      </c>
      <c r="E807" s="59"/>
      <c r="F807" s="59"/>
      <c r="G807" s="59"/>
      <c r="H807" s="59"/>
      <c r="I807" s="59"/>
      <c r="J807" s="60">
        <f>SUM(J725,J740,J755,J770)</f>
        <v>3</v>
      </c>
      <c r="K807" s="61"/>
    </row>
    <row r="808" spans="2:11" x14ac:dyDescent="0.2">
      <c r="B808" s="57"/>
      <c r="C808" s="59"/>
      <c r="D808" s="196" t="s">
        <v>372</v>
      </c>
      <c r="E808" s="59"/>
      <c r="F808" s="59"/>
      <c r="G808" s="59"/>
      <c r="H808" s="59"/>
      <c r="I808" s="59"/>
      <c r="J808" s="60">
        <f>AVERAGE(J806,J807)</f>
        <v>1.5</v>
      </c>
      <c r="K808" s="61"/>
    </row>
    <row r="809" spans="2:11" x14ac:dyDescent="0.2">
      <c r="B809" s="57"/>
      <c r="C809" s="59"/>
      <c r="D809" s="59"/>
      <c r="E809" s="59"/>
      <c r="F809" s="59"/>
      <c r="G809" s="59"/>
      <c r="H809" s="59"/>
      <c r="I809" s="59"/>
      <c r="J809" s="59"/>
      <c r="K809" s="61"/>
    </row>
    <row r="810" spans="2:11" x14ac:dyDescent="0.2">
      <c r="B810" s="57"/>
      <c r="C810" s="59"/>
      <c r="D810" s="59"/>
      <c r="E810" s="59"/>
      <c r="F810" s="59"/>
      <c r="G810" s="59"/>
      <c r="H810" s="59"/>
      <c r="I810" s="59"/>
      <c r="J810" s="59"/>
      <c r="K810" s="61"/>
    </row>
    <row r="811" spans="2:11" ht="16" x14ac:dyDescent="0.2">
      <c r="B811" s="57"/>
      <c r="C811" s="198" t="s">
        <v>373</v>
      </c>
      <c r="D811" s="59"/>
      <c r="E811" s="59"/>
      <c r="F811" s="59"/>
      <c r="G811" s="59"/>
      <c r="H811" s="59"/>
      <c r="I811" s="59"/>
      <c r="J811" s="261">
        <f>AVERAGE(J776,J780,J784,J788,J792,J796,J800,J804,J808)</f>
        <v>1.6666666666666667</v>
      </c>
      <c r="K811" s="61"/>
    </row>
    <row r="812" spans="2:11" ht="16" thickBot="1" x14ac:dyDescent="0.25">
      <c r="B812" s="73"/>
      <c r="C812" s="74"/>
      <c r="D812" s="74"/>
      <c r="E812" s="74"/>
      <c r="F812" s="74"/>
      <c r="G812" s="74"/>
      <c r="H812" s="74"/>
      <c r="I812" s="74"/>
      <c r="J812" s="74"/>
      <c r="K812" s="76"/>
    </row>
    <row r="813" spans="2:11" ht="16" thickBot="1" x14ac:dyDescent="0.25"/>
    <row r="814" spans="2:11" x14ac:dyDescent="0.2">
      <c r="B814" s="199"/>
      <c r="C814" s="200"/>
      <c r="D814" s="200"/>
      <c r="E814" s="200"/>
      <c r="F814" s="200"/>
      <c r="G814" s="200"/>
      <c r="H814" s="200"/>
      <c r="I814" s="200"/>
      <c r="J814" s="200"/>
      <c r="K814" s="201"/>
    </row>
    <row r="815" spans="2:11" ht="21" x14ac:dyDescent="0.25">
      <c r="B815" s="202"/>
      <c r="C815" s="203"/>
      <c r="D815" s="203"/>
      <c r="E815" s="203"/>
      <c r="F815" s="203"/>
      <c r="G815" s="204" t="s">
        <v>233</v>
      </c>
      <c r="H815" s="203"/>
      <c r="I815" s="203"/>
      <c r="J815" s="203"/>
      <c r="K815" s="205"/>
    </row>
    <row r="816" spans="2:11" x14ac:dyDescent="0.2">
      <c r="B816" s="202"/>
      <c r="C816" s="203"/>
      <c r="D816" s="203"/>
      <c r="E816" s="203"/>
      <c r="F816" s="203"/>
      <c r="G816" s="203"/>
      <c r="H816" s="203"/>
      <c r="I816" s="203"/>
      <c r="J816" s="203"/>
      <c r="K816" s="205"/>
    </row>
    <row r="817" spans="2:11" ht="16" x14ac:dyDescent="0.2">
      <c r="B817" s="202"/>
      <c r="C817" s="206" t="s">
        <v>992</v>
      </c>
      <c r="D817" s="203"/>
      <c r="E817" s="203"/>
      <c r="F817" s="203"/>
      <c r="G817" s="203"/>
      <c r="H817" s="203"/>
      <c r="I817" s="203"/>
      <c r="J817" s="262" t="str">
        <f>IF(J700="Not Calculated","Not Calculated",J700*(($J$811/4)+1))</f>
        <v>Not Calculated</v>
      </c>
      <c r="K817" s="205"/>
    </row>
    <row r="818" spans="2:11" x14ac:dyDescent="0.2">
      <c r="B818" s="202"/>
      <c r="C818" s="203"/>
      <c r="D818" s="203" t="s">
        <v>1119</v>
      </c>
      <c r="E818" s="203"/>
      <c r="F818" s="203"/>
      <c r="G818" s="203"/>
      <c r="H818" s="203"/>
      <c r="I818" s="203"/>
      <c r="J818" s="203"/>
      <c r="K818" s="205"/>
    </row>
    <row r="819" spans="2:11" x14ac:dyDescent="0.2">
      <c r="B819" s="202"/>
      <c r="C819" s="203"/>
      <c r="D819" s="203"/>
      <c r="E819" s="203"/>
      <c r="F819" s="203"/>
      <c r="G819" s="203"/>
      <c r="H819" s="203"/>
      <c r="I819" s="203"/>
      <c r="J819" s="203"/>
      <c r="K819" s="205"/>
    </row>
    <row r="820" spans="2:11" ht="16" x14ac:dyDescent="0.2">
      <c r="B820" s="202"/>
      <c r="C820" s="206" t="s">
        <v>993</v>
      </c>
      <c r="D820" s="203"/>
      <c r="E820" s="203"/>
      <c r="F820" s="203"/>
      <c r="G820" s="203"/>
      <c r="H820" s="203"/>
      <c r="I820" s="203"/>
      <c r="J820" s="262" t="str">
        <f>IF(J703="Not Calculated","Not Calculated",J703*(($J$811/4)+1))</f>
        <v>Not Calculated</v>
      </c>
      <c r="K820" s="205"/>
    </row>
    <row r="821" spans="2:11" x14ac:dyDescent="0.2">
      <c r="B821" s="202"/>
      <c r="C821" s="203"/>
      <c r="D821" s="203" t="s">
        <v>1120</v>
      </c>
      <c r="E821" s="203"/>
      <c r="F821" s="203"/>
      <c r="G821" s="203"/>
      <c r="H821" s="203"/>
      <c r="I821" s="203"/>
      <c r="J821" s="203"/>
      <c r="K821" s="205"/>
    </row>
    <row r="822" spans="2:11" x14ac:dyDescent="0.2">
      <c r="B822" s="202"/>
      <c r="C822" s="203"/>
      <c r="D822" s="203"/>
      <c r="E822" s="203"/>
      <c r="F822" s="203"/>
      <c r="G822" s="203"/>
      <c r="H822" s="203"/>
      <c r="I822" s="203"/>
      <c r="J822" s="203"/>
      <c r="K822" s="205"/>
    </row>
    <row r="823" spans="2:11" ht="16" x14ac:dyDescent="0.2">
      <c r="B823" s="202"/>
      <c r="C823" s="206" t="s">
        <v>994</v>
      </c>
      <c r="D823" s="203"/>
      <c r="E823" s="203"/>
      <c r="F823" s="203"/>
      <c r="G823" s="203"/>
      <c r="H823" s="203"/>
      <c r="I823" s="203"/>
      <c r="J823" s="262" t="str">
        <f>IF(J706="Not Calculated","Not Calculated",J706*(($J$811/4)+1))</f>
        <v>Not Calculated</v>
      </c>
      <c r="K823" s="205"/>
    </row>
    <row r="824" spans="2:11" x14ac:dyDescent="0.2">
      <c r="B824" s="202"/>
      <c r="C824" s="203"/>
      <c r="D824" s="203" t="s">
        <v>1121</v>
      </c>
      <c r="E824" s="203"/>
      <c r="F824" s="203"/>
      <c r="G824" s="203"/>
      <c r="H824" s="203"/>
      <c r="I824" s="203"/>
      <c r="J824" s="203"/>
      <c r="K824" s="205"/>
    </row>
    <row r="825" spans="2:11" ht="16" thickBot="1" x14ac:dyDescent="0.25">
      <c r="B825" s="207"/>
      <c r="C825" s="208"/>
      <c r="D825" s="208"/>
      <c r="E825" s="208"/>
      <c r="F825" s="208"/>
      <c r="G825" s="208"/>
      <c r="H825" s="208"/>
      <c r="I825" s="208"/>
      <c r="J825" s="208"/>
      <c r="K825" s="209"/>
    </row>
    <row r="826" spans="2:11" ht="16" thickBot="1" x14ac:dyDescent="0.25"/>
    <row r="827" spans="2:11" x14ac:dyDescent="0.2">
      <c r="B827" s="77"/>
      <c r="C827" s="78"/>
      <c r="D827" s="78"/>
      <c r="E827" s="78"/>
      <c r="F827" s="78"/>
      <c r="G827" s="78"/>
      <c r="H827" s="78"/>
      <c r="I827" s="78"/>
      <c r="J827" s="78"/>
      <c r="K827" s="80"/>
    </row>
    <row r="828" spans="2:11" ht="21" x14ac:dyDescent="0.25">
      <c r="B828" s="81"/>
      <c r="C828" s="85"/>
      <c r="D828" s="85"/>
      <c r="E828" s="85"/>
      <c r="F828" s="85"/>
      <c r="G828" s="210" t="s">
        <v>806</v>
      </c>
      <c r="H828" s="85"/>
      <c r="I828" s="85"/>
      <c r="J828" s="85"/>
      <c r="K828" s="87"/>
    </row>
    <row r="829" spans="2:11" x14ac:dyDescent="0.2">
      <c r="B829" s="81"/>
      <c r="C829" s="85"/>
      <c r="D829" s="85"/>
      <c r="E829" s="85"/>
      <c r="F829" s="85"/>
      <c r="G829" s="85"/>
      <c r="H829" s="85"/>
      <c r="I829" s="85"/>
      <c r="J829" s="85"/>
      <c r="K829" s="87"/>
    </row>
    <row r="830" spans="2:11" ht="15" customHeight="1" x14ac:dyDescent="0.2">
      <c r="B830" s="81"/>
      <c r="C830" s="424" t="s">
        <v>808</v>
      </c>
      <c r="D830" s="424"/>
      <c r="E830" s="424"/>
      <c r="F830" s="424"/>
      <c r="G830" s="424"/>
      <c r="H830" s="424"/>
      <c r="I830" s="424"/>
      <c r="J830" s="424"/>
      <c r="K830" s="87"/>
    </row>
    <row r="831" spans="2:11" x14ac:dyDescent="0.2">
      <c r="B831" s="81"/>
      <c r="C831" s="424"/>
      <c r="D831" s="424"/>
      <c r="E831" s="424"/>
      <c r="F831" s="424"/>
      <c r="G831" s="424"/>
      <c r="H831" s="424"/>
      <c r="I831" s="424"/>
      <c r="J831" s="424"/>
      <c r="K831" s="87"/>
    </row>
    <row r="832" spans="2:11" x14ac:dyDescent="0.2">
      <c r="B832" s="81"/>
      <c r="C832" s="85"/>
      <c r="D832" s="85"/>
      <c r="E832" s="85"/>
      <c r="F832" s="85"/>
      <c r="G832" s="85"/>
      <c r="H832" s="85"/>
      <c r="I832" s="85"/>
      <c r="J832" s="85"/>
      <c r="K832" s="87"/>
    </row>
    <row r="833" spans="2:11" ht="16" x14ac:dyDescent="0.2">
      <c r="B833" s="81"/>
      <c r="C833" s="211" t="s">
        <v>654</v>
      </c>
      <c r="D833" s="85"/>
      <c r="E833" s="85"/>
      <c r="F833" s="85"/>
      <c r="G833" s="85"/>
      <c r="H833" s="85"/>
      <c r="I833" s="85"/>
      <c r="J833" s="85"/>
      <c r="K833" s="87"/>
    </row>
    <row r="834" spans="2:11" x14ac:dyDescent="0.2">
      <c r="B834" s="81"/>
      <c r="C834" s="85" t="s">
        <v>380</v>
      </c>
      <c r="D834" s="85"/>
      <c r="E834" s="85"/>
      <c r="F834" s="85"/>
      <c r="G834" s="406" t="s">
        <v>234</v>
      </c>
      <c r="H834" s="407"/>
      <c r="I834" s="85"/>
      <c r="J834" s="83">
        <f>IF(G834=$B$998,$A$998,IF(G834=$B$999,$A$999,IF(G834=$B$1000,$A$1000,IF(G834=$B$1001,$A$1001,IF(G834=$B$1002,$A$1002,"Not Calculated")))))</f>
        <v>4</v>
      </c>
      <c r="K834" s="87"/>
    </row>
    <row r="835" spans="2:11" x14ac:dyDescent="0.2">
      <c r="B835" s="81"/>
      <c r="C835" s="85" t="s">
        <v>134</v>
      </c>
      <c r="D835" s="85"/>
      <c r="E835" s="85"/>
      <c r="F835" s="85"/>
      <c r="G835" s="85"/>
      <c r="H835" s="85"/>
      <c r="I835" s="85"/>
      <c r="J835" s="240">
        <f>'Baseline PHP'!J16</f>
        <v>0</v>
      </c>
      <c r="K835" s="87"/>
    </row>
    <row r="836" spans="2:11" x14ac:dyDescent="0.2">
      <c r="B836" s="81"/>
      <c r="C836" s="85"/>
      <c r="D836" s="85"/>
      <c r="E836" s="85"/>
      <c r="F836" s="85"/>
      <c r="G836" s="85"/>
      <c r="H836" s="85"/>
      <c r="I836" s="85"/>
      <c r="J836" s="85"/>
      <c r="K836" s="87"/>
    </row>
    <row r="837" spans="2:11" ht="16" x14ac:dyDescent="0.2">
      <c r="B837" s="81"/>
      <c r="C837" s="211" t="s">
        <v>655</v>
      </c>
      <c r="D837" s="85"/>
      <c r="E837" s="85"/>
      <c r="F837" s="85"/>
      <c r="G837" s="85"/>
      <c r="H837" s="85"/>
      <c r="I837" s="85"/>
      <c r="J837" s="85"/>
      <c r="K837" s="87"/>
    </row>
    <row r="838" spans="2:11" x14ac:dyDescent="0.2">
      <c r="B838" s="81"/>
      <c r="C838" s="85" t="s">
        <v>380</v>
      </c>
      <c r="D838" s="85"/>
      <c r="E838" s="85"/>
      <c r="F838" s="85"/>
      <c r="G838" s="406" t="s">
        <v>234</v>
      </c>
      <c r="H838" s="407"/>
      <c r="I838" s="85"/>
      <c r="J838" s="83">
        <f>IF(G838=$B$998,$A$998,IF(G838=$B$999,$A$999,IF(G838=$B$1000,$A$1000,IF(G838=$B$1001,$A$1001,IF(G838=$B$1002,$A$1002,"Not Calculated")))))</f>
        <v>4</v>
      </c>
      <c r="K838" s="87"/>
    </row>
    <row r="839" spans="2:11" x14ac:dyDescent="0.2">
      <c r="B839" s="81"/>
      <c r="C839" s="85" t="s">
        <v>134</v>
      </c>
      <c r="D839" s="85"/>
      <c r="E839" s="85"/>
      <c r="F839" s="85"/>
      <c r="G839" s="85"/>
      <c r="H839" s="85"/>
      <c r="I839" s="85"/>
      <c r="J839" s="240">
        <f>'Baseline PHP'!J28</f>
        <v>0</v>
      </c>
      <c r="K839" s="87"/>
    </row>
    <row r="840" spans="2:11" x14ac:dyDescent="0.2">
      <c r="B840" s="81"/>
      <c r="C840" s="85"/>
      <c r="D840" s="85"/>
      <c r="E840" s="85"/>
      <c r="F840" s="85"/>
      <c r="G840" s="85"/>
      <c r="H840" s="85"/>
      <c r="I840" s="85"/>
      <c r="J840" s="85"/>
      <c r="K840" s="87"/>
    </row>
    <row r="841" spans="2:11" ht="16" x14ac:dyDescent="0.2">
      <c r="B841" s="81"/>
      <c r="C841" s="211" t="s">
        <v>645</v>
      </c>
      <c r="D841" s="85"/>
      <c r="E841" s="85"/>
      <c r="F841" s="85"/>
      <c r="G841" s="85"/>
      <c r="H841" s="85"/>
      <c r="I841" s="85"/>
      <c r="J841" s="85"/>
      <c r="K841" s="87"/>
    </row>
    <row r="842" spans="2:11" x14ac:dyDescent="0.2">
      <c r="B842" s="81"/>
      <c r="C842" s="85" t="s">
        <v>380</v>
      </c>
      <c r="D842" s="85"/>
      <c r="E842" s="85"/>
      <c r="F842" s="85"/>
      <c r="G842" s="406" t="s">
        <v>234</v>
      </c>
      <c r="H842" s="407"/>
      <c r="I842" s="85"/>
      <c r="J842" s="83">
        <f>IF(G842=$B$998,$A$998,IF(G842=$B$999,$A$999,IF(G842=$B$1000,$A$1000,IF(G842=$B$1001,$A$1001,IF(G842=$B$1002,$A$1002,"Not Calculated")))))</f>
        <v>4</v>
      </c>
      <c r="K842" s="87"/>
    </row>
    <row r="843" spans="2:11" x14ac:dyDescent="0.2">
      <c r="B843" s="81"/>
      <c r="C843" s="85" t="s">
        <v>134</v>
      </c>
      <c r="D843" s="85"/>
      <c r="E843" s="85"/>
      <c r="F843" s="85"/>
      <c r="G843" s="85"/>
      <c r="H843" s="85"/>
      <c r="I843" s="85"/>
      <c r="J843" s="240">
        <f>'Baseline PHP'!J44</f>
        <v>0</v>
      </c>
      <c r="K843" s="87"/>
    </row>
    <row r="844" spans="2:11" x14ac:dyDescent="0.2">
      <c r="B844" s="81"/>
      <c r="C844" s="85"/>
      <c r="D844" s="85"/>
      <c r="E844" s="85"/>
      <c r="F844" s="85"/>
      <c r="G844" s="85"/>
      <c r="H844" s="85"/>
      <c r="I844" s="85"/>
      <c r="J844" s="85"/>
      <c r="K844" s="87"/>
    </row>
    <row r="845" spans="2:11" ht="16" x14ac:dyDescent="0.2">
      <c r="B845" s="81"/>
      <c r="C845" s="211" t="s">
        <v>646</v>
      </c>
      <c r="D845" s="85"/>
      <c r="E845" s="85"/>
      <c r="F845" s="85"/>
      <c r="G845" s="85"/>
      <c r="H845" s="85"/>
      <c r="I845" s="85"/>
      <c r="J845" s="85"/>
      <c r="K845" s="87"/>
    </row>
    <row r="846" spans="2:11" x14ac:dyDescent="0.2">
      <c r="B846" s="81"/>
      <c r="C846" s="85" t="s">
        <v>380</v>
      </c>
      <c r="D846" s="85"/>
      <c r="E846" s="85"/>
      <c r="F846" s="85"/>
      <c r="G846" s="406" t="s">
        <v>234</v>
      </c>
      <c r="H846" s="407"/>
      <c r="I846" s="85"/>
      <c r="J846" s="83">
        <f>IF(G846=$B$998,$A$998,IF(G846=$B$999,$A$999,IF(G846=$B$1000,$A$1000,IF(G846=$B$1001,$A$1001,IF(G846=$B$1002,$A$1002,"Not Calculated")))))</f>
        <v>4</v>
      </c>
      <c r="K846" s="87"/>
    </row>
    <row r="847" spans="2:11" x14ac:dyDescent="0.2">
      <c r="B847" s="81"/>
      <c r="C847" s="85" t="s">
        <v>134</v>
      </c>
      <c r="D847" s="85"/>
      <c r="E847" s="85"/>
      <c r="F847" s="85"/>
      <c r="G847" s="85"/>
      <c r="H847" s="85"/>
      <c r="I847" s="85"/>
      <c r="J847" s="240">
        <f>'Baseline PHP'!J60</f>
        <v>0</v>
      </c>
      <c r="K847" s="87"/>
    </row>
    <row r="848" spans="2:11" x14ac:dyDescent="0.2">
      <c r="B848" s="81"/>
      <c r="C848" s="85"/>
      <c r="D848" s="85"/>
      <c r="E848" s="85"/>
      <c r="F848" s="85"/>
      <c r="G848" s="85"/>
      <c r="H848" s="85"/>
      <c r="I848" s="85"/>
      <c r="J848" s="85"/>
      <c r="K848" s="87"/>
    </row>
    <row r="849" spans="2:11" ht="16" x14ac:dyDescent="0.2">
      <c r="B849" s="81"/>
      <c r="C849" s="211" t="s">
        <v>648</v>
      </c>
      <c r="D849" s="85"/>
      <c r="E849" s="85"/>
      <c r="F849" s="85"/>
      <c r="G849" s="85"/>
      <c r="H849" s="85"/>
      <c r="I849" s="85"/>
      <c r="J849" s="85"/>
      <c r="K849" s="87"/>
    </row>
    <row r="850" spans="2:11" ht="15" customHeight="1" x14ac:dyDescent="0.2">
      <c r="B850" s="81"/>
      <c r="C850" s="85" t="s">
        <v>380</v>
      </c>
      <c r="D850" s="85"/>
      <c r="E850" s="85"/>
      <c r="F850" s="85"/>
      <c r="G850" s="406" t="s">
        <v>234</v>
      </c>
      <c r="H850" s="407"/>
      <c r="I850" s="85"/>
      <c r="J850" s="83">
        <f>IF(G850=$B$998,$A$998,IF(G850=$B$999,$A$999,IF(G850=$B$1000,$A$1000,IF(G850=$B$1001,$A$1001,IF(G850=$B$1002,$A$1002,"Not Calculated")))))</f>
        <v>4</v>
      </c>
      <c r="K850" s="87"/>
    </row>
    <row r="851" spans="2:11" x14ac:dyDescent="0.2">
      <c r="B851" s="81"/>
      <c r="C851" s="85" t="s">
        <v>134</v>
      </c>
      <c r="D851" s="85"/>
      <c r="E851" s="85"/>
      <c r="F851" s="85"/>
      <c r="G851" s="85"/>
      <c r="H851" s="85"/>
      <c r="I851" s="85"/>
      <c r="J851" s="240">
        <f>'Baseline PHP'!J76</f>
        <v>0</v>
      </c>
      <c r="K851" s="87"/>
    </row>
    <row r="852" spans="2:11" x14ac:dyDescent="0.2">
      <c r="B852" s="81"/>
      <c r="C852" s="85"/>
      <c r="D852" s="85"/>
      <c r="E852" s="85"/>
      <c r="F852" s="85"/>
      <c r="G852" s="85"/>
      <c r="H852" s="85"/>
      <c r="I852" s="85"/>
      <c r="J852" s="85"/>
      <c r="K852" s="87"/>
    </row>
    <row r="853" spans="2:11" ht="16" x14ac:dyDescent="0.2">
      <c r="B853" s="81"/>
      <c r="C853" s="211" t="s">
        <v>647</v>
      </c>
      <c r="D853" s="85"/>
      <c r="E853" s="85"/>
      <c r="F853" s="85"/>
      <c r="G853" s="85"/>
      <c r="H853" s="85"/>
      <c r="I853" s="85"/>
      <c r="J853" s="85"/>
      <c r="K853" s="87"/>
    </row>
    <row r="854" spans="2:11" x14ac:dyDescent="0.2">
      <c r="B854" s="81"/>
      <c r="C854" s="85" t="s">
        <v>380</v>
      </c>
      <c r="D854" s="85"/>
      <c r="E854" s="85"/>
      <c r="F854" s="85"/>
      <c r="G854" s="406" t="s">
        <v>234</v>
      </c>
      <c r="H854" s="407"/>
      <c r="I854" s="85"/>
      <c r="J854" s="83">
        <f>IF(G854=$B$998,$A$998,IF(G854=$B$999,$A$999,IF(G854=$B$1000,$A$1000,IF(G854=$B$1001,$A$1001,IF(G854=$B$1002,$A$1002,"Not Calculated")))))</f>
        <v>4</v>
      </c>
      <c r="K854" s="87"/>
    </row>
    <row r="855" spans="2:11" x14ac:dyDescent="0.2">
      <c r="B855" s="81"/>
      <c r="C855" s="85" t="s">
        <v>134</v>
      </c>
      <c r="D855" s="85"/>
      <c r="E855" s="85"/>
      <c r="F855" s="85"/>
      <c r="G855" s="85"/>
      <c r="H855" s="85"/>
      <c r="I855" s="85"/>
      <c r="J855" s="240">
        <f>'Baseline PHP'!J88</f>
        <v>0</v>
      </c>
      <c r="K855" s="87"/>
    </row>
    <row r="856" spans="2:11" x14ac:dyDescent="0.2">
      <c r="B856" s="81"/>
      <c r="C856" s="85"/>
      <c r="D856" s="85"/>
      <c r="E856" s="85"/>
      <c r="F856" s="85"/>
      <c r="G856" s="85"/>
      <c r="H856" s="85"/>
      <c r="I856" s="85"/>
      <c r="J856" s="85"/>
      <c r="K856" s="87"/>
    </row>
    <row r="857" spans="2:11" ht="16" x14ac:dyDescent="0.2">
      <c r="B857" s="81"/>
      <c r="C857" s="211" t="s">
        <v>115</v>
      </c>
      <c r="D857" s="85"/>
      <c r="E857" s="85"/>
      <c r="F857" s="85"/>
      <c r="G857" s="85"/>
      <c r="H857" s="85"/>
      <c r="I857" s="85"/>
      <c r="J857" s="85"/>
      <c r="K857" s="87"/>
    </row>
    <row r="858" spans="2:11" x14ac:dyDescent="0.2">
      <c r="B858" s="81"/>
      <c r="C858" s="85" t="s">
        <v>380</v>
      </c>
      <c r="D858" s="85"/>
      <c r="E858" s="85"/>
      <c r="F858" s="85"/>
      <c r="G858" s="406" t="s">
        <v>238</v>
      </c>
      <c r="H858" s="407"/>
      <c r="I858" s="85"/>
      <c r="J858" s="83">
        <f>IF(G858=$B$998,$A$998,IF(G858=$B$999,$A$999,IF(G858=$B$1000,$A$1000,IF(G858=$B$1001,$A$1001,IF(G858=$B$1002,$A$1002,"Not Calculated")))))</f>
        <v>3</v>
      </c>
      <c r="K858" s="87"/>
    </row>
    <row r="859" spans="2:11" x14ac:dyDescent="0.2">
      <c r="B859" s="81"/>
      <c r="C859" s="85" t="s">
        <v>134</v>
      </c>
      <c r="D859" s="85"/>
      <c r="E859" s="85"/>
      <c r="F859" s="85"/>
      <c r="G859" s="85"/>
      <c r="H859" s="85"/>
      <c r="I859" s="85"/>
      <c r="J859" s="240">
        <f>'Baseline PHP'!J102</f>
        <v>0</v>
      </c>
      <c r="K859" s="87"/>
    </row>
    <row r="860" spans="2:11" x14ac:dyDescent="0.2">
      <c r="B860" s="81"/>
      <c r="C860" s="85"/>
      <c r="D860" s="85"/>
      <c r="E860" s="85"/>
      <c r="F860" s="85"/>
      <c r="G860" s="85"/>
      <c r="H860" s="85"/>
      <c r="I860" s="85"/>
      <c r="J860" s="85"/>
      <c r="K860" s="87"/>
    </row>
    <row r="861" spans="2:11" ht="16" x14ac:dyDescent="0.2">
      <c r="B861" s="81"/>
      <c r="C861" s="211" t="s">
        <v>649</v>
      </c>
      <c r="D861" s="85"/>
      <c r="E861" s="85"/>
      <c r="F861" s="85"/>
      <c r="G861" s="85"/>
      <c r="H861" s="85"/>
      <c r="I861" s="85"/>
      <c r="J861" s="85"/>
      <c r="K861" s="87"/>
    </row>
    <row r="862" spans="2:11" x14ac:dyDescent="0.2">
      <c r="B862" s="81"/>
      <c r="C862" s="85" t="s">
        <v>380</v>
      </c>
      <c r="D862" s="85"/>
      <c r="E862" s="85"/>
      <c r="F862" s="85"/>
      <c r="G862" s="406" t="s">
        <v>234</v>
      </c>
      <c r="H862" s="407"/>
      <c r="I862" s="85"/>
      <c r="J862" s="83">
        <f>IF(G862=$B$998,$A$998,IF(G862=$B$999,$A$999,IF(G862=$B$1000,$A$1000,IF(G862=$B$1001,$A$1001,IF(G862=$B$1002,$A$1002,"Not Calculated")))))</f>
        <v>4</v>
      </c>
      <c r="K862" s="87"/>
    </row>
    <row r="863" spans="2:11" x14ac:dyDescent="0.2">
      <c r="B863" s="81"/>
      <c r="C863" s="85" t="s">
        <v>134</v>
      </c>
      <c r="D863" s="85"/>
      <c r="E863" s="85"/>
      <c r="F863" s="85"/>
      <c r="G863" s="85"/>
      <c r="H863" s="85"/>
      <c r="I863" s="85"/>
      <c r="J863" s="240">
        <f>'Baseline PHP'!J118</f>
        <v>0</v>
      </c>
      <c r="K863" s="87"/>
    </row>
    <row r="864" spans="2:11" x14ac:dyDescent="0.2">
      <c r="B864" s="81"/>
      <c r="C864" s="85"/>
      <c r="D864" s="85"/>
      <c r="E864" s="85"/>
      <c r="F864" s="85"/>
      <c r="G864" s="85"/>
      <c r="H864" s="85"/>
      <c r="I864" s="85"/>
      <c r="J864" s="85"/>
      <c r="K864" s="87"/>
    </row>
    <row r="865" spans="2:11" ht="16" x14ac:dyDescent="0.2">
      <c r="B865" s="81"/>
      <c r="C865" s="211" t="s">
        <v>656</v>
      </c>
      <c r="D865" s="85"/>
      <c r="E865" s="85"/>
      <c r="F865" s="85"/>
      <c r="G865" s="85"/>
      <c r="H865" s="85"/>
      <c r="I865" s="85"/>
      <c r="J865" s="85"/>
      <c r="K865" s="87"/>
    </row>
    <row r="866" spans="2:11" x14ac:dyDescent="0.2">
      <c r="B866" s="81"/>
      <c r="C866" s="85" t="s">
        <v>380</v>
      </c>
      <c r="D866" s="85"/>
      <c r="E866" s="85"/>
      <c r="F866" s="85"/>
      <c r="G866" s="406" t="s">
        <v>234</v>
      </c>
      <c r="H866" s="407"/>
      <c r="I866" s="85"/>
      <c r="J866" s="83">
        <f>IF(G866=$B$998,$A$998,IF(G866=$B$999,$A$999,IF(G866=$B$1000,$A$1000,IF(G866=$B$1001,$A$1001,IF(G866=$B$1002,$A$1002,"Not Calculated")))))</f>
        <v>4</v>
      </c>
      <c r="K866" s="87"/>
    </row>
    <row r="867" spans="2:11" x14ac:dyDescent="0.2">
      <c r="B867" s="81"/>
      <c r="C867" s="85" t="s">
        <v>134</v>
      </c>
      <c r="D867" s="85"/>
      <c r="E867" s="85"/>
      <c r="F867" s="85"/>
      <c r="G867" s="85"/>
      <c r="H867" s="85"/>
      <c r="I867" s="85"/>
      <c r="J867" s="240">
        <f>'Baseline PHP'!J136</f>
        <v>0</v>
      </c>
      <c r="K867" s="87"/>
    </row>
    <row r="868" spans="2:11" x14ac:dyDescent="0.2">
      <c r="B868" s="81"/>
      <c r="C868" s="85"/>
      <c r="D868" s="85"/>
      <c r="E868" s="85"/>
      <c r="F868" s="85"/>
      <c r="G868" s="85"/>
      <c r="H868" s="85"/>
      <c r="I868" s="85"/>
      <c r="J868" s="85"/>
      <c r="K868" s="87"/>
    </row>
    <row r="869" spans="2:11" ht="16" x14ac:dyDescent="0.2">
      <c r="B869" s="81"/>
      <c r="C869" s="211" t="s">
        <v>121</v>
      </c>
      <c r="D869" s="85"/>
      <c r="E869" s="85"/>
      <c r="F869" s="85"/>
      <c r="G869" s="85"/>
      <c r="H869" s="85"/>
      <c r="I869" s="85"/>
      <c r="J869" s="85"/>
      <c r="K869" s="87"/>
    </row>
    <row r="870" spans="2:11" x14ac:dyDescent="0.2">
      <c r="B870" s="81"/>
      <c r="C870" s="85" t="s">
        <v>380</v>
      </c>
      <c r="D870" s="85"/>
      <c r="E870" s="85"/>
      <c r="F870" s="85"/>
      <c r="G870" s="406" t="s">
        <v>234</v>
      </c>
      <c r="H870" s="407"/>
      <c r="I870" s="85"/>
      <c r="J870" s="83">
        <f>IF(G870=$B$998,$A$998,IF(G870=$B$999,$A$999,IF(G870=$B$1000,$A$1000,IF(G870=$B$1001,$A$1001,IF(G870=$B$1002,$A$1002,"Not Calculated")))))</f>
        <v>4</v>
      </c>
      <c r="K870" s="87"/>
    </row>
    <row r="871" spans="2:11" x14ac:dyDescent="0.2">
      <c r="B871" s="81"/>
      <c r="C871" s="85" t="s">
        <v>134</v>
      </c>
      <c r="D871" s="85"/>
      <c r="E871" s="85"/>
      <c r="F871" s="85"/>
      <c r="G871" s="85"/>
      <c r="H871" s="85"/>
      <c r="I871" s="85"/>
      <c r="J871" s="240">
        <f>'Baseline PHP'!J150</f>
        <v>0</v>
      </c>
      <c r="K871" s="87"/>
    </row>
    <row r="872" spans="2:11" x14ac:dyDescent="0.2">
      <c r="B872" s="81"/>
      <c r="C872" s="85"/>
      <c r="D872" s="85"/>
      <c r="E872" s="85"/>
      <c r="F872" s="85"/>
      <c r="G872" s="85"/>
      <c r="H872" s="85"/>
      <c r="I872" s="85"/>
      <c r="J872" s="85"/>
      <c r="K872" s="87"/>
    </row>
    <row r="873" spans="2:11" ht="16" x14ac:dyDescent="0.2">
      <c r="B873" s="81"/>
      <c r="C873" s="211" t="s">
        <v>657</v>
      </c>
      <c r="D873" s="85"/>
      <c r="E873" s="85"/>
      <c r="F873" s="85"/>
      <c r="G873" s="85"/>
      <c r="H873" s="85"/>
      <c r="I873" s="85"/>
      <c r="J873" s="85"/>
      <c r="K873" s="87"/>
    </row>
    <row r="874" spans="2:11" x14ac:dyDescent="0.2">
      <c r="B874" s="81"/>
      <c r="C874" s="85" t="s">
        <v>380</v>
      </c>
      <c r="D874" s="85"/>
      <c r="E874" s="85"/>
      <c r="F874" s="85"/>
      <c r="G874" s="406" t="s">
        <v>238</v>
      </c>
      <c r="H874" s="407"/>
      <c r="I874" s="85"/>
      <c r="J874" s="83">
        <f>IF(G874=$B$998,$A$998,IF(G874=$B$999,$A$999,IF(G874=$B$1000,$A$1000,IF(G874=$B$1001,$A$1001,IF(G874=$B$1002,$A$1002,"Not Calculated")))))</f>
        <v>3</v>
      </c>
      <c r="K874" s="87"/>
    </row>
    <row r="875" spans="2:11" x14ac:dyDescent="0.2">
      <c r="B875" s="81"/>
      <c r="C875" s="85" t="s">
        <v>134</v>
      </c>
      <c r="D875" s="85"/>
      <c r="E875" s="85"/>
      <c r="F875" s="85"/>
      <c r="G875" s="85"/>
      <c r="H875" s="85"/>
      <c r="I875" s="85"/>
      <c r="J875" s="240">
        <f>'Baseline PHP'!J164</f>
        <v>0</v>
      </c>
      <c r="K875" s="87"/>
    </row>
    <row r="876" spans="2:11" x14ac:dyDescent="0.2">
      <c r="B876" s="81"/>
      <c r="C876" s="85"/>
      <c r="D876" s="85"/>
      <c r="E876" s="85"/>
      <c r="F876" s="85"/>
      <c r="G876" s="85"/>
      <c r="H876" s="85"/>
      <c r="I876" s="85"/>
      <c r="J876" s="85"/>
      <c r="K876" s="87"/>
    </row>
    <row r="877" spans="2:11" ht="16" x14ac:dyDescent="0.2">
      <c r="B877" s="81"/>
      <c r="C877" s="211" t="s">
        <v>650</v>
      </c>
      <c r="D877" s="85"/>
      <c r="E877" s="85"/>
      <c r="F877" s="85"/>
      <c r="G877" s="85"/>
      <c r="H877" s="85"/>
      <c r="I877" s="85"/>
      <c r="J877" s="85"/>
      <c r="K877" s="87"/>
    </row>
    <row r="878" spans="2:11" x14ac:dyDescent="0.2">
      <c r="B878" s="81"/>
      <c r="C878" s="85" t="s">
        <v>380</v>
      </c>
      <c r="D878" s="85"/>
      <c r="E878" s="85"/>
      <c r="F878" s="85"/>
      <c r="G878" s="406" t="s">
        <v>234</v>
      </c>
      <c r="H878" s="407"/>
      <c r="I878" s="85"/>
      <c r="J878" s="83">
        <f>IF(G878=$B$998,$A$998,IF(G878=$B$999,$A$999,IF(G878=$B$1000,$A$1000,IF(G878=$B$1001,$A$1001,IF(G878=$B$1002,$A$1002,"Not Calculated")))))</f>
        <v>4</v>
      </c>
      <c r="K878" s="87"/>
    </row>
    <row r="879" spans="2:11" x14ac:dyDescent="0.2">
      <c r="B879" s="81"/>
      <c r="C879" s="85" t="s">
        <v>134</v>
      </c>
      <c r="D879" s="85"/>
      <c r="E879" s="85"/>
      <c r="F879" s="85"/>
      <c r="G879" s="85"/>
      <c r="H879" s="85"/>
      <c r="I879" s="85"/>
      <c r="J879" s="240">
        <f>'Baseline PHP'!J180</f>
        <v>0</v>
      </c>
      <c r="K879" s="87"/>
    </row>
    <row r="880" spans="2:11" x14ac:dyDescent="0.2">
      <c r="B880" s="81"/>
      <c r="C880" s="85"/>
      <c r="D880" s="85"/>
      <c r="E880" s="85"/>
      <c r="F880" s="85"/>
      <c r="G880" s="85"/>
      <c r="H880" s="85"/>
      <c r="I880" s="85"/>
      <c r="J880" s="85"/>
      <c r="K880" s="87"/>
    </row>
    <row r="881" spans="2:11" ht="16" x14ac:dyDescent="0.2">
      <c r="B881" s="81"/>
      <c r="C881" s="211" t="s">
        <v>651</v>
      </c>
      <c r="D881" s="85"/>
      <c r="E881" s="85"/>
      <c r="F881" s="85"/>
      <c r="G881" s="85"/>
      <c r="H881" s="85"/>
      <c r="I881" s="85"/>
      <c r="J881" s="85"/>
      <c r="K881" s="87"/>
    </row>
    <row r="882" spans="2:11" x14ac:dyDescent="0.2">
      <c r="B882" s="81"/>
      <c r="C882" s="85" t="s">
        <v>380</v>
      </c>
      <c r="D882" s="85"/>
      <c r="E882" s="85"/>
      <c r="F882" s="85"/>
      <c r="G882" s="406" t="s">
        <v>238</v>
      </c>
      <c r="H882" s="407"/>
      <c r="I882" s="85"/>
      <c r="J882" s="83">
        <f>IF(G882=$B$998,$A$998,IF(G882=$B$999,$A$999,IF(G882=$B$1000,$A$1000,IF(G882=$B$1001,$A$1001,IF(G882=$B$1002,$A$1002,"Not Calculated")))))</f>
        <v>3</v>
      </c>
      <c r="K882" s="87"/>
    </row>
    <row r="883" spans="2:11" x14ac:dyDescent="0.2">
      <c r="B883" s="81"/>
      <c r="C883" s="85" t="s">
        <v>134</v>
      </c>
      <c r="D883" s="85"/>
      <c r="E883" s="85"/>
      <c r="F883" s="85"/>
      <c r="G883" s="85"/>
      <c r="H883" s="85"/>
      <c r="I883" s="85"/>
      <c r="J883" s="240">
        <f>'Baseline PHP'!J194</f>
        <v>0</v>
      </c>
      <c r="K883" s="87"/>
    </row>
    <row r="884" spans="2:11" x14ac:dyDescent="0.2">
      <c r="B884" s="81"/>
      <c r="C884" s="85"/>
      <c r="D884" s="85"/>
      <c r="E884" s="85"/>
      <c r="F884" s="85"/>
      <c r="G884" s="85"/>
      <c r="H884" s="85"/>
      <c r="I884" s="85"/>
      <c r="J884" s="85"/>
      <c r="K884" s="87"/>
    </row>
    <row r="885" spans="2:11" ht="16" x14ac:dyDescent="0.2">
      <c r="B885" s="81"/>
      <c r="C885" s="211" t="s">
        <v>652</v>
      </c>
      <c r="D885" s="85"/>
      <c r="E885" s="85"/>
      <c r="F885" s="85"/>
      <c r="G885" s="85"/>
      <c r="H885" s="85"/>
      <c r="I885" s="85"/>
      <c r="J885" s="85"/>
      <c r="K885" s="87"/>
    </row>
    <row r="886" spans="2:11" x14ac:dyDescent="0.2">
      <c r="B886" s="81"/>
      <c r="C886" s="85" t="s">
        <v>380</v>
      </c>
      <c r="D886" s="85"/>
      <c r="E886" s="85"/>
      <c r="F886" s="85"/>
      <c r="G886" s="406" t="s">
        <v>234</v>
      </c>
      <c r="H886" s="407"/>
      <c r="I886" s="85"/>
      <c r="J886" s="83">
        <f>IF(G886=$B$998,$A$998,IF(G886=$B$999,$A$999,IF(G886=$B$1000,$A$1000,IF(G886=$B$1001,$A$1001,IF(G886=$B$1002,$A$1002,"Not Calculated")))))</f>
        <v>4</v>
      </c>
      <c r="K886" s="87"/>
    </row>
    <row r="887" spans="2:11" x14ac:dyDescent="0.2">
      <c r="B887" s="81"/>
      <c r="C887" s="85" t="s">
        <v>134</v>
      </c>
      <c r="D887" s="85"/>
      <c r="E887" s="85"/>
      <c r="F887" s="85"/>
      <c r="G887" s="85"/>
      <c r="H887" s="85"/>
      <c r="I887" s="85"/>
      <c r="J887" s="240">
        <f>'Baseline PHP'!J208</f>
        <v>0</v>
      </c>
      <c r="K887" s="87"/>
    </row>
    <row r="888" spans="2:11" x14ac:dyDescent="0.2">
      <c r="B888" s="81"/>
      <c r="C888" s="85"/>
      <c r="D888" s="85"/>
      <c r="E888" s="85"/>
      <c r="F888" s="85"/>
      <c r="G888" s="85"/>
      <c r="H888" s="85"/>
      <c r="I888" s="85"/>
      <c r="J888" s="85"/>
      <c r="K888" s="87"/>
    </row>
    <row r="889" spans="2:11" ht="16" x14ac:dyDescent="0.2">
      <c r="B889" s="81"/>
      <c r="C889" s="211" t="s">
        <v>653</v>
      </c>
      <c r="D889" s="85"/>
      <c r="E889" s="85"/>
      <c r="F889" s="85"/>
      <c r="G889" s="85"/>
      <c r="H889" s="85"/>
      <c r="I889" s="85"/>
      <c r="J889" s="85"/>
      <c r="K889" s="87"/>
    </row>
    <row r="890" spans="2:11" x14ac:dyDescent="0.2">
      <c r="B890" s="81"/>
      <c r="C890" s="85" t="s">
        <v>380</v>
      </c>
      <c r="D890" s="85"/>
      <c r="E890" s="85"/>
      <c r="F890" s="85"/>
      <c r="G890" s="406" t="s">
        <v>238</v>
      </c>
      <c r="H890" s="407"/>
      <c r="I890" s="85"/>
      <c r="J890" s="83">
        <f>IF(G890=$B$998,$A$998,IF(G890=$B$999,$A$999,IF(G890=$B$1000,$A$1000,IF(G890=$B$1001,$A$1001,IF(G890=$B$1002,$A$1002,"Not Calculated")))))</f>
        <v>3</v>
      </c>
      <c r="K890" s="87"/>
    </row>
    <row r="891" spans="2:11" x14ac:dyDescent="0.2">
      <c r="B891" s="81"/>
      <c r="C891" s="85" t="s">
        <v>134</v>
      </c>
      <c r="D891" s="85"/>
      <c r="E891" s="85"/>
      <c r="F891" s="85"/>
      <c r="G891" s="85"/>
      <c r="H891" s="85"/>
      <c r="I891" s="85"/>
      <c r="J891" s="240">
        <f>'Baseline PHP'!J222</f>
        <v>0</v>
      </c>
      <c r="K891" s="87"/>
    </row>
    <row r="892" spans="2:11" x14ac:dyDescent="0.2">
      <c r="B892" s="81"/>
      <c r="C892" s="85"/>
      <c r="D892" s="85"/>
      <c r="E892" s="85"/>
      <c r="F892" s="85"/>
      <c r="G892" s="85"/>
      <c r="H892" s="85"/>
      <c r="I892" s="85"/>
      <c r="J892" s="85"/>
      <c r="K892" s="87"/>
    </row>
    <row r="893" spans="2:11" x14ac:dyDescent="0.2">
      <c r="B893" s="81"/>
      <c r="C893" s="85"/>
      <c r="D893" s="85"/>
      <c r="E893" s="85"/>
      <c r="F893" s="85"/>
      <c r="G893" s="85"/>
      <c r="H893" s="85"/>
      <c r="I893" s="85"/>
      <c r="J893" s="85"/>
      <c r="K893" s="87"/>
    </row>
    <row r="894" spans="2:11" ht="16" x14ac:dyDescent="0.2">
      <c r="B894" s="81"/>
      <c r="C894" s="212" t="s">
        <v>813</v>
      </c>
      <c r="D894" s="85"/>
      <c r="E894" s="85"/>
      <c r="F894" s="85"/>
      <c r="G894" s="85"/>
      <c r="H894" s="85"/>
      <c r="I894" s="85"/>
      <c r="J894" s="241">
        <f>IF(OR(J854="Not Calculated",J858="Not Calculated",J862="Not Calculated",J866="Not Calculated",J870="Not Calculated",J874="Not Calculated",J878="Not Calculated",J882="Not Calculated",J886="Not Calculated",J890="Not Calculated",J834="Not Calculated",J838="Not Calculated",J842="Not Calculated",J846="Not Calculated",J850="Not Calculated",J855="Not Calculated",J859="Not Calculated",J863="Not Calculated",J867="Not Calculated",J871="Not Calculated",J875="Not Calculated",J879="Not Calculated",J883="Not Calculated",J887="Not Calculated",J891="Not Calculated",J835="Not Calculated",J839="Not Calculated",J843="Not Calculated",J847="Not Calculated",J851="Not Calculated")=TRUE,"Not Calculated",((J834*J835)+(J838*J839)+(J842*J843)+(J846*J847)+(J850*J851)+(J854*J855)+(J858*J859)+(J862*J863)+(J866*J867)+(J870*J871)+(J874*J875)+(J878*J879)+(J882*J883)+(J886*J887)+(J890*J891))/(J834+J838+J842+J846+J850+J854+J858+J862+J866+J870+J874+J878+J882+J886+J890))</f>
        <v>0</v>
      </c>
      <c r="K894" s="87"/>
    </row>
    <row r="895" spans="2:11" ht="16" thickBot="1" x14ac:dyDescent="0.25">
      <c r="B895" s="213"/>
      <c r="C895" s="94"/>
      <c r="D895" s="94"/>
      <c r="E895" s="94"/>
      <c r="F895" s="94"/>
      <c r="G895" s="94"/>
      <c r="H895" s="94"/>
      <c r="I895" s="94"/>
      <c r="J895" s="94"/>
      <c r="K895" s="96"/>
    </row>
    <row r="896" spans="2:11" ht="16" thickBot="1" x14ac:dyDescent="0.25"/>
    <row r="897" spans="2:11" x14ac:dyDescent="0.2">
      <c r="B897" s="77"/>
      <c r="C897" s="78"/>
      <c r="D897" s="78"/>
      <c r="E897" s="78"/>
      <c r="F897" s="78"/>
      <c r="G897" s="78"/>
      <c r="H897" s="78"/>
      <c r="I897" s="78"/>
      <c r="J897" s="78"/>
      <c r="K897" s="80"/>
    </row>
    <row r="898" spans="2:11" ht="21" x14ac:dyDescent="0.25">
      <c r="B898" s="81"/>
      <c r="C898" s="85"/>
      <c r="D898" s="85"/>
      <c r="E898" s="85"/>
      <c r="F898" s="85"/>
      <c r="G898" s="210" t="s">
        <v>807</v>
      </c>
      <c r="H898" s="85"/>
      <c r="I898" s="85"/>
      <c r="J898" s="85"/>
      <c r="K898" s="87"/>
    </row>
    <row r="899" spans="2:11" x14ac:dyDescent="0.2">
      <c r="B899" s="81"/>
      <c r="C899" s="85"/>
      <c r="D899" s="85"/>
      <c r="E899" s="85"/>
      <c r="F899" s="85"/>
      <c r="G899" s="85"/>
      <c r="H899" s="85"/>
      <c r="I899" s="85"/>
      <c r="J899" s="85"/>
      <c r="K899" s="87"/>
    </row>
    <row r="900" spans="2:11" ht="15" customHeight="1" x14ac:dyDescent="0.2">
      <c r="B900" s="81"/>
      <c r="C900" s="424" t="s">
        <v>809</v>
      </c>
      <c r="D900" s="424"/>
      <c r="E900" s="424"/>
      <c r="F900" s="424"/>
      <c r="G900" s="424"/>
      <c r="H900" s="424"/>
      <c r="I900" s="424"/>
      <c r="J900" s="424"/>
      <c r="K900" s="87"/>
    </row>
    <row r="901" spans="2:11" x14ac:dyDescent="0.2">
      <c r="B901" s="81"/>
      <c r="C901" s="424"/>
      <c r="D901" s="424"/>
      <c r="E901" s="424"/>
      <c r="F901" s="424"/>
      <c r="G901" s="424"/>
      <c r="H901" s="424"/>
      <c r="I901" s="424"/>
      <c r="J901" s="424"/>
      <c r="K901" s="87"/>
    </row>
    <row r="902" spans="2:11" x14ac:dyDescent="0.2">
      <c r="B902" s="81"/>
      <c r="C902" s="85"/>
      <c r="D902" s="85"/>
      <c r="E902" s="85"/>
      <c r="F902" s="85"/>
      <c r="G902" s="85"/>
      <c r="H902" s="85"/>
      <c r="I902" s="85"/>
      <c r="J902" s="85"/>
      <c r="K902" s="87"/>
    </row>
    <row r="903" spans="2:11" ht="16" x14ac:dyDescent="0.2">
      <c r="B903" s="81"/>
      <c r="C903" s="211" t="s">
        <v>810</v>
      </c>
      <c r="D903" s="85"/>
      <c r="E903" s="85"/>
      <c r="F903" s="85"/>
      <c r="G903" s="85"/>
      <c r="H903" s="85"/>
      <c r="I903" s="85"/>
      <c r="J903" s="85"/>
      <c r="K903" s="87"/>
    </row>
    <row r="904" spans="2:11" x14ac:dyDescent="0.2">
      <c r="B904" s="81"/>
      <c r="C904" s="85" t="s">
        <v>380</v>
      </c>
      <c r="D904" s="85"/>
      <c r="E904" s="85"/>
      <c r="F904" s="85"/>
      <c r="G904" s="406" t="s">
        <v>234</v>
      </c>
      <c r="H904" s="407"/>
      <c r="I904" s="85"/>
      <c r="J904" s="83">
        <f>IF(G904=$B$998,$A$998,IF(G904=$B$999,$A$999,IF(G904=$B$1000,$A$1000,IF(G904=$B$1001,$A$1001,IF(G904=$B$1002,$A$1002,"Not Calculated")))))</f>
        <v>4</v>
      </c>
      <c r="K904" s="87"/>
    </row>
    <row r="905" spans="2:11" x14ac:dyDescent="0.2">
      <c r="B905" s="81"/>
      <c r="C905" s="85" t="s">
        <v>134</v>
      </c>
      <c r="D905" s="85"/>
      <c r="E905" s="85"/>
      <c r="F905" s="85"/>
      <c r="G905" s="85"/>
      <c r="H905" s="85"/>
      <c r="I905" s="85"/>
      <c r="J905" s="240">
        <f>'Baseline HP'!J22</f>
        <v>0</v>
      </c>
      <c r="K905" s="87"/>
    </row>
    <row r="906" spans="2:11" x14ac:dyDescent="0.2">
      <c r="B906" s="81"/>
      <c r="C906" s="85"/>
      <c r="D906" s="85"/>
      <c r="E906" s="85"/>
      <c r="F906" s="85"/>
      <c r="G906" s="85"/>
      <c r="H906" s="85"/>
      <c r="I906" s="85"/>
      <c r="J906" s="85"/>
      <c r="K906" s="87"/>
    </row>
    <row r="907" spans="2:11" ht="16" x14ac:dyDescent="0.2">
      <c r="B907" s="81"/>
      <c r="C907" s="211" t="s">
        <v>811</v>
      </c>
      <c r="D907" s="85"/>
      <c r="E907" s="85"/>
      <c r="F907" s="85"/>
      <c r="G907" s="85"/>
      <c r="H907" s="85"/>
      <c r="I907" s="85"/>
      <c r="J907" s="85"/>
      <c r="K907" s="87"/>
    </row>
    <row r="908" spans="2:11" x14ac:dyDescent="0.2">
      <c r="B908" s="81"/>
      <c r="C908" s="85" t="s">
        <v>380</v>
      </c>
      <c r="D908" s="85"/>
      <c r="E908" s="85"/>
      <c r="F908" s="85"/>
      <c r="G908" s="406" t="s">
        <v>234</v>
      </c>
      <c r="H908" s="407"/>
      <c r="I908" s="85"/>
      <c r="J908" s="83">
        <f>IF(G908=$B$998,$A$998,IF(G908=$B$999,$A$999,IF(G908=$B$1000,$A$1000,IF(G908=$B$1001,$A$1001,IF(G908=$B$1002,$A$1002,"Not Calculated")))))</f>
        <v>4</v>
      </c>
      <c r="K908" s="87"/>
    </row>
    <row r="909" spans="2:11" x14ac:dyDescent="0.2">
      <c r="B909" s="81"/>
      <c r="C909" s="85" t="s">
        <v>134</v>
      </c>
      <c r="D909" s="85"/>
      <c r="E909" s="85"/>
      <c r="F909" s="85"/>
      <c r="G909" s="85"/>
      <c r="H909" s="85"/>
      <c r="I909" s="85"/>
      <c r="J909" s="240">
        <f>'Baseline HP'!J32</f>
        <v>0</v>
      </c>
      <c r="K909" s="87"/>
    </row>
    <row r="910" spans="2:11" x14ac:dyDescent="0.2">
      <c r="B910" s="81"/>
      <c r="C910" s="85"/>
      <c r="D910" s="85"/>
      <c r="E910" s="85"/>
      <c r="F910" s="85"/>
      <c r="G910" s="85"/>
      <c r="H910" s="85"/>
      <c r="I910" s="85"/>
      <c r="J910" s="85"/>
      <c r="K910" s="87"/>
    </row>
    <row r="911" spans="2:11" ht="16" x14ac:dyDescent="0.2">
      <c r="B911" s="81"/>
      <c r="C911" s="211" t="s">
        <v>645</v>
      </c>
      <c r="D911" s="85"/>
      <c r="E911" s="85"/>
      <c r="F911" s="85"/>
      <c r="G911" s="85"/>
      <c r="H911" s="85"/>
      <c r="I911" s="85"/>
      <c r="J911" s="85"/>
      <c r="K911" s="87"/>
    </row>
    <row r="912" spans="2:11" x14ac:dyDescent="0.2">
      <c r="B912" s="81"/>
      <c r="C912" s="85" t="s">
        <v>380</v>
      </c>
      <c r="D912" s="85"/>
      <c r="E912" s="85"/>
      <c r="F912" s="85"/>
      <c r="G912" s="406" t="s">
        <v>234</v>
      </c>
      <c r="H912" s="407"/>
      <c r="I912" s="85"/>
      <c r="J912" s="83">
        <f>IF(G912=$B$998,$A$998,IF(G912=$B$999,$A$999,IF(G912=$B$1000,$A$1000,IF(G912=$B$1001,$A$1001,IF(G912=$B$1002,$A$1002,"Not Calculated")))))</f>
        <v>4</v>
      </c>
      <c r="K912" s="87"/>
    </row>
    <row r="913" spans="2:11" x14ac:dyDescent="0.2">
      <c r="B913" s="81"/>
      <c r="C913" s="85" t="s">
        <v>134</v>
      </c>
      <c r="D913" s="85"/>
      <c r="E913" s="85"/>
      <c r="F913" s="85"/>
      <c r="G913" s="85"/>
      <c r="H913" s="85"/>
      <c r="I913" s="85"/>
      <c r="J913" s="240">
        <f>'Baseline HP'!J46</f>
        <v>0</v>
      </c>
      <c r="K913" s="87"/>
    </row>
    <row r="914" spans="2:11" x14ac:dyDescent="0.2">
      <c r="B914" s="81"/>
      <c r="C914" s="85"/>
      <c r="D914" s="85"/>
      <c r="E914" s="85"/>
      <c r="F914" s="85"/>
      <c r="G914" s="85"/>
      <c r="H914" s="85"/>
      <c r="I914" s="85"/>
      <c r="J914" s="85"/>
      <c r="K914" s="87"/>
    </row>
    <row r="915" spans="2:11" ht="16" x14ac:dyDescent="0.2">
      <c r="B915" s="81"/>
      <c r="C915" s="211" t="s">
        <v>648</v>
      </c>
      <c r="D915" s="85"/>
      <c r="E915" s="85"/>
      <c r="F915" s="85"/>
      <c r="G915" s="85"/>
      <c r="H915" s="85"/>
      <c r="I915" s="85"/>
      <c r="J915" s="85"/>
      <c r="K915" s="87"/>
    </row>
    <row r="916" spans="2:11" ht="15" customHeight="1" x14ac:dyDescent="0.2">
      <c r="B916" s="81"/>
      <c r="C916" s="85" t="s">
        <v>380</v>
      </c>
      <c r="D916" s="85"/>
      <c r="E916" s="85"/>
      <c r="F916" s="85"/>
      <c r="G916" s="406" t="s">
        <v>234</v>
      </c>
      <c r="H916" s="407"/>
      <c r="I916" s="85"/>
      <c r="J916" s="83">
        <f>IF(G916=$B$998,$A$998,IF(G916=$B$999,$A$999,IF(G916=$B$1000,$A$1000,IF(G916=$B$1001,$A$1001,IF(G916=$B$1002,$A$1002,"Not Calculated")))))</f>
        <v>4</v>
      </c>
      <c r="K916" s="87"/>
    </row>
    <row r="917" spans="2:11" x14ac:dyDescent="0.2">
      <c r="B917" s="81"/>
      <c r="C917" s="85" t="s">
        <v>134</v>
      </c>
      <c r="D917" s="85"/>
      <c r="E917" s="85"/>
      <c r="F917" s="85"/>
      <c r="G917" s="85"/>
      <c r="H917" s="85"/>
      <c r="I917" s="85"/>
      <c r="J917" s="240">
        <f>'Baseline HP'!J58</f>
        <v>0</v>
      </c>
      <c r="K917" s="87"/>
    </row>
    <row r="918" spans="2:11" x14ac:dyDescent="0.2">
      <c r="B918" s="81"/>
      <c r="C918" s="85"/>
      <c r="D918" s="85"/>
      <c r="E918" s="85"/>
      <c r="F918" s="85"/>
      <c r="G918" s="85"/>
      <c r="H918" s="85"/>
      <c r="I918" s="85"/>
      <c r="J918" s="85"/>
      <c r="K918" s="87"/>
    </row>
    <row r="919" spans="2:11" ht="16" x14ac:dyDescent="0.2">
      <c r="B919" s="81"/>
      <c r="C919" s="211" t="s">
        <v>647</v>
      </c>
      <c r="D919" s="85"/>
      <c r="E919" s="85"/>
      <c r="F919" s="85"/>
      <c r="G919" s="85"/>
      <c r="H919" s="85"/>
      <c r="I919" s="85"/>
      <c r="J919" s="85"/>
      <c r="K919" s="87"/>
    </row>
    <row r="920" spans="2:11" x14ac:dyDescent="0.2">
      <c r="B920" s="81"/>
      <c r="C920" s="85" t="s">
        <v>380</v>
      </c>
      <c r="D920" s="85"/>
      <c r="E920" s="85"/>
      <c r="F920" s="85"/>
      <c r="G920" s="406" t="s">
        <v>234</v>
      </c>
      <c r="H920" s="407"/>
      <c r="I920" s="85"/>
      <c r="J920" s="83">
        <f>IF(G920=$B$998,$A$998,IF(G920=$B$999,$A$999,IF(G920=$B$1000,$A$1000,IF(G920=$B$1001,$A$1001,IF(G920=$B$1002,$A$1002,"Not Calculated")))))</f>
        <v>4</v>
      </c>
      <c r="K920" s="87"/>
    </row>
    <row r="921" spans="2:11" x14ac:dyDescent="0.2">
      <c r="B921" s="81"/>
      <c r="C921" s="85" t="s">
        <v>134</v>
      </c>
      <c r="D921" s="85"/>
      <c r="E921" s="85"/>
      <c r="F921" s="85"/>
      <c r="G921" s="85"/>
      <c r="H921" s="85"/>
      <c r="I921" s="85"/>
      <c r="J921" s="240">
        <f>'Baseline HP'!J68</f>
        <v>0</v>
      </c>
      <c r="K921" s="87"/>
    </row>
    <row r="922" spans="2:11" x14ac:dyDescent="0.2">
      <c r="B922" s="81"/>
      <c r="C922" s="85"/>
      <c r="D922" s="85"/>
      <c r="E922" s="85"/>
      <c r="F922" s="85"/>
      <c r="G922" s="85"/>
      <c r="H922" s="85"/>
      <c r="I922" s="85"/>
      <c r="J922" s="85"/>
      <c r="K922" s="87"/>
    </row>
    <row r="923" spans="2:11" ht="16" x14ac:dyDescent="0.2">
      <c r="B923" s="81"/>
      <c r="C923" s="211" t="s">
        <v>121</v>
      </c>
      <c r="D923" s="85"/>
      <c r="E923" s="85"/>
      <c r="F923" s="85"/>
      <c r="G923" s="85"/>
      <c r="H923" s="85"/>
      <c r="I923" s="85"/>
      <c r="J923" s="85"/>
      <c r="K923" s="87"/>
    </row>
    <row r="924" spans="2:11" x14ac:dyDescent="0.2">
      <c r="B924" s="81"/>
      <c r="C924" s="85" t="s">
        <v>380</v>
      </c>
      <c r="D924" s="85"/>
      <c r="E924" s="85"/>
      <c r="F924" s="85"/>
      <c r="G924" s="406" t="s">
        <v>234</v>
      </c>
      <c r="H924" s="407"/>
      <c r="I924" s="85"/>
      <c r="J924" s="83">
        <f>IF(G924=$B$998,$A$998,IF(G924=$B$999,$A$999,IF(G924=$B$1000,$A$1000,IF(G924=$B$1001,$A$1001,IF(G924=$B$1002,$A$1002,"Not Calculated")))))</f>
        <v>4</v>
      </c>
      <c r="K924" s="87"/>
    </row>
    <row r="925" spans="2:11" x14ac:dyDescent="0.2">
      <c r="B925" s="81"/>
      <c r="C925" s="85" t="s">
        <v>134</v>
      </c>
      <c r="D925" s="85"/>
      <c r="E925" s="85"/>
      <c r="F925" s="85"/>
      <c r="G925" s="85"/>
      <c r="H925" s="85"/>
      <c r="I925" s="85"/>
      <c r="J925" s="240">
        <f>'Baseline HP'!J84</f>
        <v>0</v>
      </c>
      <c r="K925" s="87"/>
    </row>
    <row r="926" spans="2:11" x14ac:dyDescent="0.2">
      <c r="B926" s="81"/>
      <c r="C926" s="85"/>
      <c r="D926" s="85"/>
      <c r="E926" s="85"/>
      <c r="F926" s="85"/>
      <c r="G926" s="85"/>
      <c r="H926" s="85"/>
      <c r="I926" s="85"/>
      <c r="J926" s="85"/>
      <c r="K926" s="87"/>
    </row>
    <row r="927" spans="2:11" ht="16" x14ac:dyDescent="0.2">
      <c r="B927" s="81"/>
      <c r="C927" s="211" t="s">
        <v>652</v>
      </c>
      <c r="D927" s="85"/>
      <c r="E927" s="85"/>
      <c r="F927" s="85"/>
      <c r="G927" s="85"/>
      <c r="H927" s="85"/>
      <c r="I927" s="85"/>
      <c r="J927" s="85"/>
      <c r="K927" s="87"/>
    </row>
    <row r="928" spans="2:11" x14ac:dyDescent="0.2">
      <c r="B928" s="81"/>
      <c r="C928" s="85" t="s">
        <v>380</v>
      </c>
      <c r="D928" s="85"/>
      <c r="E928" s="85"/>
      <c r="F928" s="85"/>
      <c r="G928" s="406" t="s">
        <v>234</v>
      </c>
      <c r="H928" s="407"/>
      <c r="I928" s="85"/>
      <c r="J928" s="83">
        <f>IF(G928=$B$998,$A$998,IF(G928=$B$999,$A$999,IF(G928=$B$1000,$A$1000,IF(G928=$B$1001,$A$1001,IF(G928=$B$1002,$A$1002,"Not Calculated")))))</f>
        <v>4</v>
      </c>
      <c r="K928" s="87"/>
    </row>
    <row r="929" spans="2:11" x14ac:dyDescent="0.2">
      <c r="B929" s="81"/>
      <c r="C929" s="85" t="s">
        <v>134</v>
      </c>
      <c r="D929" s="85"/>
      <c r="E929" s="85"/>
      <c r="F929" s="85"/>
      <c r="G929" s="85"/>
      <c r="H929" s="85"/>
      <c r="I929" s="85"/>
      <c r="J929" s="240">
        <f>'Baseline HP'!J94</f>
        <v>0</v>
      </c>
      <c r="K929" s="87"/>
    </row>
    <row r="930" spans="2:11" x14ac:dyDescent="0.2">
      <c r="B930" s="81"/>
      <c r="C930" s="85"/>
      <c r="D930" s="85"/>
      <c r="E930" s="85"/>
      <c r="F930" s="85"/>
      <c r="G930" s="85"/>
      <c r="H930" s="85"/>
      <c r="I930" s="85"/>
      <c r="J930" s="85"/>
      <c r="K930" s="87"/>
    </row>
    <row r="931" spans="2:11" ht="16" x14ac:dyDescent="0.2">
      <c r="B931" s="81"/>
      <c r="C931" s="211" t="s">
        <v>653</v>
      </c>
      <c r="D931" s="85"/>
      <c r="E931" s="85"/>
      <c r="F931" s="85"/>
      <c r="G931" s="85"/>
      <c r="H931" s="85"/>
      <c r="I931" s="85"/>
      <c r="J931" s="85"/>
      <c r="K931" s="87"/>
    </row>
    <row r="932" spans="2:11" x14ac:dyDescent="0.2">
      <c r="B932" s="81"/>
      <c r="C932" s="85" t="s">
        <v>380</v>
      </c>
      <c r="D932" s="85"/>
      <c r="E932" s="85"/>
      <c r="F932" s="85"/>
      <c r="G932" s="406" t="s">
        <v>238</v>
      </c>
      <c r="H932" s="407"/>
      <c r="I932" s="85"/>
      <c r="J932" s="83">
        <f>IF(G932=$B$998,$A$998,IF(G932=$B$999,$A$999,IF(G932=$B$1000,$A$1000,IF(G932=$B$1001,$A$1001,IF(G932=$B$1002,$A$1002,"Not Calculated")))))</f>
        <v>3</v>
      </c>
      <c r="K932" s="87"/>
    </row>
    <row r="933" spans="2:11" x14ac:dyDescent="0.2">
      <c r="B933" s="81"/>
      <c r="C933" s="85" t="s">
        <v>134</v>
      </c>
      <c r="D933" s="85"/>
      <c r="E933" s="85"/>
      <c r="F933" s="85"/>
      <c r="G933" s="85"/>
      <c r="H933" s="85"/>
      <c r="I933" s="85"/>
      <c r="J933" s="240">
        <f>'Baseline HP'!J108</f>
        <v>0</v>
      </c>
      <c r="K933" s="87"/>
    </row>
    <row r="934" spans="2:11" x14ac:dyDescent="0.2">
      <c r="B934" s="81"/>
      <c r="C934" s="85"/>
      <c r="D934" s="85"/>
      <c r="E934" s="85"/>
      <c r="F934" s="85"/>
      <c r="G934" s="85"/>
      <c r="H934" s="85"/>
      <c r="I934" s="85"/>
      <c r="J934" s="85"/>
      <c r="K934" s="87"/>
    </row>
    <row r="935" spans="2:11" x14ac:dyDescent="0.2">
      <c r="B935" s="81"/>
      <c r="C935" s="85"/>
      <c r="D935" s="85"/>
      <c r="E935" s="85"/>
      <c r="F935" s="85"/>
      <c r="G935" s="85"/>
      <c r="H935" s="85"/>
      <c r="I935" s="85"/>
      <c r="J935" s="85"/>
      <c r="K935" s="87"/>
    </row>
    <row r="936" spans="2:11" ht="16" x14ac:dyDescent="0.2">
      <c r="B936" s="81"/>
      <c r="C936" s="212" t="s">
        <v>812</v>
      </c>
      <c r="D936" s="85"/>
      <c r="E936" s="85"/>
      <c r="F936" s="85"/>
      <c r="G936" s="85"/>
      <c r="H936" s="85"/>
      <c r="I936" s="85"/>
      <c r="J936" s="241">
        <f>IF(OR(J920="Not Calculated",J924="Not Calculated",J928="Not Calculated",J932="Not Calculated",J904="Not Calculated",J908="Not Calculated",J912="Not Calculated",J916="Not Calculated",J921="Not Calculated",J925="Not Calculated",J929="Not Calculated",J933="Not Calculated",J905="Not Calculated",J909="Not Calculated",J913="Not Calculated",J917="Not Calculated")=TRUE,"Not Calculated",((J904*J905)+(J908*J909)+(J912*J913)+(J916*J917)+(J920*J921)+(J924*J925)+(J928*J929)+(J932*J933))/(J904+J908+J912+J916+J920+J924+J928+J932))</f>
        <v>0</v>
      </c>
      <c r="K936" s="87"/>
    </row>
    <row r="937" spans="2:11" ht="16" thickBot="1" x14ac:dyDescent="0.25">
      <c r="B937" s="213"/>
      <c r="C937" s="94"/>
      <c r="D937" s="94"/>
      <c r="E937" s="94"/>
      <c r="F937" s="94"/>
      <c r="G937" s="94"/>
      <c r="H937" s="94"/>
      <c r="I937" s="94"/>
      <c r="J937" s="94"/>
      <c r="K937" s="96"/>
    </row>
    <row r="938" spans="2:11" ht="16" thickBot="1" x14ac:dyDescent="0.25"/>
    <row r="939" spans="2:11" x14ac:dyDescent="0.2">
      <c r="B939" s="77"/>
      <c r="C939" s="78"/>
      <c r="D939" s="78"/>
      <c r="E939" s="78"/>
      <c r="F939" s="78"/>
      <c r="G939" s="78"/>
      <c r="H939" s="78"/>
      <c r="I939" s="78"/>
      <c r="J939" s="78"/>
      <c r="K939" s="80"/>
    </row>
    <row r="940" spans="2:11" ht="21" x14ac:dyDescent="0.25">
      <c r="B940" s="81"/>
      <c r="C940" s="85"/>
      <c r="D940" s="85"/>
      <c r="E940" s="85"/>
      <c r="F940" s="85"/>
      <c r="G940" s="210" t="s">
        <v>815</v>
      </c>
      <c r="H940" s="85"/>
      <c r="I940" s="85"/>
      <c r="J940" s="85"/>
      <c r="K940" s="87"/>
    </row>
    <row r="941" spans="2:11" ht="21" x14ac:dyDescent="0.25">
      <c r="B941" s="81"/>
      <c r="C941" s="85"/>
      <c r="D941" s="85"/>
      <c r="E941" s="85"/>
      <c r="F941" s="85"/>
      <c r="G941" s="210"/>
      <c r="H941" s="85"/>
      <c r="I941" s="85"/>
      <c r="J941" s="85"/>
      <c r="K941" s="87"/>
    </row>
    <row r="942" spans="2:11" ht="16" x14ac:dyDescent="0.2">
      <c r="B942" s="81"/>
      <c r="C942" s="212" t="s">
        <v>995</v>
      </c>
      <c r="D942" s="85"/>
      <c r="E942" s="85"/>
      <c r="F942" s="85"/>
      <c r="G942" s="85"/>
      <c r="H942" s="85"/>
      <c r="I942" s="85"/>
      <c r="J942" s="241">
        <f>IF(OR(J936="Not Calculated",J894="Not Calculated")=TRUE,"Not Calculated",AVERAGE(J936,J894))</f>
        <v>0</v>
      </c>
      <c r="K942" s="87"/>
    </row>
    <row r="943" spans="2:11" ht="16" x14ac:dyDescent="0.2">
      <c r="B943" s="81"/>
      <c r="C943" s="212"/>
      <c r="D943" s="85" t="s">
        <v>814</v>
      </c>
      <c r="E943" s="85"/>
      <c r="F943" s="85"/>
      <c r="G943" s="85"/>
      <c r="H943" s="85"/>
      <c r="I943" s="85"/>
      <c r="J943" s="241"/>
      <c r="K943" s="87"/>
    </row>
    <row r="944" spans="2:11" ht="17" thickBot="1" x14ac:dyDescent="0.25">
      <c r="B944" s="213"/>
      <c r="C944" s="227"/>
      <c r="D944" s="94"/>
      <c r="E944" s="94"/>
      <c r="F944" s="94"/>
      <c r="G944" s="94"/>
      <c r="H944" s="94"/>
      <c r="I944" s="94"/>
      <c r="J944" s="228"/>
      <c r="K944" s="96"/>
    </row>
    <row r="945" spans="2:11" ht="16" thickBot="1" x14ac:dyDescent="0.25"/>
    <row r="946" spans="2:11" x14ac:dyDescent="0.2">
      <c r="B946" s="214"/>
      <c r="C946" s="215"/>
      <c r="D946" s="215"/>
      <c r="E946" s="215"/>
      <c r="F946" s="215"/>
      <c r="G946" s="215"/>
      <c r="H946" s="215"/>
      <c r="I946" s="215"/>
      <c r="J946" s="215"/>
      <c r="K946" s="216"/>
    </row>
    <row r="947" spans="2:11" ht="21" x14ac:dyDescent="0.25">
      <c r="B947" s="217"/>
      <c r="C947" s="218"/>
      <c r="D947" s="218"/>
      <c r="E947" s="218"/>
      <c r="F947" s="218"/>
      <c r="G947" s="219" t="s">
        <v>239</v>
      </c>
      <c r="H947" s="218"/>
      <c r="I947" s="218"/>
      <c r="J947" s="218"/>
      <c r="K947" s="220"/>
    </row>
    <row r="948" spans="2:11" x14ac:dyDescent="0.2">
      <c r="B948" s="217"/>
      <c r="C948" s="218"/>
      <c r="D948" s="218"/>
      <c r="E948" s="218"/>
      <c r="F948" s="218"/>
      <c r="G948" s="218"/>
      <c r="H948" s="218"/>
      <c r="I948" s="218"/>
      <c r="J948" s="218"/>
      <c r="K948" s="220"/>
    </row>
    <row r="949" spans="2:11" ht="16" x14ac:dyDescent="0.2">
      <c r="B949" s="217"/>
      <c r="C949" s="221" t="s">
        <v>393</v>
      </c>
      <c r="D949" s="218"/>
      <c r="E949" s="218"/>
      <c r="F949" s="218"/>
      <c r="G949" s="218"/>
      <c r="H949" s="218"/>
      <c r="I949" s="218"/>
      <c r="J949" s="242" t="str">
        <f>IF(OR(J817="Not Calculated",J942="Not Calculated")=TRUE,"Not Calculated",J817/J942)</f>
        <v>Not Calculated</v>
      </c>
      <c r="K949" s="220"/>
    </row>
    <row r="950" spans="2:11" x14ac:dyDescent="0.2">
      <c r="B950" s="217"/>
      <c r="C950" s="218"/>
      <c r="D950" s="218" t="s">
        <v>816</v>
      </c>
      <c r="E950" s="218"/>
      <c r="F950" s="218"/>
      <c r="G950" s="218"/>
      <c r="H950" s="218"/>
      <c r="I950" s="218"/>
      <c r="J950" s="218"/>
      <c r="K950" s="220"/>
    </row>
    <row r="951" spans="2:11" x14ac:dyDescent="0.2">
      <c r="B951" s="217"/>
      <c r="C951" s="218"/>
      <c r="D951" s="218"/>
      <c r="E951" s="218"/>
      <c r="F951" s="218"/>
      <c r="G951" s="218"/>
      <c r="H951" s="218"/>
      <c r="I951" s="218"/>
      <c r="J951" s="218"/>
      <c r="K951" s="220"/>
    </row>
    <row r="952" spans="2:11" ht="16" x14ac:dyDescent="0.2">
      <c r="B952" s="217"/>
      <c r="C952" s="221" t="s">
        <v>996</v>
      </c>
      <c r="D952" s="218"/>
      <c r="E952" s="218"/>
      <c r="F952" s="218"/>
      <c r="G952" s="218"/>
      <c r="H952" s="218"/>
      <c r="I952" s="218"/>
      <c r="J952" s="242" t="str">
        <f>IF(OR(J820="Not Calculated",J894="Not Calculated")=TRUE,"Not Calculated",J820/J894)</f>
        <v>Not Calculated</v>
      </c>
      <c r="K952" s="220"/>
    </row>
    <row r="953" spans="2:11" x14ac:dyDescent="0.2">
      <c r="B953" s="217"/>
      <c r="C953" s="218"/>
      <c r="D953" s="218" t="s">
        <v>817</v>
      </c>
      <c r="E953" s="218"/>
      <c r="F953" s="218"/>
      <c r="G953" s="218"/>
      <c r="H953" s="218"/>
      <c r="I953" s="218"/>
      <c r="J953" s="218"/>
      <c r="K953" s="220"/>
    </row>
    <row r="954" spans="2:11" x14ac:dyDescent="0.2">
      <c r="B954" s="217"/>
      <c r="C954" s="218"/>
      <c r="D954" s="218"/>
      <c r="E954" s="218"/>
      <c r="F954" s="218"/>
      <c r="G954" s="218"/>
      <c r="H954" s="218"/>
      <c r="I954" s="218"/>
      <c r="J954" s="218"/>
      <c r="K954" s="220"/>
    </row>
    <row r="955" spans="2:11" ht="16" x14ac:dyDescent="0.2">
      <c r="B955" s="217"/>
      <c r="C955" s="221" t="s">
        <v>997</v>
      </c>
      <c r="D955" s="218"/>
      <c r="E955" s="218"/>
      <c r="F955" s="218"/>
      <c r="G955" s="218"/>
      <c r="H955" s="218"/>
      <c r="I955" s="218"/>
      <c r="J955" s="242" t="str">
        <f>IF(OR(J936="Not Calculated",J823="Not Calculated")=TRUE,"Not Calculated",J823/J936)</f>
        <v>Not Calculated</v>
      </c>
      <c r="K955" s="220"/>
    </row>
    <row r="956" spans="2:11" x14ac:dyDescent="0.2">
      <c r="B956" s="217"/>
      <c r="C956" s="218"/>
      <c r="D956" s="218" t="s">
        <v>818</v>
      </c>
      <c r="E956" s="218"/>
      <c r="F956" s="218"/>
      <c r="G956" s="218"/>
      <c r="H956" s="218"/>
      <c r="I956" s="218"/>
      <c r="J956" s="218"/>
      <c r="K956" s="220"/>
    </row>
    <row r="957" spans="2:11" ht="16" thickBot="1" x14ac:dyDescent="0.25">
      <c r="B957" s="222"/>
      <c r="C957" s="223"/>
      <c r="D957" s="223"/>
      <c r="E957" s="223"/>
      <c r="F957" s="223"/>
      <c r="G957" s="223"/>
      <c r="H957" s="223"/>
      <c r="I957" s="223"/>
      <c r="J957" s="223"/>
      <c r="K957" s="224"/>
    </row>
    <row r="959" spans="2:11" ht="15" customHeight="1" x14ac:dyDescent="0.2">
      <c r="F959" s="405"/>
      <c r="G959" s="405"/>
      <c r="H959" s="405"/>
    </row>
    <row r="960" spans="2:11" x14ac:dyDescent="0.2">
      <c r="F960" s="405"/>
      <c r="G960" s="405"/>
      <c r="H960" s="405"/>
    </row>
    <row r="965" spans="1:3" ht="15" hidden="1" customHeight="1" x14ac:dyDescent="0.2">
      <c r="A965" s="12" t="s">
        <v>228</v>
      </c>
    </row>
    <row r="966" spans="1:3" ht="15" hidden="1" customHeight="1" x14ac:dyDescent="0.2">
      <c r="A966" s="12">
        <v>0</v>
      </c>
      <c r="B966" s="12" t="s">
        <v>250</v>
      </c>
      <c r="C966" s="12" t="s">
        <v>240</v>
      </c>
    </row>
    <row r="967" spans="1:3" ht="15" hidden="1" customHeight="1" x14ac:dyDescent="0.2">
      <c r="A967" s="12">
        <v>1</v>
      </c>
      <c r="B967" s="12" t="s">
        <v>251</v>
      </c>
      <c r="C967" s="12" t="s">
        <v>241</v>
      </c>
    </row>
    <row r="968" spans="1:3" ht="15" hidden="1" customHeight="1" x14ac:dyDescent="0.2">
      <c r="A968" s="12">
        <v>2</v>
      </c>
      <c r="B968" s="12" t="s">
        <v>252</v>
      </c>
      <c r="C968" s="12" t="s">
        <v>242</v>
      </c>
    </row>
    <row r="969" spans="1:3" ht="15" hidden="1" customHeight="1" x14ac:dyDescent="0.2">
      <c r="A969" s="12">
        <v>3</v>
      </c>
      <c r="B969" s="12" t="s">
        <v>253</v>
      </c>
      <c r="C969" s="12" t="s">
        <v>227</v>
      </c>
    </row>
    <row r="970" spans="1:3" ht="15" hidden="1" customHeight="1" x14ac:dyDescent="0.2">
      <c r="A970" s="12">
        <v>4</v>
      </c>
      <c r="B970" s="12" t="s">
        <v>254</v>
      </c>
      <c r="C970" s="12" t="s">
        <v>243</v>
      </c>
    </row>
    <row r="971" spans="1:3" ht="15" hidden="1" customHeight="1" x14ac:dyDescent="0.2"/>
    <row r="972" spans="1:3" ht="15" hidden="1" customHeight="1" x14ac:dyDescent="0.2">
      <c r="A972" s="12" t="s">
        <v>259</v>
      </c>
    </row>
    <row r="973" spans="1:3" ht="15" hidden="1" customHeight="1" x14ac:dyDescent="0.2">
      <c r="A973" s="12">
        <v>0</v>
      </c>
      <c r="B973" s="225" t="s">
        <v>870</v>
      </c>
    </row>
    <row r="974" spans="1:3" ht="15" hidden="1" customHeight="1" x14ac:dyDescent="0.2">
      <c r="A974" s="12">
        <v>1</v>
      </c>
      <c r="B974" s="12" t="s">
        <v>880</v>
      </c>
    </row>
    <row r="975" spans="1:3" ht="15" hidden="1" customHeight="1" x14ac:dyDescent="0.2">
      <c r="A975" s="12">
        <v>2</v>
      </c>
      <c r="B975" s="12" t="s">
        <v>872</v>
      </c>
    </row>
    <row r="976" spans="1:3" ht="15" hidden="1" customHeight="1" x14ac:dyDescent="0.2">
      <c r="A976" s="12">
        <v>3</v>
      </c>
      <c r="B976" s="12" t="s">
        <v>873</v>
      </c>
    </row>
    <row r="977" spans="1:2" ht="15" hidden="1" customHeight="1" x14ac:dyDescent="0.2">
      <c r="A977" s="12">
        <v>4</v>
      </c>
      <c r="B977" s="12" t="s">
        <v>874</v>
      </c>
    </row>
    <row r="978" spans="1:2" ht="15" hidden="1" customHeight="1" x14ac:dyDescent="0.2"/>
    <row r="979" spans="1:2" ht="15" hidden="1" customHeight="1" x14ac:dyDescent="0.2">
      <c r="A979" s="12" t="s">
        <v>294</v>
      </c>
    </row>
    <row r="980" spans="1:2" ht="15" hidden="1" customHeight="1" x14ac:dyDescent="0.2">
      <c r="A980" s="12">
        <v>0</v>
      </c>
      <c r="B980" s="225" t="s">
        <v>870</v>
      </c>
    </row>
    <row r="981" spans="1:2" ht="15" hidden="1" customHeight="1" x14ac:dyDescent="0.2">
      <c r="A981" s="12">
        <v>1</v>
      </c>
      <c r="B981" s="12" t="s">
        <v>875</v>
      </c>
    </row>
    <row r="982" spans="1:2" ht="15" hidden="1" customHeight="1" x14ac:dyDescent="0.2">
      <c r="A982" s="12">
        <v>2</v>
      </c>
      <c r="B982" s="12" t="s">
        <v>876</v>
      </c>
    </row>
    <row r="983" spans="1:2" ht="15" hidden="1" customHeight="1" x14ac:dyDescent="0.2">
      <c r="A983" s="12">
        <v>3</v>
      </c>
      <c r="B983" s="12" t="s">
        <v>877</v>
      </c>
    </row>
    <row r="984" spans="1:2" ht="15" hidden="1" customHeight="1" x14ac:dyDescent="0.2">
      <c r="A984" s="12">
        <v>4</v>
      </c>
      <c r="B984" s="12" t="s">
        <v>878</v>
      </c>
    </row>
    <row r="985" spans="1:2" ht="15" hidden="1" customHeight="1" x14ac:dyDescent="0.2"/>
    <row r="986" spans="1:2" ht="15" hidden="1" customHeight="1" x14ac:dyDescent="0.2">
      <c r="A986" s="12" t="s">
        <v>244</v>
      </c>
    </row>
    <row r="987" spans="1:2" ht="15" hidden="1" customHeight="1" x14ac:dyDescent="0.2">
      <c r="A987" s="12">
        <v>0</v>
      </c>
      <c r="B987" s="12" t="s">
        <v>245</v>
      </c>
    </row>
    <row r="988" spans="1:2" ht="15" hidden="1" customHeight="1" x14ac:dyDescent="0.2">
      <c r="A988" s="12">
        <v>1</v>
      </c>
      <c r="B988" s="12" t="s">
        <v>246</v>
      </c>
    </row>
    <row r="989" spans="1:2" ht="15" hidden="1" customHeight="1" x14ac:dyDescent="0.2">
      <c r="A989" s="12">
        <v>2</v>
      </c>
      <c r="B989" s="12" t="s">
        <v>247</v>
      </c>
    </row>
    <row r="990" spans="1:2" ht="15" hidden="1" customHeight="1" x14ac:dyDescent="0.2">
      <c r="A990" s="12">
        <v>3</v>
      </c>
      <c r="B990" s="12" t="s">
        <v>229</v>
      </c>
    </row>
    <row r="991" spans="1:2" ht="15" hidden="1" customHeight="1" x14ac:dyDescent="0.2">
      <c r="A991" s="12">
        <v>4</v>
      </c>
      <c r="B991" s="12" t="s">
        <v>248</v>
      </c>
    </row>
    <row r="992" spans="1:2" ht="15" hidden="1" customHeight="1" x14ac:dyDescent="0.2"/>
    <row r="993" spans="1:11" ht="15" hidden="1" customHeight="1" x14ac:dyDescent="0.2">
      <c r="A993" s="12" t="s">
        <v>381</v>
      </c>
    </row>
    <row r="994" spans="1:11" ht="15" hidden="1" customHeight="1" x14ac:dyDescent="0.2">
      <c r="A994" s="12">
        <v>0</v>
      </c>
      <c r="B994" s="12" t="s">
        <v>202</v>
      </c>
    </row>
    <row r="995" spans="1:11" ht="15" hidden="1" customHeight="1" x14ac:dyDescent="0.2">
      <c r="A995" s="12">
        <v>1</v>
      </c>
      <c r="B995" s="12" t="s">
        <v>190</v>
      </c>
    </row>
    <row r="996" spans="1:11" ht="15" hidden="1" customHeight="1" x14ac:dyDescent="0.2"/>
    <row r="997" spans="1:11" ht="15" hidden="1" customHeight="1" x14ac:dyDescent="0.2">
      <c r="A997" s="12" t="s">
        <v>249</v>
      </c>
    </row>
    <row r="998" spans="1:11" ht="15" hidden="1" customHeight="1" x14ac:dyDescent="0.2">
      <c r="A998" s="12">
        <v>0</v>
      </c>
      <c r="B998" s="12" t="s">
        <v>236</v>
      </c>
    </row>
    <row r="999" spans="1:11" ht="15" hidden="1" customHeight="1" x14ac:dyDescent="0.2">
      <c r="A999" s="12">
        <v>1</v>
      </c>
      <c r="B999" s="12" t="s">
        <v>237</v>
      </c>
    </row>
    <row r="1000" spans="1:11" ht="15" hidden="1" customHeight="1" x14ac:dyDescent="0.2">
      <c r="A1000" s="12">
        <v>2</v>
      </c>
      <c r="B1000" s="12" t="s">
        <v>235</v>
      </c>
    </row>
    <row r="1001" spans="1:11" ht="15" hidden="1" customHeight="1" x14ac:dyDescent="0.2">
      <c r="A1001" s="12">
        <v>3</v>
      </c>
      <c r="B1001" s="12" t="s">
        <v>238</v>
      </c>
    </row>
    <row r="1002" spans="1:11" ht="15" hidden="1" customHeight="1" x14ac:dyDescent="0.2">
      <c r="A1002" s="12">
        <v>4</v>
      </c>
      <c r="B1002" s="12" t="s">
        <v>234</v>
      </c>
    </row>
    <row r="1003" spans="1:11" ht="15" customHeight="1" x14ac:dyDescent="0.2">
      <c r="B1003" s="12" t="s">
        <v>685</v>
      </c>
    </row>
    <row r="1004" spans="1:11" ht="15" customHeight="1" x14ac:dyDescent="0.2">
      <c r="B1004" s="402" t="s">
        <v>700</v>
      </c>
      <c r="C1004" s="403"/>
      <c r="D1004" s="403"/>
      <c r="E1004" s="403"/>
      <c r="F1004" s="403"/>
      <c r="G1004" s="403"/>
      <c r="H1004" s="403"/>
      <c r="I1004" s="403"/>
      <c r="J1004" s="403"/>
      <c r="K1004" s="404"/>
    </row>
    <row r="1005" spans="1:11" ht="15" customHeight="1" x14ac:dyDescent="0.2">
      <c r="B1005" s="396"/>
      <c r="C1005" s="397"/>
      <c r="D1005" s="397"/>
      <c r="E1005" s="397"/>
      <c r="F1005" s="397"/>
      <c r="G1005" s="397"/>
      <c r="H1005" s="397"/>
      <c r="I1005" s="397"/>
      <c r="J1005" s="397"/>
      <c r="K1005" s="398"/>
    </row>
    <row r="1006" spans="1:11" ht="15" customHeight="1" x14ac:dyDescent="0.2">
      <c r="B1006" s="396" t="s">
        <v>695</v>
      </c>
      <c r="C1006" s="397"/>
      <c r="D1006" s="397"/>
      <c r="E1006" s="397"/>
      <c r="F1006" s="397"/>
      <c r="G1006" s="397"/>
      <c r="H1006" s="397"/>
      <c r="I1006" s="397"/>
      <c r="J1006" s="397"/>
      <c r="K1006" s="398"/>
    </row>
    <row r="1007" spans="1:11" ht="15" customHeight="1" x14ac:dyDescent="0.2">
      <c r="B1007" s="396"/>
      <c r="C1007" s="397"/>
      <c r="D1007" s="397"/>
      <c r="E1007" s="397"/>
      <c r="F1007" s="397"/>
      <c r="G1007" s="397"/>
      <c r="H1007" s="397"/>
      <c r="I1007" s="397"/>
      <c r="J1007" s="397"/>
      <c r="K1007" s="398"/>
    </row>
    <row r="1008" spans="1:11" ht="30" customHeight="1" x14ac:dyDescent="0.2">
      <c r="B1008" s="396" t="s">
        <v>698</v>
      </c>
      <c r="C1008" s="397"/>
      <c r="D1008" s="397"/>
      <c r="E1008" s="397"/>
      <c r="F1008" s="397"/>
      <c r="G1008" s="397"/>
      <c r="H1008" s="397"/>
      <c r="I1008" s="397"/>
      <c r="J1008" s="397"/>
      <c r="K1008" s="398"/>
    </row>
    <row r="1009" spans="2:11" ht="15" customHeight="1" x14ac:dyDescent="0.2">
      <c r="B1009" s="396"/>
      <c r="C1009" s="397"/>
      <c r="D1009" s="397"/>
      <c r="E1009" s="397"/>
      <c r="F1009" s="397"/>
      <c r="G1009" s="397"/>
      <c r="H1009" s="397"/>
      <c r="I1009" s="397"/>
      <c r="J1009" s="397"/>
      <c r="K1009" s="398"/>
    </row>
    <row r="1010" spans="2:11" ht="30" customHeight="1" x14ac:dyDescent="0.2">
      <c r="B1010" s="396" t="s">
        <v>689</v>
      </c>
      <c r="C1010" s="397"/>
      <c r="D1010" s="397"/>
      <c r="E1010" s="397"/>
      <c r="F1010" s="397"/>
      <c r="G1010" s="397"/>
      <c r="H1010" s="397"/>
      <c r="I1010" s="397"/>
      <c r="J1010" s="397"/>
      <c r="K1010" s="398"/>
    </row>
    <row r="1011" spans="2:11" ht="15" customHeight="1" x14ac:dyDescent="0.2">
      <c r="B1011" s="396"/>
      <c r="C1011" s="397"/>
      <c r="D1011" s="397"/>
      <c r="E1011" s="397"/>
      <c r="F1011" s="397"/>
      <c r="G1011" s="397"/>
      <c r="H1011" s="397"/>
      <c r="I1011" s="397"/>
      <c r="J1011" s="397"/>
      <c r="K1011" s="398"/>
    </row>
    <row r="1012" spans="2:11" ht="30" customHeight="1" x14ac:dyDescent="0.2">
      <c r="B1012" s="396" t="s">
        <v>699</v>
      </c>
      <c r="C1012" s="397"/>
      <c r="D1012" s="397"/>
      <c r="E1012" s="397"/>
      <c r="F1012" s="397"/>
      <c r="G1012" s="397"/>
      <c r="H1012" s="397"/>
      <c r="I1012" s="397"/>
      <c r="J1012" s="397"/>
      <c r="K1012" s="398"/>
    </row>
    <row r="1013" spans="2:11" ht="15" customHeight="1" x14ac:dyDescent="0.2">
      <c r="B1013" s="396"/>
      <c r="C1013" s="397"/>
      <c r="D1013" s="397"/>
      <c r="E1013" s="397"/>
      <c r="F1013" s="397"/>
      <c r="G1013" s="397"/>
      <c r="H1013" s="397"/>
      <c r="I1013" s="397"/>
      <c r="J1013" s="397"/>
      <c r="K1013" s="398"/>
    </row>
    <row r="1014" spans="2:11" ht="15" customHeight="1" x14ac:dyDescent="0.2">
      <c r="B1014" s="396"/>
      <c r="C1014" s="397"/>
      <c r="D1014" s="397"/>
      <c r="E1014" s="397"/>
      <c r="F1014" s="397"/>
      <c r="G1014" s="397"/>
      <c r="H1014" s="397"/>
      <c r="I1014" s="397"/>
      <c r="J1014" s="397"/>
      <c r="K1014" s="398"/>
    </row>
    <row r="1015" spans="2:11" ht="15" customHeight="1" x14ac:dyDescent="0.2">
      <c r="B1015" s="396"/>
      <c r="C1015" s="397"/>
      <c r="D1015" s="397"/>
      <c r="E1015" s="397"/>
      <c r="F1015" s="397"/>
      <c r="G1015" s="397"/>
      <c r="H1015" s="397"/>
      <c r="I1015" s="397"/>
      <c r="J1015" s="397"/>
      <c r="K1015" s="398"/>
    </row>
    <row r="1016" spans="2:11" ht="15" customHeight="1" x14ac:dyDescent="0.2">
      <c r="B1016" s="396"/>
      <c r="C1016" s="397"/>
      <c r="D1016" s="397"/>
      <c r="E1016" s="397"/>
      <c r="F1016" s="397"/>
      <c r="G1016" s="397"/>
      <c r="H1016" s="397"/>
      <c r="I1016" s="397"/>
      <c r="J1016" s="397"/>
      <c r="K1016" s="398"/>
    </row>
    <row r="1017" spans="2:11" ht="15" customHeight="1" x14ac:dyDescent="0.2">
      <c r="B1017" s="396"/>
      <c r="C1017" s="397"/>
      <c r="D1017" s="397"/>
      <c r="E1017" s="397"/>
      <c r="F1017" s="397"/>
      <c r="G1017" s="397"/>
      <c r="H1017" s="397"/>
      <c r="I1017" s="397"/>
      <c r="J1017" s="397"/>
      <c r="K1017" s="398"/>
    </row>
    <row r="1018" spans="2:11" ht="15" customHeight="1" x14ac:dyDescent="0.2">
      <c r="B1018" s="396"/>
      <c r="C1018" s="397"/>
      <c r="D1018" s="397"/>
      <c r="E1018" s="397"/>
      <c r="F1018" s="397"/>
      <c r="G1018" s="397"/>
      <c r="H1018" s="397"/>
      <c r="I1018" s="397"/>
      <c r="J1018" s="397"/>
      <c r="K1018" s="398"/>
    </row>
    <row r="1019" spans="2:11" ht="15" customHeight="1" x14ac:dyDescent="0.2">
      <c r="B1019" s="396"/>
      <c r="C1019" s="397"/>
      <c r="D1019" s="397"/>
      <c r="E1019" s="397"/>
      <c r="F1019" s="397"/>
      <c r="G1019" s="397"/>
      <c r="H1019" s="397"/>
      <c r="I1019" s="397"/>
      <c r="J1019" s="397"/>
      <c r="K1019" s="398"/>
    </row>
    <row r="1020" spans="2:11" ht="15" customHeight="1" x14ac:dyDescent="0.2">
      <c r="B1020" s="396"/>
      <c r="C1020" s="397"/>
      <c r="D1020" s="397"/>
      <c r="E1020" s="397"/>
      <c r="F1020" s="397"/>
      <c r="G1020" s="397"/>
      <c r="H1020" s="397"/>
      <c r="I1020" s="397"/>
      <c r="J1020" s="397"/>
      <c r="K1020" s="398"/>
    </row>
    <row r="1021" spans="2:11" ht="15" customHeight="1" x14ac:dyDescent="0.2">
      <c r="B1021" s="396"/>
      <c r="C1021" s="397"/>
      <c r="D1021" s="397"/>
      <c r="E1021" s="397"/>
      <c r="F1021" s="397"/>
      <c r="G1021" s="397"/>
      <c r="H1021" s="397"/>
      <c r="I1021" s="397"/>
      <c r="J1021" s="397"/>
      <c r="K1021" s="398"/>
    </row>
    <row r="1022" spans="2:11" ht="15" customHeight="1" x14ac:dyDescent="0.2">
      <c r="B1022" s="396"/>
      <c r="C1022" s="397"/>
      <c r="D1022" s="397"/>
      <c r="E1022" s="397"/>
      <c r="F1022" s="397"/>
      <c r="G1022" s="397"/>
      <c r="H1022" s="397"/>
      <c r="I1022" s="397"/>
      <c r="J1022" s="397"/>
      <c r="K1022" s="398"/>
    </row>
    <row r="1023" spans="2:11" ht="15" customHeight="1" x14ac:dyDescent="0.2">
      <c r="B1023" s="396"/>
      <c r="C1023" s="397"/>
      <c r="D1023" s="397"/>
      <c r="E1023" s="397"/>
      <c r="F1023" s="397"/>
      <c r="G1023" s="397"/>
      <c r="H1023" s="397"/>
      <c r="I1023" s="397"/>
      <c r="J1023" s="397"/>
      <c r="K1023" s="398"/>
    </row>
    <row r="1024" spans="2:11" ht="15" customHeight="1" x14ac:dyDescent="0.2">
      <c r="B1024" s="396"/>
      <c r="C1024" s="397"/>
      <c r="D1024" s="397"/>
      <c r="E1024" s="397"/>
      <c r="F1024" s="397"/>
      <c r="G1024" s="397"/>
      <c r="H1024" s="397"/>
      <c r="I1024" s="397"/>
      <c r="J1024" s="397"/>
      <c r="K1024" s="398"/>
    </row>
    <row r="1025" spans="2:11" ht="15" customHeight="1" x14ac:dyDescent="0.2">
      <c r="B1025" s="396"/>
      <c r="C1025" s="397"/>
      <c r="D1025" s="397"/>
      <c r="E1025" s="397"/>
      <c r="F1025" s="397"/>
      <c r="G1025" s="397"/>
      <c r="H1025" s="397"/>
      <c r="I1025" s="397"/>
      <c r="J1025" s="397"/>
      <c r="K1025" s="398"/>
    </row>
    <row r="1026" spans="2:11" ht="15" customHeight="1" x14ac:dyDescent="0.2">
      <c r="B1026" s="396"/>
      <c r="C1026" s="397"/>
      <c r="D1026" s="397"/>
      <c r="E1026" s="397"/>
      <c r="F1026" s="397"/>
      <c r="G1026" s="397"/>
      <c r="H1026" s="397"/>
      <c r="I1026" s="397"/>
      <c r="J1026" s="397"/>
      <c r="K1026" s="398"/>
    </row>
    <row r="1027" spans="2:11" ht="15" customHeight="1" x14ac:dyDescent="0.2">
      <c r="B1027" s="396"/>
      <c r="C1027" s="397"/>
      <c r="D1027" s="397"/>
      <c r="E1027" s="397"/>
      <c r="F1027" s="397"/>
      <c r="G1027" s="397"/>
      <c r="H1027" s="397"/>
      <c r="I1027" s="397"/>
      <c r="J1027" s="397"/>
      <c r="K1027" s="398"/>
    </row>
    <row r="1028" spans="2:11" ht="15" customHeight="1" x14ac:dyDescent="0.2">
      <c r="B1028" s="396"/>
      <c r="C1028" s="397"/>
      <c r="D1028" s="397"/>
      <c r="E1028" s="397"/>
      <c r="F1028" s="397"/>
      <c r="G1028" s="397"/>
      <c r="H1028" s="397"/>
      <c r="I1028" s="397"/>
      <c r="J1028" s="397"/>
      <c r="K1028" s="398"/>
    </row>
    <row r="1029" spans="2:11" ht="15" customHeight="1" x14ac:dyDescent="0.2">
      <c r="B1029" s="393"/>
      <c r="C1029" s="394"/>
      <c r="D1029" s="394"/>
      <c r="E1029" s="394"/>
      <c r="F1029" s="394"/>
      <c r="G1029" s="394"/>
      <c r="H1029" s="394"/>
      <c r="I1029" s="394"/>
      <c r="J1029" s="394"/>
      <c r="K1029" s="395"/>
    </row>
  </sheetData>
  <sheetProtection formatCells="0" formatColumns="0" formatRows="0" selectLockedCells="1"/>
  <mergeCells count="152">
    <mergeCell ref="C900:J901"/>
    <mergeCell ref="G904:H904"/>
    <mergeCell ref="G908:H908"/>
    <mergeCell ref="G912:H912"/>
    <mergeCell ref="C641:I643"/>
    <mergeCell ref="C655:J655"/>
    <mergeCell ref="D664:I665"/>
    <mergeCell ref="C677:J677"/>
    <mergeCell ref="C729:J731"/>
    <mergeCell ref="G732:H732"/>
    <mergeCell ref="C744:J746"/>
    <mergeCell ref="G747:H747"/>
    <mergeCell ref="C759:J761"/>
    <mergeCell ref="G751:H751"/>
    <mergeCell ref="G752:H752"/>
    <mergeCell ref="G740:H740"/>
    <mergeCell ref="G738:H738"/>
    <mergeCell ref="G739:H739"/>
    <mergeCell ref="G733:H733"/>
    <mergeCell ref="G734:H734"/>
    <mergeCell ref="G735:H735"/>
    <mergeCell ref="G725:H725"/>
    <mergeCell ref="G720:H720"/>
    <mergeCell ref="G721:H721"/>
    <mergeCell ref="G722:H722"/>
    <mergeCell ref="G723:H723"/>
    <mergeCell ref="G724:H724"/>
    <mergeCell ref="G718:H718"/>
    <mergeCell ref="C560:J560"/>
    <mergeCell ref="C566:I568"/>
    <mergeCell ref="C569:I571"/>
    <mergeCell ref="C583:J583"/>
    <mergeCell ref="C599:J599"/>
    <mergeCell ref="C613:J613"/>
    <mergeCell ref="C620:I621"/>
    <mergeCell ref="C633:J633"/>
    <mergeCell ref="C639:I640"/>
    <mergeCell ref="G719:H719"/>
    <mergeCell ref="C714:J716"/>
    <mergeCell ref="G717:H717"/>
    <mergeCell ref="C340:I341"/>
    <mergeCell ref="C385:J385"/>
    <mergeCell ref="C330:I331"/>
    <mergeCell ref="C420:I421"/>
    <mergeCell ref="C438:J438"/>
    <mergeCell ref="C444:I445"/>
    <mergeCell ref="C455:J455"/>
    <mergeCell ref="C486:J486"/>
    <mergeCell ref="C502:J502"/>
    <mergeCell ref="C120:J122"/>
    <mergeCell ref="C123:J124"/>
    <mergeCell ref="C129:J129"/>
    <mergeCell ref="C95:J95"/>
    <mergeCell ref="C114:J114"/>
    <mergeCell ref="C76:J76"/>
    <mergeCell ref="C57:J57"/>
    <mergeCell ref="B5:K5"/>
    <mergeCell ref="B6:K6"/>
    <mergeCell ref="B7:K7"/>
    <mergeCell ref="B8:K8"/>
    <mergeCell ref="B9:K9"/>
    <mergeCell ref="B10:K10"/>
    <mergeCell ref="E15:J15"/>
    <mergeCell ref="C38:J38"/>
    <mergeCell ref="C286:J286"/>
    <mergeCell ref="C305:J305"/>
    <mergeCell ref="C324:J324"/>
    <mergeCell ref="C257:J257"/>
    <mergeCell ref="C216:J216"/>
    <mergeCell ref="C237:J237"/>
    <mergeCell ref="C176:J176"/>
    <mergeCell ref="C196:J196"/>
    <mergeCell ref="C155:J155"/>
    <mergeCell ref="C292:I293"/>
    <mergeCell ref="C311:I312"/>
    <mergeCell ref="C535:J535"/>
    <mergeCell ref="C471:J471"/>
    <mergeCell ref="C477:I478"/>
    <mergeCell ref="D343:I344"/>
    <mergeCell ref="C402:J402"/>
    <mergeCell ref="C416:J416"/>
    <mergeCell ref="C347:J347"/>
    <mergeCell ref="C365:J365"/>
    <mergeCell ref="C371:I372"/>
    <mergeCell ref="C391:I392"/>
    <mergeCell ref="C518:J518"/>
    <mergeCell ref="C524:I525"/>
    <mergeCell ref="G736:H736"/>
    <mergeCell ref="G767:H767"/>
    <mergeCell ref="G755:H755"/>
    <mergeCell ref="G753:H753"/>
    <mergeCell ref="G754:H754"/>
    <mergeCell ref="G763:H763"/>
    <mergeCell ref="G764:H764"/>
    <mergeCell ref="G765:H765"/>
    <mergeCell ref="G766:H766"/>
    <mergeCell ref="G737:H737"/>
    <mergeCell ref="G748:H748"/>
    <mergeCell ref="G749:H749"/>
    <mergeCell ref="G762:H762"/>
    <mergeCell ref="G750:H750"/>
    <mergeCell ref="G770:H770"/>
    <mergeCell ref="G768:H768"/>
    <mergeCell ref="G769:H769"/>
    <mergeCell ref="C830:J831"/>
    <mergeCell ref="G834:H834"/>
    <mergeCell ref="G838:H838"/>
    <mergeCell ref="G842:H842"/>
    <mergeCell ref="G846:H846"/>
    <mergeCell ref="G850:H850"/>
    <mergeCell ref="G854:H854"/>
    <mergeCell ref="G858:H858"/>
    <mergeCell ref="G862:H862"/>
    <mergeCell ref="G870:H870"/>
    <mergeCell ref="G874:H874"/>
    <mergeCell ref="B1008:K1008"/>
    <mergeCell ref="B1009:K1009"/>
    <mergeCell ref="B1010:K1010"/>
    <mergeCell ref="B1011:K1011"/>
    <mergeCell ref="B1005:K1005"/>
    <mergeCell ref="B1006:K1006"/>
    <mergeCell ref="B1007:K1007"/>
    <mergeCell ref="G916:H916"/>
    <mergeCell ref="G920:H920"/>
    <mergeCell ref="G924:H924"/>
    <mergeCell ref="G928:H928"/>
    <mergeCell ref="G932:H932"/>
    <mergeCell ref="G866:H866"/>
    <mergeCell ref="G878:H878"/>
    <mergeCell ref="G882:H882"/>
    <mergeCell ref="G886:H886"/>
    <mergeCell ref="F959:H960"/>
    <mergeCell ref="B1004:K1004"/>
    <mergeCell ref="G890:H890"/>
    <mergeCell ref="B1012:K1012"/>
    <mergeCell ref="B1013:K1013"/>
    <mergeCell ref="B1023:K1023"/>
    <mergeCell ref="B1024:K1024"/>
    <mergeCell ref="B1025:K1025"/>
    <mergeCell ref="B1026:K1026"/>
    <mergeCell ref="B1027:K1027"/>
    <mergeCell ref="B1028:K1028"/>
    <mergeCell ref="B1029:K1029"/>
    <mergeCell ref="B1014:K1014"/>
    <mergeCell ref="B1015:K1015"/>
    <mergeCell ref="B1016:K1016"/>
    <mergeCell ref="B1017:K1017"/>
    <mergeCell ref="B1018:K1018"/>
    <mergeCell ref="B1019:K1019"/>
    <mergeCell ref="B1020:K1020"/>
    <mergeCell ref="B1021:K1021"/>
    <mergeCell ref="B1022:K1022"/>
  </mergeCells>
  <dataValidations count="23">
    <dataValidation type="list" allowBlank="1" showInputMessage="1" showErrorMessage="1" sqref="J672" xr:uid="{00000000-0002-0000-0B00-000000000000}">
      <formula1>$N$671:$N$676</formula1>
    </dataValidation>
    <dataValidation type="list" allowBlank="1" showInputMessage="1" showErrorMessage="1" sqref="J650" xr:uid="{00000000-0002-0000-0B00-000001000000}">
      <formula1>$N$649:$N$654</formula1>
    </dataValidation>
    <dataValidation type="list" allowBlank="1" showInputMessage="1" showErrorMessage="1" sqref="J628" xr:uid="{00000000-0002-0000-0B00-000002000000}">
      <formula1>$N$627:$N$632</formula1>
    </dataValidation>
    <dataValidation type="list" allowBlank="1" showInputMessage="1" showErrorMessage="1" sqref="J578" xr:uid="{00000000-0002-0000-0B00-000003000000}">
      <formula1>$N$577:$N$582</formula1>
    </dataValidation>
    <dataValidation type="list" allowBlank="1" showInputMessage="1" showErrorMessage="1" sqref="J555" xr:uid="{00000000-0002-0000-0B00-000004000000}">
      <formula1>$N$554:$N$559</formula1>
    </dataValidation>
    <dataValidation type="list" allowBlank="1" showInputMessage="1" showErrorMessage="1" sqref="J281" xr:uid="{00000000-0002-0000-0B00-000005000000}">
      <formula1>$N$280:$N$285</formula1>
    </dataValidation>
    <dataValidation type="list" allowBlank="1" showInputMessage="1" showErrorMessage="1" sqref="J252" xr:uid="{00000000-0002-0000-0B00-000006000000}">
      <formula1>$N$251:$N$256</formula1>
    </dataValidation>
    <dataValidation type="list" allowBlank="1" showInputMessage="1" showErrorMessage="1" sqref="J232" xr:uid="{00000000-0002-0000-0B00-000007000000}">
      <formula1>$N$231:$N$236</formula1>
    </dataValidation>
    <dataValidation type="list" allowBlank="1" showInputMessage="1" showErrorMessage="1" sqref="J211" xr:uid="{00000000-0002-0000-0B00-000008000000}">
      <formula1>$N$210:$N$215</formula1>
    </dataValidation>
    <dataValidation type="list" allowBlank="1" showInputMessage="1" showErrorMessage="1" sqref="J191" xr:uid="{00000000-0002-0000-0B00-000009000000}">
      <formula1>$N$190:$N$195</formula1>
    </dataValidation>
    <dataValidation type="list" allowBlank="1" showInputMessage="1" showErrorMessage="1" sqref="J171" xr:uid="{00000000-0002-0000-0B00-00000A000000}">
      <formula1>$N$170:$N$175</formula1>
    </dataValidation>
    <dataValidation type="list" allowBlank="1" showInputMessage="1" showErrorMessage="1" sqref="J150" xr:uid="{00000000-0002-0000-0B00-00000B000000}">
      <formula1>$N$149:$N$154</formula1>
    </dataValidation>
    <dataValidation type="list" allowBlank="1" showInputMessage="1" showErrorMessage="1" sqref="J109" xr:uid="{00000000-0002-0000-0B00-00000C000000}">
      <formula1>$N$108:$N$113</formula1>
    </dataValidation>
    <dataValidation type="list" allowBlank="1" showInputMessage="1" showErrorMessage="1" sqref="J90" xr:uid="{00000000-0002-0000-0B00-00000D000000}">
      <formula1>$N$89:$N$94</formula1>
    </dataValidation>
    <dataValidation type="list" allowBlank="1" showInputMessage="1" showErrorMessage="1" sqref="J71" xr:uid="{00000000-0002-0000-0B00-00000E000000}">
      <formula1>$N$70:$N$75</formula1>
    </dataValidation>
    <dataValidation type="list" allowBlank="1" showInputMessage="1" showErrorMessage="1" sqref="J52" xr:uid="{00000000-0002-0000-0B00-00000F000000}">
      <formula1>$N$51:$N$56</formula1>
    </dataValidation>
    <dataValidation type="list" allowBlank="1" showInputMessage="1" showErrorMessage="1" sqref="J33" xr:uid="{00000000-0002-0000-0B00-000010000000}">
      <formula1>$N$32:$N$37</formula1>
    </dataValidation>
    <dataValidation type="list" allowBlank="1" showInputMessage="1" showErrorMessage="1" sqref="J35 J213 J283 J652 J234 J54 J193 J173 J152 J126 J111 J92 J73 J254 J435 J452 J468 J499 J515 J532 J557 J580 J596 J674 J630" xr:uid="{00000000-0002-0000-0B00-000011000000}">
      <formula1>$B$973:$B$977</formula1>
    </dataValidation>
    <dataValidation type="list" allowBlank="1" showInputMessage="1" showErrorMessage="1" sqref="C123:J124" xr:uid="{00000000-0002-0000-0B00-000012000000}">
      <formula1>$B$987:$B$991</formula1>
    </dataValidation>
    <dataValidation type="list" allowBlank="1" showInputMessage="1" showErrorMessage="1" sqref="J302 J362" xr:uid="{00000000-0002-0000-0B00-000013000000}">
      <formula1>$B$980:$B$984</formula1>
    </dataValidation>
    <dataValidation type="list" allowBlank="1" showInputMessage="1" showErrorMessage="1" sqref="G717:H725 G762:H770 G732:H740 G747:H755" xr:uid="{00000000-0002-0000-0B00-000014000000}">
      <formula1>$B$994:$B$995</formula1>
    </dataValidation>
    <dataValidation type="list" allowBlank="1" showInputMessage="1" showErrorMessage="1" sqref="G834:H834 G890:H890 G886:H886 G882:H882 G878:H878 G874:H874 G870:H870 G866:H866 G862:H862 G858:H858 G854:H854 G850:H850 G846:H846 G842:H842 G838:H838 G904:H904 G932:H932 G928:H928 G924:H924 G920:H920 G916:H916 G912:H912 G908:H908" xr:uid="{00000000-0002-0000-0B00-000015000000}">
      <formula1>$B$998:$B$1002</formula1>
    </dataValidation>
    <dataValidation type="list" allowBlank="1" showInputMessage="1" showErrorMessage="1" sqref="E15:J15" xr:uid="{00000000-0002-0000-0B00-000016000000}">
      <formula1>$C$966:$C$970</formula1>
    </dataValidation>
  </dataValidations>
  <pageMargins left="0.7" right="0.7" top="0.75" bottom="0.75" header="0.3" footer="0.3"/>
  <pageSetup scale="68" orientation="portrait" r:id="rId1"/>
  <rowBreaks count="1" manualBreakCount="1">
    <brk id="929" max="11"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dimension ref="A1:N1029"/>
  <sheetViews>
    <sheetView showGridLines="0" showRowColHeaders="0" zoomScaleNormal="100" workbookViewId="0">
      <selection activeCell="P595" sqref="P595"/>
    </sheetView>
  </sheetViews>
  <sheetFormatPr baseColWidth="10" defaultColWidth="9.1640625" defaultRowHeight="15" x14ac:dyDescent="0.2"/>
  <cols>
    <col min="1" max="1" width="9.1640625" style="12"/>
    <col min="2" max="3" width="9.1640625" style="12" customWidth="1"/>
    <col min="4" max="4" width="9.1640625" style="12"/>
    <col min="5" max="5" width="9.1640625" style="12" customWidth="1"/>
    <col min="6" max="9" width="9.1640625" style="12"/>
    <col min="10" max="10" width="25.6640625" style="12" customWidth="1"/>
    <col min="11" max="13" width="9.1640625" style="12"/>
    <col min="14" max="14" width="9.1640625" style="12" hidden="1" customWidth="1"/>
    <col min="15" max="16384" width="9.1640625" style="12"/>
  </cols>
  <sheetData>
    <row r="1" spans="2:13" x14ac:dyDescent="0.2">
      <c r="I1" s="29"/>
    </row>
    <row r="2" spans="2:13" ht="33" x14ac:dyDescent="0.2">
      <c r="G2" s="16" t="s">
        <v>1038</v>
      </c>
      <c r="I2" s="29"/>
    </row>
    <row r="3" spans="2:13" ht="23" x14ac:dyDescent="0.25">
      <c r="G3" s="30" t="s">
        <v>14</v>
      </c>
      <c r="I3" s="29"/>
      <c r="L3" s="157"/>
      <c r="M3" s="157"/>
    </row>
    <row r="4" spans="2:13" x14ac:dyDescent="0.2">
      <c r="G4" s="98"/>
      <c r="I4" s="29"/>
      <c r="L4" s="158"/>
      <c r="M4" s="157"/>
    </row>
    <row r="5" spans="2:13" ht="45" customHeight="1" x14ac:dyDescent="0.2">
      <c r="B5" s="426" t="s">
        <v>667</v>
      </c>
      <c r="C5" s="427"/>
      <c r="D5" s="427"/>
      <c r="E5" s="427"/>
      <c r="F5" s="427"/>
      <c r="G5" s="427"/>
      <c r="H5" s="427"/>
      <c r="I5" s="427"/>
      <c r="J5" s="427"/>
      <c r="K5" s="427"/>
      <c r="L5" s="158"/>
      <c r="M5" s="157"/>
    </row>
    <row r="6" spans="2:13" x14ac:dyDescent="0.2">
      <c r="B6" s="426"/>
      <c r="C6" s="426"/>
      <c r="D6" s="426"/>
      <c r="E6" s="426"/>
      <c r="F6" s="426"/>
      <c r="G6" s="426"/>
      <c r="H6" s="426"/>
      <c r="I6" s="426"/>
      <c r="J6" s="426"/>
      <c r="K6" s="426"/>
      <c r="L6" s="158"/>
    </row>
    <row r="7" spans="2:13" ht="60" customHeight="1" x14ac:dyDescent="0.2">
      <c r="B7" s="425" t="s">
        <v>664</v>
      </c>
      <c r="C7" s="341"/>
      <c r="D7" s="341"/>
      <c r="E7" s="341"/>
      <c r="F7" s="341"/>
      <c r="G7" s="341"/>
      <c r="H7" s="341"/>
      <c r="I7" s="341"/>
      <c r="J7" s="341"/>
      <c r="K7" s="341"/>
      <c r="L7" s="158"/>
    </row>
    <row r="8" spans="2:13" x14ac:dyDescent="0.2">
      <c r="B8" s="426"/>
      <c r="C8" s="426"/>
      <c r="D8" s="426"/>
      <c r="E8" s="426"/>
      <c r="F8" s="426"/>
      <c r="G8" s="426"/>
      <c r="H8" s="426"/>
      <c r="I8" s="426"/>
      <c r="J8" s="426"/>
      <c r="K8" s="426"/>
      <c r="L8" s="158"/>
    </row>
    <row r="9" spans="2:13" ht="30" customHeight="1" x14ac:dyDescent="0.2">
      <c r="B9" s="445" t="s">
        <v>665</v>
      </c>
      <c r="C9" s="446"/>
      <c r="D9" s="446"/>
      <c r="E9" s="446"/>
      <c r="F9" s="446"/>
      <c r="G9" s="446"/>
      <c r="H9" s="446"/>
      <c r="I9" s="446"/>
      <c r="J9" s="446"/>
      <c r="K9" s="446"/>
      <c r="L9" s="158"/>
    </row>
    <row r="10" spans="2:13" ht="60" customHeight="1" x14ac:dyDescent="0.2">
      <c r="B10" s="447" t="s">
        <v>1315</v>
      </c>
      <c r="C10" s="448"/>
      <c r="D10" s="448"/>
      <c r="E10" s="448"/>
      <c r="F10" s="448"/>
      <c r="G10" s="448"/>
      <c r="H10" s="448"/>
      <c r="I10" s="448"/>
      <c r="J10" s="448"/>
      <c r="K10" s="449"/>
    </row>
    <row r="11" spans="2:13" ht="16" thickBot="1" x14ac:dyDescent="0.25"/>
    <row r="12" spans="2:13" x14ac:dyDescent="0.2">
      <c r="B12" s="159"/>
      <c r="C12" s="160"/>
      <c r="D12" s="160"/>
      <c r="E12" s="160"/>
      <c r="F12" s="160"/>
      <c r="G12" s="160"/>
      <c r="H12" s="160"/>
      <c r="I12" s="160"/>
      <c r="J12" s="160"/>
      <c r="K12" s="161"/>
    </row>
    <row r="13" spans="2:13" ht="21" x14ac:dyDescent="0.25">
      <c r="B13" s="162"/>
      <c r="C13" s="163"/>
      <c r="D13" s="163"/>
      <c r="E13" s="163"/>
      <c r="F13" s="163"/>
      <c r="G13" s="164" t="s">
        <v>226</v>
      </c>
      <c r="H13" s="163"/>
      <c r="I13" s="163"/>
      <c r="J13" s="163"/>
      <c r="K13" s="165"/>
    </row>
    <row r="14" spans="2:13" ht="21" x14ac:dyDescent="0.25">
      <c r="B14" s="162"/>
      <c r="C14" s="163"/>
      <c r="D14" s="163"/>
      <c r="E14" s="163"/>
      <c r="F14" s="163"/>
      <c r="G14" s="164"/>
      <c r="H14" s="163"/>
      <c r="I14" s="163"/>
      <c r="J14" s="163"/>
      <c r="K14" s="165"/>
    </row>
    <row r="15" spans="2:13" ht="26.25" customHeight="1" x14ac:dyDescent="0.2">
      <c r="B15" s="162"/>
      <c r="C15" s="163" t="s">
        <v>255</v>
      </c>
      <c r="D15" s="163"/>
      <c r="E15" s="412" t="s">
        <v>242</v>
      </c>
      <c r="F15" s="413"/>
      <c r="G15" s="413"/>
      <c r="H15" s="413"/>
      <c r="I15" s="413"/>
      <c r="J15" s="414"/>
      <c r="K15" s="165"/>
    </row>
    <row r="16" spans="2:13" x14ac:dyDescent="0.2">
      <c r="B16" s="162"/>
      <c r="C16" s="163"/>
      <c r="D16" s="163"/>
      <c r="E16" s="163"/>
      <c r="F16" s="163"/>
      <c r="G16" s="163"/>
      <c r="H16" s="163"/>
      <c r="I16" s="163"/>
      <c r="J16" s="163"/>
      <c r="K16" s="165"/>
    </row>
    <row r="17" spans="2:14" x14ac:dyDescent="0.2">
      <c r="B17" s="162"/>
      <c r="C17" s="166" t="s">
        <v>256</v>
      </c>
      <c r="D17" s="163"/>
      <c r="E17" s="167">
        <f>IF(E15=$C$966,$A$966,IF(E15=$C$967,$A$967,IF(E15=$C$968,$A$968,IF(E15=$C$969,$A$969,IF(E15=$C$970,$A$970,"Not Calculated")))))</f>
        <v>2</v>
      </c>
      <c r="F17" s="163"/>
      <c r="G17" s="163"/>
      <c r="H17" s="163"/>
      <c r="I17" s="163"/>
      <c r="J17" s="163"/>
      <c r="K17" s="165"/>
    </row>
    <row r="18" spans="2:14" x14ac:dyDescent="0.2">
      <c r="B18" s="162"/>
      <c r="C18" s="163"/>
      <c r="D18" s="163"/>
      <c r="E18" s="167" t="str">
        <f>IF(E15=$C$966,$B$966,IF(E15=$C$967,$B$967,IF(E15=$C$968,$B$968,IF(E15=$C$969,$B$969,IF(E15=$C$970,$B$970,"Not Calculated")))))</f>
        <v>Occasional</v>
      </c>
      <c r="F18" s="163"/>
      <c r="G18" s="163"/>
      <c r="H18" s="163"/>
      <c r="I18" s="163"/>
      <c r="J18" s="163"/>
      <c r="K18" s="165"/>
    </row>
    <row r="19" spans="2:14" ht="16" thickBot="1" x14ac:dyDescent="0.25">
      <c r="B19" s="168"/>
      <c r="C19" s="169"/>
      <c r="D19" s="169"/>
      <c r="E19" s="169"/>
      <c r="F19" s="169"/>
      <c r="G19" s="169"/>
      <c r="H19" s="169"/>
      <c r="I19" s="169"/>
      <c r="J19" s="169"/>
      <c r="K19" s="170"/>
    </row>
    <row r="20" spans="2:14" ht="16" thickBot="1" x14ac:dyDescent="0.25"/>
    <row r="21" spans="2:14" x14ac:dyDescent="0.2">
      <c r="B21" s="33"/>
      <c r="C21" s="34"/>
      <c r="D21" s="34"/>
      <c r="E21" s="34"/>
      <c r="F21" s="34"/>
      <c r="G21" s="34"/>
      <c r="H21" s="34"/>
      <c r="I21" s="34"/>
      <c r="J21" s="34"/>
      <c r="K21" s="37"/>
    </row>
    <row r="22" spans="2:14" ht="21" x14ac:dyDescent="0.25">
      <c r="B22" s="38"/>
      <c r="C22" s="171"/>
      <c r="D22" s="40"/>
      <c r="E22" s="40"/>
      <c r="F22" s="40"/>
      <c r="G22" s="172" t="s">
        <v>26</v>
      </c>
      <c r="H22" s="40"/>
      <c r="I22" s="40"/>
      <c r="J22" s="40"/>
      <c r="K22" s="41"/>
    </row>
    <row r="23" spans="2:14" x14ac:dyDescent="0.2">
      <c r="B23" s="38"/>
      <c r="C23" s="40"/>
      <c r="D23" s="40"/>
      <c r="E23" s="40"/>
      <c r="F23" s="40"/>
      <c r="G23" s="40"/>
      <c r="H23" s="40"/>
      <c r="I23" s="40"/>
      <c r="J23" s="40"/>
      <c r="K23" s="41"/>
    </row>
    <row r="24" spans="2:14" ht="16" x14ac:dyDescent="0.2">
      <c r="B24" s="38"/>
      <c r="C24" s="45" t="s">
        <v>61</v>
      </c>
      <c r="D24" s="40"/>
      <c r="E24" s="40"/>
      <c r="F24" s="40"/>
      <c r="G24" s="40"/>
      <c r="H24" s="40"/>
      <c r="I24" s="40"/>
      <c r="J24" s="40"/>
      <c r="K24" s="41"/>
    </row>
    <row r="25" spans="2:14" x14ac:dyDescent="0.2">
      <c r="B25" s="38"/>
      <c r="C25" s="40" t="s">
        <v>434</v>
      </c>
      <c r="D25" s="40"/>
      <c r="E25" s="40"/>
      <c r="F25" s="40"/>
      <c r="G25" s="40"/>
      <c r="H25" s="40"/>
      <c r="I25" s="40"/>
      <c r="J25" s="252">
        <f>'Baseline Health'!G11</f>
        <v>0</v>
      </c>
      <c r="K25" s="41"/>
    </row>
    <row r="26" spans="2:14" x14ac:dyDescent="0.2">
      <c r="B26" s="38"/>
      <c r="C26" s="40" t="s">
        <v>288</v>
      </c>
      <c r="D26" s="40"/>
      <c r="E26" s="40"/>
      <c r="F26" s="40"/>
      <c r="G26" s="40"/>
      <c r="H26" s="40"/>
      <c r="I26" s="40"/>
      <c r="J26" s="264">
        <f>('Baseline Health'!G6*0.0000059)/6</f>
        <v>0</v>
      </c>
      <c r="K26" s="41"/>
    </row>
    <row r="27" spans="2:14" x14ac:dyDescent="0.2">
      <c r="B27" s="38"/>
      <c r="C27" s="40" t="s">
        <v>260</v>
      </c>
      <c r="D27" s="40"/>
      <c r="E27" s="40"/>
      <c r="F27" s="40"/>
      <c r="G27" s="40"/>
      <c r="H27" s="40"/>
      <c r="I27" s="40"/>
      <c r="J27" s="248" t="str">
        <f>IF(OR(J25=0,J25="Not Calculated")=TRUE,"Not Calculated",(IF(((J26+J25)/J25)&lt;=1,0,IF(((J26+J25)/J25)&lt;=1.05,1,IF(((J26+J25)/J25)&lt;=1.5, 2,IF(((J26+J25)/J25)&lt;=2,3,4))))))</f>
        <v>Not Calculated</v>
      </c>
      <c r="K27" s="41"/>
    </row>
    <row r="28" spans="2:14" ht="9.75" customHeight="1" x14ac:dyDescent="0.2">
      <c r="B28" s="38"/>
      <c r="C28" s="279" t="str">
        <f>"0:"</f>
        <v>0:</v>
      </c>
      <c r="D28" s="281" t="s">
        <v>918</v>
      </c>
      <c r="E28" s="40"/>
      <c r="F28" s="40"/>
      <c r="G28" s="40"/>
      <c r="H28" s="40"/>
      <c r="I28" s="40"/>
      <c r="J28" s="40"/>
      <c r="K28" s="41"/>
    </row>
    <row r="29" spans="2:14" ht="9.75" customHeight="1" x14ac:dyDescent="0.2">
      <c r="B29" s="38"/>
      <c r="C29" s="280" t="str">
        <f>"1:"</f>
        <v>1:</v>
      </c>
      <c r="D29" s="281" t="s">
        <v>919</v>
      </c>
      <c r="E29" s="40"/>
      <c r="F29" s="40"/>
      <c r="G29" s="40"/>
      <c r="H29" s="40"/>
      <c r="I29" s="40"/>
      <c r="J29" s="40"/>
      <c r="K29" s="41"/>
    </row>
    <row r="30" spans="2:14" ht="9.75" customHeight="1" x14ac:dyDescent="0.2">
      <c r="B30" s="38"/>
      <c r="C30" s="280" t="str">
        <f>"2:"</f>
        <v>2:</v>
      </c>
      <c r="D30" s="281" t="s">
        <v>920</v>
      </c>
      <c r="E30" s="40"/>
      <c r="F30" s="40"/>
      <c r="G30" s="40"/>
      <c r="H30" s="40"/>
      <c r="I30" s="40"/>
      <c r="J30" s="40"/>
      <c r="K30" s="41"/>
    </row>
    <row r="31" spans="2:14" ht="9.75" customHeight="1" x14ac:dyDescent="0.2">
      <c r="B31" s="38"/>
      <c r="C31" s="280" t="str">
        <f>"3:"</f>
        <v>3:</v>
      </c>
      <c r="D31" s="281" t="s">
        <v>921</v>
      </c>
      <c r="E31" s="40"/>
      <c r="F31" s="40"/>
      <c r="G31" s="40"/>
      <c r="H31" s="40"/>
      <c r="I31" s="40"/>
      <c r="J31" s="40"/>
      <c r="K31" s="41"/>
    </row>
    <row r="32" spans="2:14" ht="9.75" customHeight="1" x14ac:dyDescent="0.2">
      <c r="B32" s="38"/>
      <c r="C32" s="280" t="str">
        <f>"4:"</f>
        <v>4:</v>
      </c>
      <c r="D32" s="281" t="s">
        <v>922</v>
      </c>
      <c r="E32" s="40"/>
      <c r="F32" s="40"/>
      <c r="G32" s="40"/>
      <c r="H32" s="40"/>
      <c r="I32" s="40"/>
      <c r="J32" s="40"/>
      <c r="K32" s="41"/>
      <c r="N32" s="12" t="s">
        <v>661</v>
      </c>
    </row>
    <row r="33" spans="2:14" x14ac:dyDescent="0.2">
      <c r="B33" s="38"/>
      <c r="C33" s="174" t="s">
        <v>662</v>
      </c>
      <c r="D33" s="40"/>
      <c r="E33" s="40"/>
      <c r="F33" s="40"/>
      <c r="G33" s="40"/>
      <c r="H33" s="40"/>
      <c r="I33" s="40"/>
      <c r="J33" s="265" t="s">
        <v>661</v>
      </c>
      <c r="K33" s="41"/>
      <c r="N33" s="12" t="s">
        <v>894</v>
      </c>
    </row>
    <row r="34" spans="2:14" x14ac:dyDescent="0.2">
      <c r="B34" s="38"/>
      <c r="C34" s="174" t="s">
        <v>660</v>
      </c>
      <c r="D34" s="40"/>
      <c r="E34" s="40"/>
      <c r="F34" s="40"/>
      <c r="G34" s="40"/>
      <c r="H34" s="40"/>
      <c r="I34" s="40"/>
      <c r="J34" s="246" t="str">
        <f>IF(J33=N32,"N/A",IF(J33=N33,0,IF(J33=N34,1,IF(J33=N35,2,IF(J33=N36,3,IF(J33=N37,4,"N/A"))))))</f>
        <v>N/A</v>
      </c>
      <c r="K34" s="41"/>
      <c r="N34" s="12" t="s">
        <v>895</v>
      </c>
    </row>
    <row r="35" spans="2:14" x14ac:dyDescent="0.2">
      <c r="B35" s="38"/>
      <c r="C35" s="40" t="s">
        <v>257</v>
      </c>
      <c r="D35" s="40"/>
      <c r="E35" s="40"/>
      <c r="F35" s="40"/>
      <c r="G35" s="40"/>
      <c r="H35" s="40"/>
      <c r="I35" s="40"/>
      <c r="J35" s="266" t="s">
        <v>872</v>
      </c>
      <c r="K35" s="41"/>
      <c r="N35" s="12" t="s">
        <v>896</v>
      </c>
    </row>
    <row r="36" spans="2:14" x14ac:dyDescent="0.2">
      <c r="B36" s="38"/>
      <c r="C36" s="40" t="s">
        <v>261</v>
      </c>
      <c r="D36" s="40"/>
      <c r="E36" s="40"/>
      <c r="F36" s="40"/>
      <c r="G36" s="40"/>
      <c r="H36" s="40"/>
      <c r="I36" s="40"/>
      <c r="J36" s="248">
        <f>IF(J35=$B$973,$A$973,IF(J35=$B$974,$A$974,IF(J35=$B$975,$A$975,IF(J35=$B$976,$A$976,IF(J35=$B$977,$A$977,"Not Calculated")))))</f>
        <v>2</v>
      </c>
      <c r="K36" s="41"/>
      <c r="N36" s="12" t="s">
        <v>897</v>
      </c>
    </row>
    <row r="37" spans="2:14" x14ac:dyDescent="0.2">
      <c r="B37" s="38"/>
      <c r="C37" s="40" t="s">
        <v>893</v>
      </c>
      <c r="D37" s="40"/>
      <c r="E37" s="40"/>
      <c r="F37" s="40"/>
      <c r="G37" s="40"/>
      <c r="H37" s="40"/>
      <c r="I37" s="40"/>
      <c r="J37" s="175"/>
      <c r="K37" s="41"/>
      <c r="N37" s="12" t="s">
        <v>898</v>
      </c>
    </row>
    <row r="38" spans="2:14" s="178" customFormat="1" ht="30" customHeight="1" x14ac:dyDescent="0.2">
      <c r="B38" s="176"/>
      <c r="C38" s="415" t="s">
        <v>1196</v>
      </c>
      <c r="D38" s="400"/>
      <c r="E38" s="400"/>
      <c r="F38" s="400"/>
      <c r="G38" s="400"/>
      <c r="H38" s="400"/>
      <c r="I38" s="400"/>
      <c r="J38" s="401"/>
      <c r="K38" s="177"/>
      <c r="L38" s="178" t="s">
        <v>1100</v>
      </c>
      <c r="M38" s="178" t="s">
        <v>1100</v>
      </c>
    </row>
    <row r="39" spans="2:14" x14ac:dyDescent="0.2">
      <c r="B39" s="38"/>
      <c r="C39" s="40"/>
      <c r="D39" s="40"/>
      <c r="E39" s="40"/>
      <c r="F39" s="40"/>
      <c r="G39" s="40"/>
      <c r="H39" s="40"/>
      <c r="I39" s="40"/>
      <c r="J39" s="40"/>
      <c r="K39" s="41"/>
    </row>
    <row r="40" spans="2:14" x14ac:dyDescent="0.2">
      <c r="B40" s="38"/>
      <c r="C40" s="179" t="s">
        <v>258</v>
      </c>
      <c r="D40" s="40"/>
      <c r="E40" s="40"/>
      <c r="F40" s="40"/>
      <c r="G40" s="40"/>
      <c r="H40" s="40"/>
      <c r="I40" s="40"/>
      <c r="J40" s="245" t="str">
        <f>IF(J34="N/A",IF(OR(J27="Not Calculated",J36="Not Calculated")=TRUE,"Not Calculated",AVERAGE(J27,J36)),AVERAGE(J34,J36))</f>
        <v>Not Calculated</v>
      </c>
      <c r="K40" s="41"/>
    </row>
    <row r="41" spans="2:14" x14ac:dyDescent="0.2">
      <c r="B41" s="38"/>
      <c r="C41" s="179"/>
      <c r="D41" s="40"/>
      <c r="E41" s="40"/>
      <c r="F41" s="40"/>
      <c r="G41" s="40"/>
      <c r="H41" s="40"/>
      <c r="I41" s="40"/>
      <c r="J41" s="245"/>
      <c r="K41" s="41"/>
    </row>
    <row r="42" spans="2:14" x14ac:dyDescent="0.2">
      <c r="B42" s="38"/>
      <c r="C42" s="40"/>
      <c r="D42" s="40"/>
      <c r="E42" s="40"/>
      <c r="F42" s="40"/>
      <c r="G42" s="40"/>
      <c r="H42" s="40"/>
      <c r="I42" s="40"/>
      <c r="J42" s="40"/>
      <c r="K42" s="41"/>
    </row>
    <row r="43" spans="2:14" ht="16" x14ac:dyDescent="0.2">
      <c r="B43" s="38"/>
      <c r="C43" s="45" t="s">
        <v>51</v>
      </c>
      <c r="D43" s="40"/>
      <c r="E43" s="40"/>
      <c r="F43" s="40"/>
      <c r="G43" s="40"/>
      <c r="H43" s="40"/>
      <c r="I43" s="40"/>
      <c r="J43" s="40"/>
      <c r="K43" s="41"/>
    </row>
    <row r="44" spans="2:14" x14ac:dyDescent="0.2">
      <c r="B44" s="38"/>
      <c r="C44" s="40" t="s">
        <v>435</v>
      </c>
      <c r="D44" s="40"/>
      <c r="E44" s="40"/>
      <c r="F44" s="40"/>
      <c r="G44" s="40"/>
      <c r="H44" s="40"/>
      <c r="I44" s="40"/>
      <c r="J44" s="252">
        <f>'Baseline Health'!G17</f>
        <v>0</v>
      </c>
      <c r="K44" s="41"/>
    </row>
    <row r="45" spans="2:14" x14ac:dyDescent="0.2">
      <c r="B45" s="38"/>
      <c r="C45" s="40" t="s">
        <v>287</v>
      </c>
      <c r="D45" s="40"/>
      <c r="E45" s="40"/>
      <c r="F45" s="40"/>
      <c r="G45" s="40"/>
      <c r="H45" s="40"/>
      <c r="I45" s="40"/>
      <c r="J45" s="264">
        <v>7</v>
      </c>
      <c r="K45" s="41"/>
    </row>
    <row r="46" spans="2:14" x14ac:dyDescent="0.2">
      <c r="B46" s="38"/>
      <c r="C46" s="40" t="s">
        <v>260</v>
      </c>
      <c r="D46" s="40"/>
      <c r="E46" s="40"/>
      <c r="F46" s="40"/>
      <c r="G46" s="40"/>
      <c r="H46" s="40"/>
      <c r="I46" s="40"/>
      <c r="J46" s="248" t="str">
        <f>IF(OR(J44=0,J44="Not Calculated")=TRUE,"Not Calculated",(IF(((J45+J44)/J44)&lt;=1,0,IF(((J45+J44)/J44)&lt;=1.05,1,IF(((J45+J44)/J44)&lt;=1.5, 2,IF(((J45+J44)/J44)&lt;=2,3,4))))))</f>
        <v>Not Calculated</v>
      </c>
      <c r="K46" s="41"/>
    </row>
    <row r="47" spans="2:14" ht="9.75" customHeight="1" x14ac:dyDescent="0.2">
      <c r="B47" s="38"/>
      <c r="C47" s="279" t="str">
        <f>"0:"</f>
        <v>0:</v>
      </c>
      <c r="D47" s="281" t="s">
        <v>918</v>
      </c>
      <c r="E47" s="40"/>
      <c r="F47" s="40"/>
      <c r="G47" s="40"/>
      <c r="H47" s="40"/>
      <c r="I47" s="40"/>
      <c r="J47" s="40"/>
      <c r="K47" s="41"/>
    </row>
    <row r="48" spans="2:14" ht="9.75" customHeight="1" x14ac:dyDescent="0.2">
      <c r="B48" s="38"/>
      <c r="C48" s="280" t="str">
        <f>"1:"</f>
        <v>1:</v>
      </c>
      <c r="D48" s="281" t="s">
        <v>919</v>
      </c>
      <c r="E48" s="40"/>
      <c r="F48" s="40"/>
      <c r="G48" s="40"/>
      <c r="H48" s="40"/>
      <c r="I48" s="40"/>
      <c r="J48" s="40"/>
      <c r="K48" s="41"/>
    </row>
    <row r="49" spans="2:14" ht="9.75" customHeight="1" x14ac:dyDescent="0.2">
      <c r="B49" s="38"/>
      <c r="C49" s="280" t="str">
        <f>"2:"</f>
        <v>2:</v>
      </c>
      <c r="D49" s="281" t="s">
        <v>920</v>
      </c>
      <c r="E49" s="40"/>
      <c r="F49" s="40"/>
      <c r="G49" s="40"/>
      <c r="H49" s="40"/>
      <c r="I49" s="40"/>
      <c r="J49" s="40"/>
      <c r="K49" s="41"/>
    </row>
    <row r="50" spans="2:14" ht="9.75" customHeight="1" x14ac:dyDescent="0.2">
      <c r="B50" s="38"/>
      <c r="C50" s="280" t="str">
        <f>"3:"</f>
        <v>3:</v>
      </c>
      <c r="D50" s="281" t="s">
        <v>921</v>
      </c>
      <c r="E50" s="40"/>
      <c r="F50" s="40"/>
      <c r="G50" s="40"/>
      <c r="H50" s="40"/>
      <c r="I50" s="40"/>
      <c r="J50" s="40"/>
      <c r="K50" s="41"/>
    </row>
    <row r="51" spans="2:14" ht="9.75" customHeight="1" x14ac:dyDescent="0.2">
      <c r="B51" s="38"/>
      <c r="C51" s="280" t="str">
        <f>"4:"</f>
        <v>4:</v>
      </c>
      <c r="D51" s="281" t="s">
        <v>922</v>
      </c>
      <c r="E51" s="40"/>
      <c r="F51" s="40"/>
      <c r="G51" s="40"/>
      <c r="H51" s="40"/>
      <c r="I51" s="40"/>
      <c r="J51" s="40"/>
      <c r="K51" s="41"/>
      <c r="N51" s="12" t="s">
        <v>661</v>
      </c>
    </row>
    <row r="52" spans="2:14" x14ac:dyDescent="0.2">
      <c r="B52" s="38"/>
      <c r="C52" s="174" t="s">
        <v>662</v>
      </c>
      <c r="D52" s="40"/>
      <c r="E52" s="40"/>
      <c r="F52" s="40"/>
      <c r="G52" s="40"/>
      <c r="H52" s="40"/>
      <c r="I52" s="40"/>
      <c r="J52" s="265" t="s">
        <v>661</v>
      </c>
      <c r="K52" s="41"/>
      <c r="N52" s="12" t="s">
        <v>894</v>
      </c>
    </row>
    <row r="53" spans="2:14" x14ac:dyDescent="0.2">
      <c r="B53" s="38"/>
      <c r="C53" s="174" t="s">
        <v>660</v>
      </c>
      <c r="D53" s="40"/>
      <c r="E53" s="40"/>
      <c r="F53" s="40"/>
      <c r="G53" s="40"/>
      <c r="H53" s="40"/>
      <c r="I53" s="40"/>
      <c r="J53" s="246" t="str">
        <f>IF(J52=N51,"N/A",IF(J52=N52,0,IF(J52=N53,1,IF(J52=N54,2,IF(J52=N55,3,IF(J52=N56,4,"N/A"))))))</f>
        <v>N/A</v>
      </c>
      <c r="K53" s="41"/>
      <c r="N53" s="12" t="s">
        <v>895</v>
      </c>
    </row>
    <row r="54" spans="2:14" x14ac:dyDescent="0.2">
      <c r="B54" s="38"/>
      <c r="C54" s="40" t="s">
        <v>257</v>
      </c>
      <c r="D54" s="40"/>
      <c r="E54" s="40"/>
      <c r="F54" s="40"/>
      <c r="G54" s="40"/>
      <c r="H54" s="40"/>
      <c r="I54" s="40"/>
      <c r="J54" s="266" t="s">
        <v>872</v>
      </c>
      <c r="K54" s="41"/>
      <c r="N54" s="12" t="s">
        <v>896</v>
      </c>
    </row>
    <row r="55" spans="2:14" x14ac:dyDescent="0.2">
      <c r="B55" s="38"/>
      <c r="C55" s="40" t="s">
        <v>261</v>
      </c>
      <c r="D55" s="40"/>
      <c r="E55" s="40"/>
      <c r="F55" s="40"/>
      <c r="G55" s="40"/>
      <c r="H55" s="40"/>
      <c r="I55" s="40"/>
      <c r="J55" s="248">
        <f>IF(J54=$B$973,$A$973,IF(J54=$B$974,$A$974,IF(J54=$B$975,$A$975,IF(J54=$B$976,$A$976,IF(J54=$B$977,$A$977,"Not Calculated")))))</f>
        <v>2</v>
      </c>
      <c r="K55" s="41"/>
      <c r="N55" s="12" t="s">
        <v>897</v>
      </c>
    </row>
    <row r="56" spans="2:14" x14ac:dyDescent="0.2">
      <c r="B56" s="38"/>
      <c r="C56" s="40" t="s">
        <v>893</v>
      </c>
      <c r="D56" s="40"/>
      <c r="E56" s="40"/>
      <c r="F56" s="40"/>
      <c r="G56" s="40"/>
      <c r="H56" s="40"/>
      <c r="I56" s="40"/>
      <c r="J56" s="175"/>
      <c r="K56" s="41"/>
      <c r="N56" s="12" t="s">
        <v>898</v>
      </c>
    </row>
    <row r="57" spans="2:14" s="178" customFormat="1" ht="30" customHeight="1" x14ac:dyDescent="0.2">
      <c r="B57" s="176"/>
      <c r="C57" s="415" t="s">
        <v>1197</v>
      </c>
      <c r="D57" s="400"/>
      <c r="E57" s="400"/>
      <c r="F57" s="400"/>
      <c r="G57" s="400"/>
      <c r="H57" s="400"/>
      <c r="I57" s="400"/>
      <c r="J57" s="401"/>
      <c r="K57" s="177"/>
    </row>
    <row r="58" spans="2:14" x14ac:dyDescent="0.2">
      <c r="B58" s="38"/>
      <c r="C58" s="40"/>
      <c r="D58" s="40"/>
      <c r="E58" s="40"/>
      <c r="F58" s="40"/>
      <c r="G58" s="40"/>
      <c r="H58" s="40"/>
      <c r="I58" s="40"/>
      <c r="J58" s="40"/>
      <c r="K58" s="41"/>
    </row>
    <row r="59" spans="2:14" x14ac:dyDescent="0.2">
      <c r="B59" s="38"/>
      <c r="C59" s="179" t="s">
        <v>263</v>
      </c>
      <c r="D59" s="40"/>
      <c r="E59" s="40"/>
      <c r="F59" s="40"/>
      <c r="G59" s="40"/>
      <c r="H59" s="40"/>
      <c r="I59" s="40"/>
      <c r="J59" s="245" t="str">
        <f>IF(J53="N/A",IF(OR(J46="Not Calculated",J55="Not Calculated")=TRUE,"Not Calculated",AVERAGE(J46,J55)),AVERAGE(J53,J55))</f>
        <v>Not Calculated</v>
      </c>
      <c r="K59" s="41"/>
    </row>
    <row r="60" spans="2:14" x14ac:dyDescent="0.2">
      <c r="B60" s="38"/>
      <c r="C60" s="40"/>
      <c r="D60" s="40"/>
      <c r="E60" s="40"/>
      <c r="F60" s="40"/>
      <c r="G60" s="40"/>
      <c r="H60" s="40"/>
      <c r="I60" s="40"/>
      <c r="J60" s="40"/>
      <c r="K60" s="41"/>
    </row>
    <row r="61" spans="2:14" x14ac:dyDescent="0.2">
      <c r="B61" s="38"/>
      <c r="C61" s="40"/>
      <c r="D61" s="40"/>
      <c r="E61" s="40"/>
      <c r="F61" s="40"/>
      <c r="G61" s="40"/>
      <c r="H61" s="40"/>
      <c r="I61" s="40"/>
      <c r="J61" s="40"/>
      <c r="K61" s="41"/>
    </row>
    <row r="62" spans="2:14" ht="16" x14ac:dyDescent="0.2">
      <c r="B62" s="38"/>
      <c r="C62" s="45" t="s">
        <v>54</v>
      </c>
      <c r="D62" s="40"/>
      <c r="E62" s="40"/>
      <c r="F62" s="40"/>
      <c r="G62" s="40"/>
      <c r="H62" s="40"/>
      <c r="I62" s="40"/>
      <c r="J62" s="40"/>
      <c r="K62" s="41"/>
    </row>
    <row r="63" spans="2:14" x14ac:dyDescent="0.2">
      <c r="B63" s="38"/>
      <c r="C63" s="40" t="s">
        <v>436</v>
      </c>
      <c r="D63" s="40"/>
      <c r="E63" s="40"/>
      <c r="F63" s="40"/>
      <c r="G63" s="40"/>
      <c r="H63" s="40"/>
      <c r="I63" s="40"/>
      <c r="J63" s="252">
        <f>'Baseline Health'!G23</f>
        <v>0</v>
      </c>
      <c r="K63" s="41"/>
    </row>
    <row r="64" spans="2:14" x14ac:dyDescent="0.2">
      <c r="B64" s="38"/>
      <c r="C64" s="40" t="s">
        <v>289</v>
      </c>
      <c r="D64" s="40"/>
      <c r="E64" s="40"/>
      <c r="F64" s="40"/>
      <c r="G64" s="40"/>
      <c r="H64" s="40"/>
      <c r="I64" s="40"/>
      <c r="J64" s="264">
        <v>7</v>
      </c>
      <c r="K64" s="41"/>
    </row>
    <row r="65" spans="2:14" x14ac:dyDescent="0.2">
      <c r="B65" s="38"/>
      <c r="C65" s="40" t="s">
        <v>260</v>
      </c>
      <c r="D65" s="40"/>
      <c r="E65" s="40"/>
      <c r="F65" s="40"/>
      <c r="G65" s="40"/>
      <c r="H65" s="40"/>
      <c r="I65" s="40"/>
      <c r="J65" s="248" t="str">
        <f>IF(OR(J63=0,J63="Not Calculated")=TRUE,"Not Calculated",(IF(((J64+J63)/J63)&lt;=1,0,IF(((J64+J63)/J63)&lt;=1.05,1,IF(((J64+J63)/J63)&lt;=1.5, 2,IF(((J64+J63)/J63)&lt;=2,3,4))))))</f>
        <v>Not Calculated</v>
      </c>
      <c r="K65" s="41"/>
    </row>
    <row r="66" spans="2:14" ht="9.75" customHeight="1" x14ac:dyDescent="0.2">
      <c r="B66" s="38"/>
      <c r="C66" s="279" t="str">
        <f>"0:"</f>
        <v>0:</v>
      </c>
      <c r="D66" s="281" t="s">
        <v>918</v>
      </c>
      <c r="E66" s="40"/>
      <c r="F66" s="40"/>
      <c r="G66" s="40"/>
      <c r="H66" s="40"/>
      <c r="I66" s="40"/>
      <c r="J66" s="40"/>
      <c r="K66" s="41"/>
    </row>
    <row r="67" spans="2:14" ht="9.75" customHeight="1" x14ac:dyDescent="0.2">
      <c r="B67" s="38"/>
      <c r="C67" s="280" t="str">
        <f>"1:"</f>
        <v>1:</v>
      </c>
      <c r="D67" s="281" t="s">
        <v>919</v>
      </c>
      <c r="E67" s="40"/>
      <c r="F67" s="40"/>
      <c r="G67" s="40"/>
      <c r="H67" s="40"/>
      <c r="I67" s="40"/>
      <c r="J67" s="40"/>
      <c r="K67" s="41"/>
    </row>
    <row r="68" spans="2:14" ht="9.75" customHeight="1" x14ac:dyDescent="0.2">
      <c r="B68" s="38"/>
      <c r="C68" s="280" t="str">
        <f>"2:"</f>
        <v>2:</v>
      </c>
      <c r="D68" s="281" t="s">
        <v>920</v>
      </c>
      <c r="E68" s="40"/>
      <c r="F68" s="40"/>
      <c r="G68" s="40"/>
      <c r="H68" s="40"/>
      <c r="I68" s="40"/>
      <c r="J68" s="40"/>
      <c r="K68" s="41"/>
    </row>
    <row r="69" spans="2:14" ht="9.75" customHeight="1" x14ac:dyDescent="0.2">
      <c r="B69" s="38"/>
      <c r="C69" s="280" t="str">
        <f>"3:"</f>
        <v>3:</v>
      </c>
      <c r="D69" s="281" t="s">
        <v>921</v>
      </c>
      <c r="E69" s="40"/>
      <c r="F69" s="40"/>
      <c r="G69" s="40"/>
      <c r="H69" s="40"/>
      <c r="I69" s="40"/>
      <c r="J69" s="40"/>
      <c r="K69" s="41"/>
    </row>
    <row r="70" spans="2:14" ht="9.75" customHeight="1" x14ac:dyDescent="0.2">
      <c r="B70" s="38"/>
      <c r="C70" s="280" t="str">
        <f>"4:"</f>
        <v>4:</v>
      </c>
      <c r="D70" s="281" t="s">
        <v>922</v>
      </c>
      <c r="E70" s="40"/>
      <c r="F70" s="40"/>
      <c r="G70" s="40"/>
      <c r="H70" s="40"/>
      <c r="I70" s="40"/>
      <c r="J70" s="40"/>
      <c r="K70" s="41"/>
      <c r="N70" s="12" t="s">
        <v>661</v>
      </c>
    </row>
    <row r="71" spans="2:14" x14ac:dyDescent="0.2">
      <c r="B71" s="38"/>
      <c r="C71" s="174" t="s">
        <v>662</v>
      </c>
      <c r="D71" s="40"/>
      <c r="E71" s="40"/>
      <c r="F71" s="40"/>
      <c r="G71" s="40"/>
      <c r="H71" s="40"/>
      <c r="I71" s="40"/>
      <c r="J71" s="265" t="s">
        <v>661</v>
      </c>
      <c r="K71" s="41"/>
      <c r="N71" s="12" t="s">
        <v>894</v>
      </c>
    </row>
    <row r="72" spans="2:14" x14ac:dyDescent="0.2">
      <c r="B72" s="38"/>
      <c r="C72" s="174" t="s">
        <v>660</v>
      </c>
      <c r="D72" s="40"/>
      <c r="E72" s="40"/>
      <c r="F72" s="40"/>
      <c r="G72" s="40"/>
      <c r="H72" s="40"/>
      <c r="I72" s="40"/>
      <c r="J72" s="246" t="str">
        <f>IF(J71=N70,"N/A",IF(J71=N71,0,IF(J71=N72,1,IF(J71=N73,2,IF(J71=N74,3,IF(J71=N75,4,"N/A"))))))</f>
        <v>N/A</v>
      </c>
      <c r="K72" s="41"/>
      <c r="N72" s="12" t="s">
        <v>895</v>
      </c>
    </row>
    <row r="73" spans="2:14" x14ac:dyDescent="0.2">
      <c r="B73" s="38"/>
      <c r="C73" s="40" t="s">
        <v>257</v>
      </c>
      <c r="D73" s="40"/>
      <c r="E73" s="40"/>
      <c r="F73" s="40"/>
      <c r="G73" s="40"/>
      <c r="H73" s="40"/>
      <c r="I73" s="40"/>
      <c r="J73" s="266" t="s">
        <v>872</v>
      </c>
      <c r="K73" s="41"/>
      <c r="N73" s="12" t="s">
        <v>896</v>
      </c>
    </row>
    <row r="74" spans="2:14" x14ac:dyDescent="0.2">
      <c r="B74" s="38"/>
      <c r="C74" s="40" t="s">
        <v>261</v>
      </c>
      <c r="D74" s="40"/>
      <c r="E74" s="40"/>
      <c r="F74" s="40"/>
      <c r="G74" s="40"/>
      <c r="H74" s="40"/>
      <c r="I74" s="40"/>
      <c r="J74" s="248">
        <f>IF(J73=$B$973,$A$973,IF(J73=$B$974,$A$974,IF(J73=$B$975,$A$975,IF(J73=$B$976,$A$976,IF(J73=$B$977,$A$977,"Not Calculated")))))</f>
        <v>2</v>
      </c>
      <c r="K74" s="41"/>
      <c r="N74" s="12" t="s">
        <v>897</v>
      </c>
    </row>
    <row r="75" spans="2:14" x14ac:dyDescent="0.2">
      <c r="B75" s="38"/>
      <c r="C75" s="40" t="s">
        <v>893</v>
      </c>
      <c r="D75" s="40"/>
      <c r="E75" s="40"/>
      <c r="F75" s="40"/>
      <c r="G75" s="40"/>
      <c r="H75" s="40"/>
      <c r="I75" s="40"/>
      <c r="J75" s="175"/>
      <c r="K75" s="41"/>
      <c r="N75" s="12" t="s">
        <v>898</v>
      </c>
    </row>
    <row r="76" spans="2:14" s="178" customFormat="1" ht="30" customHeight="1" x14ac:dyDescent="0.2">
      <c r="B76" s="176"/>
      <c r="C76" s="415" t="s">
        <v>1197</v>
      </c>
      <c r="D76" s="400"/>
      <c r="E76" s="400"/>
      <c r="F76" s="400"/>
      <c r="G76" s="400"/>
      <c r="H76" s="400"/>
      <c r="I76" s="400"/>
      <c r="J76" s="401"/>
      <c r="K76" s="177"/>
    </row>
    <row r="77" spans="2:14" x14ac:dyDescent="0.2">
      <c r="B77" s="38"/>
      <c r="C77" s="40"/>
      <c r="D77" s="40"/>
      <c r="E77" s="40"/>
      <c r="F77" s="40"/>
      <c r="G77" s="40"/>
      <c r="H77" s="40"/>
      <c r="I77" s="40"/>
      <c r="J77" s="40"/>
      <c r="K77" s="41"/>
    </row>
    <row r="78" spans="2:14" x14ac:dyDescent="0.2">
      <c r="B78" s="38"/>
      <c r="C78" s="179" t="s">
        <v>264</v>
      </c>
      <c r="D78" s="40"/>
      <c r="E78" s="40"/>
      <c r="F78" s="40"/>
      <c r="G78" s="40"/>
      <c r="H78" s="40"/>
      <c r="I78" s="40"/>
      <c r="J78" s="245" t="str">
        <f>IF(J72="N/A",IF(OR(J65="Not Calculated",J74="Not Calculated")=TRUE,"Not Calculated",AVERAGE(J65,J74)),AVERAGE(J72,J74))</f>
        <v>Not Calculated</v>
      </c>
      <c r="K78" s="41"/>
    </row>
    <row r="79" spans="2:14" x14ac:dyDescent="0.2">
      <c r="B79" s="38"/>
      <c r="C79" s="40"/>
      <c r="D79" s="40"/>
      <c r="E79" s="40"/>
      <c r="F79" s="40"/>
      <c r="G79" s="40"/>
      <c r="H79" s="40"/>
      <c r="I79" s="40"/>
      <c r="J79" s="40"/>
      <c r="K79" s="41"/>
    </row>
    <row r="80" spans="2:14" x14ac:dyDescent="0.2">
      <c r="B80" s="38"/>
      <c r="C80" s="40"/>
      <c r="D80" s="40"/>
      <c r="E80" s="40"/>
      <c r="F80" s="40"/>
      <c r="G80" s="40"/>
      <c r="H80" s="40"/>
      <c r="I80" s="40"/>
      <c r="J80" s="40"/>
      <c r="K80" s="41"/>
    </row>
    <row r="81" spans="2:14" ht="16" x14ac:dyDescent="0.2">
      <c r="B81" s="38"/>
      <c r="C81" s="45" t="s">
        <v>57</v>
      </c>
      <c r="D81" s="40"/>
      <c r="E81" s="40"/>
      <c r="F81" s="40"/>
      <c r="G81" s="40"/>
      <c r="H81" s="40"/>
      <c r="I81" s="40"/>
      <c r="J81" s="40"/>
      <c r="K81" s="41"/>
    </row>
    <row r="82" spans="2:14" x14ac:dyDescent="0.2">
      <c r="B82" s="38"/>
      <c r="C82" s="40" t="s">
        <v>437</v>
      </c>
      <c r="D82" s="40"/>
      <c r="E82" s="40"/>
      <c r="F82" s="40"/>
      <c r="G82" s="40"/>
      <c r="H82" s="40"/>
      <c r="I82" s="40"/>
      <c r="J82" s="252">
        <f>'Baseline Health'!G29</f>
        <v>0</v>
      </c>
      <c r="K82" s="41"/>
    </row>
    <row r="83" spans="2:14" x14ac:dyDescent="0.2">
      <c r="B83" s="38"/>
      <c r="C83" s="40" t="s">
        <v>290</v>
      </c>
      <c r="D83" s="40"/>
      <c r="E83" s="40"/>
      <c r="F83" s="40"/>
      <c r="G83" s="40"/>
      <c r="H83" s="40"/>
      <c r="I83" s="40"/>
      <c r="J83" s="264">
        <v>0</v>
      </c>
      <c r="K83" s="41"/>
    </row>
    <row r="84" spans="2:14" x14ac:dyDescent="0.2">
      <c r="B84" s="38"/>
      <c r="C84" s="40" t="s">
        <v>260</v>
      </c>
      <c r="D84" s="40"/>
      <c r="E84" s="40"/>
      <c r="F84" s="40"/>
      <c r="G84" s="40"/>
      <c r="H84" s="40"/>
      <c r="I84" s="40"/>
      <c r="J84" s="248" t="str">
        <f>IF(OR(J82=0,J82="Not Calculated")=TRUE,"Not Calculated",(IF(((J83+J82)/J82)&lt;=1,0,IF(((J83+J82)/J82)&lt;=1.05,1,IF(((J83+J82)/J82)&lt;=1.5, 2,IF(((J83+J82)/J82)&lt;=2,3,4))))))</f>
        <v>Not Calculated</v>
      </c>
      <c r="K84" s="41"/>
    </row>
    <row r="85" spans="2:14" ht="9.75" customHeight="1" x14ac:dyDescent="0.2">
      <c r="B85" s="38"/>
      <c r="C85" s="279" t="str">
        <f>"0:"</f>
        <v>0:</v>
      </c>
      <c r="D85" s="281" t="s">
        <v>918</v>
      </c>
      <c r="E85" s="40"/>
      <c r="F85" s="40"/>
      <c r="G85" s="40"/>
      <c r="H85" s="40"/>
      <c r="I85" s="40"/>
      <c r="J85" s="40"/>
      <c r="K85" s="41"/>
    </row>
    <row r="86" spans="2:14" ht="9.75" customHeight="1" x14ac:dyDescent="0.2">
      <c r="B86" s="38"/>
      <c r="C86" s="280" t="str">
        <f>"1:"</f>
        <v>1:</v>
      </c>
      <c r="D86" s="281" t="s">
        <v>919</v>
      </c>
      <c r="E86" s="40"/>
      <c r="F86" s="40"/>
      <c r="G86" s="40"/>
      <c r="H86" s="40"/>
      <c r="I86" s="40"/>
      <c r="J86" s="40"/>
      <c r="K86" s="41"/>
    </row>
    <row r="87" spans="2:14" ht="9.75" customHeight="1" x14ac:dyDescent="0.2">
      <c r="B87" s="38"/>
      <c r="C87" s="280" t="str">
        <f>"2:"</f>
        <v>2:</v>
      </c>
      <c r="D87" s="281" t="s">
        <v>920</v>
      </c>
      <c r="E87" s="40"/>
      <c r="F87" s="40"/>
      <c r="G87" s="40"/>
      <c r="H87" s="40"/>
      <c r="I87" s="40"/>
      <c r="J87" s="40"/>
      <c r="K87" s="41"/>
    </row>
    <row r="88" spans="2:14" ht="9.75" customHeight="1" x14ac:dyDescent="0.2">
      <c r="B88" s="38"/>
      <c r="C88" s="280" t="str">
        <f>"3:"</f>
        <v>3:</v>
      </c>
      <c r="D88" s="281" t="s">
        <v>921</v>
      </c>
      <c r="E88" s="40"/>
      <c r="F88" s="40"/>
      <c r="G88" s="40"/>
      <c r="H88" s="40"/>
      <c r="I88" s="40"/>
      <c r="J88" s="40"/>
      <c r="K88" s="41"/>
    </row>
    <row r="89" spans="2:14" ht="9.75" customHeight="1" x14ac:dyDescent="0.2">
      <c r="B89" s="38"/>
      <c r="C89" s="280" t="str">
        <f>"4:"</f>
        <v>4:</v>
      </c>
      <c r="D89" s="281" t="s">
        <v>922</v>
      </c>
      <c r="E89" s="40"/>
      <c r="F89" s="40"/>
      <c r="G89" s="40"/>
      <c r="H89" s="40"/>
      <c r="I89" s="40"/>
      <c r="J89" s="40"/>
      <c r="K89" s="41"/>
      <c r="N89" s="12" t="s">
        <v>661</v>
      </c>
    </row>
    <row r="90" spans="2:14" x14ac:dyDescent="0.2">
      <c r="B90" s="38"/>
      <c r="C90" s="174" t="s">
        <v>662</v>
      </c>
      <c r="D90" s="40"/>
      <c r="E90" s="40"/>
      <c r="F90" s="40"/>
      <c r="G90" s="40"/>
      <c r="H90" s="40"/>
      <c r="I90" s="40"/>
      <c r="J90" s="265" t="s">
        <v>661</v>
      </c>
      <c r="K90" s="41"/>
      <c r="N90" s="12" t="s">
        <v>894</v>
      </c>
    </row>
    <row r="91" spans="2:14" x14ac:dyDescent="0.2">
      <c r="B91" s="38"/>
      <c r="C91" s="174" t="s">
        <v>660</v>
      </c>
      <c r="D91" s="40"/>
      <c r="E91" s="40"/>
      <c r="F91" s="40"/>
      <c r="G91" s="40"/>
      <c r="H91" s="40"/>
      <c r="I91" s="40"/>
      <c r="J91" s="246" t="str">
        <f>IF(J90=N89,"N/A",IF(J90=N90,0,IF(J90=N91,1,IF(J90=N92,2,IF(J90=N93,3,IF(J90=N94,4,"N/A"))))))</f>
        <v>N/A</v>
      </c>
      <c r="K91" s="41"/>
      <c r="N91" s="12" t="s">
        <v>895</v>
      </c>
    </row>
    <row r="92" spans="2:14" x14ac:dyDescent="0.2">
      <c r="B92" s="38"/>
      <c r="C92" s="40" t="s">
        <v>257</v>
      </c>
      <c r="D92" s="40"/>
      <c r="E92" s="40"/>
      <c r="F92" s="40"/>
      <c r="G92" s="40"/>
      <c r="H92" s="40"/>
      <c r="I92" s="40"/>
      <c r="J92" s="266" t="s">
        <v>870</v>
      </c>
      <c r="K92" s="41"/>
      <c r="N92" s="12" t="s">
        <v>896</v>
      </c>
    </row>
    <row r="93" spans="2:14" x14ac:dyDescent="0.2">
      <c r="B93" s="38"/>
      <c r="C93" s="40" t="s">
        <v>261</v>
      </c>
      <c r="D93" s="40"/>
      <c r="E93" s="40"/>
      <c r="F93" s="40"/>
      <c r="G93" s="40"/>
      <c r="H93" s="40"/>
      <c r="I93" s="40"/>
      <c r="J93" s="248">
        <f>IF(J92=$B$973,$A$973,IF(J92=$B$974,$A$974,IF(J92=$B$975,$A$975,IF(J92=$B$976,$A$976,IF(J92=$B$977,$A$977,"Not Calculated")))))</f>
        <v>0</v>
      </c>
      <c r="K93" s="41"/>
      <c r="N93" s="12" t="s">
        <v>897</v>
      </c>
    </row>
    <row r="94" spans="2:14" x14ac:dyDescent="0.2">
      <c r="B94" s="38"/>
      <c r="C94" s="40" t="s">
        <v>893</v>
      </c>
      <c r="D94" s="40"/>
      <c r="E94" s="40"/>
      <c r="F94" s="40"/>
      <c r="G94" s="40"/>
      <c r="H94" s="40"/>
      <c r="I94" s="40"/>
      <c r="J94" s="175"/>
      <c r="K94" s="41"/>
      <c r="N94" s="12" t="s">
        <v>898</v>
      </c>
    </row>
    <row r="95" spans="2:14" s="178" customFormat="1" ht="30" customHeight="1" x14ac:dyDescent="0.2">
      <c r="B95" s="176"/>
      <c r="C95" s="415"/>
      <c r="D95" s="400"/>
      <c r="E95" s="400"/>
      <c r="F95" s="400"/>
      <c r="G95" s="400"/>
      <c r="H95" s="400"/>
      <c r="I95" s="400"/>
      <c r="J95" s="401"/>
      <c r="K95" s="177"/>
    </row>
    <row r="96" spans="2:14" x14ac:dyDescent="0.2">
      <c r="B96" s="38"/>
      <c r="C96" s="40"/>
      <c r="D96" s="40"/>
      <c r="E96" s="40"/>
      <c r="F96" s="40"/>
      <c r="G96" s="40"/>
      <c r="H96" s="40"/>
      <c r="I96" s="40"/>
      <c r="J96" s="40"/>
      <c r="K96" s="41"/>
    </row>
    <row r="97" spans="2:14" x14ac:dyDescent="0.2">
      <c r="B97" s="38"/>
      <c r="C97" s="179" t="s">
        <v>265</v>
      </c>
      <c r="D97" s="40"/>
      <c r="E97" s="40"/>
      <c r="F97" s="40"/>
      <c r="G97" s="40"/>
      <c r="H97" s="40"/>
      <c r="I97" s="40"/>
      <c r="J97" s="245" t="str">
        <f>IF(J91="N/A",IF(OR(J84="Not Calculated",J93="Not Calculated")=TRUE,"Not Calculated",AVERAGE(J84,J93)),AVERAGE(J91,J93))</f>
        <v>Not Calculated</v>
      </c>
      <c r="K97" s="41"/>
    </row>
    <row r="98" spans="2:14" x14ac:dyDescent="0.2">
      <c r="B98" s="38"/>
      <c r="C98" s="40"/>
      <c r="D98" s="40"/>
      <c r="E98" s="40"/>
      <c r="F98" s="40"/>
      <c r="G98" s="40"/>
      <c r="H98" s="40"/>
      <c r="I98" s="40"/>
      <c r="J98" s="40"/>
      <c r="K98" s="41"/>
    </row>
    <row r="99" spans="2:14" x14ac:dyDescent="0.2">
      <c r="B99" s="38"/>
      <c r="C99" s="40"/>
      <c r="D99" s="40"/>
      <c r="E99" s="40"/>
      <c r="F99" s="40"/>
      <c r="G99" s="40"/>
      <c r="H99" s="40"/>
      <c r="I99" s="40"/>
      <c r="J99" s="40"/>
      <c r="K99" s="41"/>
    </row>
    <row r="100" spans="2:14" ht="16" x14ac:dyDescent="0.2">
      <c r="B100" s="38"/>
      <c r="C100" s="45" t="s">
        <v>60</v>
      </c>
      <c r="D100" s="40"/>
      <c r="E100" s="40"/>
      <c r="F100" s="40"/>
      <c r="G100" s="40"/>
      <c r="H100" s="40"/>
      <c r="I100" s="40"/>
      <c r="J100" s="40"/>
      <c r="K100" s="41"/>
    </row>
    <row r="101" spans="2:14" x14ac:dyDescent="0.2">
      <c r="B101" s="38"/>
      <c r="C101" s="40" t="s">
        <v>438</v>
      </c>
      <c r="D101" s="40"/>
      <c r="E101" s="40"/>
      <c r="F101" s="40"/>
      <c r="G101" s="40"/>
      <c r="H101" s="40"/>
      <c r="I101" s="40"/>
      <c r="J101" s="252">
        <f>'Baseline Health'!G35</f>
        <v>0</v>
      </c>
      <c r="K101" s="41"/>
    </row>
    <row r="102" spans="2:14" x14ac:dyDescent="0.2">
      <c r="B102" s="38"/>
      <c r="C102" s="40" t="s">
        <v>291</v>
      </c>
      <c r="D102" s="40"/>
      <c r="E102" s="40"/>
      <c r="F102" s="40"/>
      <c r="G102" s="40"/>
      <c r="H102" s="40"/>
      <c r="I102" s="40"/>
      <c r="J102" s="264">
        <f>('Baseline Health'!G6*0.00001723)</f>
        <v>0</v>
      </c>
      <c r="K102" s="41"/>
    </row>
    <row r="103" spans="2:14" x14ac:dyDescent="0.2">
      <c r="B103" s="38"/>
      <c r="C103" s="40" t="s">
        <v>260</v>
      </c>
      <c r="D103" s="40"/>
      <c r="E103" s="40"/>
      <c r="F103" s="40"/>
      <c r="G103" s="40"/>
      <c r="H103" s="40"/>
      <c r="I103" s="40"/>
      <c r="J103" s="248" t="str">
        <f>IF(OR(J101=0,J101="Not Calculated")=TRUE,"Not Calculated",(IF(((J102+J101)/J101)&lt;=1,0,IF(((J102+J101)/J101)&lt;=1.05,1,IF(((J102+J101)/J101)&lt;=1.5, 2,IF(((J102+J101)/J101)&lt;=2,3,4))))))</f>
        <v>Not Calculated</v>
      </c>
      <c r="K103" s="41"/>
    </row>
    <row r="104" spans="2:14" ht="9.75" customHeight="1" x14ac:dyDescent="0.2">
      <c r="B104" s="38"/>
      <c r="C104" s="279" t="str">
        <f>"0:"</f>
        <v>0:</v>
      </c>
      <c r="D104" s="281" t="s">
        <v>918</v>
      </c>
      <c r="E104" s="40"/>
      <c r="F104" s="40"/>
      <c r="G104" s="40"/>
      <c r="H104" s="40"/>
      <c r="I104" s="40"/>
      <c r="J104" s="40"/>
      <c r="K104" s="41"/>
    </row>
    <row r="105" spans="2:14" ht="9.75" customHeight="1" x14ac:dyDescent="0.2">
      <c r="B105" s="38"/>
      <c r="C105" s="280" t="str">
        <f>"1:"</f>
        <v>1:</v>
      </c>
      <c r="D105" s="281" t="s">
        <v>919</v>
      </c>
      <c r="E105" s="40"/>
      <c r="F105" s="40"/>
      <c r="G105" s="40"/>
      <c r="H105" s="40"/>
      <c r="I105" s="40"/>
      <c r="J105" s="40"/>
      <c r="K105" s="41"/>
    </row>
    <row r="106" spans="2:14" ht="9.75" customHeight="1" x14ac:dyDescent="0.2">
      <c r="B106" s="38"/>
      <c r="C106" s="280" t="str">
        <f>"2:"</f>
        <v>2:</v>
      </c>
      <c r="D106" s="281" t="s">
        <v>920</v>
      </c>
      <c r="E106" s="40"/>
      <c r="F106" s="40"/>
      <c r="G106" s="40"/>
      <c r="H106" s="40"/>
      <c r="I106" s="40"/>
      <c r="J106" s="40"/>
      <c r="K106" s="41"/>
    </row>
    <row r="107" spans="2:14" ht="9.75" customHeight="1" x14ac:dyDescent="0.2">
      <c r="B107" s="38"/>
      <c r="C107" s="280" t="str">
        <f>"3:"</f>
        <v>3:</v>
      </c>
      <c r="D107" s="281" t="s">
        <v>921</v>
      </c>
      <c r="E107" s="40"/>
      <c r="F107" s="40"/>
      <c r="G107" s="40"/>
      <c r="H107" s="40"/>
      <c r="I107" s="40"/>
      <c r="J107" s="40"/>
      <c r="K107" s="41"/>
    </row>
    <row r="108" spans="2:14" ht="9.75" customHeight="1" x14ac:dyDescent="0.2">
      <c r="B108" s="38"/>
      <c r="C108" s="280" t="str">
        <f>"4:"</f>
        <v>4:</v>
      </c>
      <c r="D108" s="281" t="s">
        <v>922</v>
      </c>
      <c r="E108" s="40"/>
      <c r="F108" s="40"/>
      <c r="G108" s="40"/>
      <c r="H108" s="40"/>
      <c r="I108" s="40"/>
      <c r="J108" s="40"/>
      <c r="K108" s="41"/>
      <c r="N108" s="12" t="s">
        <v>661</v>
      </c>
    </row>
    <row r="109" spans="2:14" x14ac:dyDescent="0.2">
      <c r="B109" s="38"/>
      <c r="C109" s="174" t="s">
        <v>662</v>
      </c>
      <c r="D109" s="40"/>
      <c r="E109" s="40"/>
      <c r="F109" s="40"/>
      <c r="G109" s="40"/>
      <c r="H109" s="40"/>
      <c r="I109" s="40"/>
      <c r="J109" s="265" t="s">
        <v>661</v>
      </c>
      <c r="K109" s="41"/>
      <c r="N109" s="12" t="s">
        <v>894</v>
      </c>
    </row>
    <row r="110" spans="2:14" x14ac:dyDescent="0.2">
      <c r="B110" s="38"/>
      <c r="C110" s="174" t="s">
        <v>660</v>
      </c>
      <c r="D110" s="40"/>
      <c r="E110" s="40"/>
      <c r="F110" s="40"/>
      <c r="G110" s="40"/>
      <c r="H110" s="40"/>
      <c r="I110" s="40"/>
      <c r="J110" s="246" t="str">
        <f>IF(J109=N108,"N/A",IF(J109=N109,0,IF(J109=N110,1,IF(J109=N111,2,IF(J109=N112,3,IF(J109=N113,4,"N/A"))))))</f>
        <v>N/A</v>
      </c>
      <c r="K110" s="41"/>
      <c r="N110" s="12" t="s">
        <v>895</v>
      </c>
    </row>
    <row r="111" spans="2:14" x14ac:dyDescent="0.2">
      <c r="B111" s="38"/>
      <c r="C111" s="40" t="s">
        <v>257</v>
      </c>
      <c r="D111" s="40"/>
      <c r="E111" s="40"/>
      <c r="F111" s="40"/>
      <c r="G111" s="40"/>
      <c r="H111" s="40"/>
      <c r="I111" s="40"/>
      <c r="J111" s="266" t="s">
        <v>872</v>
      </c>
      <c r="K111" s="41"/>
      <c r="N111" s="12" t="s">
        <v>896</v>
      </c>
    </row>
    <row r="112" spans="2:14" x14ac:dyDescent="0.2">
      <c r="B112" s="38"/>
      <c r="C112" s="40" t="s">
        <v>261</v>
      </c>
      <c r="D112" s="40"/>
      <c r="E112" s="40"/>
      <c r="F112" s="40"/>
      <c r="G112" s="40"/>
      <c r="H112" s="40"/>
      <c r="I112" s="40"/>
      <c r="J112" s="248">
        <f>IF(J111=$B$973,$A$973,IF(J111=$B$974,$A$974,IF(J111=$B$975,$A$975,IF(J111=$B$976,$A$976,IF(J111=$B$977,$A$977,"Not Calculated")))))</f>
        <v>2</v>
      </c>
      <c r="K112" s="41"/>
      <c r="N112" s="12" t="s">
        <v>897</v>
      </c>
    </row>
    <row r="113" spans="2:14" x14ac:dyDescent="0.2">
      <c r="B113" s="38"/>
      <c r="C113" s="40" t="s">
        <v>893</v>
      </c>
      <c r="D113" s="40"/>
      <c r="E113" s="40"/>
      <c r="F113" s="40"/>
      <c r="G113" s="40"/>
      <c r="H113" s="40"/>
      <c r="I113" s="40"/>
      <c r="J113" s="175"/>
      <c r="K113" s="41"/>
      <c r="N113" s="12" t="s">
        <v>898</v>
      </c>
    </row>
    <row r="114" spans="2:14" s="178" customFormat="1" ht="30" customHeight="1" x14ac:dyDescent="0.2">
      <c r="B114" s="176"/>
      <c r="C114" s="415" t="s">
        <v>1203</v>
      </c>
      <c r="D114" s="400"/>
      <c r="E114" s="400"/>
      <c r="F114" s="400"/>
      <c r="G114" s="400"/>
      <c r="H114" s="400"/>
      <c r="I114" s="400"/>
      <c r="J114" s="401"/>
      <c r="K114" s="177"/>
    </row>
    <row r="115" spans="2:14" x14ac:dyDescent="0.2">
      <c r="B115" s="38"/>
      <c r="C115" s="40"/>
      <c r="D115" s="40"/>
      <c r="E115" s="40"/>
      <c r="F115" s="40"/>
      <c r="G115" s="40"/>
      <c r="H115" s="40"/>
      <c r="I115" s="40"/>
      <c r="J115" s="40"/>
      <c r="K115" s="41"/>
    </row>
    <row r="116" spans="2:14" x14ac:dyDescent="0.2">
      <c r="B116" s="38"/>
      <c r="C116" s="179" t="s">
        <v>266</v>
      </c>
      <c r="D116" s="40"/>
      <c r="E116" s="40"/>
      <c r="F116" s="40"/>
      <c r="G116" s="40"/>
      <c r="H116" s="40"/>
      <c r="I116" s="40"/>
      <c r="J116" s="245" t="str">
        <f>IF(J110="N/A",IF(OR(J103="Not Calculated",J112="Not Calculated")=TRUE,"Not Calculated",AVERAGE(J103,J112)),AVERAGE(J110,J112))</f>
        <v>Not Calculated</v>
      </c>
      <c r="K116" s="41"/>
    </row>
    <row r="117" spans="2:14" x14ac:dyDescent="0.2">
      <c r="B117" s="38"/>
      <c r="C117" s="40"/>
      <c r="D117" s="40"/>
      <c r="E117" s="40"/>
      <c r="F117" s="40"/>
      <c r="G117" s="40"/>
      <c r="H117" s="40"/>
      <c r="I117" s="40"/>
      <c r="J117" s="40"/>
      <c r="K117" s="41"/>
    </row>
    <row r="118" spans="2:14" x14ac:dyDescent="0.2">
      <c r="B118" s="38"/>
      <c r="C118" s="40"/>
      <c r="D118" s="40"/>
      <c r="E118" s="40"/>
      <c r="F118" s="40"/>
      <c r="G118" s="40"/>
      <c r="H118" s="40"/>
      <c r="I118" s="40"/>
      <c r="J118" s="40"/>
      <c r="K118" s="41"/>
    </row>
    <row r="119" spans="2:14" ht="16" x14ac:dyDescent="0.2">
      <c r="B119" s="38"/>
      <c r="C119" s="45" t="s">
        <v>262</v>
      </c>
      <c r="D119" s="40"/>
      <c r="E119" s="40"/>
      <c r="F119" s="40"/>
      <c r="G119" s="40"/>
      <c r="H119" s="40"/>
      <c r="I119" s="40"/>
      <c r="J119" s="40"/>
      <c r="K119" s="41"/>
    </row>
    <row r="120" spans="2:14" ht="15" customHeight="1" x14ac:dyDescent="0.2">
      <c r="B120" s="38"/>
      <c r="C120" s="422" t="s">
        <v>268</v>
      </c>
      <c r="D120" s="422"/>
      <c r="E120" s="422"/>
      <c r="F120" s="422"/>
      <c r="G120" s="422"/>
      <c r="H120" s="422"/>
      <c r="I120" s="422"/>
      <c r="J120" s="422"/>
      <c r="K120" s="41"/>
    </row>
    <row r="121" spans="2:14" x14ac:dyDescent="0.2">
      <c r="B121" s="38"/>
      <c r="C121" s="422"/>
      <c r="D121" s="422"/>
      <c r="E121" s="422"/>
      <c r="F121" s="422"/>
      <c r="G121" s="422"/>
      <c r="H121" s="422"/>
      <c r="I121" s="422"/>
      <c r="J121" s="422"/>
      <c r="K121" s="41"/>
    </row>
    <row r="122" spans="2:14" x14ac:dyDescent="0.2">
      <c r="B122" s="38"/>
      <c r="C122" s="423"/>
      <c r="D122" s="423"/>
      <c r="E122" s="423"/>
      <c r="F122" s="423"/>
      <c r="G122" s="423"/>
      <c r="H122" s="423"/>
      <c r="I122" s="423"/>
      <c r="J122" s="423"/>
      <c r="K122" s="41"/>
    </row>
    <row r="123" spans="2:14" ht="15" customHeight="1" x14ac:dyDescent="0.2">
      <c r="B123" s="38"/>
      <c r="C123" s="439" t="s">
        <v>247</v>
      </c>
      <c r="D123" s="440"/>
      <c r="E123" s="440"/>
      <c r="F123" s="440"/>
      <c r="G123" s="440"/>
      <c r="H123" s="440"/>
      <c r="I123" s="440"/>
      <c r="J123" s="441"/>
      <c r="K123" s="41"/>
    </row>
    <row r="124" spans="2:14" x14ac:dyDescent="0.2">
      <c r="B124" s="38"/>
      <c r="C124" s="442"/>
      <c r="D124" s="443"/>
      <c r="E124" s="443"/>
      <c r="F124" s="443"/>
      <c r="G124" s="443"/>
      <c r="H124" s="443"/>
      <c r="I124" s="443"/>
      <c r="J124" s="444"/>
      <c r="K124" s="41"/>
    </row>
    <row r="125" spans="2:14" ht="15" customHeight="1" x14ac:dyDescent="0.2">
      <c r="B125" s="38"/>
      <c r="C125" s="40" t="s">
        <v>260</v>
      </c>
      <c r="D125" s="40"/>
      <c r="E125" s="40"/>
      <c r="F125" s="40"/>
      <c r="G125" s="40"/>
      <c r="H125" s="40"/>
      <c r="I125" s="40"/>
      <c r="J125" s="246">
        <f>IF(C123=B987,A987,IF(C123=B988,A988,IF(C123=B989,A989,IF(C123=B990,A990,IF(C123=B991,A991,"Not Calculated")))))</f>
        <v>2</v>
      </c>
      <c r="K125" s="41"/>
    </row>
    <row r="126" spans="2:14" ht="15" customHeight="1" x14ac:dyDescent="0.2">
      <c r="B126" s="38"/>
      <c r="C126" s="40" t="s">
        <v>257</v>
      </c>
      <c r="D126" s="40"/>
      <c r="E126" s="40"/>
      <c r="F126" s="40"/>
      <c r="G126" s="40"/>
      <c r="H126" s="40"/>
      <c r="I126" s="40"/>
      <c r="J126" s="266" t="s">
        <v>874</v>
      </c>
      <c r="K126" s="41"/>
    </row>
    <row r="127" spans="2:14" x14ac:dyDescent="0.2">
      <c r="B127" s="38"/>
      <c r="C127" s="40" t="s">
        <v>261</v>
      </c>
      <c r="D127" s="40"/>
      <c r="E127" s="40"/>
      <c r="F127" s="40"/>
      <c r="G127" s="40"/>
      <c r="H127" s="40"/>
      <c r="I127" s="40"/>
      <c r="J127" s="248">
        <f>IF(J126=$B$973,$A$973,IF(J126=$B$974,$A$974,IF(J126=$B$975,$A$975,IF(J126=$B$976,$A$976,IF(J126=$B$977,$A$977,"Not Calculated")))))</f>
        <v>4</v>
      </c>
      <c r="K127" s="41"/>
    </row>
    <row r="128" spans="2:14" ht="15" customHeight="1" x14ac:dyDescent="0.2">
      <c r="B128" s="38"/>
      <c r="C128" s="40" t="s">
        <v>893</v>
      </c>
      <c r="D128" s="40"/>
      <c r="E128" s="40"/>
      <c r="F128" s="40"/>
      <c r="G128" s="40"/>
      <c r="H128" s="40"/>
      <c r="I128" s="40"/>
      <c r="J128" s="175"/>
      <c r="K128" s="41"/>
    </row>
    <row r="129" spans="2:11" s="178" customFormat="1" ht="30" customHeight="1" x14ac:dyDescent="0.2">
      <c r="B129" s="176"/>
      <c r="C129" s="415" t="s">
        <v>1324</v>
      </c>
      <c r="D129" s="400"/>
      <c r="E129" s="400"/>
      <c r="F129" s="400"/>
      <c r="G129" s="400"/>
      <c r="H129" s="400"/>
      <c r="I129" s="400"/>
      <c r="J129" s="401"/>
      <c r="K129" s="177"/>
    </row>
    <row r="130" spans="2:11" x14ac:dyDescent="0.2">
      <c r="B130" s="38"/>
      <c r="C130" s="40"/>
      <c r="D130" s="40"/>
      <c r="E130" s="40"/>
      <c r="F130" s="40"/>
      <c r="G130" s="40"/>
      <c r="H130" s="40"/>
      <c r="I130" s="40"/>
      <c r="J130" s="40"/>
      <c r="K130" s="41"/>
    </row>
    <row r="131" spans="2:11" x14ac:dyDescent="0.2">
      <c r="B131" s="38"/>
      <c r="C131" s="179" t="s">
        <v>267</v>
      </c>
      <c r="D131" s="40"/>
      <c r="E131" s="40"/>
      <c r="F131" s="40"/>
      <c r="G131" s="40"/>
      <c r="H131" s="40"/>
      <c r="I131" s="40"/>
      <c r="J131" s="245">
        <f>IF(OR(J125="Not Calculated",J127="Not Calculated")=TRUE,"Not Calculated",AVERAGE(J125,J127))</f>
        <v>3</v>
      </c>
      <c r="K131" s="41"/>
    </row>
    <row r="132" spans="2:11" x14ac:dyDescent="0.2">
      <c r="B132" s="38"/>
      <c r="C132" s="179"/>
      <c r="D132" s="40"/>
      <c r="E132" s="40"/>
      <c r="F132" s="40"/>
      <c r="G132" s="40"/>
      <c r="H132" s="40"/>
      <c r="I132" s="40"/>
      <c r="J132" s="245"/>
      <c r="K132" s="41"/>
    </row>
    <row r="133" spans="2:11" ht="18" x14ac:dyDescent="0.2">
      <c r="B133" s="38"/>
      <c r="C133" s="180" t="s">
        <v>269</v>
      </c>
      <c r="D133" s="40"/>
      <c r="E133" s="40"/>
      <c r="F133" s="40"/>
      <c r="G133" s="40"/>
      <c r="H133" s="40"/>
      <c r="I133" s="40"/>
      <c r="J133" s="244" t="str">
        <f>IF(OR(J40="Not Calculated",J59="Not Calculated",J78="Not Calculated",J97="Not Calculated",J116="Not Calculated",J131="Not Calculated",)=TRUE,"Not Calculated",AVERAGE(J40,J59,J78,J97,J116,J131))</f>
        <v>Not Calculated</v>
      </c>
      <c r="K133" s="41"/>
    </row>
    <row r="134" spans="2:11" ht="16" thickBot="1" x14ac:dyDescent="0.25">
      <c r="B134" s="46"/>
      <c r="C134" s="47"/>
      <c r="D134" s="47"/>
      <c r="E134" s="47"/>
      <c r="F134" s="47"/>
      <c r="G134" s="47"/>
      <c r="H134" s="47"/>
      <c r="I134" s="47"/>
      <c r="J134" s="47"/>
      <c r="K134" s="49"/>
    </row>
    <row r="135" spans="2:11" ht="16" thickBot="1" x14ac:dyDescent="0.25"/>
    <row r="136" spans="2:11" x14ac:dyDescent="0.2">
      <c r="B136" s="33"/>
      <c r="C136" s="34"/>
      <c r="D136" s="34"/>
      <c r="E136" s="34"/>
      <c r="F136" s="34"/>
      <c r="G136" s="34"/>
      <c r="H136" s="34"/>
      <c r="I136" s="34"/>
      <c r="J136" s="34"/>
      <c r="K136" s="37"/>
    </row>
    <row r="137" spans="2:11" ht="21" x14ac:dyDescent="0.25">
      <c r="B137" s="38"/>
      <c r="C137" s="171"/>
      <c r="D137" s="40"/>
      <c r="E137" s="40"/>
      <c r="F137" s="40"/>
      <c r="G137" s="172" t="s">
        <v>27</v>
      </c>
      <c r="H137" s="40"/>
      <c r="I137" s="40"/>
      <c r="J137" s="40"/>
      <c r="K137" s="41"/>
    </row>
    <row r="138" spans="2:11" x14ac:dyDescent="0.2">
      <c r="B138" s="38"/>
      <c r="C138" s="40"/>
      <c r="D138" s="40"/>
      <c r="E138" s="40"/>
      <c r="F138" s="40"/>
      <c r="G138" s="40"/>
      <c r="H138" s="40"/>
      <c r="I138" s="40"/>
      <c r="J138" s="40"/>
      <c r="K138" s="41"/>
    </row>
    <row r="139" spans="2:11" ht="16" x14ac:dyDescent="0.2">
      <c r="B139" s="38"/>
      <c r="C139" s="45" t="s">
        <v>72</v>
      </c>
      <c r="D139" s="40"/>
      <c r="E139" s="40"/>
      <c r="F139" s="40"/>
      <c r="G139" s="40"/>
      <c r="H139" s="40"/>
      <c r="I139" s="40"/>
      <c r="J139" s="40"/>
      <c r="K139" s="41"/>
    </row>
    <row r="140" spans="2:11" x14ac:dyDescent="0.2">
      <c r="B140" s="38"/>
      <c r="C140" s="40" t="s">
        <v>440</v>
      </c>
      <c r="D140" s="40"/>
      <c r="E140" s="40"/>
      <c r="F140" s="40"/>
      <c r="G140" s="40"/>
      <c r="H140" s="40"/>
      <c r="I140" s="40"/>
      <c r="J140" s="252">
        <f>'Baseline Health'!G45</f>
        <v>0</v>
      </c>
      <c r="K140" s="41"/>
    </row>
    <row r="141" spans="2:11" x14ac:dyDescent="0.2">
      <c r="B141" s="38"/>
      <c r="C141" s="40" t="s">
        <v>270</v>
      </c>
      <c r="D141" s="40"/>
      <c r="E141" s="40"/>
      <c r="F141" s="40"/>
      <c r="G141" s="40"/>
      <c r="H141" s="40"/>
      <c r="I141" s="40"/>
      <c r="J141" s="264">
        <f>'Baseline Health'!G45*0.044</f>
        <v>0</v>
      </c>
      <c r="K141" s="41"/>
    </row>
    <row r="142" spans="2:11" x14ac:dyDescent="0.2">
      <c r="B142" s="38"/>
      <c r="C142" s="40" t="s">
        <v>439</v>
      </c>
      <c r="D142" s="40"/>
      <c r="E142" s="40"/>
      <c r="F142" s="40"/>
      <c r="G142" s="40"/>
      <c r="H142" s="40"/>
      <c r="I142" s="40"/>
      <c r="J142" s="255">
        <f>J83/20</f>
        <v>0</v>
      </c>
      <c r="K142" s="41"/>
    </row>
    <row r="143" spans="2:11" x14ac:dyDescent="0.2">
      <c r="B143" s="38"/>
      <c r="C143" s="40"/>
      <c r="D143" s="40" t="s">
        <v>351</v>
      </c>
      <c r="E143" s="40"/>
      <c r="F143" s="40"/>
      <c r="G143" s="40"/>
      <c r="H143" s="40"/>
      <c r="I143" s="40"/>
      <c r="J143" s="40"/>
      <c r="K143" s="41"/>
    </row>
    <row r="144" spans="2:11" x14ac:dyDescent="0.2">
      <c r="B144" s="38"/>
      <c r="C144" s="40" t="s">
        <v>260</v>
      </c>
      <c r="D144" s="40"/>
      <c r="E144" s="40"/>
      <c r="F144" s="40"/>
      <c r="G144" s="40"/>
      <c r="H144" s="40"/>
      <c r="I144" s="40"/>
      <c r="J144" s="245" t="str">
        <f>IF(OR(J140=0,J140="Not Calculated")=TRUE,"Not Calculated",IF((J140-J141)&lt;=0,4,IF(((J140+J142)/(J140-J141))&lt;=1,0,IF(((J140+J142)/(J140-J141))&lt;=1.05,1,IF(((J140+J142)/(J140-J141))&lt;=1.5, 2,IF(((J140+J142)/(J140-J141))&lt;=2,3,4))))))</f>
        <v>Not Calculated</v>
      </c>
      <c r="K144" s="41"/>
    </row>
    <row r="145" spans="2:14" ht="9.75" customHeight="1" x14ac:dyDescent="0.2">
      <c r="B145" s="38"/>
      <c r="C145" s="279" t="str">
        <f>"0:"</f>
        <v>0:</v>
      </c>
      <c r="D145" s="278" t="s">
        <v>918</v>
      </c>
      <c r="E145" s="40"/>
      <c r="F145" s="40"/>
      <c r="G145" s="40"/>
      <c r="H145" s="40"/>
      <c r="I145" s="40"/>
      <c r="J145" s="40"/>
      <c r="K145" s="41"/>
    </row>
    <row r="146" spans="2:14" ht="9.75" customHeight="1" x14ac:dyDescent="0.2">
      <c r="B146" s="38"/>
      <c r="C146" s="280" t="str">
        <f>"1:"</f>
        <v>1:</v>
      </c>
      <c r="D146" s="278" t="s">
        <v>923</v>
      </c>
      <c r="E146" s="40"/>
      <c r="F146" s="40"/>
      <c r="G146" s="40"/>
      <c r="H146" s="40"/>
      <c r="I146" s="40"/>
      <c r="J146" s="40"/>
      <c r="K146" s="41"/>
    </row>
    <row r="147" spans="2:14" ht="9.75" customHeight="1" x14ac:dyDescent="0.2">
      <c r="B147" s="38"/>
      <c r="C147" s="280" t="str">
        <f>"2:"</f>
        <v>2:</v>
      </c>
      <c r="D147" s="278" t="s">
        <v>924</v>
      </c>
      <c r="E147" s="40"/>
      <c r="F147" s="40"/>
      <c r="G147" s="40"/>
      <c r="H147" s="40"/>
      <c r="I147" s="40"/>
      <c r="J147" s="40"/>
      <c r="K147" s="41"/>
    </row>
    <row r="148" spans="2:14" ht="9.75" customHeight="1" x14ac:dyDescent="0.2">
      <c r="B148" s="38"/>
      <c r="C148" s="280" t="str">
        <f>"3:"</f>
        <v>3:</v>
      </c>
      <c r="D148" s="278" t="s">
        <v>925</v>
      </c>
      <c r="E148" s="40"/>
      <c r="F148" s="40"/>
      <c r="G148" s="40"/>
      <c r="H148" s="40"/>
      <c r="I148" s="40"/>
      <c r="J148" s="40"/>
      <c r="K148" s="41"/>
    </row>
    <row r="149" spans="2:14" ht="9.75" customHeight="1" x14ac:dyDescent="0.2">
      <c r="B149" s="38"/>
      <c r="C149" s="280" t="str">
        <f>"4:"</f>
        <v>4:</v>
      </c>
      <c r="D149" s="278" t="s">
        <v>926</v>
      </c>
      <c r="E149" s="40"/>
      <c r="F149" s="40"/>
      <c r="G149" s="40"/>
      <c r="H149" s="40"/>
      <c r="I149" s="40"/>
      <c r="J149" s="40"/>
      <c r="K149" s="41"/>
      <c r="N149" s="12" t="s">
        <v>661</v>
      </c>
    </row>
    <row r="150" spans="2:14" x14ac:dyDescent="0.2">
      <c r="B150" s="38"/>
      <c r="C150" s="174" t="s">
        <v>662</v>
      </c>
      <c r="D150" s="40"/>
      <c r="E150" s="40"/>
      <c r="F150" s="40"/>
      <c r="G150" s="40"/>
      <c r="H150" s="40"/>
      <c r="I150" s="40"/>
      <c r="J150" s="265" t="s">
        <v>661</v>
      </c>
      <c r="K150" s="41"/>
      <c r="N150" s="12" t="s">
        <v>894</v>
      </c>
    </row>
    <row r="151" spans="2:14" x14ac:dyDescent="0.2">
      <c r="B151" s="38"/>
      <c r="C151" s="174" t="s">
        <v>660</v>
      </c>
      <c r="D151" s="40"/>
      <c r="E151" s="40"/>
      <c r="F151" s="40"/>
      <c r="G151" s="40"/>
      <c r="H151" s="40"/>
      <c r="I151" s="40"/>
      <c r="J151" s="246" t="str">
        <f>IF(J150=N149,"N/A",IF(J150=N150,0,IF(J150=N151,1,IF(J150=N152,2,IF(J150=N153,3,IF(J150=N154,4,"N/A"))))))</f>
        <v>N/A</v>
      </c>
      <c r="K151" s="41"/>
      <c r="N151" s="12" t="s">
        <v>899</v>
      </c>
    </row>
    <row r="152" spans="2:14" x14ac:dyDescent="0.2">
      <c r="B152" s="38"/>
      <c r="C152" s="40" t="s">
        <v>257</v>
      </c>
      <c r="D152" s="40"/>
      <c r="E152" s="40"/>
      <c r="F152" s="40"/>
      <c r="G152" s="40"/>
      <c r="H152" s="40"/>
      <c r="I152" s="40"/>
      <c r="J152" s="266" t="s">
        <v>874</v>
      </c>
      <c r="K152" s="41"/>
      <c r="N152" s="12" t="s">
        <v>900</v>
      </c>
    </row>
    <row r="153" spans="2:14" x14ac:dyDescent="0.2">
      <c r="B153" s="38"/>
      <c r="C153" s="40" t="s">
        <v>261</v>
      </c>
      <c r="D153" s="40"/>
      <c r="E153" s="40"/>
      <c r="F153" s="40"/>
      <c r="G153" s="40"/>
      <c r="H153" s="40"/>
      <c r="I153" s="40"/>
      <c r="J153" s="248">
        <f>IF(J152=$B$973,$A$973,IF(J152=$B$974,$A$974,IF(J152=$B$975,$A$975,IF(J152=$B$976,$A$976,IF(J152=$B$977,$A$977,"Not Calculated")))))</f>
        <v>4</v>
      </c>
      <c r="K153" s="41"/>
      <c r="N153" s="12" t="s">
        <v>901</v>
      </c>
    </row>
    <row r="154" spans="2:14" x14ac:dyDescent="0.2">
      <c r="B154" s="38"/>
      <c r="C154" s="40" t="s">
        <v>893</v>
      </c>
      <c r="D154" s="40"/>
      <c r="E154" s="40"/>
      <c r="F154" s="40"/>
      <c r="G154" s="40"/>
      <c r="H154" s="40"/>
      <c r="I154" s="40"/>
      <c r="J154" s="40"/>
      <c r="K154" s="41"/>
      <c r="N154" s="12" t="s">
        <v>902</v>
      </c>
    </row>
    <row r="155" spans="2:14" ht="30" customHeight="1" x14ac:dyDescent="0.2">
      <c r="B155" s="38"/>
      <c r="C155" s="399" t="s">
        <v>1325</v>
      </c>
      <c r="D155" s="400"/>
      <c r="E155" s="400"/>
      <c r="F155" s="400"/>
      <c r="G155" s="400"/>
      <c r="H155" s="400"/>
      <c r="I155" s="400"/>
      <c r="J155" s="401"/>
      <c r="K155" s="41"/>
    </row>
    <row r="156" spans="2:14" x14ac:dyDescent="0.2">
      <c r="B156" s="38"/>
      <c r="C156" s="40"/>
      <c r="D156" s="40"/>
      <c r="E156" s="40"/>
      <c r="F156" s="40"/>
      <c r="G156" s="40"/>
      <c r="H156" s="40"/>
      <c r="I156" s="40"/>
      <c r="J156" s="40"/>
      <c r="K156" s="41"/>
    </row>
    <row r="157" spans="2:14" x14ac:dyDescent="0.2">
      <c r="B157" s="38"/>
      <c r="C157" s="179" t="s">
        <v>271</v>
      </c>
      <c r="D157" s="40"/>
      <c r="E157" s="40"/>
      <c r="F157" s="40"/>
      <c r="G157" s="40"/>
      <c r="H157" s="40"/>
      <c r="I157" s="40"/>
      <c r="J157" s="245" t="str">
        <f>IF(J151="N/A",IF(OR(J144="Not Calculated",J153="Not Calculated")=TRUE,"Not Calculated",AVERAGE(J144,J153)),AVERAGE(J151,J153))</f>
        <v>Not Calculated</v>
      </c>
      <c r="K157" s="41"/>
    </row>
    <row r="158" spans="2:14" x14ac:dyDescent="0.2">
      <c r="B158" s="38"/>
      <c r="C158" s="40"/>
      <c r="D158" s="40"/>
      <c r="E158" s="40"/>
      <c r="F158" s="40"/>
      <c r="G158" s="40"/>
      <c r="H158" s="40"/>
      <c r="I158" s="40"/>
      <c r="J158" s="40"/>
      <c r="K158" s="41"/>
    </row>
    <row r="159" spans="2:14" x14ac:dyDescent="0.2">
      <c r="B159" s="38"/>
      <c r="C159" s="40"/>
      <c r="D159" s="40"/>
      <c r="E159" s="40"/>
      <c r="F159" s="40"/>
      <c r="G159" s="40"/>
      <c r="H159" s="40"/>
      <c r="I159" s="40"/>
      <c r="J159" s="40"/>
      <c r="K159" s="41"/>
    </row>
    <row r="160" spans="2:14" ht="16" x14ac:dyDescent="0.2">
      <c r="B160" s="38"/>
      <c r="C160" s="45" t="s">
        <v>273</v>
      </c>
      <c r="D160" s="40"/>
      <c r="E160" s="40"/>
      <c r="F160" s="40"/>
      <c r="G160" s="40"/>
      <c r="H160" s="40"/>
      <c r="I160" s="40"/>
      <c r="J160" s="40"/>
      <c r="K160" s="41"/>
    </row>
    <row r="161" spans="2:14" x14ac:dyDescent="0.2">
      <c r="B161" s="38"/>
      <c r="C161" s="40" t="s">
        <v>441</v>
      </c>
      <c r="D161" s="40"/>
      <c r="E161" s="40"/>
      <c r="F161" s="40"/>
      <c r="G161" s="40"/>
      <c r="H161" s="40"/>
      <c r="I161" s="40"/>
      <c r="J161" s="252">
        <f>'Baseline Health'!G51</f>
        <v>0</v>
      </c>
      <c r="K161" s="41"/>
    </row>
    <row r="162" spans="2:14" x14ac:dyDescent="0.2">
      <c r="B162" s="38"/>
      <c r="C162" s="40" t="s">
        <v>280</v>
      </c>
      <c r="D162" s="40"/>
      <c r="E162" s="40"/>
      <c r="F162" s="40"/>
      <c r="G162" s="40"/>
      <c r="H162" s="40"/>
      <c r="I162" s="40"/>
      <c r="J162" s="264">
        <v>0</v>
      </c>
      <c r="K162" s="41"/>
    </row>
    <row r="163" spans="2:14" x14ac:dyDescent="0.2">
      <c r="B163" s="38"/>
      <c r="C163" s="40" t="s">
        <v>442</v>
      </c>
      <c r="D163" s="40"/>
      <c r="E163" s="40"/>
      <c r="F163" s="40"/>
      <c r="G163" s="40"/>
      <c r="H163" s="40"/>
      <c r="I163" s="40"/>
      <c r="J163" s="255">
        <f>(J64)/4.5</f>
        <v>1.5555555555555556</v>
      </c>
      <c r="K163" s="41"/>
    </row>
    <row r="164" spans="2:14" x14ac:dyDescent="0.2">
      <c r="B164" s="38"/>
      <c r="C164" s="40"/>
      <c r="D164" s="40" t="s">
        <v>353</v>
      </c>
      <c r="E164" s="40"/>
      <c r="F164" s="40"/>
      <c r="G164" s="40"/>
      <c r="H164" s="40"/>
      <c r="I164" s="40"/>
      <c r="J164" s="40"/>
      <c r="K164" s="41"/>
    </row>
    <row r="165" spans="2:14" x14ac:dyDescent="0.2">
      <c r="B165" s="38"/>
      <c r="C165" s="40" t="s">
        <v>260</v>
      </c>
      <c r="D165" s="40"/>
      <c r="E165" s="40"/>
      <c r="F165" s="40"/>
      <c r="G165" s="40"/>
      <c r="H165" s="40"/>
      <c r="I165" s="40"/>
      <c r="J165" s="245" t="str">
        <f>IF(OR(J161=0,J161="Not Calculated")=TRUE,"Not Calculated",IF((J161-J162)&lt;=0,4,IF(((J161+J163)/(J161-J162))&lt;=1,0,IF(((J161+J163)/(J161-J162))&lt;=1.05,1,IF(((J161+J163)/(J161-J162))&lt;=1.5, 2,IF(((J161+J163)/(J161-J162))&lt;=2,3,4))))))</f>
        <v>Not Calculated</v>
      </c>
      <c r="K165" s="41"/>
    </row>
    <row r="166" spans="2:14" ht="9.75" customHeight="1" x14ac:dyDescent="0.2">
      <c r="B166" s="38"/>
      <c r="C166" s="279" t="str">
        <f>"0:"</f>
        <v>0:</v>
      </c>
      <c r="D166" s="278" t="s">
        <v>918</v>
      </c>
      <c r="E166" s="40"/>
      <c r="F166" s="40"/>
      <c r="G166" s="40"/>
      <c r="H166" s="40"/>
      <c r="I166" s="40"/>
      <c r="J166" s="40"/>
      <c r="K166" s="41"/>
    </row>
    <row r="167" spans="2:14" ht="9.75" customHeight="1" x14ac:dyDescent="0.2">
      <c r="B167" s="38"/>
      <c r="C167" s="280" t="str">
        <f>"1:"</f>
        <v>1:</v>
      </c>
      <c r="D167" s="278" t="s">
        <v>923</v>
      </c>
      <c r="E167" s="40"/>
      <c r="F167" s="40"/>
      <c r="G167" s="40"/>
      <c r="H167" s="40"/>
      <c r="I167" s="40"/>
      <c r="J167" s="40"/>
      <c r="K167" s="41"/>
    </row>
    <row r="168" spans="2:14" ht="9.75" customHeight="1" x14ac:dyDescent="0.2">
      <c r="B168" s="38"/>
      <c r="C168" s="280" t="str">
        <f>"2:"</f>
        <v>2:</v>
      </c>
      <c r="D168" s="278" t="s">
        <v>924</v>
      </c>
      <c r="E168" s="40"/>
      <c r="F168" s="40"/>
      <c r="G168" s="40"/>
      <c r="H168" s="40"/>
      <c r="I168" s="40"/>
      <c r="J168" s="40"/>
      <c r="K168" s="41"/>
    </row>
    <row r="169" spans="2:14" ht="9.75" customHeight="1" x14ac:dyDescent="0.2">
      <c r="B169" s="38"/>
      <c r="C169" s="280" t="str">
        <f>"3:"</f>
        <v>3:</v>
      </c>
      <c r="D169" s="278" t="s">
        <v>925</v>
      </c>
      <c r="E169" s="40"/>
      <c r="F169" s="40"/>
      <c r="G169" s="40"/>
      <c r="H169" s="40"/>
      <c r="I169" s="40"/>
      <c r="J169" s="40"/>
      <c r="K169" s="41"/>
    </row>
    <row r="170" spans="2:14" ht="9.75" customHeight="1" x14ac:dyDescent="0.2">
      <c r="B170" s="38"/>
      <c r="C170" s="280" t="str">
        <f>"4:"</f>
        <v>4:</v>
      </c>
      <c r="D170" s="278" t="s">
        <v>926</v>
      </c>
      <c r="E170" s="40"/>
      <c r="F170" s="40"/>
      <c r="G170" s="40"/>
      <c r="H170" s="40"/>
      <c r="I170" s="40"/>
      <c r="J170" s="40"/>
      <c r="K170" s="41"/>
      <c r="N170" s="12" t="s">
        <v>661</v>
      </c>
    </row>
    <row r="171" spans="2:14" x14ac:dyDescent="0.2">
      <c r="B171" s="38"/>
      <c r="C171" s="174" t="s">
        <v>662</v>
      </c>
      <c r="D171" s="40"/>
      <c r="E171" s="40"/>
      <c r="F171" s="40"/>
      <c r="G171" s="40"/>
      <c r="H171" s="40"/>
      <c r="I171" s="40"/>
      <c r="J171" s="265" t="s">
        <v>661</v>
      </c>
      <c r="K171" s="41"/>
      <c r="N171" s="12" t="s">
        <v>894</v>
      </c>
    </row>
    <row r="172" spans="2:14" x14ac:dyDescent="0.2">
      <c r="B172" s="38"/>
      <c r="C172" s="174" t="s">
        <v>660</v>
      </c>
      <c r="D172" s="40"/>
      <c r="E172" s="40"/>
      <c r="F172" s="40"/>
      <c r="G172" s="40"/>
      <c r="H172" s="40"/>
      <c r="I172" s="40"/>
      <c r="J172" s="246" t="str">
        <f>IF(J171=N170,"N/A",IF(J171=N171,0,IF(J171=N172,1,IF(J171=N173,2,IF(J171=N174,3,IF(J171=N175,4,"N/A"))))))</f>
        <v>N/A</v>
      </c>
      <c r="K172" s="41"/>
      <c r="N172" s="12" t="s">
        <v>899</v>
      </c>
    </row>
    <row r="173" spans="2:14" x14ac:dyDescent="0.2">
      <c r="B173" s="38"/>
      <c r="C173" s="40" t="s">
        <v>257</v>
      </c>
      <c r="D173" s="40"/>
      <c r="E173" s="40"/>
      <c r="F173" s="40"/>
      <c r="G173" s="40"/>
      <c r="H173" s="40"/>
      <c r="I173" s="40"/>
      <c r="J173" s="266" t="s">
        <v>872</v>
      </c>
      <c r="K173" s="41"/>
      <c r="N173" s="12" t="s">
        <v>900</v>
      </c>
    </row>
    <row r="174" spans="2:14" x14ac:dyDescent="0.2">
      <c r="B174" s="38"/>
      <c r="C174" s="40" t="s">
        <v>261</v>
      </c>
      <c r="D174" s="40"/>
      <c r="E174" s="40"/>
      <c r="F174" s="40"/>
      <c r="G174" s="40"/>
      <c r="H174" s="40"/>
      <c r="I174" s="40"/>
      <c r="J174" s="248">
        <f>IF(J173=$B$973,$A$973,IF(J173=$B$974,$A$974,IF(J173=$B$975,$A$975,IF(J173=$B$976,$A$976,IF(J173=$B$977,$A$977,"Not Calculated")))))</f>
        <v>2</v>
      </c>
      <c r="K174" s="41"/>
      <c r="N174" s="12" t="s">
        <v>901</v>
      </c>
    </row>
    <row r="175" spans="2:14" x14ac:dyDescent="0.2">
      <c r="B175" s="38"/>
      <c r="C175" s="40" t="s">
        <v>893</v>
      </c>
      <c r="D175" s="40"/>
      <c r="E175" s="40"/>
      <c r="F175" s="40"/>
      <c r="G175" s="40"/>
      <c r="H175" s="40"/>
      <c r="I175" s="40"/>
      <c r="J175" s="40"/>
      <c r="K175" s="41"/>
      <c r="N175" s="12" t="s">
        <v>902</v>
      </c>
    </row>
    <row r="176" spans="2:14" ht="30" customHeight="1" x14ac:dyDescent="0.2">
      <c r="B176" s="38"/>
      <c r="C176" s="399"/>
      <c r="D176" s="400"/>
      <c r="E176" s="400"/>
      <c r="F176" s="400"/>
      <c r="G176" s="400"/>
      <c r="H176" s="400"/>
      <c r="I176" s="400"/>
      <c r="J176" s="401"/>
      <c r="K176" s="41"/>
    </row>
    <row r="177" spans="2:14" x14ac:dyDescent="0.2">
      <c r="B177" s="38"/>
      <c r="C177" s="40"/>
      <c r="D177" s="40"/>
      <c r="E177" s="40"/>
      <c r="F177" s="40"/>
      <c r="G177" s="40"/>
      <c r="H177" s="40"/>
      <c r="I177" s="40"/>
      <c r="J177" s="40"/>
      <c r="K177" s="41"/>
    </row>
    <row r="178" spans="2:14" x14ac:dyDescent="0.2">
      <c r="B178" s="38"/>
      <c r="C178" s="179" t="s">
        <v>274</v>
      </c>
      <c r="D178" s="40"/>
      <c r="E178" s="40"/>
      <c r="F178" s="40"/>
      <c r="G178" s="40"/>
      <c r="H178" s="40"/>
      <c r="I178" s="40"/>
      <c r="J178" s="245" t="str">
        <f>IF(J172="N/A",IF(OR(J165="Not Calculated",J174="Not Calculated")=TRUE,"Not Calculated",AVERAGE(J165,J174)),AVERAGE(J172,J174))</f>
        <v>Not Calculated</v>
      </c>
      <c r="K178" s="41"/>
    </row>
    <row r="179" spans="2:14" x14ac:dyDescent="0.2">
      <c r="B179" s="38"/>
      <c r="C179" s="40"/>
      <c r="D179" s="40"/>
      <c r="E179" s="40"/>
      <c r="F179" s="40"/>
      <c r="G179" s="40"/>
      <c r="H179" s="40"/>
      <c r="I179" s="40"/>
      <c r="J179" s="40"/>
      <c r="K179" s="41"/>
    </row>
    <row r="180" spans="2:14" x14ac:dyDescent="0.2">
      <c r="B180" s="38"/>
      <c r="C180" s="40"/>
      <c r="D180" s="40"/>
      <c r="E180" s="40"/>
      <c r="F180" s="40"/>
      <c r="G180" s="40"/>
      <c r="H180" s="40"/>
      <c r="I180" s="40"/>
      <c r="J180" s="40"/>
      <c r="K180" s="41"/>
    </row>
    <row r="181" spans="2:14" ht="16" x14ac:dyDescent="0.2">
      <c r="B181" s="38"/>
      <c r="C181" s="45" t="s">
        <v>74</v>
      </c>
      <c r="D181" s="40"/>
      <c r="E181" s="40"/>
      <c r="F181" s="40"/>
      <c r="G181" s="40"/>
      <c r="H181" s="40"/>
      <c r="I181" s="40"/>
      <c r="J181" s="40"/>
      <c r="K181" s="41"/>
    </row>
    <row r="182" spans="2:14" x14ac:dyDescent="0.2">
      <c r="B182" s="38"/>
      <c r="C182" s="40" t="s">
        <v>443</v>
      </c>
      <c r="D182" s="40"/>
      <c r="E182" s="40"/>
      <c r="F182" s="40"/>
      <c r="G182" s="40"/>
      <c r="H182" s="40"/>
      <c r="I182" s="40"/>
      <c r="J182" s="252">
        <f>'Baseline Health'!G59</f>
        <v>0</v>
      </c>
      <c r="K182" s="41"/>
    </row>
    <row r="183" spans="2:14" x14ac:dyDescent="0.2">
      <c r="B183" s="38"/>
      <c r="C183" s="40" t="s">
        <v>281</v>
      </c>
      <c r="D183" s="40"/>
      <c r="E183" s="40"/>
      <c r="F183" s="40"/>
      <c r="G183" s="40"/>
      <c r="H183" s="40"/>
      <c r="I183" s="40"/>
      <c r="J183" s="264">
        <v>0</v>
      </c>
      <c r="K183" s="41"/>
    </row>
    <row r="184" spans="2:14" x14ac:dyDescent="0.2">
      <c r="B184" s="38"/>
      <c r="C184" s="40" t="s">
        <v>354</v>
      </c>
      <c r="D184" s="40"/>
      <c r="E184" s="40"/>
      <c r="F184" s="40"/>
      <c r="G184" s="40"/>
      <c r="H184" s="40"/>
      <c r="I184" s="40"/>
      <c r="J184" s="264">
        <f>('Baseline Health'!G6*0.00000492)</f>
        <v>0</v>
      </c>
      <c r="K184" s="41"/>
    </row>
    <row r="185" spans="2:14" x14ac:dyDescent="0.2">
      <c r="B185" s="38"/>
      <c r="C185" s="40" t="s">
        <v>260</v>
      </c>
      <c r="D185" s="40"/>
      <c r="E185" s="40"/>
      <c r="F185" s="40"/>
      <c r="G185" s="40"/>
      <c r="H185" s="40"/>
      <c r="I185" s="40"/>
      <c r="J185" s="248" t="str">
        <f>IF(OR(J182=0,J182="Not Calculated")=TRUE,"Not Calculated",IF(J182-J183=0,4,IF(((J182+J184)/(J182-J183))&lt;=1,0,IF(((J182+J184)/(J182-J183))&lt;=1.05,1,IF(((J182+J184)/(J182-J183))&lt;=1.5, 2,IF(((J182+J184)/(J182-J183))&lt;=2,3,4))))))</f>
        <v>Not Calculated</v>
      </c>
      <c r="K185" s="41"/>
    </row>
    <row r="186" spans="2:14" ht="9.75" customHeight="1" x14ac:dyDescent="0.2">
      <c r="B186" s="38"/>
      <c r="C186" s="279" t="str">
        <f>"0:"</f>
        <v>0:</v>
      </c>
      <c r="D186" s="278" t="s">
        <v>918</v>
      </c>
      <c r="E186" s="40"/>
      <c r="F186" s="40"/>
      <c r="G186" s="40"/>
      <c r="H186" s="40"/>
      <c r="I186" s="40"/>
      <c r="J186" s="40"/>
      <c r="K186" s="41"/>
    </row>
    <row r="187" spans="2:14" ht="9.75" customHeight="1" x14ac:dyDescent="0.2">
      <c r="B187" s="38"/>
      <c r="C187" s="280" t="str">
        <f>"1:"</f>
        <v>1:</v>
      </c>
      <c r="D187" s="278" t="s">
        <v>923</v>
      </c>
      <c r="E187" s="40"/>
      <c r="F187" s="40"/>
      <c r="G187" s="40"/>
      <c r="H187" s="40"/>
      <c r="I187" s="40"/>
      <c r="J187" s="40"/>
      <c r="K187" s="41"/>
    </row>
    <row r="188" spans="2:14" ht="9.75" customHeight="1" x14ac:dyDescent="0.2">
      <c r="B188" s="38"/>
      <c r="C188" s="280" t="str">
        <f>"2:"</f>
        <v>2:</v>
      </c>
      <c r="D188" s="278" t="s">
        <v>924</v>
      </c>
      <c r="E188" s="40"/>
      <c r="F188" s="40"/>
      <c r="G188" s="40"/>
      <c r="H188" s="40"/>
      <c r="I188" s="40"/>
      <c r="J188" s="40"/>
      <c r="K188" s="41"/>
    </row>
    <row r="189" spans="2:14" ht="9.75" customHeight="1" x14ac:dyDescent="0.2">
      <c r="B189" s="38"/>
      <c r="C189" s="280" t="str">
        <f>"3:"</f>
        <v>3:</v>
      </c>
      <c r="D189" s="278" t="s">
        <v>925</v>
      </c>
      <c r="E189" s="40"/>
      <c r="F189" s="40"/>
      <c r="G189" s="40"/>
      <c r="H189" s="40"/>
      <c r="I189" s="40"/>
      <c r="J189" s="40"/>
      <c r="K189" s="41"/>
    </row>
    <row r="190" spans="2:14" ht="9.75" customHeight="1" x14ac:dyDescent="0.2">
      <c r="B190" s="38"/>
      <c r="C190" s="280" t="str">
        <f>"4:"</f>
        <v>4:</v>
      </c>
      <c r="D190" s="278" t="s">
        <v>926</v>
      </c>
      <c r="E190" s="40"/>
      <c r="F190" s="40"/>
      <c r="G190" s="40"/>
      <c r="H190" s="40"/>
      <c r="I190" s="40"/>
      <c r="J190" s="40"/>
      <c r="K190" s="41"/>
      <c r="N190" s="12" t="s">
        <v>661</v>
      </c>
    </row>
    <row r="191" spans="2:14" x14ac:dyDescent="0.2">
      <c r="B191" s="38"/>
      <c r="C191" s="174" t="s">
        <v>662</v>
      </c>
      <c r="D191" s="40"/>
      <c r="E191" s="40"/>
      <c r="F191" s="40"/>
      <c r="G191" s="40"/>
      <c r="H191" s="40"/>
      <c r="I191" s="40"/>
      <c r="J191" s="265" t="s">
        <v>661</v>
      </c>
      <c r="K191" s="41"/>
      <c r="N191" s="12" t="s">
        <v>894</v>
      </c>
    </row>
    <row r="192" spans="2:14" x14ac:dyDescent="0.2">
      <c r="B192" s="38"/>
      <c r="C192" s="174" t="s">
        <v>660</v>
      </c>
      <c r="D192" s="40"/>
      <c r="E192" s="40"/>
      <c r="F192" s="40"/>
      <c r="G192" s="40"/>
      <c r="H192" s="40"/>
      <c r="I192" s="40"/>
      <c r="J192" s="246" t="str">
        <f>IF(J191=N190,"N/A",IF(J191=N191,0,IF(J191=N192,1,IF(J191=N193,2,IF(J191=N194,3,IF(J191=N195,4,"N/A"))))))</f>
        <v>N/A</v>
      </c>
      <c r="K192" s="41"/>
      <c r="N192" s="12" t="s">
        <v>899</v>
      </c>
    </row>
    <row r="193" spans="2:14" x14ac:dyDescent="0.2">
      <c r="B193" s="38"/>
      <c r="C193" s="40" t="s">
        <v>257</v>
      </c>
      <c r="D193" s="40"/>
      <c r="E193" s="40"/>
      <c r="F193" s="40"/>
      <c r="G193" s="40"/>
      <c r="H193" s="40"/>
      <c r="I193" s="40"/>
      <c r="J193" s="266" t="s">
        <v>873</v>
      </c>
      <c r="K193" s="41"/>
      <c r="N193" s="12" t="s">
        <v>900</v>
      </c>
    </row>
    <row r="194" spans="2:14" x14ac:dyDescent="0.2">
      <c r="B194" s="38"/>
      <c r="C194" s="40" t="s">
        <v>261</v>
      </c>
      <c r="D194" s="40"/>
      <c r="E194" s="40"/>
      <c r="F194" s="40"/>
      <c r="G194" s="40"/>
      <c r="H194" s="40"/>
      <c r="I194" s="40"/>
      <c r="J194" s="248">
        <f>IF(J193=$B$973,$A$973,IF(J193=$B$974,$A$974,IF(J193=$B$975,$A$975,IF(J193=$B$976,$A$976,IF(J193=$B$977,$A$977,"Not Calculated")))))</f>
        <v>3</v>
      </c>
      <c r="K194" s="41"/>
      <c r="N194" s="12" t="s">
        <v>901</v>
      </c>
    </row>
    <row r="195" spans="2:14" x14ac:dyDescent="0.2">
      <c r="B195" s="38"/>
      <c r="C195" s="40" t="s">
        <v>893</v>
      </c>
      <c r="D195" s="40"/>
      <c r="E195" s="40"/>
      <c r="F195" s="40"/>
      <c r="G195" s="40"/>
      <c r="H195" s="40"/>
      <c r="I195" s="40"/>
      <c r="J195" s="40"/>
      <c r="K195" s="41"/>
      <c r="N195" s="12" t="s">
        <v>902</v>
      </c>
    </row>
    <row r="196" spans="2:14" ht="30" customHeight="1" x14ac:dyDescent="0.2">
      <c r="B196" s="38"/>
      <c r="C196" s="399" t="s">
        <v>1204</v>
      </c>
      <c r="D196" s="400"/>
      <c r="E196" s="400"/>
      <c r="F196" s="400"/>
      <c r="G196" s="400"/>
      <c r="H196" s="400"/>
      <c r="I196" s="400"/>
      <c r="J196" s="401"/>
      <c r="K196" s="41"/>
    </row>
    <row r="197" spans="2:14" x14ac:dyDescent="0.2">
      <c r="B197" s="38"/>
      <c r="C197" s="40"/>
      <c r="D197" s="40"/>
      <c r="E197" s="40"/>
      <c r="F197" s="40"/>
      <c r="G197" s="40"/>
      <c r="H197" s="40"/>
      <c r="I197" s="40"/>
      <c r="J197" s="40"/>
      <c r="K197" s="41"/>
    </row>
    <row r="198" spans="2:14" x14ac:dyDescent="0.2">
      <c r="B198" s="38"/>
      <c r="C198" s="179" t="s">
        <v>275</v>
      </c>
      <c r="D198" s="40"/>
      <c r="E198" s="40"/>
      <c r="F198" s="40"/>
      <c r="G198" s="40"/>
      <c r="H198" s="40"/>
      <c r="I198" s="40"/>
      <c r="J198" s="245" t="str">
        <f>IF(J192="N/A",IF(OR(J185="Not Calculated",J194="Not Calculated")=TRUE,"Not Calculated",AVERAGE(J185,J194)),AVERAGE(J192,J194))</f>
        <v>Not Calculated</v>
      </c>
      <c r="K198" s="41"/>
    </row>
    <row r="199" spans="2:14" x14ac:dyDescent="0.2">
      <c r="B199" s="38"/>
      <c r="C199" s="40"/>
      <c r="D199" s="40"/>
      <c r="E199" s="40"/>
      <c r="F199" s="40"/>
      <c r="G199" s="40"/>
      <c r="H199" s="40"/>
      <c r="I199" s="40"/>
      <c r="J199" s="40"/>
      <c r="K199" s="41"/>
    </row>
    <row r="200" spans="2:14" x14ac:dyDescent="0.2">
      <c r="B200" s="38"/>
      <c r="C200" s="40"/>
      <c r="D200" s="40"/>
      <c r="E200" s="40"/>
      <c r="F200" s="40"/>
      <c r="G200" s="40"/>
      <c r="H200" s="40"/>
      <c r="I200" s="40"/>
      <c r="J200" s="40"/>
      <c r="K200" s="41"/>
    </row>
    <row r="201" spans="2:14" ht="16" x14ac:dyDescent="0.2">
      <c r="B201" s="38"/>
      <c r="C201" s="45" t="s">
        <v>75</v>
      </c>
      <c r="D201" s="40"/>
      <c r="E201" s="40"/>
      <c r="F201" s="40"/>
      <c r="G201" s="40"/>
      <c r="H201" s="40"/>
      <c r="I201" s="40"/>
      <c r="J201" s="40"/>
      <c r="K201" s="41"/>
    </row>
    <row r="202" spans="2:14" x14ac:dyDescent="0.2">
      <c r="B202" s="38"/>
      <c r="C202" s="40" t="s">
        <v>444</v>
      </c>
      <c r="D202" s="40"/>
      <c r="E202" s="40"/>
      <c r="F202" s="40"/>
      <c r="G202" s="40"/>
      <c r="H202" s="40"/>
      <c r="I202" s="40"/>
      <c r="J202" s="252">
        <f>'Baseline Health'!G65</f>
        <v>0</v>
      </c>
      <c r="K202" s="41"/>
    </row>
    <row r="203" spans="2:14" x14ac:dyDescent="0.2">
      <c r="B203" s="38"/>
      <c r="C203" s="40" t="s">
        <v>282</v>
      </c>
      <c r="D203" s="40"/>
      <c r="E203" s="40"/>
      <c r="F203" s="40"/>
      <c r="G203" s="40"/>
      <c r="H203" s="40"/>
      <c r="I203" s="40"/>
      <c r="J203" s="264">
        <v>0</v>
      </c>
      <c r="K203" s="41"/>
    </row>
    <row r="204" spans="2:14" x14ac:dyDescent="0.2">
      <c r="B204" s="38"/>
      <c r="C204" s="40" t="s">
        <v>355</v>
      </c>
      <c r="D204" s="40"/>
      <c r="E204" s="40"/>
      <c r="F204" s="40"/>
      <c r="G204" s="40"/>
      <c r="H204" s="40"/>
      <c r="I204" s="40"/>
      <c r="J204" s="264">
        <v>0</v>
      </c>
      <c r="K204" s="41"/>
    </row>
    <row r="205" spans="2:14" x14ac:dyDescent="0.2">
      <c r="B205" s="38"/>
      <c r="C205" s="40" t="s">
        <v>260</v>
      </c>
      <c r="D205" s="40"/>
      <c r="E205" s="40"/>
      <c r="F205" s="40"/>
      <c r="G205" s="40"/>
      <c r="H205" s="40"/>
      <c r="I205" s="40"/>
      <c r="J205" s="248" t="str">
        <f>IF(OR(J202=0,J202="Not Calculated")=TRUE,"Not Calculated",IF(J202-J203=0,4,IF(((J202+J204)/(J202-J203))&lt;=1,0,IF(((J202+J204)/(J202-J203))&lt;=1.05,1,IF(((J202+J204)/(J202-J203))&lt;=1.5, 2,IF(((J202+J204)/(J202-J203))&lt;=2,3,4))))))</f>
        <v>Not Calculated</v>
      </c>
      <c r="K205" s="41"/>
    </row>
    <row r="206" spans="2:14" ht="9.75" customHeight="1" x14ac:dyDescent="0.2">
      <c r="B206" s="38"/>
      <c r="C206" s="279" t="str">
        <f>"0:"</f>
        <v>0:</v>
      </c>
      <c r="D206" s="278" t="s">
        <v>918</v>
      </c>
      <c r="E206" s="40"/>
      <c r="F206" s="40"/>
      <c r="G206" s="40"/>
      <c r="H206" s="40"/>
      <c r="I206" s="40"/>
      <c r="J206" s="40"/>
      <c r="K206" s="41"/>
    </row>
    <row r="207" spans="2:14" ht="9.75" customHeight="1" x14ac:dyDescent="0.2">
      <c r="B207" s="38"/>
      <c r="C207" s="280" t="str">
        <f>"1:"</f>
        <v>1:</v>
      </c>
      <c r="D207" s="278" t="s">
        <v>923</v>
      </c>
      <c r="E207" s="40"/>
      <c r="F207" s="40"/>
      <c r="G207" s="40"/>
      <c r="H207" s="40"/>
      <c r="I207" s="40"/>
      <c r="J207" s="40"/>
      <c r="K207" s="41"/>
    </row>
    <row r="208" spans="2:14" ht="9.75" customHeight="1" x14ac:dyDescent="0.2">
      <c r="B208" s="38"/>
      <c r="C208" s="280" t="str">
        <f>"2:"</f>
        <v>2:</v>
      </c>
      <c r="D208" s="278" t="s">
        <v>924</v>
      </c>
      <c r="E208" s="40"/>
      <c r="F208" s="40"/>
      <c r="G208" s="40"/>
      <c r="H208" s="40"/>
      <c r="I208" s="40"/>
      <c r="J208" s="40"/>
      <c r="K208" s="41"/>
    </row>
    <row r="209" spans="2:14" ht="9.75" customHeight="1" x14ac:dyDescent="0.2">
      <c r="B209" s="38"/>
      <c r="C209" s="280" t="str">
        <f>"3:"</f>
        <v>3:</v>
      </c>
      <c r="D209" s="278" t="s">
        <v>925</v>
      </c>
      <c r="E209" s="40"/>
      <c r="F209" s="40"/>
      <c r="G209" s="40"/>
      <c r="H209" s="40"/>
      <c r="I209" s="40"/>
      <c r="J209" s="40"/>
      <c r="K209" s="41"/>
    </row>
    <row r="210" spans="2:14" ht="9.75" customHeight="1" x14ac:dyDescent="0.2">
      <c r="B210" s="38"/>
      <c r="C210" s="280" t="str">
        <f>"4:"</f>
        <v>4:</v>
      </c>
      <c r="D210" s="278" t="s">
        <v>926</v>
      </c>
      <c r="E210" s="40"/>
      <c r="F210" s="40"/>
      <c r="G210" s="40"/>
      <c r="H210" s="40"/>
      <c r="I210" s="40"/>
      <c r="J210" s="40"/>
      <c r="K210" s="41"/>
      <c r="N210" s="12" t="s">
        <v>661</v>
      </c>
    </row>
    <row r="211" spans="2:14" x14ac:dyDescent="0.2">
      <c r="B211" s="38"/>
      <c r="C211" s="174" t="s">
        <v>662</v>
      </c>
      <c r="D211" s="40"/>
      <c r="E211" s="40"/>
      <c r="F211" s="40"/>
      <c r="G211" s="40"/>
      <c r="H211" s="40"/>
      <c r="I211" s="40"/>
      <c r="J211" s="265" t="s">
        <v>661</v>
      </c>
      <c r="K211" s="41"/>
      <c r="N211" s="12" t="s">
        <v>894</v>
      </c>
    </row>
    <row r="212" spans="2:14" x14ac:dyDescent="0.2">
      <c r="B212" s="38"/>
      <c r="C212" s="174" t="s">
        <v>660</v>
      </c>
      <c r="D212" s="40"/>
      <c r="E212" s="40"/>
      <c r="F212" s="40"/>
      <c r="G212" s="40"/>
      <c r="H212" s="40"/>
      <c r="I212" s="40"/>
      <c r="J212" s="246" t="str">
        <f>IF(J211=N210,"N/A",IF(J211=N211,0,IF(J211=N212,1,IF(J211=N213,2,IF(J211=N214,3,IF(J211=N215,4,"N/A"))))))</f>
        <v>N/A</v>
      </c>
      <c r="K212" s="41"/>
      <c r="N212" s="12" t="s">
        <v>899</v>
      </c>
    </row>
    <row r="213" spans="2:14" x14ac:dyDescent="0.2">
      <c r="B213" s="38"/>
      <c r="C213" s="40" t="s">
        <v>257</v>
      </c>
      <c r="D213" s="40"/>
      <c r="E213" s="40"/>
      <c r="F213" s="40"/>
      <c r="G213" s="40"/>
      <c r="H213" s="40"/>
      <c r="I213" s="40"/>
      <c r="J213" s="266" t="s">
        <v>874</v>
      </c>
      <c r="K213" s="41"/>
      <c r="N213" s="12" t="s">
        <v>900</v>
      </c>
    </row>
    <row r="214" spans="2:14" x14ac:dyDescent="0.2">
      <c r="B214" s="38"/>
      <c r="C214" s="40" t="s">
        <v>261</v>
      </c>
      <c r="D214" s="40"/>
      <c r="E214" s="40"/>
      <c r="F214" s="40"/>
      <c r="G214" s="40"/>
      <c r="H214" s="40"/>
      <c r="I214" s="40"/>
      <c r="J214" s="248">
        <f>IF(J213=$B$973,$A$973,IF(J213=$B$974,$A$974,IF(J213=$B$975,$A$975,IF(J213=$B$976,$A$976,IF(J213=$B$977,$A$977,"Not Calculated")))))</f>
        <v>4</v>
      </c>
      <c r="K214" s="41"/>
      <c r="N214" s="12" t="s">
        <v>901</v>
      </c>
    </row>
    <row r="215" spans="2:14" x14ac:dyDescent="0.2">
      <c r="B215" s="38"/>
      <c r="C215" s="40" t="s">
        <v>893</v>
      </c>
      <c r="D215" s="40"/>
      <c r="E215" s="40"/>
      <c r="F215" s="40"/>
      <c r="G215" s="40"/>
      <c r="H215" s="40"/>
      <c r="I215" s="40"/>
      <c r="J215" s="40"/>
      <c r="K215" s="41"/>
      <c r="N215" s="12" t="s">
        <v>902</v>
      </c>
    </row>
    <row r="216" spans="2:14" ht="30" customHeight="1" x14ac:dyDescent="0.2">
      <c r="B216" s="38"/>
      <c r="C216" s="399" t="s">
        <v>1198</v>
      </c>
      <c r="D216" s="400"/>
      <c r="E216" s="400"/>
      <c r="F216" s="400"/>
      <c r="G216" s="400"/>
      <c r="H216" s="400"/>
      <c r="I216" s="400"/>
      <c r="J216" s="401"/>
      <c r="K216" s="41"/>
    </row>
    <row r="217" spans="2:14" x14ac:dyDescent="0.2">
      <c r="B217" s="38"/>
      <c r="C217" s="40"/>
      <c r="D217" s="40"/>
      <c r="E217" s="40"/>
      <c r="F217" s="40"/>
      <c r="G217" s="40"/>
      <c r="H217" s="40"/>
      <c r="I217" s="40"/>
      <c r="J217" s="40"/>
      <c r="K217" s="41"/>
    </row>
    <row r="218" spans="2:14" x14ac:dyDescent="0.2">
      <c r="B218" s="38"/>
      <c r="C218" s="179" t="s">
        <v>276</v>
      </c>
      <c r="D218" s="40"/>
      <c r="E218" s="40"/>
      <c r="F218" s="40"/>
      <c r="G218" s="40"/>
      <c r="H218" s="40"/>
      <c r="I218" s="40"/>
      <c r="J218" s="245" t="str">
        <f>IF(J212="N/A",IF(OR(J205="Not Calculated",J214="Not Calculated")=TRUE,"Not Calculated",AVERAGE(J205,J214)),AVERAGE(J212,J214))</f>
        <v>Not Calculated</v>
      </c>
      <c r="K218" s="41"/>
    </row>
    <row r="219" spans="2:14" x14ac:dyDescent="0.2">
      <c r="B219" s="38"/>
      <c r="C219" s="40"/>
      <c r="D219" s="40"/>
      <c r="E219" s="40"/>
      <c r="F219" s="40"/>
      <c r="G219" s="40"/>
      <c r="H219" s="40"/>
      <c r="I219" s="40"/>
      <c r="J219" s="40"/>
      <c r="K219" s="41"/>
    </row>
    <row r="220" spans="2:14" x14ac:dyDescent="0.2">
      <c r="B220" s="38"/>
      <c r="C220" s="40"/>
      <c r="D220" s="40"/>
      <c r="E220" s="40"/>
      <c r="F220" s="40"/>
      <c r="G220" s="40"/>
      <c r="H220" s="40"/>
      <c r="I220" s="40"/>
      <c r="J220" s="40"/>
      <c r="K220" s="41"/>
    </row>
    <row r="221" spans="2:14" ht="16" x14ac:dyDescent="0.2">
      <c r="B221" s="38"/>
      <c r="C221" s="45" t="s">
        <v>76</v>
      </c>
      <c r="D221" s="40"/>
      <c r="E221" s="40"/>
      <c r="F221" s="40"/>
      <c r="G221" s="40"/>
      <c r="H221" s="40"/>
      <c r="I221" s="40"/>
      <c r="J221" s="40"/>
      <c r="K221" s="41"/>
    </row>
    <row r="222" spans="2:14" ht="15" customHeight="1" x14ac:dyDescent="0.2">
      <c r="B222" s="38"/>
      <c r="C222" s="40" t="s">
        <v>356</v>
      </c>
      <c r="D222" s="40"/>
      <c r="E222" s="40"/>
      <c r="F222" s="40"/>
      <c r="G222" s="40"/>
      <c r="H222" s="40"/>
      <c r="I222" s="40"/>
      <c r="J222" s="252">
        <f>'Baseline Health'!G71</f>
        <v>0</v>
      </c>
      <c r="K222" s="41"/>
    </row>
    <row r="223" spans="2:14" x14ac:dyDescent="0.2">
      <c r="B223" s="38"/>
      <c r="C223" s="40" t="s">
        <v>357</v>
      </c>
      <c r="D223" s="40"/>
      <c r="E223" s="40"/>
      <c r="F223" s="40"/>
      <c r="G223" s="40"/>
      <c r="H223" s="40"/>
      <c r="I223" s="40"/>
      <c r="J223" s="264">
        <v>0</v>
      </c>
      <c r="K223" s="41"/>
    </row>
    <row r="224" spans="2:14" x14ac:dyDescent="0.2">
      <c r="B224" s="38"/>
      <c r="C224" s="40" t="s">
        <v>445</v>
      </c>
      <c r="D224" s="40"/>
      <c r="E224" s="40"/>
      <c r="F224" s="40"/>
      <c r="G224" s="40"/>
      <c r="H224" s="40"/>
      <c r="I224" s="40"/>
      <c r="J224" s="255">
        <f>J102</f>
        <v>0</v>
      </c>
      <c r="K224" s="41"/>
    </row>
    <row r="225" spans="2:14" x14ac:dyDescent="0.2">
      <c r="B225" s="38"/>
      <c r="C225" s="40"/>
      <c r="D225" s="40" t="s">
        <v>446</v>
      </c>
      <c r="E225" s="40"/>
      <c r="F225" s="40"/>
      <c r="G225" s="40"/>
      <c r="H225" s="40"/>
      <c r="I225" s="40"/>
      <c r="J225" s="40"/>
      <c r="K225" s="41"/>
    </row>
    <row r="226" spans="2:14" x14ac:dyDescent="0.2">
      <c r="B226" s="38"/>
      <c r="C226" s="40" t="s">
        <v>260</v>
      </c>
      <c r="D226" s="40"/>
      <c r="E226" s="40"/>
      <c r="F226" s="40"/>
      <c r="G226" s="40"/>
      <c r="H226" s="40"/>
      <c r="I226" s="40"/>
      <c r="J226" s="245" t="str">
        <f>IF(OR(J222=0,J222="Not Calculated")=TRUE,"Not Calculated",IF(J222-J223=0,4,IF(((J222+J224)/(J222-J223))&lt;=1,0,IF(((J222+J224)/(J222-J223))&lt;=1.05,1,IF(((J222+J224)/(J222-J223))&lt;=1.5, 2,IF(((J222+J224)/(J222-J223))&lt;=2,3,4))))))</f>
        <v>Not Calculated</v>
      </c>
      <c r="K226" s="41"/>
    </row>
    <row r="227" spans="2:14" ht="9.75" customHeight="1" x14ac:dyDescent="0.2">
      <c r="B227" s="38"/>
      <c r="C227" s="279" t="str">
        <f>"0:"</f>
        <v>0:</v>
      </c>
      <c r="D227" s="278" t="s">
        <v>918</v>
      </c>
      <c r="E227" s="40"/>
      <c r="F227" s="40"/>
      <c r="G227" s="40"/>
      <c r="H227" s="40"/>
      <c r="I227" s="40"/>
      <c r="J227" s="40"/>
      <c r="K227" s="41"/>
    </row>
    <row r="228" spans="2:14" ht="9.75" customHeight="1" x14ac:dyDescent="0.2">
      <c r="B228" s="38"/>
      <c r="C228" s="280" t="str">
        <f>"1:"</f>
        <v>1:</v>
      </c>
      <c r="D228" s="278" t="s">
        <v>923</v>
      </c>
      <c r="E228" s="40"/>
      <c r="F228" s="40"/>
      <c r="G228" s="40"/>
      <c r="H228" s="40"/>
      <c r="I228" s="40"/>
      <c r="J228" s="40"/>
      <c r="K228" s="41"/>
    </row>
    <row r="229" spans="2:14" ht="9.75" customHeight="1" x14ac:dyDescent="0.2">
      <c r="B229" s="38"/>
      <c r="C229" s="280" t="str">
        <f>"2:"</f>
        <v>2:</v>
      </c>
      <c r="D229" s="278" t="s">
        <v>924</v>
      </c>
      <c r="E229" s="40"/>
      <c r="F229" s="40"/>
      <c r="G229" s="40"/>
      <c r="H229" s="40"/>
      <c r="I229" s="40"/>
      <c r="J229" s="40"/>
      <c r="K229" s="41"/>
    </row>
    <row r="230" spans="2:14" ht="9.75" customHeight="1" x14ac:dyDescent="0.2">
      <c r="B230" s="38"/>
      <c r="C230" s="280" t="str">
        <f>"3:"</f>
        <v>3:</v>
      </c>
      <c r="D230" s="278" t="s">
        <v>925</v>
      </c>
      <c r="E230" s="40"/>
      <c r="F230" s="40"/>
      <c r="G230" s="40"/>
      <c r="H230" s="40"/>
      <c r="I230" s="40"/>
      <c r="J230" s="40"/>
      <c r="K230" s="41"/>
    </row>
    <row r="231" spans="2:14" ht="9.75" customHeight="1" x14ac:dyDescent="0.2">
      <c r="B231" s="38"/>
      <c r="C231" s="280" t="str">
        <f>"4:"</f>
        <v>4:</v>
      </c>
      <c r="D231" s="278" t="s">
        <v>926</v>
      </c>
      <c r="E231" s="40"/>
      <c r="F231" s="40"/>
      <c r="G231" s="40"/>
      <c r="H231" s="40"/>
      <c r="I231" s="40"/>
      <c r="J231" s="40"/>
      <c r="K231" s="41"/>
      <c r="N231" s="12" t="s">
        <v>661</v>
      </c>
    </row>
    <row r="232" spans="2:14" x14ac:dyDescent="0.2">
      <c r="B232" s="38"/>
      <c r="C232" s="174" t="s">
        <v>662</v>
      </c>
      <c r="D232" s="40"/>
      <c r="E232" s="40"/>
      <c r="F232" s="40"/>
      <c r="G232" s="40"/>
      <c r="H232" s="40"/>
      <c r="I232" s="40"/>
      <c r="J232" s="265" t="s">
        <v>661</v>
      </c>
      <c r="K232" s="41"/>
      <c r="N232" s="12" t="s">
        <v>894</v>
      </c>
    </row>
    <row r="233" spans="2:14" x14ac:dyDescent="0.2">
      <c r="B233" s="38"/>
      <c r="C233" s="174" t="s">
        <v>660</v>
      </c>
      <c r="D233" s="40"/>
      <c r="E233" s="40"/>
      <c r="F233" s="40"/>
      <c r="G233" s="40"/>
      <c r="H233" s="40"/>
      <c r="I233" s="40"/>
      <c r="J233" s="246" t="str">
        <f>IF(J232=N231,"N/A",IF(J232=N232,0,IF(J232=N233,1,IF(J232=N234,2,IF(J232=N235,3,IF(J232=N236,4,"N/A"))))))</f>
        <v>N/A</v>
      </c>
      <c r="K233" s="41"/>
      <c r="N233" s="12" t="s">
        <v>899</v>
      </c>
    </row>
    <row r="234" spans="2:14" x14ac:dyDescent="0.2">
      <c r="B234" s="38"/>
      <c r="C234" s="40" t="s">
        <v>257</v>
      </c>
      <c r="D234" s="40"/>
      <c r="E234" s="40"/>
      <c r="F234" s="40"/>
      <c r="G234" s="40"/>
      <c r="H234" s="40"/>
      <c r="I234" s="40"/>
      <c r="J234" s="266" t="s">
        <v>872</v>
      </c>
      <c r="K234" s="41"/>
      <c r="N234" s="12" t="s">
        <v>900</v>
      </c>
    </row>
    <row r="235" spans="2:14" x14ac:dyDescent="0.2">
      <c r="B235" s="38"/>
      <c r="C235" s="40" t="s">
        <v>261</v>
      </c>
      <c r="D235" s="40"/>
      <c r="E235" s="40"/>
      <c r="F235" s="40"/>
      <c r="G235" s="40"/>
      <c r="H235" s="40"/>
      <c r="I235" s="40"/>
      <c r="J235" s="248">
        <f>IF(J234=$B$973,$A$973,IF(J234=$B$974,$A$974,IF(J234=$B$975,$A$975,IF(J234=$B$976,$A$976,IF(J234=$B$977,$A$977,"Not Calculated")))))</f>
        <v>2</v>
      </c>
      <c r="K235" s="41"/>
      <c r="N235" s="12" t="s">
        <v>901</v>
      </c>
    </row>
    <row r="236" spans="2:14" x14ac:dyDescent="0.2">
      <c r="B236" s="38"/>
      <c r="C236" s="40" t="s">
        <v>893</v>
      </c>
      <c r="D236" s="40"/>
      <c r="E236" s="40"/>
      <c r="F236" s="40"/>
      <c r="G236" s="40"/>
      <c r="H236" s="40"/>
      <c r="I236" s="40"/>
      <c r="J236" s="40"/>
      <c r="K236" s="41"/>
      <c r="N236" s="12" t="s">
        <v>902</v>
      </c>
    </row>
    <row r="237" spans="2:14" ht="30" customHeight="1" x14ac:dyDescent="0.2">
      <c r="B237" s="38"/>
      <c r="C237" s="399" t="s">
        <v>1205</v>
      </c>
      <c r="D237" s="400"/>
      <c r="E237" s="400"/>
      <c r="F237" s="400"/>
      <c r="G237" s="400"/>
      <c r="H237" s="400"/>
      <c r="I237" s="400"/>
      <c r="J237" s="401"/>
      <c r="K237" s="41"/>
    </row>
    <row r="238" spans="2:14" x14ac:dyDescent="0.2">
      <c r="B238" s="38"/>
      <c r="C238" s="40"/>
      <c r="D238" s="40"/>
      <c r="E238" s="40"/>
      <c r="F238" s="40"/>
      <c r="G238" s="40"/>
      <c r="H238" s="40"/>
      <c r="I238" s="40"/>
      <c r="J238" s="40"/>
      <c r="K238" s="41"/>
    </row>
    <row r="239" spans="2:14" x14ac:dyDescent="0.2">
      <c r="B239" s="38"/>
      <c r="C239" s="179" t="s">
        <v>277</v>
      </c>
      <c r="D239" s="40"/>
      <c r="E239" s="40"/>
      <c r="F239" s="40"/>
      <c r="G239" s="40"/>
      <c r="H239" s="40"/>
      <c r="I239" s="40"/>
      <c r="J239" s="245" t="str">
        <f>IF(J233="N/A",IF(OR(J226="Not Calculated",J235="Not Calculated")=TRUE,"Not Calculated",AVERAGE(J226,J235)),AVERAGE(J233,J235))</f>
        <v>Not Calculated</v>
      </c>
      <c r="K239" s="41"/>
    </row>
    <row r="240" spans="2:14" x14ac:dyDescent="0.2">
      <c r="B240" s="38"/>
      <c r="C240" s="40"/>
      <c r="D240" s="40"/>
      <c r="E240" s="40"/>
      <c r="F240" s="40"/>
      <c r="G240" s="40"/>
      <c r="H240" s="40"/>
      <c r="I240" s="40"/>
      <c r="J240" s="40"/>
      <c r="K240" s="41"/>
    </row>
    <row r="241" spans="2:14" x14ac:dyDescent="0.2">
      <c r="B241" s="38"/>
      <c r="C241" s="40"/>
      <c r="D241" s="40"/>
      <c r="E241" s="40"/>
      <c r="F241" s="40"/>
      <c r="G241" s="40"/>
      <c r="H241" s="40"/>
      <c r="I241" s="40"/>
      <c r="J241" s="40"/>
      <c r="K241" s="41"/>
    </row>
    <row r="242" spans="2:14" ht="16" x14ac:dyDescent="0.2">
      <c r="B242" s="38"/>
      <c r="C242" s="45" t="s">
        <v>278</v>
      </c>
      <c r="D242" s="40"/>
      <c r="E242" s="40"/>
      <c r="F242" s="40"/>
      <c r="G242" s="40"/>
      <c r="H242" s="40"/>
      <c r="I242" s="40"/>
      <c r="J242" s="40"/>
      <c r="K242" s="41"/>
    </row>
    <row r="243" spans="2:14" ht="15" customHeight="1" x14ac:dyDescent="0.2">
      <c r="B243" s="38"/>
      <c r="C243" s="40" t="s">
        <v>447</v>
      </c>
      <c r="D243" s="40"/>
      <c r="E243" s="40"/>
      <c r="F243" s="40"/>
      <c r="G243" s="40"/>
      <c r="H243" s="40"/>
      <c r="I243" s="40"/>
      <c r="J243" s="254">
        <f>'Baseline Health'!G77</f>
        <v>0</v>
      </c>
      <c r="K243" s="41"/>
    </row>
    <row r="244" spans="2:14" x14ac:dyDescent="0.2">
      <c r="B244" s="38"/>
      <c r="C244" s="40" t="s">
        <v>358</v>
      </c>
      <c r="D244" s="40"/>
      <c r="E244" s="40"/>
      <c r="F244" s="40"/>
      <c r="G244" s="40"/>
      <c r="H244" s="40"/>
      <c r="I244" s="40"/>
      <c r="J244" s="264">
        <f>J243*0.1</f>
        <v>0</v>
      </c>
      <c r="K244" s="41"/>
    </row>
    <row r="245" spans="2:14" x14ac:dyDescent="0.2">
      <c r="B245" s="38"/>
      <c r="C245" s="40" t="s">
        <v>360</v>
      </c>
      <c r="D245" s="291"/>
      <c r="E245" s="291"/>
      <c r="F245" s="291"/>
      <c r="G245" s="291"/>
      <c r="H245" s="291"/>
      <c r="I245" s="291"/>
      <c r="J245" s="264">
        <f>('Baseline Health'!G6*0.000043)*40/250</f>
        <v>0</v>
      </c>
      <c r="K245" s="41"/>
    </row>
    <row r="246" spans="2:14" x14ac:dyDescent="0.2">
      <c r="B246" s="38"/>
      <c r="C246" s="40" t="s">
        <v>260</v>
      </c>
      <c r="D246" s="40"/>
      <c r="E246" s="40"/>
      <c r="F246" s="40"/>
      <c r="G246" s="40"/>
      <c r="H246" s="40"/>
      <c r="I246" s="40"/>
      <c r="J246" s="248" t="str">
        <f>IF(OR(J243=0,J243="Not Calculated")=TRUE,"Not Calculated",IF(J243-J244=0,4,(IF(((J243+J245)/(J243-J244))&lt;=1,0,IF(((J243+J245)/(J243-J244))&lt;=1.05,1,IF(((J243+J245)/(J243-J244))&lt;=1.5,2,IF(((J243+J245)/(J243-J244))&lt;=2,3,4)))))))</f>
        <v>Not Calculated</v>
      </c>
      <c r="K246" s="41"/>
    </row>
    <row r="247" spans="2:14" ht="9.75" customHeight="1" x14ac:dyDescent="0.2">
      <c r="B247" s="38"/>
      <c r="C247" s="279" t="str">
        <f>"0:"</f>
        <v>0:</v>
      </c>
      <c r="D247" s="278" t="s">
        <v>918</v>
      </c>
      <c r="E247" s="40"/>
      <c r="F247" s="40"/>
      <c r="G247" s="40"/>
      <c r="H247" s="40"/>
      <c r="I247" s="40"/>
      <c r="J247" s="40"/>
      <c r="K247" s="41"/>
    </row>
    <row r="248" spans="2:14" ht="9.75" customHeight="1" x14ac:dyDescent="0.2">
      <c r="B248" s="38"/>
      <c r="C248" s="280" t="str">
        <f>"1:"</f>
        <v>1:</v>
      </c>
      <c r="D248" s="278" t="s">
        <v>923</v>
      </c>
      <c r="E248" s="40"/>
      <c r="F248" s="40"/>
      <c r="G248" s="40"/>
      <c r="H248" s="40"/>
      <c r="I248" s="40"/>
      <c r="J248" s="40"/>
      <c r="K248" s="41"/>
    </row>
    <row r="249" spans="2:14" ht="9.75" customHeight="1" x14ac:dyDescent="0.2">
      <c r="B249" s="38"/>
      <c r="C249" s="280" t="str">
        <f>"2:"</f>
        <v>2:</v>
      </c>
      <c r="D249" s="278" t="s">
        <v>924</v>
      </c>
      <c r="E249" s="40"/>
      <c r="F249" s="40"/>
      <c r="G249" s="40"/>
      <c r="H249" s="40"/>
      <c r="I249" s="40"/>
      <c r="J249" s="40"/>
      <c r="K249" s="41"/>
    </row>
    <row r="250" spans="2:14" ht="9.75" customHeight="1" x14ac:dyDescent="0.2">
      <c r="B250" s="38"/>
      <c r="C250" s="280" t="str">
        <f>"3:"</f>
        <v>3:</v>
      </c>
      <c r="D250" s="278" t="s">
        <v>925</v>
      </c>
      <c r="E250" s="40"/>
      <c r="F250" s="40"/>
      <c r="G250" s="40"/>
      <c r="H250" s="40"/>
      <c r="I250" s="40"/>
      <c r="J250" s="40"/>
      <c r="K250" s="41"/>
    </row>
    <row r="251" spans="2:14" ht="9.75" customHeight="1" x14ac:dyDescent="0.2">
      <c r="B251" s="38"/>
      <c r="C251" s="280" t="str">
        <f>"4:"</f>
        <v>4:</v>
      </c>
      <c r="D251" s="278" t="s">
        <v>926</v>
      </c>
      <c r="E251" s="40"/>
      <c r="F251" s="40"/>
      <c r="G251" s="40"/>
      <c r="H251" s="40"/>
      <c r="I251" s="40"/>
      <c r="J251" s="40"/>
      <c r="K251" s="41"/>
      <c r="N251" s="12" t="s">
        <v>661</v>
      </c>
    </row>
    <row r="252" spans="2:14" x14ac:dyDescent="0.2">
      <c r="B252" s="38"/>
      <c r="C252" s="174" t="s">
        <v>662</v>
      </c>
      <c r="D252" s="40"/>
      <c r="E252" s="40"/>
      <c r="F252" s="40"/>
      <c r="G252" s="40"/>
      <c r="H252" s="40"/>
      <c r="I252" s="40"/>
      <c r="J252" s="265" t="s">
        <v>661</v>
      </c>
      <c r="K252" s="41"/>
      <c r="N252" s="12" t="s">
        <v>894</v>
      </c>
    </row>
    <row r="253" spans="2:14" x14ac:dyDescent="0.2">
      <c r="B253" s="38"/>
      <c r="C253" s="174" t="s">
        <v>660</v>
      </c>
      <c r="D253" s="40"/>
      <c r="E253" s="40"/>
      <c r="F253" s="40"/>
      <c r="G253" s="40"/>
      <c r="H253" s="40"/>
      <c r="I253" s="40"/>
      <c r="J253" s="246" t="str">
        <f>IF(J252=N251,"N/A",IF(J252=N252,0,IF(J252=N253,1,IF(J252=N254,2,IF(J252=N255,3,IF(J252=N256,4,"N/A"))))))</f>
        <v>N/A</v>
      </c>
      <c r="K253" s="41"/>
      <c r="N253" s="12" t="s">
        <v>899</v>
      </c>
    </row>
    <row r="254" spans="2:14" x14ac:dyDescent="0.2">
      <c r="B254" s="38"/>
      <c r="C254" s="40" t="s">
        <v>257</v>
      </c>
      <c r="D254" s="40"/>
      <c r="E254" s="40"/>
      <c r="F254" s="40"/>
      <c r="G254" s="40"/>
      <c r="H254" s="40"/>
      <c r="I254" s="40"/>
      <c r="J254" s="266" t="s">
        <v>874</v>
      </c>
      <c r="K254" s="41"/>
      <c r="N254" s="12" t="s">
        <v>900</v>
      </c>
    </row>
    <row r="255" spans="2:14" x14ac:dyDescent="0.2">
      <c r="B255" s="38"/>
      <c r="C255" s="40" t="s">
        <v>261</v>
      </c>
      <c r="D255" s="40"/>
      <c r="E255" s="40"/>
      <c r="F255" s="40"/>
      <c r="G255" s="40"/>
      <c r="H255" s="40"/>
      <c r="I255" s="40"/>
      <c r="J255" s="248">
        <f>IF(J254=$B$973,$A$973,IF(J254=$B$974,$A$974,IF(J254=$B$975,$A$975,IF(J254=$B$976,$A$976,IF(J254=$B$977,$A$977,"Not Calculated")))))</f>
        <v>4</v>
      </c>
      <c r="K255" s="41"/>
      <c r="N255" s="12" t="s">
        <v>901</v>
      </c>
    </row>
    <row r="256" spans="2:14" x14ac:dyDescent="0.2">
      <c r="B256" s="38"/>
      <c r="C256" s="40" t="s">
        <v>893</v>
      </c>
      <c r="D256" s="40"/>
      <c r="E256" s="40"/>
      <c r="F256" s="40"/>
      <c r="G256" s="40"/>
      <c r="H256" s="40"/>
      <c r="I256" s="40"/>
      <c r="J256" s="40"/>
      <c r="K256" s="41"/>
      <c r="N256" s="12" t="s">
        <v>902</v>
      </c>
    </row>
    <row r="257" spans="2:11" ht="30" customHeight="1" x14ac:dyDescent="0.2">
      <c r="B257" s="38"/>
      <c r="C257" s="399" t="s">
        <v>1199</v>
      </c>
      <c r="D257" s="400"/>
      <c r="E257" s="400"/>
      <c r="F257" s="400"/>
      <c r="G257" s="400"/>
      <c r="H257" s="400"/>
      <c r="I257" s="400"/>
      <c r="J257" s="401"/>
      <c r="K257" s="41"/>
    </row>
    <row r="258" spans="2:11" x14ac:dyDescent="0.2">
      <c r="B258" s="38"/>
      <c r="C258" s="40"/>
      <c r="D258" s="40"/>
      <c r="E258" s="40"/>
      <c r="F258" s="40"/>
      <c r="G258" s="40"/>
      <c r="H258" s="40"/>
      <c r="I258" s="40"/>
      <c r="J258" s="40"/>
      <c r="K258" s="41"/>
    </row>
    <row r="259" spans="2:11" x14ac:dyDescent="0.2">
      <c r="B259" s="38"/>
      <c r="C259" s="179" t="s">
        <v>279</v>
      </c>
      <c r="D259" s="40"/>
      <c r="E259" s="40"/>
      <c r="F259" s="40"/>
      <c r="G259" s="40"/>
      <c r="H259" s="40"/>
      <c r="I259" s="40"/>
      <c r="J259" s="245" t="str">
        <f>IF(J253="N/A",IF(OR(J246="Not Calculated",J255="Not Calculated")=TRUE,"Not Calculated",AVERAGE(J246,J255)),AVERAGE(J253,J255))</f>
        <v>Not Calculated</v>
      </c>
      <c r="K259" s="41"/>
    </row>
    <row r="260" spans="2:11" x14ac:dyDescent="0.2">
      <c r="B260" s="38"/>
      <c r="C260" s="40"/>
      <c r="D260" s="40"/>
      <c r="E260" s="40"/>
      <c r="F260" s="40"/>
      <c r="G260" s="40"/>
      <c r="H260" s="40"/>
      <c r="I260" s="40"/>
      <c r="J260" s="40"/>
      <c r="K260" s="41"/>
    </row>
    <row r="261" spans="2:11" ht="18" x14ac:dyDescent="0.2">
      <c r="B261" s="38"/>
      <c r="C261" s="180" t="s">
        <v>272</v>
      </c>
      <c r="D261" s="40"/>
      <c r="E261" s="40"/>
      <c r="F261" s="40"/>
      <c r="G261" s="40"/>
      <c r="H261" s="40"/>
      <c r="I261" s="40"/>
      <c r="J261" s="244" t="str">
        <f>IF(OR(J157="Not Calculated",J178="Not Calculated",J198="Not Calculated",J218="Not Calculated",J239="Not Calculated",J259="Not Calculated",)=TRUE,"Not Calculated",AVERAGE(J157,J178,J198,J218,J239,J259))</f>
        <v>Not Calculated</v>
      </c>
      <c r="K261" s="41"/>
    </row>
    <row r="262" spans="2:11" ht="16" thickBot="1" x14ac:dyDescent="0.25">
      <c r="B262" s="46"/>
      <c r="C262" s="47"/>
      <c r="D262" s="47"/>
      <c r="E262" s="47"/>
      <c r="F262" s="47"/>
      <c r="G262" s="47"/>
      <c r="H262" s="47"/>
      <c r="I262" s="47"/>
      <c r="J262" s="47"/>
      <c r="K262" s="49"/>
    </row>
    <row r="263" spans="2:11" ht="16" thickBot="1" x14ac:dyDescent="0.25"/>
    <row r="264" spans="2:11" x14ac:dyDescent="0.2">
      <c r="B264" s="33"/>
      <c r="C264" s="34"/>
      <c r="D264" s="34"/>
      <c r="E264" s="34"/>
      <c r="F264" s="34"/>
      <c r="G264" s="34"/>
      <c r="H264" s="34"/>
      <c r="I264" s="34"/>
      <c r="J264" s="34"/>
      <c r="K264" s="37"/>
    </row>
    <row r="265" spans="2:11" ht="21" x14ac:dyDescent="0.25">
      <c r="B265" s="38"/>
      <c r="C265" s="40"/>
      <c r="D265" s="40"/>
      <c r="E265" s="40"/>
      <c r="F265" s="40"/>
      <c r="G265" s="172" t="s">
        <v>864</v>
      </c>
      <c r="H265" s="40"/>
      <c r="I265" s="40"/>
      <c r="J265" s="40"/>
      <c r="K265" s="41"/>
    </row>
    <row r="266" spans="2:11" ht="15" customHeight="1" x14ac:dyDescent="0.2">
      <c r="B266" s="38"/>
      <c r="C266" s="40"/>
      <c r="D266" s="40"/>
      <c r="E266" s="40"/>
      <c r="F266" s="40"/>
      <c r="G266" s="40"/>
      <c r="H266" s="40"/>
      <c r="I266" s="40"/>
      <c r="J266" s="40"/>
      <c r="K266" s="41"/>
    </row>
    <row r="267" spans="2:11" ht="16" x14ac:dyDescent="0.2">
      <c r="B267" s="38"/>
      <c r="C267" s="45" t="s">
        <v>80</v>
      </c>
      <c r="D267" s="40"/>
      <c r="E267" s="40"/>
      <c r="F267" s="40"/>
      <c r="G267" s="40"/>
      <c r="H267" s="40"/>
      <c r="I267" s="40"/>
      <c r="J267" s="40"/>
      <c r="K267" s="41"/>
    </row>
    <row r="268" spans="2:11" x14ac:dyDescent="0.2">
      <c r="B268" s="38"/>
      <c r="C268" s="40" t="s">
        <v>283</v>
      </c>
      <c r="D268" s="40"/>
      <c r="E268" s="40"/>
      <c r="F268" s="40"/>
      <c r="G268" s="40"/>
      <c r="H268" s="40"/>
      <c r="I268" s="40"/>
      <c r="J268" s="254">
        <f>'Baseline Health'!G88</f>
        <v>0</v>
      </c>
      <c r="K268" s="41"/>
    </row>
    <row r="269" spans="2:11" x14ac:dyDescent="0.2">
      <c r="B269" s="38"/>
      <c r="C269" s="40" t="s">
        <v>284</v>
      </c>
      <c r="D269" s="40"/>
      <c r="E269" s="40"/>
      <c r="F269" s="40"/>
      <c r="G269" s="40"/>
      <c r="H269" s="40"/>
      <c r="I269" s="40"/>
      <c r="J269" s="264">
        <v>0</v>
      </c>
      <c r="K269" s="41"/>
    </row>
    <row r="270" spans="2:11" x14ac:dyDescent="0.2">
      <c r="B270" s="38"/>
      <c r="C270" s="40" t="s">
        <v>285</v>
      </c>
      <c r="D270" s="40"/>
      <c r="E270" s="40"/>
      <c r="F270" s="40"/>
      <c r="G270" s="40"/>
      <c r="H270" s="40"/>
      <c r="I270" s="40"/>
      <c r="J270" s="259">
        <f>'Baseline Health'!G93</f>
        <v>0</v>
      </c>
      <c r="K270" s="41"/>
    </row>
    <row r="271" spans="2:11" x14ac:dyDescent="0.2">
      <c r="B271" s="38"/>
      <c r="C271" s="40" t="s">
        <v>286</v>
      </c>
      <c r="D271" s="40"/>
      <c r="E271" s="40"/>
      <c r="F271" s="40"/>
      <c r="G271" s="40"/>
      <c r="H271" s="40"/>
      <c r="I271" s="40"/>
      <c r="J271" s="250">
        <f>J184</f>
        <v>0</v>
      </c>
      <c r="K271" s="41"/>
    </row>
    <row r="272" spans="2:11" x14ac:dyDescent="0.2">
      <c r="B272" s="38"/>
      <c r="C272" s="40"/>
      <c r="D272" s="40" t="s">
        <v>432</v>
      </c>
      <c r="E272" s="40"/>
      <c r="F272" s="40"/>
      <c r="G272" s="40"/>
      <c r="H272" s="40"/>
      <c r="I272" s="40"/>
      <c r="J272" s="40"/>
      <c r="K272" s="41"/>
    </row>
    <row r="273" spans="2:14" x14ac:dyDescent="0.2">
      <c r="B273" s="38"/>
      <c r="C273" s="40" t="s">
        <v>292</v>
      </c>
      <c r="D273" s="40"/>
      <c r="E273" s="40"/>
      <c r="F273" s="40"/>
      <c r="G273" s="40"/>
      <c r="H273" s="40"/>
      <c r="I273" s="40"/>
      <c r="J273" s="258" t="str">
        <f>'Baseline Health'!G97</f>
        <v>N/A</v>
      </c>
      <c r="K273" s="41"/>
    </row>
    <row r="274" spans="2:14" x14ac:dyDescent="0.2">
      <c r="B274" s="38"/>
      <c r="C274" s="40" t="s">
        <v>293</v>
      </c>
      <c r="D274" s="40"/>
      <c r="E274" s="40"/>
      <c r="F274" s="40"/>
      <c r="G274" s="40"/>
      <c r="H274" s="40"/>
      <c r="I274" s="40"/>
      <c r="J274" s="258" t="str">
        <f>IF(J273="N/A","N/A",IF(J268-J269=0,"No Nurses",((J270+J271)/(J268-J269))))</f>
        <v>N/A</v>
      </c>
      <c r="K274" s="41"/>
    </row>
    <row r="275" spans="2:14" x14ac:dyDescent="0.2">
      <c r="B275" s="38"/>
      <c r="C275" s="40" t="s">
        <v>260</v>
      </c>
      <c r="D275" s="40"/>
      <c r="E275" s="40"/>
      <c r="F275" s="40"/>
      <c r="G275" s="40"/>
      <c r="H275" s="40"/>
      <c r="I275" s="40"/>
      <c r="J275" s="245">
        <f>IF(J273=0,"Not Calculated",IF(J274="N/A",0,IF(J274="No Nurses",4,IF((J274/J273)&lt;=1,0,IF((J274/J273)&lt;=1.1,1,IF((J274/J273)&lt;=1=1.25,2,IF((J274/J273)&lt;=1.5,3,4)))))))</f>
        <v>0</v>
      </c>
      <c r="K275" s="41"/>
    </row>
    <row r="276" spans="2:14" ht="9.75" customHeight="1" x14ac:dyDescent="0.2">
      <c r="B276" s="38"/>
      <c r="C276" s="279" t="str">
        <f>"0:"</f>
        <v>0:</v>
      </c>
      <c r="D276" s="278" t="s">
        <v>927</v>
      </c>
      <c r="E276" s="40"/>
      <c r="F276" s="40"/>
      <c r="G276" s="40"/>
      <c r="H276" s="40"/>
      <c r="I276" s="40"/>
      <c r="J276" s="258"/>
      <c r="K276" s="41"/>
    </row>
    <row r="277" spans="2:14" ht="9.75" customHeight="1" x14ac:dyDescent="0.2">
      <c r="B277" s="38"/>
      <c r="C277" s="280" t="str">
        <f>"1:"</f>
        <v>1:</v>
      </c>
      <c r="D277" s="278" t="s">
        <v>928</v>
      </c>
      <c r="E277" s="40"/>
      <c r="F277" s="40"/>
      <c r="G277" s="40"/>
      <c r="H277" s="40"/>
      <c r="I277" s="40"/>
      <c r="J277" s="258"/>
      <c r="K277" s="41"/>
    </row>
    <row r="278" spans="2:14" ht="9.75" customHeight="1" x14ac:dyDescent="0.2">
      <c r="B278" s="38"/>
      <c r="C278" s="280" t="str">
        <f>"2:"</f>
        <v>2:</v>
      </c>
      <c r="D278" s="278" t="s">
        <v>929</v>
      </c>
      <c r="E278" s="40"/>
      <c r="F278" s="40"/>
      <c r="G278" s="40"/>
      <c r="H278" s="40"/>
      <c r="I278" s="40"/>
      <c r="J278" s="258"/>
      <c r="K278" s="41"/>
    </row>
    <row r="279" spans="2:14" ht="9.75" customHeight="1" x14ac:dyDescent="0.2">
      <c r="B279" s="38"/>
      <c r="C279" s="280" t="str">
        <f>"3:"</f>
        <v>3:</v>
      </c>
      <c r="D279" s="278" t="s">
        <v>930</v>
      </c>
      <c r="E279" s="40"/>
      <c r="F279" s="40"/>
      <c r="G279" s="40"/>
      <c r="H279" s="40"/>
      <c r="I279" s="40"/>
      <c r="J279" s="258"/>
      <c r="K279" s="41"/>
    </row>
    <row r="280" spans="2:14" ht="9.75" customHeight="1" x14ac:dyDescent="0.2">
      <c r="B280" s="38"/>
      <c r="C280" s="280" t="str">
        <f>"4:"</f>
        <v>4:</v>
      </c>
      <c r="D280" s="278" t="s">
        <v>931</v>
      </c>
      <c r="E280" s="40"/>
      <c r="F280" s="40"/>
      <c r="G280" s="40"/>
      <c r="H280" s="40"/>
      <c r="I280" s="40"/>
      <c r="J280" s="40"/>
      <c r="K280" s="41"/>
      <c r="N280" s="12" t="s">
        <v>661</v>
      </c>
    </row>
    <row r="281" spans="2:14" x14ac:dyDescent="0.2">
      <c r="B281" s="38"/>
      <c r="C281" s="174" t="s">
        <v>662</v>
      </c>
      <c r="D281" s="40"/>
      <c r="E281" s="40"/>
      <c r="F281" s="40"/>
      <c r="G281" s="40"/>
      <c r="H281" s="40"/>
      <c r="I281" s="40"/>
      <c r="J281" s="265" t="s">
        <v>661</v>
      </c>
      <c r="K281" s="41"/>
      <c r="N281" s="12" t="s">
        <v>903</v>
      </c>
    </row>
    <row r="282" spans="2:14" x14ac:dyDescent="0.2">
      <c r="B282" s="38"/>
      <c r="C282" s="174" t="s">
        <v>660</v>
      </c>
      <c r="D282" s="40"/>
      <c r="E282" s="40"/>
      <c r="F282" s="40"/>
      <c r="G282" s="40"/>
      <c r="H282" s="40"/>
      <c r="I282" s="40"/>
      <c r="J282" s="246" t="str">
        <f>IF(J281=N280,"N/A",IF(J281=N281,0,IF(J281=N282,1,IF(J281=N283,2,IF(J281=N284,3,IF(J281=N285,4,"N/A"))))))</f>
        <v>N/A</v>
      </c>
      <c r="K282" s="41"/>
      <c r="N282" s="12" t="s">
        <v>904</v>
      </c>
    </row>
    <row r="283" spans="2:14" x14ac:dyDescent="0.2">
      <c r="B283" s="38"/>
      <c r="C283" s="40" t="s">
        <v>257</v>
      </c>
      <c r="D283" s="40"/>
      <c r="E283" s="40"/>
      <c r="F283" s="40"/>
      <c r="G283" s="40"/>
      <c r="H283" s="40"/>
      <c r="I283" s="40"/>
      <c r="J283" s="266" t="s">
        <v>872</v>
      </c>
      <c r="K283" s="41"/>
      <c r="N283" s="12" t="s">
        <v>905</v>
      </c>
    </row>
    <row r="284" spans="2:14" x14ac:dyDescent="0.2">
      <c r="B284" s="38"/>
      <c r="C284" s="40" t="s">
        <v>261</v>
      </c>
      <c r="D284" s="40"/>
      <c r="E284" s="40"/>
      <c r="F284" s="40"/>
      <c r="G284" s="40"/>
      <c r="H284" s="40"/>
      <c r="I284" s="40"/>
      <c r="J284" s="248">
        <f>IF(J283=$B$973,$A$973,IF(J283=$B$974,$A$974,IF(J283=$B$975,$A$975,IF(J283=$B$976,$A$976,IF(J283=$B$977,$A$977,"Not Calculated")))))</f>
        <v>2</v>
      </c>
      <c r="K284" s="41"/>
      <c r="N284" s="12" t="s">
        <v>906</v>
      </c>
    </row>
    <row r="285" spans="2:14" x14ac:dyDescent="0.2">
      <c r="B285" s="38"/>
      <c r="C285" s="40" t="s">
        <v>893</v>
      </c>
      <c r="D285" s="40"/>
      <c r="E285" s="40"/>
      <c r="F285" s="40"/>
      <c r="G285" s="40"/>
      <c r="H285" s="40"/>
      <c r="I285" s="40"/>
      <c r="J285" s="40"/>
      <c r="K285" s="41"/>
      <c r="N285" s="12" t="s">
        <v>907</v>
      </c>
    </row>
    <row r="286" spans="2:14" ht="30" customHeight="1" x14ac:dyDescent="0.2">
      <c r="B286" s="38"/>
      <c r="C286" s="399" t="s">
        <v>1200</v>
      </c>
      <c r="D286" s="400"/>
      <c r="E286" s="400"/>
      <c r="F286" s="400"/>
      <c r="G286" s="400"/>
      <c r="H286" s="400"/>
      <c r="I286" s="400"/>
      <c r="J286" s="401"/>
      <c r="K286" s="41"/>
    </row>
    <row r="287" spans="2:14" x14ac:dyDescent="0.2">
      <c r="B287" s="38"/>
      <c r="C287" s="40"/>
      <c r="D287" s="40"/>
      <c r="E287" s="40"/>
      <c r="F287" s="40"/>
      <c r="G287" s="40"/>
      <c r="H287" s="40"/>
      <c r="I287" s="40"/>
      <c r="J287" s="40"/>
      <c r="K287" s="41"/>
    </row>
    <row r="288" spans="2:14" x14ac:dyDescent="0.2">
      <c r="B288" s="38"/>
      <c r="C288" s="179" t="s">
        <v>295</v>
      </c>
      <c r="D288" s="40"/>
      <c r="E288" s="40"/>
      <c r="F288" s="40"/>
      <c r="G288" s="40"/>
      <c r="H288" s="40"/>
      <c r="I288" s="40"/>
      <c r="J288" s="245">
        <f>IF(J282="N/A",IF(OR(J275="Not Calculated",J284="Not Calculated")=TRUE,"Not Calculated",AVERAGE(J275,J284)),AVERAGE(J282,J284))</f>
        <v>1</v>
      </c>
      <c r="K288" s="41"/>
    </row>
    <row r="289" spans="2:11" x14ac:dyDescent="0.2">
      <c r="B289" s="38"/>
      <c r="C289" s="40"/>
      <c r="D289" s="40"/>
      <c r="E289" s="40"/>
      <c r="F289" s="40"/>
      <c r="G289" s="40"/>
      <c r="H289" s="40"/>
      <c r="I289" s="40"/>
      <c r="J289" s="245"/>
      <c r="K289" s="41"/>
    </row>
    <row r="290" spans="2:11" x14ac:dyDescent="0.2">
      <c r="B290" s="38"/>
      <c r="C290" s="40"/>
      <c r="D290" s="40"/>
      <c r="E290" s="40"/>
      <c r="F290" s="40"/>
      <c r="G290" s="40"/>
      <c r="H290" s="40"/>
      <c r="I290" s="40"/>
      <c r="J290" s="40"/>
      <c r="K290" s="41"/>
    </row>
    <row r="291" spans="2:11" ht="16" x14ac:dyDescent="0.2">
      <c r="B291" s="38"/>
      <c r="C291" s="45" t="s">
        <v>856</v>
      </c>
      <c r="D291" s="40"/>
      <c r="E291" s="40"/>
      <c r="F291" s="40"/>
      <c r="G291" s="40"/>
      <c r="H291" s="40"/>
      <c r="I291" s="40"/>
      <c r="J291" s="40"/>
      <c r="K291" s="41"/>
    </row>
    <row r="292" spans="2:11" ht="15" customHeight="1" x14ac:dyDescent="0.2">
      <c r="B292" s="38"/>
      <c r="C292" s="380" t="s">
        <v>855</v>
      </c>
      <c r="D292" s="380"/>
      <c r="E292" s="380"/>
      <c r="F292" s="380"/>
      <c r="G292" s="380"/>
      <c r="H292" s="380"/>
      <c r="I292" s="380"/>
      <c r="J292" s="40"/>
      <c r="K292" s="41"/>
    </row>
    <row r="293" spans="2:11" x14ac:dyDescent="0.2">
      <c r="B293" s="38"/>
      <c r="C293" s="380"/>
      <c r="D293" s="380"/>
      <c r="E293" s="380"/>
      <c r="F293" s="380"/>
      <c r="G293" s="380"/>
      <c r="H293" s="380"/>
      <c r="I293" s="380"/>
      <c r="J293" s="264">
        <v>0</v>
      </c>
      <c r="K293" s="41"/>
    </row>
    <row r="294" spans="2:11" x14ac:dyDescent="0.2">
      <c r="B294" s="38"/>
      <c r="C294" s="40" t="s">
        <v>853</v>
      </c>
      <c r="D294" s="291"/>
      <c r="E294" s="291"/>
      <c r="F294" s="291"/>
      <c r="G294" s="291"/>
      <c r="H294" s="291"/>
      <c r="I294" s="291"/>
      <c r="J294" s="255">
        <f>'Baseline Health'!$G$102</f>
        <v>0</v>
      </c>
      <c r="K294" s="41"/>
    </row>
    <row r="295" spans="2:11" x14ac:dyDescent="0.2">
      <c r="B295" s="38"/>
      <c r="C295" s="40" t="s">
        <v>842</v>
      </c>
      <c r="D295" s="40"/>
      <c r="E295" s="40"/>
      <c r="F295" s="40"/>
      <c r="G295" s="40"/>
      <c r="H295" s="40"/>
      <c r="I295" s="40"/>
      <c r="J295" s="244" t="str">
        <f>IF('Baseline Health'!$G$102=0,"Not Calculated",100*J293/'Baseline Health'!$G$102)</f>
        <v>Not Calculated</v>
      </c>
      <c r="K295" s="41"/>
    </row>
    <row r="296" spans="2:11" x14ac:dyDescent="0.2">
      <c r="B296" s="38"/>
      <c r="C296" s="40" t="s">
        <v>260</v>
      </c>
      <c r="D296" s="40"/>
      <c r="E296" s="40"/>
      <c r="F296" s="40"/>
      <c r="G296" s="40"/>
      <c r="H296" s="40"/>
      <c r="I296" s="40"/>
      <c r="J296" s="245">
        <f>IF(J295&lt;=0,0,IF(J295&lt;=1,1,IF(J295&lt;=5,2,IF(J295&lt;=10,3,4))))</f>
        <v>4</v>
      </c>
      <c r="K296" s="41"/>
    </row>
    <row r="297" spans="2:11" ht="9.75" customHeight="1" x14ac:dyDescent="0.2">
      <c r="B297" s="38"/>
      <c r="C297" s="279" t="str">
        <f>"0:"</f>
        <v>0:</v>
      </c>
      <c r="D297" s="278" t="s">
        <v>932</v>
      </c>
      <c r="E297" s="40"/>
      <c r="F297" s="40"/>
      <c r="G297" s="40"/>
      <c r="H297" s="40"/>
      <c r="I297" s="40"/>
      <c r="J297" s="244"/>
      <c r="K297" s="41"/>
    </row>
    <row r="298" spans="2:11" ht="9.75" customHeight="1" x14ac:dyDescent="0.2">
      <c r="B298" s="38"/>
      <c r="C298" s="280" t="str">
        <f>"1:"</f>
        <v>1:</v>
      </c>
      <c r="D298" s="278" t="s">
        <v>934</v>
      </c>
      <c r="E298" s="40"/>
      <c r="F298" s="40"/>
      <c r="G298" s="40"/>
      <c r="H298" s="40"/>
      <c r="I298" s="40"/>
      <c r="J298" s="244"/>
      <c r="K298" s="41"/>
    </row>
    <row r="299" spans="2:11" ht="9.75" customHeight="1" x14ac:dyDescent="0.2">
      <c r="B299" s="38"/>
      <c r="C299" s="280" t="str">
        <f>"2:"</f>
        <v>2:</v>
      </c>
      <c r="D299" s="278" t="s">
        <v>933</v>
      </c>
      <c r="E299" s="40"/>
      <c r="F299" s="40"/>
      <c r="G299" s="40"/>
      <c r="H299" s="40"/>
      <c r="I299" s="40"/>
      <c r="J299" s="244"/>
      <c r="K299" s="41"/>
    </row>
    <row r="300" spans="2:11" ht="9.75" customHeight="1" x14ac:dyDescent="0.2">
      <c r="B300" s="38"/>
      <c r="C300" s="280" t="str">
        <f>"3:"</f>
        <v>3:</v>
      </c>
      <c r="D300" s="278" t="s">
        <v>935</v>
      </c>
      <c r="E300" s="40"/>
      <c r="F300" s="40"/>
      <c r="G300" s="40"/>
      <c r="H300" s="40"/>
      <c r="I300" s="40"/>
      <c r="J300" s="244"/>
      <c r="K300" s="41"/>
    </row>
    <row r="301" spans="2:11" ht="9.75" customHeight="1" x14ac:dyDescent="0.2">
      <c r="B301" s="38"/>
      <c r="C301" s="280" t="str">
        <f>"4:"</f>
        <v>4:</v>
      </c>
      <c r="D301" s="278" t="s">
        <v>936</v>
      </c>
      <c r="E301" s="40"/>
      <c r="F301" s="40"/>
      <c r="G301" s="40"/>
      <c r="H301" s="40"/>
      <c r="I301" s="40"/>
      <c r="J301" s="40"/>
      <c r="K301" s="41"/>
    </row>
    <row r="302" spans="2:11" x14ac:dyDescent="0.2">
      <c r="B302" s="38"/>
      <c r="C302" s="40" t="s">
        <v>257</v>
      </c>
      <c r="D302" s="40"/>
      <c r="E302" s="40"/>
      <c r="F302" s="40"/>
      <c r="G302" s="40"/>
      <c r="H302" s="40"/>
      <c r="I302" s="40"/>
      <c r="J302" s="266" t="s">
        <v>870</v>
      </c>
      <c r="K302" s="41"/>
    </row>
    <row r="303" spans="2:11" x14ac:dyDescent="0.2">
      <c r="B303" s="38"/>
      <c r="C303" s="40" t="s">
        <v>261</v>
      </c>
      <c r="D303" s="40"/>
      <c r="E303" s="40"/>
      <c r="F303" s="40"/>
      <c r="G303" s="40"/>
      <c r="H303" s="40"/>
      <c r="I303" s="40"/>
      <c r="J303" s="245">
        <f>IF(J302=$B$980,$A$980,IF(J302=$B$981,$A$981,IF(J302=$B$982,$A$982,IF(J302=$B$983,$A$983,IF(J302=$B$984,$A$984,"Not Calculated")))))</f>
        <v>0</v>
      </c>
      <c r="K303" s="41"/>
    </row>
    <row r="304" spans="2:11" x14ac:dyDescent="0.2">
      <c r="B304" s="38"/>
      <c r="C304" s="40" t="s">
        <v>893</v>
      </c>
      <c r="D304" s="40"/>
      <c r="E304" s="40"/>
      <c r="F304" s="40"/>
      <c r="G304" s="40"/>
      <c r="H304" s="40"/>
      <c r="I304" s="40"/>
      <c r="J304" s="40"/>
      <c r="K304" s="41"/>
    </row>
    <row r="305" spans="2:11" ht="30" customHeight="1" x14ac:dyDescent="0.2">
      <c r="B305" s="38"/>
      <c r="C305" s="399"/>
      <c r="D305" s="400"/>
      <c r="E305" s="400"/>
      <c r="F305" s="400"/>
      <c r="G305" s="400"/>
      <c r="H305" s="400"/>
      <c r="I305" s="400"/>
      <c r="J305" s="401"/>
      <c r="K305" s="41"/>
    </row>
    <row r="306" spans="2:11" x14ac:dyDescent="0.2">
      <c r="B306" s="38"/>
      <c r="C306" s="40"/>
      <c r="D306" s="40"/>
      <c r="E306" s="40"/>
      <c r="F306" s="40"/>
      <c r="G306" s="40"/>
      <c r="H306" s="40"/>
      <c r="I306" s="40"/>
      <c r="J306" s="40"/>
      <c r="K306" s="41"/>
    </row>
    <row r="307" spans="2:11" x14ac:dyDescent="0.2">
      <c r="B307" s="38"/>
      <c r="C307" s="179" t="s">
        <v>885</v>
      </c>
      <c r="D307" s="40"/>
      <c r="E307" s="40"/>
      <c r="F307" s="40"/>
      <c r="G307" s="40"/>
      <c r="H307" s="40"/>
      <c r="I307" s="40"/>
      <c r="J307" s="245">
        <f>IF(OR(J296="Not Calculated",J303="Not Calculated")=TRUE,"Not Calculated",AVERAGE(J296,J303))</f>
        <v>2</v>
      </c>
      <c r="K307" s="41"/>
    </row>
    <row r="308" spans="2:11" x14ac:dyDescent="0.2">
      <c r="B308" s="38"/>
      <c r="C308" s="40"/>
      <c r="D308" s="40"/>
      <c r="E308" s="40"/>
      <c r="F308" s="40"/>
      <c r="G308" s="40"/>
      <c r="H308" s="40"/>
      <c r="I308" s="40"/>
      <c r="J308" s="40"/>
      <c r="K308" s="41"/>
    </row>
    <row r="309" spans="2:11" x14ac:dyDescent="0.2">
      <c r="B309" s="38"/>
      <c r="C309" s="40"/>
      <c r="D309" s="40"/>
      <c r="E309" s="40"/>
      <c r="F309" s="40"/>
      <c r="G309" s="40"/>
      <c r="H309" s="40"/>
      <c r="I309" s="40"/>
      <c r="J309" s="40"/>
      <c r="K309" s="41"/>
    </row>
    <row r="310" spans="2:11" ht="16" x14ac:dyDescent="0.2">
      <c r="B310" s="38"/>
      <c r="C310" s="45" t="s">
        <v>857</v>
      </c>
      <c r="D310" s="40"/>
      <c r="E310" s="40"/>
      <c r="F310" s="40"/>
      <c r="G310" s="40"/>
      <c r="H310" s="40"/>
      <c r="I310" s="40"/>
      <c r="J310" s="40"/>
      <c r="K310" s="41"/>
    </row>
    <row r="311" spans="2:11" ht="15" customHeight="1" x14ac:dyDescent="0.2">
      <c r="B311" s="38"/>
      <c r="C311" s="380" t="s">
        <v>843</v>
      </c>
      <c r="D311" s="380"/>
      <c r="E311" s="380"/>
      <c r="F311" s="380"/>
      <c r="G311" s="380"/>
      <c r="H311" s="380"/>
      <c r="I311" s="380"/>
      <c r="J311" s="40"/>
      <c r="K311" s="41"/>
    </row>
    <row r="312" spans="2:11" x14ac:dyDescent="0.2">
      <c r="B312" s="38"/>
      <c r="C312" s="380"/>
      <c r="D312" s="380"/>
      <c r="E312" s="380"/>
      <c r="F312" s="380"/>
      <c r="G312" s="380"/>
      <c r="H312" s="380"/>
      <c r="I312" s="380"/>
      <c r="J312" s="264">
        <v>0</v>
      </c>
      <c r="K312" s="41"/>
    </row>
    <row r="313" spans="2:11" x14ac:dyDescent="0.2">
      <c r="B313" s="38"/>
      <c r="C313" s="40" t="s">
        <v>853</v>
      </c>
      <c r="D313" s="291"/>
      <c r="E313" s="291"/>
      <c r="F313" s="291"/>
      <c r="G313" s="291"/>
      <c r="H313" s="291"/>
      <c r="I313" s="291"/>
      <c r="J313" s="255">
        <f>'Baseline Health'!$G$102</f>
        <v>0</v>
      </c>
      <c r="K313" s="41"/>
    </row>
    <row r="314" spans="2:11" x14ac:dyDescent="0.2">
      <c r="B314" s="38"/>
      <c r="C314" s="40" t="s">
        <v>842</v>
      </c>
      <c r="D314" s="40"/>
      <c r="E314" s="40"/>
      <c r="F314" s="40"/>
      <c r="G314" s="40"/>
      <c r="H314" s="40"/>
      <c r="I314" s="40"/>
      <c r="J314" s="244" t="str">
        <f>IF('Baseline Health'!$G$102=0,"Not Calculated",100*J312/'Baseline Health'!$G$102)</f>
        <v>Not Calculated</v>
      </c>
      <c r="K314" s="41"/>
    </row>
    <row r="315" spans="2:11" x14ac:dyDescent="0.2">
      <c r="B315" s="38"/>
      <c r="C315" s="40" t="s">
        <v>260</v>
      </c>
      <c r="D315" s="40"/>
      <c r="E315" s="40"/>
      <c r="F315" s="40"/>
      <c r="G315" s="40"/>
      <c r="H315" s="40"/>
      <c r="I315" s="40"/>
      <c r="J315" s="245">
        <f>IF(J314&lt;=0,0,IF(J314&lt;=1,1,IF(J314&lt;=5,2,IF(J314&lt;=10,3,4))))</f>
        <v>4</v>
      </c>
      <c r="K315" s="41"/>
    </row>
    <row r="316" spans="2:11" ht="9.75" customHeight="1" x14ac:dyDescent="0.2">
      <c r="B316" s="38"/>
      <c r="C316" s="279" t="str">
        <f>"0:"</f>
        <v>0:</v>
      </c>
      <c r="D316" s="278" t="s">
        <v>932</v>
      </c>
      <c r="E316" s="40"/>
      <c r="F316" s="40"/>
      <c r="G316" s="40"/>
      <c r="H316" s="40"/>
      <c r="I316" s="40"/>
      <c r="J316" s="244"/>
      <c r="K316" s="41"/>
    </row>
    <row r="317" spans="2:11" ht="9.75" customHeight="1" x14ac:dyDescent="0.2">
      <c r="B317" s="38"/>
      <c r="C317" s="280" t="str">
        <f>"1:"</f>
        <v>1:</v>
      </c>
      <c r="D317" s="278" t="s">
        <v>934</v>
      </c>
      <c r="E317" s="40"/>
      <c r="F317" s="40"/>
      <c r="G317" s="40"/>
      <c r="H317" s="40"/>
      <c r="I317" s="40"/>
      <c r="J317" s="244"/>
      <c r="K317" s="41"/>
    </row>
    <row r="318" spans="2:11" ht="9.75" customHeight="1" x14ac:dyDescent="0.2">
      <c r="B318" s="38"/>
      <c r="C318" s="280" t="str">
        <f>"2:"</f>
        <v>2:</v>
      </c>
      <c r="D318" s="278" t="s">
        <v>933</v>
      </c>
      <c r="E318" s="40"/>
      <c r="F318" s="40"/>
      <c r="G318" s="40"/>
      <c r="H318" s="40"/>
      <c r="I318" s="40"/>
      <c r="J318" s="244"/>
      <c r="K318" s="41"/>
    </row>
    <row r="319" spans="2:11" ht="9.75" customHeight="1" x14ac:dyDescent="0.2">
      <c r="B319" s="38"/>
      <c r="C319" s="280" t="str">
        <f>"3:"</f>
        <v>3:</v>
      </c>
      <c r="D319" s="278" t="s">
        <v>935</v>
      </c>
      <c r="E319" s="40"/>
      <c r="F319" s="40"/>
      <c r="G319" s="40"/>
      <c r="H319" s="40"/>
      <c r="I319" s="40"/>
      <c r="J319" s="244"/>
      <c r="K319" s="41"/>
    </row>
    <row r="320" spans="2:11" ht="9.75" customHeight="1" x14ac:dyDescent="0.2">
      <c r="B320" s="38"/>
      <c r="C320" s="280" t="str">
        <f>"4:"</f>
        <v>4:</v>
      </c>
      <c r="D320" s="278" t="s">
        <v>936</v>
      </c>
      <c r="E320" s="40"/>
      <c r="F320" s="40"/>
      <c r="G320" s="40"/>
      <c r="H320" s="40"/>
      <c r="I320" s="40"/>
      <c r="J320" s="40"/>
      <c r="K320" s="41"/>
    </row>
    <row r="321" spans="2:11" x14ac:dyDescent="0.2">
      <c r="B321" s="38"/>
      <c r="C321" s="40" t="s">
        <v>296</v>
      </c>
      <c r="D321" s="40"/>
      <c r="E321" s="40"/>
      <c r="F321" s="40"/>
      <c r="G321" s="40"/>
      <c r="H321" s="40"/>
      <c r="I321" s="40"/>
      <c r="J321" s="266">
        <v>0</v>
      </c>
      <c r="K321" s="41"/>
    </row>
    <row r="322" spans="2:11" x14ac:dyDescent="0.2">
      <c r="B322" s="38"/>
      <c r="C322" s="40" t="s">
        <v>261</v>
      </c>
      <c r="D322" s="40"/>
      <c r="E322" s="40"/>
      <c r="F322" s="40"/>
      <c r="G322" s="40"/>
      <c r="H322" s="40"/>
      <c r="I322" s="40"/>
      <c r="J322" s="245">
        <f>IF(J321&lt;=0,0,IF(J321&lt;=2,1,IF(J321&lt;=6,2,IF(J321&lt;=12,3,4))))</f>
        <v>0</v>
      </c>
      <c r="K322" s="41"/>
    </row>
    <row r="323" spans="2:11" x14ac:dyDescent="0.2">
      <c r="B323" s="38"/>
      <c r="C323" s="40" t="s">
        <v>893</v>
      </c>
      <c r="D323" s="40"/>
      <c r="E323" s="40"/>
      <c r="F323" s="40"/>
      <c r="G323" s="40"/>
      <c r="H323" s="40"/>
      <c r="I323" s="40"/>
      <c r="J323" s="40"/>
      <c r="K323" s="41"/>
    </row>
    <row r="324" spans="2:11" ht="30" customHeight="1" x14ac:dyDescent="0.2">
      <c r="B324" s="38"/>
      <c r="C324" s="399"/>
      <c r="D324" s="400"/>
      <c r="E324" s="400"/>
      <c r="F324" s="400"/>
      <c r="G324" s="400"/>
      <c r="H324" s="400"/>
      <c r="I324" s="400"/>
      <c r="J324" s="401"/>
      <c r="K324" s="41"/>
    </row>
    <row r="325" spans="2:11" x14ac:dyDescent="0.2">
      <c r="B325" s="38"/>
      <c r="C325" s="40"/>
      <c r="D325" s="40"/>
      <c r="E325" s="40"/>
      <c r="F325" s="40"/>
      <c r="G325" s="40"/>
      <c r="H325" s="40"/>
      <c r="I325" s="40"/>
      <c r="J325" s="40"/>
      <c r="K325" s="41"/>
    </row>
    <row r="326" spans="2:11" x14ac:dyDescent="0.2">
      <c r="B326" s="38"/>
      <c r="C326" s="179" t="s">
        <v>886</v>
      </c>
      <c r="D326" s="40"/>
      <c r="E326" s="40"/>
      <c r="F326" s="40"/>
      <c r="G326" s="40"/>
      <c r="H326" s="40"/>
      <c r="I326" s="40"/>
      <c r="J326" s="245">
        <f>IF(OR(J315="Not Calculated",J322="Not Calculated")=TRUE,"Not Calculated",AVERAGE(J315,J322))</f>
        <v>2</v>
      </c>
      <c r="K326" s="41"/>
    </row>
    <row r="327" spans="2:11" x14ac:dyDescent="0.2">
      <c r="B327" s="38"/>
      <c r="C327" s="40"/>
      <c r="D327" s="40"/>
      <c r="E327" s="40"/>
      <c r="F327" s="40"/>
      <c r="G327" s="40"/>
      <c r="H327" s="40"/>
      <c r="I327" s="40"/>
      <c r="J327" s="40"/>
      <c r="K327" s="41"/>
    </row>
    <row r="328" spans="2:11" x14ac:dyDescent="0.2">
      <c r="B328" s="38"/>
      <c r="C328" s="40"/>
      <c r="D328" s="40"/>
      <c r="E328" s="40"/>
      <c r="F328" s="40"/>
      <c r="G328" s="40"/>
      <c r="H328" s="40"/>
      <c r="I328" s="40"/>
      <c r="J328" s="40"/>
      <c r="K328" s="41"/>
    </row>
    <row r="329" spans="2:11" ht="16" x14ac:dyDescent="0.2">
      <c r="B329" s="38"/>
      <c r="C329" s="45" t="s">
        <v>858</v>
      </c>
      <c r="D329" s="40"/>
      <c r="E329" s="40"/>
      <c r="F329" s="40"/>
      <c r="G329" s="40"/>
      <c r="H329" s="40"/>
      <c r="I329" s="40"/>
      <c r="J329" s="40"/>
      <c r="K329" s="41"/>
    </row>
    <row r="330" spans="2:11" ht="15" customHeight="1" x14ac:dyDescent="0.2">
      <c r="B330" s="38"/>
      <c r="C330" s="380" t="s">
        <v>844</v>
      </c>
      <c r="D330" s="380"/>
      <c r="E330" s="380"/>
      <c r="F330" s="380"/>
      <c r="G330" s="380"/>
      <c r="H330" s="380"/>
      <c r="I330" s="380"/>
      <c r="J330" s="40"/>
      <c r="K330" s="41"/>
    </row>
    <row r="331" spans="2:11" ht="15" customHeight="1" x14ac:dyDescent="0.2">
      <c r="B331" s="38"/>
      <c r="C331" s="380"/>
      <c r="D331" s="380"/>
      <c r="E331" s="380"/>
      <c r="F331" s="380"/>
      <c r="G331" s="380"/>
      <c r="H331" s="380"/>
      <c r="I331" s="380"/>
      <c r="J331" s="264">
        <v>0</v>
      </c>
      <c r="K331" s="41"/>
    </row>
    <row r="332" spans="2:11" ht="15" customHeight="1" x14ac:dyDescent="0.2">
      <c r="B332" s="38"/>
      <c r="C332" s="40" t="s">
        <v>853</v>
      </c>
      <c r="D332" s="291"/>
      <c r="E332" s="291"/>
      <c r="F332" s="291"/>
      <c r="G332" s="291"/>
      <c r="H332" s="291"/>
      <c r="I332" s="291"/>
      <c r="J332" s="255">
        <f>'Baseline Health'!$G$102</f>
        <v>0</v>
      </c>
      <c r="K332" s="41"/>
    </row>
    <row r="333" spans="2:11" x14ac:dyDescent="0.2">
      <c r="B333" s="38"/>
      <c r="C333" s="40" t="s">
        <v>845</v>
      </c>
      <c r="D333" s="40"/>
      <c r="E333" s="40"/>
      <c r="F333" s="40"/>
      <c r="G333" s="40"/>
      <c r="H333" s="40"/>
      <c r="I333" s="40"/>
      <c r="J333" s="244" t="str">
        <f>IF('Baseline Health'!$G$102=0,"Not Calculated",100*J331/'Baseline Health'!$G$102)</f>
        <v>Not Calculated</v>
      </c>
      <c r="K333" s="41"/>
    </row>
    <row r="334" spans="2:11" x14ac:dyDescent="0.2">
      <c r="B334" s="38"/>
      <c r="C334" s="40" t="s">
        <v>260</v>
      </c>
      <c r="D334" s="40"/>
      <c r="E334" s="40"/>
      <c r="F334" s="40"/>
      <c r="G334" s="40"/>
      <c r="H334" s="40"/>
      <c r="I334" s="40"/>
      <c r="J334" s="245">
        <f>IF(J333&lt;=0,0,IF(J333&lt;=1,1,IF(J333&lt;=5,2,IF(J333&lt;=10,3,4))))</f>
        <v>4</v>
      </c>
      <c r="K334" s="41"/>
    </row>
    <row r="335" spans="2:11" ht="9.75" customHeight="1" x14ac:dyDescent="0.2">
      <c r="B335" s="38"/>
      <c r="C335" s="279" t="str">
        <f>"0:"</f>
        <v>0:</v>
      </c>
      <c r="D335" s="278" t="s">
        <v>932</v>
      </c>
      <c r="E335" s="40"/>
      <c r="F335" s="40"/>
      <c r="G335" s="40"/>
      <c r="H335" s="40"/>
      <c r="I335" s="40"/>
      <c r="J335" s="244"/>
      <c r="K335" s="41"/>
    </row>
    <row r="336" spans="2:11" ht="9.75" customHeight="1" x14ac:dyDescent="0.2">
      <c r="B336" s="38"/>
      <c r="C336" s="280" t="str">
        <f>"1:"</f>
        <v>1:</v>
      </c>
      <c r="D336" s="278" t="s">
        <v>934</v>
      </c>
      <c r="E336" s="40"/>
      <c r="F336" s="40"/>
      <c r="G336" s="40"/>
      <c r="H336" s="40"/>
      <c r="I336" s="40"/>
      <c r="J336" s="244"/>
      <c r="K336" s="41"/>
    </row>
    <row r="337" spans="2:11" ht="9.75" customHeight="1" x14ac:dyDescent="0.2">
      <c r="B337" s="38"/>
      <c r="C337" s="280" t="str">
        <f>"2:"</f>
        <v>2:</v>
      </c>
      <c r="D337" s="278" t="s">
        <v>933</v>
      </c>
      <c r="E337" s="40"/>
      <c r="F337" s="40"/>
      <c r="G337" s="40"/>
      <c r="H337" s="40"/>
      <c r="I337" s="40"/>
      <c r="J337" s="244"/>
      <c r="K337" s="41"/>
    </row>
    <row r="338" spans="2:11" ht="9.75" customHeight="1" x14ac:dyDescent="0.2">
      <c r="B338" s="38"/>
      <c r="C338" s="280" t="str">
        <f>"3:"</f>
        <v>3:</v>
      </c>
      <c r="D338" s="278" t="s">
        <v>935</v>
      </c>
      <c r="E338" s="40"/>
      <c r="F338" s="40"/>
      <c r="G338" s="40"/>
      <c r="H338" s="40"/>
      <c r="I338" s="40"/>
      <c r="J338" s="244"/>
      <c r="K338" s="41"/>
    </row>
    <row r="339" spans="2:11" ht="9.75" customHeight="1" x14ac:dyDescent="0.2">
      <c r="B339" s="38"/>
      <c r="C339" s="280" t="str">
        <f>"4:"</f>
        <v>4:</v>
      </c>
      <c r="D339" s="278" t="s">
        <v>936</v>
      </c>
      <c r="E339" s="40"/>
      <c r="F339" s="40"/>
      <c r="G339" s="40"/>
      <c r="H339" s="40"/>
      <c r="I339" s="40"/>
      <c r="J339" s="40"/>
      <c r="K339" s="41"/>
    </row>
    <row r="340" spans="2:11" ht="15" customHeight="1" x14ac:dyDescent="0.2">
      <c r="B340" s="38"/>
      <c r="C340" s="380" t="s">
        <v>84</v>
      </c>
      <c r="D340" s="380"/>
      <c r="E340" s="380"/>
      <c r="F340" s="380"/>
      <c r="G340" s="380"/>
      <c r="H340" s="380"/>
      <c r="I340" s="380"/>
      <c r="J340" s="245"/>
      <c r="K340" s="41"/>
    </row>
    <row r="341" spans="2:11" x14ac:dyDescent="0.2">
      <c r="B341" s="38"/>
      <c r="C341" s="380"/>
      <c r="D341" s="380"/>
      <c r="E341" s="380"/>
      <c r="F341" s="380"/>
      <c r="G341" s="380"/>
      <c r="H341" s="380"/>
      <c r="I341" s="380"/>
      <c r="J341" s="245">
        <f>'Baseline Health'!G108</f>
        <v>40</v>
      </c>
      <c r="K341" s="41"/>
    </row>
    <row r="342" spans="2:11" x14ac:dyDescent="0.2">
      <c r="B342" s="38"/>
      <c r="C342" s="40" t="s">
        <v>833</v>
      </c>
      <c r="D342" s="40"/>
      <c r="E342" s="40"/>
      <c r="F342" s="40"/>
      <c r="G342" s="40"/>
      <c r="H342" s="40"/>
      <c r="I342" s="40"/>
      <c r="J342" s="245">
        <f>IF(J341&gt;J321,0,J321-J341)</f>
        <v>0</v>
      </c>
      <c r="K342" s="41"/>
    </row>
    <row r="343" spans="2:11" ht="15" customHeight="1" x14ac:dyDescent="0.2">
      <c r="B343" s="38"/>
      <c r="C343" s="40"/>
      <c r="D343" s="380" t="s">
        <v>834</v>
      </c>
      <c r="E343" s="380"/>
      <c r="F343" s="380"/>
      <c r="G343" s="380"/>
      <c r="H343" s="380"/>
      <c r="I343" s="380"/>
      <c r="J343" s="40"/>
      <c r="K343" s="41"/>
    </row>
    <row r="344" spans="2:11" x14ac:dyDescent="0.2">
      <c r="B344" s="38"/>
      <c r="C344" s="40"/>
      <c r="D344" s="380"/>
      <c r="E344" s="380"/>
      <c r="F344" s="380"/>
      <c r="G344" s="380"/>
      <c r="H344" s="380"/>
      <c r="I344" s="380"/>
      <c r="J344" s="40"/>
      <c r="K344" s="41"/>
    </row>
    <row r="345" spans="2:11" x14ac:dyDescent="0.2">
      <c r="B345" s="38"/>
      <c r="C345" s="40" t="s">
        <v>261</v>
      </c>
      <c r="D345" s="40"/>
      <c r="E345" s="40"/>
      <c r="F345" s="40"/>
      <c r="G345" s="40"/>
      <c r="H345" s="40"/>
      <c r="I345" s="40"/>
      <c r="J345" s="245">
        <f>IF(J342&lt;=0,0,IF(J342&lt;=2,1,IF(J342&lt;=6,2,IF(J342&lt;=12,3,4))))</f>
        <v>0</v>
      </c>
      <c r="K345" s="41"/>
    </row>
    <row r="346" spans="2:11" x14ac:dyDescent="0.2">
      <c r="B346" s="38"/>
      <c r="C346" s="40" t="s">
        <v>893</v>
      </c>
      <c r="D346" s="40"/>
      <c r="E346" s="40"/>
      <c r="F346" s="40"/>
      <c r="G346" s="40"/>
      <c r="H346" s="40"/>
      <c r="I346" s="40"/>
      <c r="J346" s="40"/>
      <c r="K346" s="41"/>
    </row>
    <row r="347" spans="2:11" ht="30" customHeight="1" x14ac:dyDescent="0.2">
      <c r="B347" s="38"/>
      <c r="C347" s="399"/>
      <c r="D347" s="400"/>
      <c r="E347" s="400"/>
      <c r="F347" s="400"/>
      <c r="G347" s="400"/>
      <c r="H347" s="400"/>
      <c r="I347" s="400"/>
      <c r="J347" s="401"/>
      <c r="K347" s="41"/>
    </row>
    <row r="348" spans="2:11" x14ac:dyDescent="0.2">
      <c r="B348" s="38"/>
      <c r="C348" s="40"/>
      <c r="D348" s="40"/>
      <c r="E348" s="40"/>
      <c r="F348" s="40"/>
      <c r="G348" s="40"/>
      <c r="H348" s="40"/>
      <c r="I348" s="40"/>
      <c r="J348" s="40"/>
      <c r="K348" s="41"/>
    </row>
    <row r="349" spans="2:11" x14ac:dyDescent="0.2">
      <c r="B349" s="38"/>
      <c r="C349" s="179" t="s">
        <v>887</v>
      </c>
      <c r="D349" s="40"/>
      <c r="E349" s="40"/>
      <c r="F349" s="40"/>
      <c r="G349" s="40"/>
      <c r="H349" s="40"/>
      <c r="I349" s="40"/>
      <c r="J349" s="245">
        <f>IF(OR(J334="Not Calculated",J345="Not Calculated")=TRUE,"Not Calculated",AVERAGE(J334,J345))</f>
        <v>2</v>
      </c>
      <c r="K349" s="41"/>
    </row>
    <row r="350" spans="2:11" x14ac:dyDescent="0.2">
      <c r="B350" s="38"/>
      <c r="C350" s="40"/>
      <c r="D350" s="40"/>
      <c r="E350" s="40"/>
      <c r="F350" s="40"/>
      <c r="G350" s="40"/>
      <c r="H350" s="40"/>
      <c r="I350" s="40"/>
      <c r="J350" s="40"/>
      <c r="K350" s="41"/>
    </row>
    <row r="351" spans="2:11" x14ac:dyDescent="0.2">
      <c r="B351" s="38"/>
      <c r="C351" s="40"/>
      <c r="D351" s="40"/>
      <c r="E351" s="40"/>
      <c r="F351" s="40"/>
      <c r="G351" s="40"/>
      <c r="H351" s="40"/>
      <c r="I351" s="40"/>
      <c r="J351" s="40"/>
      <c r="K351" s="41"/>
    </row>
    <row r="352" spans="2:11" ht="15" customHeight="1" x14ac:dyDescent="0.2">
      <c r="B352" s="38"/>
      <c r="C352" s="45" t="s">
        <v>859</v>
      </c>
      <c r="D352" s="40"/>
      <c r="E352" s="40"/>
      <c r="F352" s="40"/>
      <c r="G352" s="40"/>
      <c r="H352" s="40"/>
      <c r="I352" s="40"/>
      <c r="J352" s="40"/>
      <c r="K352" s="41"/>
    </row>
    <row r="353" spans="2:11" x14ac:dyDescent="0.2">
      <c r="B353" s="38"/>
      <c r="C353" s="40" t="s">
        <v>846</v>
      </c>
      <c r="D353" s="40"/>
      <c r="E353" s="40"/>
      <c r="F353" s="40"/>
      <c r="G353" s="40"/>
      <c r="H353" s="40"/>
      <c r="I353" s="40"/>
      <c r="J353" s="264">
        <v>0</v>
      </c>
      <c r="K353" s="41"/>
    </row>
    <row r="354" spans="2:11" x14ac:dyDescent="0.2">
      <c r="B354" s="38"/>
      <c r="C354" s="40" t="s">
        <v>854</v>
      </c>
      <c r="D354" s="40"/>
      <c r="E354" s="40"/>
      <c r="F354" s="40"/>
      <c r="G354" s="40"/>
      <c r="H354" s="40"/>
      <c r="I354" s="40"/>
      <c r="J354" s="255">
        <f>'Baseline Health'!$G$59</f>
        <v>0</v>
      </c>
      <c r="K354" s="41"/>
    </row>
    <row r="355" spans="2:11" x14ac:dyDescent="0.2">
      <c r="B355" s="38"/>
      <c r="C355" s="40" t="s">
        <v>847</v>
      </c>
      <c r="D355" s="40"/>
      <c r="E355" s="40"/>
      <c r="F355" s="40"/>
      <c r="G355" s="40"/>
      <c r="H355" s="40"/>
      <c r="I355" s="40"/>
      <c r="J355" s="244">
        <f>IF(J353=0,0,IF('Baseline Health'!G$59=0,"Not Calculated",100*J353/'Baseline Health'!$G$59))</f>
        <v>0</v>
      </c>
      <c r="K355" s="41"/>
    </row>
    <row r="356" spans="2:11" x14ac:dyDescent="0.2">
      <c r="B356" s="38"/>
      <c r="C356" s="40" t="s">
        <v>260</v>
      </c>
      <c r="D356" s="40"/>
      <c r="E356" s="40"/>
      <c r="F356" s="40"/>
      <c r="G356" s="40"/>
      <c r="H356" s="40"/>
      <c r="I356" s="40"/>
      <c r="J356" s="245">
        <f>IF(J355&lt;=0,0,IF(J355&lt;=5,1,IF(J355&lt;=10,2,IF(J355&lt;=25,3,4))))</f>
        <v>0</v>
      </c>
      <c r="K356" s="41"/>
    </row>
    <row r="357" spans="2:11" ht="9.75" customHeight="1" x14ac:dyDescent="0.2">
      <c r="B357" s="38"/>
      <c r="C357" s="279" t="str">
        <f>"0:"</f>
        <v>0:</v>
      </c>
      <c r="D357" s="278" t="s">
        <v>932</v>
      </c>
      <c r="E357" s="40"/>
      <c r="F357" s="40"/>
      <c r="G357" s="40"/>
      <c r="H357" s="40"/>
      <c r="I357" s="40"/>
      <c r="J357" s="244"/>
      <c r="K357" s="41"/>
    </row>
    <row r="358" spans="2:11" ht="9.75" customHeight="1" x14ac:dyDescent="0.2">
      <c r="B358" s="38"/>
      <c r="C358" s="280" t="str">
        <f>"1:"</f>
        <v>1:</v>
      </c>
      <c r="D358" s="278" t="s">
        <v>933</v>
      </c>
      <c r="E358" s="40"/>
      <c r="F358" s="40"/>
      <c r="G358" s="40"/>
      <c r="H358" s="40"/>
      <c r="I358" s="40"/>
      <c r="J358" s="244"/>
      <c r="K358" s="41"/>
    </row>
    <row r="359" spans="2:11" ht="9.75" customHeight="1" x14ac:dyDescent="0.2">
      <c r="B359" s="38"/>
      <c r="C359" s="280" t="str">
        <f>"2:"</f>
        <v>2:</v>
      </c>
      <c r="D359" s="278" t="s">
        <v>935</v>
      </c>
      <c r="E359" s="40"/>
      <c r="F359" s="40"/>
      <c r="G359" s="40"/>
      <c r="H359" s="40"/>
      <c r="I359" s="40"/>
      <c r="J359" s="244"/>
      <c r="K359" s="41"/>
    </row>
    <row r="360" spans="2:11" ht="9.75" customHeight="1" x14ac:dyDescent="0.2">
      <c r="B360" s="38"/>
      <c r="C360" s="280" t="str">
        <f>"3:"</f>
        <v>3:</v>
      </c>
      <c r="D360" s="278" t="s">
        <v>937</v>
      </c>
      <c r="E360" s="40"/>
      <c r="F360" s="40"/>
      <c r="G360" s="40"/>
      <c r="H360" s="40"/>
      <c r="I360" s="40"/>
      <c r="J360" s="244"/>
      <c r="K360" s="41"/>
    </row>
    <row r="361" spans="2:11" ht="9.75" customHeight="1" x14ac:dyDescent="0.2">
      <c r="B361" s="38"/>
      <c r="C361" s="280" t="str">
        <f>"4:"</f>
        <v>4:</v>
      </c>
      <c r="D361" s="278" t="s">
        <v>938</v>
      </c>
      <c r="E361" s="40"/>
      <c r="F361" s="40"/>
      <c r="G361" s="40"/>
      <c r="H361" s="40"/>
      <c r="I361" s="40"/>
      <c r="J361" s="40"/>
      <c r="K361" s="41"/>
    </row>
    <row r="362" spans="2:11" ht="15" customHeight="1" x14ac:dyDescent="0.2">
      <c r="B362" s="38"/>
      <c r="C362" s="40" t="s">
        <v>257</v>
      </c>
      <c r="D362" s="40"/>
      <c r="E362" s="40"/>
      <c r="F362" s="40"/>
      <c r="G362" s="40"/>
      <c r="H362" s="40"/>
      <c r="I362" s="40"/>
      <c r="J362" s="266" t="s">
        <v>870</v>
      </c>
      <c r="K362" s="41"/>
    </row>
    <row r="363" spans="2:11" x14ac:dyDescent="0.2">
      <c r="B363" s="38"/>
      <c r="C363" s="40" t="s">
        <v>261</v>
      </c>
      <c r="D363" s="40"/>
      <c r="E363" s="40"/>
      <c r="F363" s="40"/>
      <c r="G363" s="40"/>
      <c r="H363" s="40"/>
      <c r="I363" s="40"/>
      <c r="J363" s="245">
        <f>IF(J362=$B$980,$A$980,IF(J362=$B$981,$A$981,IF(J362=$B$982,$A$982,IF(J362=$B$983,$A$983,IF(J362=$B$984,$A$984,"Not Calculated")))))</f>
        <v>0</v>
      </c>
      <c r="K363" s="41"/>
    </row>
    <row r="364" spans="2:11" x14ac:dyDescent="0.2">
      <c r="B364" s="38"/>
      <c r="C364" s="40" t="s">
        <v>893</v>
      </c>
      <c r="D364" s="40"/>
      <c r="E364" s="40"/>
      <c r="F364" s="40"/>
      <c r="G364" s="40"/>
      <c r="H364" s="40"/>
      <c r="I364" s="40"/>
      <c r="J364" s="40"/>
      <c r="K364" s="41"/>
    </row>
    <row r="365" spans="2:11" ht="30" customHeight="1" x14ac:dyDescent="0.2">
      <c r="B365" s="38"/>
      <c r="C365" s="399"/>
      <c r="D365" s="400"/>
      <c r="E365" s="400"/>
      <c r="F365" s="400"/>
      <c r="G365" s="400"/>
      <c r="H365" s="400"/>
      <c r="I365" s="400"/>
      <c r="J365" s="401"/>
      <c r="K365" s="41"/>
    </row>
    <row r="366" spans="2:11" x14ac:dyDescent="0.2">
      <c r="B366" s="38"/>
      <c r="C366" s="40"/>
      <c r="D366" s="40"/>
      <c r="E366" s="40"/>
      <c r="F366" s="40"/>
      <c r="G366" s="40"/>
      <c r="H366" s="40"/>
      <c r="I366" s="40"/>
      <c r="J366" s="40"/>
      <c r="K366" s="41"/>
    </row>
    <row r="367" spans="2:11" x14ac:dyDescent="0.2">
      <c r="B367" s="38"/>
      <c r="C367" s="179" t="s">
        <v>888</v>
      </c>
      <c r="D367" s="40"/>
      <c r="E367" s="40"/>
      <c r="F367" s="40"/>
      <c r="G367" s="40"/>
      <c r="H367" s="40"/>
      <c r="I367" s="40"/>
      <c r="J367" s="245">
        <f>IF(OR(J356="Not Calculated",J363="Not Calculated")=TRUE,"Not Calculated",AVERAGE(J356,J363))</f>
        <v>0</v>
      </c>
      <c r="K367" s="41"/>
    </row>
    <row r="368" spans="2:11" x14ac:dyDescent="0.2">
      <c r="B368" s="38"/>
      <c r="C368" s="40"/>
      <c r="D368" s="40"/>
      <c r="E368" s="40"/>
      <c r="F368" s="40"/>
      <c r="G368" s="40"/>
      <c r="H368" s="40"/>
      <c r="I368" s="40"/>
      <c r="J368" s="40"/>
      <c r="K368" s="41"/>
    </row>
    <row r="369" spans="2:11" x14ac:dyDescent="0.2">
      <c r="B369" s="38"/>
      <c r="C369" s="40"/>
      <c r="D369" s="40"/>
      <c r="E369" s="40"/>
      <c r="F369" s="40"/>
      <c r="G369" s="40"/>
      <c r="H369" s="40"/>
      <c r="I369" s="40"/>
      <c r="J369" s="40"/>
      <c r="K369" s="41"/>
    </row>
    <row r="370" spans="2:11" ht="16" x14ac:dyDescent="0.2">
      <c r="B370" s="38"/>
      <c r="C370" s="45" t="s">
        <v>863</v>
      </c>
      <c r="D370" s="40"/>
      <c r="E370" s="40"/>
      <c r="F370" s="40"/>
      <c r="G370" s="40"/>
      <c r="H370" s="40"/>
      <c r="I370" s="40"/>
      <c r="J370" s="40"/>
      <c r="K370" s="41"/>
    </row>
    <row r="371" spans="2:11" ht="15" customHeight="1" x14ac:dyDescent="0.2">
      <c r="B371" s="38"/>
      <c r="C371" s="380" t="s">
        <v>848</v>
      </c>
      <c r="D371" s="380"/>
      <c r="E371" s="380"/>
      <c r="F371" s="380"/>
      <c r="G371" s="380"/>
      <c r="H371" s="380"/>
      <c r="I371" s="380"/>
      <c r="J371" s="181"/>
      <c r="K371" s="41"/>
    </row>
    <row r="372" spans="2:11" ht="15" customHeight="1" x14ac:dyDescent="0.2">
      <c r="B372" s="38"/>
      <c r="C372" s="380"/>
      <c r="D372" s="380"/>
      <c r="E372" s="380"/>
      <c r="F372" s="380"/>
      <c r="G372" s="380"/>
      <c r="H372" s="380"/>
      <c r="I372" s="380"/>
      <c r="J372" s="264">
        <v>0</v>
      </c>
      <c r="K372" s="41"/>
    </row>
    <row r="373" spans="2:11" ht="15" customHeight="1" x14ac:dyDescent="0.2">
      <c r="B373" s="38"/>
      <c r="C373" s="40" t="s">
        <v>853</v>
      </c>
      <c r="D373" s="291"/>
      <c r="E373" s="291"/>
      <c r="F373" s="291"/>
      <c r="G373" s="291"/>
      <c r="H373" s="291"/>
      <c r="I373" s="291"/>
      <c r="J373" s="255">
        <f>'Baseline Health'!$G$102</f>
        <v>0</v>
      </c>
      <c r="K373" s="41"/>
    </row>
    <row r="374" spans="2:11" x14ac:dyDescent="0.2">
      <c r="B374" s="38"/>
      <c r="C374" s="40" t="s">
        <v>842</v>
      </c>
      <c r="D374" s="291"/>
      <c r="E374" s="291"/>
      <c r="F374" s="291"/>
      <c r="G374" s="291"/>
      <c r="H374" s="291"/>
      <c r="I374" s="291"/>
      <c r="J374" s="244" t="str">
        <f>IF('Baseline Health'!$G$102=0,"Not Calculated",100*J372/'Baseline Health'!$G$102)</f>
        <v>Not Calculated</v>
      </c>
      <c r="K374" s="41"/>
    </row>
    <row r="375" spans="2:11" x14ac:dyDescent="0.2">
      <c r="B375" s="38"/>
      <c r="C375" s="40" t="s">
        <v>260</v>
      </c>
      <c r="D375" s="40"/>
      <c r="E375" s="40"/>
      <c r="F375" s="40"/>
      <c r="G375" s="40"/>
      <c r="H375" s="40"/>
      <c r="I375" s="40"/>
      <c r="J375" s="251">
        <f>IF(J374&lt;=0,0,IF(J374&lt;=1,1,IF(J374&lt;=5,2,IF(J374&lt;=10,3,4))))</f>
        <v>4</v>
      </c>
      <c r="K375" s="41"/>
    </row>
    <row r="376" spans="2:11" ht="9.75" customHeight="1" x14ac:dyDescent="0.2">
      <c r="B376" s="38"/>
      <c r="C376" s="279" t="str">
        <f>"0:"</f>
        <v>0:</v>
      </c>
      <c r="D376" s="278" t="s">
        <v>932</v>
      </c>
      <c r="E376" s="291"/>
      <c r="F376" s="291"/>
      <c r="G376" s="291"/>
      <c r="H376" s="291"/>
      <c r="I376" s="291"/>
      <c r="J376" s="244"/>
      <c r="K376" s="41"/>
    </row>
    <row r="377" spans="2:11" ht="9.75" customHeight="1" x14ac:dyDescent="0.2">
      <c r="B377" s="38"/>
      <c r="C377" s="280" t="str">
        <f>"1:"</f>
        <v>1:</v>
      </c>
      <c r="D377" s="278" t="s">
        <v>934</v>
      </c>
      <c r="E377" s="291"/>
      <c r="F377" s="291"/>
      <c r="G377" s="291"/>
      <c r="H377" s="291"/>
      <c r="I377" s="291"/>
      <c r="J377" s="244"/>
      <c r="K377" s="41"/>
    </row>
    <row r="378" spans="2:11" ht="9.75" customHeight="1" x14ac:dyDescent="0.2">
      <c r="B378" s="38"/>
      <c r="C378" s="280" t="str">
        <f>"2:"</f>
        <v>2:</v>
      </c>
      <c r="D378" s="278" t="s">
        <v>933</v>
      </c>
      <c r="E378" s="291"/>
      <c r="F378" s="291"/>
      <c r="G378" s="291"/>
      <c r="H378" s="291"/>
      <c r="I378" s="291"/>
      <c r="J378" s="244"/>
      <c r="K378" s="41"/>
    </row>
    <row r="379" spans="2:11" ht="9.75" customHeight="1" x14ac:dyDescent="0.2">
      <c r="B379" s="38"/>
      <c r="C379" s="280" t="str">
        <f>"3:"</f>
        <v>3:</v>
      </c>
      <c r="D379" s="278" t="s">
        <v>935</v>
      </c>
      <c r="E379" s="291"/>
      <c r="F379" s="291"/>
      <c r="G379" s="291"/>
      <c r="H379" s="291"/>
      <c r="I379" s="291"/>
      <c r="J379" s="244"/>
      <c r="K379" s="41"/>
    </row>
    <row r="380" spans="2:11" ht="9.75" customHeight="1" x14ac:dyDescent="0.2">
      <c r="B380" s="38"/>
      <c r="C380" s="280" t="str">
        <f>"4:"</f>
        <v>4:</v>
      </c>
      <c r="D380" s="278" t="s">
        <v>936</v>
      </c>
      <c r="E380" s="40"/>
      <c r="F380" s="40"/>
      <c r="G380" s="40"/>
      <c r="H380" s="40"/>
      <c r="I380" s="40"/>
      <c r="J380" s="40"/>
      <c r="K380" s="41"/>
    </row>
    <row r="381" spans="2:11" x14ac:dyDescent="0.2">
      <c r="B381" s="38"/>
      <c r="C381" s="40" t="s">
        <v>85</v>
      </c>
      <c r="D381" s="40"/>
      <c r="E381" s="40"/>
      <c r="F381" s="40"/>
      <c r="G381" s="40"/>
      <c r="H381" s="40"/>
      <c r="I381" s="40"/>
      <c r="J381" s="254">
        <f>'Baseline Health'!G114</f>
        <v>7</v>
      </c>
      <c r="K381" s="41"/>
    </row>
    <row r="382" spans="2:11" x14ac:dyDescent="0.2">
      <c r="B382" s="38"/>
      <c r="C382" s="40" t="s">
        <v>297</v>
      </c>
      <c r="D382" s="40"/>
      <c r="E382" s="40"/>
      <c r="F382" s="40"/>
      <c r="G382" s="40"/>
      <c r="H382" s="40"/>
      <c r="I382" s="40"/>
      <c r="J382" s="266">
        <v>0</v>
      </c>
      <c r="K382" s="41"/>
    </row>
    <row r="383" spans="2:11" x14ac:dyDescent="0.2">
      <c r="B383" s="38"/>
      <c r="C383" s="40" t="s">
        <v>261</v>
      </c>
      <c r="D383" s="40"/>
      <c r="E383" s="40"/>
      <c r="F383" s="40"/>
      <c r="G383" s="40"/>
      <c r="H383" s="40"/>
      <c r="I383" s="40"/>
      <c r="J383" s="248">
        <f>IF((J382-J381)&lt;1,0,IF((J382-J381)&lt;3,1,IF((J382-J381)&lt;5,2,IF((J382-J381)&lt;7,3,4))))</f>
        <v>0</v>
      </c>
      <c r="K383" s="41"/>
    </row>
    <row r="384" spans="2:11" x14ac:dyDescent="0.2">
      <c r="B384" s="38"/>
      <c r="C384" s="40" t="s">
        <v>893</v>
      </c>
      <c r="D384" s="40"/>
      <c r="E384" s="40"/>
      <c r="F384" s="40"/>
      <c r="G384" s="40"/>
      <c r="H384" s="40"/>
      <c r="I384" s="40"/>
      <c r="J384" s="40"/>
      <c r="K384" s="41"/>
    </row>
    <row r="385" spans="2:11" ht="30" customHeight="1" x14ac:dyDescent="0.2">
      <c r="B385" s="38"/>
      <c r="C385" s="399"/>
      <c r="D385" s="400"/>
      <c r="E385" s="400"/>
      <c r="F385" s="400"/>
      <c r="G385" s="400"/>
      <c r="H385" s="400"/>
      <c r="I385" s="400"/>
      <c r="J385" s="401"/>
      <c r="K385" s="41"/>
    </row>
    <row r="386" spans="2:11" ht="10" customHeight="1" x14ac:dyDescent="0.2">
      <c r="B386" s="38"/>
      <c r="C386" s="40"/>
      <c r="D386" s="40"/>
      <c r="E386" s="40"/>
      <c r="F386" s="40"/>
      <c r="G386" s="40"/>
      <c r="H386" s="40"/>
      <c r="I386" s="40"/>
      <c r="J386" s="40"/>
      <c r="K386" s="41"/>
    </row>
    <row r="387" spans="2:11" x14ac:dyDescent="0.2">
      <c r="B387" s="38"/>
      <c r="C387" s="179" t="s">
        <v>889</v>
      </c>
      <c r="D387" s="40"/>
      <c r="E387" s="40"/>
      <c r="F387" s="40"/>
      <c r="G387" s="40"/>
      <c r="H387" s="40"/>
      <c r="I387" s="40"/>
      <c r="J387" s="245">
        <f>IF(OR(J375="Not Calculated",J383="Not Calculated")=TRUE,"Not Calculated",AVERAGE(J375,J383))</f>
        <v>2</v>
      </c>
      <c r="K387" s="41"/>
    </row>
    <row r="388" spans="2:11" x14ac:dyDescent="0.2">
      <c r="B388" s="38"/>
      <c r="C388" s="40"/>
      <c r="D388" s="40"/>
      <c r="E388" s="40"/>
      <c r="F388" s="40"/>
      <c r="G388" s="40"/>
      <c r="H388" s="40"/>
      <c r="I388" s="40"/>
      <c r="J388" s="40"/>
      <c r="K388" s="41"/>
    </row>
    <row r="389" spans="2:11" x14ac:dyDescent="0.2">
      <c r="B389" s="38"/>
      <c r="C389" s="40"/>
      <c r="D389" s="40"/>
      <c r="E389" s="40"/>
      <c r="F389" s="40"/>
      <c r="G389" s="40"/>
      <c r="H389" s="40"/>
      <c r="I389" s="40"/>
      <c r="J389" s="40"/>
      <c r="K389" s="41"/>
    </row>
    <row r="390" spans="2:11" ht="16" x14ac:dyDescent="0.2">
      <c r="B390" s="38"/>
      <c r="C390" s="45" t="s">
        <v>860</v>
      </c>
      <c r="D390" s="40"/>
      <c r="E390" s="40"/>
      <c r="F390" s="40"/>
      <c r="G390" s="40"/>
      <c r="H390" s="40"/>
      <c r="I390" s="40"/>
      <c r="J390" s="40"/>
      <c r="K390" s="41"/>
    </row>
    <row r="391" spans="2:11" x14ac:dyDescent="0.2">
      <c r="B391" s="38"/>
      <c r="C391" s="380" t="s">
        <v>849</v>
      </c>
      <c r="D391" s="380"/>
      <c r="E391" s="380"/>
      <c r="F391" s="380"/>
      <c r="G391" s="380"/>
      <c r="H391" s="380"/>
      <c r="I391" s="380"/>
      <c r="J391" s="181"/>
      <c r="K391" s="41"/>
    </row>
    <row r="392" spans="2:11" x14ac:dyDescent="0.2">
      <c r="B392" s="38"/>
      <c r="C392" s="380"/>
      <c r="D392" s="380"/>
      <c r="E392" s="380"/>
      <c r="F392" s="380"/>
      <c r="G392" s="380"/>
      <c r="H392" s="380"/>
      <c r="I392" s="380"/>
      <c r="J392" s="264">
        <v>0</v>
      </c>
      <c r="K392" s="41"/>
    </row>
    <row r="393" spans="2:11" x14ac:dyDescent="0.2">
      <c r="B393" s="38"/>
      <c r="C393" s="40" t="s">
        <v>853</v>
      </c>
      <c r="D393" s="291"/>
      <c r="E393" s="291"/>
      <c r="F393" s="291"/>
      <c r="G393" s="291"/>
      <c r="H393" s="291"/>
      <c r="I393" s="291"/>
      <c r="J393" s="255">
        <f>'Baseline Health'!$G$102</f>
        <v>0</v>
      </c>
      <c r="K393" s="41"/>
    </row>
    <row r="394" spans="2:11" ht="15" customHeight="1" x14ac:dyDescent="0.2">
      <c r="B394" s="38"/>
      <c r="C394" s="40" t="s">
        <v>850</v>
      </c>
      <c r="D394" s="291"/>
      <c r="E394" s="291"/>
      <c r="F394" s="291"/>
      <c r="G394" s="291"/>
      <c r="H394" s="291"/>
      <c r="I394" s="291"/>
      <c r="J394" s="244" t="str">
        <f>IF('Baseline Health'!$G$102=0,"Not Calculated",100*J392/'Baseline Health'!$G$102)</f>
        <v>Not Calculated</v>
      </c>
      <c r="K394" s="41"/>
    </row>
    <row r="395" spans="2:11" ht="15" customHeight="1" x14ac:dyDescent="0.2">
      <c r="B395" s="38"/>
      <c r="C395" s="40" t="s">
        <v>260</v>
      </c>
      <c r="D395" s="40"/>
      <c r="E395" s="40"/>
      <c r="F395" s="40"/>
      <c r="G395" s="40"/>
      <c r="H395" s="40"/>
      <c r="I395" s="40"/>
      <c r="J395" s="43">
        <f>IF(J394&lt;=0,0,IF(J394&lt;=1,1,IF(J394&lt;=5,2,IF(J394&lt;=10,3,4))))</f>
        <v>4</v>
      </c>
      <c r="K395" s="41"/>
    </row>
    <row r="396" spans="2:11" ht="9.75" customHeight="1" x14ac:dyDescent="0.2">
      <c r="B396" s="38"/>
      <c r="C396" s="279" t="str">
        <f>"0:"</f>
        <v>0:</v>
      </c>
      <c r="D396" s="278" t="s">
        <v>932</v>
      </c>
      <c r="E396" s="291"/>
      <c r="F396" s="291"/>
      <c r="G396" s="291"/>
      <c r="H396" s="291"/>
      <c r="I396" s="291"/>
      <c r="J396" s="244"/>
      <c r="K396" s="41"/>
    </row>
    <row r="397" spans="2:11" ht="9.75" customHeight="1" x14ac:dyDescent="0.2">
      <c r="B397" s="38"/>
      <c r="C397" s="280" t="str">
        <f>"1:"</f>
        <v>1:</v>
      </c>
      <c r="D397" s="278" t="s">
        <v>934</v>
      </c>
      <c r="E397" s="291"/>
      <c r="F397" s="291"/>
      <c r="G397" s="291"/>
      <c r="H397" s="291"/>
      <c r="I397" s="291"/>
      <c r="J397" s="244"/>
      <c r="K397" s="41"/>
    </row>
    <row r="398" spans="2:11" ht="9.75" customHeight="1" x14ac:dyDescent="0.2">
      <c r="B398" s="38"/>
      <c r="C398" s="280" t="str">
        <f>"2:"</f>
        <v>2:</v>
      </c>
      <c r="D398" s="278" t="s">
        <v>933</v>
      </c>
      <c r="E398" s="291"/>
      <c r="F398" s="291"/>
      <c r="G398" s="291"/>
      <c r="H398" s="291"/>
      <c r="I398" s="291"/>
      <c r="J398" s="244"/>
      <c r="K398" s="41"/>
    </row>
    <row r="399" spans="2:11" ht="9.75" customHeight="1" x14ac:dyDescent="0.2">
      <c r="B399" s="38"/>
      <c r="C399" s="280" t="str">
        <f>"3:"</f>
        <v>3:</v>
      </c>
      <c r="D399" s="278" t="s">
        <v>935</v>
      </c>
      <c r="E399" s="291"/>
      <c r="F399" s="291"/>
      <c r="G399" s="291"/>
      <c r="H399" s="291"/>
      <c r="I399" s="291"/>
      <c r="J399" s="244"/>
      <c r="K399" s="41"/>
    </row>
    <row r="400" spans="2:11" ht="9.75" customHeight="1" x14ac:dyDescent="0.2">
      <c r="B400" s="38"/>
      <c r="C400" s="280" t="str">
        <f>"4:"</f>
        <v>4:</v>
      </c>
      <c r="D400" s="278" t="s">
        <v>936</v>
      </c>
      <c r="E400" s="40"/>
      <c r="F400" s="40"/>
      <c r="G400" s="40"/>
      <c r="H400" s="40"/>
      <c r="I400" s="40"/>
      <c r="J400" s="40"/>
      <c r="K400" s="41"/>
    </row>
    <row r="401" spans="2:11" x14ac:dyDescent="0.2">
      <c r="B401" s="38"/>
      <c r="C401" s="40" t="s">
        <v>893</v>
      </c>
      <c r="D401" s="40"/>
      <c r="E401" s="40"/>
      <c r="F401" s="40"/>
      <c r="G401" s="40"/>
      <c r="H401" s="40"/>
      <c r="I401" s="40"/>
      <c r="J401" s="40"/>
      <c r="K401" s="41"/>
    </row>
    <row r="402" spans="2:11" ht="30" customHeight="1" x14ac:dyDescent="0.2">
      <c r="B402" s="38"/>
      <c r="C402" s="399"/>
      <c r="D402" s="400"/>
      <c r="E402" s="400"/>
      <c r="F402" s="400"/>
      <c r="G402" s="400"/>
      <c r="H402" s="400"/>
      <c r="I402" s="400"/>
      <c r="J402" s="401"/>
      <c r="K402" s="41"/>
    </row>
    <row r="403" spans="2:11" x14ac:dyDescent="0.2">
      <c r="B403" s="38"/>
      <c r="C403" s="40"/>
      <c r="D403" s="40"/>
      <c r="E403" s="40"/>
      <c r="F403" s="40"/>
      <c r="G403" s="40"/>
      <c r="H403" s="40"/>
      <c r="I403" s="40"/>
      <c r="J403" s="40"/>
      <c r="K403" s="41"/>
    </row>
    <row r="404" spans="2:11" x14ac:dyDescent="0.2">
      <c r="B404" s="38"/>
      <c r="C404" s="179" t="s">
        <v>890</v>
      </c>
      <c r="D404" s="40"/>
      <c r="E404" s="40"/>
      <c r="F404" s="40"/>
      <c r="G404" s="40"/>
      <c r="H404" s="40"/>
      <c r="I404" s="40"/>
      <c r="J404" s="245">
        <f>J395</f>
        <v>4</v>
      </c>
      <c r="K404" s="41"/>
    </row>
    <row r="405" spans="2:11" x14ac:dyDescent="0.2">
      <c r="B405" s="38"/>
      <c r="C405" s="40"/>
      <c r="D405" s="40"/>
      <c r="E405" s="40"/>
      <c r="F405" s="40"/>
      <c r="G405" s="40"/>
      <c r="H405" s="40"/>
      <c r="I405" s="40"/>
      <c r="J405" s="40"/>
      <c r="K405" s="41"/>
    </row>
    <row r="406" spans="2:11" x14ac:dyDescent="0.2">
      <c r="B406" s="38"/>
      <c r="C406" s="40"/>
      <c r="D406" s="40"/>
      <c r="E406" s="40"/>
      <c r="F406" s="40"/>
      <c r="G406" s="40"/>
      <c r="H406" s="40"/>
      <c r="I406" s="40"/>
      <c r="J406" s="40"/>
      <c r="K406" s="41"/>
    </row>
    <row r="407" spans="2:11" ht="16" x14ac:dyDescent="0.2">
      <c r="B407" s="38"/>
      <c r="C407" s="45" t="s">
        <v>861</v>
      </c>
      <c r="D407" s="40"/>
      <c r="E407" s="40"/>
      <c r="F407" s="40"/>
      <c r="G407" s="40"/>
      <c r="H407" s="40"/>
      <c r="I407" s="40"/>
      <c r="J407" s="40"/>
      <c r="K407" s="41"/>
    </row>
    <row r="408" spans="2:11" x14ac:dyDescent="0.2">
      <c r="B408" s="38"/>
      <c r="C408" s="40" t="s">
        <v>298</v>
      </c>
      <c r="D408" s="40"/>
      <c r="E408" s="40"/>
      <c r="F408" s="40"/>
      <c r="G408" s="40"/>
      <c r="H408" s="40"/>
      <c r="I408" s="40"/>
      <c r="J408" s="269">
        <v>0</v>
      </c>
      <c r="K408" s="41"/>
    </row>
    <row r="409" spans="2:11" x14ac:dyDescent="0.2">
      <c r="B409" s="38"/>
      <c r="C409" s="40" t="s">
        <v>260</v>
      </c>
      <c r="D409" s="40"/>
      <c r="E409" s="40"/>
      <c r="F409" s="40"/>
      <c r="G409" s="40"/>
      <c r="H409" s="40"/>
      <c r="I409" s="40"/>
      <c r="J409" s="253">
        <f>IF(J408&lt;=0,0,IF(J408&lt;=(J161*0.01),1,IF(J408&lt;=(J161*0.05),2,IF(J408&lt;=(J161*0.1),3,4))))</f>
        <v>0</v>
      </c>
      <c r="K409" s="41"/>
    </row>
    <row r="410" spans="2:11" ht="9.75" customHeight="1" x14ac:dyDescent="0.2">
      <c r="B410" s="38"/>
      <c r="C410" s="279" t="str">
        <f>"0:"</f>
        <v>0:</v>
      </c>
      <c r="D410" s="278" t="s">
        <v>939</v>
      </c>
      <c r="E410" s="40"/>
      <c r="F410" s="40"/>
      <c r="G410" s="40"/>
      <c r="H410" s="40"/>
      <c r="I410" s="40"/>
      <c r="J410" s="282"/>
      <c r="K410" s="41"/>
    </row>
    <row r="411" spans="2:11" ht="9.75" customHeight="1" x14ac:dyDescent="0.2">
      <c r="B411" s="38"/>
      <c r="C411" s="280" t="str">
        <f>"1:"</f>
        <v>1:</v>
      </c>
      <c r="D411" s="278" t="s">
        <v>940</v>
      </c>
      <c r="E411" s="40"/>
      <c r="F411" s="40"/>
      <c r="G411" s="40"/>
      <c r="H411" s="40"/>
      <c r="I411" s="40"/>
      <c r="J411" s="282"/>
      <c r="K411" s="41"/>
    </row>
    <row r="412" spans="2:11" ht="9.75" customHeight="1" x14ac:dyDescent="0.2">
      <c r="B412" s="38"/>
      <c r="C412" s="280" t="str">
        <f>"2:"</f>
        <v>2:</v>
      </c>
      <c r="D412" s="278" t="s">
        <v>941</v>
      </c>
      <c r="E412" s="40"/>
      <c r="F412" s="40"/>
      <c r="G412" s="40"/>
      <c r="H412" s="40"/>
      <c r="I412" s="40"/>
      <c r="J412" s="282"/>
      <c r="K412" s="41"/>
    </row>
    <row r="413" spans="2:11" ht="9.75" customHeight="1" x14ac:dyDescent="0.2">
      <c r="B413" s="38"/>
      <c r="C413" s="280" t="str">
        <f>"3:"</f>
        <v>3:</v>
      </c>
      <c r="D413" s="278" t="s">
        <v>942</v>
      </c>
      <c r="E413" s="40"/>
      <c r="F413" s="40"/>
      <c r="G413" s="40"/>
      <c r="H413" s="40"/>
      <c r="I413" s="40"/>
      <c r="J413" s="282"/>
      <c r="K413" s="41"/>
    </row>
    <row r="414" spans="2:11" ht="9.75" customHeight="1" x14ac:dyDescent="0.2">
      <c r="B414" s="38"/>
      <c r="C414" s="280" t="str">
        <f>"4:"</f>
        <v>4:</v>
      </c>
      <c r="D414" s="278" t="s">
        <v>943</v>
      </c>
      <c r="E414" s="40"/>
      <c r="F414" s="40"/>
      <c r="G414" s="40"/>
      <c r="H414" s="40"/>
      <c r="I414" s="40"/>
      <c r="J414" s="40"/>
      <c r="K414" s="41"/>
    </row>
    <row r="415" spans="2:11" x14ac:dyDescent="0.2">
      <c r="B415" s="38"/>
      <c r="C415" s="40" t="s">
        <v>893</v>
      </c>
      <c r="D415" s="40"/>
      <c r="E415" s="40"/>
      <c r="F415" s="40"/>
      <c r="G415" s="40"/>
      <c r="H415" s="40"/>
      <c r="I415" s="40"/>
      <c r="J415" s="40"/>
      <c r="K415" s="41"/>
    </row>
    <row r="416" spans="2:11" ht="30" customHeight="1" x14ac:dyDescent="0.2">
      <c r="B416" s="38"/>
      <c r="C416" s="399"/>
      <c r="D416" s="400"/>
      <c r="E416" s="400"/>
      <c r="F416" s="400"/>
      <c r="G416" s="400"/>
      <c r="H416" s="400"/>
      <c r="I416" s="400"/>
      <c r="J416" s="401"/>
      <c r="K416" s="41"/>
    </row>
    <row r="417" spans="2:11" x14ac:dyDescent="0.2">
      <c r="B417" s="38"/>
      <c r="C417" s="40"/>
      <c r="D417" s="40"/>
      <c r="E417" s="40"/>
      <c r="F417" s="40"/>
      <c r="G417" s="40"/>
      <c r="H417" s="40"/>
      <c r="I417" s="40"/>
      <c r="J417" s="40"/>
      <c r="K417" s="41"/>
    </row>
    <row r="418" spans="2:11" x14ac:dyDescent="0.2">
      <c r="B418" s="38"/>
      <c r="C418" s="179" t="s">
        <v>891</v>
      </c>
      <c r="D418" s="40"/>
      <c r="E418" s="40"/>
      <c r="F418" s="40"/>
      <c r="G418" s="40"/>
      <c r="H418" s="40"/>
      <c r="I418" s="40"/>
      <c r="J418" s="245">
        <f>J409</f>
        <v>0</v>
      </c>
      <c r="K418" s="41"/>
    </row>
    <row r="419" spans="2:11" x14ac:dyDescent="0.2">
      <c r="B419" s="38"/>
      <c r="C419" s="179"/>
      <c r="D419" s="40"/>
      <c r="E419" s="40"/>
      <c r="F419" s="40"/>
      <c r="G419" s="40"/>
      <c r="H419" s="40"/>
      <c r="I419" s="40"/>
      <c r="J419" s="245"/>
      <c r="K419" s="41"/>
    </row>
    <row r="420" spans="2:11" x14ac:dyDescent="0.2">
      <c r="B420" s="38"/>
      <c r="C420" s="410" t="s">
        <v>881</v>
      </c>
      <c r="D420" s="410"/>
      <c r="E420" s="410"/>
      <c r="F420" s="410"/>
      <c r="G420" s="410"/>
      <c r="H420" s="410"/>
      <c r="I420" s="410"/>
      <c r="J420" s="40"/>
      <c r="K420" s="41"/>
    </row>
    <row r="421" spans="2:11" x14ac:dyDescent="0.2">
      <c r="B421" s="38"/>
      <c r="C421" s="410"/>
      <c r="D421" s="410"/>
      <c r="E421" s="410"/>
      <c r="F421" s="410"/>
      <c r="G421" s="410"/>
      <c r="H421" s="410"/>
      <c r="I421" s="410"/>
      <c r="J421" s="244">
        <f>IF(OR(J288="Not Calculated",J307="Not Calculated",J326="Not Calculated",J349="Not Calculated",J367="Not Calculated",J387="Not Calculated",J404="Not Calculated",J418="Not Calculated")=TRUE,"Not Calculated",AVERAGE(J288,J307,J326,J349,J367,J387,J404,J418))</f>
        <v>1.625</v>
      </c>
      <c r="K421" s="41"/>
    </row>
    <row r="422" spans="2:11" ht="16" thickBot="1" x14ac:dyDescent="0.25">
      <c r="B422" s="46"/>
      <c r="C422" s="47"/>
      <c r="D422" s="47"/>
      <c r="E422" s="47"/>
      <c r="F422" s="47"/>
      <c r="G422" s="47"/>
      <c r="H422" s="47"/>
      <c r="I422" s="47"/>
      <c r="J422" s="47"/>
      <c r="K422" s="49"/>
    </row>
    <row r="423" spans="2:11" ht="16" thickBot="1" x14ac:dyDescent="0.25"/>
    <row r="424" spans="2:11" x14ac:dyDescent="0.2">
      <c r="B424" s="33"/>
      <c r="C424" s="34"/>
      <c r="D424" s="34"/>
      <c r="E424" s="34"/>
      <c r="F424" s="34"/>
      <c r="G424" s="34"/>
      <c r="H424" s="34"/>
      <c r="I424" s="34"/>
      <c r="J424" s="34"/>
      <c r="K424" s="37"/>
    </row>
    <row r="425" spans="2:11" ht="21" x14ac:dyDescent="0.25">
      <c r="B425" s="38"/>
      <c r="C425" s="40"/>
      <c r="D425" s="40"/>
      <c r="E425" s="40"/>
      <c r="F425" s="40"/>
      <c r="G425" s="172" t="s">
        <v>230</v>
      </c>
      <c r="H425" s="40"/>
      <c r="I425" s="40"/>
      <c r="J425" s="40"/>
      <c r="K425" s="41"/>
    </row>
    <row r="426" spans="2:11" x14ac:dyDescent="0.2">
      <c r="B426" s="38"/>
      <c r="C426" s="40"/>
      <c r="D426" s="40"/>
      <c r="E426" s="40"/>
      <c r="F426" s="40"/>
      <c r="G426" s="40"/>
      <c r="H426" s="40"/>
      <c r="I426" s="40"/>
      <c r="J426" s="40"/>
      <c r="K426" s="41"/>
    </row>
    <row r="427" spans="2:11" ht="16" x14ac:dyDescent="0.2">
      <c r="B427" s="38"/>
      <c r="C427" s="45" t="s">
        <v>299</v>
      </c>
      <c r="D427" s="40"/>
      <c r="E427" s="40"/>
      <c r="F427" s="40"/>
      <c r="G427" s="40"/>
      <c r="H427" s="40"/>
      <c r="I427" s="40"/>
      <c r="J427" s="40"/>
      <c r="K427" s="41"/>
    </row>
    <row r="428" spans="2:11" x14ac:dyDescent="0.2">
      <c r="B428" s="38"/>
      <c r="C428" s="40" t="s">
        <v>300</v>
      </c>
      <c r="D428" s="40"/>
      <c r="E428" s="40"/>
      <c r="F428" s="40"/>
      <c r="G428" s="40"/>
      <c r="H428" s="40"/>
      <c r="I428" s="40"/>
      <c r="J428" s="270">
        <v>0</v>
      </c>
      <c r="K428" s="41"/>
    </row>
    <row r="429" spans="2:11" x14ac:dyDescent="0.2">
      <c r="B429" s="38"/>
      <c r="C429" s="40" t="s">
        <v>260</v>
      </c>
      <c r="D429" s="40"/>
      <c r="E429" s="40"/>
      <c r="F429" s="40"/>
      <c r="G429" s="40"/>
      <c r="H429" s="40"/>
      <c r="I429" s="40"/>
      <c r="J429" s="248">
        <f>IF(J428&lt;=0,0,IF(J428&lt;=1,1,IF(J428&lt;=5,2,IF(J428&lt;=10,3,4))))</f>
        <v>0</v>
      </c>
      <c r="K429" s="41"/>
    </row>
    <row r="430" spans="2:11" s="98" customFormat="1" ht="9.75" customHeight="1" x14ac:dyDescent="0.2">
      <c r="B430" s="288"/>
      <c r="C430" s="279" t="str">
        <f>"0:"</f>
        <v>0:</v>
      </c>
      <c r="D430" s="290" t="s">
        <v>944</v>
      </c>
      <c r="E430" s="245"/>
      <c r="F430" s="245"/>
      <c r="G430" s="245"/>
      <c r="H430" s="245"/>
      <c r="I430" s="245"/>
      <c r="J430" s="245"/>
      <c r="K430" s="289"/>
    </row>
    <row r="431" spans="2:11" s="98" customFormat="1" ht="9.75" customHeight="1" x14ac:dyDescent="0.2">
      <c r="B431" s="288"/>
      <c r="C431" s="280" t="str">
        <f>"1:"</f>
        <v>1:</v>
      </c>
      <c r="D431" s="290" t="s">
        <v>945</v>
      </c>
      <c r="E431" s="245"/>
      <c r="F431" s="245"/>
      <c r="G431" s="245"/>
      <c r="H431" s="245"/>
      <c r="I431" s="245"/>
      <c r="J431" s="245"/>
      <c r="K431" s="289"/>
    </row>
    <row r="432" spans="2:11" s="98" customFormat="1" ht="9.75" customHeight="1" x14ac:dyDescent="0.2">
      <c r="B432" s="288"/>
      <c r="C432" s="280" t="str">
        <f>"2:"</f>
        <v>2:</v>
      </c>
      <c r="D432" s="290" t="s">
        <v>946</v>
      </c>
      <c r="E432" s="245"/>
      <c r="F432" s="245"/>
      <c r="G432" s="245"/>
      <c r="H432" s="245"/>
      <c r="I432" s="245"/>
      <c r="J432" s="245"/>
      <c r="K432" s="289"/>
    </row>
    <row r="433" spans="2:11" s="98" customFormat="1" ht="9.75" customHeight="1" x14ac:dyDescent="0.2">
      <c r="B433" s="288"/>
      <c r="C433" s="280" t="str">
        <f>"3:"</f>
        <v>3:</v>
      </c>
      <c r="D433" s="290" t="s">
        <v>947</v>
      </c>
      <c r="E433" s="245"/>
      <c r="F433" s="245"/>
      <c r="G433" s="245"/>
      <c r="H433" s="245"/>
      <c r="I433" s="245"/>
      <c r="J433" s="245"/>
      <c r="K433" s="289"/>
    </row>
    <row r="434" spans="2:11" s="98" customFormat="1" ht="9.75" customHeight="1" x14ac:dyDescent="0.2">
      <c r="B434" s="288"/>
      <c r="C434" s="280" t="str">
        <f>"4:"</f>
        <v>4:</v>
      </c>
      <c r="D434" s="290" t="s">
        <v>948</v>
      </c>
      <c r="E434" s="245"/>
      <c r="F434" s="245"/>
      <c r="G434" s="245"/>
      <c r="H434" s="245"/>
      <c r="I434" s="245"/>
      <c r="J434" s="247"/>
      <c r="K434" s="289"/>
    </row>
    <row r="435" spans="2:11" x14ac:dyDescent="0.2">
      <c r="B435" s="38"/>
      <c r="C435" s="40" t="s">
        <v>257</v>
      </c>
      <c r="D435" s="40"/>
      <c r="E435" s="40"/>
      <c r="F435" s="40"/>
      <c r="G435" s="40"/>
      <c r="H435" s="40"/>
      <c r="I435" s="40"/>
      <c r="J435" s="266" t="s">
        <v>870</v>
      </c>
      <c r="K435" s="41"/>
    </row>
    <row r="436" spans="2:11" x14ac:dyDescent="0.2">
      <c r="B436" s="38"/>
      <c r="C436" s="40" t="s">
        <v>261</v>
      </c>
      <c r="D436" s="40"/>
      <c r="E436" s="40"/>
      <c r="F436" s="40"/>
      <c r="G436" s="40"/>
      <c r="H436" s="40"/>
      <c r="I436" s="40"/>
      <c r="J436" s="248">
        <f>IF(J435=$B$973,$A$973,IF(J435=$B$974,$A$974,IF(J435=$B$975,$A$975,IF(J435=$B$976,$A$976,IF(J435=$B$977,$A$977,"Not Calculated")))))</f>
        <v>0</v>
      </c>
      <c r="K436" s="41"/>
    </row>
    <row r="437" spans="2:11" x14ac:dyDescent="0.2">
      <c r="B437" s="38"/>
      <c r="C437" s="40" t="s">
        <v>893</v>
      </c>
      <c r="D437" s="40"/>
      <c r="E437" s="40"/>
      <c r="F437" s="40"/>
      <c r="G437" s="40"/>
      <c r="H437" s="40"/>
      <c r="I437" s="40"/>
      <c r="J437" s="40"/>
      <c r="K437" s="41"/>
    </row>
    <row r="438" spans="2:11" ht="30" customHeight="1" x14ac:dyDescent="0.2">
      <c r="B438" s="38"/>
      <c r="C438" s="399"/>
      <c r="D438" s="400"/>
      <c r="E438" s="400"/>
      <c r="F438" s="400"/>
      <c r="G438" s="400"/>
      <c r="H438" s="400"/>
      <c r="I438" s="400"/>
      <c r="J438" s="401"/>
      <c r="K438" s="41"/>
    </row>
    <row r="439" spans="2:11" x14ac:dyDescent="0.2">
      <c r="B439" s="38"/>
      <c r="C439" s="40"/>
      <c r="D439" s="40"/>
      <c r="E439" s="40"/>
      <c r="F439" s="40"/>
      <c r="G439" s="40"/>
      <c r="H439" s="40"/>
      <c r="I439" s="40"/>
      <c r="J439" s="40"/>
      <c r="K439" s="41"/>
    </row>
    <row r="440" spans="2:11" x14ac:dyDescent="0.2">
      <c r="B440" s="38"/>
      <c r="C440" s="179" t="s">
        <v>301</v>
      </c>
      <c r="D440" s="40"/>
      <c r="E440" s="40"/>
      <c r="F440" s="40"/>
      <c r="G440" s="40"/>
      <c r="H440" s="40"/>
      <c r="I440" s="40"/>
      <c r="J440" s="245">
        <f>IF(OR(J429="Not Calculated",J436="Not Calculated")=TRUE,"Not Calculated",AVERAGE(J429,J436))</f>
        <v>0</v>
      </c>
      <c r="K440" s="41"/>
    </row>
    <row r="441" spans="2:11" x14ac:dyDescent="0.2">
      <c r="B441" s="38"/>
      <c r="C441" s="40"/>
      <c r="D441" s="40"/>
      <c r="E441" s="40"/>
      <c r="F441" s="40"/>
      <c r="G441" s="40"/>
      <c r="H441" s="40"/>
      <c r="I441" s="40"/>
      <c r="J441" s="40"/>
      <c r="K441" s="41"/>
    </row>
    <row r="442" spans="2:11" x14ac:dyDescent="0.2">
      <c r="B442" s="38"/>
      <c r="C442" s="40"/>
      <c r="D442" s="40"/>
      <c r="E442" s="40"/>
      <c r="F442" s="40"/>
      <c r="G442" s="40"/>
      <c r="H442" s="40"/>
      <c r="I442" s="40"/>
      <c r="J442" s="40"/>
      <c r="K442" s="41"/>
    </row>
    <row r="443" spans="2:11" ht="16" x14ac:dyDescent="0.2">
      <c r="B443" s="38"/>
      <c r="C443" s="45" t="s">
        <v>303</v>
      </c>
      <c r="D443" s="40"/>
      <c r="E443" s="40"/>
      <c r="F443" s="40"/>
      <c r="G443" s="40"/>
      <c r="H443" s="40"/>
      <c r="I443" s="40"/>
      <c r="J443" s="40"/>
      <c r="K443" s="41"/>
    </row>
    <row r="444" spans="2:11" ht="15" customHeight="1" x14ac:dyDescent="0.2">
      <c r="B444" s="38"/>
      <c r="C444" s="380" t="s">
        <v>305</v>
      </c>
      <c r="D444" s="380"/>
      <c r="E444" s="380"/>
      <c r="F444" s="380"/>
      <c r="G444" s="380"/>
      <c r="H444" s="380"/>
      <c r="I444" s="380"/>
      <c r="J444" s="40"/>
      <c r="K444" s="41"/>
    </row>
    <row r="445" spans="2:11" x14ac:dyDescent="0.2">
      <c r="B445" s="38"/>
      <c r="C445" s="380"/>
      <c r="D445" s="380"/>
      <c r="E445" s="380"/>
      <c r="F445" s="380"/>
      <c r="G445" s="380"/>
      <c r="H445" s="380"/>
      <c r="I445" s="380"/>
      <c r="J445" s="270">
        <v>0</v>
      </c>
      <c r="K445" s="41"/>
    </row>
    <row r="446" spans="2:11" x14ac:dyDescent="0.2">
      <c r="B446" s="38"/>
      <c r="C446" s="40" t="s">
        <v>260</v>
      </c>
      <c r="D446" s="40"/>
      <c r="E446" s="40"/>
      <c r="F446" s="40"/>
      <c r="G446" s="40"/>
      <c r="H446" s="40"/>
      <c r="I446" s="40"/>
      <c r="J446" s="248">
        <f>IF(J445&lt;=0,0,IF(J445&lt;=1,1,IF(J445&lt;=5,2,IF(J445&lt;=10,3,4))))</f>
        <v>0</v>
      </c>
      <c r="K446" s="41"/>
    </row>
    <row r="447" spans="2:11" ht="9.75" customHeight="1" x14ac:dyDescent="0.2">
      <c r="B447" s="38"/>
      <c r="C447" s="279" t="str">
        <f>"0:"</f>
        <v>0:</v>
      </c>
      <c r="D447" s="278" t="s">
        <v>944</v>
      </c>
      <c r="E447" s="40"/>
      <c r="F447" s="40"/>
      <c r="G447" s="40"/>
      <c r="H447" s="40"/>
      <c r="I447" s="40"/>
      <c r="J447" s="245"/>
      <c r="K447" s="41"/>
    </row>
    <row r="448" spans="2:11" ht="9.75" customHeight="1" x14ac:dyDescent="0.2">
      <c r="B448" s="38"/>
      <c r="C448" s="280" t="str">
        <f>"1:"</f>
        <v>1:</v>
      </c>
      <c r="D448" s="278" t="s">
        <v>945</v>
      </c>
      <c r="E448" s="40"/>
      <c r="F448" s="40"/>
      <c r="G448" s="40"/>
      <c r="H448" s="40"/>
      <c r="I448" s="40"/>
      <c r="J448" s="245"/>
      <c r="K448" s="41"/>
    </row>
    <row r="449" spans="2:11" ht="9.75" customHeight="1" x14ac:dyDescent="0.2">
      <c r="B449" s="38"/>
      <c r="C449" s="280" t="str">
        <f>"2:"</f>
        <v>2:</v>
      </c>
      <c r="D449" s="278" t="s">
        <v>946</v>
      </c>
      <c r="E449" s="40"/>
      <c r="F449" s="40"/>
      <c r="G449" s="40"/>
      <c r="H449" s="40"/>
      <c r="I449" s="40"/>
      <c r="J449" s="245"/>
      <c r="K449" s="41"/>
    </row>
    <row r="450" spans="2:11" ht="9.75" customHeight="1" x14ac:dyDescent="0.2">
      <c r="B450" s="38"/>
      <c r="C450" s="280" t="str">
        <f>"3:"</f>
        <v>3:</v>
      </c>
      <c r="D450" s="278" t="s">
        <v>947</v>
      </c>
      <c r="E450" s="40"/>
      <c r="F450" s="40"/>
      <c r="G450" s="40"/>
      <c r="H450" s="40"/>
      <c r="I450" s="40"/>
      <c r="J450" s="245"/>
      <c r="K450" s="41"/>
    </row>
    <row r="451" spans="2:11" ht="9.75" customHeight="1" x14ac:dyDescent="0.2">
      <c r="B451" s="38"/>
      <c r="C451" s="280" t="str">
        <f>"4:"</f>
        <v>4:</v>
      </c>
      <c r="D451" s="278" t="s">
        <v>948</v>
      </c>
      <c r="E451" s="40"/>
      <c r="F451" s="40"/>
      <c r="G451" s="40"/>
      <c r="H451" s="40"/>
      <c r="I451" s="40"/>
      <c r="J451" s="247"/>
      <c r="K451" s="41"/>
    </row>
    <row r="452" spans="2:11" x14ac:dyDescent="0.2">
      <c r="B452" s="38"/>
      <c r="C452" s="40" t="s">
        <v>257</v>
      </c>
      <c r="D452" s="40"/>
      <c r="E452" s="40"/>
      <c r="F452" s="40"/>
      <c r="G452" s="40"/>
      <c r="H452" s="40"/>
      <c r="I452" s="40"/>
      <c r="J452" s="266" t="s">
        <v>870</v>
      </c>
      <c r="K452" s="41"/>
    </row>
    <row r="453" spans="2:11" x14ac:dyDescent="0.2">
      <c r="B453" s="38"/>
      <c r="C453" s="40" t="s">
        <v>261</v>
      </c>
      <c r="D453" s="40"/>
      <c r="E453" s="40"/>
      <c r="F453" s="40"/>
      <c r="G453" s="40"/>
      <c r="H453" s="40"/>
      <c r="I453" s="40"/>
      <c r="J453" s="248">
        <f>IF(J452=$B$973,$A$973,IF(J452=$B$974,$A$974,IF(J452=$B$975,$A$975,IF(J452=$B$976,$A$976,IF(J452=$B$977,$A$977,"Not Calculated")))))</f>
        <v>0</v>
      </c>
      <c r="K453" s="41"/>
    </row>
    <row r="454" spans="2:11" x14ac:dyDescent="0.2">
      <c r="B454" s="38"/>
      <c r="C454" s="40" t="s">
        <v>893</v>
      </c>
      <c r="D454" s="40"/>
      <c r="E454" s="40"/>
      <c r="F454" s="40"/>
      <c r="G454" s="40"/>
      <c r="H454" s="40"/>
      <c r="I454" s="40"/>
      <c r="J454" s="40"/>
      <c r="K454" s="41"/>
    </row>
    <row r="455" spans="2:11" ht="30" customHeight="1" x14ac:dyDescent="0.2">
      <c r="B455" s="38"/>
      <c r="C455" s="399"/>
      <c r="D455" s="400"/>
      <c r="E455" s="400"/>
      <c r="F455" s="400"/>
      <c r="G455" s="400"/>
      <c r="H455" s="400"/>
      <c r="I455" s="400"/>
      <c r="J455" s="401"/>
      <c r="K455" s="41"/>
    </row>
    <row r="456" spans="2:11" x14ac:dyDescent="0.2">
      <c r="B456" s="38"/>
      <c r="C456" s="40"/>
      <c r="D456" s="40"/>
      <c r="E456" s="40"/>
      <c r="F456" s="40"/>
      <c r="G456" s="40"/>
      <c r="H456" s="40"/>
      <c r="I456" s="40"/>
      <c r="J456" s="40"/>
      <c r="K456" s="41"/>
    </row>
    <row r="457" spans="2:11" x14ac:dyDescent="0.2">
      <c r="B457" s="38"/>
      <c r="C457" s="179" t="s">
        <v>304</v>
      </c>
      <c r="D457" s="40"/>
      <c r="E457" s="40"/>
      <c r="F457" s="40"/>
      <c r="G457" s="40"/>
      <c r="H457" s="40"/>
      <c r="I457" s="40"/>
      <c r="J457" s="245">
        <f>IF(OR(J446="Not Calculated",J453="Not Calculated")=TRUE,"Not Calculated",AVERAGE(J446,J453))</f>
        <v>0</v>
      </c>
      <c r="K457" s="41"/>
    </row>
    <row r="458" spans="2:11" x14ac:dyDescent="0.2">
      <c r="B458" s="38"/>
      <c r="C458" s="40"/>
      <c r="D458" s="40"/>
      <c r="E458" s="40"/>
      <c r="F458" s="40"/>
      <c r="G458" s="40"/>
      <c r="H458" s="40"/>
      <c r="I458" s="40"/>
      <c r="J458" s="40"/>
      <c r="K458" s="41"/>
    </row>
    <row r="459" spans="2:11" x14ac:dyDescent="0.2">
      <c r="B459" s="38"/>
      <c r="C459" s="40"/>
      <c r="D459" s="40"/>
      <c r="E459" s="40"/>
      <c r="F459" s="40"/>
      <c r="G459" s="40"/>
      <c r="H459" s="40"/>
      <c r="I459" s="40"/>
      <c r="J459" s="40"/>
      <c r="K459" s="41"/>
    </row>
    <row r="460" spans="2:11" ht="16" x14ac:dyDescent="0.2">
      <c r="B460" s="38"/>
      <c r="C460" s="45" t="s">
        <v>306</v>
      </c>
      <c r="D460" s="40"/>
      <c r="E460" s="40"/>
      <c r="F460" s="40"/>
      <c r="G460" s="40"/>
      <c r="H460" s="40"/>
      <c r="I460" s="40"/>
      <c r="J460" s="40"/>
      <c r="K460" s="41"/>
    </row>
    <row r="461" spans="2:11" x14ac:dyDescent="0.2">
      <c r="B461" s="38"/>
      <c r="C461" s="40" t="s">
        <v>949</v>
      </c>
      <c r="D461" s="40"/>
      <c r="E461" s="40"/>
      <c r="F461" s="40"/>
      <c r="G461" s="40"/>
      <c r="H461" s="40"/>
      <c r="I461" s="40"/>
      <c r="J461" s="270">
        <v>0</v>
      </c>
      <c r="K461" s="41"/>
    </row>
    <row r="462" spans="2:11" x14ac:dyDescent="0.2">
      <c r="B462" s="38"/>
      <c r="C462" s="40" t="s">
        <v>260</v>
      </c>
      <c r="D462" s="40"/>
      <c r="E462" s="40"/>
      <c r="F462" s="40"/>
      <c r="G462" s="40"/>
      <c r="H462" s="40"/>
      <c r="I462" s="40"/>
      <c r="J462" s="248">
        <f>IF(J461&lt;=0,0,IF(J461&lt;=1,1,IF(J461&lt;=5,2,IF(J461&lt;=10,3,4))))</f>
        <v>0</v>
      </c>
      <c r="K462" s="41"/>
    </row>
    <row r="463" spans="2:11" ht="9.75" customHeight="1" x14ac:dyDescent="0.2">
      <c r="B463" s="38"/>
      <c r="C463" s="279" t="str">
        <f>"0:"</f>
        <v>0:</v>
      </c>
      <c r="D463" s="290" t="s">
        <v>944</v>
      </c>
      <c r="E463" s="40"/>
      <c r="F463" s="40"/>
      <c r="G463" s="40"/>
      <c r="H463" s="40"/>
      <c r="I463" s="40"/>
      <c r="J463" s="245"/>
      <c r="K463" s="41"/>
    </row>
    <row r="464" spans="2:11" ht="9.75" customHeight="1" x14ac:dyDescent="0.2">
      <c r="B464" s="38"/>
      <c r="C464" s="280" t="str">
        <f>"1:"</f>
        <v>1:</v>
      </c>
      <c r="D464" s="290" t="s">
        <v>945</v>
      </c>
      <c r="E464" s="40"/>
      <c r="F464" s="40"/>
      <c r="G464" s="40"/>
      <c r="H464" s="40"/>
      <c r="I464" s="40"/>
      <c r="J464" s="245"/>
      <c r="K464" s="41"/>
    </row>
    <row r="465" spans="2:11" ht="9.75" customHeight="1" x14ac:dyDescent="0.2">
      <c r="B465" s="38"/>
      <c r="C465" s="280" t="str">
        <f>"2:"</f>
        <v>2:</v>
      </c>
      <c r="D465" s="290" t="s">
        <v>946</v>
      </c>
      <c r="E465" s="40"/>
      <c r="F465" s="40"/>
      <c r="G465" s="40"/>
      <c r="H465" s="40"/>
      <c r="I465" s="40"/>
      <c r="J465" s="245"/>
      <c r="K465" s="41"/>
    </row>
    <row r="466" spans="2:11" ht="9.75" customHeight="1" x14ac:dyDescent="0.2">
      <c r="B466" s="38"/>
      <c r="C466" s="280" t="str">
        <f>"3:"</f>
        <v>3:</v>
      </c>
      <c r="D466" s="290" t="s">
        <v>947</v>
      </c>
      <c r="E466" s="40"/>
      <c r="F466" s="40"/>
      <c r="G466" s="40"/>
      <c r="H466" s="40"/>
      <c r="I466" s="40"/>
      <c r="J466" s="245"/>
      <c r="K466" s="41"/>
    </row>
    <row r="467" spans="2:11" ht="9.75" customHeight="1" x14ac:dyDescent="0.2">
      <c r="B467" s="38"/>
      <c r="C467" s="280" t="str">
        <f>"4:"</f>
        <v>4:</v>
      </c>
      <c r="D467" s="290" t="s">
        <v>948</v>
      </c>
      <c r="E467" s="40"/>
      <c r="F467" s="40"/>
      <c r="G467" s="40"/>
      <c r="H467" s="40"/>
      <c r="I467" s="40"/>
      <c r="J467" s="247"/>
      <c r="K467" s="41"/>
    </row>
    <row r="468" spans="2:11" x14ac:dyDescent="0.2">
      <c r="B468" s="38"/>
      <c r="C468" s="40" t="s">
        <v>257</v>
      </c>
      <c r="D468" s="40"/>
      <c r="E468" s="40"/>
      <c r="F468" s="40"/>
      <c r="G468" s="40"/>
      <c r="H468" s="40"/>
      <c r="I468" s="40"/>
      <c r="J468" s="266" t="s">
        <v>882</v>
      </c>
      <c r="K468" s="41"/>
    </row>
    <row r="469" spans="2:11" ht="15" customHeight="1" x14ac:dyDescent="0.2">
      <c r="B469" s="38"/>
      <c r="C469" s="40" t="s">
        <v>261</v>
      </c>
      <c r="D469" s="40"/>
      <c r="E469" s="40"/>
      <c r="F469" s="40"/>
      <c r="G469" s="40"/>
      <c r="H469" s="40"/>
      <c r="I469" s="40"/>
      <c r="J469" s="248">
        <f>IF(J468=$B$973,$A$973,IF(J468=$B$974,$A$974,IF(J468=$B$975,$A$975,IF(J468=$B$976,$A$976,IF(J468=$B$977,$A$977,"Not Calculated")))))</f>
        <v>1</v>
      </c>
      <c r="K469" s="41"/>
    </row>
    <row r="470" spans="2:11" x14ac:dyDescent="0.2">
      <c r="B470" s="38"/>
      <c r="C470" s="40" t="s">
        <v>893</v>
      </c>
      <c r="D470" s="40"/>
      <c r="E470" s="40"/>
      <c r="F470" s="40"/>
      <c r="G470" s="40"/>
      <c r="H470" s="40"/>
      <c r="I470" s="40"/>
      <c r="J470" s="40"/>
      <c r="K470" s="41"/>
    </row>
    <row r="471" spans="2:11" ht="30" customHeight="1" x14ac:dyDescent="0.2">
      <c r="B471" s="38"/>
      <c r="C471" s="399" t="s">
        <v>1201</v>
      </c>
      <c r="D471" s="400"/>
      <c r="E471" s="400"/>
      <c r="F471" s="400"/>
      <c r="G471" s="400"/>
      <c r="H471" s="400"/>
      <c r="I471" s="400"/>
      <c r="J471" s="401"/>
      <c r="K471" s="41"/>
    </row>
    <row r="472" spans="2:11" x14ac:dyDescent="0.2">
      <c r="B472" s="38"/>
      <c r="C472" s="40"/>
      <c r="D472" s="40"/>
      <c r="E472" s="40"/>
      <c r="F472" s="40"/>
      <c r="G472" s="40"/>
      <c r="H472" s="40"/>
      <c r="I472" s="40"/>
      <c r="J472" s="40"/>
      <c r="K472" s="41"/>
    </row>
    <row r="473" spans="2:11" x14ac:dyDescent="0.2">
      <c r="B473" s="38"/>
      <c r="C473" s="179" t="s">
        <v>307</v>
      </c>
      <c r="D473" s="40"/>
      <c r="E473" s="40"/>
      <c r="F473" s="40"/>
      <c r="G473" s="40"/>
      <c r="H473" s="40"/>
      <c r="I473" s="40"/>
      <c r="J473" s="245">
        <f>IF(OR(J462="Not Calculated",J469="Not Calculated")=TRUE,"Not Calculated",AVERAGE(J462,J469))</f>
        <v>0.5</v>
      </c>
      <c r="K473" s="41"/>
    </row>
    <row r="474" spans="2:11" x14ac:dyDescent="0.2">
      <c r="B474" s="38"/>
      <c r="C474" s="40"/>
      <c r="D474" s="40"/>
      <c r="E474" s="40"/>
      <c r="F474" s="40"/>
      <c r="G474" s="40"/>
      <c r="H474" s="40"/>
      <c r="I474" s="40"/>
      <c r="J474" s="40"/>
      <c r="K474" s="41"/>
    </row>
    <row r="475" spans="2:11" x14ac:dyDescent="0.2">
      <c r="B475" s="38"/>
      <c r="C475" s="40"/>
      <c r="D475" s="40"/>
      <c r="E475" s="40"/>
      <c r="F475" s="40"/>
      <c r="G475" s="40"/>
      <c r="H475" s="40"/>
      <c r="I475" s="40"/>
      <c r="J475" s="40"/>
      <c r="K475" s="41"/>
    </row>
    <row r="476" spans="2:11" ht="16" x14ac:dyDescent="0.2">
      <c r="B476" s="38"/>
      <c r="C476" s="45" t="s">
        <v>308</v>
      </c>
      <c r="D476" s="40"/>
      <c r="E476" s="40"/>
      <c r="F476" s="40"/>
      <c r="G476" s="40"/>
      <c r="H476" s="40"/>
      <c r="I476" s="40"/>
      <c r="J476" s="40"/>
      <c r="K476" s="41"/>
    </row>
    <row r="477" spans="2:11" ht="15" customHeight="1" x14ac:dyDescent="0.2">
      <c r="B477" s="38"/>
      <c r="C477" s="380" t="s">
        <v>310</v>
      </c>
      <c r="D477" s="380"/>
      <c r="E477" s="380"/>
      <c r="F477" s="380"/>
      <c r="G477" s="380"/>
      <c r="H477" s="380"/>
      <c r="I477" s="380"/>
      <c r="J477" s="40"/>
      <c r="K477" s="41"/>
    </row>
    <row r="478" spans="2:11" x14ac:dyDescent="0.2">
      <c r="B478" s="38"/>
      <c r="C478" s="380"/>
      <c r="D478" s="380"/>
      <c r="E478" s="380"/>
      <c r="F478" s="380"/>
      <c r="G478" s="380"/>
      <c r="H478" s="380"/>
      <c r="I478" s="380"/>
      <c r="J478" s="131">
        <v>6</v>
      </c>
      <c r="K478" s="41"/>
    </row>
    <row r="479" spans="2:11" x14ac:dyDescent="0.2">
      <c r="B479" s="38"/>
      <c r="C479" s="40" t="s">
        <v>261</v>
      </c>
      <c r="D479" s="40"/>
      <c r="E479" s="40"/>
      <c r="F479" s="40"/>
      <c r="G479" s="40"/>
      <c r="H479" s="40"/>
      <c r="I479" s="40"/>
      <c r="J479" s="248">
        <f>IF(J478&lt;=0,0,IF(J478&lt;=1,1,IF(J478&lt;=7,2,IF(J478&lt;=14,3,4))))</f>
        <v>2</v>
      </c>
      <c r="K479" s="41"/>
    </row>
    <row r="480" spans="2:11" s="51" customFormat="1" ht="9.75" customHeight="1" x14ac:dyDescent="0.2">
      <c r="B480" s="283"/>
      <c r="C480" s="279" t="str">
        <f>"0:"</f>
        <v>0:</v>
      </c>
      <c r="D480" s="284" t="s">
        <v>950</v>
      </c>
      <c r="E480" s="285"/>
      <c r="F480" s="285"/>
      <c r="G480" s="285"/>
      <c r="H480" s="285"/>
      <c r="I480" s="285"/>
      <c r="J480" s="43"/>
      <c r="K480" s="286"/>
    </row>
    <row r="481" spans="2:11" s="51" customFormat="1" ht="9.75" customHeight="1" x14ac:dyDescent="0.2">
      <c r="B481" s="283"/>
      <c r="C481" s="280" t="str">
        <f>"1:"</f>
        <v>1:</v>
      </c>
      <c r="D481" s="284" t="s">
        <v>951</v>
      </c>
      <c r="E481" s="285"/>
      <c r="F481" s="285"/>
      <c r="G481" s="285"/>
      <c r="H481" s="285"/>
      <c r="I481" s="285"/>
      <c r="J481" s="43"/>
      <c r="K481" s="286"/>
    </row>
    <row r="482" spans="2:11" s="51" customFormat="1" ht="9.75" customHeight="1" x14ac:dyDescent="0.2">
      <c r="B482" s="283"/>
      <c r="C482" s="280" t="str">
        <f>"2:"</f>
        <v>2:</v>
      </c>
      <c r="D482" s="284" t="s">
        <v>952</v>
      </c>
      <c r="E482" s="285"/>
      <c r="F482" s="285"/>
      <c r="G482" s="285"/>
      <c r="H482" s="285"/>
      <c r="I482" s="285"/>
      <c r="J482" s="43"/>
      <c r="K482" s="286"/>
    </row>
    <row r="483" spans="2:11" s="51" customFormat="1" ht="9.75" customHeight="1" x14ac:dyDescent="0.2">
      <c r="B483" s="283"/>
      <c r="C483" s="280" t="str">
        <f>"3:"</f>
        <v>3:</v>
      </c>
      <c r="D483" s="284" t="s">
        <v>953</v>
      </c>
      <c r="E483" s="285"/>
      <c r="F483" s="285"/>
      <c r="G483" s="285"/>
      <c r="H483" s="285"/>
      <c r="I483" s="285"/>
      <c r="J483" s="43"/>
      <c r="K483" s="286"/>
    </row>
    <row r="484" spans="2:11" s="51" customFormat="1" ht="9.75" customHeight="1" x14ac:dyDescent="0.2">
      <c r="B484" s="283"/>
      <c r="C484" s="280" t="str">
        <f>"4:"</f>
        <v>4:</v>
      </c>
      <c r="D484" s="284" t="s">
        <v>954</v>
      </c>
      <c r="E484" s="285"/>
      <c r="F484" s="285"/>
      <c r="G484" s="285"/>
      <c r="H484" s="285"/>
      <c r="I484" s="285"/>
      <c r="J484" s="43"/>
      <c r="K484" s="286"/>
    </row>
    <row r="485" spans="2:11" x14ac:dyDescent="0.2">
      <c r="B485" s="38"/>
      <c r="C485" s="40" t="s">
        <v>893</v>
      </c>
      <c r="D485" s="40"/>
      <c r="E485" s="40"/>
      <c r="F485" s="40"/>
      <c r="G485" s="40"/>
      <c r="H485" s="40"/>
      <c r="I485" s="40"/>
      <c r="J485" s="40"/>
      <c r="K485" s="41"/>
    </row>
    <row r="486" spans="2:11" ht="30" customHeight="1" x14ac:dyDescent="0.2">
      <c r="B486" s="38"/>
      <c r="C486" s="399" t="s">
        <v>1328</v>
      </c>
      <c r="D486" s="400"/>
      <c r="E486" s="400"/>
      <c r="F486" s="400"/>
      <c r="G486" s="400"/>
      <c r="H486" s="400"/>
      <c r="I486" s="400"/>
      <c r="J486" s="401"/>
      <c r="K486" s="41"/>
    </row>
    <row r="487" spans="2:11" x14ac:dyDescent="0.2">
      <c r="B487" s="38"/>
      <c r="C487" s="40"/>
      <c r="D487" s="40"/>
      <c r="E487" s="40"/>
      <c r="F487" s="40"/>
      <c r="G487" s="40"/>
      <c r="H487" s="40"/>
      <c r="I487" s="40"/>
      <c r="J487" s="40"/>
      <c r="K487" s="41"/>
    </row>
    <row r="488" spans="2:11" x14ac:dyDescent="0.2">
      <c r="B488" s="38"/>
      <c r="C488" s="179" t="s">
        <v>309</v>
      </c>
      <c r="D488" s="40"/>
      <c r="E488" s="40"/>
      <c r="F488" s="40"/>
      <c r="G488" s="40"/>
      <c r="H488" s="40"/>
      <c r="I488" s="40"/>
      <c r="J488" s="245">
        <f>J479</f>
        <v>2</v>
      </c>
      <c r="K488" s="41"/>
    </row>
    <row r="489" spans="2:11" x14ac:dyDescent="0.2">
      <c r="B489" s="38"/>
      <c r="C489" s="40"/>
      <c r="D489" s="40"/>
      <c r="E489" s="40"/>
      <c r="F489" s="40"/>
      <c r="G489" s="40"/>
      <c r="H489" s="40"/>
      <c r="I489" s="40"/>
      <c r="J489" s="40"/>
      <c r="K489" s="41"/>
    </row>
    <row r="490" spans="2:11" x14ac:dyDescent="0.2">
      <c r="B490" s="38"/>
      <c r="C490" s="40"/>
      <c r="D490" s="40"/>
      <c r="E490" s="40"/>
      <c r="F490" s="40"/>
      <c r="G490" s="40"/>
      <c r="H490" s="40"/>
      <c r="I490" s="40"/>
      <c r="J490" s="40"/>
      <c r="K490" s="41"/>
    </row>
    <row r="491" spans="2:11" ht="16" x14ac:dyDescent="0.2">
      <c r="B491" s="38"/>
      <c r="C491" s="45" t="s">
        <v>311</v>
      </c>
      <c r="D491" s="40"/>
      <c r="E491" s="40"/>
      <c r="F491" s="40"/>
      <c r="G491" s="40"/>
      <c r="H491" s="40"/>
      <c r="I491" s="40"/>
      <c r="J491" s="40"/>
      <c r="K491" s="41"/>
    </row>
    <row r="492" spans="2:11" x14ac:dyDescent="0.2">
      <c r="B492" s="38"/>
      <c r="C492" s="40" t="s">
        <v>312</v>
      </c>
      <c r="D492" s="40"/>
      <c r="E492" s="40"/>
      <c r="F492" s="40"/>
      <c r="G492" s="40"/>
      <c r="H492" s="40"/>
      <c r="I492" s="40"/>
      <c r="J492" s="270">
        <v>0.246</v>
      </c>
      <c r="K492" s="41"/>
    </row>
    <row r="493" spans="2:11" x14ac:dyDescent="0.2">
      <c r="B493" s="38"/>
      <c r="C493" s="40" t="s">
        <v>260</v>
      </c>
      <c r="D493" s="40"/>
      <c r="E493" s="40"/>
      <c r="F493" s="40"/>
      <c r="G493" s="40"/>
      <c r="H493" s="40"/>
      <c r="I493" s="40"/>
      <c r="J493" s="248">
        <f>IF(J492&lt;=0,0,IF(J492&lt;=1,1,IF(J492&lt;=5,2,IF(J492&lt;=10,3,4))))</f>
        <v>1</v>
      </c>
      <c r="K493" s="41"/>
    </row>
    <row r="494" spans="2:11" ht="9.75" customHeight="1" x14ac:dyDescent="0.2">
      <c r="B494" s="38"/>
      <c r="C494" s="279" t="str">
        <f>"0:"</f>
        <v>0:</v>
      </c>
      <c r="D494" s="290" t="s">
        <v>955</v>
      </c>
      <c r="E494" s="40"/>
      <c r="F494" s="40"/>
      <c r="G494" s="40"/>
      <c r="H494" s="40"/>
      <c r="I494" s="40"/>
      <c r="J494" s="245"/>
      <c r="K494" s="41"/>
    </row>
    <row r="495" spans="2:11" ht="9.75" customHeight="1" x14ac:dyDescent="0.2">
      <c r="B495" s="38"/>
      <c r="C495" s="280" t="str">
        <f>"1:"</f>
        <v>1:</v>
      </c>
      <c r="D495" s="290" t="s">
        <v>956</v>
      </c>
      <c r="E495" s="40"/>
      <c r="F495" s="40"/>
      <c r="G495" s="40"/>
      <c r="H495" s="40"/>
      <c r="I495" s="40"/>
      <c r="J495" s="245"/>
      <c r="K495" s="41"/>
    </row>
    <row r="496" spans="2:11" ht="9.75" customHeight="1" x14ac:dyDescent="0.2">
      <c r="B496" s="38"/>
      <c r="C496" s="280" t="str">
        <f>"2:"</f>
        <v>2:</v>
      </c>
      <c r="D496" s="290" t="s">
        <v>957</v>
      </c>
      <c r="E496" s="40"/>
      <c r="F496" s="40"/>
      <c r="G496" s="40"/>
      <c r="H496" s="40"/>
      <c r="I496" s="40"/>
      <c r="J496" s="245"/>
      <c r="K496" s="41"/>
    </row>
    <row r="497" spans="2:11" ht="9.75" customHeight="1" x14ac:dyDescent="0.2">
      <c r="B497" s="38"/>
      <c r="C497" s="280" t="str">
        <f>"3:"</f>
        <v>3:</v>
      </c>
      <c r="D497" s="290" t="s">
        <v>958</v>
      </c>
      <c r="E497" s="40"/>
      <c r="F497" s="40"/>
      <c r="G497" s="40"/>
      <c r="H497" s="40"/>
      <c r="I497" s="40"/>
      <c r="J497" s="245"/>
      <c r="K497" s="41"/>
    </row>
    <row r="498" spans="2:11" ht="9.75" customHeight="1" x14ac:dyDescent="0.2">
      <c r="B498" s="38"/>
      <c r="C498" s="280" t="str">
        <f>"4:"</f>
        <v>4:</v>
      </c>
      <c r="D498" s="290" t="s">
        <v>959</v>
      </c>
      <c r="E498" s="40"/>
      <c r="F498" s="40"/>
      <c r="G498" s="40"/>
      <c r="H498" s="40"/>
      <c r="I498" s="40"/>
      <c r="J498" s="247"/>
      <c r="K498" s="41"/>
    </row>
    <row r="499" spans="2:11" x14ac:dyDescent="0.2">
      <c r="B499" s="38"/>
      <c r="C499" s="40" t="s">
        <v>313</v>
      </c>
      <c r="D499" s="40"/>
      <c r="E499" s="40"/>
      <c r="F499" s="40"/>
      <c r="G499" s="40"/>
      <c r="H499" s="40"/>
      <c r="I499" s="40"/>
      <c r="J499" s="266" t="s">
        <v>874</v>
      </c>
      <c r="K499" s="41"/>
    </row>
    <row r="500" spans="2:11" x14ac:dyDescent="0.2">
      <c r="B500" s="38"/>
      <c r="C500" s="40" t="s">
        <v>261</v>
      </c>
      <c r="D500" s="40"/>
      <c r="E500" s="40"/>
      <c r="F500" s="40"/>
      <c r="G500" s="40"/>
      <c r="H500" s="40"/>
      <c r="I500" s="40"/>
      <c r="J500" s="248">
        <f>IF(J499=$B$973,$A$973,IF(J499=$B$974,$A$974,IF(J499=$B$975,$A$975,IF(J499=$B$976,$A$976,IF(J499=$B$977,$A$977,"Not Calculated")))))</f>
        <v>4</v>
      </c>
      <c r="K500" s="41"/>
    </row>
    <row r="501" spans="2:11" x14ac:dyDescent="0.2">
      <c r="B501" s="38"/>
      <c r="C501" s="40" t="s">
        <v>893</v>
      </c>
      <c r="D501" s="40"/>
      <c r="E501" s="40"/>
      <c r="F501" s="40"/>
      <c r="G501" s="40"/>
      <c r="H501" s="40"/>
      <c r="I501" s="40"/>
      <c r="J501" s="40"/>
      <c r="K501" s="41"/>
    </row>
    <row r="502" spans="2:11" ht="30" customHeight="1" x14ac:dyDescent="0.2">
      <c r="B502" s="38"/>
      <c r="C502" s="399" t="s">
        <v>1327</v>
      </c>
      <c r="D502" s="400"/>
      <c r="E502" s="400"/>
      <c r="F502" s="400"/>
      <c r="G502" s="400"/>
      <c r="H502" s="400"/>
      <c r="I502" s="400"/>
      <c r="J502" s="401"/>
      <c r="K502" s="41"/>
    </row>
    <row r="503" spans="2:11" x14ac:dyDescent="0.2">
      <c r="B503" s="38"/>
      <c r="C503" s="40"/>
      <c r="D503" s="40"/>
      <c r="E503" s="40"/>
      <c r="F503" s="40"/>
      <c r="G503" s="40"/>
      <c r="H503" s="40"/>
      <c r="I503" s="40"/>
      <c r="J503" s="40"/>
      <c r="K503" s="41"/>
    </row>
    <row r="504" spans="2:11" x14ac:dyDescent="0.2">
      <c r="B504" s="38"/>
      <c r="C504" s="179" t="s">
        <v>321</v>
      </c>
      <c r="D504" s="40"/>
      <c r="E504" s="40"/>
      <c r="F504" s="40"/>
      <c r="G504" s="40"/>
      <c r="H504" s="40"/>
      <c r="I504" s="40"/>
      <c r="J504" s="245">
        <f>IF(OR(J493="Not Calculated",J500="Not Calculated")=TRUE,"Not Calculated",AVERAGE(J493,J500))</f>
        <v>2.5</v>
      </c>
      <c r="K504" s="41"/>
    </row>
    <row r="505" spans="2:11" x14ac:dyDescent="0.2">
      <c r="B505" s="38"/>
      <c r="C505" s="40"/>
      <c r="D505" s="40"/>
      <c r="E505" s="40"/>
      <c r="F505" s="40"/>
      <c r="G505" s="40"/>
      <c r="H505" s="40"/>
      <c r="I505" s="40"/>
      <c r="J505" s="40"/>
      <c r="K505" s="41"/>
    </row>
    <row r="506" spans="2:11" x14ac:dyDescent="0.2">
      <c r="B506" s="38"/>
      <c r="C506" s="40"/>
      <c r="D506" s="40"/>
      <c r="E506" s="40"/>
      <c r="F506" s="40"/>
      <c r="G506" s="40"/>
      <c r="H506" s="40"/>
      <c r="I506" s="40"/>
      <c r="J506" s="40"/>
      <c r="K506" s="41"/>
    </row>
    <row r="507" spans="2:11" ht="16" x14ac:dyDescent="0.2">
      <c r="B507" s="38"/>
      <c r="C507" s="45" t="s">
        <v>314</v>
      </c>
      <c r="D507" s="40"/>
      <c r="E507" s="40"/>
      <c r="F507" s="40"/>
      <c r="G507" s="40"/>
      <c r="H507" s="40"/>
      <c r="I507" s="40"/>
      <c r="J507" s="40"/>
      <c r="K507" s="41"/>
    </row>
    <row r="508" spans="2:11" x14ac:dyDescent="0.2">
      <c r="B508" s="38"/>
      <c r="C508" s="40" t="s">
        <v>316</v>
      </c>
      <c r="D508" s="40"/>
      <c r="E508" s="40"/>
      <c r="F508" s="40"/>
      <c r="G508" s="40"/>
      <c r="H508" s="40"/>
      <c r="I508" s="40"/>
      <c r="J508" s="269">
        <v>0</v>
      </c>
      <c r="K508" s="41"/>
    </row>
    <row r="509" spans="2:11" x14ac:dyDescent="0.2">
      <c r="B509" s="38"/>
      <c r="C509" s="40" t="s">
        <v>260</v>
      </c>
      <c r="D509" s="40"/>
      <c r="E509" s="40"/>
      <c r="F509" s="40"/>
      <c r="G509" s="40"/>
      <c r="H509" s="40"/>
      <c r="I509" s="40"/>
      <c r="J509" s="248">
        <f>IF(J508&lt;=0,0,IF(J508&lt;=1000,1,IF(J508&lt;=5000,2,IF(J508&lt;=25000,3,4))))</f>
        <v>0</v>
      </c>
      <c r="K509" s="41"/>
    </row>
    <row r="510" spans="2:11" s="51" customFormat="1" ht="9.75" customHeight="1" x14ac:dyDescent="0.2">
      <c r="B510" s="283"/>
      <c r="C510" s="279" t="str">
        <f>"0:"</f>
        <v>0:</v>
      </c>
      <c r="D510" s="284" t="s">
        <v>960</v>
      </c>
      <c r="E510" s="285"/>
      <c r="F510" s="285"/>
      <c r="G510" s="285"/>
      <c r="H510" s="285"/>
      <c r="I510" s="285"/>
      <c r="J510" s="43"/>
      <c r="K510" s="286"/>
    </row>
    <row r="511" spans="2:11" s="51" customFormat="1" ht="9.75" customHeight="1" x14ac:dyDescent="0.2">
      <c r="B511" s="283"/>
      <c r="C511" s="280" t="str">
        <f>"1:"</f>
        <v>1:</v>
      </c>
      <c r="D511" s="284" t="s">
        <v>961</v>
      </c>
      <c r="E511" s="285"/>
      <c r="F511" s="285"/>
      <c r="G511" s="285"/>
      <c r="H511" s="285"/>
      <c r="I511" s="285"/>
      <c r="J511" s="43"/>
      <c r="K511" s="286"/>
    </row>
    <row r="512" spans="2:11" s="51" customFormat="1" ht="9.75" customHeight="1" x14ac:dyDescent="0.2">
      <c r="B512" s="283"/>
      <c r="C512" s="280" t="str">
        <f>"2:"</f>
        <v>2:</v>
      </c>
      <c r="D512" s="284" t="s">
        <v>962</v>
      </c>
      <c r="E512" s="285"/>
      <c r="F512" s="285"/>
      <c r="G512" s="285"/>
      <c r="H512" s="285"/>
      <c r="I512" s="285"/>
      <c r="J512" s="43"/>
      <c r="K512" s="286"/>
    </row>
    <row r="513" spans="2:11" s="51" customFormat="1" ht="9.75" customHeight="1" x14ac:dyDescent="0.2">
      <c r="B513" s="283"/>
      <c r="C513" s="280" t="str">
        <f>"3:"</f>
        <v>3:</v>
      </c>
      <c r="D513" s="284" t="s">
        <v>963</v>
      </c>
      <c r="E513" s="285"/>
      <c r="F513" s="285"/>
      <c r="G513" s="285"/>
      <c r="H513" s="285"/>
      <c r="I513" s="285"/>
      <c r="J513" s="43"/>
      <c r="K513" s="286"/>
    </row>
    <row r="514" spans="2:11" s="51" customFormat="1" ht="9.75" customHeight="1" x14ac:dyDescent="0.2">
      <c r="B514" s="283"/>
      <c r="C514" s="280" t="str">
        <f>"4:"</f>
        <v>4:</v>
      </c>
      <c r="D514" s="284" t="s">
        <v>964</v>
      </c>
      <c r="E514" s="285"/>
      <c r="F514" s="285"/>
      <c r="G514" s="285"/>
      <c r="H514" s="285"/>
      <c r="I514" s="285"/>
      <c r="J514" s="287"/>
      <c r="K514" s="286"/>
    </row>
    <row r="515" spans="2:11" x14ac:dyDescent="0.2">
      <c r="B515" s="38"/>
      <c r="C515" s="40" t="s">
        <v>315</v>
      </c>
      <c r="D515" s="40"/>
      <c r="E515" s="40"/>
      <c r="F515" s="40"/>
      <c r="G515" s="40"/>
      <c r="H515" s="40"/>
      <c r="I515" s="40"/>
      <c r="J515" s="266" t="s">
        <v>870</v>
      </c>
      <c r="K515" s="41"/>
    </row>
    <row r="516" spans="2:11" x14ac:dyDescent="0.2">
      <c r="B516" s="38"/>
      <c r="C516" s="40" t="s">
        <v>261</v>
      </c>
      <c r="D516" s="40"/>
      <c r="E516" s="40"/>
      <c r="F516" s="40"/>
      <c r="G516" s="40"/>
      <c r="H516" s="40"/>
      <c r="I516" s="40"/>
      <c r="J516" s="248">
        <f>IF(J515=$B$973,$A$973,IF(J515=$B$974,$A$974,IF(J515=$B$975,$A$975,IF(J515=$B$976,$A$976,IF(J515=$B$977,$A$977,"Not Calculated")))))</f>
        <v>0</v>
      </c>
      <c r="K516" s="41"/>
    </row>
    <row r="517" spans="2:11" x14ac:dyDescent="0.2">
      <c r="B517" s="38"/>
      <c r="C517" s="40" t="s">
        <v>893</v>
      </c>
      <c r="D517" s="40"/>
      <c r="E517" s="40"/>
      <c r="F517" s="40"/>
      <c r="G517" s="40"/>
      <c r="H517" s="40"/>
      <c r="I517" s="40"/>
      <c r="J517" s="40"/>
      <c r="K517" s="41"/>
    </row>
    <row r="518" spans="2:11" ht="30" customHeight="1" x14ac:dyDescent="0.2">
      <c r="B518" s="38"/>
      <c r="C518" s="399"/>
      <c r="D518" s="400"/>
      <c r="E518" s="400"/>
      <c r="F518" s="400"/>
      <c r="G518" s="400"/>
      <c r="H518" s="400"/>
      <c r="I518" s="400"/>
      <c r="J518" s="401"/>
      <c r="K518" s="41"/>
    </row>
    <row r="519" spans="2:11" x14ac:dyDescent="0.2">
      <c r="B519" s="38"/>
      <c r="C519" s="40"/>
      <c r="D519" s="40"/>
      <c r="E519" s="40"/>
      <c r="F519" s="40"/>
      <c r="G519" s="40"/>
      <c r="H519" s="40"/>
      <c r="I519" s="40"/>
      <c r="J519" s="40"/>
      <c r="K519" s="41"/>
    </row>
    <row r="520" spans="2:11" x14ac:dyDescent="0.2">
      <c r="B520" s="38"/>
      <c r="C520" s="179" t="s">
        <v>320</v>
      </c>
      <c r="D520" s="40"/>
      <c r="E520" s="40"/>
      <c r="F520" s="40"/>
      <c r="G520" s="40"/>
      <c r="H520" s="40"/>
      <c r="I520" s="40"/>
      <c r="J520" s="245">
        <f>IF(OR(J509="Not Calculated",J516="Not Calculated")=TRUE,"Not Calculated",AVERAGE(J509,J516))</f>
        <v>0</v>
      </c>
      <c r="K520" s="41"/>
    </row>
    <row r="521" spans="2:11" x14ac:dyDescent="0.2">
      <c r="B521" s="38"/>
      <c r="C521" s="40"/>
      <c r="D521" s="40"/>
      <c r="E521" s="40"/>
      <c r="F521" s="40"/>
      <c r="G521" s="40"/>
      <c r="H521" s="40"/>
      <c r="I521" s="40"/>
      <c r="J521" s="40"/>
      <c r="K521" s="41"/>
    </row>
    <row r="522" spans="2:11" x14ac:dyDescent="0.2">
      <c r="B522" s="38"/>
      <c r="C522" s="40"/>
      <c r="D522" s="40"/>
      <c r="E522" s="40"/>
      <c r="F522" s="40"/>
      <c r="G522" s="40"/>
      <c r="H522" s="40"/>
      <c r="I522" s="40"/>
      <c r="J522" s="40"/>
      <c r="K522" s="41"/>
    </row>
    <row r="523" spans="2:11" ht="16" x14ac:dyDescent="0.2">
      <c r="B523" s="38"/>
      <c r="C523" s="45" t="s">
        <v>317</v>
      </c>
      <c r="D523" s="40"/>
      <c r="E523" s="40"/>
      <c r="F523" s="40"/>
      <c r="G523" s="40"/>
      <c r="H523" s="40"/>
      <c r="I523" s="40"/>
      <c r="J523" s="40"/>
      <c r="K523" s="41"/>
    </row>
    <row r="524" spans="2:11" ht="15" customHeight="1" x14ac:dyDescent="0.2">
      <c r="B524" s="38"/>
      <c r="C524" s="380" t="s">
        <v>318</v>
      </c>
      <c r="D524" s="380"/>
      <c r="E524" s="380"/>
      <c r="F524" s="380"/>
      <c r="G524" s="380"/>
      <c r="H524" s="380"/>
      <c r="I524" s="380"/>
      <c r="J524" s="40"/>
      <c r="K524" s="41"/>
    </row>
    <row r="525" spans="2:11" x14ac:dyDescent="0.2">
      <c r="B525" s="38"/>
      <c r="C525" s="380"/>
      <c r="D525" s="380"/>
      <c r="E525" s="380"/>
      <c r="F525" s="380"/>
      <c r="G525" s="380"/>
      <c r="H525" s="380"/>
      <c r="I525" s="380"/>
      <c r="J525" s="274">
        <v>1</v>
      </c>
      <c r="K525" s="41"/>
    </row>
    <row r="526" spans="2:11" x14ac:dyDescent="0.2">
      <c r="B526" s="38"/>
      <c r="C526" s="40" t="s">
        <v>260</v>
      </c>
      <c r="D526" s="40"/>
      <c r="E526" s="40"/>
      <c r="F526" s="40"/>
      <c r="G526" s="40"/>
      <c r="H526" s="40"/>
      <c r="I526" s="40"/>
      <c r="J526" s="248">
        <f>IF(J525&lt;=0,0,IF(J525&lt;=1,1,IF(J525&lt;=5,2,IF(J525&lt;=10,3,4))))</f>
        <v>1</v>
      </c>
      <c r="K526" s="41"/>
    </row>
    <row r="527" spans="2:11" s="51" customFormat="1" ht="9.75" customHeight="1" x14ac:dyDescent="0.2">
      <c r="B527" s="283"/>
      <c r="C527" s="279" t="str">
        <f>"0:"</f>
        <v>0:</v>
      </c>
      <c r="D527" s="284" t="s">
        <v>965</v>
      </c>
      <c r="E527" s="285"/>
      <c r="F527" s="285"/>
      <c r="G527" s="285"/>
      <c r="H527" s="285"/>
      <c r="I527" s="285"/>
      <c r="J527" s="43"/>
      <c r="K527" s="286"/>
    </row>
    <row r="528" spans="2:11" s="51" customFormat="1" ht="9.75" customHeight="1" x14ac:dyDescent="0.2">
      <c r="B528" s="283"/>
      <c r="C528" s="280" t="str">
        <f>"1:"</f>
        <v>1:</v>
      </c>
      <c r="D528" s="284" t="s">
        <v>966</v>
      </c>
      <c r="E528" s="285"/>
      <c r="F528" s="285"/>
      <c r="G528" s="285"/>
      <c r="H528" s="285"/>
      <c r="I528" s="285"/>
      <c r="J528" s="43"/>
      <c r="K528" s="286"/>
    </row>
    <row r="529" spans="2:11" s="51" customFormat="1" ht="9.75" customHeight="1" x14ac:dyDescent="0.2">
      <c r="B529" s="283"/>
      <c r="C529" s="280" t="str">
        <f>"2:"</f>
        <v>2:</v>
      </c>
      <c r="D529" s="284" t="s">
        <v>967</v>
      </c>
      <c r="E529" s="285"/>
      <c r="F529" s="285"/>
      <c r="G529" s="285"/>
      <c r="H529" s="285"/>
      <c r="I529" s="285"/>
      <c r="J529" s="43"/>
      <c r="K529" s="286"/>
    </row>
    <row r="530" spans="2:11" s="51" customFormat="1" ht="9.75" customHeight="1" x14ac:dyDescent="0.2">
      <c r="B530" s="283"/>
      <c r="C530" s="280" t="str">
        <f>"3:"</f>
        <v>3:</v>
      </c>
      <c r="D530" s="284" t="s">
        <v>968</v>
      </c>
      <c r="E530" s="285"/>
      <c r="F530" s="285"/>
      <c r="G530" s="285"/>
      <c r="H530" s="285"/>
      <c r="I530" s="285"/>
      <c r="J530" s="43"/>
      <c r="K530" s="286"/>
    </row>
    <row r="531" spans="2:11" s="51" customFormat="1" ht="9.75" customHeight="1" x14ac:dyDescent="0.2">
      <c r="B531" s="283"/>
      <c r="C531" s="280" t="str">
        <f>"4:"</f>
        <v>4:</v>
      </c>
      <c r="D531" s="284" t="s">
        <v>969</v>
      </c>
      <c r="E531" s="285"/>
      <c r="F531" s="285"/>
      <c r="G531" s="285"/>
      <c r="H531" s="285"/>
      <c r="I531" s="285"/>
      <c r="J531" s="287"/>
      <c r="K531" s="286"/>
    </row>
    <row r="532" spans="2:11" x14ac:dyDescent="0.2">
      <c r="B532" s="38"/>
      <c r="C532" s="40" t="s">
        <v>257</v>
      </c>
      <c r="D532" s="40"/>
      <c r="E532" s="40"/>
      <c r="F532" s="40"/>
      <c r="G532" s="40"/>
      <c r="H532" s="40"/>
      <c r="I532" s="40"/>
      <c r="J532" s="266" t="s">
        <v>874</v>
      </c>
      <c r="K532" s="41"/>
    </row>
    <row r="533" spans="2:11" x14ac:dyDescent="0.2">
      <c r="B533" s="38"/>
      <c r="C533" s="40" t="s">
        <v>261</v>
      </c>
      <c r="D533" s="40"/>
      <c r="E533" s="40"/>
      <c r="F533" s="40"/>
      <c r="G533" s="40"/>
      <c r="H533" s="40"/>
      <c r="I533" s="40"/>
      <c r="J533" s="248">
        <f>IF(J532=$B$973,$A$973,IF(J532=$B$974,$A$974,IF(J532=$B$975,$A$975,IF(J532=$B$976,$A$976,IF(J532=$B$977,$A$977,"Not Calculated")))))</f>
        <v>4</v>
      </c>
      <c r="K533" s="41"/>
    </row>
    <row r="534" spans="2:11" x14ac:dyDescent="0.2">
      <c r="B534" s="38"/>
      <c r="C534" s="40" t="s">
        <v>893</v>
      </c>
      <c r="D534" s="40"/>
      <c r="E534" s="40"/>
      <c r="F534" s="40"/>
      <c r="G534" s="40"/>
      <c r="H534" s="40"/>
      <c r="I534" s="40"/>
      <c r="J534" s="40"/>
      <c r="K534" s="41"/>
    </row>
    <row r="535" spans="2:11" ht="90" customHeight="1" x14ac:dyDescent="0.2">
      <c r="B535" s="38"/>
      <c r="C535" s="450" t="s">
        <v>1326</v>
      </c>
      <c r="D535" s="451"/>
      <c r="E535" s="451"/>
      <c r="F535" s="451"/>
      <c r="G535" s="451"/>
      <c r="H535" s="451"/>
      <c r="I535" s="451"/>
      <c r="J535" s="452"/>
      <c r="K535" s="41"/>
    </row>
    <row r="536" spans="2:11" x14ac:dyDescent="0.2">
      <c r="B536" s="38"/>
      <c r="C536" s="40"/>
      <c r="D536" s="40"/>
      <c r="E536" s="40"/>
      <c r="F536" s="40"/>
      <c r="G536" s="40"/>
      <c r="H536" s="40"/>
      <c r="I536" s="40"/>
      <c r="J536" s="40"/>
      <c r="K536" s="41"/>
    </row>
    <row r="537" spans="2:11" x14ac:dyDescent="0.2">
      <c r="B537" s="38"/>
      <c r="C537" s="179" t="s">
        <v>319</v>
      </c>
      <c r="D537" s="40"/>
      <c r="E537" s="40"/>
      <c r="F537" s="40"/>
      <c r="G537" s="40"/>
      <c r="H537" s="40"/>
      <c r="I537" s="40"/>
      <c r="J537" s="245">
        <f>IF(OR(J526="Not Calculated",J533="Not Calculated")=TRUE,"Not Calculated",AVERAGE(J526,J533))</f>
        <v>2.5</v>
      </c>
      <c r="K537" s="41"/>
    </row>
    <row r="538" spans="2:11" x14ac:dyDescent="0.2">
      <c r="B538" s="38"/>
      <c r="C538" s="40"/>
      <c r="D538" s="40"/>
      <c r="E538" s="40"/>
      <c r="F538" s="40"/>
      <c r="G538" s="40"/>
      <c r="H538" s="40"/>
      <c r="I538" s="40"/>
      <c r="J538" s="40"/>
      <c r="K538" s="41"/>
    </row>
    <row r="539" spans="2:11" ht="18" x14ac:dyDescent="0.2">
      <c r="B539" s="38"/>
      <c r="C539" s="180" t="s">
        <v>302</v>
      </c>
      <c r="D539" s="40"/>
      <c r="E539" s="40"/>
      <c r="F539" s="40"/>
      <c r="G539" s="40"/>
      <c r="H539" s="40"/>
      <c r="I539" s="40"/>
      <c r="J539" s="244">
        <f>IF(OR(J440="Not Calculated",J457="Not Calculated",J473="Not Calculated",J488="Not Calculated",J504="Not Calculated",J520="Not Calculated",J537="Not Calculated")=TRUE,"Not Calculated",AVERAGE(J440,J457,J473,J488,J504,J520,J537))</f>
        <v>1.0714285714285714</v>
      </c>
      <c r="K539" s="41"/>
    </row>
    <row r="540" spans="2:11" ht="16" thickBot="1" x14ac:dyDescent="0.25">
      <c r="B540" s="46"/>
      <c r="C540" s="47"/>
      <c r="D540" s="47"/>
      <c r="E540" s="47"/>
      <c r="F540" s="47"/>
      <c r="G540" s="47"/>
      <c r="H540" s="47"/>
      <c r="I540" s="47"/>
      <c r="J540" s="47"/>
      <c r="K540" s="49"/>
    </row>
    <row r="541" spans="2:11" ht="16" thickBot="1" x14ac:dyDescent="0.25"/>
    <row r="542" spans="2:11" x14ac:dyDescent="0.2">
      <c r="B542" s="33"/>
      <c r="C542" s="34"/>
      <c r="D542" s="34"/>
      <c r="E542" s="34"/>
      <c r="F542" s="34"/>
      <c r="G542" s="34"/>
      <c r="H542" s="34"/>
      <c r="I542" s="34"/>
      <c r="J542" s="34"/>
      <c r="K542" s="37"/>
    </row>
    <row r="543" spans="2:11" ht="21" x14ac:dyDescent="0.25">
      <c r="B543" s="38"/>
      <c r="C543" s="40"/>
      <c r="D543" s="40"/>
      <c r="E543" s="40"/>
      <c r="F543" s="40"/>
      <c r="G543" s="172" t="s">
        <v>29</v>
      </c>
      <c r="H543" s="40"/>
      <c r="I543" s="40"/>
      <c r="J543" s="40"/>
      <c r="K543" s="41"/>
    </row>
    <row r="544" spans="2:11" ht="15" customHeight="1" x14ac:dyDescent="0.2">
      <c r="B544" s="38"/>
      <c r="C544" s="40"/>
      <c r="D544" s="40"/>
      <c r="E544" s="40"/>
      <c r="F544" s="40"/>
      <c r="G544" s="40"/>
      <c r="H544" s="40"/>
      <c r="I544" s="40"/>
      <c r="J544" s="40"/>
      <c r="K544" s="41"/>
    </row>
    <row r="545" spans="2:14" ht="16" x14ac:dyDescent="0.2">
      <c r="B545" s="38"/>
      <c r="C545" s="45" t="s">
        <v>88</v>
      </c>
      <c r="D545" s="40"/>
      <c r="E545" s="40"/>
      <c r="F545" s="40"/>
      <c r="G545" s="40"/>
      <c r="H545" s="40"/>
      <c r="I545" s="40"/>
      <c r="J545" s="40"/>
      <c r="K545" s="41"/>
    </row>
    <row r="546" spans="2:14" x14ac:dyDescent="0.2">
      <c r="B546" s="38"/>
      <c r="C546" s="40" t="s">
        <v>448</v>
      </c>
      <c r="D546" s="40"/>
      <c r="E546" s="40"/>
      <c r="F546" s="40"/>
      <c r="G546" s="40"/>
      <c r="H546" s="40"/>
      <c r="I546" s="40"/>
      <c r="J546" s="252">
        <f>'Baseline Health'!G123</f>
        <v>0</v>
      </c>
      <c r="K546" s="41"/>
    </row>
    <row r="547" spans="2:14" x14ac:dyDescent="0.2">
      <c r="B547" s="38"/>
      <c r="C547" s="40" t="s">
        <v>322</v>
      </c>
      <c r="D547" s="40"/>
      <c r="E547" s="40"/>
      <c r="F547" s="40"/>
      <c r="G547" s="40"/>
      <c r="H547" s="40"/>
      <c r="I547" s="40"/>
      <c r="J547" s="264">
        <f>J546*0.1</f>
        <v>0</v>
      </c>
      <c r="K547" s="41"/>
    </row>
    <row r="548" spans="2:14" x14ac:dyDescent="0.2">
      <c r="B548" s="38"/>
      <c r="C548" s="40" t="s">
        <v>428</v>
      </c>
      <c r="D548" s="40"/>
      <c r="E548" s="40"/>
      <c r="F548" s="40"/>
      <c r="G548" s="40"/>
      <c r="H548" s="40"/>
      <c r="I548" s="40"/>
      <c r="J548" s="264">
        <f>'Baseline Health'!G123*0.5</f>
        <v>0</v>
      </c>
      <c r="K548" s="41"/>
    </row>
    <row r="549" spans="2:14" x14ac:dyDescent="0.2">
      <c r="B549" s="38"/>
      <c r="C549" s="40" t="s">
        <v>260</v>
      </c>
      <c r="D549" s="40"/>
      <c r="E549" s="40"/>
      <c r="F549" s="40"/>
      <c r="G549" s="40"/>
      <c r="H549" s="40"/>
      <c r="I549" s="40"/>
      <c r="J549" s="248" t="str">
        <f>IF(OR(J546=0,J546="Not Calculated")=TRUE,"Not Calculated",IF(J546-J547=0,4,(IF(((J546+J548)/(J546-J547))&lt;=1,0,IF(((J546+J548)/(J546-J547))&lt;=1.05,1,IF(((J546+J548)/(J546-J547))&lt;=1.5, 2,IF(((J546+J548)/(J546-J547))&lt;=2,3,4)))))))</f>
        <v>Not Calculated</v>
      </c>
      <c r="K549" s="41"/>
    </row>
    <row r="550" spans="2:14" ht="9.75" customHeight="1" x14ac:dyDescent="0.2">
      <c r="B550" s="38"/>
      <c r="C550" s="279" t="str">
        <f>"0:"</f>
        <v>0:</v>
      </c>
      <c r="D550" s="278" t="s">
        <v>918</v>
      </c>
      <c r="E550" s="40"/>
      <c r="F550" s="40"/>
      <c r="G550" s="40"/>
      <c r="H550" s="40"/>
      <c r="I550" s="40"/>
      <c r="J550" s="251"/>
      <c r="K550" s="41"/>
    </row>
    <row r="551" spans="2:14" ht="9.75" customHeight="1" x14ac:dyDescent="0.2">
      <c r="B551" s="38"/>
      <c r="C551" s="280" t="str">
        <f>"1:"</f>
        <v>1:</v>
      </c>
      <c r="D551" s="278" t="s">
        <v>923</v>
      </c>
      <c r="E551" s="40"/>
      <c r="F551" s="40"/>
      <c r="G551" s="40"/>
      <c r="H551" s="40"/>
      <c r="I551" s="40"/>
      <c r="J551" s="251"/>
      <c r="K551" s="41"/>
    </row>
    <row r="552" spans="2:14" ht="9.75" customHeight="1" x14ac:dyDescent="0.2">
      <c r="B552" s="38"/>
      <c r="C552" s="280" t="str">
        <f>"2:"</f>
        <v>2:</v>
      </c>
      <c r="D552" s="278" t="s">
        <v>924</v>
      </c>
      <c r="E552" s="40"/>
      <c r="F552" s="40"/>
      <c r="G552" s="40"/>
      <c r="H552" s="40"/>
      <c r="I552" s="40"/>
      <c r="J552" s="251"/>
      <c r="K552" s="41"/>
    </row>
    <row r="553" spans="2:14" ht="9.75" customHeight="1" x14ac:dyDescent="0.2">
      <c r="B553" s="38"/>
      <c r="C553" s="280" t="str">
        <f>"3:"</f>
        <v>3:</v>
      </c>
      <c r="D553" s="278" t="s">
        <v>925</v>
      </c>
      <c r="E553" s="40"/>
      <c r="F553" s="40"/>
      <c r="G553" s="40"/>
      <c r="H553" s="40"/>
      <c r="I553" s="40"/>
      <c r="J553" s="251"/>
      <c r="K553" s="41"/>
    </row>
    <row r="554" spans="2:14" ht="9.75" customHeight="1" x14ac:dyDescent="0.2">
      <c r="B554" s="38"/>
      <c r="C554" s="280" t="str">
        <f>"4:"</f>
        <v>4:</v>
      </c>
      <c r="D554" s="278" t="s">
        <v>926</v>
      </c>
      <c r="E554" s="40"/>
      <c r="F554" s="40"/>
      <c r="G554" s="40"/>
      <c r="H554" s="40"/>
      <c r="I554" s="40"/>
      <c r="J554" s="40"/>
      <c r="K554" s="41"/>
      <c r="N554" s="12" t="s">
        <v>661</v>
      </c>
    </row>
    <row r="555" spans="2:14" x14ac:dyDescent="0.2">
      <c r="B555" s="38"/>
      <c r="C555" s="174" t="s">
        <v>662</v>
      </c>
      <c r="D555" s="40"/>
      <c r="E555" s="40"/>
      <c r="F555" s="40"/>
      <c r="G555" s="40"/>
      <c r="H555" s="40"/>
      <c r="I555" s="40"/>
      <c r="J555" s="265" t="s">
        <v>661</v>
      </c>
      <c r="K555" s="41"/>
      <c r="N555" s="12" t="s">
        <v>894</v>
      </c>
    </row>
    <row r="556" spans="2:14" x14ac:dyDescent="0.2">
      <c r="B556" s="38"/>
      <c r="C556" s="174" t="s">
        <v>660</v>
      </c>
      <c r="D556" s="40"/>
      <c r="E556" s="40"/>
      <c r="F556" s="40"/>
      <c r="G556" s="40"/>
      <c r="H556" s="40"/>
      <c r="I556" s="40"/>
      <c r="J556" s="247" t="str">
        <f>IF(J555=N554,"N/A",IF(J555=N555,0,IF(J555=N556,1,IF(J555=N557,2,IF(J555=N558,3,IF(J555=N559,4,"N/A"))))))</f>
        <v>N/A</v>
      </c>
      <c r="K556" s="41"/>
      <c r="N556" s="12" t="s">
        <v>899</v>
      </c>
    </row>
    <row r="557" spans="2:14" x14ac:dyDescent="0.2">
      <c r="B557" s="38"/>
      <c r="C557" s="40" t="s">
        <v>257</v>
      </c>
      <c r="D557" s="40"/>
      <c r="E557" s="40"/>
      <c r="F557" s="40"/>
      <c r="G557" s="40"/>
      <c r="H557" s="40"/>
      <c r="I557" s="40"/>
      <c r="J557" s="266" t="s">
        <v>872</v>
      </c>
      <c r="K557" s="41"/>
      <c r="N557" s="12" t="s">
        <v>900</v>
      </c>
    </row>
    <row r="558" spans="2:14" x14ac:dyDescent="0.2">
      <c r="B558" s="38"/>
      <c r="C558" s="40" t="s">
        <v>261</v>
      </c>
      <c r="D558" s="40"/>
      <c r="E558" s="40"/>
      <c r="F558" s="40"/>
      <c r="G558" s="40"/>
      <c r="H558" s="40"/>
      <c r="I558" s="40"/>
      <c r="J558" s="248">
        <f>IF(J557=$B$973,$A$973,IF(J557=$B$974,$A$974,IF(J557=$B$975,$A$975,IF(J557=$B$976,$A$976,IF(J557=$B$977,$A$977,"Not Calculated")))))</f>
        <v>2</v>
      </c>
      <c r="K558" s="41"/>
      <c r="N558" s="12" t="s">
        <v>901</v>
      </c>
    </row>
    <row r="559" spans="2:14" x14ac:dyDescent="0.2">
      <c r="B559" s="38"/>
      <c r="C559" s="40" t="s">
        <v>893</v>
      </c>
      <c r="D559" s="40"/>
      <c r="E559" s="40"/>
      <c r="F559" s="40"/>
      <c r="G559" s="40"/>
      <c r="H559" s="40"/>
      <c r="I559" s="40"/>
      <c r="J559" s="40"/>
      <c r="K559" s="41"/>
      <c r="N559" s="12" t="s">
        <v>902</v>
      </c>
    </row>
    <row r="560" spans="2:14" ht="75" customHeight="1" x14ac:dyDescent="0.2">
      <c r="B560" s="38"/>
      <c r="C560" s="450" t="s">
        <v>1329</v>
      </c>
      <c r="D560" s="451"/>
      <c r="E560" s="451"/>
      <c r="F560" s="451"/>
      <c r="G560" s="451"/>
      <c r="H560" s="451"/>
      <c r="I560" s="451"/>
      <c r="J560" s="452"/>
      <c r="K560" s="41"/>
    </row>
    <row r="561" spans="2:11" x14ac:dyDescent="0.2">
      <c r="B561" s="38"/>
      <c r="C561" s="40"/>
      <c r="D561" s="40"/>
      <c r="E561" s="40"/>
      <c r="F561" s="40"/>
      <c r="G561" s="40"/>
      <c r="H561" s="40"/>
      <c r="I561" s="40"/>
      <c r="J561" s="40"/>
      <c r="K561" s="41"/>
    </row>
    <row r="562" spans="2:11" x14ac:dyDescent="0.2">
      <c r="B562" s="38"/>
      <c r="C562" s="179" t="s">
        <v>323</v>
      </c>
      <c r="D562" s="40"/>
      <c r="E562" s="40"/>
      <c r="F562" s="40"/>
      <c r="G562" s="40"/>
      <c r="H562" s="40"/>
      <c r="I562" s="40"/>
      <c r="J562" s="245" t="str">
        <f>IF(J556="N/A",IF(OR(J549="Not Calculated",J558="Not Calculated")=TRUE,"Not Calculated",AVERAGE(J549,J558)),AVERAGE(J556,J558))</f>
        <v>Not Calculated</v>
      </c>
      <c r="K562" s="41"/>
    </row>
    <row r="563" spans="2:11" x14ac:dyDescent="0.2">
      <c r="B563" s="38"/>
      <c r="C563" s="40"/>
      <c r="D563" s="40"/>
      <c r="E563" s="40"/>
      <c r="F563" s="40"/>
      <c r="G563" s="40"/>
      <c r="H563" s="40"/>
      <c r="I563" s="40"/>
      <c r="J563" s="40"/>
      <c r="K563" s="41"/>
    </row>
    <row r="564" spans="2:11" x14ac:dyDescent="0.2">
      <c r="B564" s="38"/>
      <c r="C564" s="40"/>
      <c r="D564" s="40"/>
      <c r="E564" s="40"/>
      <c r="F564" s="40"/>
      <c r="G564" s="40"/>
      <c r="H564" s="40"/>
      <c r="I564" s="40"/>
      <c r="J564" s="40"/>
      <c r="K564" s="41"/>
    </row>
    <row r="565" spans="2:11" ht="16" x14ac:dyDescent="0.2">
      <c r="B565" s="38"/>
      <c r="C565" s="45" t="s">
        <v>89</v>
      </c>
      <c r="D565" s="40"/>
      <c r="E565" s="40"/>
      <c r="F565" s="40"/>
      <c r="G565" s="40"/>
      <c r="H565" s="40"/>
      <c r="I565" s="40"/>
      <c r="J565" s="40"/>
      <c r="K565" s="41"/>
    </row>
    <row r="566" spans="2:11" ht="15" customHeight="1" x14ac:dyDescent="0.2">
      <c r="B566" s="38"/>
      <c r="C566" s="380" t="s">
        <v>333</v>
      </c>
      <c r="D566" s="380"/>
      <c r="E566" s="380"/>
      <c r="F566" s="380"/>
      <c r="G566" s="380"/>
      <c r="H566" s="380"/>
      <c r="I566" s="380"/>
      <c r="J566" s="40"/>
      <c r="K566" s="41"/>
    </row>
    <row r="567" spans="2:11" x14ac:dyDescent="0.2">
      <c r="B567" s="38"/>
      <c r="C567" s="380"/>
      <c r="D567" s="380"/>
      <c r="E567" s="380"/>
      <c r="F567" s="380"/>
      <c r="G567" s="380"/>
      <c r="H567" s="380"/>
      <c r="I567" s="380"/>
      <c r="J567" s="40"/>
      <c r="K567" s="41"/>
    </row>
    <row r="568" spans="2:11" x14ac:dyDescent="0.2">
      <c r="B568" s="38"/>
      <c r="C568" s="380"/>
      <c r="D568" s="380"/>
      <c r="E568" s="380"/>
      <c r="F568" s="380"/>
      <c r="G568" s="380"/>
      <c r="H568" s="380"/>
      <c r="I568" s="380"/>
      <c r="J568" s="251">
        <f>'Baseline Health'!G132</f>
        <v>0</v>
      </c>
      <c r="K568" s="41"/>
    </row>
    <row r="569" spans="2:11" ht="15" customHeight="1" x14ac:dyDescent="0.2">
      <c r="B569" s="38"/>
      <c r="C569" s="380" t="s">
        <v>334</v>
      </c>
      <c r="D569" s="380"/>
      <c r="E569" s="380"/>
      <c r="F569" s="380"/>
      <c r="G569" s="380"/>
      <c r="H569" s="380"/>
      <c r="I569" s="380"/>
      <c r="J569" s="245"/>
      <c r="K569" s="41"/>
    </row>
    <row r="570" spans="2:11" x14ac:dyDescent="0.2">
      <c r="B570" s="38"/>
      <c r="C570" s="380"/>
      <c r="D570" s="380"/>
      <c r="E570" s="380"/>
      <c r="F570" s="380"/>
      <c r="G570" s="380"/>
      <c r="H570" s="380"/>
      <c r="I570" s="380"/>
      <c r="J570" s="245"/>
      <c r="K570" s="41"/>
    </row>
    <row r="571" spans="2:11" x14ac:dyDescent="0.2">
      <c r="B571" s="38"/>
      <c r="C571" s="380"/>
      <c r="D571" s="380"/>
      <c r="E571" s="380"/>
      <c r="F571" s="380"/>
      <c r="G571" s="380"/>
      <c r="H571" s="380"/>
      <c r="I571" s="380"/>
      <c r="J571" s="264">
        <f>J568*0.5</f>
        <v>0</v>
      </c>
      <c r="K571" s="41"/>
    </row>
    <row r="572" spans="2:11" x14ac:dyDescent="0.2">
      <c r="B572" s="38"/>
      <c r="C572" s="40" t="s">
        <v>260</v>
      </c>
      <c r="D572" s="40"/>
      <c r="E572" s="40"/>
      <c r="F572" s="40"/>
      <c r="G572" s="40"/>
      <c r="H572" s="40"/>
      <c r="I572" s="40"/>
      <c r="J572" s="248" t="str">
        <f>IF(OR(J568=0,J568="Not Calculated")=TRUE,"Not Calculated",IF(((J568+J571)/J568)&lt;=1,0,IF(((J568+J571)/J568)&lt;=1.05,1,IF(((J568+J571)/J568)&lt;=1.5, 2,IF(((J568+J571)/J568)&lt;=2,3,4)))))</f>
        <v>Not Calculated</v>
      </c>
      <c r="K572" s="41"/>
    </row>
    <row r="573" spans="2:11" ht="9.75" customHeight="1" x14ac:dyDescent="0.2">
      <c r="B573" s="38"/>
      <c r="C573" s="279" t="str">
        <f>"0:"</f>
        <v>0:</v>
      </c>
      <c r="D573" s="281" t="s">
        <v>918</v>
      </c>
      <c r="E573" s="291"/>
      <c r="F573" s="291"/>
      <c r="G573" s="291"/>
      <c r="H573" s="291"/>
      <c r="I573" s="291"/>
      <c r="J573" s="251"/>
      <c r="K573" s="41"/>
    </row>
    <row r="574" spans="2:11" ht="9.75" customHeight="1" x14ac:dyDescent="0.2">
      <c r="B574" s="38"/>
      <c r="C574" s="280" t="str">
        <f>"1:"</f>
        <v>1:</v>
      </c>
      <c r="D574" s="281" t="s">
        <v>919</v>
      </c>
      <c r="E574" s="291"/>
      <c r="F574" s="291"/>
      <c r="G574" s="291"/>
      <c r="H574" s="291"/>
      <c r="I574" s="291"/>
      <c r="J574" s="251"/>
      <c r="K574" s="41"/>
    </row>
    <row r="575" spans="2:11" ht="9.75" customHeight="1" x14ac:dyDescent="0.2">
      <c r="B575" s="38"/>
      <c r="C575" s="280" t="str">
        <f>"2:"</f>
        <v>2:</v>
      </c>
      <c r="D575" s="281" t="s">
        <v>920</v>
      </c>
      <c r="E575" s="291"/>
      <c r="F575" s="291"/>
      <c r="G575" s="291"/>
      <c r="H575" s="291"/>
      <c r="I575" s="291"/>
      <c r="J575" s="251"/>
      <c r="K575" s="41"/>
    </row>
    <row r="576" spans="2:11" ht="9.75" customHeight="1" x14ac:dyDescent="0.2">
      <c r="B576" s="38"/>
      <c r="C576" s="280" t="str">
        <f>"3:"</f>
        <v>3:</v>
      </c>
      <c r="D576" s="281" t="s">
        <v>921</v>
      </c>
      <c r="E576" s="291"/>
      <c r="F576" s="291"/>
      <c r="G576" s="291"/>
      <c r="H576" s="291"/>
      <c r="I576" s="291"/>
      <c r="J576" s="251"/>
      <c r="K576" s="41"/>
    </row>
    <row r="577" spans="2:14" ht="9.75" customHeight="1" x14ac:dyDescent="0.2">
      <c r="B577" s="38"/>
      <c r="C577" s="280" t="str">
        <f>"4:"</f>
        <v>4:</v>
      </c>
      <c r="D577" s="281" t="s">
        <v>922</v>
      </c>
      <c r="E577" s="40"/>
      <c r="F577" s="40"/>
      <c r="G577" s="40"/>
      <c r="H577" s="40"/>
      <c r="I577" s="40"/>
      <c r="J577" s="40"/>
      <c r="K577" s="41"/>
      <c r="N577" s="12" t="s">
        <v>661</v>
      </c>
    </row>
    <row r="578" spans="2:14" ht="15" customHeight="1" x14ac:dyDescent="0.2">
      <c r="B578" s="38"/>
      <c r="C578" s="174" t="s">
        <v>662</v>
      </c>
      <c r="D578" s="40"/>
      <c r="E578" s="40"/>
      <c r="F578" s="40"/>
      <c r="G578" s="40"/>
      <c r="H578" s="40"/>
      <c r="I578" s="40"/>
      <c r="J578" s="265" t="s">
        <v>661</v>
      </c>
      <c r="K578" s="41"/>
      <c r="N578" s="12" t="s">
        <v>894</v>
      </c>
    </row>
    <row r="579" spans="2:14" ht="15" customHeight="1" x14ac:dyDescent="0.2">
      <c r="B579" s="38"/>
      <c r="C579" s="174" t="s">
        <v>660</v>
      </c>
      <c r="D579" s="40"/>
      <c r="E579" s="40"/>
      <c r="F579" s="40"/>
      <c r="G579" s="40"/>
      <c r="H579" s="40"/>
      <c r="I579" s="40"/>
      <c r="J579" s="247" t="str">
        <f>IF(J578=N577,"N/A",IF(J578=N578,0,IF(J578=N579,1,IF(J578=N580,2,IF(J578=N581,3,IF(J578=N582,4,"N/A"))))))</f>
        <v>N/A</v>
      </c>
      <c r="K579" s="41"/>
      <c r="N579" s="12" t="s">
        <v>895</v>
      </c>
    </row>
    <row r="580" spans="2:14" x14ac:dyDescent="0.2">
      <c r="B580" s="38"/>
      <c r="C580" s="40" t="s">
        <v>257</v>
      </c>
      <c r="D580" s="40"/>
      <c r="E580" s="40"/>
      <c r="F580" s="40"/>
      <c r="G580" s="40"/>
      <c r="H580" s="40"/>
      <c r="I580" s="40"/>
      <c r="J580" s="266" t="s">
        <v>874</v>
      </c>
      <c r="K580" s="41"/>
      <c r="N580" s="12" t="s">
        <v>896</v>
      </c>
    </row>
    <row r="581" spans="2:14" x14ac:dyDescent="0.2">
      <c r="B581" s="38"/>
      <c r="C581" s="40" t="s">
        <v>261</v>
      </c>
      <c r="D581" s="40"/>
      <c r="E581" s="40"/>
      <c r="F581" s="40"/>
      <c r="G581" s="40"/>
      <c r="H581" s="40"/>
      <c r="I581" s="40"/>
      <c r="J581" s="248">
        <f>IF(J580=$B$973,$A$973,IF(J580=$B$974,$A$974,IF(J580=$B$975,$A$975,IF(J580=$B$976,$A$976,IF(J580=$B$977,$A$977,"Not Calculated")))))</f>
        <v>4</v>
      </c>
      <c r="K581" s="41"/>
      <c r="N581" s="12" t="s">
        <v>897</v>
      </c>
    </row>
    <row r="582" spans="2:14" x14ac:dyDescent="0.2">
      <c r="B582" s="38"/>
      <c r="C582" s="40" t="s">
        <v>893</v>
      </c>
      <c r="D582" s="40"/>
      <c r="E582" s="40"/>
      <c r="F582" s="40"/>
      <c r="G582" s="40"/>
      <c r="H582" s="40"/>
      <c r="I582" s="40"/>
      <c r="J582" s="40"/>
      <c r="K582" s="41"/>
      <c r="N582" s="12" t="s">
        <v>898</v>
      </c>
    </row>
    <row r="583" spans="2:14" ht="45" customHeight="1" x14ac:dyDescent="0.2">
      <c r="B583" s="38"/>
      <c r="C583" s="450" t="s">
        <v>1330</v>
      </c>
      <c r="D583" s="451"/>
      <c r="E583" s="451"/>
      <c r="F583" s="451"/>
      <c r="G583" s="451"/>
      <c r="H583" s="451"/>
      <c r="I583" s="451"/>
      <c r="J583" s="452"/>
      <c r="K583" s="41"/>
    </row>
    <row r="584" spans="2:14" x14ac:dyDescent="0.2">
      <c r="B584" s="38"/>
      <c r="C584" s="40"/>
      <c r="D584" s="40"/>
      <c r="E584" s="40"/>
      <c r="F584" s="40"/>
      <c r="G584" s="40"/>
      <c r="H584" s="40"/>
      <c r="I584" s="40"/>
      <c r="J584" s="40"/>
      <c r="K584" s="41"/>
    </row>
    <row r="585" spans="2:14" x14ac:dyDescent="0.2">
      <c r="B585" s="38"/>
      <c r="C585" s="179" t="s">
        <v>324</v>
      </c>
      <c r="D585" s="40"/>
      <c r="E585" s="40"/>
      <c r="F585" s="40"/>
      <c r="G585" s="40"/>
      <c r="H585" s="40"/>
      <c r="I585" s="40"/>
      <c r="J585" s="245" t="str">
        <f>IF(J579="N/A",IF(OR(J572="Not Calculated",J581="Not Calculated")=TRUE,"Not Calculated",AVERAGE(J572,J581)),AVERAGE(J579,J581))</f>
        <v>Not Calculated</v>
      </c>
      <c r="K585" s="41"/>
    </row>
    <row r="586" spans="2:14" x14ac:dyDescent="0.2">
      <c r="B586" s="38"/>
      <c r="C586" s="40"/>
      <c r="D586" s="40"/>
      <c r="E586" s="40"/>
      <c r="F586" s="40"/>
      <c r="G586" s="40"/>
      <c r="H586" s="40"/>
      <c r="I586" s="40"/>
      <c r="J586" s="40"/>
      <c r="K586" s="41"/>
    </row>
    <row r="587" spans="2:14" x14ac:dyDescent="0.2">
      <c r="B587" s="38"/>
      <c r="C587" s="40"/>
      <c r="D587" s="40"/>
      <c r="E587" s="40"/>
      <c r="F587" s="40"/>
      <c r="G587" s="40"/>
      <c r="H587" s="40"/>
      <c r="I587" s="40"/>
      <c r="J587" s="40"/>
      <c r="K587" s="41"/>
    </row>
    <row r="588" spans="2:14" ht="16" x14ac:dyDescent="0.2">
      <c r="B588" s="38"/>
      <c r="C588" s="45" t="s">
        <v>115</v>
      </c>
      <c r="D588" s="40"/>
      <c r="E588" s="40"/>
      <c r="F588" s="40"/>
      <c r="G588" s="40"/>
      <c r="H588" s="40"/>
      <c r="I588" s="40"/>
      <c r="J588" s="40"/>
      <c r="K588" s="41"/>
    </row>
    <row r="589" spans="2:14" x14ac:dyDescent="0.2">
      <c r="B589" s="38"/>
      <c r="C589" s="40" t="s">
        <v>335</v>
      </c>
      <c r="D589" s="40"/>
      <c r="E589" s="40"/>
      <c r="F589" s="40"/>
      <c r="G589" s="40"/>
      <c r="H589" s="40"/>
      <c r="I589" s="40"/>
      <c r="J589" s="268">
        <v>0</v>
      </c>
      <c r="K589" s="41"/>
    </row>
    <row r="590" spans="2:14" x14ac:dyDescent="0.2">
      <c r="B590" s="38"/>
      <c r="C590" s="40" t="s">
        <v>260</v>
      </c>
      <c r="D590" s="40"/>
      <c r="E590" s="40"/>
      <c r="F590" s="40"/>
      <c r="G590" s="40"/>
      <c r="H590" s="40"/>
      <c r="I590" s="40"/>
      <c r="J590" s="255">
        <f>IF(J589&lt;=0,0,IF(J589&lt;=1000,1,IF(J589&lt;=5000,2,IF(J589&lt;=25000,3,4))))</f>
        <v>0</v>
      </c>
      <c r="K590" s="41"/>
    </row>
    <row r="591" spans="2:14" ht="9.75" customHeight="1" x14ac:dyDescent="0.2">
      <c r="B591" s="38"/>
      <c r="C591" s="279" t="str">
        <f>"0:"</f>
        <v>0:</v>
      </c>
      <c r="D591" s="284" t="s">
        <v>970</v>
      </c>
      <c r="E591" s="40"/>
      <c r="F591" s="40"/>
      <c r="G591" s="40"/>
      <c r="H591" s="40"/>
      <c r="I591" s="40"/>
      <c r="J591" s="251"/>
      <c r="K591" s="41"/>
    </row>
    <row r="592" spans="2:14" ht="9.75" customHeight="1" x14ac:dyDescent="0.2">
      <c r="B592" s="38"/>
      <c r="C592" s="280" t="str">
        <f>"1:"</f>
        <v>1:</v>
      </c>
      <c r="D592" s="284" t="s">
        <v>961</v>
      </c>
      <c r="E592" s="40"/>
      <c r="F592" s="40"/>
      <c r="G592" s="40"/>
      <c r="H592" s="40"/>
      <c r="I592" s="40"/>
      <c r="J592" s="251"/>
      <c r="K592" s="41"/>
    </row>
    <row r="593" spans="2:11" ht="9.75" customHeight="1" x14ac:dyDescent="0.2">
      <c r="B593" s="38"/>
      <c r="C593" s="280" t="str">
        <f>"2:"</f>
        <v>2:</v>
      </c>
      <c r="D593" s="284" t="s">
        <v>971</v>
      </c>
      <c r="E593" s="40"/>
      <c r="F593" s="40"/>
      <c r="G593" s="40"/>
      <c r="H593" s="40"/>
      <c r="I593" s="40"/>
      <c r="J593" s="251"/>
      <c r="K593" s="41"/>
    </row>
    <row r="594" spans="2:11" ht="9.75" customHeight="1" x14ac:dyDescent="0.2">
      <c r="B594" s="38"/>
      <c r="C594" s="280" t="str">
        <f>"3:"</f>
        <v>3:</v>
      </c>
      <c r="D594" s="284" t="s">
        <v>963</v>
      </c>
      <c r="E594" s="40"/>
      <c r="F594" s="40"/>
      <c r="G594" s="40"/>
      <c r="H594" s="40"/>
      <c r="I594" s="40"/>
      <c r="J594" s="251"/>
      <c r="K594" s="41"/>
    </row>
    <row r="595" spans="2:11" ht="9.75" customHeight="1" x14ac:dyDescent="0.2">
      <c r="B595" s="38"/>
      <c r="C595" s="280" t="str">
        <f>"4:"</f>
        <v>4:</v>
      </c>
      <c r="D595" s="284" t="s">
        <v>964</v>
      </c>
      <c r="E595" s="40"/>
      <c r="F595" s="40"/>
      <c r="G595" s="40"/>
      <c r="H595" s="40"/>
      <c r="I595" s="40"/>
      <c r="J595" s="40"/>
      <c r="K595" s="41"/>
    </row>
    <row r="596" spans="2:11" ht="15" customHeight="1" x14ac:dyDescent="0.2">
      <c r="B596" s="38"/>
      <c r="C596" s="40" t="s">
        <v>257</v>
      </c>
      <c r="D596" s="40"/>
      <c r="E596" s="40"/>
      <c r="F596" s="40"/>
      <c r="G596" s="40"/>
      <c r="H596" s="40"/>
      <c r="I596" s="40"/>
      <c r="J596" s="267" t="s">
        <v>870</v>
      </c>
      <c r="K596" s="41"/>
    </row>
    <row r="597" spans="2:11" ht="15" customHeight="1" x14ac:dyDescent="0.2">
      <c r="B597" s="38"/>
      <c r="C597" s="40" t="s">
        <v>261</v>
      </c>
      <c r="D597" s="40"/>
      <c r="E597" s="40"/>
      <c r="F597" s="40"/>
      <c r="G597" s="40"/>
      <c r="H597" s="40"/>
      <c r="I597" s="40"/>
      <c r="J597" s="245">
        <f>IF(J596=$B$973,$A$973,IF(J596=$B$974,$A$974,IF(J596=$B$975,$A$975,IF(J596=$B$976,$A$976,IF(J596=$B$977,$A$977,"Not Calculated")))))</f>
        <v>0</v>
      </c>
      <c r="K597" s="41"/>
    </row>
    <row r="598" spans="2:11" x14ac:dyDescent="0.2">
      <c r="B598" s="38"/>
      <c r="C598" s="40" t="s">
        <v>893</v>
      </c>
      <c r="D598" s="40"/>
      <c r="E598" s="40"/>
      <c r="F598" s="40"/>
      <c r="G598" s="40"/>
      <c r="H598" s="40"/>
      <c r="I598" s="40"/>
      <c r="J598" s="40"/>
      <c r="K598" s="41"/>
    </row>
    <row r="599" spans="2:11" ht="30" customHeight="1" x14ac:dyDescent="0.2">
      <c r="B599" s="38"/>
      <c r="C599" s="453"/>
      <c r="D599" s="454"/>
      <c r="E599" s="454"/>
      <c r="F599" s="454"/>
      <c r="G599" s="454"/>
      <c r="H599" s="454"/>
      <c r="I599" s="454"/>
      <c r="J599" s="455"/>
      <c r="K599" s="41"/>
    </row>
    <row r="600" spans="2:11" x14ac:dyDescent="0.2">
      <c r="B600" s="38"/>
      <c r="C600" s="40"/>
      <c r="D600" s="40"/>
      <c r="E600" s="40"/>
      <c r="F600" s="40"/>
      <c r="G600" s="40"/>
      <c r="H600" s="40"/>
      <c r="I600" s="40"/>
      <c r="J600" s="40"/>
      <c r="K600" s="41"/>
    </row>
    <row r="601" spans="2:11" x14ac:dyDescent="0.2">
      <c r="B601" s="38"/>
      <c r="C601" s="179" t="s">
        <v>325</v>
      </c>
      <c r="D601" s="40"/>
      <c r="E601" s="40"/>
      <c r="F601" s="40"/>
      <c r="G601" s="40"/>
      <c r="H601" s="40"/>
      <c r="I601" s="40"/>
      <c r="J601" s="245">
        <f>IF(J590="Not Calculated","Not Calculated",AVERAGE(J590,J597))</f>
        <v>0</v>
      </c>
      <c r="K601" s="41"/>
    </row>
    <row r="602" spans="2:11" x14ac:dyDescent="0.2">
      <c r="B602" s="38"/>
      <c r="C602" s="40"/>
      <c r="D602" s="40"/>
      <c r="E602" s="40"/>
      <c r="F602" s="40"/>
      <c r="G602" s="40"/>
      <c r="H602" s="40"/>
      <c r="I602" s="40"/>
      <c r="J602" s="40"/>
      <c r="K602" s="41"/>
    </row>
    <row r="603" spans="2:11" x14ac:dyDescent="0.2">
      <c r="B603" s="38"/>
      <c r="C603" s="40"/>
      <c r="D603" s="40"/>
      <c r="E603" s="40"/>
      <c r="F603" s="40"/>
      <c r="G603" s="40"/>
      <c r="H603" s="40"/>
      <c r="I603" s="40"/>
      <c r="J603" s="40"/>
      <c r="K603" s="41"/>
    </row>
    <row r="604" spans="2:11" ht="16" x14ac:dyDescent="0.2">
      <c r="B604" s="38"/>
      <c r="C604" s="45" t="s">
        <v>326</v>
      </c>
      <c r="D604" s="40"/>
      <c r="E604" s="40"/>
      <c r="F604" s="40"/>
      <c r="G604" s="40"/>
      <c r="H604" s="40"/>
      <c r="I604" s="40"/>
      <c r="J604" s="40"/>
      <c r="K604" s="41"/>
    </row>
    <row r="605" spans="2:11" x14ac:dyDescent="0.2">
      <c r="B605" s="38"/>
      <c r="C605" s="40" t="s">
        <v>336</v>
      </c>
      <c r="D605" s="40"/>
      <c r="E605" s="40"/>
      <c r="F605" s="40"/>
      <c r="G605" s="40"/>
      <c r="H605" s="40"/>
      <c r="I605" s="40"/>
      <c r="J605" s="275">
        <v>0</v>
      </c>
      <c r="K605" s="41"/>
    </row>
    <row r="606" spans="2:11" x14ac:dyDescent="0.2">
      <c r="B606" s="38"/>
      <c r="C606" s="40" t="s">
        <v>260</v>
      </c>
      <c r="D606" s="40"/>
      <c r="E606" s="40"/>
      <c r="F606" s="40"/>
      <c r="G606" s="40"/>
      <c r="H606" s="40"/>
      <c r="I606" s="40"/>
      <c r="J606" s="248">
        <f>IF(J605&lt;=0,0,IF(J605&lt;=10,1,IF(J605&lt;=25,2,IF(J605&lt;=50,3,4))))</f>
        <v>0</v>
      </c>
      <c r="K606" s="41"/>
    </row>
    <row r="607" spans="2:11" ht="9.75" customHeight="1" x14ac:dyDescent="0.2">
      <c r="B607" s="38"/>
      <c r="C607" s="279" t="str">
        <f>"0:"</f>
        <v>0:</v>
      </c>
      <c r="D607" s="290" t="s">
        <v>944</v>
      </c>
      <c r="E607" s="40"/>
      <c r="F607" s="40"/>
      <c r="G607" s="40"/>
      <c r="H607" s="40"/>
      <c r="I607" s="40"/>
      <c r="J607" s="244"/>
      <c r="K607" s="41"/>
    </row>
    <row r="608" spans="2:11" ht="9.75" customHeight="1" x14ac:dyDescent="0.2">
      <c r="B608" s="38"/>
      <c r="C608" s="280" t="str">
        <f>"1:"</f>
        <v>1:</v>
      </c>
      <c r="D608" s="290" t="s">
        <v>947</v>
      </c>
      <c r="E608" s="40"/>
      <c r="F608" s="40"/>
      <c r="G608" s="40"/>
      <c r="H608" s="40"/>
      <c r="I608" s="40"/>
      <c r="J608" s="244"/>
      <c r="K608" s="41"/>
    </row>
    <row r="609" spans="2:11" ht="9.75" customHeight="1" x14ac:dyDescent="0.2">
      <c r="B609" s="38"/>
      <c r="C609" s="280" t="str">
        <f>"2:"</f>
        <v>2:</v>
      </c>
      <c r="D609" s="290" t="s">
        <v>972</v>
      </c>
      <c r="E609" s="40"/>
      <c r="F609" s="40"/>
      <c r="G609" s="40"/>
      <c r="H609" s="40"/>
      <c r="I609" s="40"/>
      <c r="J609" s="244"/>
      <c r="K609" s="41"/>
    </row>
    <row r="610" spans="2:11" ht="9.75" customHeight="1" x14ac:dyDescent="0.2">
      <c r="B610" s="38"/>
      <c r="C610" s="280" t="str">
        <f>"3:"</f>
        <v>3:</v>
      </c>
      <c r="D610" s="290" t="s">
        <v>973</v>
      </c>
      <c r="E610" s="40"/>
      <c r="F610" s="40"/>
      <c r="G610" s="40"/>
      <c r="H610" s="40"/>
      <c r="I610" s="40"/>
      <c r="J610" s="244"/>
      <c r="K610" s="41"/>
    </row>
    <row r="611" spans="2:11" ht="9.75" customHeight="1" x14ac:dyDescent="0.2">
      <c r="B611" s="38"/>
      <c r="C611" s="280" t="str">
        <f>"4:"</f>
        <v>4:</v>
      </c>
      <c r="D611" s="290" t="s">
        <v>974</v>
      </c>
      <c r="E611" s="40"/>
      <c r="F611" s="40"/>
      <c r="G611" s="40"/>
      <c r="H611" s="40"/>
      <c r="I611" s="40"/>
      <c r="J611" s="40"/>
      <c r="K611" s="41"/>
    </row>
    <row r="612" spans="2:11" x14ac:dyDescent="0.2">
      <c r="B612" s="38"/>
      <c r="C612" s="40" t="s">
        <v>893</v>
      </c>
      <c r="D612" s="40"/>
      <c r="E612" s="40"/>
      <c r="F612" s="40"/>
      <c r="G612" s="40"/>
      <c r="H612" s="40"/>
      <c r="I612" s="40"/>
      <c r="J612" s="40"/>
      <c r="K612" s="41"/>
    </row>
    <row r="613" spans="2:11" ht="30" customHeight="1" x14ac:dyDescent="0.2">
      <c r="B613" s="38"/>
      <c r="C613" s="399"/>
      <c r="D613" s="400"/>
      <c r="E613" s="400"/>
      <c r="F613" s="400"/>
      <c r="G613" s="400"/>
      <c r="H613" s="400"/>
      <c r="I613" s="400"/>
      <c r="J613" s="401"/>
      <c r="K613" s="41"/>
    </row>
    <row r="614" spans="2:11" x14ac:dyDescent="0.2">
      <c r="B614" s="38"/>
      <c r="C614" s="40"/>
      <c r="D614" s="40"/>
      <c r="E614" s="40"/>
      <c r="F614" s="40"/>
      <c r="G614" s="40"/>
      <c r="H614" s="40"/>
      <c r="I614" s="40"/>
      <c r="J614" s="40"/>
      <c r="K614" s="41"/>
    </row>
    <row r="615" spans="2:11" x14ac:dyDescent="0.2">
      <c r="B615" s="38"/>
      <c r="C615" s="179" t="s">
        <v>327</v>
      </c>
      <c r="D615" s="40"/>
      <c r="E615" s="40"/>
      <c r="F615" s="40"/>
      <c r="G615" s="40"/>
      <c r="H615" s="40"/>
      <c r="I615" s="40"/>
      <c r="J615" s="245">
        <f>J606</f>
        <v>0</v>
      </c>
      <c r="K615" s="41"/>
    </row>
    <row r="616" spans="2:11" x14ac:dyDescent="0.2">
      <c r="B616" s="38"/>
      <c r="C616" s="40"/>
      <c r="D616" s="40"/>
      <c r="E616" s="40"/>
      <c r="F616" s="40"/>
      <c r="G616" s="40"/>
      <c r="H616" s="40"/>
      <c r="I616" s="40"/>
      <c r="J616" s="40"/>
      <c r="K616" s="41"/>
    </row>
    <row r="617" spans="2:11" x14ac:dyDescent="0.2">
      <c r="B617" s="38"/>
      <c r="C617" s="40"/>
      <c r="D617" s="40"/>
      <c r="E617" s="40"/>
      <c r="F617" s="40"/>
      <c r="G617" s="40"/>
      <c r="H617" s="40"/>
      <c r="I617" s="40"/>
      <c r="J617" s="40"/>
      <c r="K617" s="41"/>
    </row>
    <row r="618" spans="2:11" ht="16" x14ac:dyDescent="0.2">
      <c r="B618" s="38"/>
      <c r="C618" s="45" t="s">
        <v>92</v>
      </c>
      <c r="D618" s="40"/>
      <c r="E618" s="40"/>
      <c r="F618" s="40"/>
      <c r="G618" s="40"/>
      <c r="H618" s="40"/>
      <c r="I618" s="40"/>
      <c r="J618" s="40"/>
      <c r="K618" s="41"/>
    </row>
    <row r="619" spans="2:11" x14ac:dyDescent="0.2">
      <c r="B619" s="38"/>
      <c r="C619" s="40" t="s">
        <v>337</v>
      </c>
      <c r="D619" s="40"/>
      <c r="E619" s="40"/>
      <c r="F619" s="40"/>
      <c r="G619" s="40"/>
      <c r="H619" s="40"/>
      <c r="I619" s="40"/>
      <c r="J619" s="251">
        <f>'Baseline Health'!G137</f>
        <v>1</v>
      </c>
      <c r="K619" s="41"/>
    </row>
    <row r="620" spans="2:11" ht="15" customHeight="1" x14ac:dyDescent="0.2">
      <c r="B620" s="38"/>
      <c r="C620" s="380" t="s">
        <v>338</v>
      </c>
      <c r="D620" s="380"/>
      <c r="E620" s="380"/>
      <c r="F620" s="380"/>
      <c r="G620" s="380"/>
      <c r="H620" s="380"/>
      <c r="I620" s="380"/>
      <c r="J620" s="251"/>
      <c r="K620" s="41"/>
    </row>
    <row r="621" spans="2:11" x14ac:dyDescent="0.2">
      <c r="B621" s="38"/>
      <c r="C621" s="380"/>
      <c r="D621" s="380"/>
      <c r="E621" s="380"/>
      <c r="F621" s="380"/>
      <c r="G621" s="380"/>
      <c r="H621" s="380"/>
      <c r="I621" s="380"/>
      <c r="J621" s="264">
        <v>0</v>
      </c>
      <c r="K621" s="41"/>
    </row>
    <row r="622" spans="2:11" x14ac:dyDescent="0.2">
      <c r="B622" s="38"/>
      <c r="C622" s="40" t="s">
        <v>260</v>
      </c>
      <c r="D622" s="40"/>
      <c r="E622" s="40"/>
      <c r="F622" s="40"/>
      <c r="G622" s="40"/>
      <c r="H622" s="40"/>
      <c r="I622" s="40"/>
      <c r="J622" s="248">
        <f>IF(OR(J619=0,J619="Not Calculated")=TRUE,"Not Calculated",IF(((J619+J621)/J619)&lt;=1,0,IF(((J619+J621)/J619)&lt;=1.05,1,IF(((J619+J621)/J619)&lt;=1.5, 2,IF(((J619+J621)/J619)&lt;=2,3,4)))))</f>
        <v>0</v>
      </c>
      <c r="K622" s="41"/>
    </row>
    <row r="623" spans="2:11" ht="9.75" customHeight="1" x14ac:dyDescent="0.2">
      <c r="B623" s="38"/>
      <c r="C623" s="279" t="str">
        <f>"0:"</f>
        <v>0:</v>
      </c>
      <c r="D623" s="281" t="s">
        <v>918</v>
      </c>
      <c r="E623" s="291"/>
      <c r="F623" s="291"/>
      <c r="G623" s="291"/>
      <c r="H623" s="291"/>
      <c r="I623" s="291"/>
      <c r="J623" s="251"/>
      <c r="K623" s="41"/>
    </row>
    <row r="624" spans="2:11" ht="9.75" customHeight="1" x14ac:dyDescent="0.2">
      <c r="B624" s="38"/>
      <c r="C624" s="280" t="str">
        <f>"1:"</f>
        <v>1:</v>
      </c>
      <c r="D624" s="281" t="s">
        <v>919</v>
      </c>
      <c r="E624" s="291"/>
      <c r="F624" s="291"/>
      <c r="G624" s="291"/>
      <c r="H624" s="291"/>
      <c r="I624" s="291"/>
      <c r="J624" s="251"/>
      <c r="K624" s="41"/>
    </row>
    <row r="625" spans="2:14" ht="9.75" customHeight="1" x14ac:dyDescent="0.2">
      <c r="B625" s="38"/>
      <c r="C625" s="280" t="str">
        <f>"2:"</f>
        <v>2:</v>
      </c>
      <c r="D625" s="281" t="s">
        <v>920</v>
      </c>
      <c r="E625" s="291"/>
      <c r="F625" s="291"/>
      <c r="G625" s="291"/>
      <c r="H625" s="291"/>
      <c r="I625" s="291"/>
      <c r="J625" s="251"/>
      <c r="K625" s="41"/>
    </row>
    <row r="626" spans="2:14" ht="9.75" customHeight="1" x14ac:dyDescent="0.2">
      <c r="B626" s="38"/>
      <c r="C626" s="280" t="str">
        <f>"3:"</f>
        <v>3:</v>
      </c>
      <c r="D626" s="281" t="s">
        <v>921</v>
      </c>
      <c r="E626" s="291"/>
      <c r="F626" s="291"/>
      <c r="G626" s="291"/>
      <c r="H626" s="291"/>
      <c r="I626" s="291"/>
      <c r="J626" s="251"/>
      <c r="K626" s="41"/>
    </row>
    <row r="627" spans="2:14" ht="9.75" customHeight="1" x14ac:dyDescent="0.2">
      <c r="B627" s="38"/>
      <c r="C627" s="280" t="str">
        <f>"4:"</f>
        <v>4:</v>
      </c>
      <c r="D627" s="281" t="s">
        <v>922</v>
      </c>
      <c r="E627" s="40"/>
      <c r="F627" s="40"/>
      <c r="G627" s="40"/>
      <c r="H627" s="40"/>
      <c r="I627" s="40"/>
      <c r="J627" s="40"/>
      <c r="K627" s="41"/>
      <c r="N627" s="12" t="s">
        <v>661</v>
      </c>
    </row>
    <row r="628" spans="2:14" x14ac:dyDescent="0.2">
      <c r="B628" s="38"/>
      <c r="C628" s="174" t="s">
        <v>662</v>
      </c>
      <c r="D628" s="40"/>
      <c r="E628" s="40"/>
      <c r="F628" s="40"/>
      <c r="G628" s="40"/>
      <c r="H628" s="40"/>
      <c r="I628" s="40"/>
      <c r="J628" s="265" t="s">
        <v>661</v>
      </c>
      <c r="K628" s="41"/>
      <c r="N628" s="12" t="s">
        <v>894</v>
      </c>
    </row>
    <row r="629" spans="2:14" x14ac:dyDescent="0.2">
      <c r="B629" s="38"/>
      <c r="C629" s="174" t="s">
        <v>660</v>
      </c>
      <c r="D629" s="40"/>
      <c r="E629" s="40"/>
      <c r="F629" s="40"/>
      <c r="G629" s="40"/>
      <c r="H629" s="40"/>
      <c r="I629" s="40"/>
      <c r="J629" s="247" t="str">
        <f>IF(J628=N627,"N/A",IF(J628=N628,0,IF(J628=N629,1,IF(J628=N630,2,IF(J628=N631,3,IF(J628=N632,4,"N/A"))))))</f>
        <v>N/A</v>
      </c>
      <c r="K629" s="41"/>
      <c r="N629" s="12" t="s">
        <v>895</v>
      </c>
    </row>
    <row r="630" spans="2:14" x14ac:dyDescent="0.2">
      <c r="B630" s="38"/>
      <c r="C630" s="40" t="s">
        <v>257</v>
      </c>
      <c r="D630" s="40"/>
      <c r="E630" s="40"/>
      <c r="F630" s="40"/>
      <c r="G630" s="40"/>
      <c r="H630" s="40"/>
      <c r="I630" s="40"/>
      <c r="J630" s="266" t="s">
        <v>870</v>
      </c>
      <c r="K630" s="41"/>
      <c r="N630" s="12" t="s">
        <v>896</v>
      </c>
    </row>
    <row r="631" spans="2:14" x14ac:dyDescent="0.2">
      <c r="B631" s="38"/>
      <c r="C631" s="40" t="s">
        <v>261</v>
      </c>
      <c r="D631" s="40"/>
      <c r="E631" s="40"/>
      <c r="F631" s="40"/>
      <c r="G631" s="40"/>
      <c r="H631" s="40"/>
      <c r="I631" s="40"/>
      <c r="J631" s="248">
        <f>IF(J630=$B$973,$A$973,IF(J630=$B$974,$A$974,IF(J630=$B$975,$A$975,IF(J630=$B$976,$A$976,IF(J630=$B$977,$A$977,"Not Calculated")))))</f>
        <v>0</v>
      </c>
      <c r="K631" s="41"/>
      <c r="N631" s="12" t="s">
        <v>897</v>
      </c>
    </row>
    <row r="632" spans="2:14" x14ac:dyDescent="0.2">
      <c r="B632" s="38"/>
      <c r="C632" s="40" t="s">
        <v>893</v>
      </c>
      <c r="D632" s="40"/>
      <c r="E632" s="40"/>
      <c r="F632" s="40"/>
      <c r="G632" s="40"/>
      <c r="H632" s="40"/>
      <c r="I632" s="40"/>
      <c r="J632" s="40"/>
      <c r="K632" s="41"/>
      <c r="N632" s="12" t="s">
        <v>898</v>
      </c>
    </row>
    <row r="633" spans="2:14" ht="30" customHeight="1" x14ac:dyDescent="0.2">
      <c r="B633" s="38"/>
      <c r="C633" s="399"/>
      <c r="D633" s="400"/>
      <c r="E633" s="400"/>
      <c r="F633" s="400"/>
      <c r="G633" s="400"/>
      <c r="H633" s="400"/>
      <c r="I633" s="400"/>
      <c r="J633" s="401"/>
      <c r="K633" s="41"/>
    </row>
    <row r="634" spans="2:14" x14ac:dyDescent="0.2">
      <c r="B634" s="38"/>
      <c r="C634" s="40"/>
      <c r="D634" s="40"/>
      <c r="E634" s="40"/>
      <c r="F634" s="40"/>
      <c r="G634" s="40"/>
      <c r="H634" s="40"/>
      <c r="I634" s="40"/>
      <c r="J634" s="40"/>
      <c r="K634" s="41"/>
    </row>
    <row r="635" spans="2:14" x14ac:dyDescent="0.2">
      <c r="B635" s="38"/>
      <c r="C635" s="179" t="s">
        <v>328</v>
      </c>
      <c r="D635" s="40"/>
      <c r="E635" s="40"/>
      <c r="F635" s="40"/>
      <c r="G635" s="40"/>
      <c r="H635" s="40"/>
      <c r="I635" s="40"/>
      <c r="J635" s="245">
        <f>IF(J629="N/A",IF(OR(J622="Not Calculated",J631="Not Calculated")=TRUE,"Not Calculated",AVERAGE(J622,J631)),AVERAGE(J629,J631))</f>
        <v>0</v>
      </c>
      <c r="K635" s="41"/>
    </row>
    <row r="636" spans="2:14" x14ac:dyDescent="0.2">
      <c r="B636" s="38"/>
      <c r="C636" s="40"/>
      <c r="D636" s="40"/>
      <c r="E636" s="40"/>
      <c r="F636" s="40"/>
      <c r="G636" s="40"/>
      <c r="H636" s="40"/>
      <c r="I636" s="40"/>
      <c r="J636" s="40"/>
      <c r="K636" s="41"/>
    </row>
    <row r="637" spans="2:14" x14ac:dyDescent="0.2">
      <c r="B637" s="38"/>
      <c r="C637" s="40"/>
      <c r="D637" s="40"/>
      <c r="E637" s="40"/>
      <c r="F637" s="40"/>
      <c r="G637" s="40"/>
      <c r="H637" s="40"/>
      <c r="I637" s="40"/>
      <c r="J637" s="40"/>
      <c r="K637" s="41"/>
    </row>
    <row r="638" spans="2:14" ht="16" x14ac:dyDescent="0.2">
      <c r="B638" s="38"/>
      <c r="C638" s="45" t="s">
        <v>329</v>
      </c>
      <c r="D638" s="40"/>
      <c r="E638" s="40"/>
      <c r="F638" s="40"/>
      <c r="G638" s="40"/>
      <c r="H638" s="40"/>
      <c r="I638" s="40"/>
      <c r="J638" s="40"/>
      <c r="K638" s="41"/>
    </row>
    <row r="639" spans="2:14" ht="15" customHeight="1" x14ac:dyDescent="0.2">
      <c r="B639" s="38"/>
      <c r="C639" s="380" t="s">
        <v>339</v>
      </c>
      <c r="D639" s="380"/>
      <c r="E639" s="380"/>
      <c r="F639" s="380"/>
      <c r="G639" s="380"/>
      <c r="H639" s="380"/>
      <c r="I639" s="380"/>
      <c r="J639" s="40"/>
      <c r="K639" s="41"/>
    </row>
    <row r="640" spans="2:14" x14ac:dyDescent="0.2">
      <c r="B640" s="38"/>
      <c r="C640" s="380"/>
      <c r="D640" s="380"/>
      <c r="E640" s="380"/>
      <c r="F640" s="380"/>
      <c r="G640" s="380"/>
      <c r="H640" s="380"/>
      <c r="I640" s="380"/>
      <c r="J640" s="250">
        <f>'Baseline Health'!G145</f>
        <v>0</v>
      </c>
      <c r="K640" s="41"/>
    </row>
    <row r="641" spans="2:14" ht="15" customHeight="1" x14ac:dyDescent="0.2">
      <c r="B641" s="38"/>
      <c r="C641" s="380" t="s">
        <v>340</v>
      </c>
      <c r="D641" s="380"/>
      <c r="E641" s="380"/>
      <c r="F641" s="380"/>
      <c r="G641" s="380"/>
      <c r="H641" s="380"/>
      <c r="I641" s="380"/>
      <c r="J641" s="245"/>
      <c r="K641" s="41"/>
    </row>
    <row r="642" spans="2:14" x14ac:dyDescent="0.2">
      <c r="B642" s="38"/>
      <c r="C642" s="380"/>
      <c r="D642" s="380"/>
      <c r="E642" s="380"/>
      <c r="F642" s="380"/>
      <c r="G642" s="380"/>
      <c r="H642" s="380"/>
      <c r="I642" s="380"/>
      <c r="J642" s="245"/>
      <c r="K642" s="41"/>
    </row>
    <row r="643" spans="2:14" x14ac:dyDescent="0.2">
      <c r="B643" s="38"/>
      <c r="C643" s="380"/>
      <c r="D643" s="380"/>
      <c r="E643" s="380"/>
      <c r="F643" s="380"/>
      <c r="G643" s="380"/>
      <c r="H643" s="380"/>
      <c r="I643" s="380"/>
      <c r="J643" s="272">
        <v>8</v>
      </c>
      <c r="K643" s="41"/>
    </row>
    <row r="644" spans="2:14" x14ac:dyDescent="0.2">
      <c r="B644" s="38"/>
      <c r="C644" s="40" t="s">
        <v>260</v>
      </c>
      <c r="D644" s="40"/>
      <c r="E644" s="40"/>
      <c r="F644" s="40"/>
      <c r="G644" s="40"/>
      <c r="H644" s="40"/>
      <c r="I644" s="40"/>
      <c r="J644" s="248" t="str">
        <f>IF(OR(J640=0,J640="Not Calculated")=TRUE,"Not Calculated",IF(((J640+J643)/J640)&lt;=1,0,IF(((J640+J643)/J640)&lt;=1.05,1,IF(((J640+J643)/J640)&lt;=1.5, 2,IF(((J640+J643)/J640)&lt;=2,3,4)))))</f>
        <v>Not Calculated</v>
      </c>
      <c r="K644" s="41"/>
    </row>
    <row r="645" spans="2:14" ht="9.75" customHeight="1" x14ac:dyDescent="0.2">
      <c r="B645" s="38"/>
      <c r="C645" s="279" t="str">
        <f>"0:"</f>
        <v>0:</v>
      </c>
      <c r="D645" s="281" t="s">
        <v>918</v>
      </c>
      <c r="E645" s="291"/>
      <c r="F645" s="291"/>
      <c r="G645" s="291"/>
      <c r="H645" s="291"/>
      <c r="I645" s="291"/>
      <c r="J645" s="250"/>
      <c r="K645" s="41"/>
    </row>
    <row r="646" spans="2:14" ht="9.75" customHeight="1" x14ac:dyDescent="0.2">
      <c r="B646" s="38"/>
      <c r="C646" s="280" t="str">
        <f>"1:"</f>
        <v>1:</v>
      </c>
      <c r="D646" s="281" t="s">
        <v>919</v>
      </c>
      <c r="E646" s="291"/>
      <c r="F646" s="291"/>
      <c r="G646" s="291"/>
      <c r="H646" s="291"/>
      <c r="I646" s="291"/>
      <c r="J646" s="250"/>
      <c r="K646" s="41"/>
    </row>
    <row r="647" spans="2:14" ht="9.75" customHeight="1" x14ac:dyDescent="0.2">
      <c r="B647" s="38"/>
      <c r="C647" s="280" t="str">
        <f>"2:"</f>
        <v>2:</v>
      </c>
      <c r="D647" s="281" t="s">
        <v>920</v>
      </c>
      <c r="E647" s="291"/>
      <c r="F647" s="291"/>
      <c r="G647" s="291"/>
      <c r="H647" s="291"/>
      <c r="I647" s="291"/>
      <c r="J647" s="250"/>
      <c r="K647" s="41"/>
    </row>
    <row r="648" spans="2:14" ht="9.75" customHeight="1" x14ac:dyDescent="0.2">
      <c r="B648" s="38"/>
      <c r="C648" s="280" t="str">
        <f>"3:"</f>
        <v>3:</v>
      </c>
      <c r="D648" s="281" t="s">
        <v>921</v>
      </c>
      <c r="E648" s="291"/>
      <c r="F648" s="291"/>
      <c r="G648" s="291"/>
      <c r="H648" s="291"/>
      <c r="I648" s="291"/>
      <c r="J648" s="250"/>
      <c r="K648" s="41"/>
    </row>
    <row r="649" spans="2:14" ht="9.75" customHeight="1" x14ac:dyDescent="0.2">
      <c r="B649" s="38"/>
      <c r="C649" s="280" t="str">
        <f>"4:"</f>
        <v>4:</v>
      </c>
      <c r="D649" s="281" t="s">
        <v>922</v>
      </c>
      <c r="E649" s="40"/>
      <c r="F649" s="40"/>
      <c r="G649" s="40"/>
      <c r="H649" s="40"/>
      <c r="I649" s="40"/>
      <c r="J649" s="40"/>
      <c r="K649" s="41"/>
      <c r="N649" s="12" t="s">
        <v>661</v>
      </c>
    </row>
    <row r="650" spans="2:14" x14ac:dyDescent="0.2">
      <c r="B650" s="38"/>
      <c r="C650" s="174" t="s">
        <v>662</v>
      </c>
      <c r="D650" s="40"/>
      <c r="E650" s="40"/>
      <c r="F650" s="40"/>
      <c r="G650" s="40"/>
      <c r="H650" s="40"/>
      <c r="I650" s="40"/>
      <c r="J650" s="265" t="s">
        <v>661</v>
      </c>
      <c r="K650" s="41"/>
      <c r="N650" s="12" t="s">
        <v>894</v>
      </c>
    </row>
    <row r="651" spans="2:14" x14ac:dyDescent="0.2">
      <c r="B651" s="38"/>
      <c r="C651" s="174" t="s">
        <v>660</v>
      </c>
      <c r="D651" s="40"/>
      <c r="E651" s="40"/>
      <c r="F651" s="40"/>
      <c r="G651" s="40"/>
      <c r="H651" s="40"/>
      <c r="I651" s="40"/>
      <c r="J651" s="247" t="str">
        <f>IF(J650=N649,"N/A",IF(J650=N650,0,IF(J650=N651,1,IF(J650=N652,2,IF(J650=N653,3,IF(J650=N654,4,"N/A"))))))</f>
        <v>N/A</v>
      </c>
      <c r="K651" s="41"/>
      <c r="N651" s="12" t="s">
        <v>895</v>
      </c>
    </row>
    <row r="652" spans="2:14" ht="15" customHeight="1" x14ac:dyDescent="0.2">
      <c r="B652" s="38"/>
      <c r="C652" s="40" t="s">
        <v>257</v>
      </c>
      <c r="D652" s="40"/>
      <c r="E652" s="40"/>
      <c r="F652" s="40"/>
      <c r="G652" s="40"/>
      <c r="H652" s="40"/>
      <c r="I652" s="40"/>
      <c r="J652" s="266" t="s">
        <v>873</v>
      </c>
      <c r="K652" s="41"/>
      <c r="N652" s="12" t="s">
        <v>896</v>
      </c>
    </row>
    <row r="653" spans="2:14" x14ac:dyDescent="0.2">
      <c r="B653" s="38"/>
      <c r="C653" s="40" t="s">
        <v>261</v>
      </c>
      <c r="D653" s="40"/>
      <c r="E653" s="40"/>
      <c r="F653" s="40"/>
      <c r="G653" s="40"/>
      <c r="H653" s="40"/>
      <c r="I653" s="40"/>
      <c r="J653" s="248">
        <f>IF(J652=$B$973,$A$973,IF(J652=$B$974,$A$974,IF(J652=$B$975,$A$975,IF(J652=$B$976,$A$976,IF(J652=$B$977,$A$977,"Not Calculated")))))</f>
        <v>3</v>
      </c>
      <c r="K653" s="41"/>
      <c r="N653" s="12" t="s">
        <v>897</v>
      </c>
    </row>
    <row r="654" spans="2:14" x14ac:dyDescent="0.2">
      <c r="B654" s="38"/>
      <c r="C654" s="40" t="s">
        <v>893</v>
      </c>
      <c r="D654" s="40"/>
      <c r="E654" s="40"/>
      <c r="F654" s="40"/>
      <c r="G654" s="40"/>
      <c r="H654" s="40"/>
      <c r="I654" s="40"/>
      <c r="J654" s="40"/>
      <c r="K654" s="41"/>
      <c r="N654" s="12" t="s">
        <v>898</v>
      </c>
    </row>
    <row r="655" spans="2:14" ht="45" customHeight="1" x14ac:dyDescent="0.2">
      <c r="B655" s="38"/>
      <c r="C655" s="399" t="s">
        <v>433</v>
      </c>
      <c r="D655" s="400"/>
      <c r="E655" s="400"/>
      <c r="F655" s="400"/>
      <c r="G655" s="400"/>
      <c r="H655" s="400"/>
      <c r="I655" s="400"/>
      <c r="J655" s="401"/>
      <c r="K655" s="41"/>
    </row>
    <row r="656" spans="2:14" x14ac:dyDescent="0.2">
      <c r="B656" s="38"/>
      <c r="C656" s="40"/>
      <c r="D656" s="40"/>
      <c r="E656" s="40"/>
      <c r="F656" s="40"/>
      <c r="G656" s="40"/>
      <c r="H656" s="40"/>
      <c r="I656" s="40"/>
      <c r="J656" s="40"/>
      <c r="K656" s="41"/>
    </row>
    <row r="657" spans="2:14" x14ac:dyDescent="0.2">
      <c r="B657" s="38"/>
      <c r="C657" s="179" t="s">
        <v>330</v>
      </c>
      <c r="D657" s="40"/>
      <c r="E657" s="40"/>
      <c r="F657" s="40"/>
      <c r="G657" s="40"/>
      <c r="H657" s="40"/>
      <c r="I657" s="40"/>
      <c r="J657" s="245" t="str">
        <f>IF(J651="N/A",IF(OR(J644="Not Calculated",J653="Not Calculated")=TRUE,"Not Calculated",AVERAGE(J644,J653)),AVERAGE(J651,J653))</f>
        <v>Not Calculated</v>
      </c>
      <c r="K657" s="41"/>
    </row>
    <row r="658" spans="2:14" x14ac:dyDescent="0.2">
      <c r="B658" s="38"/>
      <c r="C658" s="40"/>
      <c r="D658" s="40"/>
      <c r="E658" s="40"/>
      <c r="F658" s="40"/>
      <c r="G658" s="40"/>
      <c r="H658" s="40"/>
      <c r="I658" s="40"/>
      <c r="J658" s="40"/>
      <c r="K658" s="41"/>
    </row>
    <row r="659" spans="2:14" x14ac:dyDescent="0.2">
      <c r="B659" s="38"/>
      <c r="C659" s="40"/>
      <c r="D659" s="40"/>
      <c r="E659" s="40"/>
      <c r="F659" s="40"/>
      <c r="G659" s="40"/>
      <c r="H659" s="40"/>
      <c r="I659" s="40"/>
      <c r="J659" s="40"/>
      <c r="K659" s="41"/>
    </row>
    <row r="660" spans="2:14" ht="16" x14ac:dyDescent="0.2">
      <c r="B660" s="38"/>
      <c r="C660" s="45" t="s">
        <v>97</v>
      </c>
      <c r="D660" s="40"/>
      <c r="E660" s="40"/>
      <c r="F660" s="40"/>
      <c r="G660" s="40"/>
      <c r="H660" s="40"/>
      <c r="I660" s="40"/>
      <c r="J660" s="40"/>
      <c r="K660" s="41"/>
    </row>
    <row r="661" spans="2:14" x14ac:dyDescent="0.2">
      <c r="B661" s="38"/>
      <c r="C661" s="40" t="s">
        <v>449</v>
      </c>
      <c r="D661" s="40"/>
      <c r="E661" s="40"/>
      <c r="F661" s="40"/>
      <c r="G661" s="40"/>
      <c r="H661" s="40"/>
      <c r="I661" s="40"/>
      <c r="J661" s="249">
        <f>'Baseline Health'!G150</f>
        <v>0</v>
      </c>
      <c r="K661" s="41"/>
    </row>
    <row r="662" spans="2:14" x14ac:dyDescent="0.2">
      <c r="B662" s="38"/>
      <c r="C662" s="40" t="s">
        <v>341</v>
      </c>
      <c r="D662" s="40"/>
      <c r="E662" s="40"/>
      <c r="F662" s="40"/>
      <c r="G662" s="40"/>
      <c r="H662" s="40"/>
      <c r="I662" s="40"/>
      <c r="J662" s="273">
        <v>0</v>
      </c>
      <c r="K662" s="41"/>
    </row>
    <row r="663" spans="2:14" x14ac:dyDescent="0.2">
      <c r="B663" s="38"/>
      <c r="C663" s="40" t="s">
        <v>450</v>
      </c>
      <c r="D663" s="40"/>
      <c r="E663" s="40"/>
      <c r="F663" s="40"/>
      <c r="G663" s="40"/>
      <c r="H663" s="40"/>
      <c r="I663" s="40"/>
      <c r="J663" s="243">
        <f>J26</f>
        <v>0</v>
      </c>
      <c r="K663" s="41"/>
    </row>
    <row r="664" spans="2:14" ht="15" customHeight="1" x14ac:dyDescent="0.2">
      <c r="B664" s="38"/>
      <c r="C664" s="291"/>
      <c r="D664" s="380" t="s">
        <v>342</v>
      </c>
      <c r="E664" s="380"/>
      <c r="F664" s="380"/>
      <c r="G664" s="380"/>
      <c r="H664" s="380"/>
      <c r="I664" s="380"/>
      <c r="J664" s="245"/>
      <c r="K664" s="41"/>
    </row>
    <row r="665" spans="2:14" x14ac:dyDescent="0.2">
      <c r="B665" s="38"/>
      <c r="C665" s="291"/>
      <c r="D665" s="380"/>
      <c r="E665" s="380"/>
      <c r="F665" s="380"/>
      <c r="G665" s="380"/>
      <c r="H665" s="380"/>
      <c r="I665" s="380"/>
      <c r="J665" s="245"/>
      <c r="K665" s="41"/>
    </row>
    <row r="666" spans="2:14" x14ac:dyDescent="0.2">
      <c r="B666" s="38"/>
      <c r="C666" s="40" t="s">
        <v>260</v>
      </c>
      <c r="D666" s="40"/>
      <c r="E666" s="40"/>
      <c r="F666" s="40"/>
      <c r="G666" s="40"/>
      <c r="H666" s="40"/>
      <c r="I666" s="40"/>
      <c r="J666" s="245" t="str">
        <f>IF(OR(J661=0,J661="Not Calculated")=TRUE,"Not Calculated",IF(((J661+J663)/(J661-J662))&lt;=1,0,IF(((J661+J663)/(J661-J662))&lt;=1.1,1,IF(((J661+J663)/(J661-J662))&lt;=1.5, 2,IF(((J661+J663)/(J661-J662))&lt;=2,3,4)))))</f>
        <v>Not Calculated</v>
      </c>
      <c r="K666" s="41"/>
    </row>
    <row r="667" spans="2:14" ht="9.75" customHeight="1" x14ac:dyDescent="0.2">
      <c r="B667" s="38"/>
      <c r="C667" s="279" t="str">
        <f>"0:"</f>
        <v>0:</v>
      </c>
      <c r="D667" s="278" t="s">
        <v>918</v>
      </c>
      <c r="E667" s="291"/>
      <c r="F667" s="291"/>
      <c r="G667" s="291"/>
      <c r="H667" s="291"/>
      <c r="I667" s="291"/>
      <c r="J667" s="245"/>
      <c r="K667" s="41"/>
    </row>
    <row r="668" spans="2:14" ht="9.75" customHeight="1" x14ac:dyDescent="0.2">
      <c r="B668" s="38"/>
      <c r="C668" s="280" t="str">
        <f>"1:"</f>
        <v>1:</v>
      </c>
      <c r="D668" s="278" t="s">
        <v>923</v>
      </c>
      <c r="E668" s="291"/>
      <c r="F668" s="291"/>
      <c r="G668" s="291"/>
      <c r="H668" s="291"/>
      <c r="I668" s="291"/>
      <c r="J668" s="245"/>
      <c r="K668" s="41"/>
    </row>
    <row r="669" spans="2:14" ht="9.75" customHeight="1" x14ac:dyDescent="0.2">
      <c r="B669" s="38"/>
      <c r="C669" s="280" t="str">
        <f>"2:"</f>
        <v>2:</v>
      </c>
      <c r="D669" s="278" t="s">
        <v>924</v>
      </c>
      <c r="E669" s="291"/>
      <c r="F669" s="291"/>
      <c r="G669" s="291"/>
      <c r="H669" s="291"/>
      <c r="I669" s="291"/>
      <c r="J669" s="245"/>
      <c r="K669" s="41"/>
    </row>
    <row r="670" spans="2:14" ht="9.75" customHeight="1" x14ac:dyDescent="0.2">
      <c r="B670" s="38"/>
      <c r="C670" s="280" t="str">
        <f>"3:"</f>
        <v>3:</v>
      </c>
      <c r="D670" s="278" t="s">
        <v>925</v>
      </c>
      <c r="E670" s="291"/>
      <c r="F670" s="291"/>
      <c r="G670" s="291"/>
      <c r="H670" s="291"/>
      <c r="I670" s="291"/>
      <c r="J670" s="245"/>
      <c r="K670" s="41"/>
    </row>
    <row r="671" spans="2:14" ht="9.75" customHeight="1" x14ac:dyDescent="0.2">
      <c r="B671" s="38"/>
      <c r="C671" s="280" t="str">
        <f>"4:"</f>
        <v>4:</v>
      </c>
      <c r="D671" s="278" t="s">
        <v>926</v>
      </c>
      <c r="E671" s="40"/>
      <c r="F671" s="40"/>
      <c r="G671" s="40"/>
      <c r="H671" s="40"/>
      <c r="I671" s="40"/>
      <c r="J671" s="40"/>
      <c r="K671" s="41"/>
      <c r="N671" s="12" t="s">
        <v>661</v>
      </c>
    </row>
    <row r="672" spans="2:14" ht="15" customHeight="1" x14ac:dyDescent="0.2">
      <c r="B672" s="38"/>
      <c r="C672" s="174" t="s">
        <v>662</v>
      </c>
      <c r="D672" s="40"/>
      <c r="E672" s="40"/>
      <c r="F672" s="40"/>
      <c r="G672" s="40"/>
      <c r="H672" s="40"/>
      <c r="I672" s="40"/>
      <c r="J672" s="265" t="s">
        <v>661</v>
      </c>
      <c r="K672" s="41"/>
      <c r="N672" s="12" t="s">
        <v>894</v>
      </c>
    </row>
    <row r="673" spans="2:14" ht="15" customHeight="1" x14ac:dyDescent="0.2">
      <c r="B673" s="38"/>
      <c r="C673" s="174" t="s">
        <v>660</v>
      </c>
      <c r="D673" s="40"/>
      <c r="E673" s="40"/>
      <c r="F673" s="40"/>
      <c r="G673" s="40"/>
      <c r="H673" s="40"/>
      <c r="I673" s="40"/>
      <c r="J673" s="246" t="str">
        <f>IF(J672=N671,"N/A",IF(J672=N672,0,IF(J672=N673,1,IF(J672=N674,2,IF(J672=N675,3,IF(J672=N676,4,"N/A"))))))</f>
        <v>N/A</v>
      </c>
      <c r="K673" s="41"/>
      <c r="N673" s="12" t="s">
        <v>908</v>
      </c>
    </row>
    <row r="674" spans="2:14" ht="15" customHeight="1" x14ac:dyDescent="0.2">
      <c r="B674" s="38"/>
      <c r="C674" s="40" t="s">
        <v>257</v>
      </c>
      <c r="D674" s="40"/>
      <c r="E674" s="40"/>
      <c r="F674" s="40"/>
      <c r="G674" s="40"/>
      <c r="H674" s="40"/>
      <c r="I674" s="40"/>
      <c r="J674" s="266" t="s">
        <v>872</v>
      </c>
      <c r="K674" s="41"/>
      <c r="N674" s="12" t="s">
        <v>900</v>
      </c>
    </row>
    <row r="675" spans="2:14" x14ac:dyDescent="0.2">
      <c r="B675" s="38"/>
      <c r="C675" s="40" t="s">
        <v>261</v>
      </c>
      <c r="D675" s="40"/>
      <c r="E675" s="40"/>
      <c r="F675" s="40"/>
      <c r="G675" s="40"/>
      <c r="H675" s="40"/>
      <c r="I675" s="40"/>
      <c r="J675" s="248">
        <f>IF(J674=$B$973,$A$973,IF(J674=$B$974,$A$974,IF(J674=$B$975,$A$975,IF(J674=$B$976,$A$976,IF(J674=$B$977,$A$977,"Not Calculated")))))</f>
        <v>2</v>
      </c>
      <c r="K675" s="41"/>
      <c r="N675" s="12" t="s">
        <v>901</v>
      </c>
    </row>
    <row r="676" spans="2:14" ht="15" customHeight="1" x14ac:dyDescent="0.2">
      <c r="B676" s="38"/>
      <c r="C676" s="40" t="s">
        <v>893</v>
      </c>
      <c r="D676" s="40"/>
      <c r="E676" s="40"/>
      <c r="F676" s="40"/>
      <c r="G676" s="40"/>
      <c r="H676" s="40"/>
      <c r="I676" s="40"/>
      <c r="J676" s="40"/>
      <c r="K676" s="41"/>
      <c r="N676" s="12" t="s">
        <v>909</v>
      </c>
    </row>
    <row r="677" spans="2:14" ht="30" customHeight="1" x14ac:dyDescent="0.2">
      <c r="B677" s="38"/>
      <c r="C677" s="399"/>
      <c r="D677" s="400"/>
      <c r="E677" s="400"/>
      <c r="F677" s="400"/>
      <c r="G677" s="400"/>
      <c r="H677" s="400"/>
      <c r="I677" s="400"/>
      <c r="J677" s="401"/>
      <c r="K677" s="41"/>
    </row>
    <row r="678" spans="2:14" x14ac:dyDescent="0.2">
      <c r="B678" s="38"/>
      <c r="C678" s="40"/>
      <c r="D678" s="40"/>
      <c r="E678" s="40"/>
      <c r="F678" s="40"/>
      <c r="G678" s="40"/>
      <c r="H678" s="40"/>
      <c r="I678" s="40"/>
      <c r="J678" s="40"/>
      <c r="K678" s="41"/>
    </row>
    <row r="679" spans="2:14" x14ac:dyDescent="0.2">
      <c r="B679" s="38"/>
      <c r="C679" s="179" t="s">
        <v>331</v>
      </c>
      <c r="D679" s="40"/>
      <c r="E679" s="40"/>
      <c r="F679" s="40"/>
      <c r="G679" s="40"/>
      <c r="H679" s="40"/>
      <c r="I679" s="40"/>
      <c r="J679" s="245" t="str">
        <f>IF(J673="N/A",IF(OR(J666="Not Calculated",J675="Not Calculated")=TRUE,"Not Calculated",AVERAGE(J666,J675)),AVERAGE(J673,J675))</f>
        <v>Not Calculated</v>
      </c>
      <c r="K679" s="41"/>
    </row>
    <row r="680" spans="2:14" x14ac:dyDescent="0.2">
      <c r="B680" s="38"/>
      <c r="C680" s="40"/>
      <c r="D680" s="40"/>
      <c r="E680" s="40"/>
      <c r="F680" s="40"/>
      <c r="G680" s="40"/>
      <c r="H680" s="40"/>
      <c r="I680" s="40"/>
      <c r="J680" s="40"/>
      <c r="K680" s="41"/>
    </row>
    <row r="681" spans="2:14" ht="18" x14ac:dyDescent="0.2">
      <c r="B681" s="38"/>
      <c r="C681" s="180" t="s">
        <v>332</v>
      </c>
      <c r="D681" s="40"/>
      <c r="E681" s="40"/>
      <c r="F681" s="40"/>
      <c r="G681" s="40"/>
      <c r="H681" s="40"/>
      <c r="I681" s="40"/>
      <c r="J681" s="244" t="str">
        <f>IF(OR(J562="Not Calculated",J585="Not Calculated",J601="Not Calculated",J615="Not Calculated",J635="Not Calculated",J657="Not Calculated",J679="Not Calculated")=TRUE,"Not Calculated",AVERAGE(J562,J585,J601,J615,J635,J657,J679))</f>
        <v>Not Calculated</v>
      </c>
      <c r="K681" s="41"/>
    </row>
    <row r="682" spans="2:14" ht="16" thickBot="1" x14ac:dyDescent="0.25">
      <c r="B682" s="46"/>
      <c r="C682" s="47"/>
      <c r="D682" s="47"/>
      <c r="E682" s="47"/>
      <c r="F682" s="47"/>
      <c r="G682" s="47"/>
      <c r="H682" s="47"/>
      <c r="I682" s="47"/>
      <c r="J682" s="47"/>
      <c r="K682" s="49"/>
    </row>
    <row r="683" spans="2:14" ht="16" thickBot="1" x14ac:dyDescent="0.25"/>
    <row r="684" spans="2:14" x14ac:dyDescent="0.2">
      <c r="B684" s="33"/>
      <c r="C684" s="34"/>
      <c r="D684" s="34"/>
      <c r="E684" s="34"/>
      <c r="F684" s="34"/>
      <c r="G684" s="34"/>
      <c r="H684" s="34"/>
      <c r="I684" s="34"/>
      <c r="J684" s="34"/>
      <c r="K684" s="37"/>
    </row>
    <row r="685" spans="2:14" ht="21" x14ac:dyDescent="0.25">
      <c r="B685" s="38"/>
      <c r="C685" s="40"/>
      <c r="D685" s="40"/>
      <c r="E685" s="40"/>
      <c r="F685" s="40"/>
      <c r="G685" s="172" t="s">
        <v>346</v>
      </c>
      <c r="H685" s="40"/>
      <c r="I685" s="40"/>
      <c r="J685" s="40"/>
      <c r="K685" s="41"/>
    </row>
    <row r="686" spans="2:14" x14ac:dyDescent="0.2">
      <c r="B686" s="38"/>
      <c r="C686" s="40"/>
      <c r="D686" s="40"/>
      <c r="E686" s="40"/>
      <c r="F686" s="40"/>
      <c r="G686" s="40"/>
      <c r="H686" s="40"/>
      <c r="I686" s="40"/>
      <c r="J686" s="40"/>
      <c r="K686" s="41"/>
    </row>
    <row r="687" spans="2:14" ht="16" x14ac:dyDescent="0.2">
      <c r="B687" s="38"/>
      <c r="C687" s="182" t="s">
        <v>986</v>
      </c>
      <c r="D687" s="40"/>
      <c r="E687" s="40"/>
      <c r="F687" s="40"/>
      <c r="G687" s="40"/>
      <c r="H687" s="40"/>
      <c r="I687" s="40"/>
      <c r="J687" s="257" t="str">
        <f>IF(OR($J$133="Not Calculated",$J$261="Not Calculated",$J$421="Not Calculated",$J$539="Not Calculated",$J$681="Not Calculated")=TRUE,"Not Calculated",AVERAGE($J$133,$J$261,$J$421,$J$539,$J$681))</f>
        <v>Not Calculated</v>
      </c>
      <c r="K687" s="41"/>
    </row>
    <row r="688" spans="2:14" x14ac:dyDescent="0.2">
      <c r="B688" s="38"/>
      <c r="C688" s="40"/>
      <c r="D688" s="40" t="s">
        <v>343</v>
      </c>
      <c r="E688" s="40"/>
      <c r="F688" s="40"/>
      <c r="G688" s="40"/>
      <c r="H688" s="40"/>
      <c r="I688" s="40"/>
      <c r="J688" s="40"/>
      <c r="K688" s="41"/>
    </row>
    <row r="689" spans="2:11" ht="15" customHeight="1" x14ac:dyDescent="0.2">
      <c r="B689" s="38"/>
      <c r="C689" s="40"/>
      <c r="D689" s="40"/>
      <c r="E689" s="40"/>
      <c r="F689" s="40"/>
      <c r="G689" s="40"/>
      <c r="H689" s="40"/>
      <c r="I689" s="40"/>
      <c r="J689" s="40"/>
      <c r="K689" s="41"/>
    </row>
    <row r="690" spans="2:11" ht="16" x14ac:dyDescent="0.2">
      <c r="B690" s="38"/>
      <c r="C690" s="182" t="s">
        <v>987</v>
      </c>
      <c r="D690" s="40"/>
      <c r="E690" s="40"/>
      <c r="F690" s="40"/>
      <c r="G690" s="40"/>
      <c r="H690" s="40"/>
      <c r="I690" s="40"/>
      <c r="J690" s="257" t="str">
        <f>IF(OR($J$133="Not Calculated",$J$261="Not Calculated",$J$539="Not Calculated",$J$681="Not Calculated")=TRUE,"Not Calculated",AVERAGE($J$133,$J$261,$J$539,$J$681))</f>
        <v>Not Calculated</v>
      </c>
      <c r="K690" s="41"/>
    </row>
    <row r="691" spans="2:11" ht="15" customHeight="1" x14ac:dyDescent="0.2">
      <c r="B691" s="38"/>
      <c r="C691" s="40"/>
      <c r="D691" s="40" t="s">
        <v>344</v>
      </c>
      <c r="E691" s="40"/>
      <c r="F691" s="40"/>
      <c r="G691" s="40"/>
      <c r="H691" s="40"/>
      <c r="I691" s="40"/>
      <c r="J691" s="40"/>
      <c r="K691" s="41"/>
    </row>
    <row r="692" spans="2:11" x14ac:dyDescent="0.2">
      <c r="B692" s="38"/>
      <c r="C692" s="40"/>
      <c r="D692" s="40"/>
      <c r="E692" s="40"/>
      <c r="F692" s="40"/>
      <c r="G692" s="40"/>
      <c r="H692" s="40"/>
      <c r="I692" s="40"/>
      <c r="J692" s="40"/>
      <c r="K692" s="41"/>
    </row>
    <row r="693" spans="2:11" ht="16" x14ac:dyDescent="0.2">
      <c r="B693" s="38"/>
      <c r="C693" s="182" t="s">
        <v>988</v>
      </c>
      <c r="D693" s="40"/>
      <c r="E693" s="40"/>
      <c r="F693" s="40"/>
      <c r="G693" s="40"/>
      <c r="H693" s="40"/>
      <c r="I693" s="40"/>
      <c r="J693" s="257" t="str">
        <f>IF(OR($J$133="Not Calculated",$J$261="Not Calculated",$J$421="Not Calculated")=TRUE,"Not Calculated",AVERAGE($J$133,$J$261,$J$421))</f>
        <v>Not Calculated</v>
      </c>
      <c r="K693" s="41"/>
    </row>
    <row r="694" spans="2:11" x14ac:dyDescent="0.2">
      <c r="B694" s="38"/>
      <c r="C694" s="40"/>
      <c r="D694" s="40" t="s">
        <v>345</v>
      </c>
      <c r="E694" s="40"/>
      <c r="F694" s="40"/>
      <c r="G694" s="40"/>
      <c r="H694" s="40"/>
      <c r="I694" s="40"/>
      <c r="J694" s="40"/>
      <c r="K694" s="41"/>
    </row>
    <row r="695" spans="2:11" ht="16" thickBot="1" x14ac:dyDescent="0.25">
      <c r="B695" s="46"/>
      <c r="C695" s="47"/>
      <c r="D695" s="47"/>
      <c r="E695" s="47"/>
      <c r="F695" s="47"/>
      <c r="G695" s="47"/>
      <c r="H695" s="47"/>
      <c r="I695" s="47"/>
      <c r="J695" s="47"/>
      <c r="K695" s="49"/>
    </row>
    <row r="696" spans="2:11" ht="16" thickBot="1" x14ac:dyDescent="0.25"/>
    <row r="697" spans="2:11" x14ac:dyDescent="0.2">
      <c r="B697" s="183"/>
      <c r="C697" s="184"/>
      <c r="D697" s="184"/>
      <c r="E697" s="184"/>
      <c r="F697" s="184"/>
      <c r="G697" s="184"/>
      <c r="H697" s="184"/>
      <c r="I697" s="184"/>
      <c r="J697" s="184"/>
      <c r="K697" s="185"/>
    </row>
    <row r="698" spans="2:11" ht="21" x14ac:dyDescent="0.25">
      <c r="B698" s="186"/>
      <c r="C698" s="187"/>
      <c r="D698" s="187"/>
      <c r="E698" s="187"/>
      <c r="F698" s="187"/>
      <c r="G698" s="188" t="s">
        <v>231</v>
      </c>
      <c r="H698" s="187"/>
      <c r="I698" s="187"/>
      <c r="J698" s="187"/>
      <c r="K698" s="189"/>
    </row>
    <row r="699" spans="2:11" x14ac:dyDescent="0.2">
      <c r="B699" s="186"/>
      <c r="C699" s="187"/>
      <c r="D699" s="187"/>
      <c r="E699" s="187"/>
      <c r="F699" s="187"/>
      <c r="G699" s="187"/>
      <c r="H699" s="187"/>
      <c r="I699" s="187"/>
      <c r="J699" s="187"/>
      <c r="K699" s="189"/>
    </row>
    <row r="700" spans="2:11" ht="16" x14ac:dyDescent="0.2">
      <c r="B700" s="186"/>
      <c r="C700" s="190" t="s">
        <v>989</v>
      </c>
      <c r="D700" s="187"/>
      <c r="E700" s="187"/>
      <c r="F700" s="187"/>
      <c r="G700" s="187"/>
      <c r="H700" s="187"/>
      <c r="I700" s="187"/>
      <c r="J700" s="256" t="str">
        <f>IF(OR(J687="Not Calculated",$E$17="Not Calculated")=TRUE,"Not Calculated",(J687*$E$17*100/16))</f>
        <v>Not Calculated</v>
      </c>
      <c r="K700" s="189"/>
    </row>
    <row r="701" spans="2:11" x14ac:dyDescent="0.2">
      <c r="B701" s="186"/>
      <c r="C701" s="187"/>
      <c r="D701" s="187" t="s">
        <v>377</v>
      </c>
      <c r="E701" s="187"/>
      <c r="F701" s="187"/>
      <c r="G701" s="187"/>
      <c r="H701" s="187"/>
      <c r="I701" s="187"/>
      <c r="J701" s="187"/>
      <c r="K701" s="189"/>
    </row>
    <row r="702" spans="2:11" x14ac:dyDescent="0.2">
      <c r="B702" s="186"/>
      <c r="C702" s="187"/>
      <c r="D702" s="187"/>
      <c r="E702" s="187"/>
      <c r="F702" s="187"/>
      <c r="G702" s="187"/>
      <c r="H702" s="187"/>
      <c r="I702" s="187"/>
      <c r="J702" s="187"/>
      <c r="K702" s="189"/>
    </row>
    <row r="703" spans="2:11" ht="16" x14ac:dyDescent="0.2">
      <c r="B703" s="186"/>
      <c r="C703" s="190" t="s">
        <v>990</v>
      </c>
      <c r="D703" s="187"/>
      <c r="E703" s="187"/>
      <c r="F703" s="187"/>
      <c r="G703" s="187"/>
      <c r="H703" s="187"/>
      <c r="I703" s="187"/>
      <c r="J703" s="256" t="str">
        <f>IF(OR(J690="Not Calculated",$E$17="Not Calculated")=TRUE,"Not Calculated",(J690*$E$17*100/16))</f>
        <v>Not Calculated</v>
      </c>
      <c r="K703" s="189"/>
    </row>
    <row r="704" spans="2:11" x14ac:dyDescent="0.2">
      <c r="B704" s="186"/>
      <c r="C704" s="187"/>
      <c r="D704" s="187" t="s">
        <v>378</v>
      </c>
      <c r="E704" s="187"/>
      <c r="F704" s="187"/>
      <c r="G704" s="187"/>
      <c r="H704" s="187"/>
      <c r="I704" s="187"/>
      <c r="J704" s="187"/>
      <c r="K704" s="189"/>
    </row>
    <row r="705" spans="2:11" x14ac:dyDescent="0.2">
      <c r="B705" s="186"/>
      <c r="C705" s="187"/>
      <c r="D705" s="187"/>
      <c r="E705" s="187"/>
      <c r="F705" s="187"/>
      <c r="G705" s="187"/>
      <c r="H705" s="187"/>
      <c r="I705" s="187"/>
      <c r="J705" s="187"/>
      <c r="K705" s="189"/>
    </row>
    <row r="706" spans="2:11" ht="16" x14ac:dyDescent="0.2">
      <c r="B706" s="186"/>
      <c r="C706" s="190" t="s">
        <v>991</v>
      </c>
      <c r="D706" s="187"/>
      <c r="E706" s="187"/>
      <c r="F706" s="187"/>
      <c r="G706" s="187"/>
      <c r="H706" s="187"/>
      <c r="I706" s="187"/>
      <c r="J706" s="256" t="str">
        <f>IF(OR(J693="Not Calculated",$E$17="Not Calculated")=TRUE,"Not Calculated",(J693*$E$17*100/16))</f>
        <v>Not Calculated</v>
      </c>
      <c r="K706" s="189"/>
    </row>
    <row r="707" spans="2:11" x14ac:dyDescent="0.2">
      <c r="B707" s="186"/>
      <c r="C707" s="187"/>
      <c r="D707" s="187" t="s">
        <v>379</v>
      </c>
      <c r="E707" s="187"/>
      <c r="F707" s="187"/>
      <c r="G707" s="187"/>
      <c r="H707" s="187"/>
      <c r="I707" s="187"/>
      <c r="J707" s="187"/>
      <c r="K707" s="189"/>
    </row>
    <row r="708" spans="2:11" ht="16" thickBot="1" x14ac:dyDescent="0.25">
      <c r="B708" s="191"/>
      <c r="C708" s="192"/>
      <c r="D708" s="192"/>
      <c r="E708" s="192"/>
      <c r="F708" s="192"/>
      <c r="G708" s="192"/>
      <c r="H708" s="192"/>
      <c r="I708" s="192"/>
      <c r="J708" s="192"/>
      <c r="K708" s="193"/>
    </row>
    <row r="709" spans="2:11" ht="16" thickBot="1" x14ac:dyDescent="0.25"/>
    <row r="710" spans="2:11" x14ac:dyDescent="0.2">
      <c r="B710" s="53"/>
      <c r="C710" s="54"/>
      <c r="D710" s="54"/>
      <c r="E710" s="54"/>
      <c r="F710" s="54"/>
      <c r="G710" s="54"/>
      <c r="H710" s="54"/>
      <c r="I710" s="54"/>
      <c r="J710" s="54"/>
      <c r="K710" s="56"/>
    </row>
    <row r="711" spans="2:11" ht="21" x14ac:dyDescent="0.25">
      <c r="B711" s="57"/>
      <c r="C711" s="59"/>
      <c r="D711" s="59"/>
      <c r="E711" s="59"/>
      <c r="F711" s="59"/>
      <c r="G711" s="194" t="s">
        <v>232</v>
      </c>
      <c r="H711" s="59"/>
      <c r="I711" s="59"/>
      <c r="J711" s="59"/>
      <c r="K711" s="61"/>
    </row>
    <row r="712" spans="2:11" x14ac:dyDescent="0.2">
      <c r="B712" s="57"/>
      <c r="C712" s="59"/>
      <c r="D712" s="59"/>
      <c r="E712" s="59"/>
      <c r="F712" s="59"/>
      <c r="G712" s="59"/>
      <c r="H712" s="59"/>
      <c r="I712" s="59"/>
      <c r="J712" s="59"/>
      <c r="K712" s="61"/>
    </row>
    <row r="713" spans="2:11" ht="16" x14ac:dyDescent="0.2">
      <c r="B713" s="57"/>
      <c r="C713" s="195" t="s">
        <v>363</v>
      </c>
      <c r="D713" s="59"/>
      <c r="E713" s="59"/>
      <c r="F713" s="59"/>
      <c r="G713" s="59"/>
      <c r="H713" s="59"/>
      <c r="I713" s="59"/>
      <c r="J713" s="59"/>
      <c r="K713" s="61"/>
    </row>
    <row r="714" spans="2:11" ht="15" customHeight="1" x14ac:dyDescent="0.2">
      <c r="B714" s="57"/>
      <c r="C714" s="411" t="s">
        <v>364</v>
      </c>
      <c r="D714" s="411"/>
      <c r="E714" s="411"/>
      <c r="F714" s="411"/>
      <c r="G714" s="411"/>
      <c r="H714" s="411"/>
      <c r="I714" s="411"/>
      <c r="J714" s="411"/>
      <c r="K714" s="61"/>
    </row>
    <row r="715" spans="2:11" x14ac:dyDescent="0.2">
      <c r="B715" s="57"/>
      <c r="C715" s="411"/>
      <c r="D715" s="411"/>
      <c r="E715" s="411"/>
      <c r="F715" s="411"/>
      <c r="G715" s="411"/>
      <c r="H715" s="411"/>
      <c r="I715" s="411"/>
      <c r="J715" s="411"/>
      <c r="K715" s="61"/>
    </row>
    <row r="716" spans="2:11" x14ac:dyDescent="0.2">
      <c r="B716" s="57"/>
      <c r="C716" s="411"/>
      <c r="D716" s="411"/>
      <c r="E716" s="411"/>
      <c r="F716" s="411"/>
      <c r="G716" s="411"/>
      <c r="H716" s="411"/>
      <c r="I716" s="411"/>
      <c r="J716" s="411"/>
      <c r="K716" s="61"/>
    </row>
    <row r="717" spans="2:11" x14ac:dyDescent="0.2">
      <c r="B717" s="57"/>
      <c r="C717" s="196" t="s">
        <v>30</v>
      </c>
      <c r="D717" s="59"/>
      <c r="E717" s="59"/>
      <c r="F717" s="59"/>
      <c r="G717" s="408" t="s">
        <v>190</v>
      </c>
      <c r="H717" s="409"/>
      <c r="I717" s="59"/>
      <c r="J717" s="260">
        <f>IF(G717=$B$994,$A$994,IF(G717=$B$995,$A$995,"Not Calculated"))</f>
        <v>1</v>
      </c>
      <c r="K717" s="61"/>
    </row>
    <row r="718" spans="2:11" x14ac:dyDescent="0.2">
      <c r="B718" s="57"/>
      <c r="C718" s="196" t="s">
        <v>32</v>
      </c>
      <c r="D718" s="59"/>
      <c r="E718" s="59"/>
      <c r="F718" s="59"/>
      <c r="G718" s="408" t="s">
        <v>190</v>
      </c>
      <c r="H718" s="409"/>
      <c r="I718" s="59"/>
      <c r="J718" s="260">
        <f t="shared" ref="J718:J725" si="0">IF(G718=$B$994,$A$994,IF(G718=$B$995,$A$995,"Not Calculated"))</f>
        <v>1</v>
      </c>
      <c r="K718" s="61"/>
    </row>
    <row r="719" spans="2:11" x14ac:dyDescent="0.2">
      <c r="B719" s="57"/>
      <c r="C719" s="196" t="s">
        <v>34</v>
      </c>
      <c r="D719" s="59"/>
      <c r="E719" s="59"/>
      <c r="F719" s="59"/>
      <c r="G719" s="408" t="s">
        <v>202</v>
      </c>
      <c r="H719" s="409"/>
      <c r="I719" s="59"/>
      <c r="J719" s="260">
        <f t="shared" si="0"/>
        <v>0</v>
      </c>
      <c r="K719" s="61"/>
    </row>
    <row r="720" spans="2:11" x14ac:dyDescent="0.2">
      <c r="B720" s="57"/>
      <c r="C720" s="196" t="s">
        <v>35</v>
      </c>
      <c r="D720" s="59"/>
      <c r="E720" s="59"/>
      <c r="F720" s="59"/>
      <c r="G720" s="408" t="s">
        <v>190</v>
      </c>
      <c r="H720" s="409"/>
      <c r="I720" s="59"/>
      <c r="J720" s="260">
        <f t="shared" si="0"/>
        <v>1</v>
      </c>
      <c r="K720" s="61"/>
    </row>
    <row r="721" spans="2:11" x14ac:dyDescent="0.2">
      <c r="B721" s="57"/>
      <c r="C721" s="196" t="s">
        <v>37</v>
      </c>
      <c r="D721" s="59"/>
      <c r="E721" s="59"/>
      <c r="F721" s="59"/>
      <c r="G721" s="408" t="s">
        <v>190</v>
      </c>
      <c r="H721" s="409"/>
      <c r="I721" s="59"/>
      <c r="J721" s="260">
        <f t="shared" si="0"/>
        <v>1</v>
      </c>
      <c r="K721" s="61"/>
    </row>
    <row r="722" spans="2:11" x14ac:dyDescent="0.2">
      <c r="B722" s="57"/>
      <c r="C722" s="196" t="s">
        <v>38</v>
      </c>
      <c r="D722" s="59"/>
      <c r="E722" s="59"/>
      <c r="F722" s="59"/>
      <c r="G722" s="408" t="s">
        <v>190</v>
      </c>
      <c r="H722" s="409"/>
      <c r="I722" s="59"/>
      <c r="J722" s="260">
        <f t="shared" si="0"/>
        <v>1</v>
      </c>
      <c r="K722" s="61"/>
    </row>
    <row r="723" spans="2:11" x14ac:dyDescent="0.2">
      <c r="B723" s="57"/>
      <c r="C723" s="196" t="s">
        <v>40</v>
      </c>
      <c r="D723" s="59"/>
      <c r="E723" s="59"/>
      <c r="F723" s="59"/>
      <c r="G723" s="408" t="s">
        <v>202</v>
      </c>
      <c r="H723" s="409"/>
      <c r="I723" s="59"/>
      <c r="J723" s="260">
        <f t="shared" si="0"/>
        <v>0</v>
      </c>
      <c r="K723" s="61"/>
    </row>
    <row r="724" spans="2:11" x14ac:dyDescent="0.2">
      <c r="B724" s="57"/>
      <c r="C724" s="196" t="s">
        <v>41</v>
      </c>
      <c r="D724" s="59"/>
      <c r="E724" s="59"/>
      <c r="F724" s="59"/>
      <c r="G724" s="408" t="s">
        <v>190</v>
      </c>
      <c r="H724" s="409"/>
      <c r="I724" s="59"/>
      <c r="J724" s="260">
        <f t="shared" si="0"/>
        <v>1</v>
      </c>
      <c r="K724" s="61"/>
    </row>
    <row r="725" spans="2:11" x14ac:dyDescent="0.2">
      <c r="B725" s="57"/>
      <c r="C725" s="196" t="s">
        <v>43</v>
      </c>
      <c r="D725" s="59"/>
      <c r="E725" s="59"/>
      <c r="F725" s="59"/>
      <c r="G725" s="408" t="s">
        <v>202</v>
      </c>
      <c r="H725" s="409"/>
      <c r="I725" s="59"/>
      <c r="J725" s="260">
        <f t="shared" si="0"/>
        <v>0</v>
      </c>
      <c r="K725" s="61"/>
    </row>
    <row r="726" spans="2:11" x14ac:dyDescent="0.2">
      <c r="B726" s="57"/>
      <c r="C726" s="59"/>
      <c r="D726" s="59"/>
      <c r="E726" s="59"/>
      <c r="F726" s="59"/>
      <c r="G726" s="59"/>
      <c r="H726" s="59"/>
      <c r="I726" s="59"/>
      <c r="J726" s="59"/>
      <c r="K726" s="61"/>
    </row>
    <row r="727" spans="2:11" x14ac:dyDescent="0.2">
      <c r="B727" s="57"/>
      <c r="C727" s="59"/>
      <c r="D727" s="59"/>
      <c r="E727" s="59"/>
      <c r="F727" s="59"/>
      <c r="G727" s="59"/>
      <c r="H727" s="59"/>
      <c r="I727" s="59"/>
      <c r="J727" s="59"/>
      <c r="K727" s="61"/>
    </row>
    <row r="728" spans="2:11" ht="16" x14ac:dyDescent="0.2">
      <c r="B728" s="57"/>
      <c r="C728" s="195" t="s">
        <v>115</v>
      </c>
      <c r="D728" s="59"/>
      <c r="E728" s="59"/>
      <c r="F728" s="59"/>
      <c r="G728" s="59"/>
      <c r="H728" s="59"/>
      <c r="I728" s="59"/>
      <c r="J728" s="59"/>
      <c r="K728" s="61"/>
    </row>
    <row r="729" spans="2:11" ht="15" customHeight="1" x14ac:dyDescent="0.2">
      <c r="B729" s="57"/>
      <c r="C729" s="411" t="s">
        <v>365</v>
      </c>
      <c r="D729" s="411"/>
      <c r="E729" s="411"/>
      <c r="F729" s="411"/>
      <c r="G729" s="411"/>
      <c r="H729" s="411"/>
      <c r="I729" s="411"/>
      <c r="J729" s="411"/>
      <c r="K729" s="61"/>
    </row>
    <row r="730" spans="2:11" x14ac:dyDescent="0.2">
      <c r="B730" s="57"/>
      <c r="C730" s="411"/>
      <c r="D730" s="411"/>
      <c r="E730" s="411"/>
      <c r="F730" s="411"/>
      <c r="G730" s="411"/>
      <c r="H730" s="411"/>
      <c r="I730" s="411"/>
      <c r="J730" s="411"/>
      <c r="K730" s="61"/>
    </row>
    <row r="731" spans="2:11" x14ac:dyDescent="0.2">
      <c r="B731" s="57"/>
      <c r="C731" s="411"/>
      <c r="D731" s="411"/>
      <c r="E731" s="411"/>
      <c r="F731" s="411"/>
      <c r="G731" s="411"/>
      <c r="H731" s="411"/>
      <c r="I731" s="411"/>
      <c r="J731" s="411"/>
      <c r="K731" s="61"/>
    </row>
    <row r="732" spans="2:11" x14ac:dyDescent="0.2">
      <c r="B732" s="57"/>
      <c r="C732" s="196" t="s">
        <v>30</v>
      </c>
      <c r="D732" s="59"/>
      <c r="E732" s="59"/>
      <c r="F732" s="59"/>
      <c r="G732" s="408" t="s">
        <v>202</v>
      </c>
      <c r="H732" s="409"/>
      <c r="I732" s="59"/>
      <c r="J732" s="260">
        <f>IF(G732=$B$994,$A$994,IF(G732=$B$995,$A$995,"Not Calculated"))</f>
        <v>0</v>
      </c>
      <c r="K732" s="61"/>
    </row>
    <row r="733" spans="2:11" x14ac:dyDescent="0.2">
      <c r="B733" s="57"/>
      <c r="C733" s="196" t="s">
        <v>32</v>
      </c>
      <c r="D733" s="59"/>
      <c r="E733" s="59"/>
      <c r="F733" s="59"/>
      <c r="G733" s="408" t="s">
        <v>202</v>
      </c>
      <c r="H733" s="409"/>
      <c r="I733" s="59"/>
      <c r="J733" s="260">
        <f t="shared" ref="J733:J740" si="1">IF(G733=$B$994,$A$994,IF(G733=$B$995,$A$995,"Not Calculated"))</f>
        <v>0</v>
      </c>
      <c r="K733" s="61"/>
    </row>
    <row r="734" spans="2:11" ht="15" customHeight="1" x14ac:dyDescent="0.2">
      <c r="B734" s="57"/>
      <c r="C734" s="196" t="s">
        <v>34</v>
      </c>
      <c r="D734" s="59"/>
      <c r="E734" s="59"/>
      <c r="F734" s="59"/>
      <c r="G734" s="408" t="s">
        <v>202</v>
      </c>
      <c r="H734" s="409"/>
      <c r="I734" s="59"/>
      <c r="J734" s="260">
        <f t="shared" si="1"/>
        <v>0</v>
      </c>
      <c r="K734" s="61"/>
    </row>
    <row r="735" spans="2:11" x14ac:dyDescent="0.2">
      <c r="B735" s="57"/>
      <c r="C735" s="196" t="s">
        <v>35</v>
      </c>
      <c r="D735" s="59"/>
      <c r="E735" s="59"/>
      <c r="F735" s="59"/>
      <c r="G735" s="408" t="s">
        <v>202</v>
      </c>
      <c r="H735" s="409"/>
      <c r="I735" s="59"/>
      <c r="J735" s="260">
        <f t="shared" si="1"/>
        <v>0</v>
      </c>
      <c r="K735" s="61"/>
    </row>
    <row r="736" spans="2:11" x14ac:dyDescent="0.2">
      <c r="B736" s="57"/>
      <c r="C736" s="196" t="s">
        <v>37</v>
      </c>
      <c r="D736" s="59"/>
      <c r="E736" s="59"/>
      <c r="F736" s="59"/>
      <c r="G736" s="408" t="s">
        <v>202</v>
      </c>
      <c r="H736" s="409"/>
      <c r="I736" s="59"/>
      <c r="J736" s="260">
        <f t="shared" si="1"/>
        <v>0</v>
      </c>
      <c r="K736" s="61"/>
    </row>
    <row r="737" spans="2:11" x14ac:dyDescent="0.2">
      <c r="B737" s="57"/>
      <c r="C737" s="196" t="s">
        <v>38</v>
      </c>
      <c r="D737" s="59"/>
      <c r="E737" s="59"/>
      <c r="F737" s="59"/>
      <c r="G737" s="408" t="s">
        <v>202</v>
      </c>
      <c r="H737" s="409"/>
      <c r="I737" s="59"/>
      <c r="J737" s="260">
        <f t="shared" si="1"/>
        <v>0</v>
      </c>
      <c r="K737" s="61"/>
    </row>
    <row r="738" spans="2:11" x14ac:dyDescent="0.2">
      <c r="B738" s="57"/>
      <c r="C738" s="196" t="s">
        <v>40</v>
      </c>
      <c r="D738" s="59"/>
      <c r="E738" s="59"/>
      <c r="F738" s="59"/>
      <c r="G738" s="408" t="s">
        <v>202</v>
      </c>
      <c r="H738" s="409"/>
      <c r="I738" s="59"/>
      <c r="J738" s="260">
        <f t="shared" si="1"/>
        <v>0</v>
      </c>
      <c r="K738" s="61"/>
    </row>
    <row r="739" spans="2:11" x14ac:dyDescent="0.2">
      <c r="B739" s="57"/>
      <c r="C739" s="196" t="s">
        <v>41</v>
      </c>
      <c r="D739" s="59"/>
      <c r="E739" s="59"/>
      <c r="F739" s="59"/>
      <c r="G739" s="408" t="s">
        <v>202</v>
      </c>
      <c r="H739" s="409"/>
      <c r="I739" s="59"/>
      <c r="J739" s="260">
        <f t="shared" si="1"/>
        <v>0</v>
      </c>
      <c r="K739" s="61"/>
    </row>
    <row r="740" spans="2:11" x14ac:dyDescent="0.2">
      <c r="B740" s="57"/>
      <c r="C740" s="196" t="s">
        <v>43</v>
      </c>
      <c r="D740" s="59"/>
      <c r="E740" s="59"/>
      <c r="F740" s="59"/>
      <c r="G740" s="408" t="s">
        <v>202</v>
      </c>
      <c r="H740" s="409"/>
      <c r="I740" s="59"/>
      <c r="J740" s="260">
        <f t="shared" si="1"/>
        <v>0</v>
      </c>
      <c r="K740" s="61"/>
    </row>
    <row r="741" spans="2:11" x14ac:dyDescent="0.2">
      <c r="B741" s="57"/>
      <c r="C741" s="59"/>
      <c r="D741" s="59"/>
      <c r="E741" s="59"/>
      <c r="F741" s="59"/>
      <c r="G741" s="59"/>
      <c r="H741" s="59"/>
      <c r="I741" s="59"/>
      <c r="J741" s="59"/>
      <c r="K741" s="61"/>
    </row>
    <row r="742" spans="2:11" x14ac:dyDescent="0.2">
      <c r="B742" s="57"/>
      <c r="C742" s="59"/>
      <c r="D742" s="59"/>
      <c r="E742" s="59"/>
      <c r="F742" s="59"/>
      <c r="G742" s="59"/>
      <c r="H742" s="59"/>
      <c r="I742" s="59"/>
      <c r="J742" s="59"/>
      <c r="K742" s="61"/>
    </row>
    <row r="743" spans="2:11" ht="16" x14ac:dyDescent="0.2">
      <c r="B743" s="57"/>
      <c r="C743" s="195" t="s">
        <v>366</v>
      </c>
      <c r="D743" s="59"/>
      <c r="E743" s="59"/>
      <c r="F743" s="59"/>
      <c r="G743" s="59"/>
      <c r="H743" s="59"/>
      <c r="I743" s="59"/>
      <c r="J743" s="59"/>
      <c r="K743" s="61"/>
    </row>
    <row r="744" spans="2:11" ht="15" customHeight="1" x14ac:dyDescent="0.2">
      <c r="B744" s="57"/>
      <c r="C744" s="411" t="s">
        <v>367</v>
      </c>
      <c r="D744" s="411"/>
      <c r="E744" s="411"/>
      <c r="F744" s="411"/>
      <c r="G744" s="411"/>
      <c r="H744" s="411"/>
      <c r="I744" s="411"/>
      <c r="J744" s="411"/>
      <c r="K744" s="61"/>
    </row>
    <row r="745" spans="2:11" x14ac:dyDescent="0.2">
      <c r="B745" s="57"/>
      <c r="C745" s="411"/>
      <c r="D745" s="411"/>
      <c r="E745" s="411"/>
      <c r="F745" s="411"/>
      <c r="G745" s="411"/>
      <c r="H745" s="411"/>
      <c r="I745" s="411"/>
      <c r="J745" s="411"/>
      <c r="K745" s="61"/>
    </row>
    <row r="746" spans="2:11" x14ac:dyDescent="0.2">
      <c r="B746" s="57"/>
      <c r="C746" s="411"/>
      <c r="D746" s="411"/>
      <c r="E746" s="411"/>
      <c r="F746" s="411"/>
      <c r="G746" s="411"/>
      <c r="H746" s="411"/>
      <c r="I746" s="411"/>
      <c r="J746" s="411"/>
      <c r="K746" s="61"/>
    </row>
    <row r="747" spans="2:11" x14ac:dyDescent="0.2">
      <c r="B747" s="57"/>
      <c r="C747" s="196" t="s">
        <v>30</v>
      </c>
      <c r="D747" s="59"/>
      <c r="E747" s="59"/>
      <c r="F747" s="59"/>
      <c r="G747" s="408" t="s">
        <v>202</v>
      </c>
      <c r="H747" s="409"/>
      <c r="I747" s="59"/>
      <c r="J747" s="260">
        <f>IF(G747=$B$994,$A$994,IF(G747=$B$995,$A$995,"Not Calculated"))</f>
        <v>0</v>
      </c>
      <c r="K747" s="61"/>
    </row>
    <row r="748" spans="2:11" x14ac:dyDescent="0.2">
      <c r="B748" s="57"/>
      <c r="C748" s="196" t="s">
        <v>32</v>
      </c>
      <c r="D748" s="59"/>
      <c r="E748" s="59"/>
      <c r="F748" s="59"/>
      <c r="G748" s="408" t="s">
        <v>202</v>
      </c>
      <c r="H748" s="409"/>
      <c r="I748" s="59"/>
      <c r="J748" s="260">
        <f t="shared" ref="J748:J755" si="2">IF(G748=$B$994,$A$994,IF(G748=$B$995,$A$995,"Not Calculated"))</f>
        <v>0</v>
      </c>
      <c r="K748" s="61"/>
    </row>
    <row r="749" spans="2:11" ht="15" customHeight="1" x14ac:dyDescent="0.2">
      <c r="B749" s="57"/>
      <c r="C749" s="196" t="s">
        <v>34</v>
      </c>
      <c r="D749" s="59"/>
      <c r="E749" s="59"/>
      <c r="F749" s="59"/>
      <c r="G749" s="408" t="s">
        <v>202</v>
      </c>
      <c r="H749" s="409"/>
      <c r="I749" s="59"/>
      <c r="J749" s="260">
        <f t="shared" si="2"/>
        <v>0</v>
      </c>
      <c r="K749" s="61"/>
    </row>
    <row r="750" spans="2:11" x14ac:dyDescent="0.2">
      <c r="B750" s="57"/>
      <c r="C750" s="196" t="s">
        <v>35</v>
      </c>
      <c r="D750" s="59"/>
      <c r="E750" s="59"/>
      <c r="F750" s="59"/>
      <c r="G750" s="408" t="s">
        <v>202</v>
      </c>
      <c r="H750" s="409"/>
      <c r="I750" s="59"/>
      <c r="J750" s="260">
        <f t="shared" si="2"/>
        <v>0</v>
      </c>
      <c r="K750" s="61"/>
    </row>
    <row r="751" spans="2:11" x14ac:dyDescent="0.2">
      <c r="B751" s="57"/>
      <c r="C751" s="196" t="s">
        <v>37</v>
      </c>
      <c r="D751" s="59"/>
      <c r="E751" s="59"/>
      <c r="F751" s="59"/>
      <c r="G751" s="408" t="s">
        <v>202</v>
      </c>
      <c r="H751" s="409"/>
      <c r="I751" s="59"/>
      <c r="J751" s="260">
        <f t="shared" si="2"/>
        <v>0</v>
      </c>
      <c r="K751" s="61"/>
    </row>
    <row r="752" spans="2:11" x14ac:dyDescent="0.2">
      <c r="B752" s="57"/>
      <c r="C752" s="196" t="s">
        <v>38</v>
      </c>
      <c r="D752" s="59"/>
      <c r="E752" s="59"/>
      <c r="F752" s="59"/>
      <c r="G752" s="408" t="s">
        <v>202</v>
      </c>
      <c r="H752" s="409"/>
      <c r="I752" s="59"/>
      <c r="J752" s="260">
        <f t="shared" si="2"/>
        <v>0</v>
      </c>
      <c r="K752" s="61"/>
    </row>
    <row r="753" spans="2:11" x14ac:dyDescent="0.2">
      <c r="B753" s="57"/>
      <c r="C753" s="196" t="s">
        <v>40</v>
      </c>
      <c r="D753" s="59"/>
      <c r="E753" s="59"/>
      <c r="F753" s="59"/>
      <c r="G753" s="408" t="s">
        <v>202</v>
      </c>
      <c r="H753" s="409"/>
      <c r="I753" s="59"/>
      <c r="J753" s="260">
        <f t="shared" si="2"/>
        <v>0</v>
      </c>
      <c r="K753" s="61"/>
    </row>
    <row r="754" spans="2:11" x14ac:dyDescent="0.2">
      <c r="B754" s="57"/>
      <c r="C754" s="196" t="s">
        <v>41</v>
      </c>
      <c r="D754" s="59"/>
      <c r="E754" s="59"/>
      <c r="F754" s="59"/>
      <c r="G754" s="408" t="s">
        <v>202</v>
      </c>
      <c r="H754" s="409"/>
      <c r="I754" s="59"/>
      <c r="J754" s="260">
        <f t="shared" si="2"/>
        <v>0</v>
      </c>
      <c r="K754" s="61"/>
    </row>
    <row r="755" spans="2:11" x14ac:dyDescent="0.2">
      <c r="B755" s="57"/>
      <c r="C755" s="196" t="s">
        <v>43</v>
      </c>
      <c r="D755" s="59"/>
      <c r="E755" s="59"/>
      <c r="F755" s="59"/>
      <c r="G755" s="408" t="s">
        <v>202</v>
      </c>
      <c r="H755" s="409"/>
      <c r="I755" s="59"/>
      <c r="J755" s="260">
        <f t="shared" si="2"/>
        <v>0</v>
      </c>
      <c r="K755" s="61"/>
    </row>
    <row r="756" spans="2:11" x14ac:dyDescent="0.2">
      <c r="B756" s="57"/>
      <c r="C756" s="59"/>
      <c r="D756" s="59"/>
      <c r="E756" s="59"/>
      <c r="F756" s="59"/>
      <c r="G756" s="59"/>
      <c r="H756" s="59"/>
      <c r="I756" s="59"/>
      <c r="J756" s="59"/>
      <c r="K756" s="61"/>
    </row>
    <row r="757" spans="2:11" x14ac:dyDescent="0.2">
      <c r="B757" s="57"/>
      <c r="C757" s="59"/>
      <c r="D757" s="59"/>
      <c r="E757" s="59"/>
      <c r="F757" s="59"/>
      <c r="G757" s="59"/>
      <c r="H757" s="59"/>
      <c r="I757" s="59"/>
      <c r="J757" s="59"/>
      <c r="K757" s="61"/>
    </row>
    <row r="758" spans="2:11" ht="16" x14ac:dyDescent="0.2">
      <c r="B758" s="57"/>
      <c r="C758" s="195" t="s">
        <v>368</v>
      </c>
      <c r="D758" s="59"/>
      <c r="E758" s="59"/>
      <c r="F758" s="59"/>
      <c r="G758" s="59"/>
      <c r="H758" s="59"/>
      <c r="I758" s="59"/>
      <c r="J758" s="59"/>
      <c r="K758" s="61"/>
    </row>
    <row r="759" spans="2:11" ht="15" customHeight="1" x14ac:dyDescent="0.2">
      <c r="B759" s="57"/>
      <c r="C759" s="411" t="s">
        <v>369</v>
      </c>
      <c r="D759" s="411"/>
      <c r="E759" s="411"/>
      <c r="F759" s="411"/>
      <c r="G759" s="411"/>
      <c r="H759" s="411"/>
      <c r="I759" s="411"/>
      <c r="J759" s="411"/>
      <c r="K759" s="61"/>
    </row>
    <row r="760" spans="2:11" x14ac:dyDescent="0.2">
      <c r="B760" s="57"/>
      <c r="C760" s="411"/>
      <c r="D760" s="411"/>
      <c r="E760" s="411"/>
      <c r="F760" s="411"/>
      <c r="G760" s="411"/>
      <c r="H760" s="411"/>
      <c r="I760" s="411"/>
      <c r="J760" s="411"/>
      <c r="K760" s="61"/>
    </row>
    <row r="761" spans="2:11" x14ac:dyDescent="0.2">
      <c r="B761" s="57"/>
      <c r="C761" s="411"/>
      <c r="D761" s="411"/>
      <c r="E761" s="411"/>
      <c r="F761" s="411"/>
      <c r="G761" s="411"/>
      <c r="H761" s="411"/>
      <c r="I761" s="411"/>
      <c r="J761" s="411"/>
      <c r="K761" s="61"/>
    </row>
    <row r="762" spans="2:11" x14ac:dyDescent="0.2">
      <c r="B762" s="57"/>
      <c r="C762" s="196" t="s">
        <v>30</v>
      </c>
      <c r="D762" s="59"/>
      <c r="E762" s="59"/>
      <c r="F762" s="59"/>
      <c r="G762" s="408" t="s">
        <v>190</v>
      </c>
      <c r="H762" s="409"/>
      <c r="I762" s="59"/>
      <c r="J762" s="260">
        <f>IF(G762=$B$994,$A$994,IF(G762=$B$995,$A$995,"Not Calculated"))</f>
        <v>1</v>
      </c>
      <c r="K762" s="61"/>
    </row>
    <row r="763" spans="2:11" x14ac:dyDescent="0.2">
      <c r="B763" s="57"/>
      <c r="C763" s="196" t="s">
        <v>32</v>
      </c>
      <c r="D763" s="59"/>
      <c r="E763" s="59"/>
      <c r="F763" s="59"/>
      <c r="G763" s="408" t="s">
        <v>190</v>
      </c>
      <c r="H763" s="409"/>
      <c r="I763" s="59"/>
      <c r="J763" s="260">
        <f t="shared" ref="J763:J770" si="3">IF(G763=$B$994,$A$994,IF(G763=$B$995,$A$995,"Not Calculated"))</f>
        <v>1</v>
      </c>
      <c r="K763" s="61"/>
    </row>
    <row r="764" spans="2:11" ht="15" customHeight="1" x14ac:dyDescent="0.2">
      <c r="B764" s="57"/>
      <c r="C764" s="196" t="s">
        <v>34</v>
      </c>
      <c r="D764" s="59"/>
      <c r="E764" s="59"/>
      <c r="F764" s="59"/>
      <c r="G764" s="408" t="s">
        <v>190</v>
      </c>
      <c r="H764" s="409"/>
      <c r="I764" s="59"/>
      <c r="J764" s="260">
        <f t="shared" si="3"/>
        <v>1</v>
      </c>
      <c r="K764" s="61"/>
    </row>
    <row r="765" spans="2:11" x14ac:dyDescent="0.2">
      <c r="B765" s="57"/>
      <c r="C765" s="196" t="s">
        <v>35</v>
      </c>
      <c r="D765" s="59"/>
      <c r="E765" s="59"/>
      <c r="F765" s="59"/>
      <c r="G765" s="408" t="s">
        <v>190</v>
      </c>
      <c r="H765" s="409"/>
      <c r="I765" s="59"/>
      <c r="J765" s="260">
        <f t="shared" si="3"/>
        <v>1</v>
      </c>
      <c r="K765" s="61"/>
    </row>
    <row r="766" spans="2:11" x14ac:dyDescent="0.2">
      <c r="B766" s="57"/>
      <c r="C766" s="196" t="s">
        <v>37</v>
      </c>
      <c r="D766" s="59"/>
      <c r="E766" s="59"/>
      <c r="F766" s="59"/>
      <c r="G766" s="408" t="s">
        <v>190</v>
      </c>
      <c r="H766" s="409"/>
      <c r="I766" s="59"/>
      <c r="J766" s="260">
        <f t="shared" si="3"/>
        <v>1</v>
      </c>
      <c r="K766" s="61"/>
    </row>
    <row r="767" spans="2:11" x14ac:dyDescent="0.2">
      <c r="B767" s="57"/>
      <c r="C767" s="196" t="s">
        <v>38</v>
      </c>
      <c r="D767" s="59"/>
      <c r="E767" s="59"/>
      <c r="F767" s="59"/>
      <c r="G767" s="408" t="s">
        <v>190</v>
      </c>
      <c r="H767" s="409"/>
      <c r="I767" s="59"/>
      <c r="J767" s="260">
        <f t="shared" si="3"/>
        <v>1</v>
      </c>
      <c r="K767" s="61"/>
    </row>
    <row r="768" spans="2:11" x14ac:dyDescent="0.2">
      <c r="B768" s="57"/>
      <c r="C768" s="196" t="s">
        <v>40</v>
      </c>
      <c r="D768" s="59"/>
      <c r="E768" s="59"/>
      <c r="F768" s="59"/>
      <c r="G768" s="408" t="s">
        <v>190</v>
      </c>
      <c r="H768" s="409"/>
      <c r="I768" s="59"/>
      <c r="J768" s="260">
        <f t="shared" si="3"/>
        <v>1</v>
      </c>
      <c r="K768" s="61"/>
    </row>
    <row r="769" spans="2:11" x14ac:dyDescent="0.2">
      <c r="B769" s="57"/>
      <c r="C769" s="196" t="s">
        <v>41</v>
      </c>
      <c r="D769" s="59"/>
      <c r="E769" s="59"/>
      <c r="F769" s="59"/>
      <c r="G769" s="408" t="s">
        <v>190</v>
      </c>
      <c r="H769" s="409"/>
      <c r="I769" s="59"/>
      <c r="J769" s="260">
        <f t="shared" si="3"/>
        <v>1</v>
      </c>
      <c r="K769" s="61"/>
    </row>
    <row r="770" spans="2:11" x14ac:dyDescent="0.2">
      <c r="B770" s="57"/>
      <c r="C770" s="196" t="s">
        <v>43</v>
      </c>
      <c r="D770" s="59"/>
      <c r="E770" s="59"/>
      <c r="F770" s="59"/>
      <c r="G770" s="408" t="s">
        <v>190</v>
      </c>
      <c r="H770" s="409"/>
      <c r="I770" s="59"/>
      <c r="J770" s="260">
        <f t="shared" si="3"/>
        <v>1</v>
      </c>
      <c r="K770" s="61"/>
    </row>
    <row r="771" spans="2:11" x14ac:dyDescent="0.2">
      <c r="B771" s="57"/>
      <c r="C771" s="59"/>
      <c r="D771" s="59"/>
      <c r="E771" s="59"/>
      <c r="F771" s="59"/>
      <c r="G771" s="59"/>
      <c r="H771" s="59"/>
      <c r="I771" s="59"/>
      <c r="J771" s="59"/>
      <c r="K771" s="61"/>
    </row>
    <row r="772" spans="2:11" x14ac:dyDescent="0.2">
      <c r="B772" s="57"/>
      <c r="C772" s="59"/>
      <c r="D772" s="59"/>
      <c r="E772" s="59"/>
      <c r="F772" s="59"/>
      <c r="G772" s="59"/>
      <c r="H772" s="59"/>
      <c r="I772" s="59"/>
      <c r="J772" s="59"/>
      <c r="K772" s="61"/>
    </row>
    <row r="773" spans="2:11" ht="16" x14ac:dyDescent="0.2">
      <c r="B773" s="57"/>
      <c r="C773" s="197" t="s">
        <v>30</v>
      </c>
      <c r="D773" s="59"/>
      <c r="E773" s="59"/>
      <c r="F773" s="59"/>
      <c r="G773" s="59"/>
      <c r="H773" s="59"/>
      <c r="I773" s="59"/>
      <c r="J773" s="59"/>
      <c r="K773" s="61"/>
    </row>
    <row r="774" spans="2:11" x14ac:dyDescent="0.2">
      <c r="B774" s="57"/>
      <c r="C774" s="59"/>
      <c r="D774" s="59" t="s">
        <v>370</v>
      </c>
      <c r="E774" s="59"/>
      <c r="F774" s="59"/>
      <c r="G774" s="59"/>
      <c r="H774" s="59"/>
      <c r="I774" s="59"/>
      <c r="J774" s="60">
        <f>'Baseline At-Risk Pops'!H8</f>
        <v>0</v>
      </c>
      <c r="K774" s="61"/>
    </row>
    <row r="775" spans="2:11" x14ac:dyDescent="0.2">
      <c r="B775" s="57"/>
      <c r="C775" s="59"/>
      <c r="D775" s="59" t="s">
        <v>371</v>
      </c>
      <c r="E775" s="59"/>
      <c r="F775" s="59"/>
      <c r="G775" s="59"/>
      <c r="H775" s="59"/>
      <c r="I775" s="59"/>
      <c r="J775" s="60">
        <f>SUM(J717,J732,J747,J762)</f>
        <v>2</v>
      </c>
      <c r="K775" s="61"/>
    </row>
    <row r="776" spans="2:11" x14ac:dyDescent="0.2">
      <c r="B776" s="57"/>
      <c r="C776" s="59"/>
      <c r="D776" s="196" t="s">
        <v>372</v>
      </c>
      <c r="E776" s="59"/>
      <c r="F776" s="59"/>
      <c r="G776" s="59"/>
      <c r="H776" s="59"/>
      <c r="I776" s="59"/>
      <c r="J776" s="60">
        <f>AVERAGE(J774,J775)</f>
        <v>1</v>
      </c>
      <c r="K776" s="61"/>
    </row>
    <row r="777" spans="2:11" ht="16" x14ac:dyDescent="0.2">
      <c r="B777" s="57"/>
      <c r="C777" s="197" t="s">
        <v>32</v>
      </c>
      <c r="D777" s="59"/>
      <c r="E777" s="59"/>
      <c r="F777" s="59"/>
      <c r="G777" s="59"/>
      <c r="H777" s="59"/>
      <c r="I777" s="59"/>
      <c r="J777" s="60"/>
      <c r="K777" s="61"/>
    </row>
    <row r="778" spans="2:11" x14ac:dyDescent="0.2">
      <c r="B778" s="57"/>
      <c r="C778" s="59"/>
      <c r="D778" s="59" t="s">
        <v>370</v>
      </c>
      <c r="E778" s="59"/>
      <c r="F778" s="59"/>
      <c r="G778" s="59"/>
      <c r="H778" s="59"/>
      <c r="I778" s="59"/>
      <c r="J778" s="60">
        <f>'Baseline At-Risk Pops'!H14</f>
        <v>0</v>
      </c>
      <c r="K778" s="61"/>
    </row>
    <row r="779" spans="2:11" ht="15" customHeight="1" x14ac:dyDescent="0.2">
      <c r="B779" s="57"/>
      <c r="C779" s="59"/>
      <c r="D779" s="59" t="s">
        <v>371</v>
      </c>
      <c r="E779" s="59"/>
      <c r="F779" s="59"/>
      <c r="G779" s="59"/>
      <c r="H779" s="59"/>
      <c r="I779" s="59"/>
      <c r="J779" s="60">
        <f>SUM(J718,J733,J748,J763)</f>
        <v>2</v>
      </c>
      <c r="K779" s="61"/>
    </row>
    <row r="780" spans="2:11" x14ac:dyDescent="0.2">
      <c r="B780" s="57"/>
      <c r="C780" s="59"/>
      <c r="D780" s="196" t="s">
        <v>372</v>
      </c>
      <c r="E780" s="59"/>
      <c r="F780" s="59"/>
      <c r="G780" s="59"/>
      <c r="H780" s="59"/>
      <c r="I780" s="59"/>
      <c r="J780" s="60">
        <f>AVERAGE(J778,J779)</f>
        <v>1</v>
      </c>
      <c r="K780" s="61"/>
    </row>
    <row r="781" spans="2:11" ht="16" x14ac:dyDescent="0.2">
      <c r="B781" s="57"/>
      <c r="C781" s="197" t="s">
        <v>34</v>
      </c>
      <c r="D781" s="59"/>
      <c r="E781" s="59"/>
      <c r="F781" s="59"/>
      <c r="G781" s="59"/>
      <c r="H781" s="59"/>
      <c r="I781" s="59"/>
      <c r="J781" s="60"/>
      <c r="K781" s="61"/>
    </row>
    <row r="782" spans="2:11" ht="16" x14ac:dyDescent="0.2">
      <c r="B782" s="57"/>
      <c r="C782" s="197"/>
      <c r="D782" s="59" t="s">
        <v>370</v>
      </c>
      <c r="E782" s="59"/>
      <c r="F782" s="59"/>
      <c r="G782" s="59"/>
      <c r="H782" s="59"/>
      <c r="I782" s="59"/>
      <c r="J782" s="60">
        <f>'Baseline At-Risk Pops'!H21</f>
        <v>0</v>
      </c>
      <c r="K782" s="61"/>
    </row>
    <row r="783" spans="2:11" x14ac:dyDescent="0.2">
      <c r="B783" s="57"/>
      <c r="C783" s="59"/>
      <c r="D783" s="59" t="s">
        <v>371</v>
      </c>
      <c r="E783" s="59"/>
      <c r="F783" s="59"/>
      <c r="G783" s="59"/>
      <c r="H783" s="59"/>
      <c r="I783" s="59"/>
      <c r="J783" s="60">
        <f>SUM(J719,J734,J749,J764)</f>
        <v>1</v>
      </c>
      <c r="K783" s="61"/>
    </row>
    <row r="784" spans="2:11" x14ac:dyDescent="0.2">
      <c r="B784" s="57"/>
      <c r="C784" s="59"/>
      <c r="D784" s="196" t="s">
        <v>372</v>
      </c>
      <c r="E784" s="59"/>
      <c r="F784" s="59"/>
      <c r="G784" s="59"/>
      <c r="H784" s="59"/>
      <c r="I784" s="59"/>
      <c r="J784" s="60">
        <f>AVERAGE(J782,J783)</f>
        <v>0.5</v>
      </c>
      <c r="K784" s="61"/>
    </row>
    <row r="785" spans="2:11" ht="16" x14ac:dyDescent="0.2">
      <c r="B785" s="57"/>
      <c r="C785" s="197" t="s">
        <v>35</v>
      </c>
      <c r="D785" s="59"/>
      <c r="E785" s="59"/>
      <c r="F785" s="59"/>
      <c r="G785" s="59"/>
      <c r="H785" s="59"/>
      <c r="I785" s="59"/>
      <c r="J785" s="60"/>
      <c r="K785" s="61"/>
    </row>
    <row r="786" spans="2:11" x14ac:dyDescent="0.2">
      <c r="B786" s="57"/>
      <c r="C786" s="59"/>
      <c r="D786" s="59" t="s">
        <v>370</v>
      </c>
      <c r="E786" s="59"/>
      <c r="F786" s="59"/>
      <c r="G786" s="59"/>
      <c r="H786" s="59"/>
      <c r="I786" s="59"/>
      <c r="J786" s="60">
        <f>'Baseline At-Risk Pops'!H27</f>
        <v>0</v>
      </c>
      <c r="K786" s="61"/>
    </row>
    <row r="787" spans="2:11" x14ac:dyDescent="0.2">
      <c r="B787" s="57"/>
      <c r="C787" s="59"/>
      <c r="D787" s="59" t="s">
        <v>371</v>
      </c>
      <c r="E787" s="59"/>
      <c r="F787" s="59"/>
      <c r="G787" s="59"/>
      <c r="H787" s="59"/>
      <c r="I787" s="59"/>
      <c r="J787" s="60">
        <f>SUM(J720,J735,J750,J765)</f>
        <v>2</v>
      </c>
      <c r="K787" s="61"/>
    </row>
    <row r="788" spans="2:11" x14ac:dyDescent="0.2">
      <c r="B788" s="57"/>
      <c r="C788" s="59"/>
      <c r="D788" s="196" t="s">
        <v>372</v>
      </c>
      <c r="E788" s="59"/>
      <c r="F788" s="59"/>
      <c r="G788" s="59"/>
      <c r="H788" s="59"/>
      <c r="I788" s="59"/>
      <c r="J788" s="60">
        <f>AVERAGE(J786,J787)</f>
        <v>1</v>
      </c>
      <c r="K788" s="61"/>
    </row>
    <row r="789" spans="2:11" ht="16" x14ac:dyDescent="0.2">
      <c r="B789" s="57"/>
      <c r="C789" s="197" t="s">
        <v>37</v>
      </c>
      <c r="D789" s="59"/>
      <c r="E789" s="59"/>
      <c r="F789" s="59"/>
      <c r="G789" s="59"/>
      <c r="H789" s="59"/>
      <c r="I789" s="59"/>
      <c r="J789" s="60"/>
      <c r="K789" s="61"/>
    </row>
    <row r="790" spans="2:11" x14ac:dyDescent="0.2">
      <c r="B790" s="57"/>
      <c r="C790" s="59"/>
      <c r="D790" s="59" t="s">
        <v>370</v>
      </c>
      <c r="E790" s="59"/>
      <c r="F790" s="59"/>
      <c r="G790" s="59"/>
      <c r="H790" s="59"/>
      <c r="I790" s="59"/>
      <c r="J790" s="60">
        <f>'Baseline At-Risk Pops'!H34</f>
        <v>0</v>
      </c>
      <c r="K790" s="61"/>
    </row>
    <row r="791" spans="2:11" x14ac:dyDescent="0.2">
      <c r="B791" s="57"/>
      <c r="C791" s="59"/>
      <c r="D791" s="59" t="s">
        <v>371</v>
      </c>
      <c r="E791" s="59"/>
      <c r="F791" s="59"/>
      <c r="G791" s="59"/>
      <c r="H791" s="59"/>
      <c r="I791" s="59"/>
      <c r="J791" s="60">
        <f>SUM(J721,J736,J751,J766)</f>
        <v>2</v>
      </c>
      <c r="K791" s="61"/>
    </row>
    <row r="792" spans="2:11" x14ac:dyDescent="0.2">
      <c r="B792" s="57"/>
      <c r="C792" s="59"/>
      <c r="D792" s="196" t="s">
        <v>372</v>
      </c>
      <c r="E792" s="59"/>
      <c r="F792" s="59"/>
      <c r="G792" s="59"/>
      <c r="H792" s="59"/>
      <c r="I792" s="59"/>
      <c r="J792" s="60">
        <f>AVERAGE(J790,J791)</f>
        <v>1</v>
      </c>
      <c r="K792" s="61"/>
    </row>
    <row r="793" spans="2:11" ht="16" x14ac:dyDescent="0.2">
      <c r="B793" s="57"/>
      <c r="C793" s="197" t="s">
        <v>38</v>
      </c>
      <c r="D793" s="59"/>
      <c r="E793" s="59"/>
      <c r="F793" s="59"/>
      <c r="G793" s="59"/>
      <c r="H793" s="59"/>
      <c r="I793" s="59"/>
      <c r="J793" s="60"/>
      <c r="K793" s="61"/>
    </row>
    <row r="794" spans="2:11" x14ac:dyDescent="0.2">
      <c r="B794" s="57"/>
      <c r="C794" s="59"/>
      <c r="D794" s="59" t="s">
        <v>370</v>
      </c>
      <c r="E794" s="59"/>
      <c r="F794" s="59"/>
      <c r="G794" s="59"/>
      <c r="H794" s="59"/>
      <c r="I794" s="59"/>
      <c r="J794" s="60">
        <f>'Baseline At-Risk Pops'!H40</f>
        <v>0</v>
      </c>
      <c r="K794" s="61"/>
    </row>
    <row r="795" spans="2:11" x14ac:dyDescent="0.2">
      <c r="B795" s="57"/>
      <c r="C795" s="59"/>
      <c r="D795" s="59" t="s">
        <v>371</v>
      </c>
      <c r="E795" s="59"/>
      <c r="F795" s="59"/>
      <c r="G795" s="59"/>
      <c r="H795" s="59"/>
      <c r="I795" s="59"/>
      <c r="J795" s="60">
        <f>SUM(J722,J737,J752,J767)</f>
        <v>2</v>
      </c>
      <c r="K795" s="61"/>
    </row>
    <row r="796" spans="2:11" x14ac:dyDescent="0.2">
      <c r="B796" s="57"/>
      <c r="C796" s="59"/>
      <c r="D796" s="196" t="s">
        <v>372</v>
      </c>
      <c r="E796" s="59"/>
      <c r="F796" s="59"/>
      <c r="G796" s="59"/>
      <c r="H796" s="59"/>
      <c r="I796" s="59"/>
      <c r="J796" s="60">
        <f>AVERAGE(J794,J795)</f>
        <v>1</v>
      </c>
      <c r="K796" s="61"/>
    </row>
    <row r="797" spans="2:11" ht="16" x14ac:dyDescent="0.2">
      <c r="B797" s="57"/>
      <c r="C797" s="197" t="s">
        <v>40</v>
      </c>
      <c r="D797" s="59"/>
      <c r="E797" s="59"/>
      <c r="F797" s="59"/>
      <c r="G797" s="59"/>
      <c r="H797" s="59"/>
      <c r="I797" s="59"/>
      <c r="J797" s="60"/>
      <c r="K797" s="61"/>
    </row>
    <row r="798" spans="2:11" x14ac:dyDescent="0.2">
      <c r="B798" s="57"/>
      <c r="C798" s="59"/>
      <c r="D798" s="59" t="s">
        <v>370</v>
      </c>
      <c r="E798" s="59"/>
      <c r="F798" s="59"/>
      <c r="G798" s="59"/>
      <c r="H798" s="59"/>
      <c r="I798" s="59"/>
      <c r="J798" s="60">
        <f>'Baseline At-Risk Pops'!H46</f>
        <v>0</v>
      </c>
      <c r="K798" s="61"/>
    </row>
    <row r="799" spans="2:11" x14ac:dyDescent="0.2">
      <c r="B799" s="57"/>
      <c r="C799" s="59"/>
      <c r="D799" s="59" t="s">
        <v>371</v>
      </c>
      <c r="E799" s="59"/>
      <c r="F799" s="59"/>
      <c r="G799" s="59"/>
      <c r="H799" s="59"/>
      <c r="I799" s="59"/>
      <c r="J799" s="60">
        <f>SUM(J723,J738,J753,J768)</f>
        <v>1</v>
      </c>
      <c r="K799" s="61"/>
    </row>
    <row r="800" spans="2:11" x14ac:dyDescent="0.2">
      <c r="B800" s="57"/>
      <c r="C800" s="59"/>
      <c r="D800" s="196" t="s">
        <v>372</v>
      </c>
      <c r="E800" s="59"/>
      <c r="F800" s="59"/>
      <c r="G800" s="59"/>
      <c r="H800" s="59"/>
      <c r="I800" s="59"/>
      <c r="J800" s="60">
        <f>AVERAGE(J798,J799)</f>
        <v>0.5</v>
      </c>
      <c r="K800" s="61"/>
    </row>
    <row r="801" spans="2:11" ht="16" x14ac:dyDescent="0.2">
      <c r="B801" s="57"/>
      <c r="C801" s="197" t="s">
        <v>41</v>
      </c>
      <c r="D801" s="59"/>
      <c r="E801" s="59"/>
      <c r="F801" s="59"/>
      <c r="G801" s="59"/>
      <c r="H801" s="59"/>
      <c r="I801" s="59"/>
      <c r="J801" s="60"/>
      <c r="K801" s="61"/>
    </row>
    <row r="802" spans="2:11" ht="16" x14ac:dyDescent="0.2">
      <c r="B802" s="57"/>
      <c r="C802" s="197"/>
      <c r="D802" s="59" t="s">
        <v>370</v>
      </c>
      <c r="E802" s="59"/>
      <c r="F802" s="59"/>
      <c r="G802" s="59"/>
      <c r="H802" s="59"/>
      <c r="I802" s="59"/>
      <c r="J802" s="60">
        <f>'Baseline At-Risk Pops'!H52</f>
        <v>0</v>
      </c>
      <c r="K802" s="61"/>
    </row>
    <row r="803" spans="2:11" x14ac:dyDescent="0.2">
      <c r="B803" s="57"/>
      <c r="C803" s="59"/>
      <c r="D803" s="59" t="s">
        <v>371</v>
      </c>
      <c r="E803" s="59"/>
      <c r="F803" s="59"/>
      <c r="G803" s="59"/>
      <c r="H803" s="59"/>
      <c r="I803" s="59"/>
      <c r="J803" s="60">
        <f>SUM(J724,J739,J754,J769)</f>
        <v>2</v>
      </c>
      <c r="K803" s="61"/>
    </row>
    <row r="804" spans="2:11" x14ac:dyDescent="0.2">
      <c r="B804" s="57"/>
      <c r="C804" s="59"/>
      <c r="D804" s="196" t="s">
        <v>372</v>
      </c>
      <c r="E804" s="59"/>
      <c r="F804" s="59"/>
      <c r="G804" s="59"/>
      <c r="H804" s="59"/>
      <c r="I804" s="59"/>
      <c r="J804" s="60">
        <f>AVERAGE(J802,J803)</f>
        <v>1</v>
      </c>
      <c r="K804" s="61"/>
    </row>
    <row r="805" spans="2:11" ht="16" x14ac:dyDescent="0.2">
      <c r="B805" s="57"/>
      <c r="C805" s="197" t="s">
        <v>43</v>
      </c>
      <c r="D805" s="59"/>
      <c r="E805" s="59"/>
      <c r="F805" s="59"/>
      <c r="G805" s="59"/>
      <c r="H805" s="59"/>
      <c r="I805" s="59"/>
      <c r="J805" s="60"/>
      <c r="K805" s="61"/>
    </row>
    <row r="806" spans="2:11" x14ac:dyDescent="0.2">
      <c r="B806" s="57"/>
      <c r="C806" s="59"/>
      <c r="D806" s="59" t="s">
        <v>370</v>
      </c>
      <c r="E806" s="59"/>
      <c r="F806" s="59"/>
      <c r="G806" s="59"/>
      <c r="H806" s="59"/>
      <c r="I806" s="59"/>
      <c r="J806" s="60">
        <f>'Baseline At-Risk Pops'!H58</f>
        <v>0</v>
      </c>
      <c r="K806" s="61"/>
    </row>
    <row r="807" spans="2:11" x14ac:dyDescent="0.2">
      <c r="B807" s="57"/>
      <c r="C807" s="59"/>
      <c r="D807" s="59" t="s">
        <v>371</v>
      </c>
      <c r="E807" s="59"/>
      <c r="F807" s="59"/>
      <c r="G807" s="59"/>
      <c r="H807" s="59"/>
      <c r="I807" s="59"/>
      <c r="J807" s="60">
        <f>SUM(J725,J740,J755,J770)</f>
        <v>1</v>
      </c>
      <c r="K807" s="61"/>
    </row>
    <row r="808" spans="2:11" x14ac:dyDescent="0.2">
      <c r="B808" s="57"/>
      <c r="C808" s="59"/>
      <c r="D808" s="196" t="s">
        <v>372</v>
      </c>
      <c r="E808" s="59"/>
      <c r="F808" s="59"/>
      <c r="G808" s="59"/>
      <c r="H808" s="59"/>
      <c r="I808" s="59"/>
      <c r="J808" s="60">
        <f>AVERAGE(J806,J807)</f>
        <v>0.5</v>
      </c>
      <c r="K808" s="61"/>
    </row>
    <row r="809" spans="2:11" x14ac:dyDescent="0.2">
      <c r="B809" s="57"/>
      <c r="C809" s="59"/>
      <c r="D809" s="59"/>
      <c r="E809" s="59"/>
      <c r="F809" s="59"/>
      <c r="G809" s="59"/>
      <c r="H809" s="59"/>
      <c r="I809" s="59"/>
      <c r="J809" s="59"/>
      <c r="K809" s="61"/>
    </row>
    <row r="810" spans="2:11" x14ac:dyDescent="0.2">
      <c r="B810" s="57"/>
      <c r="C810" s="59"/>
      <c r="D810" s="59"/>
      <c r="E810" s="59"/>
      <c r="F810" s="59"/>
      <c r="G810" s="59"/>
      <c r="H810" s="59"/>
      <c r="I810" s="59"/>
      <c r="J810" s="59"/>
      <c r="K810" s="61"/>
    </row>
    <row r="811" spans="2:11" ht="16" x14ac:dyDescent="0.2">
      <c r="B811" s="57"/>
      <c r="C811" s="198" t="s">
        <v>373</v>
      </c>
      <c r="D811" s="59"/>
      <c r="E811" s="59"/>
      <c r="F811" s="59"/>
      <c r="G811" s="59"/>
      <c r="H811" s="59"/>
      <c r="I811" s="59"/>
      <c r="J811" s="261">
        <f>AVERAGE(J776,J780,J784,J788,J792,J796,J800,J804,J808)</f>
        <v>0.83333333333333337</v>
      </c>
      <c r="K811" s="61"/>
    </row>
    <row r="812" spans="2:11" ht="16" thickBot="1" x14ac:dyDescent="0.25">
      <c r="B812" s="73"/>
      <c r="C812" s="74"/>
      <c r="D812" s="74"/>
      <c r="E812" s="74"/>
      <c r="F812" s="74"/>
      <c r="G812" s="74"/>
      <c r="H812" s="74"/>
      <c r="I812" s="74"/>
      <c r="J812" s="74"/>
      <c r="K812" s="76"/>
    </row>
    <row r="813" spans="2:11" ht="16" thickBot="1" x14ac:dyDescent="0.25"/>
    <row r="814" spans="2:11" x14ac:dyDescent="0.2">
      <c r="B814" s="199"/>
      <c r="C814" s="200"/>
      <c r="D814" s="200"/>
      <c r="E814" s="200"/>
      <c r="F814" s="200"/>
      <c r="G814" s="200"/>
      <c r="H814" s="200"/>
      <c r="I814" s="200"/>
      <c r="J814" s="200"/>
      <c r="K814" s="201"/>
    </row>
    <row r="815" spans="2:11" ht="21" x14ac:dyDescent="0.25">
      <c r="B815" s="202"/>
      <c r="C815" s="203"/>
      <c r="D815" s="203"/>
      <c r="E815" s="203"/>
      <c r="F815" s="203"/>
      <c r="G815" s="204" t="s">
        <v>233</v>
      </c>
      <c r="H815" s="203"/>
      <c r="I815" s="203"/>
      <c r="J815" s="203"/>
      <c r="K815" s="205"/>
    </row>
    <row r="816" spans="2:11" x14ac:dyDescent="0.2">
      <c r="B816" s="202"/>
      <c r="C816" s="203"/>
      <c r="D816" s="203"/>
      <c r="E816" s="203"/>
      <c r="F816" s="203"/>
      <c r="G816" s="203"/>
      <c r="H816" s="203"/>
      <c r="I816" s="203"/>
      <c r="J816" s="203"/>
      <c r="K816" s="205"/>
    </row>
    <row r="817" spans="2:11" ht="16" x14ac:dyDescent="0.2">
      <c r="B817" s="202"/>
      <c r="C817" s="206" t="s">
        <v>992</v>
      </c>
      <c r="D817" s="203"/>
      <c r="E817" s="203"/>
      <c r="F817" s="203"/>
      <c r="G817" s="203"/>
      <c r="H817" s="203"/>
      <c r="I817" s="203"/>
      <c r="J817" s="262" t="str">
        <f>IF(J700="Not Calculated","Not Calculated",J700*(($J$811/4)+1))</f>
        <v>Not Calculated</v>
      </c>
      <c r="K817" s="205"/>
    </row>
    <row r="818" spans="2:11" x14ac:dyDescent="0.2">
      <c r="B818" s="202"/>
      <c r="C818" s="203"/>
      <c r="D818" s="203" t="s">
        <v>1119</v>
      </c>
      <c r="E818" s="203"/>
      <c r="F818" s="203"/>
      <c r="G818" s="203"/>
      <c r="H818" s="203"/>
      <c r="I818" s="203"/>
      <c r="J818" s="203"/>
      <c r="K818" s="205"/>
    </row>
    <row r="819" spans="2:11" x14ac:dyDescent="0.2">
      <c r="B819" s="202"/>
      <c r="C819" s="203"/>
      <c r="D819" s="203"/>
      <c r="E819" s="203"/>
      <c r="F819" s="203"/>
      <c r="G819" s="203"/>
      <c r="H819" s="203"/>
      <c r="I819" s="203"/>
      <c r="J819" s="203"/>
      <c r="K819" s="205"/>
    </row>
    <row r="820" spans="2:11" ht="16" x14ac:dyDescent="0.2">
      <c r="B820" s="202"/>
      <c r="C820" s="206" t="s">
        <v>993</v>
      </c>
      <c r="D820" s="203"/>
      <c r="E820" s="203"/>
      <c r="F820" s="203"/>
      <c r="G820" s="203"/>
      <c r="H820" s="203"/>
      <c r="I820" s="203"/>
      <c r="J820" s="262" t="str">
        <f>IF(J703="Not Calculated","Not Calculated",J703*(($J$811/4)+1))</f>
        <v>Not Calculated</v>
      </c>
      <c r="K820" s="205"/>
    </row>
    <row r="821" spans="2:11" x14ac:dyDescent="0.2">
      <c r="B821" s="202"/>
      <c r="C821" s="203"/>
      <c r="D821" s="203" t="s">
        <v>1120</v>
      </c>
      <c r="E821" s="203"/>
      <c r="F821" s="203"/>
      <c r="G821" s="203"/>
      <c r="H821" s="203"/>
      <c r="I821" s="203"/>
      <c r="J821" s="203"/>
      <c r="K821" s="205"/>
    </row>
    <row r="822" spans="2:11" x14ac:dyDescent="0.2">
      <c r="B822" s="202"/>
      <c r="C822" s="203"/>
      <c r="D822" s="203"/>
      <c r="E822" s="203"/>
      <c r="F822" s="203"/>
      <c r="G822" s="203"/>
      <c r="H822" s="203"/>
      <c r="I822" s="203"/>
      <c r="J822" s="203"/>
      <c r="K822" s="205"/>
    </row>
    <row r="823" spans="2:11" ht="16" x14ac:dyDescent="0.2">
      <c r="B823" s="202"/>
      <c r="C823" s="206" t="s">
        <v>994</v>
      </c>
      <c r="D823" s="203"/>
      <c r="E823" s="203"/>
      <c r="F823" s="203"/>
      <c r="G823" s="203"/>
      <c r="H823" s="203"/>
      <c r="I823" s="203"/>
      <c r="J823" s="262" t="str">
        <f>IF(J706="Not Calculated","Not Calculated",J706*(($J$811/4)+1))</f>
        <v>Not Calculated</v>
      </c>
      <c r="K823" s="205"/>
    </row>
    <row r="824" spans="2:11" x14ac:dyDescent="0.2">
      <c r="B824" s="202"/>
      <c r="C824" s="203"/>
      <c r="D824" s="203" t="s">
        <v>1121</v>
      </c>
      <c r="E824" s="203"/>
      <c r="F824" s="203"/>
      <c r="G824" s="203"/>
      <c r="H824" s="203"/>
      <c r="I824" s="203"/>
      <c r="J824" s="203"/>
      <c r="K824" s="205"/>
    </row>
    <row r="825" spans="2:11" ht="16" thickBot="1" x14ac:dyDescent="0.25">
      <c r="B825" s="207"/>
      <c r="C825" s="208"/>
      <c r="D825" s="208"/>
      <c r="E825" s="208"/>
      <c r="F825" s="208"/>
      <c r="G825" s="208"/>
      <c r="H825" s="208"/>
      <c r="I825" s="208"/>
      <c r="J825" s="208"/>
      <c r="K825" s="209"/>
    </row>
    <row r="826" spans="2:11" ht="16" thickBot="1" x14ac:dyDescent="0.25"/>
    <row r="827" spans="2:11" x14ac:dyDescent="0.2">
      <c r="B827" s="77"/>
      <c r="C827" s="78"/>
      <c r="D827" s="78"/>
      <c r="E827" s="78"/>
      <c r="F827" s="78"/>
      <c r="G827" s="78"/>
      <c r="H827" s="78"/>
      <c r="I827" s="78"/>
      <c r="J827" s="78"/>
      <c r="K827" s="80"/>
    </row>
    <row r="828" spans="2:11" ht="21" x14ac:dyDescent="0.25">
      <c r="B828" s="81"/>
      <c r="C828" s="85"/>
      <c r="D828" s="85"/>
      <c r="E828" s="85"/>
      <c r="F828" s="85"/>
      <c r="G828" s="210" t="s">
        <v>806</v>
      </c>
      <c r="H828" s="85"/>
      <c r="I828" s="85"/>
      <c r="J828" s="85"/>
      <c r="K828" s="87"/>
    </row>
    <row r="829" spans="2:11" x14ac:dyDescent="0.2">
      <c r="B829" s="81"/>
      <c r="C829" s="85"/>
      <c r="D829" s="85"/>
      <c r="E829" s="85"/>
      <c r="F829" s="85"/>
      <c r="G829" s="85"/>
      <c r="H829" s="85"/>
      <c r="I829" s="85"/>
      <c r="J829" s="85"/>
      <c r="K829" s="87"/>
    </row>
    <row r="830" spans="2:11" ht="15" customHeight="1" x14ac:dyDescent="0.2">
      <c r="B830" s="81"/>
      <c r="C830" s="424" t="s">
        <v>808</v>
      </c>
      <c r="D830" s="424"/>
      <c r="E830" s="424"/>
      <c r="F830" s="424"/>
      <c r="G830" s="424"/>
      <c r="H830" s="424"/>
      <c r="I830" s="424"/>
      <c r="J830" s="424"/>
      <c r="K830" s="87"/>
    </row>
    <row r="831" spans="2:11" x14ac:dyDescent="0.2">
      <c r="B831" s="81"/>
      <c r="C831" s="424"/>
      <c r="D831" s="424"/>
      <c r="E831" s="424"/>
      <c r="F831" s="424"/>
      <c r="G831" s="424"/>
      <c r="H831" s="424"/>
      <c r="I831" s="424"/>
      <c r="J831" s="424"/>
      <c r="K831" s="87"/>
    </row>
    <row r="832" spans="2:11" x14ac:dyDescent="0.2">
      <c r="B832" s="81"/>
      <c r="C832" s="85"/>
      <c r="D832" s="85"/>
      <c r="E832" s="85"/>
      <c r="F832" s="85"/>
      <c r="G832" s="85"/>
      <c r="H832" s="85"/>
      <c r="I832" s="85"/>
      <c r="J832" s="85"/>
      <c r="K832" s="87"/>
    </row>
    <row r="833" spans="2:11" ht="16" x14ac:dyDescent="0.2">
      <c r="B833" s="81"/>
      <c r="C833" s="211" t="s">
        <v>654</v>
      </c>
      <c r="D833" s="85"/>
      <c r="E833" s="85"/>
      <c r="F833" s="85"/>
      <c r="G833" s="85"/>
      <c r="H833" s="85"/>
      <c r="I833" s="85"/>
      <c r="J833" s="85"/>
      <c r="K833" s="87"/>
    </row>
    <row r="834" spans="2:11" x14ac:dyDescent="0.2">
      <c r="B834" s="81"/>
      <c r="C834" s="85" t="s">
        <v>380</v>
      </c>
      <c r="D834" s="85"/>
      <c r="E834" s="85"/>
      <c r="F834" s="85"/>
      <c r="G834" s="406" t="s">
        <v>235</v>
      </c>
      <c r="H834" s="407"/>
      <c r="I834" s="85"/>
      <c r="J834" s="83">
        <f>IF(G834=$B$998,$A$998,IF(G834=$B$999,$A$999,IF(G834=$B$1000,$A$1000,IF(G834=$B$1001,$A$1001,IF(G834=$B$1002,$A$1002,"Not Calculated")))))</f>
        <v>2</v>
      </c>
      <c r="K834" s="87"/>
    </row>
    <row r="835" spans="2:11" x14ac:dyDescent="0.2">
      <c r="B835" s="81"/>
      <c r="C835" s="85" t="s">
        <v>134</v>
      </c>
      <c r="D835" s="85"/>
      <c r="E835" s="85"/>
      <c r="F835" s="85"/>
      <c r="G835" s="85"/>
      <c r="H835" s="85"/>
      <c r="I835" s="85"/>
      <c r="J835" s="240">
        <f>'Baseline PHP'!J16</f>
        <v>0</v>
      </c>
      <c r="K835" s="87"/>
    </row>
    <row r="836" spans="2:11" x14ac:dyDescent="0.2">
      <c r="B836" s="81"/>
      <c r="C836" s="85"/>
      <c r="D836" s="85"/>
      <c r="E836" s="85"/>
      <c r="F836" s="85"/>
      <c r="G836" s="85"/>
      <c r="H836" s="85"/>
      <c r="I836" s="85"/>
      <c r="J836" s="85"/>
      <c r="K836" s="87"/>
    </row>
    <row r="837" spans="2:11" ht="16" x14ac:dyDescent="0.2">
      <c r="B837" s="81"/>
      <c r="C837" s="211" t="s">
        <v>655</v>
      </c>
      <c r="D837" s="85"/>
      <c r="E837" s="85"/>
      <c r="F837" s="85"/>
      <c r="G837" s="85"/>
      <c r="H837" s="85"/>
      <c r="I837" s="85"/>
      <c r="J837" s="85"/>
      <c r="K837" s="87"/>
    </row>
    <row r="838" spans="2:11" x14ac:dyDescent="0.2">
      <c r="B838" s="81"/>
      <c r="C838" s="85" t="s">
        <v>380</v>
      </c>
      <c r="D838" s="85"/>
      <c r="E838" s="85"/>
      <c r="F838" s="85"/>
      <c r="G838" s="406" t="s">
        <v>235</v>
      </c>
      <c r="H838" s="407"/>
      <c r="I838" s="85"/>
      <c r="J838" s="83">
        <f>IF(G838=$B$998,$A$998,IF(G838=$B$999,$A$999,IF(G838=$B$1000,$A$1000,IF(G838=$B$1001,$A$1001,IF(G838=$B$1002,$A$1002,"Not Calculated")))))</f>
        <v>2</v>
      </c>
      <c r="K838" s="87"/>
    </row>
    <row r="839" spans="2:11" x14ac:dyDescent="0.2">
      <c r="B839" s="81"/>
      <c r="C839" s="85" t="s">
        <v>134</v>
      </c>
      <c r="D839" s="85"/>
      <c r="E839" s="85"/>
      <c r="F839" s="85"/>
      <c r="G839" s="85"/>
      <c r="H839" s="85"/>
      <c r="I839" s="85"/>
      <c r="J839" s="240">
        <f>'Baseline PHP'!J28</f>
        <v>0</v>
      </c>
      <c r="K839" s="87"/>
    </row>
    <row r="840" spans="2:11" x14ac:dyDescent="0.2">
      <c r="B840" s="81"/>
      <c r="C840" s="85"/>
      <c r="D840" s="85"/>
      <c r="E840" s="85"/>
      <c r="F840" s="85"/>
      <c r="G840" s="85"/>
      <c r="H840" s="85"/>
      <c r="I840" s="85"/>
      <c r="J840" s="85"/>
      <c r="K840" s="87"/>
    </row>
    <row r="841" spans="2:11" ht="16" x14ac:dyDescent="0.2">
      <c r="B841" s="81"/>
      <c r="C841" s="211" t="s">
        <v>645</v>
      </c>
      <c r="D841" s="85"/>
      <c r="E841" s="85"/>
      <c r="F841" s="85"/>
      <c r="G841" s="85"/>
      <c r="H841" s="85"/>
      <c r="I841" s="85"/>
      <c r="J841" s="85"/>
      <c r="K841" s="87"/>
    </row>
    <row r="842" spans="2:11" x14ac:dyDescent="0.2">
      <c r="B842" s="81"/>
      <c r="C842" s="85" t="s">
        <v>380</v>
      </c>
      <c r="D842" s="85"/>
      <c r="E842" s="85"/>
      <c r="F842" s="85"/>
      <c r="G842" s="406" t="s">
        <v>235</v>
      </c>
      <c r="H842" s="407"/>
      <c r="I842" s="85"/>
      <c r="J842" s="83">
        <f>IF(G842=$B$998,$A$998,IF(G842=$B$999,$A$999,IF(G842=$B$1000,$A$1000,IF(G842=$B$1001,$A$1001,IF(G842=$B$1002,$A$1002,"Not Calculated")))))</f>
        <v>2</v>
      </c>
      <c r="K842" s="87"/>
    </row>
    <row r="843" spans="2:11" x14ac:dyDescent="0.2">
      <c r="B843" s="81"/>
      <c r="C843" s="85" t="s">
        <v>134</v>
      </c>
      <c r="D843" s="85"/>
      <c r="E843" s="85"/>
      <c r="F843" s="85"/>
      <c r="G843" s="85"/>
      <c r="H843" s="85"/>
      <c r="I843" s="85"/>
      <c r="J843" s="240">
        <f>'Baseline PHP'!J44</f>
        <v>0</v>
      </c>
      <c r="K843" s="87"/>
    </row>
    <row r="844" spans="2:11" x14ac:dyDescent="0.2">
      <c r="B844" s="81"/>
      <c r="C844" s="85"/>
      <c r="D844" s="85"/>
      <c r="E844" s="85"/>
      <c r="F844" s="85"/>
      <c r="G844" s="85"/>
      <c r="H844" s="85"/>
      <c r="I844" s="85"/>
      <c r="J844" s="85"/>
      <c r="K844" s="87"/>
    </row>
    <row r="845" spans="2:11" ht="16" x14ac:dyDescent="0.2">
      <c r="B845" s="81"/>
      <c r="C845" s="211" t="s">
        <v>646</v>
      </c>
      <c r="D845" s="85"/>
      <c r="E845" s="85"/>
      <c r="F845" s="85"/>
      <c r="G845" s="85"/>
      <c r="H845" s="85"/>
      <c r="I845" s="85"/>
      <c r="J845" s="85"/>
      <c r="K845" s="87"/>
    </row>
    <row r="846" spans="2:11" x14ac:dyDescent="0.2">
      <c r="B846" s="81"/>
      <c r="C846" s="85" t="s">
        <v>380</v>
      </c>
      <c r="D846" s="85"/>
      <c r="E846" s="85"/>
      <c r="F846" s="85"/>
      <c r="G846" s="406" t="s">
        <v>234</v>
      </c>
      <c r="H846" s="407"/>
      <c r="I846" s="85"/>
      <c r="J846" s="83">
        <f>IF(G846=$B$998,$A$998,IF(G846=$B$999,$A$999,IF(G846=$B$1000,$A$1000,IF(G846=$B$1001,$A$1001,IF(G846=$B$1002,$A$1002,"Not Calculated")))))</f>
        <v>4</v>
      </c>
      <c r="K846" s="87"/>
    </row>
    <row r="847" spans="2:11" x14ac:dyDescent="0.2">
      <c r="B847" s="81"/>
      <c r="C847" s="85" t="s">
        <v>134</v>
      </c>
      <c r="D847" s="85"/>
      <c r="E847" s="85"/>
      <c r="F847" s="85"/>
      <c r="G847" s="85"/>
      <c r="H847" s="85"/>
      <c r="I847" s="85"/>
      <c r="J847" s="240">
        <f>'Baseline PHP'!J60</f>
        <v>0</v>
      </c>
      <c r="K847" s="87"/>
    </row>
    <row r="848" spans="2:11" x14ac:dyDescent="0.2">
      <c r="B848" s="81"/>
      <c r="C848" s="85"/>
      <c r="D848" s="85"/>
      <c r="E848" s="85"/>
      <c r="F848" s="85"/>
      <c r="G848" s="85"/>
      <c r="H848" s="85"/>
      <c r="I848" s="85"/>
      <c r="J848" s="85"/>
      <c r="K848" s="87"/>
    </row>
    <row r="849" spans="2:11" ht="16" x14ac:dyDescent="0.2">
      <c r="B849" s="81"/>
      <c r="C849" s="211" t="s">
        <v>648</v>
      </c>
      <c r="D849" s="85"/>
      <c r="E849" s="85"/>
      <c r="F849" s="85"/>
      <c r="G849" s="85"/>
      <c r="H849" s="85"/>
      <c r="I849" s="85"/>
      <c r="J849" s="85"/>
      <c r="K849" s="87"/>
    </row>
    <row r="850" spans="2:11" ht="15" customHeight="1" x14ac:dyDescent="0.2">
      <c r="B850" s="81"/>
      <c r="C850" s="85" t="s">
        <v>380</v>
      </c>
      <c r="D850" s="85"/>
      <c r="E850" s="85"/>
      <c r="F850" s="85"/>
      <c r="G850" s="406" t="s">
        <v>237</v>
      </c>
      <c r="H850" s="407"/>
      <c r="I850" s="85"/>
      <c r="J850" s="83">
        <f>IF(G850=$B$998,$A$998,IF(G850=$B$999,$A$999,IF(G850=$B$1000,$A$1000,IF(G850=$B$1001,$A$1001,IF(G850=$B$1002,$A$1002,"Not Calculated")))))</f>
        <v>1</v>
      </c>
      <c r="K850" s="87"/>
    </row>
    <row r="851" spans="2:11" x14ac:dyDescent="0.2">
      <c r="B851" s="81"/>
      <c r="C851" s="85" t="s">
        <v>134</v>
      </c>
      <c r="D851" s="85"/>
      <c r="E851" s="85"/>
      <c r="F851" s="85"/>
      <c r="G851" s="85"/>
      <c r="H851" s="85"/>
      <c r="I851" s="85"/>
      <c r="J851" s="240">
        <f>'Baseline PHP'!J76</f>
        <v>0</v>
      </c>
      <c r="K851" s="87"/>
    </row>
    <row r="852" spans="2:11" x14ac:dyDescent="0.2">
      <c r="B852" s="81"/>
      <c r="C852" s="85"/>
      <c r="D852" s="85"/>
      <c r="E852" s="85"/>
      <c r="F852" s="85"/>
      <c r="G852" s="85"/>
      <c r="H852" s="85"/>
      <c r="I852" s="85"/>
      <c r="J852" s="85"/>
      <c r="K852" s="87"/>
    </row>
    <row r="853" spans="2:11" ht="16" x14ac:dyDescent="0.2">
      <c r="B853" s="81"/>
      <c r="C853" s="211" t="s">
        <v>647</v>
      </c>
      <c r="D853" s="85"/>
      <c r="E853" s="85"/>
      <c r="F853" s="85"/>
      <c r="G853" s="85"/>
      <c r="H853" s="85"/>
      <c r="I853" s="85"/>
      <c r="J853" s="85"/>
      <c r="K853" s="87"/>
    </row>
    <row r="854" spans="2:11" x14ac:dyDescent="0.2">
      <c r="B854" s="81"/>
      <c r="C854" s="85" t="s">
        <v>380</v>
      </c>
      <c r="D854" s="85"/>
      <c r="E854" s="85"/>
      <c r="F854" s="85"/>
      <c r="G854" s="406" t="s">
        <v>234</v>
      </c>
      <c r="H854" s="407"/>
      <c r="I854" s="85"/>
      <c r="J854" s="83">
        <f>IF(G854=$B$998,$A$998,IF(G854=$B$999,$A$999,IF(G854=$B$1000,$A$1000,IF(G854=$B$1001,$A$1001,IF(G854=$B$1002,$A$1002,"Not Calculated")))))</f>
        <v>4</v>
      </c>
      <c r="K854" s="87"/>
    </row>
    <row r="855" spans="2:11" x14ac:dyDescent="0.2">
      <c r="B855" s="81"/>
      <c r="C855" s="85" t="s">
        <v>134</v>
      </c>
      <c r="D855" s="85"/>
      <c r="E855" s="85"/>
      <c r="F855" s="85"/>
      <c r="G855" s="85"/>
      <c r="H855" s="85"/>
      <c r="I855" s="85"/>
      <c r="J855" s="240">
        <f>'Baseline PHP'!J88</f>
        <v>0</v>
      </c>
      <c r="K855" s="87"/>
    </row>
    <row r="856" spans="2:11" x14ac:dyDescent="0.2">
      <c r="B856" s="81"/>
      <c r="C856" s="85"/>
      <c r="D856" s="85"/>
      <c r="E856" s="85"/>
      <c r="F856" s="85"/>
      <c r="G856" s="85"/>
      <c r="H856" s="85"/>
      <c r="I856" s="85"/>
      <c r="J856" s="85"/>
      <c r="K856" s="87"/>
    </row>
    <row r="857" spans="2:11" ht="16" x14ac:dyDescent="0.2">
      <c r="B857" s="81"/>
      <c r="C857" s="211" t="s">
        <v>115</v>
      </c>
      <c r="D857" s="85"/>
      <c r="E857" s="85"/>
      <c r="F857" s="85"/>
      <c r="G857" s="85"/>
      <c r="H857" s="85"/>
      <c r="I857" s="85"/>
      <c r="J857" s="85"/>
      <c r="K857" s="87"/>
    </row>
    <row r="858" spans="2:11" x14ac:dyDescent="0.2">
      <c r="B858" s="81"/>
      <c r="C858" s="85" t="s">
        <v>380</v>
      </c>
      <c r="D858" s="85"/>
      <c r="E858" s="85"/>
      <c r="F858" s="85"/>
      <c r="G858" s="406" t="s">
        <v>236</v>
      </c>
      <c r="H858" s="407"/>
      <c r="I858" s="85"/>
      <c r="J858" s="83">
        <f>IF(G858=$B$998,$A$998,IF(G858=$B$999,$A$999,IF(G858=$B$1000,$A$1000,IF(G858=$B$1001,$A$1001,IF(G858=$B$1002,$A$1002,"Not Calculated")))))</f>
        <v>0</v>
      </c>
      <c r="K858" s="87"/>
    </row>
    <row r="859" spans="2:11" x14ac:dyDescent="0.2">
      <c r="B859" s="81"/>
      <c r="C859" s="85" t="s">
        <v>134</v>
      </c>
      <c r="D859" s="85"/>
      <c r="E859" s="85"/>
      <c r="F859" s="85"/>
      <c r="G859" s="85"/>
      <c r="H859" s="85"/>
      <c r="I859" s="85"/>
      <c r="J859" s="240">
        <f>'Baseline PHP'!J102</f>
        <v>0</v>
      </c>
      <c r="K859" s="87"/>
    </row>
    <row r="860" spans="2:11" x14ac:dyDescent="0.2">
      <c r="B860" s="81"/>
      <c r="C860" s="85"/>
      <c r="D860" s="85"/>
      <c r="E860" s="85"/>
      <c r="F860" s="85"/>
      <c r="G860" s="85"/>
      <c r="H860" s="85"/>
      <c r="I860" s="85"/>
      <c r="J860" s="85"/>
      <c r="K860" s="87"/>
    </row>
    <row r="861" spans="2:11" ht="16" x14ac:dyDescent="0.2">
      <c r="B861" s="81"/>
      <c r="C861" s="211" t="s">
        <v>649</v>
      </c>
      <c r="D861" s="85"/>
      <c r="E861" s="85"/>
      <c r="F861" s="85"/>
      <c r="G861" s="85"/>
      <c r="H861" s="85"/>
      <c r="I861" s="85"/>
      <c r="J861" s="85"/>
      <c r="K861" s="87"/>
    </row>
    <row r="862" spans="2:11" x14ac:dyDescent="0.2">
      <c r="B862" s="81"/>
      <c r="C862" s="85" t="s">
        <v>380</v>
      </c>
      <c r="D862" s="85"/>
      <c r="E862" s="85"/>
      <c r="F862" s="85"/>
      <c r="G862" s="406" t="s">
        <v>236</v>
      </c>
      <c r="H862" s="407"/>
      <c r="I862" s="85"/>
      <c r="J862" s="83">
        <f>IF(G862=$B$998,$A$998,IF(G862=$B$999,$A$999,IF(G862=$B$1000,$A$1000,IF(G862=$B$1001,$A$1001,IF(G862=$B$1002,$A$1002,"Not Calculated")))))</f>
        <v>0</v>
      </c>
      <c r="K862" s="87"/>
    </row>
    <row r="863" spans="2:11" x14ac:dyDescent="0.2">
      <c r="B863" s="81"/>
      <c r="C863" s="85" t="s">
        <v>134</v>
      </c>
      <c r="D863" s="85"/>
      <c r="E863" s="85"/>
      <c r="F863" s="85"/>
      <c r="G863" s="85"/>
      <c r="H863" s="85"/>
      <c r="I863" s="85"/>
      <c r="J863" s="240">
        <f>'Baseline PHP'!J118</f>
        <v>0</v>
      </c>
      <c r="K863" s="87"/>
    </row>
    <row r="864" spans="2:11" x14ac:dyDescent="0.2">
      <c r="B864" s="81"/>
      <c r="C864" s="85"/>
      <c r="D864" s="85"/>
      <c r="E864" s="85"/>
      <c r="F864" s="85"/>
      <c r="G864" s="85"/>
      <c r="H864" s="85"/>
      <c r="I864" s="85"/>
      <c r="J864" s="85"/>
      <c r="K864" s="87"/>
    </row>
    <row r="865" spans="2:11" ht="16" x14ac:dyDescent="0.2">
      <c r="B865" s="81"/>
      <c r="C865" s="211" t="s">
        <v>656</v>
      </c>
      <c r="D865" s="85"/>
      <c r="E865" s="85"/>
      <c r="F865" s="85"/>
      <c r="G865" s="85"/>
      <c r="H865" s="85"/>
      <c r="I865" s="85"/>
      <c r="J865" s="85"/>
      <c r="K865" s="87"/>
    </row>
    <row r="866" spans="2:11" x14ac:dyDescent="0.2">
      <c r="B866" s="81"/>
      <c r="C866" s="85" t="s">
        <v>380</v>
      </c>
      <c r="D866" s="85"/>
      <c r="E866" s="85"/>
      <c r="F866" s="85"/>
      <c r="G866" s="406" t="s">
        <v>236</v>
      </c>
      <c r="H866" s="407"/>
      <c r="I866" s="85"/>
      <c r="J866" s="83">
        <f>IF(G866=$B$998,$A$998,IF(G866=$B$999,$A$999,IF(G866=$B$1000,$A$1000,IF(G866=$B$1001,$A$1001,IF(G866=$B$1002,$A$1002,"Not Calculated")))))</f>
        <v>0</v>
      </c>
      <c r="K866" s="87"/>
    </row>
    <row r="867" spans="2:11" x14ac:dyDescent="0.2">
      <c r="B867" s="81"/>
      <c r="C867" s="85" t="s">
        <v>134</v>
      </c>
      <c r="D867" s="85"/>
      <c r="E867" s="85"/>
      <c r="F867" s="85"/>
      <c r="G867" s="85"/>
      <c r="H867" s="85"/>
      <c r="I867" s="85"/>
      <c r="J867" s="240">
        <f>'Baseline PHP'!J136</f>
        <v>0</v>
      </c>
      <c r="K867" s="87"/>
    </row>
    <row r="868" spans="2:11" x14ac:dyDescent="0.2">
      <c r="B868" s="81"/>
      <c r="C868" s="85"/>
      <c r="D868" s="85"/>
      <c r="E868" s="85"/>
      <c r="F868" s="85"/>
      <c r="G868" s="85"/>
      <c r="H868" s="85"/>
      <c r="I868" s="85"/>
      <c r="J868" s="85"/>
      <c r="K868" s="87"/>
    </row>
    <row r="869" spans="2:11" ht="16" x14ac:dyDescent="0.2">
      <c r="B869" s="81"/>
      <c r="C869" s="211" t="s">
        <v>121</v>
      </c>
      <c r="D869" s="85"/>
      <c r="E869" s="85"/>
      <c r="F869" s="85"/>
      <c r="G869" s="85"/>
      <c r="H869" s="85"/>
      <c r="I869" s="85"/>
      <c r="J869" s="85"/>
      <c r="K869" s="87"/>
    </row>
    <row r="870" spans="2:11" x14ac:dyDescent="0.2">
      <c r="B870" s="81"/>
      <c r="C870" s="85" t="s">
        <v>380</v>
      </c>
      <c r="D870" s="85"/>
      <c r="E870" s="85"/>
      <c r="F870" s="85"/>
      <c r="G870" s="406" t="s">
        <v>235</v>
      </c>
      <c r="H870" s="407"/>
      <c r="I870" s="85"/>
      <c r="J870" s="83">
        <f>IF(G870=$B$998,$A$998,IF(G870=$B$999,$A$999,IF(G870=$B$1000,$A$1000,IF(G870=$B$1001,$A$1001,IF(G870=$B$1002,$A$1002,"Not Calculated")))))</f>
        <v>2</v>
      </c>
      <c r="K870" s="87"/>
    </row>
    <row r="871" spans="2:11" x14ac:dyDescent="0.2">
      <c r="B871" s="81"/>
      <c r="C871" s="85" t="s">
        <v>134</v>
      </c>
      <c r="D871" s="85"/>
      <c r="E871" s="85"/>
      <c r="F871" s="85"/>
      <c r="G871" s="85"/>
      <c r="H871" s="85"/>
      <c r="I871" s="85"/>
      <c r="J871" s="240">
        <f>'Baseline PHP'!J150</f>
        <v>0</v>
      </c>
      <c r="K871" s="87"/>
    </row>
    <row r="872" spans="2:11" x14ac:dyDescent="0.2">
      <c r="B872" s="81"/>
      <c r="C872" s="85"/>
      <c r="D872" s="85"/>
      <c r="E872" s="85"/>
      <c r="F872" s="85"/>
      <c r="G872" s="85"/>
      <c r="H872" s="85"/>
      <c r="I872" s="85"/>
      <c r="J872" s="85"/>
      <c r="K872" s="87"/>
    </row>
    <row r="873" spans="2:11" ht="16" x14ac:dyDescent="0.2">
      <c r="B873" s="81"/>
      <c r="C873" s="211" t="s">
        <v>657</v>
      </c>
      <c r="D873" s="85"/>
      <c r="E873" s="85"/>
      <c r="F873" s="85"/>
      <c r="G873" s="85"/>
      <c r="H873" s="85"/>
      <c r="I873" s="85"/>
      <c r="J873" s="85"/>
      <c r="K873" s="87"/>
    </row>
    <row r="874" spans="2:11" x14ac:dyDescent="0.2">
      <c r="B874" s="81"/>
      <c r="C874" s="85" t="s">
        <v>380</v>
      </c>
      <c r="D874" s="85"/>
      <c r="E874" s="85"/>
      <c r="F874" s="85"/>
      <c r="G874" s="406" t="s">
        <v>236</v>
      </c>
      <c r="H874" s="407"/>
      <c r="I874" s="85"/>
      <c r="J874" s="83">
        <f>IF(G874=$B$998,$A$998,IF(G874=$B$999,$A$999,IF(G874=$B$1000,$A$1000,IF(G874=$B$1001,$A$1001,IF(G874=$B$1002,$A$1002,"Not Calculated")))))</f>
        <v>0</v>
      </c>
      <c r="K874" s="87"/>
    </row>
    <row r="875" spans="2:11" x14ac:dyDescent="0.2">
      <c r="B875" s="81"/>
      <c r="C875" s="85" t="s">
        <v>134</v>
      </c>
      <c r="D875" s="85"/>
      <c r="E875" s="85"/>
      <c r="F875" s="85"/>
      <c r="G875" s="85"/>
      <c r="H875" s="85"/>
      <c r="I875" s="85"/>
      <c r="J875" s="240">
        <f>'Baseline PHP'!J164</f>
        <v>0</v>
      </c>
      <c r="K875" s="87"/>
    </row>
    <row r="876" spans="2:11" x14ac:dyDescent="0.2">
      <c r="B876" s="81"/>
      <c r="C876" s="85"/>
      <c r="D876" s="85"/>
      <c r="E876" s="85"/>
      <c r="F876" s="85"/>
      <c r="G876" s="85"/>
      <c r="H876" s="85"/>
      <c r="I876" s="85"/>
      <c r="J876" s="85"/>
      <c r="K876" s="87"/>
    </row>
    <row r="877" spans="2:11" ht="16" x14ac:dyDescent="0.2">
      <c r="B877" s="81"/>
      <c r="C877" s="211" t="s">
        <v>650</v>
      </c>
      <c r="D877" s="85"/>
      <c r="E877" s="85"/>
      <c r="F877" s="85"/>
      <c r="G877" s="85"/>
      <c r="H877" s="85"/>
      <c r="I877" s="85"/>
      <c r="J877" s="85"/>
      <c r="K877" s="87"/>
    </row>
    <row r="878" spans="2:11" x14ac:dyDescent="0.2">
      <c r="B878" s="81"/>
      <c r="C878" s="85" t="s">
        <v>380</v>
      </c>
      <c r="D878" s="85"/>
      <c r="E878" s="85"/>
      <c r="F878" s="85"/>
      <c r="G878" s="406" t="s">
        <v>236</v>
      </c>
      <c r="H878" s="407"/>
      <c r="I878" s="85"/>
      <c r="J878" s="83">
        <f>IF(G878=$B$998,$A$998,IF(G878=$B$999,$A$999,IF(G878=$B$1000,$A$1000,IF(G878=$B$1001,$A$1001,IF(G878=$B$1002,$A$1002,"Not Calculated")))))</f>
        <v>0</v>
      </c>
      <c r="K878" s="87"/>
    </row>
    <row r="879" spans="2:11" x14ac:dyDescent="0.2">
      <c r="B879" s="81"/>
      <c r="C879" s="85" t="s">
        <v>134</v>
      </c>
      <c r="D879" s="85"/>
      <c r="E879" s="85"/>
      <c r="F879" s="85"/>
      <c r="G879" s="85"/>
      <c r="H879" s="85"/>
      <c r="I879" s="85"/>
      <c r="J879" s="240">
        <f>'Baseline PHP'!J180</f>
        <v>0</v>
      </c>
      <c r="K879" s="87"/>
    </row>
    <row r="880" spans="2:11" x14ac:dyDescent="0.2">
      <c r="B880" s="81"/>
      <c r="C880" s="85"/>
      <c r="D880" s="85"/>
      <c r="E880" s="85"/>
      <c r="F880" s="85"/>
      <c r="G880" s="85"/>
      <c r="H880" s="85"/>
      <c r="I880" s="85"/>
      <c r="J880" s="85"/>
      <c r="K880" s="87"/>
    </row>
    <row r="881" spans="2:11" ht="16" x14ac:dyDescent="0.2">
      <c r="B881" s="81"/>
      <c r="C881" s="211" t="s">
        <v>651</v>
      </c>
      <c r="D881" s="85"/>
      <c r="E881" s="85"/>
      <c r="F881" s="85"/>
      <c r="G881" s="85"/>
      <c r="H881" s="85"/>
      <c r="I881" s="85"/>
      <c r="J881" s="85"/>
      <c r="K881" s="87"/>
    </row>
    <row r="882" spans="2:11" x14ac:dyDescent="0.2">
      <c r="B882" s="81"/>
      <c r="C882" s="85" t="s">
        <v>380</v>
      </c>
      <c r="D882" s="85"/>
      <c r="E882" s="85"/>
      <c r="F882" s="85"/>
      <c r="G882" s="406" t="s">
        <v>236</v>
      </c>
      <c r="H882" s="407"/>
      <c r="I882" s="85"/>
      <c r="J882" s="83">
        <f>IF(G882=$B$998,$A$998,IF(G882=$B$999,$A$999,IF(G882=$B$1000,$A$1000,IF(G882=$B$1001,$A$1001,IF(G882=$B$1002,$A$1002,"Not Calculated")))))</f>
        <v>0</v>
      </c>
      <c r="K882" s="87"/>
    </row>
    <row r="883" spans="2:11" x14ac:dyDescent="0.2">
      <c r="B883" s="81"/>
      <c r="C883" s="85" t="s">
        <v>134</v>
      </c>
      <c r="D883" s="85"/>
      <c r="E883" s="85"/>
      <c r="F883" s="85"/>
      <c r="G883" s="85"/>
      <c r="H883" s="85"/>
      <c r="I883" s="85"/>
      <c r="J883" s="240">
        <f>'Baseline PHP'!J194</f>
        <v>0</v>
      </c>
      <c r="K883" s="87"/>
    </row>
    <row r="884" spans="2:11" x14ac:dyDescent="0.2">
      <c r="B884" s="81"/>
      <c r="C884" s="85"/>
      <c r="D884" s="85"/>
      <c r="E884" s="85"/>
      <c r="F884" s="85"/>
      <c r="G884" s="85"/>
      <c r="H884" s="85"/>
      <c r="I884" s="85"/>
      <c r="J884" s="85"/>
      <c r="K884" s="87"/>
    </row>
    <row r="885" spans="2:11" ht="16" x14ac:dyDescent="0.2">
      <c r="B885" s="81"/>
      <c r="C885" s="211" t="s">
        <v>652</v>
      </c>
      <c r="D885" s="85"/>
      <c r="E885" s="85"/>
      <c r="F885" s="85"/>
      <c r="G885" s="85"/>
      <c r="H885" s="85"/>
      <c r="I885" s="85"/>
      <c r="J885" s="85"/>
      <c r="K885" s="87"/>
    </row>
    <row r="886" spans="2:11" x14ac:dyDescent="0.2">
      <c r="B886" s="81"/>
      <c r="C886" s="85" t="s">
        <v>380</v>
      </c>
      <c r="D886" s="85"/>
      <c r="E886" s="85"/>
      <c r="F886" s="85"/>
      <c r="G886" s="406" t="s">
        <v>237</v>
      </c>
      <c r="H886" s="407"/>
      <c r="I886" s="85"/>
      <c r="J886" s="83">
        <f>IF(G886=$B$998,$A$998,IF(G886=$B$999,$A$999,IF(G886=$B$1000,$A$1000,IF(G886=$B$1001,$A$1001,IF(G886=$B$1002,$A$1002,"Not Calculated")))))</f>
        <v>1</v>
      </c>
      <c r="K886" s="87"/>
    </row>
    <row r="887" spans="2:11" x14ac:dyDescent="0.2">
      <c r="B887" s="81"/>
      <c r="C887" s="85" t="s">
        <v>134</v>
      </c>
      <c r="D887" s="85"/>
      <c r="E887" s="85"/>
      <c r="F887" s="85"/>
      <c r="G887" s="85"/>
      <c r="H887" s="85"/>
      <c r="I887" s="85"/>
      <c r="J887" s="240">
        <f>'Baseline PHP'!J208</f>
        <v>0</v>
      </c>
      <c r="K887" s="87"/>
    </row>
    <row r="888" spans="2:11" x14ac:dyDescent="0.2">
      <c r="B888" s="81"/>
      <c r="C888" s="85"/>
      <c r="D888" s="85"/>
      <c r="E888" s="85"/>
      <c r="F888" s="85"/>
      <c r="G888" s="85"/>
      <c r="H888" s="85"/>
      <c r="I888" s="85"/>
      <c r="J888" s="85"/>
      <c r="K888" s="87"/>
    </row>
    <row r="889" spans="2:11" ht="16" x14ac:dyDescent="0.2">
      <c r="B889" s="81"/>
      <c r="C889" s="211" t="s">
        <v>653</v>
      </c>
      <c r="D889" s="85"/>
      <c r="E889" s="85"/>
      <c r="F889" s="85"/>
      <c r="G889" s="85"/>
      <c r="H889" s="85"/>
      <c r="I889" s="85"/>
      <c r="J889" s="85"/>
      <c r="K889" s="87"/>
    </row>
    <row r="890" spans="2:11" x14ac:dyDescent="0.2">
      <c r="B890" s="81"/>
      <c r="C890" s="85" t="s">
        <v>380</v>
      </c>
      <c r="D890" s="85"/>
      <c r="E890" s="85"/>
      <c r="F890" s="85"/>
      <c r="G890" s="406" t="s">
        <v>236</v>
      </c>
      <c r="H890" s="407"/>
      <c r="I890" s="85"/>
      <c r="J890" s="83">
        <f>IF(G890=$B$998,$A$998,IF(G890=$B$999,$A$999,IF(G890=$B$1000,$A$1000,IF(G890=$B$1001,$A$1001,IF(G890=$B$1002,$A$1002,"Not Calculated")))))</f>
        <v>0</v>
      </c>
      <c r="K890" s="87"/>
    </row>
    <row r="891" spans="2:11" x14ac:dyDescent="0.2">
      <c r="B891" s="81"/>
      <c r="C891" s="85" t="s">
        <v>134</v>
      </c>
      <c r="D891" s="85"/>
      <c r="E891" s="85"/>
      <c r="F891" s="85"/>
      <c r="G891" s="85"/>
      <c r="H891" s="85"/>
      <c r="I891" s="85"/>
      <c r="J891" s="240">
        <f>'Baseline PHP'!J222</f>
        <v>0</v>
      </c>
      <c r="K891" s="87"/>
    </row>
    <row r="892" spans="2:11" x14ac:dyDescent="0.2">
      <c r="B892" s="81"/>
      <c r="C892" s="85"/>
      <c r="D892" s="85"/>
      <c r="E892" s="85"/>
      <c r="F892" s="85"/>
      <c r="G892" s="85"/>
      <c r="H892" s="85"/>
      <c r="I892" s="85"/>
      <c r="J892" s="85"/>
      <c r="K892" s="87"/>
    </row>
    <row r="893" spans="2:11" x14ac:dyDescent="0.2">
      <c r="B893" s="81"/>
      <c r="C893" s="85"/>
      <c r="D893" s="85"/>
      <c r="E893" s="85"/>
      <c r="F893" s="85"/>
      <c r="G893" s="85"/>
      <c r="H893" s="85"/>
      <c r="I893" s="85"/>
      <c r="J893" s="85"/>
      <c r="K893" s="87"/>
    </row>
    <row r="894" spans="2:11" ht="16" x14ac:dyDescent="0.2">
      <c r="B894" s="81"/>
      <c r="C894" s="212" t="s">
        <v>813</v>
      </c>
      <c r="D894" s="85"/>
      <c r="E894" s="85"/>
      <c r="F894" s="85"/>
      <c r="G894" s="85"/>
      <c r="H894" s="85"/>
      <c r="I894" s="85"/>
      <c r="J894" s="241">
        <f>IF(OR(J854="Not Calculated",J858="Not Calculated",J862="Not Calculated",J866="Not Calculated",J870="Not Calculated",J874="Not Calculated",J878="Not Calculated",J882="Not Calculated",J886="Not Calculated",J890="Not Calculated",J834="Not Calculated",J838="Not Calculated",J842="Not Calculated",J846="Not Calculated",J850="Not Calculated",J855="Not Calculated",J859="Not Calculated",J863="Not Calculated",J867="Not Calculated",J871="Not Calculated",J875="Not Calculated",J879="Not Calculated",J883="Not Calculated",J887="Not Calculated",J891="Not Calculated",J835="Not Calculated",J839="Not Calculated",J843="Not Calculated",J847="Not Calculated",J851="Not Calculated")=TRUE,"Not Calculated",((J834*J835)+(J838*J839)+(J842*J843)+(J846*J847)+(J850*J851)+(J854*J855)+(J858*J859)+(J862*J863)+(J866*J867)+(J870*J871)+(J874*J875)+(J878*J879)+(J882*J883)+(J886*J887)+(J890*J891))/(J834+J838+J842+J846+J850+J854+J858+J862+J866+J870+J874+J878+J882+J886+J890))</f>
        <v>0</v>
      </c>
      <c r="K894" s="87"/>
    </row>
    <row r="895" spans="2:11" ht="16" thickBot="1" x14ac:dyDescent="0.25">
      <c r="B895" s="213"/>
      <c r="C895" s="94"/>
      <c r="D895" s="94"/>
      <c r="E895" s="94"/>
      <c r="F895" s="94"/>
      <c r="G895" s="94"/>
      <c r="H895" s="94"/>
      <c r="I895" s="94"/>
      <c r="J895" s="94"/>
      <c r="K895" s="96"/>
    </row>
    <row r="896" spans="2:11" ht="16" thickBot="1" x14ac:dyDescent="0.25"/>
    <row r="897" spans="2:11" x14ac:dyDescent="0.2">
      <c r="B897" s="77"/>
      <c r="C897" s="78"/>
      <c r="D897" s="78"/>
      <c r="E897" s="78"/>
      <c r="F897" s="78"/>
      <c r="G897" s="78"/>
      <c r="H897" s="78"/>
      <c r="I897" s="78"/>
      <c r="J897" s="78"/>
      <c r="K897" s="80"/>
    </row>
    <row r="898" spans="2:11" ht="21" x14ac:dyDescent="0.25">
      <c r="B898" s="81"/>
      <c r="C898" s="85"/>
      <c r="D898" s="85"/>
      <c r="E898" s="85"/>
      <c r="F898" s="85"/>
      <c r="G898" s="210" t="s">
        <v>807</v>
      </c>
      <c r="H898" s="85"/>
      <c r="I898" s="85"/>
      <c r="J898" s="85"/>
      <c r="K898" s="87"/>
    </row>
    <row r="899" spans="2:11" x14ac:dyDescent="0.2">
      <c r="B899" s="81"/>
      <c r="C899" s="85"/>
      <c r="D899" s="85"/>
      <c r="E899" s="85"/>
      <c r="F899" s="85"/>
      <c r="G899" s="85"/>
      <c r="H899" s="85"/>
      <c r="I899" s="85"/>
      <c r="J899" s="85"/>
      <c r="K899" s="87"/>
    </row>
    <row r="900" spans="2:11" ht="15" customHeight="1" x14ac:dyDescent="0.2">
      <c r="B900" s="81"/>
      <c r="C900" s="424" t="s">
        <v>809</v>
      </c>
      <c r="D900" s="424"/>
      <c r="E900" s="424"/>
      <c r="F900" s="424"/>
      <c r="G900" s="424"/>
      <c r="H900" s="424"/>
      <c r="I900" s="424"/>
      <c r="J900" s="424"/>
      <c r="K900" s="87"/>
    </row>
    <row r="901" spans="2:11" x14ac:dyDescent="0.2">
      <c r="B901" s="81"/>
      <c r="C901" s="424"/>
      <c r="D901" s="424"/>
      <c r="E901" s="424"/>
      <c r="F901" s="424"/>
      <c r="G901" s="424"/>
      <c r="H901" s="424"/>
      <c r="I901" s="424"/>
      <c r="J901" s="424"/>
      <c r="K901" s="87"/>
    </row>
    <row r="902" spans="2:11" x14ac:dyDescent="0.2">
      <c r="B902" s="81"/>
      <c r="C902" s="85"/>
      <c r="D902" s="85"/>
      <c r="E902" s="85"/>
      <c r="F902" s="85"/>
      <c r="G902" s="85"/>
      <c r="H902" s="85"/>
      <c r="I902" s="85"/>
      <c r="J902" s="85"/>
      <c r="K902" s="87"/>
    </row>
    <row r="903" spans="2:11" ht="16" x14ac:dyDescent="0.2">
      <c r="B903" s="81"/>
      <c r="C903" s="211" t="s">
        <v>810</v>
      </c>
      <c r="D903" s="85"/>
      <c r="E903" s="85"/>
      <c r="F903" s="85"/>
      <c r="G903" s="85"/>
      <c r="H903" s="85"/>
      <c r="I903" s="85"/>
      <c r="J903" s="85"/>
      <c r="K903" s="87"/>
    </row>
    <row r="904" spans="2:11" x14ac:dyDescent="0.2">
      <c r="B904" s="81"/>
      <c r="C904" s="85" t="s">
        <v>380</v>
      </c>
      <c r="D904" s="85"/>
      <c r="E904" s="85"/>
      <c r="F904" s="85"/>
      <c r="G904" s="406" t="s">
        <v>235</v>
      </c>
      <c r="H904" s="407"/>
      <c r="I904" s="85"/>
      <c r="J904" s="83">
        <f>IF(G904=$B$998,$A$998,IF(G904=$B$999,$A$999,IF(G904=$B$1000,$A$1000,IF(G904=$B$1001,$A$1001,IF(G904=$B$1002,$A$1002,"Not Calculated")))))</f>
        <v>2</v>
      </c>
      <c r="K904" s="87"/>
    </row>
    <row r="905" spans="2:11" x14ac:dyDescent="0.2">
      <c r="B905" s="81"/>
      <c r="C905" s="85" t="s">
        <v>134</v>
      </c>
      <c r="D905" s="85"/>
      <c r="E905" s="85"/>
      <c r="F905" s="85"/>
      <c r="G905" s="85"/>
      <c r="H905" s="85"/>
      <c r="I905" s="85"/>
      <c r="J905" s="240">
        <f>'Baseline HP'!J22</f>
        <v>0</v>
      </c>
      <c r="K905" s="87"/>
    </row>
    <row r="906" spans="2:11" x14ac:dyDescent="0.2">
      <c r="B906" s="81"/>
      <c r="C906" s="85"/>
      <c r="D906" s="85"/>
      <c r="E906" s="85"/>
      <c r="F906" s="85"/>
      <c r="G906" s="85"/>
      <c r="H906" s="85"/>
      <c r="I906" s="85"/>
      <c r="J906" s="85"/>
      <c r="K906" s="87"/>
    </row>
    <row r="907" spans="2:11" ht="16" x14ac:dyDescent="0.2">
      <c r="B907" s="81"/>
      <c r="C907" s="211" t="s">
        <v>811</v>
      </c>
      <c r="D907" s="85"/>
      <c r="E907" s="85"/>
      <c r="F907" s="85"/>
      <c r="G907" s="85"/>
      <c r="H907" s="85"/>
      <c r="I907" s="85"/>
      <c r="J907" s="85"/>
      <c r="K907" s="87"/>
    </row>
    <row r="908" spans="2:11" x14ac:dyDescent="0.2">
      <c r="B908" s="81"/>
      <c r="C908" s="85" t="s">
        <v>380</v>
      </c>
      <c r="D908" s="85"/>
      <c r="E908" s="85"/>
      <c r="F908" s="85"/>
      <c r="G908" s="406" t="s">
        <v>235</v>
      </c>
      <c r="H908" s="407"/>
      <c r="I908" s="85"/>
      <c r="J908" s="83">
        <f>IF(G908=$B$998,$A$998,IF(G908=$B$999,$A$999,IF(G908=$B$1000,$A$1000,IF(G908=$B$1001,$A$1001,IF(G908=$B$1002,$A$1002,"Not Calculated")))))</f>
        <v>2</v>
      </c>
      <c r="K908" s="87"/>
    </row>
    <row r="909" spans="2:11" x14ac:dyDescent="0.2">
      <c r="B909" s="81"/>
      <c r="C909" s="85" t="s">
        <v>134</v>
      </c>
      <c r="D909" s="85"/>
      <c r="E909" s="85"/>
      <c r="F909" s="85"/>
      <c r="G909" s="85"/>
      <c r="H909" s="85"/>
      <c r="I909" s="85"/>
      <c r="J909" s="240">
        <f>'Baseline HP'!J32</f>
        <v>0</v>
      </c>
      <c r="K909" s="87"/>
    </row>
    <row r="910" spans="2:11" x14ac:dyDescent="0.2">
      <c r="B910" s="81"/>
      <c r="C910" s="85"/>
      <c r="D910" s="85"/>
      <c r="E910" s="85"/>
      <c r="F910" s="85"/>
      <c r="G910" s="85"/>
      <c r="H910" s="85"/>
      <c r="I910" s="85"/>
      <c r="J910" s="85"/>
      <c r="K910" s="87"/>
    </row>
    <row r="911" spans="2:11" ht="16" x14ac:dyDescent="0.2">
      <c r="B911" s="81"/>
      <c r="C911" s="211" t="s">
        <v>645</v>
      </c>
      <c r="D911" s="85"/>
      <c r="E911" s="85"/>
      <c r="F911" s="85"/>
      <c r="G911" s="85"/>
      <c r="H911" s="85"/>
      <c r="I911" s="85"/>
      <c r="J911" s="85"/>
      <c r="K911" s="87"/>
    </row>
    <row r="912" spans="2:11" x14ac:dyDescent="0.2">
      <c r="B912" s="81"/>
      <c r="C912" s="85" t="s">
        <v>380</v>
      </c>
      <c r="D912" s="85"/>
      <c r="E912" s="85"/>
      <c r="F912" s="85"/>
      <c r="G912" s="406" t="s">
        <v>235</v>
      </c>
      <c r="H912" s="407"/>
      <c r="I912" s="85"/>
      <c r="J912" s="83">
        <f>IF(G912=$B$998,$A$998,IF(G912=$B$999,$A$999,IF(G912=$B$1000,$A$1000,IF(G912=$B$1001,$A$1001,IF(G912=$B$1002,$A$1002,"Not Calculated")))))</f>
        <v>2</v>
      </c>
      <c r="K912" s="87"/>
    </row>
    <row r="913" spans="2:11" x14ac:dyDescent="0.2">
      <c r="B913" s="81"/>
      <c r="C913" s="85" t="s">
        <v>134</v>
      </c>
      <c r="D913" s="85"/>
      <c r="E913" s="85"/>
      <c r="F913" s="85"/>
      <c r="G913" s="85"/>
      <c r="H913" s="85"/>
      <c r="I913" s="85"/>
      <c r="J913" s="240">
        <f>'Baseline HP'!J46</f>
        <v>0</v>
      </c>
      <c r="K913" s="87"/>
    </row>
    <row r="914" spans="2:11" x14ac:dyDescent="0.2">
      <c r="B914" s="81"/>
      <c r="C914" s="85"/>
      <c r="D914" s="85"/>
      <c r="E914" s="85"/>
      <c r="F914" s="85"/>
      <c r="G914" s="85"/>
      <c r="H914" s="85"/>
      <c r="I914" s="85"/>
      <c r="J914" s="85"/>
      <c r="K914" s="87"/>
    </row>
    <row r="915" spans="2:11" ht="16" x14ac:dyDescent="0.2">
      <c r="B915" s="81"/>
      <c r="C915" s="211" t="s">
        <v>648</v>
      </c>
      <c r="D915" s="85"/>
      <c r="E915" s="85"/>
      <c r="F915" s="85"/>
      <c r="G915" s="85"/>
      <c r="H915" s="85"/>
      <c r="I915" s="85"/>
      <c r="J915" s="85"/>
      <c r="K915" s="87"/>
    </row>
    <row r="916" spans="2:11" ht="15" customHeight="1" x14ac:dyDescent="0.2">
      <c r="B916" s="81"/>
      <c r="C916" s="85" t="s">
        <v>380</v>
      </c>
      <c r="D916" s="85"/>
      <c r="E916" s="85"/>
      <c r="F916" s="85"/>
      <c r="G916" s="406" t="s">
        <v>237</v>
      </c>
      <c r="H916" s="407"/>
      <c r="I916" s="85"/>
      <c r="J916" s="83">
        <f>IF(G916=$B$998,$A$998,IF(G916=$B$999,$A$999,IF(G916=$B$1000,$A$1000,IF(G916=$B$1001,$A$1001,IF(G916=$B$1002,$A$1002,"Not Calculated")))))</f>
        <v>1</v>
      </c>
      <c r="K916" s="87"/>
    </row>
    <row r="917" spans="2:11" x14ac:dyDescent="0.2">
      <c r="B917" s="81"/>
      <c r="C917" s="85" t="s">
        <v>134</v>
      </c>
      <c r="D917" s="85"/>
      <c r="E917" s="85"/>
      <c r="F917" s="85"/>
      <c r="G917" s="85"/>
      <c r="H917" s="85"/>
      <c r="I917" s="85"/>
      <c r="J917" s="240">
        <f>'Baseline HP'!J58</f>
        <v>0</v>
      </c>
      <c r="K917" s="87"/>
    </row>
    <row r="918" spans="2:11" x14ac:dyDescent="0.2">
      <c r="B918" s="81"/>
      <c r="C918" s="85"/>
      <c r="D918" s="85"/>
      <c r="E918" s="85"/>
      <c r="F918" s="85"/>
      <c r="G918" s="85"/>
      <c r="H918" s="85"/>
      <c r="I918" s="85"/>
      <c r="J918" s="85"/>
      <c r="K918" s="87"/>
    </row>
    <row r="919" spans="2:11" ht="16" x14ac:dyDescent="0.2">
      <c r="B919" s="81"/>
      <c r="C919" s="211" t="s">
        <v>647</v>
      </c>
      <c r="D919" s="85"/>
      <c r="E919" s="85"/>
      <c r="F919" s="85"/>
      <c r="G919" s="85"/>
      <c r="H919" s="85"/>
      <c r="I919" s="85"/>
      <c r="J919" s="85"/>
      <c r="K919" s="87"/>
    </row>
    <row r="920" spans="2:11" x14ac:dyDescent="0.2">
      <c r="B920" s="81"/>
      <c r="C920" s="85" t="s">
        <v>380</v>
      </c>
      <c r="D920" s="85"/>
      <c r="E920" s="85"/>
      <c r="F920" s="85"/>
      <c r="G920" s="406" t="s">
        <v>234</v>
      </c>
      <c r="H920" s="407"/>
      <c r="I920" s="85"/>
      <c r="J920" s="83">
        <f>IF(G920=$B$998,$A$998,IF(G920=$B$999,$A$999,IF(G920=$B$1000,$A$1000,IF(G920=$B$1001,$A$1001,IF(G920=$B$1002,$A$1002,"Not Calculated")))))</f>
        <v>4</v>
      </c>
      <c r="K920" s="87"/>
    </row>
    <row r="921" spans="2:11" x14ac:dyDescent="0.2">
      <c r="B921" s="81"/>
      <c r="C921" s="85" t="s">
        <v>134</v>
      </c>
      <c r="D921" s="85"/>
      <c r="E921" s="85"/>
      <c r="F921" s="85"/>
      <c r="G921" s="85"/>
      <c r="H921" s="85"/>
      <c r="I921" s="85"/>
      <c r="J921" s="240">
        <f>'Baseline HP'!J68</f>
        <v>0</v>
      </c>
      <c r="K921" s="87"/>
    </row>
    <row r="922" spans="2:11" x14ac:dyDescent="0.2">
      <c r="B922" s="81"/>
      <c r="C922" s="85"/>
      <c r="D922" s="85"/>
      <c r="E922" s="85"/>
      <c r="F922" s="85"/>
      <c r="G922" s="85"/>
      <c r="H922" s="85"/>
      <c r="I922" s="85"/>
      <c r="J922" s="85"/>
      <c r="K922" s="87"/>
    </row>
    <row r="923" spans="2:11" ht="16" x14ac:dyDescent="0.2">
      <c r="B923" s="81"/>
      <c r="C923" s="211" t="s">
        <v>121</v>
      </c>
      <c r="D923" s="85"/>
      <c r="E923" s="85"/>
      <c r="F923" s="85"/>
      <c r="G923" s="85"/>
      <c r="H923" s="85"/>
      <c r="I923" s="85"/>
      <c r="J923" s="85"/>
      <c r="K923" s="87"/>
    </row>
    <row r="924" spans="2:11" x14ac:dyDescent="0.2">
      <c r="B924" s="81"/>
      <c r="C924" s="85" t="s">
        <v>380</v>
      </c>
      <c r="D924" s="85"/>
      <c r="E924" s="85"/>
      <c r="F924" s="85"/>
      <c r="G924" s="406" t="s">
        <v>235</v>
      </c>
      <c r="H924" s="407"/>
      <c r="I924" s="85"/>
      <c r="J924" s="83">
        <f>IF(G924=$B$998,$A$998,IF(G924=$B$999,$A$999,IF(G924=$B$1000,$A$1000,IF(G924=$B$1001,$A$1001,IF(G924=$B$1002,$A$1002,"Not Calculated")))))</f>
        <v>2</v>
      </c>
      <c r="K924" s="87"/>
    </row>
    <row r="925" spans="2:11" x14ac:dyDescent="0.2">
      <c r="B925" s="81"/>
      <c r="C925" s="85" t="s">
        <v>134</v>
      </c>
      <c r="D925" s="85"/>
      <c r="E925" s="85"/>
      <c r="F925" s="85"/>
      <c r="G925" s="85"/>
      <c r="H925" s="85"/>
      <c r="I925" s="85"/>
      <c r="J925" s="240">
        <f>'Baseline HP'!J84</f>
        <v>0</v>
      </c>
      <c r="K925" s="87"/>
    </row>
    <row r="926" spans="2:11" x14ac:dyDescent="0.2">
      <c r="B926" s="81"/>
      <c r="C926" s="85"/>
      <c r="D926" s="85"/>
      <c r="E926" s="85"/>
      <c r="F926" s="85"/>
      <c r="G926" s="85"/>
      <c r="H926" s="85"/>
      <c r="I926" s="85"/>
      <c r="J926" s="85"/>
      <c r="K926" s="87"/>
    </row>
    <row r="927" spans="2:11" ht="16" x14ac:dyDescent="0.2">
      <c r="B927" s="81"/>
      <c r="C927" s="211" t="s">
        <v>652</v>
      </c>
      <c r="D927" s="85"/>
      <c r="E927" s="85"/>
      <c r="F927" s="85"/>
      <c r="G927" s="85"/>
      <c r="H927" s="85"/>
      <c r="I927" s="85"/>
      <c r="J927" s="85"/>
      <c r="K927" s="87"/>
    </row>
    <row r="928" spans="2:11" x14ac:dyDescent="0.2">
      <c r="B928" s="81"/>
      <c r="C928" s="85" t="s">
        <v>380</v>
      </c>
      <c r="D928" s="85"/>
      <c r="E928" s="85"/>
      <c r="F928" s="85"/>
      <c r="G928" s="406" t="s">
        <v>237</v>
      </c>
      <c r="H928" s="407"/>
      <c r="I928" s="85"/>
      <c r="J928" s="83">
        <f>IF(G928=$B$998,$A$998,IF(G928=$B$999,$A$999,IF(G928=$B$1000,$A$1000,IF(G928=$B$1001,$A$1001,IF(G928=$B$1002,$A$1002,"Not Calculated")))))</f>
        <v>1</v>
      </c>
      <c r="K928" s="87"/>
    </row>
    <row r="929" spans="2:11" x14ac:dyDescent="0.2">
      <c r="B929" s="81"/>
      <c r="C929" s="85" t="s">
        <v>134</v>
      </c>
      <c r="D929" s="85"/>
      <c r="E929" s="85"/>
      <c r="F929" s="85"/>
      <c r="G929" s="85"/>
      <c r="H929" s="85"/>
      <c r="I929" s="85"/>
      <c r="J929" s="240">
        <f>'Baseline HP'!J94</f>
        <v>0</v>
      </c>
      <c r="K929" s="87"/>
    </row>
    <row r="930" spans="2:11" x14ac:dyDescent="0.2">
      <c r="B930" s="81"/>
      <c r="C930" s="85"/>
      <c r="D930" s="85"/>
      <c r="E930" s="85"/>
      <c r="F930" s="85"/>
      <c r="G930" s="85"/>
      <c r="H930" s="85"/>
      <c r="I930" s="85"/>
      <c r="J930" s="85"/>
      <c r="K930" s="87"/>
    </row>
    <row r="931" spans="2:11" ht="16" x14ac:dyDescent="0.2">
      <c r="B931" s="81"/>
      <c r="C931" s="211" t="s">
        <v>653</v>
      </c>
      <c r="D931" s="85"/>
      <c r="E931" s="85"/>
      <c r="F931" s="85"/>
      <c r="G931" s="85"/>
      <c r="H931" s="85"/>
      <c r="I931" s="85"/>
      <c r="J931" s="85"/>
      <c r="K931" s="87"/>
    </row>
    <row r="932" spans="2:11" x14ac:dyDescent="0.2">
      <c r="B932" s="81"/>
      <c r="C932" s="85" t="s">
        <v>380</v>
      </c>
      <c r="D932" s="85"/>
      <c r="E932" s="85"/>
      <c r="F932" s="85"/>
      <c r="G932" s="406" t="s">
        <v>236</v>
      </c>
      <c r="H932" s="407"/>
      <c r="I932" s="85"/>
      <c r="J932" s="83">
        <f>IF(G932=$B$998,$A$998,IF(G932=$B$999,$A$999,IF(G932=$B$1000,$A$1000,IF(G932=$B$1001,$A$1001,IF(G932=$B$1002,$A$1002,"Not Calculated")))))</f>
        <v>0</v>
      </c>
      <c r="K932" s="87"/>
    </row>
    <row r="933" spans="2:11" x14ac:dyDescent="0.2">
      <c r="B933" s="81"/>
      <c r="C933" s="85" t="s">
        <v>134</v>
      </c>
      <c r="D933" s="85"/>
      <c r="E933" s="85"/>
      <c r="F933" s="85"/>
      <c r="G933" s="85"/>
      <c r="H933" s="85"/>
      <c r="I933" s="85"/>
      <c r="J933" s="240">
        <f>'Baseline HP'!J108</f>
        <v>0</v>
      </c>
      <c r="K933" s="87"/>
    </row>
    <row r="934" spans="2:11" x14ac:dyDescent="0.2">
      <c r="B934" s="81"/>
      <c r="C934" s="85"/>
      <c r="D934" s="85"/>
      <c r="E934" s="85"/>
      <c r="F934" s="85"/>
      <c r="G934" s="85"/>
      <c r="H934" s="85"/>
      <c r="I934" s="85"/>
      <c r="J934" s="85"/>
      <c r="K934" s="87"/>
    </row>
    <row r="935" spans="2:11" x14ac:dyDescent="0.2">
      <c r="B935" s="81"/>
      <c r="C935" s="85"/>
      <c r="D935" s="85"/>
      <c r="E935" s="85"/>
      <c r="F935" s="85"/>
      <c r="G935" s="85"/>
      <c r="H935" s="85"/>
      <c r="I935" s="85"/>
      <c r="J935" s="85"/>
      <c r="K935" s="87"/>
    </row>
    <row r="936" spans="2:11" ht="16" x14ac:dyDescent="0.2">
      <c r="B936" s="81"/>
      <c r="C936" s="212" t="s">
        <v>812</v>
      </c>
      <c r="D936" s="85"/>
      <c r="E936" s="85"/>
      <c r="F936" s="85"/>
      <c r="G936" s="85"/>
      <c r="H936" s="85"/>
      <c r="I936" s="85"/>
      <c r="J936" s="241">
        <f>IF(OR(J920="Not Calculated",J924="Not Calculated",J928="Not Calculated",J932="Not Calculated",J904="Not Calculated",J908="Not Calculated",J912="Not Calculated",J916="Not Calculated",J921="Not Calculated",J925="Not Calculated",J929="Not Calculated",J933="Not Calculated",J905="Not Calculated",J909="Not Calculated",J913="Not Calculated",J917="Not Calculated")=TRUE,"Not Calculated",((J904*J905)+(J908*J909)+(J912*J913)+(J916*J917)+(J920*J921)+(J924*J925)+(J928*J929)+(J932*J933))/(J904+J908+J912+J916+J920+J924+J928+J932))</f>
        <v>0</v>
      </c>
      <c r="K936" s="87"/>
    </row>
    <row r="937" spans="2:11" ht="16" thickBot="1" x14ac:dyDescent="0.25">
      <c r="B937" s="213"/>
      <c r="C937" s="94"/>
      <c r="D937" s="94"/>
      <c r="E937" s="94"/>
      <c r="F937" s="94"/>
      <c r="G937" s="94"/>
      <c r="H937" s="94"/>
      <c r="I937" s="94"/>
      <c r="J937" s="94"/>
      <c r="K937" s="96"/>
    </row>
    <row r="938" spans="2:11" ht="16" thickBot="1" x14ac:dyDescent="0.25"/>
    <row r="939" spans="2:11" x14ac:dyDescent="0.2">
      <c r="B939" s="77"/>
      <c r="C939" s="78"/>
      <c r="D939" s="78"/>
      <c r="E939" s="78"/>
      <c r="F939" s="78"/>
      <c r="G939" s="78"/>
      <c r="H939" s="78"/>
      <c r="I939" s="78"/>
      <c r="J939" s="78"/>
      <c r="K939" s="80"/>
    </row>
    <row r="940" spans="2:11" ht="21" x14ac:dyDescent="0.25">
      <c r="B940" s="81"/>
      <c r="C940" s="85"/>
      <c r="D940" s="85"/>
      <c r="E940" s="85"/>
      <c r="F940" s="85"/>
      <c r="G940" s="210" t="s">
        <v>815</v>
      </c>
      <c r="H940" s="85"/>
      <c r="I940" s="85"/>
      <c r="J940" s="85"/>
      <c r="K940" s="87"/>
    </row>
    <row r="941" spans="2:11" ht="21" x14ac:dyDescent="0.25">
      <c r="B941" s="81"/>
      <c r="C941" s="85"/>
      <c r="D941" s="85"/>
      <c r="E941" s="85"/>
      <c r="F941" s="85"/>
      <c r="G941" s="210"/>
      <c r="H941" s="85"/>
      <c r="I941" s="85"/>
      <c r="J941" s="85"/>
      <c r="K941" s="87"/>
    </row>
    <row r="942" spans="2:11" ht="16" x14ac:dyDescent="0.2">
      <c r="B942" s="81"/>
      <c r="C942" s="212" t="s">
        <v>995</v>
      </c>
      <c r="D942" s="85"/>
      <c r="E942" s="85"/>
      <c r="F942" s="85"/>
      <c r="G942" s="85"/>
      <c r="H942" s="85"/>
      <c r="I942" s="85"/>
      <c r="J942" s="241">
        <f>IF(OR(J936="Not Calculated",J894="Not Calculated")=TRUE,"Not Calculated",AVERAGE(J936,J894))</f>
        <v>0</v>
      </c>
      <c r="K942" s="87"/>
    </row>
    <row r="943" spans="2:11" ht="16" x14ac:dyDescent="0.2">
      <c r="B943" s="81"/>
      <c r="C943" s="212"/>
      <c r="D943" s="85" t="s">
        <v>814</v>
      </c>
      <c r="E943" s="85"/>
      <c r="F943" s="85"/>
      <c r="G943" s="85"/>
      <c r="H943" s="85"/>
      <c r="I943" s="85"/>
      <c r="J943" s="241"/>
      <c r="K943" s="87"/>
    </row>
    <row r="944" spans="2:11" ht="17" thickBot="1" x14ac:dyDescent="0.25">
      <c r="B944" s="213"/>
      <c r="C944" s="227"/>
      <c r="D944" s="94"/>
      <c r="E944" s="94"/>
      <c r="F944" s="94"/>
      <c r="G944" s="94"/>
      <c r="H944" s="94"/>
      <c r="I944" s="94"/>
      <c r="J944" s="228"/>
      <c r="K944" s="96"/>
    </row>
    <row r="945" spans="2:11" ht="16" thickBot="1" x14ac:dyDescent="0.25"/>
    <row r="946" spans="2:11" x14ac:dyDescent="0.2">
      <c r="B946" s="214"/>
      <c r="C946" s="215"/>
      <c r="D946" s="215"/>
      <c r="E946" s="215"/>
      <c r="F946" s="215"/>
      <c r="G946" s="215"/>
      <c r="H946" s="215"/>
      <c r="I946" s="215"/>
      <c r="J946" s="215"/>
      <c r="K946" s="216"/>
    </row>
    <row r="947" spans="2:11" ht="21" x14ac:dyDescent="0.25">
      <c r="B947" s="217"/>
      <c r="C947" s="218"/>
      <c r="D947" s="218"/>
      <c r="E947" s="218"/>
      <c r="F947" s="218"/>
      <c r="G947" s="219" t="s">
        <v>239</v>
      </c>
      <c r="H947" s="218"/>
      <c r="I947" s="218"/>
      <c r="J947" s="218"/>
      <c r="K947" s="220"/>
    </row>
    <row r="948" spans="2:11" x14ac:dyDescent="0.2">
      <c r="B948" s="217"/>
      <c r="C948" s="218"/>
      <c r="D948" s="218"/>
      <c r="E948" s="218"/>
      <c r="F948" s="218"/>
      <c r="G948" s="218"/>
      <c r="H948" s="218"/>
      <c r="I948" s="218"/>
      <c r="J948" s="218"/>
      <c r="K948" s="220"/>
    </row>
    <row r="949" spans="2:11" ht="16" x14ac:dyDescent="0.2">
      <c r="B949" s="217"/>
      <c r="C949" s="221" t="s">
        <v>393</v>
      </c>
      <c r="D949" s="218"/>
      <c r="E949" s="218"/>
      <c r="F949" s="218"/>
      <c r="G949" s="218"/>
      <c r="H949" s="218"/>
      <c r="I949" s="218"/>
      <c r="J949" s="242" t="str">
        <f>IF(OR(J817="Not Calculated",J942="Not Calculated")=TRUE,"Not Calculated",J817/J942)</f>
        <v>Not Calculated</v>
      </c>
      <c r="K949" s="220"/>
    </row>
    <row r="950" spans="2:11" x14ac:dyDescent="0.2">
      <c r="B950" s="217"/>
      <c r="C950" s="218"/>
      <c r="D950" s="218" t="s">
        <v>816</v>
      </c>
      <c r="E950" s="218"/>
      <c r="F950" s="218"/>
      <c r="G950" s="218"/>
      <c r="H950" s="218"/>
      <c r="I950" s="218"/>
      <c r="J950" s="218"/>
      <c r="K950" s="220"/>
    </row>
    <row r="951" spans="2:11" x14ac:dyDescent="0.2">
      <c r="B951" s="217"/>
      <c r="C951" s="218"/>
      <c r="D951" s="218"/>
      <c r="E951" s="218"/>
      <c r="F951" s="218"/>
      <c r="G951" s="218"/>
      <c r="H951" s="218"/>
      <c r="I951" s="218"/>
      <c r="J951" s="218"/>
      <c r="K951" s="220"/>
    </row>
    <row r="952" spans="2:11" ht="16" x14ac:dyDescent="0.2">
      <c r="B952" s="217"/>
      <c r="C952" s="221" t="s">
        <v>996</v>
      </c>
      <c r="D952" s="218"/>
      <c r="E952" s="218"/>
      <c r="F952" s="218"/>
      <c r="G952" s="218"/>
      <c r="H952" s="218"/>
      <c r="I952" s="218"/>
      <c r="J952" s="242" t="str">
        <f>IF(OR(J820="Not Calculated",J894="Not Calculated")=TRUE,"Not Calculated",J820/J894)</f>
        <v>Not Calculated</v>
      </c>
      <c r="K952" s="220"/>
    </row>
    <row r="953" spans="2:11" x14ac:dyDescent="0.2">
      <c r="B953" s="217"/>
      <c r="C953" s="218"/>
      <c r="D953" s="218" t="s">
        <v>817</v>
      </c>
      <c r="E953" s="218"/>
      <c r="F953" s="218"/>
      <c r="G953" s="218"/>
      <c r="H953" s="218"/>
      <c r="I953" s="218"/>
      <c r="J953" s="218"/>
      <c r="K953" s="220"/>
    </row>
    <row r="954" spans="2:11" x14ac:dyDescent="0.2">
      <c r="B954" s="217"/>
      <c r="C954" s="218"/>
      <c r="D954" s="218"/>
      <c r="E954" s="218"/>
      <c r="F954" s="218"/>
      <c r="G954" s="218"/>
      <c r="H954" s="218"/>
      <c r="I954" s="218"/>
      <c r="J954" s="218"/>
      <c r="K954" s="220"/>
    </row>
    <row r="955" spans="2:11" ht="16" x14ac:dyDescent="0.2">
      <c r="B955" s="217"/>
      <c r="C955" s="221" t="s">
        <v>997</v>
      </c>
      <c r="D955" s="218"/>
      <c r="E955" s="218"/>
      <c r="F955" s="218"/>
      <c r="G955" s="218"/>
      <c r="H955" s="218"/>
      <c r="I955" s="218"/>
      <c r="J955" s="242" t="str">
        <f>IF(OR(J936="Not Calculated",J823="Not Calculated")=TRUE,"Not Calculated",J823/J936)</f>
        <v>Not Calculated</v>
      </c>
      <c r="K955" s="220"/>
    </row>
    <row r="956" spans="2:11" x14ac:dyDescent="0.2">
      <c r="B956" s="217"/>
      <c r="C956" s="218"/>
      <c r="D956" s="218" t="s">
        <v>818</v>
      </c>
      <c r="E956" s="218"/>
      <c r="F956" s="218"/>
      <c r="G956" s="218"/>
      <c r="H956" s="218"/>
      <c r="I956" s="218"/>
      <c r="J956" s="218"/>
      <c r="K956" s="220"/>
    </row>
    <row r="957" spans="2:11" ht="16" thickBot="1" x14ac:dyDescent="0.25">
      <c r="B957" s="222"/>
      <c r="C957" s="223"/>
      <c r="D957" s="223"/>
      <c r="E957" s="223"/>
      <c r="F957" s="223"/>
      <c r="G957" s="223"/>
      <c r="H957" s="223"/>
      <c r="I957" s="223"/>
      <c r="J957" s="223"/>
      <c r="K957" s="224"/>
    </row>
    <row r="959" spans="2:11" ht="15" customHeight="1" x14ac:dyDescent="0.2">
      <c r="F959" s="405"/>
      <c r="G959" s="405"/>
      <c r="H959" s="405"/>
    </row>
    <row r="960" spans="2:11" x14ac:dyDescent="0.2">
      <c r="F960" s="405"/>
      <c r="G960" s="405"/>
      <c r="H960" s="405"/>
    </row>
    <row r="965" spans="1:3" ht="15" hidden="1" customHeight="1" x14ac:dyDescent="0.2">
      <c r="A965" s="12" t="s">
        <v>228</v>
      </c>
    </row>
    <row r="966" spans="1:3" ht="15" hidden="1" customHeight="1" x14ac:dyDescent="0.2">
      <c r="A966" s="12">
        <v>0</v>
      </c>
      <c r="B966" s="12" t="s">
        <v>250</v>
      </c>
      <c r="C966" s="12" t="s">
        <v>240</v>
      </c>
    </row>
    <row r="967" spans="1:3" ht="15" hidden="1" customHeight="1" x14ac:dyDescent="0.2">
      <c r="A967" s="12">
        <v>1</v>
      </c>
      <c r="B967" s="12" t="s">
        <v>251</v>
      </c>
      <c r="C967" s="12" t="s">
        <v>241</v>
      </c>
    </row>
    <row r="968" spans="1:3" ht="15" hidden="1" customHeight="1" x14ac:dyDescent="0.2">
      <c r="A968" s="12">
        <v>2</v>
      </c>
      <c r="B968" s="12" t="s">
        <v>252</v>
      </c>
      <c r="C968" s="12" t="s">
        <v>242</v>
      </c>
    </row>
    <row r="969" spans="1:3" ht="15" hidden="1" customHeight="1" x14ac:dyDescent="0.2">
      <c r="A969" s="12">
        <v>3</v>
      </c>
      <c r="B969" s="12" t="s">
        <v>253</v>
      </c>
      <c r="C969" s="12" t="s">
        <v>227</v>
      </c>
    </row>
    <row r="970" spans="1:3" ht="15" hidden="1" customHeight="1" x14ac:dyDescent="0.2">
      <c r="A970" s="12">
        <v>4</v>
      </c>
      <c r="B970" s="12" t="s">
        <v>254</v>
      </c>
      <c r="C970" s="12" t="s">
        <v>243</v>
      </c>
    </row>
    <row r="971" spans="1:3" ht="15" hidden="1" customHeight="1" x14ac:dyDescent="0.2"/>
    <row r="972" spans="1:3" ht="15" hidden="1" customHeight="1" x14ac:dyDescent="0.2">
      <c r="A972" s="12" t="s">
        <v>259</v>
      </c>
    </row>
    <row r="973" spans="1:3" ht="15" hidden="1" customHeight="1" x14ac:dyDescent="0.2">
      <c r="A973" s="12">
        <v>0</v>
      </c>
      <c r="B973" s="225" t="s">
        <v>870</v>
      </c>
    </row>
    <row r="974" spans="1:3" ht="15" hidden="1" customHeight="1" x14ac:dyDescent="0.2">
      <c r="A974" s="12">
        <v>1</v>
      </c>
      <c r="B974" s="12" t="s">
        <v>880</v>
      </c>
    </row>
    <row r="975" spans="1:3" ht="15" hidden="1" customHeight="1" x14ac:dyDescent="0.2">
      <c r="A975" s="12">
        <v>2</v>
      </c>
      <c r="B975" s="12" t="s">
        <v>872</v>
      </c>
    </row>
    <row r="976" spans="1:3" ht="15" hidden="1" customHeight="1" x14ac:dyDescent="0.2">
      <c r="A976" s="12">
        <v>3</v>
      </c>
      <c r="B976" s="12" t="s">
        <v>873</v>
      </c>
    </row>
    <row r="977" spans="1:2" ht="15" hidden="1" customHeight="1" x14ac:dyDescent="0.2">
      <c r="A977" s="12">
        <v>4</v>
      </c>
      <c r="B977" s="12" t="s">
        <v>874</v>
      </c>
    </row>
    <row r="978" spans="1:2" ht="15" hidden="1" customHeight="1" x14ac:dyDescent="0.2"/>
    <row r="979" spans="1:2" ht="15" hidden="1" customHeight="1" x14ac:dyDescent="0.2">
      <c r="A979" s="12" t="s">
        <v>294</v>
      </c>
    </row>
    <row r="980" spans="1:2" ht="15" hidden="1" customHeight="1" x14ac:dyDescent="0.2">
      <c r="A980" s="12">
        <v>0</v>
      </c>
      <c r="B980" s="225" t="s">
        <v>870</v>
      </c>
    </row>
    <row r="981" spans="1:2" ht="15" hidden="1" customHeight="1" x14ac:dyDescent="0.2">
      <c r="A981" s="12">
        <v>1</v>
      </c>
      <c r="B981" s="12" t="s">
        <v>875</v>
      </c>
    </row>
    <row r="982" spans="1:2" ht="15" hidden="1" customHeight="1" x14ac:dyDescent="0.2">
      <c r="A982" s="12">
        <v>2</v>
      </c>
      <c r="B982" s="12" t="s">
        <v>876</v>
      </c>
    </row>
    <row r="983" spans="1:2" ht="15" hidden="1" customHeight="1" x14ac:dyDescent="0.2">
      <c r="A983" s="12">
        <v>3</v>
      </c>
      <c r="B983" s="12" t="s">
        <v>877</v>
      </c>
    </row>
    <row r="984" spans="1:2" ht="15" hidden="1" customHeight="1" x14ac:dyDescent="0.2">
      <c r="A984" s="12">
        <v>4</v>
      </c>
      <c r="B984" s="12" t="s">
        <v>878</v>
      </c>
    </row>
    <row r="985" spans="1:2" ht="15" hidden="1" customHeight="1" x14ac:dyDescent="0.2"/>
    <row r="986" spans="1:2" ht="15" hidden="1" customHeight="1" x14ac:dyDescent="0.2">
      <c r="A986" s="12" t="s">
        <v>244</v>
      </c>
    </row>
    <row r="987" spans="1:2" ht="15" hidden="1" customHeight="1" x14ac:dyDescent="0.2">
      <c r="A987" s="12">
        <v>0</v>
      </c>
      <c r="B987" s="12" t="s">
        <v>245</v>
      </c>
    </row>
    <row r="988" spans="1:2" ht="15" hidden="1" customHeight="1" x14ac:dyDescent="0.2">
      <c r="A988" s="12">
        <v>1</v>
      </c>
      <c r="B988" s="12" t="s">
        <v>246</v>
      </c>
    </row>
    <row r="989" spans="1:2" ht="15" hidden="1" customHeight="1" x14ac:dyDescent="0.2">
      <c r="A989" s="12">
        <v>2</v>
      </c>
      <c r="B989" s="12" t="s">
        <v>247</v>
      </c>
    </row>
    <row r="990" spans="1:2" ht="15" hidden="1" customHeight="1" x14ac:dyDescent="0.2">
      <c r="A990" s="12">
        <v>3</v>
      </c>
      <c r="B990" s="12" t="s">
        <v>229</v>
      </c>
    </row>
    <row r="991" spans="1:2" ht="15" hidden="1" customHeight="1" x14ac:dyDescent="0.2">
      <c r="A991" s="12">
        <v>4</v>
      </c>
      <c r="B991" s="12" t="s">
        <v>248</v>
      </c>
    </row>
    <row r="992" spans="1:2" ht="15" hidden="1" customHeight="1" x14ac:dyDescent="0.2"/>
    <row r="993" spans="1:11" ht="15" hidden="1" customHeight="1" x14ac:dyDescent="0.2">
      <c r="A993" s="12" t="s">
        <v>381</v>
      </c>
    </row>
    <row r="994" spans="1:11" ht="15" hidden="1" customHeight="1" x14ac:dyDescent="0.2">
      <c r="A994" s="12">
        <v>0</v>
      </c>
      <c r="B994" s="12" t="s">
        <v>202</v>
      </c>
    </row>
    <row r="995" spans="1:11" ht="15" hidden="1" customHeight="1" x14ac:dyDescent="0.2">
      <c r="A995" s="12">
        <v>1</v>
      </c>
      <c r="B995" s="12" t="s">
        <v>190</v>
      </c>
    </row>
    <row r="996" spans="1:11" ht="15" hidden="1" customHeight="1" x14ac:dyDescent="0.2"/>
    <row r="997" spans="1:11" ht="15" hidden="1" customHeight="1" x14ac:dyDescent="0.2">
      <c r="A997" s="12" t="s">
        <v>249</v>
      </c>
    </row>
    <row r="998" spans="1:11" ht="15" hidden="1" customHeight="1" x14ac:dyDescent="0.2">
      <c r="A998" s="12">
        <v>0</v>
      </c>
      <c r="B998" s="12" t="s">
        <v>236</v>
      </c>
    </row>
    <row r="999" spans="1:11" ht="15" hidden="1" customHeight="1" x14ac:dyDescent="0.2">
      <c r="A999" s="12">
        <v>1</v>
      </c>
      <c r="B999" s="12" t="s">
        <v>237</v>
      </c>
    </row>
    <row r="1000" spans="1:11" ht="15" hidden="1" customHeight="1" x14ac:dyDescent="0.2">
      <c r="A1000" s="12">
        <v>2</v>
      </c>
      <c r="B1000" s="12" t="s">
        <v>235</v>
      </c>
    </row>
    <row r="1001" spans="1:11" ht="15" hidden="1" customHeight="1" x14ac:dyDescent="0.2">
      <c r="A1001" s="12">
        <v>3</v>
      </c>
      <c r="B1001" s="12" t="s">
        <v>238</v>
      </c>
    </row>
    <row r="1002" spans="1:11" ht="15" hidden="1" customHeight="1" x14ac:dyDescent="0.2">
      <c r="A1002" s="12">
        <v>4</v>
      </c>
      <c r="B1002" s="12" t="s">
        <v>234</v>
      </c>
    </row>
    <row r="1003" spans="1:11" ht="15" customHeight="1" x14ac:dyDescent="0.2">
      <c r="B1003" s="12" t="s">
        <v>685</v>
      </c>
    </row>
    <row r="1004" spans="1:11" ht="45" customHeight="1" x14ac:dyDescent="0.2">
      <c r="B1004" s="402" t="s">
        <v>705</v>
      </c>
      <c r="C1004" s="403"/>
      <c r="D1004" s="403"/>
      <c r="E1004" s="403"/>
      <c r="F1004" s="403"/>
      <c r="G1004" s="403"/>
      <c r="H1004" s="403"/>
      <c r="I1004" s="403"/>
      <c r="J1004" s="403"/>
      <c r="K1004" s="404"/>
    </row>
    <row r="1005" spans="1:11" ht="15" customHeight="1" x14ac:dyDescent="0.2">
      <c r="B1005" s="396"/>
      <c r="C1005" s="397"/>
      <c r="D1005" s="397"/>
      <c r="E1005" s="397"/>
      <c r="F1005" s="397"/>
      <c r="G1005" s="397"/>
      <c r="H1005" s="397"/>
      <c r="I1005" s="397"/>
      <c r="J1005" s="397"/>
      <c r="K1005" s="398"/>
    </row>
    <row r="1006" spans="1:11" ht="15" customHeight="1" x14ac:dyDescent="0.2">
      <c r="B1006" s="396" t="s">
        <v>692</v>
      </c>
      <c r="C1006" s="397"/>
      <c r="D1006" s="397"/>
      <c r="E1006" s="397"/>
      <c r="F1006" s="397"/>
      <c r="G1006" s="397"/>
      <c r="H1006" s="397"/>
      <c r="I1006" s="397"/>
      <c r="J1006" s="397"/>
      <c r="K1006" s="398"/>
    </row>
    <row r="1007" spans="1:11" ht="15" customHeight="1" x14ac:dyDescent="0.2">
      <c r="B1007" s="396"/>
      <c r="C1007" s="397"/>
      <c r="D1007" s="397"/>
      <c r="E1007" s="397"/>
      <c r="F1007" s="397"/>
      <c r="G1007" s="397"/>
      <c r="H1007" s="397"/>
      <c r="I1007" s="397"/>
      <c r="J1007" s="397"/>
      <c r="K1007" s="398"/>
    </row>
    <row r="1008" spans="1:11" ht="30" customHeight="1" x14ac:dyDescent="0.2">
      <c r="B1008" s="396" t="s">
        <v>702</v>
      </c>
      <c r="C1008" s="397"/>
      <c r="D1008" s="397"/>
      <c r="E1008" s="397"/>
      <c r="F1008" s="397"/>
      <c r="G1008" s="397"/>
      <c r="H1008" s="397"/>
      <c r="I1008" s="397"/>
      <c r="J1008" s="397"/>
      <c r="K1008" s="398"/>
    </row>
    <row r="1009" spans="2:11" ht="15" customHeight="1" x14ac:dyDescent="0.2">
      <c r="B1009" s="396"/>
      <c r="C1009" s="397"/>
      <c r="D1009" s="397"/>
      <c r="E1009" s="397"/>
      <c r="F1009" s="397"/>
      <c r="G1009" s="397"/>
      <c r="H1009" s="397"/>
      <c r="I1009" s="397"/>
      <c r="J1009" s="397"/>
      <c r="K1009" s="398"/>
    </row>
    <row r="1010" spans="2:11" ht="30" customHeight="1" x14ac:dyDescent="0.2">
      <c r="B1010" s="396" t="s">
        <v>701</v>
      </c>
      <c r="C1010" s="397"/>
      <c r="D1010" s="397"/>
      <c r="E1010" s="397"/>
      <c r="F1010" s="397"/>
      <c r="G1010" s="397"/>
      <c r="H1010" s="397"/>
      <c r="I1010" s="397"/>
      <c r="J1010" s="397"/>
      <c r="K1010" s="398"/>
    </row>
    <row r="1011" spans="2:11" ht="15" customHeight="1" x14ac:dyDescent="0.2">
      <c r="B1011" s="396"/>
      <c r="C1011" s="397"/>
      <c r="D1011" s="397"/>
      <c r="E1011" s="397"/>
      <c r="F1011" s="397"/>
      <c r="G1011" s="397"/>
      <c r="H1011" s="397"/>
      <c r="I1011" s="397"/>
      <c r="J1011" s="397"/>
      <c r="K1011" s="398"/>
    </row>
    <row r="1012" spans="2:11" ht="30" customHeight="1" x14ac:dyDescent="0.2">
      <c r="B1012" s="396" t="s">
        <v>706</v>
      </c>
      <c r="C1012" s="397"/>
      <c r="D1012" s="397"/>
      <c r="E1012" s="397"/>
      <c r="F1012" s="397"/>
      <c r="G1012" s="397"/>
      <c r="H1012" s="397"/>
      <c r="I1012" s="397"/>
      <c r="J1012" s="397"/>
      <c r="K1012" s="398"/>
    </row>
    <row r="1013" spans="2:11" ht="15" customHeight="1" x14ac:dyDescent="0.2">
      <c r="B1013" s="396"/>
      <c r="C1013" s="397"/>
      <c r="D1013" s="397"/>
      <c r="E1013" s="397"/>
      <c r="F1013" s="397"/>
      <c r="G1013" s="397"/>
      <c r="H1013" s="397"/>
      <c r="I1013" s="397"/>
      <c r="J1013" s="397"/>
      <c r="K1013" s="398"/>
    </row>
    <row r="1014" spans="2:11" ht="30" customHeight="1" x14ac:dyDescent="0.2">
      <c r="B1014" s="396" t="s">
        <v>689</v>
      </c>
      <c r="C1014" s="397"/>
      <c r="D1014" s="397"/>
      <c r="E1014" s="397"/>
      <c r="F1014" s="397"/>
      <c r="G1014" s="397"/>
      <c r="H1014" s="397"/>
      <c r="I1014" s="397"/>
      <c r="J1014" s="397"/>
      <c r="K1014" s="398"/>
    </row>
    <row r="1015" spans="2:11" ht="15" customHeight="1" x14ac:dyDescent="0.2">
      <c r="B1015" s="396"/>
      <c r="C1015" s="397"/>
      <c r="D1015" s="397"/>
      <c r="E1015" s="397"/>
      <c r="F1015" s="397"/>
      <c r="G1015" s="397"/>
      <c r="H1015" s="397"/>
      <c r="I1015" s="397"/>
      <c r="J1015" s="397"/>
      <c r="K1015" s="398"/>
    </row>
    <row r="1016" spans="2:11" ht="30" customHeight="1" x14ac:dyDescent="0.2">
      <c r="B1016" s="396" t="s">
        <v>703</v>
      </c>
      <c r="C1016" s="397"/>
      <c r="D1016" s="397"/>
      <c r="E1016" s="397"/>
      <c r="F1016" s="397"/>
      <c r="G1016" s="397"/>
      <c r="H1016" s="397"/>
      <c r="I1016" s="397"/>
      <c r="J1016" s="397"/>
      <c r="K1016" s="398"/>
    </row>
    <row r="1017" spans="2:11" ht="15" customHeight="1" x14ac:dyDescent="0.2">
      <c r="B1017" s="396"/>
      <c r="C1017" s="397"/>
      <c r="D1017" s="397"/>
      <c r="E1017" s="397"/>
      <c r="F1017" s="397"/>
      <c r="G1017" s="397"/>
      <c r="H1017" s="397"/>
      <c r="I1017" s="397"/>
      <c r="J1017" s="397"/>
      <c r="K1017" s="398"/>
    </row>
    <row r="1018" spans="2:11" ht="45" customHeight="1" x14ac:dyDescent="0.2">
      <c r="B1018" s="396" t="s">
        <v>704</v>
      </c>
      <c r="C1018" s="397"/>
      <c r="D1018" s="397"/>
      <c r="E1018" s="397"/>
      <c r="F1018" s="397"/>
      <c r="G1018" s="397"/>
      <c r="H1018" s="397"/>
      <c r="I1018" s="397"/>
      <c r="J1018" s="397"/>
      <c r="K1018" s="398"/>
    </row>
    <row r="1019" spans="2:11" ht="15" customHeight="1" x14ac:dyDescent="0.2">
      <c r="B1019" s="396"/>
      <c r="C1019" s="397"/>
      <c r="D1019" s="397"/>
      <c r="E1019" s="397"/>
      <c r="F1019" s="397"/>
      <c r="G1019" s="397"/>
      <c r="H1019" s="397"/>
      <c r="I1019" s="397"/>
      <c r="J1019" s="397"/>
      <c r="K1019" s="398"/>
    </row>
    <row r="1020" spans="2:11" ht="15" customHeight="1" x14ac:dyDescent="0.2">
      <c r="B1020" s="396"/>
      <c r="C1020" s="397"/>
      <c r="D1020" s="397"/>
      <c r="E1020" s="397"/>
      <c r="F1020" s="397"/>
      <c r="G1020" s="397"/>
      <c r="H1020" s="397"/>
      <c r="I1020" s="397"/>
      <c r="J1020" s="397"/>
      <c r="K1020" s="398"/>
    </row>
    <row r="1021" spans="2:11" ht="15" customHeight="1" x14ac:dyDescent="0.2">
      <c r="B1021" s="396"/>
      <c r="C1021" s="397"/>
      <c r="D1021" s="397"/>
      <c r="E1021" s="397"/>
      <c r="F1021" s="397"/>
      <c r="G1021" s="397"/>
      <c r="H1021" s="397"/>
      <c r="I1021" s="397"/>
      <c r="J1021" s="397"/>
      <c r="K1021" s="398"/>
    </row>
    <row r="1022" spans="2:11" ht="15" customHeight="1" x14ac:dyDescent="0.2">
      <c r="B1022" s="396"/>
      <c r="C1022" s="397"/>
      <c r="D1022" s="397"/>
      <c r="E1022" s="397"/>
      <c r="F1022" s="397"/>
      <c r="G1022" s="397"/>
      <c r="H1022" s="397"/>
      <c r="I1022" s="397"/>
      <c r="J1022" s="397"/>
      <c r="K1022" s="398"/>
    </row>
    <row r="1023" spans="2:11" ht="15" customHeight="1" x14ac:dyDescent="0.2">
      <c r="B1023" s="396"/>
      <c r="C1023" s="397"/>
      <c r="D1023" s="397"/>
      <c r="E1023" s="397"/>
      <c r="F1023" s="397"/>
      <c r="G1023" s="397"/>
      <c r="H1023" s="397"/>
      <c r="I1023" s="397"/>
      <c r="J1023" s="397"/>
      <c r="K1023" s="398"/>
    </row>
    <row r="1024" spans="2:11" ht="15" customHeight="1" x14ac:dyDescent="0.2">
      <c r="B1024" s="396"/>
      <c r="C1024" s="397"/>
      <c r="D1024" s="397"/>
      <c r="E1024" s="397"/>
      <c r="F1024" s="397"/>
      <c r="G1024" s="397"/>
      <c r="H1024" s="397"/>
      <c r="I1024" s="397"/>
      <c r="J1024" s="397"/>
      <c r="K1024" s="398"/>
    </row>
    <row r="1025" spans="2:11" ht="15" customHeight="1" x14ac:dyDescent="0.2">
      <c r="B1025" s="396"/>
      <c r="C1025" s="397"/>
      <c r="D1025" s="397"/>
      <c r="E1025" s="397"/>
      <c r="F1025" s="397"/>
      <c r="G1025" s="397"/>
      <c r="H1025" s="397"/>
      <c r="I1025" s="397"/>
      <c r="J1025" s="397"/>
      <c r="K1025" s="398"/>
    </row>
    <row r="1026" spans="2:11" ht="15" customHeight="1" x14ac:dyDescent="0.2">
      <c r="B1026" s="396"/>
      <c r="C1026" s="397"/>
      <c r="D1026" s="397"/>
      <c r="E1026" s="397"/>
      <c r="F1026" s="397"/>
      <c r="G1026" s="397"/>
      <c r="H1026" s="397"/>
      <c r="I1026" s="397"/>
      <c r="J1026" s="397"/>
      <c r="K1026" s="398"/>
    </row>
    <row r="1027" spans="2:11" ht="15" customHeight="1" x14ac:dyDescent="0.2">
      <c r="B1027" s="396"/>
      <c r="C1027" s="397"/>
      <c r="D1027" s="397"/>
      <c r="E1027" s="397"/>
      <c r="F1027" s="397"/>
      <c r="G1027" s="397"/>
      <c r="H1027" s="397"/>
      <c r="I1027" s="397"/>
      <c r="J1027" s="397"/>
      <c r="K1027" s="398"/>
    </row>
    <row r="1028" spans="2:11" ht="15" customHeight="1" x14ac:dyDescent="0.2">
      <c r="B1028" s="396"/>
      <c r="C1028" s="397"/>
      <c r="D1028" s="397"/>
      <c r="E1028" s="397"/>
      <c r="F1028" s="397"/>
      <c r="G1028" s="397"/>
      <c r="H1028" s="397"/>
      <c r="I1028" s="397"/>
      <c r="J1028" s="397"/>
      <c r="K1028" s="398"/>
    </row>
    <row r="1029" spans="2:11" ht="15" customHeight="1" x14ac:dyDescent="0.2">
      <c r="B1029" s="393"/>
      <c r="C1029" s="394"/>
      <c r="D1029" s="394"/>
      <c r="E1029" s="394"/>
      <c r="F1029" s="394"/>
      <c r="G1029" s="394"/>
      <c r="H1029" s="394"/>
      <c r="I1029" s="394"/>
      <c r="J1029" s="394"/>
      <c r="K1029" s="395"/>
    </row>
  </sheetData>
  <sheetProtection formatCells="0" formatColumns="0" formatRows="0" selectLockedCells="1"/>
  <mergeCells count="152">
    <mergeCell ref="E15:J15"/>
    <mergeCell ref="C38:J38"/>
    <mergeCell ref="C57:J57"/>
    <mergeCell ref="B5:K5"/>
    <mergeCell ref="B6:K6"/>
    <mergeCell ref="B7:K7"/>
    <mergeCell ref="B8:K8"/>
    <mergeCell ref="B9:K9"/>
    <mergeCell ref="B10:K10"/>
    <mergeCell ref="C176:J176"/>
    <mergeCell ref="C196:J196"/>
    <mergeCell ref="C155:J155"/>
    <mergeCell ref="C120:J122"/>
    <mergeCell ref="C123:J124"/>
    <mergeCell ref="C129:J129"/>
    <mergeCell ref="C95:J95"/>
    <mergeCell ref="C114:J114"/>
    <mergeCell ref="C76:J76"/>
    <mergeCell ref="C455:J455"/>
    <mergeCell ref="C416:J416"/>
    <mergeCell ref="C438:J438"/>
    <mergeCell ref="C444:I445"/>
    <mergeCell ref="C391:I392"/>
    <mergeCell ref="C402:J402"/>
    <mergeCell ref="C257:J257"/>
    <mergeCell ref="C237:J237"/>
    <mergeCell ref="C216:J216"/>
    <mergeCell ref="C292:I293"/>
    <mergeCell ref="C311:I312"/>
    <mergeCell ref="C330:I331"/>
    <mergeCell ref="C305:J305"/>
    <mergeCell ref="C324:J324"/>
    <mergeCell ref="C340:I341"/>
    <mergeCell ref="C420:I421"/>
    <mergeCell ref="C385:J385"/>
    <mergeCell ref="D343:I344"/>
    <mergeCell ref="C347:J347"/>
    <mergeCell ref="C365:J365"/>
    <mergeCell ref="C371:I372"/>
    <mergeCell ref="C286:J286"/>
    <mergeCell ref="C613:J613"/>
    <mergeCell ref="C560:J560"/>
    <mergeCell ref="C566:I568"/>
    <mergeCell ref="C569:I571"/>
    <mergeCell ref="C583:J583"/>
    <mergeCell ref="C524:I525"/>
    <mergeCell ref="C535:J535"/>
    <mergeCell ref="C518:J518"/>
    <mergeCell ref="C471:J471"/>
    <mergeCell ref="C477:I478"/>
    <mergeCell ref="C486:J486"/>
    <mergeCell ref="C502:J502"/>
    <mergeCell ref="C599:J599"/>
    <mergeCell ref="C620:I621"/>
    <mergeCell ref="C633:J633"/>
    <mergeCell ref="C639:I640"/>
    <mergeCell ref="C641:I643"/>
    <mergeCell ref="C714:J716"/>
    <mergeCell ref="C655:J655"/>
    <mergeCell ref="D664:I665"/>
    <mergeCell ref="C677:J677"/>
    <mergeCell ref="G719:H719"/>
    <mergeCell ref="G748:H748"/>
    <mergeCell ref="G749:H749"/>
    <mergeCell ref="G750:H750"/>
    <mergeCell ref="G751:H751"/>
    <mergeCell ref="G739:H739"/>
    <mergeCell ref="G740:H740"/>
    <mergeCell ref="G737:H737"/>
    <mergeCell ref="G738:H738"/>
    <mergeCell ref="G717:H717"/>
    <mergeCell ref="G718:H718"/>
    <mergeCell ref="C729:J731"/>
    <mergeCell ref="G732:H732"/>
    <mergeCell ref="G733:H733"/>
    <mergeCell ref="G720:H720"/>
    <mergeCell ref="G721:H721"/>
    <mergeCell ref="G722:H722"/>
    <mergeCell ref="G723:H723"/>
    <mergeCell ref="G734:H734"/>
    <mergeCell ref="G735:H735"/>
    <mergeCell ref="G724:H724"/>
    <mergeCell ref="G725:H725"/>
    <mergeCell ref="G736:H736"/>
    <mergeCell ref="C744:J746"/>
    <mergeCell ref="G747:H747"/>
    <mergeCell ref="G846:H846"/>
    <mergeCell ref="G850:H850"/>
    <mergeCell ref="G854:H854"/>
    <mergeCell ref="G858:H858"/>
    <mergeCell ref="G862:H862"/>
    <mergeCell ref="G766:H766"/>
    <mergeCell ref="G754:H754"/>
    <mergeCell ref="G755:H755"/>
    <mergeCell ref="G752:H752"/>
    <mergeCell ref="C830:J831"/>
    <mergeCell ref="G834:H834"/>
    <mergeCell ref="G838:H838"/>
    <mergeCell ref="G769:H769"/>
    <mergeCell ref="G770:H770"/>
    <mergeCell ref="G767:H767"/>
    <mergeCell ref="G768:H768"/>
    <mergeCell ref="G764:H764"/>
    <mergeCell ref="G765:H765"/>
    <mergeCell ref="G842:H842"/>
    <mergeCell ref="G753:H753"/>
    <mergeCell ref="C759:J761"/>
    <mergeCell ref="G762:H762"/>
    <mergeCell ref="G763:H763"/>
    <mergeCell ref="B1028:K1028"/>
    <mergeCell ref="B1029:K1029"/>
    <mergeCell ref="B1021:K1021"/>
    <mergeCell ref="B1012:K1012"/>
    <mergeCell ref="B1013:K1013"/>
    <mergeCell ref="B1014:K1014"/>
    <mergeCell ref="B1015:K1015"/>
    <mergeCell ref="B1016:K1016"/>
    <mergeCell ref="B1017:K1017"/>
    <mergeCell ref="B1018:K1018"/>
    <mergeCell ref="B1019:K1019"/>
    <mergeCell ref="B1020:K1020"/>
    <mergeCell ref="B1022:K1022"/>
    <mergeCell ref="B1023:K1023"/>
    <mergeCell ref="B1024:K1024"/>
    <mergeCell ref="B1025:K1025"/>
    <mergeCell ref="B1026:K1026"/>
    <mergeCell ref="B1027:K1027"/>
    <mergeCell ref="B1004:K1004"/>
    <mergeCell ref="B1005:K1005"/>
    <mergeCell ref="B1006:K1006"/>
    <mergeCell ref="B1007:K1007"/>
    <mergeCell ref="B1008:K1008"/>
    <mergeCell ref="B1009:K1009"/>
    <mergeCell ref="B1010:K1010"/>
    <mergeCell ref="B1011:K1011"/>
    <mergeCell ref="F959:H960"/>
    <mergeCell ref="G928:H928"/>
    <mergeCell ref="G924:H924"/>
    <mergeCell ref="G890:H890"/>
    <mergeCell ref="G932:H932"/>
    <mergeCell ref="G878:H878"/>
    <mergeCell ref="G882:H882"/>
    <mergeCell ref="G886:H886"/>
    <mergeCell ref="G866:H866"/>
    <mergeCell ref="G870:H870"/>
    <mergeCell ref="G874:H874"/>
    <mergeCell ref="G916:H916"/>
    <mergeCell ref="G920:H920"/>
    <mergeCell ref="C900:J901"/>
    <mergeCell ref="G904:H904"/>
    <mergeCell ref="G908:H908"/>
    <mergeCell ref="G912:H912"/>
  </mergeCells>
  <dataValidations count="23">
    <dataValidation type="list" allowBlank="1" showInputMessage="1" showErrorMessage="1" sqref="E15:J15" xr:uid="{00000000-0002-0000-0C00-000000000000}">
      <formula1>$C$966:$C$970</formula1>
    </dataValidation>
    <dataValidation type="list" allowBlank="1" showInputMessage="1" showErrorMessage="1" sqref="G904:H904 G842:H842 G838:H838 G846:H846 G850:H850 G854:H854 G858:H858 G862:H862 G866:H866 G870:H870 G874:H874 G878:H878 G882:H882 G886:H886 G890:H890 G834:H834 G912:H912 G908:H908 G916:H916 G920:H920 G924:H924 G928:H928 G932:H932" xr:uid="{00000000-0002-0000-0C00-000001000000}">
      <formula1>$B$998:$B$1002</formula1>
    </dataValidation>
    <dataValidation type="list" allowBlank="1" showInputMessage="1" showErrorMessage="1" sqref="G717:H725 G747:H755 G732:H740 G762:H770" xr:uid="{00000000-0002-0000-0C00-000002000000}">
      <formula1>$B$994:$B$995</formula1>
    </dataValidation>
    <dataValidation type="list" allowBlank="1" showInputMessage="1" showErrorMessage="1" sqref="J302 J362" xr:uid="{00000000-0002-0000-0C00-000003000000}">
      <formula1>$B$980:$B$984</formula1>
    </dataValidation>
    <dataValidation type="list" allowBlank="1" showInputMessage="1" showErrorMessage="1" sqref="C123:J124" xr:uid="{00000000-0002-0000-0C00-000004000000}">
      <formula1>$B$987:$B$991</formula1>
    </dataValidation>
    <dataValidation type="list" allowBlank="1" showInputMessage="1" showErrorMessage="1" sqref="J35 J234 J630 J674 J596 J580 J557 J532 J515 J499 J468 J452 J435 J254 J73 J92 J111 J126 J152 J173 J193 J54 J213 J652 J283" xr:uid="{00000000-0002-0000-0C00-000005000000}">
      <formula1>$B$973:$B$977</formula1>
    </dataValidation>
    <dataValidation type="list" allowBlank="1" showInputMessage="1" showErrorMessage="1" sqref="J33" xr:uid="{00000000-0002-0000-0C00-000006000000}">
      <formula1>$N$32:$N$37</formula1>
    </dataValidation>
    <dataValidation type="list" allowBlank="1" showInputMessage="1" showErrorMessage="1" sqref="J52" xr:uid="{00000000-0002-0000-0C00-000007000000}">
      <formula1>$N$51:$N$56</formula1>
    </dataValidation>
    <dataValidation type="list" allowBlank="1" showInputMessage="1" showErrorMessage="1" sqref="J71" xr:uid="{00000000-0002-0000-0C00-000008000000}">
      <formula1>$N$70:$N$75</formula1>
    </dataValidation>
    <dataValidation type="list" allowBlank="1" showInputMessage="1" showErrorMessage="1" sqref="J90" xr:uid="{00000000-0002-0000-0C00-000009000000}">
      <formula1>$N$89:$N$94</formula1>
    </dataValidation>
    <dataValidation type="list" allowBlank="1" showInputMessage="1" showErrorMessage="1" sqref="J109" xr:uid="{00000000-0002-0000-0C00-00000A000000}">
      <formula1>$N$108:$N$113</formula1>
    </dataValidation>
    <dataValidation type="list" allowBlank="1" showInputMessage="1" showErrorMessage="1" sqref="J150" xr:uid="{00000000-0002-0000-0C00-00000B000000}">
      <formula1>$N$149:$N$154</formula1>
    </dataValidation>
    <dataValidation type="list" allowBlank="1" showInputMessage="1" showErrorMessage="1" sqref="J171" xr:uid="{00000000-0002-0000-0C00-00000C000000}">
      <formula1>$N$170:$N$175</formula1>
    </dataValidation>
    <dataValidation type="list" allowBlank="1" showInputMessage="1" showErrorMessage="1" sqref="J191" xr:uid="{00000000-0002-0000-0C00-00000D000000}">
      <formula1>$N$190:$N$195</formula1>
    </dataValidation>
    <dataValidation type="list" allowBlank="1" showInputMessage="1" showErrorMessage="1" sqref="J211" xr:uid="{00000000-0002-0000-0C00-00000E000000}">
      <formula1>$N$210:$N$215</formula1>
    </dataValidation>
    <dataValidation type="list" allowBlank="1" showInputMessage="1" showErrorMessage="1" sqref="J232" xr:uid="{00000000-0002-0000-0C00-00000F000000}">
      <formula1>$N$231:$N$236</formula1>
    </dataValidation>
    <dataValidation type="list" allowBlank="1" showInputMessage="1" showErrorMessage="1" sqref="J252" xr:uid="{00000000-0002-0000-0C00-000010000000}">
      <formula1>$N$251:$N$256</formula1>
    </dataValidation>
    <dataValidation type="list" allowBlank="1" showInputMessage="1" showErrorMessage="1" sqref="J281" xr:uid="{00000000-0002-0000-0C00-000011000000}">
      <formula1>$N$280:$N$285</formula1>
    </dataValidation>
    <dataValidation type="list" allowBlank="1" showInputMessage="1" showErrorMessage="1" sqref="J555" xr:uid="{00000000-0002-0000-0C00-000012000000}">
      <formula1>$N$554:$N$559</formula1>
    </dataValidation>
    <dataValidation type="list" allowBlank="1" showInputMessage="1" showErrorMessage="1" sqref="J578" xr:uid="{00000000-0002-0000-0C00-000013000000}">
      <formula1>$N$577:$N$582</formula1>
    </dataValidation>
    <dataValidation type="list" allowBlank="1" showInputMessage="1" showErrorMessage="1" sqref="J628" xr:uid="{00000000-0002-0000-0C00-000014000000}">
      <formula1>$N$627:$N$632</formula1>
    </dataValidation>
    <dataValidation type="list" allowBlank="1" showInputMessage="1" showErrorMessage="1" sqref="J650" xr:uid="{00000000-0002-0000-0C00-000015000000}">
      <formula1>$N$649:$N$654</formula1>
    </dataValidation>
    <dataValidation type="list" allowBlank="1" showInputMessage="1" showErrorMessage="1" sqref="J672" xr:uid="{00000000-0002-0000-0C00-000016000000}">
      <formula1>$N$671:$N$676</formula1>
    </dataValidation>
  </dataValidations>
  <pageMargins left="0.7" right="0.7" top="0.75" bottom="0.75" header="0.3" footer="0.3"/>
  <pageSetup scale="7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dimension ref="A1:N1029"/>
  <sheetViews>
    <sheetView showGridLines="0" showRowColHeaders="0" zoomScale="85" zoomScaleNormal="85" workbookViewId="0">
      <selection activeCell="Q506" sqref="Q506"/>
    </sheetView>
  </sheetViews>
  <sheetFormatPr baseColWidth="10" defaultColWidth="9.1640625" defaultRowHeight="15" x14ac:dyDescent="0.2"/>
  <cols>
    <col min="1" max="1" width="9.1640625" style="12"/>
    <col min="2" max="3" width="9.1640625" style="12" customWidth="1"/>
    <col min="4" max="4" width="9.1640625" style="12"/>
    <col min="5" max="5" width="9.1640625" style="12" customWidth="1"/>
    <col min="6" max="9" width="9.1640625" style="12"/>
    <col min="10" max="10" width="25.6640625" style="12" customWidth="1"/>
    <col min="11" max="12" width="9.1640625" style="12"/>
    <col min="13" max="13" width="9.1640625" style="12" customWidth="1"/>
    <col min="14" max="14" width="9.1640625" style="12" hidden="1" customWidth="1"/>
    <col min="15" max="16384" width="9.1640625" style="12"/>
  </cols>
  <sheetData>
    <row r="1" spans="2:13" x14ac:dyDescent="0.2">
      <c r="I1" s="29"/>
    </row>
    <row r="2" spans="2:13" ht="33" x14ac:dyDescent="0.2">
      <c r="G2" s="16" t="s">
        <v>1038</v>
      </c>
      <c r="I2" s="29"/>
    </row>
    <row r="3" spans="2:13" ht="23" x14ac:dyDescent="0.25">
      <c r="G3" s="30" t="s">
        <v>3</v>
      </c>
      <c r="I3" s="29"/>
      <c r="L3" s="157"/>
      <c r="M3" s="157"/>
    </row>
    <row r="4" spans="2:13" x14ac:dyDescent="0.2">
      <c r="G4" s="98"/>
      <c r="I4" s="29"/>
      <c r="L4" s="158"/>
      <c r="M4" s="157"/>
    </row>
    <row r="5" spans="2:13" ht="210" customHeight="1" x14ac:dyDescent="0.2">
      <c r="B5" s="426" t="s">
        <v>668</v>
      </c>
      <c r="C5" s="427"/>
      <c r="D5" s="427"/>
      <c r="E5" s="427"/>
      <c r="F5" s="427"/>
      <c r="G5" s="427"/>
      <c r="H5" s="427"/>
      <c r="I5" s="427"/>
      <c r="J5" s="427"/>
      <c r="K5" s="427"/>
      <c r="L5" s="158"/>
      <c r="M5" s="157"/>
    </row>
    <row r="6" spans="2:13" x14ac:dyDescent="0.2">
      <c r="B6" s="426"/>
      <c r="C6" s="426"/>
      <c r="D6" s="426"/>
      <c r="E6" s="426"/>
      <c r="F6" s="426"/>
      <c r="G6" s="426"/>
      <c r="H6" s="426"/>
      <c r="I6" s="426"/>
      <c r="J6" s="426"/>
      <c r="K6" s="426"/>
      <c r="L6" s="158"/>
    </row>
    <row r="7" spans="2:13" ht="60" customHeight="1" x14ac:dyDescent="0.2">
      <c r="B7" s="425" t="s">
        <v>664</v>
      </c>
      <c r="C7" s="341"/>
      <c r="D7" s="341"/>
      <c r="E7" s="341"/>
      <c r="F7" s="341"/>
      <c r="G7" s="341"/>
      <c r="H7" s="341"/>
      <c r="I7" s="341"/>
      <c r="J7" s="341"/>
      <c r="K7" s="341"/>
    </row>
    <row r="8" spans="2:13" x14ac:dyDescent="0.2">
      <c r="B8" s="426"/>
      <c r="C8" s="426"/>
      <c r="D8" s="426"/>
      <c r="E8" s="426"/>
      <c r="F8" s="426"/>
      <c r="G8" s="426"/>
      <c r="H8" s="426"/>
      <c r="I8" s="426"/>
      <c r="J8" s="426"/>
      <c r="K8" s="426"/>
    </row>
    <row r="9" spans="2:13" ht="30" customHeight="1" x14ac:dyDescent="0.2">
      <c r="B9" s="445" t="s">
        <v>665</v>
      </c>
      <c r="C9" s="446"/>
      <c r="D9" s="446"/>
      <c r="E9" s="446"/>
      <c r="F9" s="446"/>
      <c r="G9" s="446"/>
      <c r="H9" s="446"/>
      <c r="I9" s="446"/>
      <c r="J9" s="446"/>
      <c r="K9" s="446"/>
    </row>
    <row r="10" spans="2:13" ht="45" customHeight="1" x14ac:dyDescent="0.2">
      <c r="B10" s="447" t="s">
        <v>1073</v>
      </c>
      <c r="C10" s="448"/>
      <c r="D10" s="448"/>
      <c r="E10" s="448"/>
      <c r="F10" s="448"/>
      <c r="G10" s="448"/>
      <c r="H10" s="448"/>
      <c r="I10" s="448"/>
      <c r="J10" s="448"/>
      <c r="K10" s="449"/>
    </row>
    <row r="11" spans="2:13" ht="16" thickBot="1" x14ac:dyDescent="0.25"/>
    <row r="12" spans="2:13" x14ac:dyDescent="0.2">
      <c r="B12" s="159"/>
      <c r="C12" s="160"/>
      <c r="D12" s="160"/>
      <c r="E12" s="160"/>
      <c r="F12" s="160"/>
      <c r="G12" s="160"/>
      <c r="H12" s="160"/>
      <c r="I12" s="160"/>
      <c r="J12" s="160"/>
      <c r="K12" s="161"/>
    </row>
    <row r="13" spans="2:13" ht="21" x14ac:dyDescent="0.25">
      <c r="B13" s="162"/>
      <c r="C13" s="163"/>
      <c r="D13" s="163"/>
      <c r="E13" s="163"/>
      <c r="F13" s="163"/>
      <c r="G13" s="164" t="s">
        <v>226</v>
      </c>
      <c r="H13" s="163"/>
      <c r="I13" s="163"/>
      <c r="J13" s="163"/>
      <c r="K13" s="165"/>
    </row>
    <row r="14" spans="2:13" ht="21" x14ac:dyDescent="0.25">
      <c r="B14" s="162"/>
      <c r="C14" s="163"/>
      <c r="D14" s="163"/>
      <c r="E14" s="163"/>
      <c r="F14" s="163"/>
      <c r="G14" s="164"/>
      <c r="H14" s="163"/>
      <c r="I14" s="163"/>
      <c r="J14" s="163"/>
      <c r="K14" s="165"/>
    </row>
    <row r="15" spans="2:13" ht="26.25" customHeight="1" x14ac:dyDescent="0.2">
      <c r="B15" s="162"/>
      <c r="C15" s="163" t="s">
        <v>255</v>
      </c>
      <c r="D15" s="163"/>
      <c r="E15" s="412" t="s">
        <v>240</v>
      </c>
      <c r="F15" s="413"/>
      <c r="G15" s="413"/>
      <c r="H15" s="413"/>
      <c r="I15" s="413"/>
      <c r="J15" s="414"/>
      <c r="K15" s="165"/>
    </row>
    <row r="16" spans="2:13" x14ac:dyDescent="0.2">
      <c r="B16" s="162"/>
      <c r="C16" s="163"/>
      <c r="D16" s="163"/>
      <c r="E16" s="163"/>
      <c r="F16" s="163"/>
      <c r="G16" s="163"/>
      <c r="H16" s="163"/>
      <c r="I16" s="163"/>
      <c r="J16" s="163"/>
      <c r="K16" s="165"/>
    </row>
    <row r="17" spans="2:14" x14ac:dyDescent="0.2">
      <c r="B17" s="162"/>
      <c r="C17" s="166" t="s">
        <v>256</v>
      </c>
      <c r="D17" s="163"/>
      <c r="E17" s="167">
        <f>IF(E15=$C$966,$A$966,IF(E15=$C$967,$A$967,IF(E15=$C$968,$A$968,IF(E15=$C$969,$A$969,IF(E15=$C$970,$A$970,"Not Calculated")))))</f>
        <v>0</v>
      </c>
      <c r="F17" s="163"/>
      <c r="G17" s="163"/>
      <c r="H17" s="163"/>
      <c r="I17" s="163"/>
      <c r="J17" s="163"/>
      <c r="K17" s="165"/>
    </row>
    <row r="18" spans="2:14" x14ac:dyDescent="0.2">
      <c r="B18" s="162"/>
      <c r="C18" s="163"/>
      <c r="D18" s="163"/>
      <c r="E18" s="167" t="str">
        <f>IF(E15=$C$966,$B$966,IF(E15=$C$967,$B$967,IF(E15=$C$968,$B$968,IF(E15=$C$969,$B$969,IF(E15=$C$970,$B$970,"Not Calculated")))))</f>
        <v>Improbable</v>
      </c>
      <c r="F18" s="163"/>
      <c r="G18" s="163"/>
      <c r="H18" s="163"/>
      <c r="I18" s="163"/>
      <c r="J18" s="163"/>
      <c r="K18" s="165"/>
    </row>
    <row r="19" spans="2:14" ht="16" thickBot="1" x14ac:dyDescent="0.25">
      <c r="B19" s="168"/>
      <c r="C19" s="169"/>
      <c r="D19" s="169"/>
      <c r="E19" s="169"/>
      <c r="F19" s="169"/>
      <c r="G19" s="169"/>
      <c r="H19" s="169"/>
      <c r="I19" s="169"/>
      <c r="J19" s="169"/>
      <c r="K19" s="170"/>
    </row>
    <row r="20" spans="2:14" ht="16" thickBot="1" x14ac:dyDescent="0.25"/>
    <row r="21" spans="2:14" x14ac:dyDescent="0.2">
      <c r="B21" s="33"/>
      <c r="C21" s="34"/>
      <c r="D21" s="34"/>
      <c r="E21" s="34"/>
      <c r="F21" s="34"/>
      <c r="G21" s="34"/>
      <c r="H21" s="34"/>
      <c r="I21" s="34"/>
      <c r="J21" s="34"/>
      <c r="K21" s="37"/>
    </row>
    <row r="22" spans="2:14" ht="21" x14ac:dyDescent="0.25">
      <c r="B22" s="38"/>
      <c r="C22" s="171"/>
      <c r="D22" s="40"/>
      <c r="E22" s="40"/>
      <c r="F22" s="40"/>
      <c r="G22" s="172" t="s">
        <v>26</v>
      </c>
      <c r="H22" s="40"/>
      <c r="I22" s="40"/>
      <c r="J22" s="40"/>
      <c r="K22" s="41"/>
    </row>
    <row r="23" spans="2:14" x14ac:dyDescent="0.2">
      <c r="B23" s="38"/>
      <c r="C23" s="40"/>
      <c r="D23" s="40"/>
      <c r="E23" s="40"/>
      <c r="F23" s="40"/>
      <c r="G23" s="40"/>
      <c r="H23" s="40"/>
      <c r="I23" s="40"/>
      <c r="J23" s="40"/>
      <c r="K23" s="41"/>
    </row>
    <row r="24" spans="2:14" ht="16" x14ac:dyDescent="0.2">
      <c r="B24" s="38"/>
      <c r="C24" s="45" t="s">
        <v>61</v>
      </c>
      <c r="D24" s="40"/>
      <c r="E24" s="40"/>
      <c r="F24" s="40"/>
      <c r="G24" s="40"/>
      <c r="H24" s="40"/>
      <c r="I24" s="40"/>
      <c r="J24" s="40"/>
      <c r="K24" s="41"/>
    </row>
    <row r="25" spans="2:14" x14ac:dyDescent="0.2">
      <c r="B25" s="38"/>
      <c r="C25" s="40" t="s">
        <v>434</v>
      </c>
      <c r="D25" s="40"/>
      <c r="E25" s="40"/>
      <c r="F25" s="40"/>
      <c r="G25" s="40"/>
      <c r="H25" s="40"/>
      <c r="I25" s="40"/>
      <c r="J25" s="252">
        <f>'Baseline Health'!G11</f>
        <v>0</v>
      </c>
      <c r="K25" s="41"/>
    </row>
    <row r="26" spans="2:14" x14ac:dyDescent="0.2">
      <c r="B26" s="38"/>
      <c r="C26" s="40" t="s">
        <v>288</v>
      </c>
      <c r="D26" s="40"/>
      <c r="E26" s="40"/>
      <c r="F26" s="40"/>
      <c r="G26" s="40"/>
      <c r="H26" s="40"/>
      <c r="I26" s="40"/>
      <c r="J26" s="264">
        <v>0</v>
      </c>
      <c r="K26" s="41"/>
    </row>
    <row r="27" spans="2:14" x14ac:dyDescent="0.2">
      <c r="B27" s="38"/>
      <c r="C27" s="40" t="s">
        <v>260</v>
      </c>
      <c r="D27" s="40"/>
      <c r="E27" s="40"/>
      <c r="F27" s="40"/>
      <c r="G27" s="40"/>
      <c r="H27" s="40"/>
      <c r="I27" s="40"/>
      <c r="J27" s="248" t="str">
        <f>IF(OR(J25=0,J25="Not Calculated")=TRUE,"Not Calculated",(IF(((J26+J25)/J25)&lt;=1,0,IF(((J26+J25)/J25)&lt;=1.05,1,IF(((J26+J25)/J25)&lt;=1.5, 2,IF(((J26+J25)/J25)&lt;=2,3,4))))))</f>
        <v>Not Calculated</v>
      </c>
      <c r="K27" s="41"/>
    </row>
    <row r="28" spans="2:14" ht="9.75" customHeight="1" x14ac:dyDescent="0.2">
      <c r="B28" s="38"/>
      <c r="C28" s="279" t="str">
        <f>"0:"</f>
        <v>0:</v>
      </c>
      <c r="D28" s="281" t="s">
        <v>918</v>
      </c>
      <c r="E28" s="40"/>
      <c r="F28" s="40"/>
      <c r="G28" s="40"/>
      <c r="H28" s="40"/>
      <c r="I28" s="40"/>
      <c r="J28" s="40"/>
      <c r="K28" s="41"/>
    </row>
    <row r="29" spans="2:14" ht="9.75" customHeight="1" x14ac:dyDescent="0.2">
      <c r="B29" s="38"/>
      <c r="C29" s="280" t="str">
        <f>"1:"</f>
        <v>1:</v>
      </c>
      <c r="D29" s="281" t="s">
        <v>919</v>
      </c>
      <c r="E29" s="40"/>
      <c r="F29" s="40"/>
      <c r="G29" s="40"/>
      <c r="H29" s="40"/>
      <c r="I29" s="40"/>
      <c r="J29" s="40"/>
      <c r="K29" s="41"/>
    </row>
    <row r="30" spans="2:14" ht="9.75" customHeight="1" x14ac:dyDescent="0.2">
      <c r="B30" s="38"/>
      <c r="C30" s="280" t="str">
        <f>"2:"</f>
        <v>2:</v>
      </c>
      <c r="D30" s="281" t="s">
        <v>920</v>
      </c>
      <c r="E30" s="40"/>
      <c r="F30" s="40"/>
      <c r="G30" s="40"/>
      <c r="H30" s="40"/>
      <c r="I30" s="40"/>
      <c r="J30" s="40"/>
      <c r="K30" s="41"/>
    </row>
    <row r="31" spans="2:14" ht="9.75" customHeight="1" x14ac:dyDescent="0.2">
      <c r="B31" s="38"/>
      <c r="C31" s="280" t="str">
        <f>"3:"</f>
        <v>3:</v>
      </c>
      <c r="D31" s="281" t="s">
        <v>921</v>
      </c>
      <c r="E31" s="40"/>
      <c r="F31" s="40"/>
      <c r="G31" s="40"/>
      <c r="H31" s="40"/>
      <c r="I31" s="40"/>
      <c r="J31" s="40"/>
      <c r="K31" s="41"/>
    </row>
    <row r="32" spans="2:14" ht="9.75" customHeight="1" x14ac:dyDescent="0.2">
      <c r="B32" s="38"/>
      <c r="C32" s="280" t="str">
        <f>"4:"</f>
        <v>4:</v>
      </c>
      <c r="D32" s="281" t="s">
        <v>922</v>
      </c>
      <c r="E32" s="40"/>
      <c r="F32" s="40"/>
      <c r="G32" s="40"/>
      <c r="H32" s="40"/>
      <c r="I32" s="40"/>
      <c r="J32" s="40"/>
      <c r="K32" s="41"/>
      <c r="N32" s="12" t="s">
        <v>661</v>
      </c>
    </row>
    <row r="33" spans="2:14" x14ac:dyDescent="0.2">
      <c r="B33" s="38"/>
      <c r="C33" s="174" t="s">
        <v>662</v>
      </c>
      <c r="D33" s="40"/>
      <c r="E33" s="40"/>
      <c r="F33" s="40"/>
      <c r="G33" s="40"/>
      <c r="H33" s="40"/>
      <c r="I33" s="40"/>
      <c r="J33" s="265" t="s">
        <v>661</v>
      </c>
      <c r="K33" s="41"/>
      <c r="N33" s="12" t="s">
        <v>894</v>
      </c>
    </row>
    <row r="34" spans="2:14" x14ac:dyDescent="0.2">
      <c r="B34" s="38"/>
      <c r="C34" s="174" t="s">
        <v>660</v>
      </c>
      <c r="D34" s="40"/>
      <c r="E34" s="40"/>
      <c r="F34" s="40"/>
      <c r="G34" s="40"/>
      <c r="H34" s="40"/>
      <c r="I34" s="40"/>
      <c r="J34" s="246" t="str">
        <f>IF(J33=N32,"N/A",IF(J33=N33,0,IF(J33=N34,1,IF(J33=N35,2,IF(J33=N36,3,IF(J33=N37,4,"N/A"))))))</f>
        <v>N/A</v>
      </c>
      <c r="K34" s="41"/>
      <c r="N34" s="12" t="s">
        <v>895</v>
      </c>
    </row>
    <row r="35" spans="2:14" x14ac:dyDescent="0.2">
      <c r="B35" s="38"/>
      <c r="C35" s="40" t="s">
        <v>257</v>
      </c>
      <c r="D35" s="40"/>
      <c r="E35" s="40"/>
      <c r="F35" s="40"/>
      <c r="G35" s="40"/>
      <c r="H35" s="40"/>
      <c r="I35" s="40"/>
      <c r="J35" s="266" t="s">
        <v>870</v>
      </c>
      <c r="K35" s="41"/>
      <c r="N35" s="12" t="s">
        <v>896</v>
      </c>
    </row>
    <row r="36" spans="2:14" x14ac:dyDescent="0.2">
      <c r="B36" s="38"/>
      <c r="C36" s="40" t="s">
        <v>261</v>
      </c>
      <c r="D36" s="40"/>
      <c r="E36" s="40"/>
      <c r="F36" s="40"/>
      <c r="G36" s="40"/>
      <c r="H36" s="40"/>
      <c r="I36" s="40"/>
      <c r="J36" s="248">
        <f>IF(J35=$B$973,$A$973,IF(J35=$B$974,$A$974,IF(J35=$B$975,$A$975,IF(J35=$B$976,$A$976,IF(J35=$B$977,$A$977,"Not Calculated")))))</f>
        <v>0</v>
      </c>
      <c r="K36" s="41"/>
      <c r="N36" s="12" t="s">
        <v>897</v>
      </c>
    </row>
    <row r="37" spans="2:14" x14ac:dyDescent="0.2">
      <c r="B37" s="38"/>
      <c r="C37" s="40" t="s">
        <v>893</v>
      </c>
      <c r="D37" s="40"/>
      <c r="E37" s="40"/>
      <c r="F37" s="40"/>
      <c r="G37" s="40"/>
      <c r="H37" s="40"/>
      <c r="I37" s="40"/>
      <c r="J37" s="175"/>
      <c r="K37" s="41"/>
      <c r="N37" s="12" t="s">
        <v>898</v>
      </c>
    </row>
    <row r="38" spans="2:14" s="178" customFormat="1" ht="75" customHeight="1" x14ac:dyDescent="0.2">
      <c r="B38" s="176"/>
      <c r="C38" s="415"/>
      <c r="D38" s="400"/>
      <c r="E38" s="400"/>
      <c r="F38" s="400"/>
      <c r="G38" s="400"/>
      <c r="H38" s="400"/>
      <c r="I38" s="400"/>
      <c r="J38" s="401"/>
      <c r="K38" s="177"/>
    </row>
    <row r="39" spans="2:14" x14ac:dyDescent="0.2">
      <c r="B39" s="38"/>
      <c r="C39" s="40"/>
      <c r="D39" s="40"/>
      <c r="E39" s="40"/>
      <c r="F39" s="40"/>
      <c r="G39" s="40"/>
      <c r="H39" s="40"/>
      <c r="I39" s="40"/>
      <c r="J39" s="40"/>
      <c r="K39" s="41"/>
    </row>
    <row r="40" spans="2:14" x14ac:dyDescent="0.2">
      <c r="B40" s="38"/>
      <c r="C40" s="179" t="s">
        <v>258</v>
      </c>
      <c r="D40" s="40"/>
      <c r="E40" s="40"/>
      <c r="F40" s="40"/>
      <c r="G40" s="40"/>
      <c r="H40" s="40"/>
      <c r="I40" s="40"/>
      <c r="J40" s="245" t="str">
        <f>IF(J34="N/A",IF(OR(J27="Not Calculated",J36="Not Calculated")=TRUE,"Not Calculated",AVERAGE(J27,J36)),AVERAGE(J34,J36))</f>
        <v>Not Calculated</v>
      </c>
      <c r="K40" s="41"/>
    </row>
    <row r="41" spans="2:14" x14ac:dyDescent="0.2">
      <c r="B41" s="38"/>
      <c r="C41" s="179"/>
      <c r="D41" s="40"/>
      <c r="E41" s="40"/>
      <c r="F41" s="40"/>
      <c r="G41" s="40"/>
      <c r="H41" s="40"/>
      <c r="I41" s="40"/>
      <c r="J41" s="245"/>
      <c r="K41" s="41"/>
    </row>
    <row r="42" spans="2:14" x14ac:dyDescent="0.2">
      <c r="B42" s="38"/>
      <c r="C42" s="40"/>
      <c r="D42" s="40"/>
      <c r="E42" s="40"/>
      <c r="F42" s="40"/>
      <c r="G42" s="40"/>
      <c r="H42" s="40"/>
      <c r="I42" s="40"/>
      <c r="J42" s="40"/>
      <c r="K42" s="41"/>
    </row>
    <row r="43" spans="2:14" ht="16" x14ac:dyDescent="0.2">
      <c r="B43" s="38"/>
      <c r="C43" s="45" t="s">
        <v>51</v>
      </c>
      <c r="D43" s="40"/>
      <c r="E43" s="40"/>
      <c r="F43" s="40"/>
      <c r="G43" s="40"/>
      <c r="H43" s="40"/>
      <c r="I43" s="40"/>
      <c r="J43" s="40"/>
      <c r="K43" s="41"/>
    </row>
    <row r="44" spans="2:14" x14ac:dyDescent="0.2">
      <c r="B44" s="38"/>
      <c r="C44" s="40" t="s">
        <v>435</v>
      </c>
      <c r="D44" s="40"/>
      <c r="E44" s="40"/>
      <c r="F44" s="40"/>
      <c r="G44" s="40"/>
      <c r="H44" s="40"/>
      <c r="I44" s="40"/>
      <c r="J44" s="252">
        <f>'Baseline Health'!G17</f>
        <v>0</v>
      </c>
      <c r="K44" s="41"/>
    </row>
    <row r="45" spans="2:14" x14ac:dyDescent="0.2">
      <c r="B45" s="38"/>
      <c r="C45" s="40" t="s">
        <v>287</v>
      </c>
      <c r="D45" s="40"/>
      <c r="E45" s="40"/>
      <c r="F45" s="40"/>
      <c r="G45" s="40"/>
      <c r="H45" s="40"/>
      <c r="I45" s="40"/>
      <c r="J45" s="264">
        <v>0</v>
      </c>
      <c r="K45" s="41"/>
    </row>
    <row r="46" spans="2:14" x14ac:dyDescent="0.2">
      <c r="B46" s="38"/>
      <c r="C46" s="40" t="s">
        <v>260</v>
      </c>
      <c r="D46" s="40"/>
      <c r="E46" s="40"/>
      <c r="F46" s="40"/>
      <c r="G46" s="40"/>
      <c r="H46" s="40"/>
      <c r="I46" s="40"/>
      <c r="J46" s="248" t="str">
        <f>IF(OR(J44=0,J44="Not Calculated")=TRUE,"Not Calculated",(IF(((J45+J44)/J44)&lt;=1,0,IF(((J45+J44)/J44)&lt;=1.05,1,IF(((J45+J44)/J44)&lt;=1.5, 2,IF(((J45+J44)/J44)&lt;=2,3,4))))))</f>
        <v>Not Calculated</v>
      </c>
      <c r="K46" s="41"/>
    </row>
    <row r="47" spans="2:14" ht="9.75" customHeight="1" x14ac:dyDescent="0.2">
      <c r="B47" s="38"/>
      <c r="C47" s="279" t="str">
        <f>"0:"</f>
        <v>0:</v>
      </c>
      <c r="D47" s="281" t="s">
        <v>918</v>
      </c>
      <c r="E47" s="40"/>
      <c r="F47" s="40"/>
      <c r="G47" s="40"/>
      <c r="H47" s="40"/>
      <c r="I47" s="40"/>
      <c r="J47" s="40"/>
      <c r="K47" s="41"/>
    </row>
    <row r="48" spans="2:14" ht="9.75" customHeight="1" x14ac:dyDescent="0.2">
      <c r="B48" s="38"/>
      <c r="C48" s="280" t="str">
        <f>"1:"</f>
        <v>1:</v>
      </c>
      <c r="D48" s="281" t="s">
        <v>919</v>
      </c>
      <c r="E48" s="40"/>
      <c r="F48" s="40"/>
      <c r="G48" s="40"/>
      <c r="H48" s="40"/>
      <c r="I48" s="40"/>
      <c r="J48" s="40"/>
      <c r="K48" s="41"/>
    </row>
    <row r="49" spans="2:14" ht="9.75" customHeight="1" x14ac:dyDescent="0.2">
      <c r="B49" s="38"/>
      <c r="C49" s="280" t="str">
        <f>"2:"</f>
        <v>2:</v>
      </c>
      <c r="D49" s="281" t="s">
        <v>920</v>
      </c>
      <c r="E49" s="40"/>
      <c r="F49" s="40"/>
      <c r="G49" s="40"/>
      <c r="H49" s="40"/>
      <c r="I49" s="40"/>
      <c r="J49" s="40"/>
      <c r="K49" s="41"/>
    </row>
    <row r="50" spans="2:14" ht="9.75" customHeight="1" x14ac:dyDescent="0.2">
      <c r="B50" s="38"/>
      <c r="C50" s="280" t="str">
        <f>"3:"</f>
        <v>3:</v>
      </c>
      <c r="D50" s="281" t="s">
        <v>921</v>
      </c>
      <c r="E50" s="40"/>
      <c r="F50" s="40"/>
      <c r="G50" s="40"/>
      <c r="H50" s="40"/>
      <c r="I50" s="40"/>
      <c r="J50" s="40"/>
      <c r="K50" s="41"/>
    </row>
    <row r="51" spans="2:14" ht="9.75" customHeight="1" x14ac:dyDescent="0.2">
      <c r="B51" s="38"/>
      <c r="C51" s="280" t="str">
        <f>"4:"</f>
        <v>4:</v>
      </c>
      <c r="D51" s="281" t="s">
        <v>922</v>
      </c>
      <c r="E51" s="40"/>
      <c r="F51" s="40"/>
      <c r="G51" s="40"/>
      <c r="H51" s="40"/>
      <c r="I51" s="40"/>
      <c r="J51" s="40"/>
      <c r="K51" s="41"/>
      <c r="N51" s="12" t="s">
        <v>661</v>
      </c>
    </row>
    <row r="52" spans="2:14" x14ac:dyDescent="0.2">
      <c r="B52" s="38"/>
      <c r="C52" s="174" t="s">
        <v>662</v>
      </c>
      <c r="D52" s="40"/>
      <c r="E52" s="40"/>
      <c r="F52" s="40"/>
      <c r="G52" s="40"/>
      <c r="H52" s="40"/>
      <c r="I52" s="40"/>
      <c r="J52" s="265" t="s">
        <v>661</v>
      </c>
      <c r="K52" s="41"/>
      <c r="N52" s="12" t="s">
        <v>894</v>
      </c>
    </row>
    <row r="53" spans="2:14" x14ac:dyDescent="0.2">
      <c r="B53" s="38"/>
      <c r="C53" s="174" t="s">
        <v>660</v>
      </c>
      <c r="D53" s="40"/>
      <c r="E53" s="40"/>
      <c r="F53" s="40"/>
      <c r="G53" s="40"/>
      <c r="H53" s="40"/>
      <c r="I53" s="40"/>
      <c r="J53" s="246" t="str">
        <f>IF(J52=N51,"N/A",IF(J52=N52,0,IF(J52=N53,1,IF(J52=N54,2,IF(J52=N55,3,IF(J52=N56,4,"N/A"))))))</f>
        <v>N/A</v>
      </c>
      <c r="K53" s="41"/>
      <c r="N53" s="12" t="s">
        <v>895</v>
      </c>
    </row>
    <row r="54" spans="2:14" x14ac:dyDescent="0.2">
      <c r="B54" s="38"/>
      <c r="C54" s="40" t="s">
        <v>257</v>
      </c>
      <c r="D54" s="40"/>
      <c r="E54" s="40"/>
      <c r="F54" s="40"/>
      <c r="G54" s="40"/>
      <c r="H54" s="40"/>
      <c r="I54" s="40"/>
      <c r="J54" s="266" t="s">
        <v>870</v>
      </c>
      <c r="K54" s="41"/>
      <c r="N54" s="12" t="s">
        <v>896</v>
      </c>
    </row>
    <row r="55" spans="2:14" x14ac:dyDescent="0.2">
      <c r="B55" s="38"/>
      <c r="C55" s="40" t="s">
        <v>261</v>
      </c>
      <c r="D55" s="40"/>
      <c r="E55" s="40"/>
      <c r="F55" s="40"/>
      <c r="G55" s="40"/>
      <c r="H55" s="40"/>
      <c r="I55" s="40"/>
      <c r="J55" s="248">
        <f>IF(J54=$B$973,$A$973,IF(J54=$B$974,$A$974,IF(J54=$B$975,$A$975,IF(J54=$B$976,$A$976,IF(J54=$B$977,$A$977,"Not Calculated")))))</f>
        <v>0</v>
      </c>
      <c r="K55" s="41"/>
      <c r="N55" s="12" t="s">
        <v>897</v>
      </c>
    </row>
    <row r="56" spans="2:14" x14ac:dyDescent="0.2">
      <c r="B56" s="38"/>
      <c r="C56" s="40" t="s">
        <v>893</v>
      </c>
      <c r="D56" s="40"/>
      <c r="E56" s="40"/>
      <c r="F56" s="40"/>
      <c r="G56" s="40"/>
      <c r="H56" s="40"/>
      <c r="I56" s="40"/>
      <c r="J56" s="175"/>
      <c r="K56" s="41"/>
      <c r="N56" s="12" t="s">
        <v>898</v>
      </c>
    </row>
    <row r="57" spans="2:14" s="178" customFormat="1" ht="30" customHeight="1" x14ac:dyDescent="0.2">
      <c r="B57" s="176"/>
      <c r="C57" s="415" t="s">
        <v>454</v>
      </c>
      <c r="D57" s="400"/>
      <c r="E57" s="400"/>
      <c r="F57" s="400"/>
      <c r="G57" s="400"/>
      <c r="H57" s="400"/>
      <c r="I57" s="400"/>
      <c r="J57" s="401"/>
      <c r="K57" s="177"/>
    </row>
    <row r="58" spans="2:14" x14ac:dyDescent="0.2">
      <c r="B58" s="38"/>
      <c r="C58" s="40"/>
      <c r="D58" s="40"/>
      <c r="E58" s="40"/>
      <c r="F58" s="40"/>
      <c r="G58" s="40"/>
      <c r="H58" s="40"/>
      <c r="I58" s="40"/>
      <c r="J58" s="40"/>
      <c r="K58" s="41"/>
    </row>
    <row r="59" spans="2:14" x14ac:dyDescent="0.2">
      <c r="B59" s="38"/>
      <c r="C59" s="179" t="s">
        <v>263</v>
      </c>
      <c r="D59" s="40"/>
      <c r="E59" s="40"/>
      <c r="F59" s="40"/>
      <c r="G59" s="40"/>
      <c r="H59" s="40"/>
      <c r="I59" s="40"/>
      <c r="J59" s="245" t="str">
        <f>IF(J53="N/A",IF(OR(J46="Not Calculated",J55="Not Calculated")=TRUE,"Not Calculated",AVERAGE(J46,J55)),AVERAGE(J53,J55))</f>
        <v>Not Calculated</v>
      </c>
      <c r="K59" s="41"/>
    </row>
    <row r="60" spans="2:14" x14ac:dyDescent="0.2">
      <c r="B60" s="38"/>
      <c r="C60" s="40"/>
      <c r="D60" s="40"/>
      <c r="E60" s="40"/>
      <c r="F60" s="40"/>
      <c r="G60" s="40"/>
      <c r="H60" s="40"/>
      <c r="I60" s="40"/>
      <c r="J60" s="40"/>
      <c r="K60" s="41"/>
    </row>
    <row r="61" spans="2:14" x14ac:dyDescent="0.2">
      <c r="B61" s="38"/>
      <c r="C61" s="40"/>
      <c r="D61" s="40"/>
      <c r="E61" s="40"/>
      <c r="F61" s="40"/>
      <c r="G61" s="40"/>
      <c r="H61" s="40"/>
      <c r="I61" s="40"/>
      <c r="J61" s="40"/>
      <c r="K61" s="41"/>
    </row>
    <row r="62" spans="2:14" ht="16" x14ac:dyDescent="0.2">
      <c r="B62" s="38"/>
      <c r="C62" s="45" t="s">
        <v>54</v>
      </c>
      <c r="D62" s="40"/>
      <c r="E62" s="40"/>
      <c r="F62" s="40"/>
      <c r="G62" s="40"/>
      <c r="H62" s="40"/>
      <c r="I62" s="40"/>
      <c r="J62" s="40"/>
      <c r="K62" s="41"/>
    </row>
    <row r="63" spans="2:14" x14ac:dyDescent="0.2">
      <c r="B63" s="38"/>
      <c r="C63" s="40" t="s">
        <v>436</v>
      </c>
      <c r="D63" s="40"/>
      <c r="E63" s="40"/>
      <c r="F63" s="40"/>
      <c r="G63" s="40"/>
      <c r="H63" s="40"/>
      <c r="I63" s="40"/>
      <c r="J63" s="252">
        <f>'Baseline Health'!G23</f>
        <v>0</v>
      </c>
      <c r="K63" s="41"/>
    </row>
    <row r="64" spans="2:14" x14ac:dyDescent="0.2">
      <c r="B64" s="38"/>
      <c r="C64" s="40" t="s">
        <v>289</v>
      </c>
      <c r="D64" s="40"/>
      <c r="E64" s="40"/>
      <c r="F64" s="40"/>
      <c r="G64" s="40"/>
      <c r="H64" s="40"/>
      <c r="I64" s="40"/>
      <c r="J64" s="264">
        <v>0</v>
      </c>
      <c r="K64" s="41"/>
    </row>
    <row r="65" spans="2:14" x14ac:dyDescent="0.2">
      <c r="B65" s="38"/>
      <c r="C65" s="40" t="s">
        <v>260</v>
      </c>
      <c r="D65" s="40"/>
      <c r="E65" s="40"/>
      <c r="F65" s="40"/>
      <c r="G65" s="40"/>
      <c r="H65" s="40"/>
      <c r="I65" s="40"/>
      <c r="J65" s="248" t="str">
        <f>IF(OR(J63=0,J63="Not Calculated")=TRUE,"Not Calculated",(IF(((J64+J63)/J63)&lt;=1,0,IF(((J64+J63)/J63)&lt;=1.05,1,IF(((J64+J63)/J63)&lt;=1.5, 2,IF(((J64+J63)/J63)&lt;=2,3,4))))))</f>
        <v>Not Calculated</v>
      </c>
      <c r="K65" s="41"/>
    </row>
    <row r="66" spans="2:14" ht="9.75" customHeight="1" x14ac:dyDescent="0.2">
      <c r="B66" s="38"/>
      <c r="C66" s="279" t="str">
        <f>"0:"</f>
        <v>0:</v>
      </c>
      <c r="D66" s="281" t="s">
        <v>918</v>
      </c>
      <c r="E66" s="40"/>
      <c r="F66" s="40"/>
      <c r="G66" s="40"/>
      <c r="H66" s="40"/>
      <c r="I66" s="40"/>
      <c r="J66" s="40"/>
      <c r="K66" s="41"/>
    </row>
    <row r="67" spans="2:14" ht="9.75" customHeight="1" x14ac:dyDescent="0.2">
      <c r="B67" s="38"/>
      <c r="C67" s="280" t="str">
        <f>"1:"</f>
        <v>1:</v>
      </c>
      <c r="D67" s="281" t="s">
        <v>919</v>
      </c>
      <c r="E67" s="40"/>
      <c r="F67" s="40"/>
      <c r="G67" s="40"/>
      <c r="H67" s="40"/>
      <c r="I67" s="40"/>
      <c r="J67" s="40"/>
      <c r="K67" s="41"/>
    </row>
    <row r="68" spans="2:14" ht="9.75" customHeight="1" x14ac:dyDescent="0.2">
      <c r="B68" s="38"/>
      <c r="C68" s="280" t="str">
        <f>"2:"</f>
        <v>2:</v>
      </c>
      <c r="D68" s="281" t="s">
        <v>920</v>
      </c>
      <c r="E68" s="40"/>
      <c r="F68" s="40"/>
      <c r="G68" s="40"/>
      <c r="H68" s="40"/>
      <c r="I68" s="40"/>
      <c r="J68" s="40"/>
      <c r="K68" s="41"/>
    </row>
    <row r="69" spans="2:14" ht="9.75" customHeight="1" x14ac:dyDescent="0.2">
      <c r="B69" s="38"/>
      <c r="C69" s="280" t="str">
        <f>"3:"</f>
        <v>3:</v>
      </c>
      <c r="D69" s="281" t="s">
        <v>921</v>
      </c>
      <c r="E69" s="40"/>
      <c r="F69" s="40"/>
      <c r="G69" s="40"/>
      <c r="H69" s="40"/>
      <c r="I69" s="40"/>
      <c r="J69" s="40"/>
      <c r="K69" s="41"/>
    </row>
    <row r="70" spans="2:14" ht="9.75" customHeight="1" x14ac:dyDescent="0.2">
      <c r="B70" s="38"/>
      <c r="C70" s="280" t="str">
        <f>"4:"</f>
        <v>4:</v>
      </c>
      <c r="D70" s="281" t="s">
        <v>922</v>
      </c>
      <c r="E70" s="40"/>
      <c r="F70" s="40"/>
      <c r="G70" s="40"/>
      <c r="H70" s="40"/>
      <c r="I70" s="40"/>
      <c r="J70" s="40"/>
      <c r="K70" s="41"/>
      <c r="N70" s="12" t="s">
        <v>661</v>
      </c>
    </row>
    <row r="71" spans="2:14" x14ac:dyDescent="0.2">
      <c r="B71" s="38"/>
      <c r="C71" s="174" t="s">
        <v>662</v>
      </c>
      <c r="D71" s="40"/>
      <c r="E71" s="40"/>
      <c r="F71" s="40"/>
      <c r="G71" s="40"/>
      <c r="H71" s="40"/>
      <c r="I71" s="40"/>
      <c r="J71" s="265" t="s">
        <v>661</v>
      </c>
      <c r="K71" s="41"/>
      <c r="N71" s="12" t="s">
        <v>894</v>
      </c>
    </row>
    <row r="72" spans="2:14" x14ac:dyDescent="0.2">
      <c r="B72" s="38"/>
      <c r="C72" s="174" t="s">
        <v>660</v>
      </c>
      <c r="D72" s="40"/>
      <c r="E72" s="40"/>
      <c r="F72" s="40"/>
      <c r="G72" s="40"/>
      <c r="H72" s="40"/>
      <c r="I72" s="40"/>
      <c r="J72" s="246" t="str">
        <f>IF(J71=N70,"N/A",IF(J71=N71,0,IF(J71=N72,1,IF(J71=N73,2,IF(J71=N74,3,IF(J71=N75,4,"N/A"))))))</f>
        <v>N/A</v>
      </c>
      <c r="K72" s="41"/>
      <c r="N72" s="12" t="s">
        <v>895</v>
      </c>
    </row>
    <row r="73" spans="2:14" x14ac:dyDescent="0.2">
      <c r="B73" s="38"/>
      <c r="C73" s="40" t="s">
        <v>257</v>
      </c>
      <c r="D73" s="40"/>
      <c r="E73" s="40"/>
      <c r="F73" s="40"/>
      <c r="G73" s="40"/>
      <c r="H73" s="40"/>
      <c r="I73" s="40"/>
      <c r="J73" s="266" t="s">
        <v>870</v>
      </c>
      <c r="K73" s="41"/>
      <c r="N73" s="12" t="s">
        <v>896</v>
      </c>
    </row>
    <row r="74" spans="2:14" x14ac:dyDescent="0.2">
      <c r="B74" s="38"/>
      <c r="C74" s="40" t="s">
        <v>261</v>
      </c>
      <c r="D74" s="40"/>
      <c r="E74" s="40"/>
      <c r="F74" s="40"/>
      <c r="G74" s="40"/>
      <c r="H74" s="40"/>
      <c r="I74" s="40"/>
      <c r="J74" s="248">
        <f>IF(J73=$B$973,$A$973,IF(J73=$B$974,$A$974,IF(J73=$B$975,$A$975,IF(J73=$B$976,$A$976,IF(J73=$B$977,$A$977,"Not Calculated")))))</f>
        <v>0</v>
      </c>
      <c r="K74" s="41"/>
      <c r="N74" s="12" t="s">
        <v>897</v>
      </c>
    </row>
    <row r="75" spans="2:14" x14ac:dyDescent="0.2">
      <c r="B75" s="38"/>
      <c r="C75" s="40" t="s">
        <v>893</v>
      </c>
      <c r="D75" s="40"/>
      <c r="E75" s="40"/>
      <c r="F75" s="40"/>
      <c r="G75" s="40"/>
      <c r="H75" s="40"/>
      <c r="I75" s="40"/>
      <c r="J75" s="175"/>
      <c r="K75" s="41"/>
      <c r="N75" s="12" t="s">
        <v>898</v>
      </c>
    </row>
    <row r="76" spans="2:14" s="178" customFormat="1" ht="60" customHeight="1" x14ac:dyDescent="0.2">
      <c r="B76" s="176"/>
      <c r="C76" s="415"/>
      <c r="D76" s="400"/>
      <c r="E76" s="400"/>
      <c r="F76" s="400"/>
      <c r="G76" s="400"/>
      <c r="H76" s="400"/>
      <c r="I76" s="400"/>
      <c r="J76" s="401"/>
      <c r="K76" s="177"/>
    </row>
    <row r="77" spans="2:14" x14ac:dyDescent="0.2">
      <c r="B77" s="38"/>
      <c r="C77" s="40"/>
      <c r="D77" s="40"/>
      <c r="E77" s="40"/>
      <c r="F77" s="40"/>
      <c r="G77" s="40"/>
      <c r="H77" s="40"/>
      <c r="I77" s="40"/>
      <c r="J77" s="40"/>
      <c r="K77" s="41"/>
    </row>
    <row r="78" spans="2:14" x14ac:dyDescent="0.2">
      <c r="B78" s="38"/>
      <c r="C78" s="179" t="s">
        <v>264</v>
      </c>
      <c r="D78" s="40"/>
      <c r="E78" s="40"/>
      <c r="F78" s="40"/>
      <c r="G78" s="40"/>
      <c r="H78" s="40"/>
      <c r="I78" s="40"/>
      <c r="J78" s="245" t="str">
        <f>IF(J72="N/A",IF(OR(J65="Not Calculated",J74="Not Calculated")=TRUE,"Not Calculated",AVERAGE(J65,J74)),AVERAGE(J72,J74))</f>
        <v>Not Calculated</v>
      </c>
      <c r="K78" s="41"/>
    </row>
    <row r="79" spans="2:14" x14ac:dyDescent="0.2">
      <c r="B79" s="38"/>
      <c r="C79" s="40"/>
      <c r="D79" s="40"/>
      <c r="E79" s="40"/>
      <c r="F79" s="40"/>
      <c r="G79" s="40"/>
      <c r="H79" s="40"/>
      <c r="I79" s="40"/>
      <c r="J79" s="40"/>
      <c r="K79" s="41"/>
    </row>
    <row r="80" spans="2:14" x14ac:dyDescent="0.2">
      <c r="B80" s="38"/>
      <c r="C80" s="40"/>
      <c r="D80" s="40"/>
      <c r="E80" s="40"/>
      <c r="F80" s="40"/>
      <c r="G80" s="40"/>
      <c r="H80" s="40"/>
      <c r="I80" s="40"/>
      <c r="J80" s="40"/>
      <c r="K80" s="41"/>
    </row>
    <row r="81" spans="2:14" ht="16" x14ac:dyDescent="0.2">
      <c r="B81" s="38"/>
      <c r="C81" s="45" t="s">
        <v>57</v>
      </c>
      <c r="D81" s="40"/>
      <c r="E81" s="40"/>
      <c r="F81" s="40"/>
      <c r="G81" s="40"/>
      <c r="H81" s="40"/>
      <c r="I81" s="40"/>
      <c r="J81" s="40"/>
      <c r="K81" s="41"/>
    </row>
    <row r="82" spans="2:14" x14ac:dyDescent="0.2">
      <c r="B82" s="38"/>
      <c r="C82" s="40" t="s">
        <v>437</v>
      </c>
      <c r="D82" s="40"/>
      <c r="E82" s="40"/>
      <c r="F82" s="40"/>
      <c r="G82" s="40"/>
      <c r="H82" s="40"/>
      <c r="I82" s="40"/>
      <c r="J82" s="252">
        <f>'Baseline Health'!G29</f>
        <v>0</v>
      </c>
      <c r="K82" s="41"/>
    </row>
    <row r="83" spans="2:14" x14ac:dyDescent="0.2">
      <c r="B83" s="38"/>
      <c r="C83" s="40" t="s">
        <v>290</v>
      </c>
      <c r="D83" s="40"/>
      <c r="E83" s="40"/>
      <c r="F83" s="40"/>
      <c r="G83" s="40"/>
      <c r="H83" s="40"/>
      <c r="I83" s="40"/>
      <c r="J83" s="264">
        <v>0</v>
      </c>
      <c r="K83" s="41"/>
    </row>
    <row r="84" spans="2:14" x14ac:dyDescent="0.2">
      <c r="B84" s="38"/>
      <c r="C84" s="40" t="s">
        <v>260</v>
      </c>
      <c r="D84" s="40"/>
      <c r="E84" s="40"/>
      <c r="F84" s="40"/>
      <c r="G84" s="40"/>
      <c r="H84" s="40"/>
      <c r="I84" s="40"/>
      <c r="J84" s="248" t="str">
        <f>IF(OR(J82=0,J82="Not Calculated")=TRUE,"Not Calculated",(IF(((J83+J82)/J82)&lt;=1,0,IF(((J83+J82)/J82)&lt;=1.05,1,IF(((J83+J82)/J82)&lt;=1.5, 2,IF(((J83+J82)/J82)&lt;=2,3,4))))))</f>
        <v>Not Calculated</v>
      </c>
      <c r="K84" s="41"/>
    </row>
    <row r="85" spans="2:14" ht="9.75" customHeight="1" x14ac:dyDescent="0.2">
      <c r="B85" s="38"/>
      <c r="C85" s="279" t="str">
        <f>"0:"</f>
        <v>0:</v>
      </c>
      <c r="D85" s="281" t="s">
        <v>918</v>
      </c>
      <c r="E85" s="40"/>
      <c r="F85" s="40"/>
      <c r="G85" s="40"/>
      <c r="H85" s="40"/>
      <c r="I85" s="40"/>
      <c r="J85" s="40"/>
      <c r="K85" s="41"/>
    </row>
    <row r="86" spans="2:14" ht="9.75" customHeight="1" x14ac:dyDescent="0.2">
      <c r="B86" s="38"/>
      <c r="C86" s="280" t="str">
        <f>"1:"</f>
        <v>1:</v>
      </c>
      <c r="D86" s="281" t="s">
        <v>919</v>
      </c>
      <c r="E86" s="40"/>
      <c r="F86" s="40"/>
      <c r="G86" s="40"/>
      <c r="H86" s="40"/>
      <c r="I86" s="40"/>
      <c r="J86" s="40"/>
      <c r="K86" s="41"/>
    </row>
    <row r="87" spans="2:14" ht="9.75" customHeight="1" x14ac:dyDescent="0.2">
      <c r="B87" s="38"/>
      <c r="C87" s="280" t="str">
        <f>"2:"</f>
        <v>2:</v>
      </c>
      <c r="D87" s="281" t="s">
        <v>920</v>
      </c>
      <c r="E87" s="40"/>
      <c r="F87" s="40"/>
      <c r="G87" s="40"/>
      <c r="H87" s="40"/>
      <c r="I87" s="40"/>
      <c r="J87" s="40"/>
      <c r="K87" s="41"/>
    </row>
    <row r="88" spans="2:14" ht="9.75" customHeight="1" x14ac:dyDescent="0.2">
      <c r="B88" s="38"/>
      <c r="C88" s="280" t="str">
        <f>"3:"</f>
        <v>3:</v>
      </c>
      <c r="D88" s="281" t="s">
        <v>921</v>
      </c>
      <c r="E88" s="40"/>
      <c r="F88" s="40"/>
      <c r="G88" s="40"/>
      <c r="H88" s="40"/>
      <c r="I88" s="40"/>
      <c r="J88" s="40"/>
      <c r="K88" s="41"/>
    </row>
    <row r="89" spans="2:14" ht="9.75" customHeight="1" x14ac:dyDescent="0.2">
      <c r="B89" s="38"/>
      <c r="C89" s="280" t="str">
        <f>"4:"</f>
        <v>4:</v>
      </c>
      <c r="D89" s="281" t="s">
        <v>922</v>
      </c>
      <c r="E89" s="40"/>
      <c r="F89" s="40"/>
      <c r="G89" s="40"/>
      <c r="H89" s="40"/>
      <c r="I89" s="40"/>
      <c r="J89" s="40"/>
      <c r="K89" s="41"/>
      <c r="N89" s="12" t="s">
        <v>661</v>
      </c>
    </row>
    <row r="90" spans="2:14" x14ac:dyDescent="0.2">
      <c r="B90" s="38"/>
      <c r="C90" s="174" t="s">
        <v>662</v>
      </c>
      <c r="D90" s="40"/>
      <c r="E90" s="40"/>
      <c r="F90" s="40"/>
      <c r="G90" s="40"/>
      <c r="H90" s="40"/>
      <c r="I90" s="40"/>
      <c r="J90" s="265" t="s">
        <v>661</v>
      </c>
      <c r="K90" s="41"/>
      <c r="N90" s="12" t="s">
        <v>894</v>
      </c>
    </row>
    <row r="91" spans="2:14" x14ac:dyDescent="0.2">
      <c r="B91" s="38"/>
      <c r="C91" s="174" t="s">
        <v>660</v>
      </c>
      <c r="D91" s="40"/>
      <c r="E91" s="40"/>
      <c r="F91" s="40"/>
      <c r="G91" s="40"/>
      <c r="H91" s="40"/>
      <c r="I91" s="40"/>
      <c r="J91" s="246" t="str">
        <f>IF(J90=N89,"N/A",IF(J90=N90,0,IF(J90=N91,1,IF(J90=N92,2,IF(J90=N93,3,IF(J90=N94,4,"N/A"))))))</f>
        <v>N/A</v>
      </c>
      <c r="K91" s="41"/>
      <c r="N91" s="12" t="s">
        <v>895</v>
      </c>
    </row>
    <row r="92" spans="2:14" x14ac:dyDescent="0.2">
      <c r="B92" s="38"/>
      <c r="C92" s="40" t="s">
        <v>257</v>
      </c>
      <c r="D92" s="40"/>
      <c r="E92" s="40"/>
      <c r="F92" s="40"/>
      <c r="G92" s="40"/>
      <c r="H92" s="40"/>
      <c r="I92" s="40"/>
      <c r="J92" s="266" t="s">
        <v>870</v>
      </c>
      <c r="K92" s="41"/>
      <c r="N92" s="12" t="s">
        <v>896</v>
      </c>
    </row>
    <row r="93" spans="2:14" x14ac:dyDescent="0.2">
      <c r="B93" s="38"/>
      <c r="C93" s="40" t="s">
        <v>261</v>
      </c>
      <c r="D93" s="40"/>
      <c r="E93" s="40"/>
      <c r="F93" s="40"/>
      <c r="G93" s="40"/>
      <c r="H93" s="40"/>
      <c r="I93" s="40"/>
      <c r="J93" s="248">
        <f>IF(J92=$B$973,$A$973,IF(J92=$B$974,$A$974,IF(J92=$B$975,$A$975,IF(J92=$B$976,$A$976,IF(J92=$B$977,$A$977,"Not Calculated")))))</f>
        <v>0</v>
      </c>
      <c r="K93" s="41"/>
      <c r="N93" s="12" t="s">
        <v>897</v>
      </c>
    </row>
    <row r="94" spans="2:14" x14ac:dyDescent="0.2">
      <c r="B94" s="38"/>
      <c r="C94" s="40" t="s">
        <v>893</v>
      </c>
      <c r="D94" s="40"/>
      <c r="E94" s="40"/>
      <c r="F94" s="40"/>
      <c r="G94" s="40"/>
      <c r="H94" s="40"/>
      <c r="I94" s="40"/>
      <c r="J94" s="175"/>
      <c r="K94" s="41"/>
      <c r="N94" s="12" t="s">
        <v>898</v>
      </c>
    </row>
    <row r="95" spans="2:14" s="178" customFormat="1" ht="15" customHeight="1" x14ac:dyDescent="0.2">
      <c r="B95" s="176"/>
      <c r="C95" s="415"/>
      <c r="D95" s="400"/>
      <c r="E95" s="400"/>
      <c r="F95" s="400"/>
      <c r="G95" s="400"/>
      <c r="H95" s="400"/>
      <c r="I95" s="400"/>
      <c r="J95" s="401"/>
      <c r="K95" s="177"/>
    </row>
    <row r="96" spans="2:14" x14ac:dyDescent="0.2">
      <c r="B96" s="38"/>
      <c r="C96" s="40"/>
      <c r="D96" s="40"/>
      <c r="E96" s="40"/>
      <c r="F96" s="40"/>
      <c r="G96" s="40"/>
      <c r="H96" s="40"/>
      <c r="I96" s="40"/>
      <c r="J96" s="40"/>
      <c r="K96" s="41"/>
    </row>
    <row r="97" spans="2:14" x14ac:dyDescent="0.2">
      <c r="B97" s="38"/>
      <c r="C97" s="179" t="s">
        <v>265</v>
      </c>
      <c r="D97" s="40"/>
      <c r="E97" s="40"/>
      <c r="F97" s="40"/>
      <c r="G97" s="40"/>
      <c r="H97" s="40"/>
      <c r="I97" s="40"/>
      <c r="J97" s="245" t="str">
        <f>IF(J91="N/A",IF(OR(J84="Not Calculated",J93="Not Calculated")=TRUE,"Not Calculated",AVERAGE(J84,J93)),AVERAGE(J91,J93))</f>
        <v>Not Calculated</v>
      </c>
      <c r="K97" s="41"/>
    </row>
    <row r="98" spans="2:14" x14ac:dyDescent="0.2">
      <c r="B98" s="38"/>
      <c r="C98" s="40"/>
      <c r="D98" s="40"/>
      <c r="E98" s="40"/>
      <c r="F98" s="40"/>
      <c r="G98" s="40"/>
      <c r="H98" s="40"/>
      <c r="I98" s="40"/>
      <c r="J98" s="40"/>
      <c r="K98" s="41"/>
    </row>
    <row r="99" spans="2:14" x14ac:dyDescent="0.2">
      <c r="B99" s="38"/>
      <c r="C99" s="40"/>
      <c r="D99" s="40"/>
      <c r="E99" s="40"/>
      <c r="F99" s="40"/>
      <c r="G99" s="40"/>
      <c r="H99" s="40"/>
      <c r="I99" s="40"/>
      <c r="J99" s="40"/>
      <c r="K99" s="41"/>
    </row>
    <row r="100" spans="2:14" ht="16" x14ac:dyDescent="0.2">
      <c r="B100" s="38"/>
      <c r="C100" s="45" t="s">
        <v>60</v>
      </c>
      <c r="D100" s="40"/>
      <c r="E100" s="40"/>
      <c r="F100" s="40"/>
      <c r="G100" s="40"/>
      <c r="H100" s="40"/>
      <c r="I100" s="40"/>
      <c r="J100" s="40"/>
      <c r="K100" s="41"/>
    </row>
    <row r="101" spans="2:14" x14ac:dyDescent="0.2">
      <c r="B101" s="38"/>
      <c r="C101" s="40" t="s">
        <v>438</v>
      </c>
      <c r="D101" s="40"/>
      <c r="E101" s="40"/>
      <c r="F101" s="40"/>
      <c r="G101" s="40"/>
      <c r="H101" s="40"/>
      <c r="I101" s="40"/>
      <c r="J101" s="252">
        <f>'Baseline Health'!G35</f>
        <v>0</v>
      </c>
      <c r="K101" s="41"/>
    </row>
    <row r="102" spans="2:14" x14ac:dyDescent="0.2">
      <c r="B102" s="38"/>
      <c r="C102" s="40" t="s">
        <v>291</v>
      </c>
      <c r="D102" s="40"/>
      <c r="E102" s="40"/>
      <c r="F102" s="40"/>
      <c r="G102" s="40"/>
      <c r="H102" s="40"/>
      <c r="I102" s="40"/>
      <c r="J102" s="264">
        <v>0</v>
      </c>
      <c r="K102" s="41"/>
    </row>
    <row r="103" spans="2:14" x14ac:dyDescent="0.2">
      <c r="B103" s="38"/>
      <c r="C103" s="40" t="s">
        <v>260</v>
      </c>
      <c r="D103" s="40"/>
      <c r="E103" s="40"/>
      <c r="F103" s="40"/>
      <c r="G103" s="40"/>
      <c r="H103" s="40"/>
      <c r="I103" s="40"/>
      <c r="J103" s="248" t="str">
        <f>IF(OR(J101=0,J101="Not Calculated")=TRUE,"Not Calculated",(IF(((J102+J101)/J101)&lt;=1,0,IF(((J102+J101)/J101)&lt;=1.05,1,IF(((J102+J101)/J101)&lt;=1.5, 2,IF(((J102+J101)/J101)&lt;=2,3,4))))))</f>
        <v>Not Calculated</v>
      </c>
      <c r="K103" s="41"/>
    </row>
    <row r="104" spans="2:14" ht="9.75" customHeight="1" x14ac:dyDescent="0.2">
      <c r="B104" s="38"/>
      <c r="C104" s="279" t="str">
        <f>"0:"</f>
        <v>0:</v>
      </c>
      <c r="D104" s="281" t="s">
        <v>918</v>
      </c>
      <c r="E104" s="40"/>
      <c r="F104" s="40"/>
      <c r="G104" s="40"/>
      <c r="H104" s="40"/>
      <c r="I104" s="40"/>
      <c r="J104" s="40"/>
      <c r="K104" s="41"/>
    </row>
    <row r="105" spans="2:14" ht="9.75" customHeight="1" x14ac:dyDescent="0.2">
      <c r="B105" s="38"/>
      <c r="C105" s="280" t="str">
        <f>"1:"</f>
        <v>1:</v>
      </c>
      <c r="D105" s="281" t="s">
        <v>919</v>
      </c>
      <c r="E105" s="40"/>
      <c r="F105" s="40"/>
      <c r="G105" s="40"/>
      <c r="H105" s="40"/>
      <c r="I105" s="40"/>
      <c r="J105" s="40"/>
      <c r="K105" s="41"/>
    </row>
    <row r="106" spans="2:14" ht="9.75" customHeight="1" x14ac:dyDescent="0.2">
      <c r="B106" s="38"/>
      <c r="C106" s="280" t="str">
        <f>"2:"</f>
        <v>2:</v>
      </c>
      <c r="D106" s="281" t="s">
        <v>920</v>
      </c>
      <c r="E106" s="40"/>
      <c r="F106" s="40"/>
      <c r="G106" s="40"/>
      <c r="H106" s="40"/>
      <c r="I106" s="40"/>
      <c r="J106" s="40"/>
      <c r="K106" s="41"/>
    </row>
    <row r="107" spans="2:14" ht="9.75" customHeight="1" x14ac:dyDescent="0.2">
      <c r="B107" s="38"/>
      <c r="C107" s="280" t="str">
        <f>"3:"</f>
        <v>3:</v>
      </c>
      <c r="D107" s="281" t="s">
        <v>921</v>
      </c>
      <c r="E107" s="40"/>
      <c r="F107" s="40"/>
      <c r="G107" s="40"/>
      <c r="H107" s="40"/>
      <c r="I107" s="40"/>
      <c r="J107" s="40"/>
      <c r="K107" s="41"/>
    </row>
    <row r="108" spans="2:14" ht="9.75" customHeight="1" x14ac:dyDescent="0.2">
      <c r="B108" s="38"/>
      <c r="C108" s="280" t="str">
        <f>"4:"</f>
        <v>4:</v>
      </c>
      <c r="D108" s="281" t="s">
        <v>922</v>
      </c>
      <c r="E108" s="40"/>
      <c r="F108" s="40"/>
      <c r="G108" s="40"/>
      <c r="H108" s="40"/>
      <c r="I108" s="40"/>
      <c r="J108" s="40"/>
      <c r="K108" s="41"/>
      <c r="N108" s="12" t="s">
        <v>661</v>
      </c>
    </row>
    <row r="109" spans="2:14" x14ac:dyDescent="0.2">
      <c r="B109" s="38"/>
      <c r="C109" s="174" t="s">
        <v>662</v>
      </c>
      <c r="D109" s="40"/>
      <c r="E109" s="40"/>
      <c r="F109" s="40"/>
      <c r="G109" s="40"/>
      <c r="H109" s="40"/>
      <c r="I109" s="40"/>
      <c r="J109" s="265" t="s">
        <v>661</v>
      </c>
      <c r="K109" s="41"/>
      <c r="N109" s="12" t="s">
        <v>894</v>
      </c>
    </row>
    <row r="110" spans="2:14" x14ac:dyDescent="0.2">
      <c r="B110" s="38"/>
      <c r="C110" s="174" t="s">
        <v>660</v>
      </c>
      <c r="D110" s="40"/>
      <c r="E110" s="40"/>
      <c r="F110" s="40"/>
      <c r="G110" s="40"/>
      <c r="H110" s="40"/>
      <c r="I110" s="40"/>
      <c r="J110" s="246" t="str">
        <f>IF(J109=N108,"N/A",IF(J109=N109,0,IF(J109=N110,1,IF(J109=N111,2,IF(J109=N112,3,IF(J109=N113,4,"N/A"))))))</f>
        <v>N/A</v>
      </c>
      <c r="K110" s="41"/>
      <c r="N110" s="12" t="s">
        <v>895</v>
      </c>
    </row>
    <row r="111" spans="2:14" x14ac:dyDescent="0.2">
      <c r="B111" s="38"/>
      <c r="C111" s="40" t="s">
        <v>257</v>
      </c>
      <c r="D111" s="40"/>
      <c r="E111" s="40"/>
      <c r="F111" s="40"/>
      <c r="G111" s="40"/>
      <c r="H111" s="40"/>
      <c r="I111" s="40"/>
      <c r="J111" s="266" t="s">
        <v>870</v>
      </c>
      <c r="K111" s="41"/>
      <c r="N111" s="12" t="s">
        <v>896</v>
      </c>
    </row>
    <row r="112" spans="2:14" x14ac:dyDescent="0.2">
      <c r="B112" s="38"/>
      <c r="C112" s="40" t="s">
        <v>261</v>
      </c>
      <c r="D112" s="40"/>
      <c r="E112" s="40"/>
      <c r="F112" s="40"/>
      <c r="G112" s="40"/>
      <c r="H112" s="40"/>
      <c r="I112" s="40"/>
      <c r="J112" s="248">
        <f>IF(J111=$B$973,$A$973,IF(J111=$B$974,$A$974,IF(J111=$B$975,$A$975,IF(J111=$B$976,$A$976,IF(J111=$B$977,$A$977,"Not Calculated")))))</f>
        <v>0</v>
      </c>
      <c r="K112" s="41"/>
      <c r="N112" s="12" t="s">
        <v>897</v>
      </c>
    </row>
    <row r="113" spans="2:14" x14ac:dyDescent="0.2">
      <c r="B113" s="38"/>
      <c r="C113" s="40" t="s">
        <v>893</v>
      </c>
      <c r="D113" s="40"/>
      <c r="E113" s="40"/>
      <c r="F113" s="40"/>
      <c r="G113" s="40"/>
      <c r="H113" s="40"/>
      <c r="I113" s="40"/>
      <c r="J113" s="175"/>
      <c r="K113" s="41"/>
      <c r="N113" s="12" t="s">
        <v>898</v>
      </c>
    </row>
    <row r="114" spans="2:14" s="178" customFormat="1" ht="45" customHeight="1" x14ac:dyDescent="0.2">
      <c r="B114" s="176"/>
      <c r="C114" s="415"/>
      <c r="D114" s="400"/>
      <c r="E114" s="400"/>
      <c r="F114" s="400"/>
      <c r="G114" s="400"/>
      <c r="H114" s="400"/>
      <c r="I114" s="400"/>
      <c r="J114" s="401"/>
      <c r="K114" s="177"/>
    </row>
    <row r="115" spans="2:14" x14ac:dyDescent="0.2">
      <c r="B115" s="38"/>
      <c r="C115" s="40"/>
      <c r="D115" s="40"/>
      <c r="E115" s="40"/>
      <c r="F115" s="40"/>
      <c r="G115" s="40"/>
      <c r="H115" s="40"/>
      <c r="I115" s="40"/>
      <c r="J115" s="40"/>
      <c r="K115" s="41"/>
    </row>
    <row r="116" spans="2:14" x14ac:dyDescent="0.2">
      <c r="B116" s="38"/>
      <c r="C116" s="179" t="s">
        <v>266</v>
      </c>
      <c r="D116" s="40"/>
      <c r="E116" s="40"/>
      <c r="F116" s="40"/>
      <c r="G116" s="40"/>
      <c r="H116" s="40"/>
      <c r="I116" s="40"/>
      <c r="J116" s="245" t="str">
        <f>IF(J110="N/A",IF(OR(J103="Not Calculated",J112="Not Calculated")=TRUE,"Not Calculated",AVERAGE(J103,J112)),AVERAGE(J110,J112))</f>
        <v>Not Calculated</v>
      </c>
      <c r="K116" s="41"/>
    </row>
    <row r="117" spans="2:14" x14ac:dyDescent="0.2">
      <c r="B117" s="38"/>
      <c r="C117" s="40"/>
      <c r="D117" s="40"/>
      <c r="E117" s="40"/>
      <c r="F117" s="40"/>
      <c r="G117" s="40"/>
      <c r="H117" s="40"/>
      <c r="I117" s="40"/>
      <c r="J117" s="40"/>
      <c r="K117" s="41"/>
    </row>
    <row r="118" spans="2:14" x14ac:dyDescent="0.2">
      <c r="B118" s="38"/>
      <c r="C118" s="40"/>
      <c r="D118" s="40"/>
      <c r="E118" s="40"/>
      <c r="F118" s="40"/>
      <c r="G118" s="40"/>
      <c r="H118" s="40"/>
      <c r="I118" s="40"/>
      <c r="J118" s="40"/>
      <c r="K118" s="41"/>
    </row>
    <row r="119" spans="2:14" ht="16" x14ac:dyDescent="0.2">
      <c r="B119" s="38"/>
      <c r="C119" s="45" t="s">
        <v>262</v>
      </c>
      <c r="D119" s="40"/>
      <c r="E119" s="40"/>
      <c r="F119" s="40"/>
      <c r="G119" s="40"/>
      <c r="H119" s="40"/>
      <c r="I119" s="40"/>
      <c r="J119" s="40"/>
      <c r="K119" s="41"/>
    </row>
    <row r="120" spans="2:14" ht="15" customHeight="1" x14ac:dyDescent="0.2">
      <c r="B120" s="38"/>
      <c r="C120" s="422" t="s">
        <v>268</v>
      </c>
      <c r="D120" s="422"/>
      <c r="E120" s="422"/>
      <c r="F120" s="422"/>
      <c r="G120" s="422"/>
      <c r="H120" s="422"/>
      <c r="I120" s="422"/>
      <c r="J120" s="422"/>
      <c r="K120" s="41"/>
    </row>
    <row r="121" spans="2:14" x14ac:dyDescent="0.2">
      <c r="B121" s="38"/>
      <c r="C121" s="422"/>
      <c r="D121" s="422"/>
      <c r="E121" s="422"/>
      <c r="F121" s="422"/>
      <c r="G121" s="422"/>
      <c r="H121" s="422"/>
      <c r="I121" s="422"/>
      <c r="J121" s="422"/>
      <c r="K121" s="41"/>
    </row>
    <row r="122" spans="2:14" x14ac:dyDescent="0.2">
      <c r="B122" s="38"/>
      <c r="C122" s="423"/>
      <c r="D122" s="423"/>
      <c r="E122" s="423"/>
      <c r="F122" s="423"/>
      <c r="G122" s="423"/>
      <c r="H122" s="423"/>
      <c r="I122" s="423"/>
      <c r="J122" s="423"/>
      <c r="K122" s="41"/>
    </row>
    <row r="123" spans="2:14" ht="15" customHeight="1" x14ac:dyDescent="0.2">
      <c r="B123" s="38"/>
      <c r="C123" s="416" t="s">
        <v>245</v>
      </c>
      <c r="D123" s="417"/>
      <c r="E123" s="417"/>
      <c r="F123" s="417"/>
      <c r="G123" s="417"/>
      <c r="H123" s="417"/>
      <c r="I123" s="417"/>
      <c r="J123" s="418"/>
      <c r="K123" s="41"/>
    </row>
    <row r="124" spans="2:14" x14ac:dyDescent="0.2">
      <c r="B124" s="38"/>
      <c r="C124" s="419"/>
      <c r="D124" s="420"/>
      <c r="E124" s="420"/>
      <c r="F124" s="420"/>
      <c r="G124" s="420"/>
      <c r="H124" s="420"/>
      <c r="I124" s="420"/>
      <c r="J124" s="421"/>
      <c r="K124" s="41"/>
    </row>
    <row r="125" spans="2:14" ht="15" customHeight="1" x14ac:dyDescent="0.2">
      <c r="B125" s="38"/>
      <c r="C125" s="40" t="s">
        <v>260</v>
      </c>
      <c r="D125" s="40"/>
      <c r="E125" s="40"/>
      <c r="F125" s="40"/>
      <c r="G125" s="40"/>
      <c r="H125" s="40"/>
      <c r="I125" s="40"/>
      <c r="J125" s="246">
        <f>IF(C123=B987,A987,IF(C123=B988,A988,IF(C123=B989,A989,IF(C123=B990,A990,IF(C123=B991,A991,"Not Calculated")))))</f>
        <v>0</v>
      </c>
      <c r="K125" s="41"/>
    </row>
    <row r="126" spans="2:14" ht="15" customHeight="1" x14ac:dyDescent="0.2">
      <c r="B126" s="38"/>
      <c r="C126" s="40" t="s">
        <v>257</v>
      </c>
      <c r="D126" s="40"/>
      <c r="E126" s="40"/>
      <c r="F126" s="40"/>
      <c r="G126" s="40"/>
      <c r="H126" s="40"/>
      <c r="I126" s="40"/>
      <c r="J126" s="266" t="s">
        <v>870</v>
      </c>
      <c r="K126" s="41"/>
    </row>
    <row r="127" spans="2:14" x14ac:dyDescent="0.2">
      <c r="B127" s="38"/>
      <c r="C127" s="40" t="s">
        <v>261</v>
      </c>
      <c r="D127" s="40"/>
      <c r="E127" s="40"/>
      <c r="F127" s="40"/>
      <c r="G127" s="40"/>
      <c r="H127" s="40"/>
      <c r="I127" s="40"/>
      <c r="J127" s="248">
        <f>IF(J126=$B$973,$A$973,IF(J126=$B$974,$A$974,IF(J126=$B$975,$A$975,IF(J126=$B$976,$A$976,IF(J126=$B$977,$A$977,"Not Calculated")))))</f>
        <v>0</v>
      </c>
      <c r="K127" s="41"/>
    </row>
    <row r="128" spans="2:14" ht="15" customHeight="1" x14ac:dyDescent="0.2">
      <c r="B128" s="38"/>
      <c r="C128" s="40" t="s">
        <v>893</v>
      </c>
      <c r="D128" s="40"/>
      <c r="E128" s="40"/>
      <c r="F128" s="40"/>
      <c r="G128" s="40"/>
      <c r="H128" s="40"/>
      <c r="I128" s="40"/>
      <c r="J128" s="175"/>
      <c r="K128" s="41"/>
    </row>
    <row r="129" spans="2:11" s="178" customFormat="1" ht="15" customHeight="1" x14ac:dyDescent="0.2">
      <c r="B129" s="176"/>
      <c r="C129" s="415"/>
      <c r="D129" s="400"/>
      <c r="E129" s="400"/>
      <c r="F129" s="400"/>
      <c r="G129" s="400"/>
      <c r="H129" s="400"/>
      <c r="I129" s="400"/>
      <c r="J129" s="401"/>
      <c r="K129" s="177"/>
    </row>
    <row r="130" spans="2:11" x14ac:dyDescent="0.2">
      <c r="B130" s="38"/>
      <c r="C130" s="40"/>
      <c r="D130" s="40"/>
      <c r="E130" s="40"/>
      <c r="F130" s="40"/>
      <c r="G130" s="40"/>
      <c r="H130" s="40"/>
      <c r="I130" s="40"/>
      <c r="J130" s="40"/>
      <c r="K130" s="41"/>
    </row>
    <row r="131" spans="2:11" x14ac:dyDescent="0.2">
      <c r="B131" s="38"/>
      <c r="C131" s="179" t="s">
        <v>267</v>
      </c>
      <c r="D131" s="40"/>
      <c r="E131" s="40"/>
      <c r="F131" s="40"/>
      <c r="G131" s="40"/>
      <c r="H131" s="40"/>
      <c r="I131" s="40"/>
      <c r="J131" s="245">
        <f>IF(OR(J125="Not Calculated",J127="Not Calculated")=TRUE,"Not Calculated",AVERAGE(J125,J127))</f>
        <v>0</v>
      </c>
      <c r="K131" s="41"/>
    </row>
    <row r="132" spans="2:11" x14ac:dyDescent="0.2">
      <c r="B132" s="38"/>
      <c r="C132" s="179"/>
      <c r="D132" s="40"/>
      <c r="E132" s="40"/>
      <c r="F132" s="40"/>
      <c r="G132" s="40"/>
      <c r="H132" s="40"/>
      <c r="I132" s="40"/>
      <c r="J132" s="245"/>
      <c r="K132" s="41"/>
    </row>
    <row r="133" spans="2:11" ht="18" x14ac:dyDescent="0.2">
      <c r="B133" s="38"/>
      <c r="C133" s="180" t="s">
        <v>269</v>
      </c>
      <c r="D133" s="40"/>
      <c r="E133" s="40"/>
      <c r="F133" s="40"/>
      <c r="G133" s="40"/>
      <c r="H133" s="40"/>
      <c r="I133" s="40"/>
      <c r="J133" s="244" t="str">
        <f>IF(OR(J40="Not Calculated",J59="Not Calculated",J78="Not Calculated",J97="Not Calculated",J116="Not Calculated",J131="Not Calculated",)=TRUE,"Not Calculated",AVERAGE(J40,J59,J78,J97,J116,J131))</f>
        <v>Not Calculated</v>
      </c>
      <c r="K133" s="41"/>
    </row>
    <row r="134" spans="2:11" ht="16" thickBot="1" x14ac:dyDescent="0.25">
      <c r="B134" s="46"/>
      <c r="C134" s="47"/>
      <c r="D134" s="47"/>
      <c r="E134" s="47"/>
      <c r="F134" s="47"/>
      <c r="G134" s="47"/>
      <c r="H134" s="47"/>
      <c r="I134" s="47"/>
      <c r="J134" s="47"/>
      <c r="K134" s="49"/>
    </row>
    <row r="135" spans="2:11" ht="16" thickBot="1" x14ac:dyDescent="0.25"/>
    <row r="136" spans="2:11" x14ac:dyDescent="0.2">
      <c r="B136" s="33"/>
      <c r="C136" s="34"/>
      <c r="D136" s="34"/>
      <c r="E136" s="34"/>
      <c r="F136" s="34"/>
      <c r="G136" s="34"/>
      <c r="H136" s="34"/>
      <c r="I136" s="34"/>
      <c r="J136" s="34"/>
      <c r="K136" s="37"/>
    </row>
    <row r="137" spans="2:11" ht="21" x14ac:dyDescent="0.25">
      <c r="B137" s="38"/>
      <c r="C137" s="171"/>
      <c r="D137" s="40"/>
      <c r="E137" s="40"/>
      <c r="F137" s="40"/>
      <c r="G137" s="172" t="s">
        <v>27</v>
      </c>
      <c r="H137" s="40"/>
      <c r="I137" s="40"/>
      <c r="J137" s="40"/>
      <c r="K137" s="41"/>
    </row>
    <row r="138" spans="2:11" x14ac:dyDescent="0.2">
      <c r="B138" s="38"/>
      <c r="C138" s="40"/>
      <c r="D138" s="40"/>
      <c r="E138" s="40"/>
      <c r="F138" s="40"/>
      <c r="G138" s="40"/>
      <c r="H138" s="40"/>
      <c r="I138" s="40"/>
      <c r="J138" s="40"/>
      <c r="K138" s="41"/>
    </row>
    <row r="139" spans="2:11" ht="16" x14ac:dyDescent="0.2">
      <c r="B139" s="38"/>
      <c r="C139" s="45" t="s">
        <v>72</v>
      </c>
      <c r="D139" s="40"/>
      <c r="E139" s="40"/>
      <c r="F139" s="40"/>
      <c r="G139" s="40"/>
      <c r="H139" s="40"/>
      <c r="I139" s="40"/>
      <c r="J139" s="40"/>
      <c r="K139" s="41"/>
    </row>
    <row r="140" spans="2:11" x14ac:dyDescent="0.2">
      <c r="B140" s="38"/>
      <c r="C140" s="40" t="s">
        <v>440</v>
      </c>
      <c r="D140" s="40"/>
      <c r="E140" s="40"/>
      <c r="F140" s="40"/>
      <c r="G140" s="40"/>
      <c r="H140" s="40"/>
      <c r="I140" s="40"/>
      <c r="J140" s="252">
        <f>'Baseline Health'!G45</f>
        <v>0</v>
      </c>
      <c r="K140" s="41"/>
    </row>
    <row r="141" spans="2:11" x14ac:dyDescent="0.2">
      <c r="B141" s="38"/>
      <c r="C141" s="40" t="s">
        <v>270</v>
      </c>
      <c r="D141" s="40"/>
      <c r="E141" s="40"/>
      <c r="F141" s="40"/>
      <c r="G141" s="40"/>
      <c r="H141" s="40"/>
      <c r="I141" s="40"/>
      <c r="J141" s="264">
        <v>0</v>
      </c>
      <c r="K141" s="41"/>
    </row>
    <row r="142" spans="2:11" x14ac:dyDescent="0.2">
      <c r="B142" s="38"/>
      <c r="C142" s="40" t="s">
        <v>439</v>
      </c>
      <c r="D142" s="40"/>
      <c r="E142" s="40"/>
      <c r="F142" s="40"/>
      <c r="G142" s="40"/>
      <c r="H142" s="40"/>
      <c r="I142" s="40"/>
      <c r="J142" s="255">
        <f>J83/20</f>
        <v>0</v>
      </c>
      <c r="K142" s="41"/>
    </row>
    <row r="143" spans="2:11" x14ac:dyDescent="0.2">
      <c r="B143" s="38"/>
      <c r="C143" s="40"/>
      <c r="D143" s="40" t="s">
        <v>351</v>
      </c>
      <c r="E143" s="40"/>
      <c r="F143" s="40"/>
      <c r="G143" s="40"/>
      <c r="H143" s="40"/>
      <c r="I143" s="40"/>
      <c r="J143" s="40"/>
      <c r="K143" s="41"/>
    </row>
    <row r="144" spans="2:11" x14ac:dyDescent="0.2">
      <c r="B144" s="38"/>
      <c r="C144" s="40" t="s">
        <v>260</v>
      </c>
      <c r="D144" s="40"/>
      <c r="E144" s="40"/>
      <c r="F144" s="40"/>
      <c r="G144" s="40"/>
      <c r="H144" s="40"/>
      <c r="I144" s="40"/>
      <c r="J144" s="245" t="str">
        <f>IF(OR(J140=0,J140="Not Calculated")=TRUE,"Not Calculated",IF((J140-J141)&lt;=0,4,IF(((J140+J142)/(J140-J141))&lt;=1,0,IF(((J140+J142)/(J140-J141))&lt;=1.05,1,IF(((J140+J142)/(J140-J141))&lt;=1.5, 2,IF(((J140+J142)/(J140-J141))&lt;=2,3,4))))))</f>
        <v>Not Calculated</v>
      </c>
      <c r="K144" s="41"/>
    </row>
    <row r="145" spans="2:14" ht="9.75" customHeight="1" x14ac:dyDescent="0.2">
      <c r="B145" s="38"/>
      <c r="C145" s="279" t="str">
        <f>"0:"</f>
        <v>0:</v>
      </c>
      <c r="D145" s="278" t="s">
        <v>918</v>
      </c>
      <c r="E145" s="40"/>
      <c r="F145" s="40"/>
      <c r="G145" s="40"/>
      <c r="H145" s="40"/>
      <c r="I145" s="40"/>
      <c r="J145" s="40"/>
      <c r="K145" s="41"/>
    </row>
    <row r="146" spans="2:14" ht="9.75" customHeight="1" x14ac:dyDescent="0.2">
      <c r="B146" s="38"/>
      <c r="C146" s="280" t="str">
        <f>"1:"</f>
        <v>1:</v>
      </c>
      <c r="D146" s="278" t="s">
        <v>923</v>
      </c>
      <c r="E146" s="40"/>
      <c r="F146" s="40"/>
      <c r="G146" s="40"/>
      <c r="H146" s="40"/>
      <c r="I146" s="40"/>
      <c r="J146" s="40"/>
      <c r="K146" s="41"/>
    </row>
    <row r="147" spans="2:14" ht="9.75" customHeight="1" x14ac:dyDescent="0.2">
      <c r="B147" s="38"/>
      <c r="C147" s="280" t="str">
        <f>"2:"</f>
        <v>2:</v>
      </c>
      <c r="D147" s="278" t="s">
        <v>924</v>
      </c>
      <c r="E147" s="40"/>
      <c r="F147" s="40"/>
      <c r="G147" s="40"/>
      <c r="H147" s="40"/>
      <c r="I147" s="40"/>
      <c r="J147" s="40"/>
      <c r="K147" s="41"/>
    </row>
    <row r="148" spans="2:14" ht="9.75" customHeight="1" x14ac:dyDescent="0.2">
      <c r="B148" s="38"/>
      <c r="C148" s="280" t="str">
        <f>"3:"</f>
        <v>3:</v>
      </c>
      <c r="D148" s="278" t="s">
        <v>925</v>
      </c>
      <c r="E148" s="40"/>
      <c r="F148" s="40"/>
      <c r="G148" s="40"/>
      <c r="H148" s="40"/>
      <c r="I148" s="40"/>
      <c r="J148" s="40"/>
      <c r="K148" s="41"/>
    </row>
    <row r="149" spans="2:14" ht="9.75" customHeight="1" x14ac:dyDescent="0.2">
      <c r="B149" s="38"/>
      <c r="C149" s="280" t="str">
        <f>"4:"</f>
        <v>4:</v>
      </c>
      <c r="D149" s="278" t="s">
        <v>926</v>
      </c>
      <c r="E149" s="40"/>
      <c r="F149" s="40"/>
      <c r="G149" s="40"/>
      <c r="H149" s="40"/>
      <c r="I149" s="40"/>
      <c r="J149" s="40"/>
      <c r="K149" s="41"/>
      <c r="N149" s="12" t="s">
        <v>661</v>
      </c>
    </row>
    <row r="150" spans="2:14" x14ac:dyDescent="0.2">
      <c r="B150" s="38"/>
      <c r="C150" s="174" t="s">
        <v>662</v>
      </c>
      <c r="D150" s="40"/>
      <c r="E150" s="40"/>
      <c r="F150" s="40"/>
      <c r="G150" s="40"/>
      <c r="H150" s="40"/>
      <c r="I150" s="40"/>
      <c r="J150" s="265" t="s">
        <v>894</v>
      </c>
      <c r="K150" s="41"/>
      <c r="N150" s="12" t="s">
        <v>894</v>
      </c>
    </row>
    <row r="151" spans="2:14" x14ac:dyDescent="0.2">
      <c r="B151" s="38"/>
      <c r="C151" s="174" t="s">
        <v>660</v>
      </c>
      <c r="D151" s="40"/>
      <c r="E151" s="40"/>
      <c r="F151" s="40"/>
      <c r="G151" s="40"/>
      <c r="H151" s="40"/>
      <c r="I151" s="40"/>
      <c r="J151" s="246">
        <f>IF(J150=N149,"N/A",IF(J150=N150,0,IF(J150=N151,1,IF(J150=N152,2,IF(J150=N153,3,IF(J150=N154,4,"N/A"))))))</f>
        <v>0</v>
      </c>
      <c r="K151" s="41"/>
      <c r="N151" s="12" t="s">
        <v>899</v>
      </c>
    </row>
    <row r="152" spans="2:14" x14ac:dyDescent="0.2">
      <c r="B152" s="38"/>
      <c r="C152" s="40" t="s">
        <v>257</v>
      </c>
      <c r="D152" s="40"/>
      <c r="E152" s="40"/>
      <c r="F152" s="40"/>
      <c r="G152" s="40"/>
      <c r="H152" s="40"/>
      <c r="I152" s="40"/>
      <c r="J152" s="266" t="s">
        <v>870</v>
      </c>
      <c r="K152" s="41"/>
      <c r="N152" s="12" t="s">
        <v>900</v>
      </c>
    </row>
    <row r="153" spans="2:14" x14ac:dyDescent="0.2">
      <c r="B153" s="38"/>
      <c r="C153" s="40" t="s">
        <v>261</v>
      </c>
      <c r="D153" s="40"/>
      <c r="E153" s="40"/>
      <c r="F153" s="40"/>
      <c r="G153" s="40"/>
      <c r="H153" s="40"/>
      <c r="I153" s="40"/>
      <c r="J153" s="248">
        <f>IF(J152=$B$973,$A$973,IF(J152=$B$974,$A$974,IF(J152=$B$975,$A$975,IF(J152=$B$976,$A$976,IF(J152=$B$977,$A$977,"Not Calculated")))))</f>
        <v>0</v>
      </c>
      <c r="K153" s="41"/>
      <c r="N153" s="12" t="s">
        <v>901</v>
      </c>
    </row>
    <row r="154" spans="2:14" x14ac:dyDescent="0.2">
      <c r="B154" s="38"/>
      <c r="C154" s="40" t="s">
        <v>893</v>
      </c>
      <c r="D154" s="40"/>
      <c r="E154" s="40"/>
      <c r="F154" s="40"/>
      <c r="G154" s="40"/>
      <c r="H154" s="40"/>
      <c r="I154" s="40"/>
      <c r="J154" s="40"/>
      <c r="K154" s="41"/>
      <c r="N154" s="12" t="s">
        <v>902</v>
      </c>
    </row>
    <row r="155" spans="2:14" ht="45" customHeight="1" x14ac:dyDescent="0.2">
      <c r="B155" s="38"/>
      <c r="C155" s="399" t="s">
        <v>823</v>
      </c>
      <c r="D155" s="400"/>
      <c r="E155" s="400"/>
      <c r="F155" s="400"/>
      <c r="G155" s="400"/>
      <c r="H155" s="400"/>
      <c r="I155" s="400"/>
      <c r="J155" s="401"/>
      <c r="K155" s="41"/>
    </row>
    <row r="156" spans="2:14" x14ac:dyDescent="0.2">
      <c r="B156" s="38"/>
      <c r="C156" s="40"/>
      <c r="D156" s="40"/>
      <c r="E156" s="40"/>
      <c r="F156" s="40"/>
      <c r="G156" s="40"/>
      <c r="H156" s="40"/>
      <c r="I156" s="40"/>
      <c r="J156" s="40"/>
      <c r="K156" s="41"/>
    </row>
    <row r="157" spans="2:14" x14ac:dyDescent="0.2">
      <c r="B157" s="38"/>
      <c r="C157" s="179" t="s">
        <v>271</v>
      </c>
      <c r="D157" s="40"/>
      <c r="E157" s="40"/>
      <c r="F157" s="40"/>
      <c r="G157" s="40"/>
      <c r="H157" s="40"/>
      <c r="I157" s="40"/>
      <c r="J157" s="245">
        <f>IF(J151="N/A",IF(OR(J144="Not Calculated",J153="Not Calculated")=TRUE,"Not Calculated",AVERAGE(J144,J153)),AVERAGE(J151,J153))</f>
        <v>0</v>
      </c>
      <c r="K157" s="41"/>
    </row>
    <row r="158" spans="2:14" x14ac:dyDescent="0.2">
      <c r="B158" s="38"/>
      <c r="C158" s="40"/>
      <c r="D158" s="40"/>
      <c r="E158" s="40"/>
      <c r="F158" s="40"/>
      <c r="G158" s="40"/>
      <c r="H158" s="40"/>
      <c r="I158" s="40"/>
      <c r="J158" s="40"/>
      <c r="K158" s="41"/>
    </row>
    <row r="159" spans="2:14" x14ac:dyDescent="0.2">
      <c r="B159" s="38"/>
      <c r="C159" s="40"/>
      <c r="D159" s="40"/>
      <c r="E159" s="40"/>
      <c r="F159" s="40"/>
      <c r="G159" s="40"/>
      <c r="H159" s="40"/>
      <c r="I159" s="40"/>
      <c r="J159" s="40"/>
      <c r="K159" s="41"/>
    </row>
    <row r="160" spans="2:14" ht="16" x14ac:dyDescent="0.2">
      <c r="B160" s="38"/>
      <c r="C160" s="45" t="s">
        <v>273</v>
      </c>
      <c r="D160" s="40"/>
      <c r="E160" s="40"/>
      <c r="F160" s="40"/>
      <c r="G160" s="40"/>
      <c r="H160" s="40"/>
      <c r="I160" s="40"/>
      <c r="J160" s="40"/>
      <c r="K160" s="41"/>
    </row>
    <row r="161" spans="2:14" x14ac:dyDescent="0.2">
      <c r="B161" s="38"/>
      <c r="C161" s="40" t="s">
        <v>441</v>
      </c>
      <c r="D161" s="40"/>
      <c r="E161" s="40"/>
      <c r="F161" s="40"/>
      <c r="G161" s="40"/>
      <c r="H161" s="40"/>
      <c r="I161" s="40"/>
      <c r="J161" s="252">
        <f>'Baseline Health'!G51</f>
        <v>0</v>
      </c>
      <c r="K161" s="41"/>
    </row>
    <row r="162" spans="2:14" x14ac:dyDescent="0.2">
      <c r="B162" s="38"/>
      <c r="C162" s="40" t="s">
        <v>280</v>
      </c>
      <c r="D162" s="40"/>
      <c r="E162" s="40"/>
      <c r="F162" s="40"/>
      <c r="G162" s="40"/>
      <c r="H162" s="40"/>
      <c r="I162" s="40"/>
      <c r="J162" s="264">
        <v>0</v>
      </c>
      <c r="K162" s="41"/>
    </row>
    <row r="163" spans="2:14" x14ac:dyDescent="0.2">
      <c r="B163" s="38"/>
      <c r="C163" s="40" t="s">
        <v>442</v>
      </c>
      <c r="D163" s="40"/>
      <c r="E163" s="40"/>
      <c r="F163" s="40"/>
      <c r="G163" s="40"/>
      <c r="H163" s="40"/>
      <c r="I163" s="40"/>
      <c r="J163" s="255">
        <f>(J64)/4.5</f>
        <v>0</v>
      </c>
      <c r="K163" s="41"/>
    </row>
    <row r="164" spans="2:14" x14ac:dyDescent="0.2">
      <c r="B164" s="38"/>
      <c r="C164" s="40"/>
      <c r="D164" s="40" t="s">
        <v>353</v>
      </c>
      <c r="E164" s="40"/>
      <c r="F164" s="40"/>
      <c r="G164" s="40"/>
      <c r="H164" s="40"/>
      <c r="I164" s="40"/>
      <c r="J164" s="40"/>
      <c r="K164" s="41"/>
    </row>
    <row r="165" spans="2:14" x14ac:dyDescent="0.2">
      <c r="B165" s="38"/>
      <c r="C165" s="40" t="s">
        <v>260</v>
      </c>
      <c r="D165" s="40"/>
      <c r="E165" s="40"/>
      <c r="F165" s="40"/>
      <c r="G165" s="40"/>
      <c r="H165" s="40"/>
      <c r="I165" s="40"/>
      <c r="J165" s="245" t="str">
        <f>IF(OR(J161=0,J161="Not Calculated")=TRUE,"Not Calculated",IF((J161-J162)&lt;=0,4,IF(((J161+J163)/(J161-J162))&lt;=1,0,IF(((J161+J163)/(J161-J162))&lt;=1.05,1,IF(((J161+J163)/(J161-J162))&lt;=1.5, 2,IF(((J161+J163)/(J161-J162))&lt;=2,3,4))))))</f>
        <v>Not Calculated</v>
      </c>
      <c r="K165" s="41"/>
    </row>
    <row r="166" spans="2:14" ht="9.75" customHeight="1" x14ac:dyDescent="0.2">
      <c r="B166" s="38"/>
      <c r="C166" s="279" t="str">
        <f>"0:"</f>
        <v>0:</v>
      </c>
      <c r="D166" s="278" t="s">
        <v>918</v>
      </c>
      <c r="E166" s="40"/>
      <c r="F166" s="40"/>
      <c r="G166" s="40"/>
      <c r="H166" s="40"/>
      <c r="I166" s="40"/>
      <c r="J166" s="40"/>
      <c r="K166" s="41"/>
    </row>
    <row r="167" spans="2:14" ht="9.75" customHeight="1" x14ac:dyDescent="0.2">
      <c r="B167" s="38"/>
      <c r="C167" s="280" t="str">
        <f>"1:"</f>
        <v>1:</v>
      </c>
      <c r="D167" s="278" t="s">
        <v>923</v>
      </c>
      <c r="E167" s="40"/>
      <c r="F167" s="40"/>
      <c r="G167" s="40"/>
      <c r="H167" s="40"/>
      <c r="I167" s="40"/>
      <c r="J167" s="40"/>
      <c r="K167" s="41"/>
    </row>
    <row r="168" spans="2:14" ht="9.75" customHeight="1" x14ac:dyDescent="0.2">
      <c r="B168" s="38"/>
      <c r="C168" s="280" t="str">
        <f>"2:"</f>
        <v>2:</v>
      </c>
      <c r="D168" s="278" t="s">
        <v>924</v>
      </c>
      <c r="E168" s="40"/>
      <c r="F168" s="40"/>
      <c r="G168" s="40"/>
      <c r="H168" s="40"/>
      <c r="I168" s="40"/>
      <c r="J168" s="40"/>
      <c r="K168" s="41"/>
    </row>
    <row r="169" spans="2:14" ht="9.75" customHeight="1" x14ac:dyDescent="0.2">
      <c r="B169" s="38"/>
      <c r="C169" s="280" t="str">
        <f>"3:"</f>
        <v>3:</v>
      </c>
      <c r="D169" s="278" t="s">
        <v>925</v>
      </c>
      <c r="E169" s="40"/>
      <c r="F169" s="40"/>
      <c r="G169" s="40"/>
      <c r="H169" s="40"/>
      <c r="I169" s="40"/>
      <c r="J169" s="40"/>
      <c r="K169" s="41"/>
    </row>
    <row r="170" spans="2:14" ht="9.75" customHeight="1" x14ac:dyDescent="0.2">
      <c r="B170" s="38"/>
      <c r="C170" s="280" t="str">
        <f>"4:"</f>
        <v>4:</v>
      </c>
      <c r="D170" s="278" t="s">
        <v>926</v>
      </c>
      <c r="E170" s="40"/>
      <c r="F170" s="40"/>
      <c r="G170" s="40"/>
      <c r="H170" s="40"/>
      <c r="I170" s="40"/>
      <c r="J170" s="40"/>
      <c r="K170" s="41"/>
      <c r="N170" s="12" t="s">
        <v>661</v>
      </c>
    </row>
    <row r="171" spans="2:14" x14ac:dyDescent="0.2">
      <c r="B171" s="38"/>
      <c r="C171" s="174" t="s">
        <v>662</v>
      </c>
      <c r="D171" s="40"/>
      <c r="E171" s="40"/>
      <c r="F171" s="40"/>
      <c r="G171" s="40"/>
      <c r="H171" s="40"/>
      <c r="I171" s="40"/>
      <c r="J171" s="265" t="s">
        <v>894</v>
      </c>
      <c r="K171" s="41"/>
      <c r="N171" s="12" t="s">
        <v>894</v>
      </c>
    </row>
    <row r="172" spans="2:14" x14ac:dyDescent="0.2">
      <c r="B172" s="38"/>
      <c r="C172" s="174" t="s">
        <v>660</v>
      </c>
      <c r="D172" s="40"/>
      <c r="E172" s="40"/>
      <c r="F172" s="40"/>
      <c r="G172" s="40"/>
      <c r="H172" s="40"/>
      <c r="I172" s="40"/>
      <c r="J172" s="246">
        <f>IF(J171=N170,"N/A",IF(J171=N171,0,IF(J171=N172,1,IF(J171=N173,2,IF(J171=N174,3,IF(J171=N175,4,"N/A"))))))</f>
        <v>0</v>
      </c>
      <c r="K172" s="41"/>
      <c r="N172" s="12" t="s">
        <v>899</v>
      </c>
    </row>
    <row r="173" spans="2:14" x14ac:dyDescent="0.2">
      <c r="B173" s="38"/>
      <c r="C173" s="40" t="s">
        <v>257</v>
      </c>
      <c r="D173" s="40"/>
      <c r="E173" s="40"/>
      <c r="F173" s="40"/>
      <c r="G173" s="40"/>
      <c r="H173" s="40"/>
      <c r="I173" s="40"/>
      <c r="J173" s="266" t="s">
        <v>870</v>
      </c>
      <c r="K173" s="41"/>
      <c r="N173" s="12" t="s">
        <v>900</v>
      </c>
    </row>
    <row r="174" spans="2:14" x14ac:dyDescent="0.2">
      <c r="B174" s="38"/>
      <c r="C174" s="40" t="s">
        <v>261</v>
      </c>
      <c r="D174" s="40"/>
      <c r="E174" s="40"/>
      <c r="F174" s="40"/>
      <c r="G174" s="40"/>
      <c r="H174" s="40"/>
      <c r="I174" s="40"/>
      <c r="J174" s="248">
        <f>IF(J173=$B$973,$A$973,IF(J173=$B$974,$A$974,IF(J173=$B$975,$A$975,IF(J173=$B$976,$A$976,IF(J173=$B$977,$A$977,"Not Calculated")))))</f>
        <v>0</v>
      </c>
      <c r="K174" s="41"/>
      <c r="N174" s="12" t="s">
        <v>901</v>
      </c>
    </row>
    <row r="175" spans="2:14" x14ac:dyDescent="0.2">
      <c r="B175" s="38"/>
      <c r="C175" s="40" t="s">
        <v>893</v>
      </c>
      <c r="D175" s="40"/>
      <c r="E175" s="40"/>
      <c r="F175" s="40"/>
      <c r="G175" s="40"/>
      <c r="H175" s="40"/>
      <c r="I175" s="40"/>
      <c r="J175" s="40"/>
      <c r="K175" s="41"/>
      <c r="N175" s="12" t="s">
        <v>902</v>
      </c>
    </row>
    <row r="176" spans="2:14" ht="15" customHeight="1" x14ac:dyDescent="0.2">
      <c r="B176" s="38"/>
      <c r="C176" s="399"/>
      <c r="D176" s="400"/>
      <c r="E176" s="400"/>
      <c r="F176" s="400"/>
      <c r="G176" s="400"/>
      <c r="H176" s="400"/>
      <c r="I176" s="400"/>
      <c r="J176" s="401"/>
      <c r="K176" s="41"/>
    </row>
    <row r="177" spans="2:14" x14ac:dyDescent="0.2">
      <c r="B177" s="38"/>
      <c r="C177" s="40"/>
      <c r="D177" s="40"/>
      <c r="E177" s="40"/>
      <c r="F177" s="40"/>
      <c r="G177" s="40"/>
      <c r="H177" s="40"/>
      <c r="I177" s="40"/>
      <c r="J177" s="40"/>
      <c r="K177" s="41"/>
    </row>
    <row r="178" spans="2:14" x14ac:dyDescent="0.2">
      <c r="B178" s="38"/>
      <c r="C178" s="179" t="s">
        <v>274</v>
      </c>
      <c r="D178" s="40"/>
      <c r="E178" s="40"/>
      <c r="F178" s="40"/>
      <c r="G178" s="40"/>
      <c r="H178" s="40"/>
      <c r="I178" s="40"/>
      <c r="J178" s="245">
        <f>IF(J172="N/A",IF(OR(J165="Not Calculated",J174="Not Calculated")=TRUE,"Not Calculated",AVERAGE(J165,J174)),AVERAGE(J172,J174))</f>
        <v>0</v>
      </c>
      <c r="K178" s="41"/>
    </row>
    <row r="179" spans="2:14" x14ac:dyDescent="0.2">
      <c r="B179" s="38"/>
      <c r="C179" s="40"/>
      <c r="D179" s="40"/>
      <c r="E179" s="40"/>
      <c r="F179" s="40"/>
      <c r="G179" s="40"/>
      <c r="H179" s="40"/>
      <c r="I179" s="40"/>
      <c r="J179" s="40"/>
      <c r="K179" s="41"/>
    </row>
    <row r="180" spans="2:14" x14ac:dyDescent="0.2">
      <c r="B180" s="38"/>
      <c r="C180" s="40"/>
      <c r="D180" s="40"/>
      <c r="E180" s="40"/>
      <c r="F180" s="40"/>
      <c r="G180" s="40"/>
      <c r="H180" s="40"/>
      <c r="I180" s="40"/>
      <c r="J180" s="40"/>
      <c r="K180" s="41"/>
    </row>
    <row r="181" spans="2:14" ht="16" x14ac:dyDescent="0.2">
      <c r="B181" s="38"/>
      <c r="C181" s="45" t="s">
        <v>74</v>
      </c>
      <c r="D181" s="40"/>
      <c r="E181" s="40"/>
      <c r="F181" s="40"/>
      <c r="G181" s="40"/>
      <c r="H181" s="40"/>
      <c r="I181" s="40"/>
      <c r="J181" s="40"/>
      <c r="K181" s="41"/>
    </row>
    <row r="182" spans="2:14" x14ac:dyDescent="0.2">
      <c r="B182" s="38"/>
      <c r="C182" s="40" t="s">
        <v>443</v>
      </c>
      <c r="D182" s="40"/>
      <c r="E182" s="40"/>
      <c r="F182" s="40"/>
      <c r="G182" s="40"/>
      <c r="H182" s="40"/>
      <c r="I182" s="40"/>
      <c r="J182" s="252">
        <f>'Baseline Health'!G59</f>
        <v>0</v>
      </c>
      <c r="K182" s="41"/>
    </row>
    <row r="183" spans="2:14" x14ac:dyDescent="0.2">
      <c r="B183" s="38"/>
      <c r="C183" s="40" t="s">
        <v>281</v>
      </c>
      <c r="D183" s="40"/>
      <c r="E183" s="40"/>
      <c r="F183" s="40"/>
      <c r="G183" s="40"/>
      <c r="H183" s="40"/>
      <c r="I183" s="40"/>
      <c r="J183" s="264">
        <v>0</v>
      </c>
      <c r="K183" s="41"/>
    </row>
    <row r="184" spans="2:14" x14ac:dyDescent="0.2">
      <c r="B184" s="38"/>
      <c r="C184" s="40" t="s">
        <v>354</v>
      </c>
      <c r="D184" s="40"/>
      <c r="E184" s="40"/>
      <c r="F184" s="40"/>
      <c r="G184" s="40"/>
      <c r="H184" s="40"/>
      <c r="I184" s="40"/>
      <c r="J184" s="264">
        <v>0</v>
      </c>
      <c r="K184" s="41"/>
    </row>
    <row r="185" spans="2:14" x14ac:dyDescent="0.2">
      <c r="B185" s="38"/>
      <c r="C185" s="40" t="s">
        <v>260</v>
      </c>
      <c r="D185" s="40"/>
      <c r="E185" s="40"/>
      <c r="F185" s="40"/>
      <c r="G185" s="40"/>
      <c r="H185" s="40"/>
      <c r="I185" s="40"/>
      <c r="J185" s="248" t="str">
        <f>IF(OR(J182=0,J182="Not Calculated")=TRUE,"Not Calculated",IF(J182-J183=0,4,IF(((J182+J184)/(J182-J183))&lt;=1,0,IF(((J182+J184)/(J182-J183))&lt;=1.05,1,IF(((J182+J184)/(J182-J183))&lt;=1.5, 2,IF(((J182+J184)/(J182-J183))&lt;=2,3,4))))))</f>
        <v>Not Calculated</v>
      </c>
      <c r="K185" s="41"/>
    </row>
    <row r="186" spans="2:14" ht="9.75" customHeight="1" x14ac:dyDescent="0.2">
      <c r="B186" s="38"/>
      <c r="C186" s="279" t="str">
        <f>"0:"</f>
        <v>0:</v>
      </c>
      <c r="D186" s="278" t="s">
        <v>918</v>
      </c>
      <c r="E186" s="40"/>
      <c r="F186" s="40"/>
      <c r="G186" s="40"/>
      <c r="H186" s="40"/>
      <c r="I186" s="40"/>
      <c r="J186" s="40"/>
      <c r="K186" s="41"/>
    </row>
    <row r="187" spans="2:14" ht="9.75" customHeight="1" x14ac:dyDescent="0.2">
      <c r="B187" s="38"/>
      <c r="C187" s="280" t="str">
        <f>"1:"</f>
        <v>1:</v>
      </c>
      <c r="D187" s="278" t="s">
        <v>923</v>
      </c>
      <c r="E187" s="40"/>
      <c r="F187" s="40"/>
      <c r="G187" s="40"/>
      <c r="H187" s="40"/>
      <c r="I187" s="40"/>
      <c r="J187" s="40"/>
      <c r="K187" s="41"/>
    </row>
    <row r="188" spans="2:14" ht="9.75" customHeight="1" x14ac:dyDescent="0.2">
      <c r="B188" s="38"/>
      <c r="C188" s="280" t="str">
        <f>"2:"</f>
        <v>2:</v>
      </c>
      <c r="D188" s="278" t="s">
        <v>924</v>
      </c>
      <c r="E188" s="40"/>
      <c r="F188" s="40"/>
      <c r="G188" s="40"/>
      <c r="H188" s="40"/>
      <c r="I188" s="40"/>
      <c r="J188" s="40"/>
      <c r="K188" s="41"/>
    </row>
    <row r="189" spans="2:14" ht="9.75" customHeight="1" x14ac:dyDescent="0.2">
      <c r="B189" s="38"/>
      <c r="C189" s="280" t="str">
        <f>"3:"</f>
        <v>3:</v>
      </c>
      <c r="D189" s="278" t="s">
        <v>925</v>
      </c>
      <c r="E189" s="40"/>
      <c r="F189" s="40"/>
      <c r="G189" s="40"/>
      <c r="H189" s="40"/>
      <c r="I189" s="40"/>
      <c r="J189" s="40"/>
      <c r="K189" s="41"/>
    </row>
    <row r="190" spans="2:14" ht="9.75" customHeight="1" x14ac:dyDescent="0.2">
      <c r="B190" s="38"/>
      <c r="C190" s="280" t="str">
        <f>"4:"</f>
        <v>4:</v>
      </c>
      <c r="D190" s="278" t="s">
        <v>926</v>
      </c>
      <c r="E190" s="40"/>
      <c r="F190" s="40"/>
      <c r="G190" s="40"/>
      <c r="H190" s="40"/>
      <c r="I190" s="40"/>
      <c r="J190" s="40"/>
      <c r="K190" s="41"/>
      <c r="N190" s="12" t="s">
        <v>661</v>
      </c>
    </row>
    <row r="191" spans="2:14" x14ac:dyDescent="0.2">
      <c r="B191" s="38"/>
      <c r="C191" s="174" t="s">
        <v>662</v>
      </c>
      <c r="D191" s="40"/>
      <c r="E191" s="40"/>
      <c r="F191" s="40"/>
      <c r="G191" s="40"/>
      <c r="H191" s="40"/>
      <c r="I191" s="40"/>
      <c r="J191" s="265" t="s">
        <v>894</v>
      </c>
      <c r="K191" s="41"/>
      <c r="N191" s="12" t="s">
        <v>894</v>
      </c>
    </row>
    <row r="192" spans="2:14" x14ac:dyDescent="0.2">
      <c r="B192" s="38"/>
      <c r="C192" s="174" t="s">
        <v>660</v>
      </c>
      <c r="D192" s="40"/>
      <c r="E192" s="40"/>
      <c r="F192" s="40"/>
      <c r="G192" s="40"/>
      <c r="H192" s="40"/>
      <c r="I192" s="40"/>
      <c r="J192" s="246">
        <f>IF(J191=N190,"N/A",IF(J191=N191,0,IF(J191=N192,1,IF(J191=N193,2,IF(J191=N194,3,IF(J191=N195,4,"N/A"))))))</f>
        <v>0</v>
      </c>
      <c r="K192" s="41"/>
      <c r="N192" s="12" t="s">
        <v>899</v>
      </c>
    </row>
    <row r="193" spans="2:14" x14ac:dyDescent="0.2">
      <c r="B193" s="38"/>
      <c r="C193" s="40" t="s">
        <v>257</v>
      </c>
      <c r="D193" s="40"/>
      <c r="E193" s="40"/>
      <c r="F193" s="40"/>
      <c r="G193" s="40"/>
      <c r="H193" s="40"/>
      <c r="I193" s="40"/>
      <c r="J193" s="266" t="s">
        <v>870</v>
      </c>
      <c r="K193" s="41"/>
      <c r="N193" s="12" t="s">
        <v>900</v>
      </c>
    </row>
    <row r="194" spans="2:14" x14ac:dyDescent="0.2">
      <c r="B194" s="38"/>
      <c r="C194" s="40" t="s">
        <v>261</v>
      </c>
      <c r="D194" s="40"/>
      <c r="E194" s="40"/>
      <c r="F194" s="40"/>
      <c r="G194" s="40"/>
      <c r="H194" s="40"/>
      <c r="I194" s="40"/>
      <c r="J194" s="248">
        <f>IF(J193=$B$973,$A$973,IF(J193=$B$974,$A$974,IF(J193=$B$975,$A$975,IF(J193=$B$976,$A$976,IF(J193=$B$977,$A$977,"Not Calculated")))))</f>
        <v>0</v>
      </c>
      <c r="K194" s="41"/>
      <c r="N194" s="12" t="s">
        <v>901</v>
      </c>
    </row>
    <row r="195" spans="2:14" x14ac:dyDescent="0.2">
      <c r="B195" s="38"/>
      <c r="C195" s="40" t="s">
        <v>893</v>
      </c>
      <c r="D195" s="40"/>
      <c r="E195" s="40"/>
      <c r="F195" s="40"/>
      <c r="G195" s="40"/>
      <c r="H195" s="40"/>
      <c r="I195" s="40"/>
      <c r="J195" s="40"/>
      <c r="K195" s="41"/>
      <c r="N195" s="12" t="s">
        <v>902</v>
      </c>
    </row>
    <row r="196" spans="2:14" ht="60" customHeight="1" x14ac:dyDescent="0.2">
      <c r="B196" s="38"/>
      <c r="C196" s="399" t="s">
        <v>457</v>
      </c>
      <c r="D196" s="400"/>
      <c r="E196" s="400"/>
      <c r="F196" s="400"/>
      <c r="G196" s="400"/>
      <c r="H196" s="400"/>
      <c r="I196" s="400"/>
      <c r="J196" s="401"/>
      <c r="K196" s="41"/>
    </row>
    <row r="197" spans="2:14" x14ac:dyDescent="0.2">
      <c r="B197" s="38"/>
      <c r="C197" s="40"/>
      <c r="D197" s="40"/>
      <c r="E197" s="40"/>
      <c r="F197" s="40"/>
      <c r="G197" s="40"/>
      <c r="H197" s="40"/>
      <c r="I197" s="40"/>
      <c r="J197" s="40"/>
      <c r="K197" s="41"/>
    </row>
    <row r="198" spans="2:14" x14ac:dyDescent="0.2">
      <c r="B198" s="38"/>
      <c r="C198" s="179" t="s">
        <v>275</v>
      </c>
      <c r="D198" s="40"/>
      <c r="E198" s="40"/>
      <c r="F198" s="40"/>
      <c r="G198" s="40"/>
      <c r="H198" s="40"/>
      <c r="I198" s="40"/>
      <c r="J198" s="245">
        <f>IF(J192="N/A",IF(OR(J185="Not Calculated",J194="Not Calculated")=TRUE,"Not Calculated",AVERAGE(J185,J194)),AVERAGE(J192,J194))</f>
        <v>0</v>
      </c>
      <c r="K198" s="41"/>
    </row>
    <row r="199" spans="2:14" x14ac:dyDescent="0.2">
      <c r="B199" s="38"/>
      <c r="C199" s="40"/>
      <c r="D199" s="40"/>
      <c r="E199" s="40"/>
      <c r="F199" s="40"/>
      <c r="G199" s="40"/>
      <c r="H199" s="40"/>
      <c r="I199" s="40"/>
      <c r="J199" s="40"/>
      <c r="K199" s="41"/>
    </row>
    <row r="200" spans="2:14" x14ac:dyDescent="0.2">
      <c r="B200" s="38"/>
      <c r="C200" s="40"/>
      <c r="D200" s="40"/>
      <c r="E200" s="40"/>
      <c r="F200" s="40"/>
      <c r="G200" s="40"/>
      <c r="H200" s="40"/>
      <c r="I200" s="40"/>
      <c r="J200" s="40"/>
      <c r="K200" s="41"/>
    </row>
    <row r="201" spans="2:14" ht="16" x14ac:dyDescent="0.2">
      <c r="B201" s="38"/>
      <c r="C201" s="45" t="s">
        <v>75</v>
      </c>
      <c r="D201" s="40"/>
      <c r="E201" s="40"/>
      <c r="F201" s="40"/>
      <c r="G201" s="40"/>
      <c r="H201" s="40"/>
      <c r="I201" s="40"/>
      <c r="J201" s="40"/>
      <c r="K201" s="41"/>
    </row>
    <row r="202" spans="2:14" x14ac:dyDescent="0.2">
      <c r="B202" s="38"/>
      <c r="C202" s="40" t="s">
        <v>444</v>
      </c>
      <c r="D202" s="40"/>
      <c r="E202" s="40"/>
      <c r="F202" s="40"/>
      <c r="G202" s="40"/>
      <c r="H202" s="40"/>
      <c r="I202" s="40"/>
      <c r="J202" s="252">
        <f>'Baseline Health'!G65</f>
        <v>0</v>
      </c>
      <c r="K202" s="41"/>
    </row>
    <row r="203" spans="2:14" x14ac:dyDescent="0.2">
      <c r="B203" s="38"/>
      <c r="C203" s="40" t="s">
        <v>282</v>
      </c>
      <c r="D203" s="40"/>
      <c r="E203" s="40"/>
      <c r="F203" s="40"/>
      <c r="G203" s="40"/>
      <c r="H203" s="40"/>
      <c r="I203" s="40"/>
      <c r="J203" s="264">
        <v>0</v>
      </c>
      <c r="K203" s="41"/>
    </row>
    <row r="204" spans="2:14" x14ac:dyDescent="0.2">
      <c r="B204" s="38"/>
      <c r="C204" s="40" t="s">
        <v>355</v>
      </c>
      <c r="D204" s="40"/>
      <c r="E204" s="40"/>
      <c r="F204" s="40"/>
      <c r="G204" s="40"/>
      <c r="H204" s="40"/>
      <c r="I204" s="40"/>
      <c r="J204" s="264">
        <v>0</v>
      </c>
      <c r="K204" s="41"/>
    </row>
    <row r="205" spans="2:14" x14ac:dyDescent="0.2">
      <c r="B205" s="38"/>
      <c r="C205" s="40" t="s">
        <v>260</v>
      </c>
      <c r="D205" s="40"/>
      <c r="E205" s="40"/>
      <c r="F205" s="40"/>
      <c r="G205" s="40"/>
      <c r="H205" s="40"/>
      <c r="I205" s="40"/>
      <c r="J205" s="248" t="str">
        <f>IF(OR(J202=0,J202="Not Calculated")=TRUE,"Not Calculated",IF(J202-J203=0,4,IF(((J202+J204)/(J202-J203))&lt;=1,0,IF(((J202+J204)/(J202-J203))&lt;=1.05,1,IF(((J202+J204)/(J202-J203))&lt;=1.5, 2,IF(((J202+J204)/(J202-J203))&lt;=2,3,4))))))</f>
        <v>Not Calculated</v>
      </c>
      <c r="K205" s="41"/>
    </row>
    <row r="206" spans="2:14" ht="9.75" customHeight="1" x14ac:dyDescent="0.2">
      <c r="B206" s="38"/>
      <c r="C206" s="279" t="str">
        <f>"0:"</f>
        <v>0:</v>
      </c>
      <c r="D206" s="278" t="s">
        <v>918</v>
      </c>
      <c r="E206" s="40"/>
      <c r="F206" s="40"/>
      <c r="G206" s="40"/>
      <c r="H206" s="40"/>
      <c r="I206" s="40"/>
      <c r="J206" s="40"/>
      <c r="K206" s="41"/>
    </row>
    <row r="207" spans="2:14" ht="9.75" customHeight="1" x14ac:dyDescent="0.2">
      <c r="B207" s="38"/>
      <c r="C207" s="280" t="str">
        <f>"1:"</f>
        <v>1:</v>
      </c>
      <c r="D207" s="278" t="s">
        <v>923</v>
      </c>
      <c r="E207" s="40"/>
      <c r="F207" s="40"/>
      <c r="G207" s="40"/>
      <c r="H207" s="40"/>
      <c r="I207" s="40"/>
      <c r="J207" s="40"/>
      <c r="K207" s="41"/>
    </row>
    <row r="208" spans="2:14" ht="9.75" customHeight="1" x14ac:dyDescent="0.2">
      <c r="B208" s="38"/>
      <c r="C208" s="280" t="str">
        <f>"2:"</f>
        <v>2:</v>
      </c>
      <c r="D208" s="278" t="s">
        <v>924</v>
      </c>
      <c r="E208" s="40"/>
      <c r="F208" s="40"/>
      <c r="G208" s="40"/>
      <c r="H208" s="40"/>
      <c r="I208" s="40"/>
      <c r="J208" s="40"/>
      <c r="K208" s="41"/>
    </row>
    <row r="209" spans="2:14" ht="9.75" customHeight="1" x14ac:dyDescent="0.2">
      <c r="B209" s="38"/>
      <c r="C209" s="280" t="str">
        <f>"3:"</f>
        <v>3:</v>
      </c>
      <c r="D209" s="278" t="s">
        <v>925</v>
      </c>
      <c r="E209" s="40"/>
      <c r="F209" s="40"/>
      <c r="G209" s="40"/>
      <c r="H209" s="40"/>
      <c r="I209" s="40"/>
      <c r="J209" s="40"/>
      <c r="K209" s="41"/>
    </row>
    <row r="210" spans="2:14" ht="9.75" customHeight="1" x14ac:dyDescent="0.2">
      <c r="B210" s="38"/>
      <c r="C210" s="280" t="str">
        <f>"4:"</f>
        <v>4:</v>
      </c>
      <c r="D210" s="278" t="s">
        <v>926</v>
      </c>
      <c r="E210" s="40"/>
      <c r="F210" s="40"/>
      <c r="G210" s="40"/>
      <c r="H210" s="40"/>
      <c r="I210" s="40"/>
      <c r="J210" s="40"/>
      <c r="K210" s="41"/>
      <c r="N210" s="12" t="s">
        <v>661</v>
      </c>
    </row>
    <row r="211" spans="2:14" x14ac:dyDescent="0.2">
      <c r="B211" s="38"/>
      <c r="C211" s="174" t="s">
        <v>662</v>
      </c>
      <c r="D211" s="40"/>
      <c r="E211" s="40"/>
      <c r="F211" s="40"/>
      <c r="G211" s="40"/>
      <c r="H211" s="40"/>
      <c r="I211" s="40"/>
      <c r="J211" s="265" t="s">
        <v>894</v>
      </c>
      <c r="K211" s="41"/>
      <c r="N211" s="12" t="s">
        <v>894</v>
      </c>
    </row>
    <row r="212" spans="2:14" x14ac:dyDescent="0.2">
      <c r="B212" s="38"/>
      <c r="C212" s="174" t="s">
        <v>660</v>
      </c>
      <c r="D212" s="40"/>
      <c r="E212" s="40"/>
      <c r="F212" s="40"/>
      <c r="G212" s="40"/>
      <c r="H212" s="40"/>
      <c r="I212" s="40"/>
      <c r="J212" s="246">
        <f>IF(J211=N210,"N/A",IF(J211=N211,0,IF(J211=N212,1,IF(J211=N213,2,IF(J211=N214,3,IF(J211=N215,4,"N/A"))))))</f>
        <v>0</v>
      </c>
      <c r="K212" s="41"/>
      <c r="N212" s="12" t="s">
        <v>899</v>
      </c>
    </row>
    <row r="213" spans="2:14" x14ac:dyDescent="0.2">
      <c r="B213" s="38"/>
      <c r="C213" s="40" t="s">
        <v>257</v>
      </c>
      <c r="D213" s="40"/>
      <c r="E213" s="40"/>
      <c r="F213" s="40"/>
      <c r="G213" s="40"/>
      <c r="H213" s="40"/>
      <c r="I213" s="40"/>
      <c r="J213" s="266" t="s">
        <v>870</v>
      </c>
      <c r="K213" s="41"/>
      <c r="N213" s="12" t="s">
        <v>900</v>
      </c>
    </row>
    <row r="214" spans="2:14" x14ac:dyDescent="0.2">
      <c r="B214" s="38"/>
      <c r="C214" s="40" t="s">
        <v>261</v>
      </c>
      <c r="D214" s="40"/>
      <c r="E214" s="40"/>
      <c r="F214" s="40"/>
      <c r="G214" s="40"/>
      <c r="H214" s="40"/>
      <c r="I214" s="40"/>
      <c r="J214" s="248">
        <f>IF(J213=$B$973,$A$973,IF(J213=$B$974,$A$974,IF(J213=$B$975,$A$975,IF(J213=$B$976,$A$976,IF(J213=$B$977,$A$977,"Not Calculated")))))</f>
        <v>0</v>
      </c>
      <c r="K214" s="41"/>
      <c r="N214" s="12" t="s">
        <v>901</v>
      </c>
    </row>
    <row r="215" spans="2:14" x14ac:dyDescent="0.2">
      <c r="B215" s="38"/>
      <c r="C215" s="40" t="s">
        <v>893</v>
      </c>
      <c r="D215" s="40"/>
      <c r="E215" s="40"/>
      <c r="F215" s="40"/>
      <c r="G215" s="40"/>
      <c r="H215" s="40"/>
      <c r="I215" s="40"/>
      <c r="J215" s="40"/>
      <c r="K215" s="41"/>
      <c r="N215" s="12" t="s">
        <v>902</v>
      </c>
    </row>
    <row r="216" spans="2:14" ht="30" customHeight="1" x14ac:dyDescent="0.2">
      <c r="B216" s="38"/>
      <c r="C216" s="399"/>
      <c r="D216" s="400"/>
      <c r="E216" s="400"/>
      <c r="F216" s="400"/>
      <c r="G216" s="400"/>
      <c r="H216" s="400"/>
      <c r="I216" s="400"/>
      <c r="J216" s="401"/>
      <c r="K216" s="41"/>
    </row>
    <row r="217" spans="2:14" x14ac:dyDescent="0.2">
      <c r="B217" s="38"/>
      <c r="C217" s="40"/>
      <c r="D217" s="40"/>
      <c r="E217" s="40"/>
      <c r="F217" s="40"/>
      <c r="G217" s="40"/>
      <c r="H217" s="40"/>
      <c r="I217" s="40"/>
      <c r="J217" s="40"/>
      <c r="K217" s="41"/>
    </row>
    <row r="218" spans="2:14" x14ac:dyDescent="0.2">
      <c r="B218" s="38"/>
      <c r="C218" s="179" t="s">
        <v>276</v>
      </c>
      <c r="D218" s="40"/>
      <c r="E218" s="40"/>
      <c r="F218" s="40"/>
      <c r="G218" s="40"/>
      <c r="H218" s="40"/>
      <c r="I218" s="40"/>
      <c r="J218" s="245">
        <f>IF(J212="N/A",IF(OR(J205="Not Calculated",J214="Not Calculated")=TRUE,"Not Calculated",AVERAGE(J205,J214)),AVERAGE(J212,J214))</f>
        <v>0</v>
      </c>
      <c r="K218" s="41"/>
    </row>
    <row r="219" spans="2:14" x14ac:dyDescent="0.2">
      <c r="B219" s="38"/>
      <c r="C219" s="40"/>
      <c r="D219" s="40"/>
      <c r="E219" s="40"/>
      <c r="F219" s="40"/>
      <c r="G219" s="40"/>
      <c r="H219" s="40"/>
      <c r="I219" s="40"/>
      <c r="J219" s="40"/>
      <c r="K219" s="41"/>
    </row>
    <row r="220" spans="2:14" x14ac:dyDescent="0.2">
      <c r="B220" s="38"/>
      <c r="C220" s="40"/>
      <c r="D220" s="40"/>
      <c r="E220" s="40"/>
      <c r="F220" s="40"/>
      <c r="G220" s="40"/>
      <c r="H220" s="40"/>
      <c r="I220" s="40"/>
      <c r="J220" s="40"/>
      <c r="K220" s="41"/>
    </row>
    <row r="221" spans="2:14" ht="16" x14ac:dyDescent="0.2">
      <c r="B221" s="38"/>
      <c r="C221" s="45" t="s">
        <v>76</v>
      </c>
      <c r="D221" s="40"/>
      <c r="E221" s="40"/>
      <c r="F221" s="40"/>
      <c r="G221" s="40"/>
      <c r="H221" s="40"/>
      <c r="I221" s="40"/>
      <c r="J221" s="40"/>
      <c r="K221" s="41"/>
    </row>
    <row r="222" spans="2:14" ht="15" customHeight="1" x14ac:dyDescent="0.2">
      <c r="B222" s="38"/>
      <c r="C222" s="40" t="s">
        <v>356</v>
      </c>
      <c r="D222" s="40"/>
      <c r="E222" s="40"/>
      <c r="F222" s="40"/>
      <c r="G222" s="40"/>
      <c r="H222" s="40"/>
      <c r="I222" s="40"/>
      <c r="J222" s="252">
        <f>'Baseline Health'!G71</f>
        <v>0</v>
      </c>
      <c r="K222" s="41"/>
    </row>
    <row r="223" spans="2:14" x14ac:dyDescent="0.2">
      <c r="B223" s="38"/>
      <c r="C223" s="40" t="s">
        <v>357</v>
      </c>
      <c r="D223" s="40"/>
      <c r="E223" s="40"/>
      <c r="F223" s="40"/>
      <c r="G223" s="40"/>
      <c r="H223" s="40"/>
      <c r="I223" s="40"/>
      <c r="J223" s="264">
        <v>0</v>
      </c>
      <c r="K223" s="41"/>
    </row>
    <row r="224" spans="2:14" x14ac:dyDescent="0.2">
      <c r="B224" s="38"/>
      <c r="C224" s="40" t="s">
        <v>445</v>
      </c>
      <c r="D224" s="40"/>
      <c r="E224" s="40"/>
      <c r="F224" s="40"/>
      <c r="G224" s="40"/>
      <c r="H224" s="40"/>
      <c r="I224" s="40"/>
      <c r="J224" s="255">
        <f>J102</f>
        <v>0</v>
      </c>
      <c r="K224" s="41"/>
    </row>
    <row r="225" spans="2:14" x14ac:dyDescent="0.2">
      <c r="B225" s="38"/>
      <c r="C225" s="40"/>
      <c r="D225" s="40" t="s">
        <v>446</v>
      </c>
      <c r="E225" s="40"/>
      <c r="F225" s="40"/>
      <c r="G225" s="40"/>
      <c r="H225" s="40"/>
      <c r="I225" s="40"/>
      <c r="J225" s="40"/>
      <c r="K225" s="41"/>
    </row>
    <row r="226" spans="2:14" x14ac:dyDescent="0.2">
      <c r="B226" s="38"/>
      <c r="C226" s="40" t="s">
        <v>260</v>
      </c>
      <c r="D226" s="40"/>
      <c r="E226" s="40"/>
      <c r="F226" s="40"/>
      <c r="G226" s="40"/>
      <c r="H226" s="40"/>
      <c r="I226" s="40"/>
      <c r="J226" s="245" t="str">
        <f>IF(OR(J222=0,J222="Not Calculated")=TRUE,"Not Calculated",IF(J222-J223=0,4,IF(((J222+J224)/(J222-J223))&lt;=1,0,IF(((J222+J224)/(J222-J223))&lt;=1.05,1,IF(((J222+J224)/(J222-J223))&lt;=1.5, 2,IF(((J222+J224)/(J222-J223))&lt;=2,3,4))))))</f>
        <v>Not Calculated</v>
      </c>
      <c r="K226" s="41"/>
    </row>
    <row r="227" spans="2:14" ht="9.75" customHeight="1" x14ac:dyDescent="0.2">
      <c r="B227" s="38"/>
      <c r="C227" s="279" t="str">
        <f>"0:"</f>
        <v>0:</v>
      </c>
      <c r="D227" s="278" t="s">
        <v>918</v>
      </c>
      <c r="E227" s="40"/>
      <c r="F227" s="40"/>
      <c r="G227" s="40"/>
      <c r="H227" s="40"/>
      <c r="I227" s="40"/>
      <c r="J227" s="40"/>
      <c r="K227" s="41"/>
    </row>
    <row r="228" spans="2:14" ht="9.75" customHeight="1" x14ac:dyDescent="0.2">
      <c r="B228" s="38"/>
      <c r="C228" s="280" t="str">
        <f>"1:"</f>
        <v>1:</v>
      </c>
      <c r="D228" s="278" t="s">
        <v>923</v>
      </c>
      <c r="E228" s="40"/>
      <c r="F228" s="40"/>
      <c r="G228" s="40"/>
      <c r="H228" s="40"/>
      <c r="I228" s="40"/>
      <c r="J228" s="40"/>
      <c r="K228" s="41"/>
    </row>
    <row r="229" spans="2:14" ht="9.75" customHeight="1" x14ac:dyDescent="0.2">
      <c r="B229" s="38"/>
      <c r="C229" s="280" t="str">
        <f>"2:"</f>
        <v>2:</v>
      </c>
      <c r="D229" s="278" t="s">
        <v>924</v>
      </c>
      <c r="E229" s="40"/>
      <c r="F229" s="40"/>
      <c r="G229" s="40"/>
      <c r="H229" s="40"/>
      <c r="I229" s="40"/>
      <c r="J229" s="40"/>
      <c r="K229" s="41"/>
    </row>
    <row r="230" spans="2:14" ht="9.75" customHeight="1" x14ac:dyDescent="0.2">
      <c r="B230" s="38"/>
      <c r="C230" s="280" t="str">
        <f>"3:"</f>
        <v>3:</v>
      </c>
      <c r="D230" s="278" t="s">
        <v>925</v>
      </c>
      <c r="E230" s="40"/>
      <c r="F230" s="40"/>
      <c r="G230" s="40"/>
      <c r="H230" s="40"/>
      <c r="I230" s="40"/>
      <c r="J230" s="40"/>
      <c r="K230" s="41"/>
    </row>
    <row r="231" spans="2:14" ht="9.75" customHeight="1" x14ac:dyDescent="0.2">
      <c r="B231" s="38"/>
      <c r="C231" s="280" t="str">
        <f>"4:"</f>
        <v>4:</v>
      </c>
      <c r="D231" s="278" t="s">
        <v>926</v>
      </c>
      <c r="E231" s="40"/>
      <c r="F231" s="40"/>
      <c r="G231" s="40"/>
      <c r="H231" s="40"/>
      <c r="I231" s="40"/>
      <c r="J231" s="40"/>
      <c r="K231" s="41"/>
      <c r="N231" s="12" t="s">
        <v>661</v>
      </c>
    </row>
    <row r="232" spans="2:14" x14ac:dyDescent="0.2">
      <c r="B232" s="38"/>
      <c r="C232" s="174" t="s">
        <v>662</v>
      </c>
      <c r="D232" s="40"/>
      <c r="E232" s="40"/>
      <c r="F232" s="40"/>
      <c r="G232" s="40"/>
      <c r="H232" s="40"/>
      <c r="I232" s="40"/>
      <c r="J232" s="265" t="s">
        <v>894</v>
      </c>
      <c r="K232" s="41"/>
      <c r="N232" s="12" t="s">
        <v>894</v>
      </c>
    </row>
    <row r="233" spans="2:14" x14ac:dyDescent="0.2">
      <c r="B233" s="38"/>
      <c r="C233" s="174" t="s">
        <v>660</v>
      </c>
      <c r="D233" s="40"/>
      <c r="E233" s="40"/>
      <c r="F233" s="40"/>
      <c r="G233" s="40"/>
      <c r="H233" s="40"/>
      <c r="I233" s="40"/>
      <c r="J233" s="246">
        <f>IF(J232=N231,"N/A",IF(J232=N232,0,IF(J232=N233,1,IF(J232=N234,2,IF(J232=N235,3,IF(J232=N236,4,"N/A"))))))</f>
        <v>0</v>
      </c>
      <c r="K233" s="41"/>
      <c r="N233" s="12" t="s">
        <v>899</v>
      </c>
    </row>
    <row r="234" spans="2:14" x14ac:dyDescent="0.2">
      <c r="B234" s="38"/>
      <c r="C234" s="40" t="s">
        <v>257</v>
      </c>
      <c r="D234" s="40"/>
      <c r="E234" s="40"/>
      <c r="F234" s="40"/>
      <c r="G234" s="40"/>
      <c r="H234" s="40"/>
      <c r="I234" s="40"/>
      <c r="J234" s="266" t="s">
        <v>870</v>
      </c>
      <c r="K234" s="41"/>
      <c r="N234" s="12" t="s">
        <v>900</v>
      </c>
    </row>
    <row r="235" spans="2:14" x14ac:dyDescent="0.2">
      <c r="B235" s="38"/>
      <c r="C235" s="40" t="s">
        <v>261</v>
      </c>
      <c r="D235" s="40"/>
      <c r="E235" s="40"/>
      <c r="F235" s="40"/>
      <c r="G235" s="40"/>
      <c r="H235" s="40"/>
      <c r="I235" s="40"/>
      <c r="J235" s="248">
        <f>IF(J234=$B$973,$A$973,IF(J234=$B$974,$A$974,IF(J234=$B$975,$A$975,IF(J234=$B$976,$A$976,IF(J234=$B$977,$A$977,"Not Calculated")))))</f>
        <v>0</v>
      </c>
      <c r="K235" s="41"/>
      <c r="N235" s="12" t="s">
        <v>901</v>
      </c>
    </row>
    <row r="236" spans="2:14" x14ac:dyDescent="0.2">
      <c r="B236" s="38"/>
      <c r="C236" s="40" t="s">
        <v>893</v>
      </c>
      <c r="D236" s="40"/>
      <c r="E236" s="40"/>
      <c r="F236" s="40"/>
      <c r="G236" s="40"/>
      <c r="H236" s="40"/>
      <c r="I236" s="40"/>
      <c r="J236" s="40"/>
      <c r="K236" s="41"/>
      <c r="N236" s="12" t="s">
        <v>902</v>
      </c>
    </row>
    <row r="237" spans="2:14" ht="15" customHeight="1" x14ac:dyDescent="0.2">
      <c r="B237" s="38"/>
      <c r="C237" s="399"/>
      <c r="D237" s="400"/>
      <c r="E237" s="400"/>
      <c r="F237" s="400"/>
      <c r="G237" s="400"/>
      <c r="H237" s="400"/>
      <c r="I237" s="400"/>
      <c r="J237" s="401"/>
      <c r="K237" s="41"/>
    </row>
    <row r="238" spans="2:14" x14ac:dyDescent="0.2">
      <c r="B238" s="38"/>
      <c r="C238" s="40"/>
      <c r="D238" s="40"/>
      <c r="E238" s="40"/>
      <c r="F238" s="40"/>
      <c r="G238" s="40"/>
      <c r="H238" s="40"/>
      <c r="I238" s="40"/>
      <c r="J238" s="40"/>
      <c r="K238" s="41"/>
    </row>
    <row r="239" spans="2:14" x14ac:dyDescent="0.2">
      <c r="B239" s="38"/>
      <c r="C239" s="179" t="s">
        <v>277</v>
      </c>
      <c r="D239" s="40"/>
      <c r="E239" s="40"/>
      <c r="F239" s="40"/>
      <c r="G239" s="40"/>
      <c r="H239" s="40"/>
      <c r="I239" s="40"/>
      <c r="J239" s="245">
        <f>IF(J233="N/A",IF(OR(J226="Not Calculated",J235="Not Calculated")=TRUE,"Not Calculated",AVERAGE(J226,J235)),AVERAGE(J233,J235))</f>
        <v>0</v>
      </c>
      <c r="K239" s="41"/>
    </row>
    <row r="240" spans="2:14" x14ac:dyDescent="0.2">
      <c r="B240" s="38"/>
      <c r="C240" s="40"/>
      <c r="D240" s="40"/>
      <c r="E240" s="40"/>
      <c r="F240" s="40"/>
      <c r="G240" s="40"/>
      <c r="H240" s="40"/>
      <c r="I240" s="40"/>
      <c r="J240" s="40"/>
      <c r="K240" s="41"/>
    </row>
    <row r="241" spans="2:14" x14ac:dyDescent="0.2">
      <c r="B241" s="38"/>
      <c r="C241" s="40"/>
      <c r="D241" s="40"/>
      <c r="E241" s="40"/>
      <c r="F241" s="40"/>
      <c r="G241" s="40"/>
      <c r="H241" s="40"/>
      <c r="I241" s="40"/>
      <c r="J241" s="40"/>
      <c r="K241" s="41"/>
    </row>
    <row r="242" spans="2:14" ht="16" x14ac:dyDescent="0.2">
      <c r="B242" s="38"/>
      <c r="C242" s="45" t="s">
        <v>278</v>
      </c>
      <c r="D242" s="40"/>
      <c r="E242" s="40"/>
      <c r="F242" s="40"/>
      <c r="G242" s="40"/>
      <c r="H242" s="40"/>
      <c r="I242" s="40"/>
      <c r="J242" s="40"/>
      <c r="K242" s="41"/>
    </row>
    <row r="243" spans="2:14" ht="15" customHeight="1" x14ac:dyDescent="0.2">
      <c r="B243" s="38"/>
      <c r="C243" s="40" t="s">
        <v>447</v>
      </c>
      <c r="D243" s="40"/>
      <c r="E243" s="40"/>
      <c r="F243" s="40"/>
      <c r="G243" s="40"/>
      <c r="H243" s="40"/>
      <c r="I243" s="40"/>
      <c r="J243" s="254">
        <f>'Baseline Health'!G77</f>
        <v>0</v>
      </c>
      <c r="K243" s="41"/>
    </row>
    <row r="244" spans="2:14" x14ac:dyDescent="0.2">
      <c r="B244" s="38"/>
      <c r="C244" s="40" t="s">
        <v>358</v>
      </c>
      <c r="D244" s="40"/>
      <c r="E244" s="40"/>
      <c r="F244" s="40"/>
      <c r="G244" s="40"/>
      <c r="H244" s="40"/>
      <c r="I244" s="40"/>
      <c r="J244" s="264">
        <v>0</v>
      </c>
      <c r="K244" s="41"/>
    </row>
    <row r="245" spans="2:14" x14ac:dyDescent="0.2">
      <c r="B245" s="38"/>
      <c r="C245" s="40" t="s">
        <v>360</v>
      </c>
      <c r="D245" s="291"/>
      <c r="E245" s="291"/>
      <c r="F245" s="291"/>
      <c r="G245" s="291"/>
      <c r="H245" s="291"/>
      <c r="I245" s="291"/>
      <c r="J245" s="264">
        <v>0</v>
      </c>
      <c r="K245" s="41"/>
    </row>
    <row r="246" spans="2:14" x14ac:dyDescent="0.2">
      <c r="B246" s="38"/>
      <c r="C246" s="40" t="s">
        <v>260</v>
      </c>
      <c r="D246" s="40"/>
      <c r="E246" s="40"/>
      <c r="F246" s="40"/>
      <c r="G246" s="40"/>
      <c r="H246" s="40"/>
      <c r="I246" s="40"/>
      <c r="J246" s="248" t="str">
        <f>IF(OR(J243=0,J243="Not Calculated")=TRUE,"Not Calculated",IF(J243-J244=0,4,(IF(((J243+J245)/(J243-J244))&lt;=1,0,IF(((J243+J245)/(J243-J244))&lt;=1.05,1,IF(((J243+J245)/(J243-J244))&lt;=1.5,2,IF(((J243+J245)/(J243-J244))&lt;=2,3,4)))))))</f>
        <v>Not Calculated</v>
      </c>
      <c r="K246" s="41"/>
    </row>
    <row r="247" spans="2:14" ht="9.75" customHeight="1" x14ac:dyDescent="0.2">
      <c r="B247" s="38"/>
      <c r="C247" s="279" t="str">
        <f>"0:"</f>
        <v>0:</v>
      </c>
      <c r="D247" s="278" t="s">
        <v>918</v>
      </c>
      <c r="E247" s="40"/>
      <c r="F247" s="40"/>
      <c r="G247" s="40"/>
      <c r="H247" s="40"/>
      <c r="I247" s="40"/>
      <c r="J247" s="40"/>
      <c r="K247" s="41"/>
    </row>
    <row r="248" spans="2:14" ht="9.75" customHeight="1" x14ac:dyDescent="0.2">
      <c r="B248" s="38"/>
      <c r="C248" s="280" t="str">
        <f>"1:"</f>
        <v>1:</v>
      </c>
      <c r="D248" s="278" t="s">
        <v>923</v>
      </c>
      <c r="E248" s="40"/>
      <c r="F248" s="40"/>
      <c r="G248" s="40"/>
      <c r="H248" s="40"/>
      <c r="I248" s="40"/>
      <c r="J248" s="40"/>
      <c r="K248" s="41"/>
    </row>
    <row r="249" spans="2:14" ht="9.75" customHeight="1" x14ac:dyDescent="0.2">
      <c r="B249" s="38"/>
      <c r="C249" s="280" t="str">
        <f>"2:"</f>
        <v>2:</v>
      </c>
      <c r="D249" s="278" t="s">
        <v>924</v>
      </c>
      <c r="E249" s="40"/>
      <c r="F249" s="40"/>
      <c r="G249" s="40"/>
      <c r="H249" s="40"/>
      <c r="I249" s="40"/>
      <c r="J249" s="40"/>
      <c r="K249" s="41"/>
    </row>
    <row r="250" spans="2:14" ht="9.75" customHeight="1" x14ac:dyDescent="0.2">
      <c r="B250" s="38"/>
      <c r="C250" s="280" t="str">
        <f>"3:"</f>
        <v>3:</v>
      </c>
      <c r="D250" s="278" t="s">
        <v>925</v>
      </c>
      <c r="E250" s="40"/>
      <c r="F250" s="40"/>
      <c r="G250" s="40"/>
      <c r="H250" s="40"/>
      <c r="I250" s="40"/>
      <c r="J250" s="40"/>
      <c r="K250" s="41"/>
    </row>
    <row r="251" spans="2:14" ht="9.75" customHeight="1" x14ac:dyDescent="0.2">
      <c r="B251" s="38"/>
      <c r="C251" s="280" t="str">
        <f>"4:"</f>
        <v>4:</v>
      </c>
      <c r="D251" s="278" t="s">
        <v>926</v>
      </c>
      <c r="E251" s="40"/>
      <c r="F251" s="40"/>
      <c r="G251" s="40"/>
      <c r="H251" s="40"/>
      <c r="I251" s="40"/>
      <c r="J251" s="40"/>
      <c r="K251" s="41"/>
      <c r="N251" s="12" t="s">
        <v>661</v>
      </c>
    </row>
    <row r="252" spans="2:14" x14ac:dyDescent="0.2">
      <c r="B252" s="38"/>
      <c r="C252" s="174" t="s">
        <v>662</v>
      </c>
      <c r="D252" s="40"/>
      <c r="E252" s="40"/>
      <c r="F252" s="40"/>
      <c r="G252" s="40"/>
      <c r="H252" s="40"/>
      <c r="I252" s="40"/>
      <c r="J252" s="265" t="s">
        <v>894</v>
      </c>
      <c r="K252" s="41"/>
      <c r="N252" s="12" t="s">
        <v>894</v>
      </c>
    </row>
    <row r="253" spans="2:14" x14ac:dyDescent="0.2">
      <c r="B253" s="38"/>
      <c r="C253" s="174" t="s">
        <v>660</v>
      </c>
      <c r="D253" s="40"/>
      <c r="E253" s="40"/>
      <c r="F253" s="40"/>
      <c r="G253" s="40"/>
      <c r="H253" s="40"/>
      <c r="I253" s="40"/>
      <c r="J253" s="246">
        <f>IF(J252=N251,"N/A",IF(J252=N252,0,IF(J252=N253,1,IF(J252=N254,2,IF(J252=N255,3,IF(J252=N256,4,"N/A"))))))</f>
        <v>0</v>
      </c>
      <c r="K253" s="41"/>
      <c r="N253" s="12" t="s">
        <v>899</v>
      </c>
    </row>
    <row r="254" spans="2:14" x14ac:dyDescent="0.2">
      <c r="B254" s="38"/>
      <c r="C254" s="40" t="s">
        <v>257</v>
      </c>
      <c r="D254" s="40"/>
      <c r="E254" s="40"/>
      <c r="F254" s="40"/>
      <c r="G254" s="40"/>
      <c r="H254" s="40"/>
      <c r="I254" s="40"/>
      <c r="J254" s="266" t="s">
        <v>870</v>
      </c>
      <c r="K254" s="41"/>
      <c r="N254" s="12" t="s">
        <v>900</v>
      </c>
    </row>
    <row r="255" spans="2:14" x14ac:dyDescent="0.2">
      <c r="B255" s="38"/>
      <c r="C255" s="40" t="s">
        <v>261</v>
      </c>
      <c r="D255" s="40"/>
      <c r="E255" s="40"/>
      <c r="F255" s="40"/>
      <c r="G255" s="40"/>
      <c r="H255" s="40"/>
      <c r="I255" s="40"/>
      <c r="J255" s="248">
        <f>IF(J254=$B$973,$A$973,IF(J254=$B$974,$A$974,IF(J254=$B$975,$A$975,IF(J254=$B$976,$A$976,IF(J254=$B$977,$A$977,"Not Calculated")))))</f>
        <v>0</v>
      </c>
      <c r="K255" s="41"/>
      <c r="N255" s="12" t="s">
        <v>901</v>
      </c>
    </row>
    <row r="256" spans="2:14" x14ac:dyDescent="0.2">
      <c r="B256" s="38"/>
      <c r="C256" s="40" t="s">
        <v>893</v>
      </c>
      <c r="D256" s="40"/>
      <c r="E256" s="40"/>
      <c r="F256" s="40"/>
      <c r="G256" s="40"/>
      <c r="H256" s="40"/>
      <c r="I256" s="40"/>
      <c r="J256" s="40"/>
      <c r="K256" s="41"/>
      <c r="N256" s="12" t="s">
        <v>902</v>
      </c>
    </row>
    <row r="257" spans="2:11" ht="30" customHeight="1" x14ac:dyDescent="0.2">
      <c r="B257" s="38"/>
      <c r="C257" s="399"/>
      <c r="D257" s="400"/>
      <c r="E257" s="400"/>
      <c r="F257" s="400"/>
      <c r="G257" s="400"/>
      <c r="H257" s="400"/>
      <c r="I257" s="400"/>
      <c r="J257" s="401"/>
      <c r="K257" s="41"/>
    </row>
    <row r="258" spans="2:11" x14ac:dyDescent="0.2">
      <c r="B258" s="38"/>
      <c r="C258" s="40"/>
      <c r="D258" s="40"/>
      <c r="E258" s="40"/>
      <c r="F258" s="40"/>
      <c r="G258" s="40"/>
      <c r="H258" s="40"/>
      <c r="I258" s="40"/>
      <c r="J258" s="40"/>
      <c r="K258" s="41"/>
    </row>
    <row r="259" spans="2:11" x14ac:dyDescent="0.2">
      <c r="B259" s="38"/>
      <c r="C259" s="179" t="s">
        <v>279</v>
      </c>
      <c r="D259" s="40"/>
      <c r="E259" s="40"/>
      <c r="F259" s="40"/>
      <c r="G259" s="40"/>
      <c r="H259" s="40"/>
      <c r="I259" s="40"/>
      <c r="J259" s="245">
        <f>IF(J253="N/A",IF(OR(J246="Not Calculated",J255="Not Calculated")=TRUE,"Not Calculated",AVERAGE(J246,J255)),AVERAGE(J253,J255))</f>
        <v>0</v>
      </c>
      <c r="K259" s="41"/>
    </row>
    <row r="260" spans="2:11" x14ac:dyDescent="0.2">
      <c r="B260" s="38"/>
      <c r="C260" s="40"/>
      <c r="D260" s="40"/>
      <c r="E260" s="40"/>
      <c r="F260" s="40"/>
      <c r="G260" s="40"/>
      <c r="H260" s="40"/>
      <c r="I260" s="40"/>
      <c r="J260" s="40"/>
      <c r="K260" s="41"/>
    </row>
    <row r="261" spans="2:11" ht="18" x14ac:dyDescent="0.2">
      <c r="B261" s="38"/>
      <c r="C261" s="180" t="s">
        <v>272</v>
      </c>
      <c r="D261" s="40"/>
      <c r="E261" s="40"/>
      <c r="F261" s="40"/>
      <c r="G261" s="40"/>
      <c r="H261" s="40"/>
      <c r="I261" s="40"/>
      <c r="J261" s="244">
        <f>IF(OR(J157="Not Calculated",J178="Not Calculated",J198="Not Calculated",J218="Not Calculated",J239="Not Calculated",J259="Not Calculated",)=TRUE,"Not Calculated",AVERAGE(J157,J178,J198,J218,J239,J259))</f>
        <v>0</v>
      </c>
      <c r="K261" s="41"/>
    </row>
    <row r="262" spans="2:11" ht="16" thickBot="1" x14ac:dyDescent="0.25">
      <c r="B262" s="46"/>
      <c r="C262" s="47"/>
      <c r="D262" s="47"/>
      <c r="E262" s="47"/>
      <c r="F262" s="47"/>
      <c r="G262" s="47"/>
      <c r="H262" s="47"/>
      <c r="I262" s="47"/>
      <c r="J262" s="47"/>
      <c r="K262" s="49"/>
    </row>
    <row r="263" spans="2:11" ht="16" thickBot="1" x14ac:dyDescent="0.25"/>
    <row r="264" spans="2:11" x14ac:dyDescent="0.2">
      <c r="B264" s="33"/>
      <c r="C264" s="34"/>
      <c r="D264" s="34"/>
      <c r="E264" s="34"/>
      <c r="F264" s="34"/>
      <c r="G264" s="34"/>
      <c r="H264" s="34"/>
      <c r="I264" s="34"/>
      <c r="J264" s="34"/>
      <c r="K264" s="37"/>
    </row>
    <row r="265" spans="2:11" ht="21" x14ac:dyDescent="0.25">
      <c r="B265" s="38"/>
      <c r="C265" s="40"/>
      <c r="D265" s="40"/>
      <c r="E265" s="40"/>
      <c r="F265" s="40"/>
      <c r="G265" s="172" t="s">
        <v>864</v>
      </c>
      <c r="H265" s="40"/>
      <c r="I265" s="40"/>
      <c r="J265" s="40"/>
      <c r="K265" s="41"/>
    </row>
    <row r="266" spans="2:11" ht="15" customHeight="1" x14ac:dyDescent="0.2">
      <c r="B266" s="38"/>
      <c r="C266" s="40"/>
      <c r="D266" s="40"/>
      <c r="E266" s="40"/>
      <c r="F266" s="40"/>
      <c r="G266" s="40"/>
      <c r="H266" s="40"/>
      <c r="I266" s="40"/>
      <c r="J266" s="40"/>
      <c r="K266" s="41"/>
    </row>
    <row r="267" spans="2:11" ht="16" x14ac:dyDescent="0.2">
      <c r="B267" s="38"/>
      <c r="C267" s="45" t="s">
        <v>80</v>
      </c>
      <c r="D267" s="40"/>
      <c r="E267" s="40"/>
      <c r="F267" s="40"/>
      <c r="G267" s="40"/>
      <c r="H267" s="40"/>
      <c r="I267" s="40"/>
      <c r="J267" s="40"/>
      <c r="K267" s="41"/>
    </row>
    <row r="268" spans="2:11" x14ac:dyDescent="0.2">
      <c r="B268" s="38"/>
      <c r="C268" s="40" t="s">
        <v>283</v>
      </c>
      <c r="D268" s="40"/>
      <c r="E268" s="40"/>
      <c r="F268" s="40"/>
      <c r="G268" s="40"/>
      <c r="H268" s="40"/>
      <c r="I268" s="40"/>
      <c r="J268" s="254">
        <f>'Baseline Health'!G88</f>
        <v>0</v>
      </c>
      <c r="K268" s="41"/>
    </row>
    <row r="269" spans="2:11" x14ac:dyDescent="0.2">
      <c r="B269" s="38"/>
      <c r="C269" s="40" t="s">
        <v>284</v>
      </c>
      <c r="D269" s="40"/>
      <c r="E269" s="40"/>
      <c r="F269" s="40"/>
      <c r="G269" s="40"/>
      <c r="H269" s="40"/>
      <c r="I269" s="40"/>
      <c r="J269" s="264">
        <v>0</v>
      </c>
      <c r="K269" s="41"/>
    </row>
    <row r="270" spans="2:11" x14ac:dyDescent="0.2">
      <c r="B270" s="38"/>
      <c r="C270" s="40" t="s">
        <v>285</v>
      </c>
      <c r="D270" s="40"/>
      <c r="E270" s="40"/>
      <c r="F270" s="40"/>
      <c r="G270" s="40"/>
      <c r="H270" s="40"/>
      <c r="I270" s="40"/>
      <c r="J270" s="259">
        <f>'Baseline Health'!G93</f>
        <v>0</v>
      </c>
      <c r="K270" s="41"/>
    </row>
    <row r="271" spans="2:11" x14ac:dyDescent="0.2">
      <c r="B271" s="38"/>
      <c r="C271" s="40" t="s">
        <v>286</v>
      </c>
      <c r="D271" s="40"/>
      <c r="E271" s="40"/>
      <c r="F271" s="40"/>
      <c r="G271" s="40"/>
      <c r="H271" s="40"/>
      <c r="I271" s="40"/>
      <c r="J271" s="250">
        <f>J184</f>
        <v>0</v>
      </c>
      <c r="K271" s="41"/>
    </row>
    <row r="272" spans="2:11" x14ac:dyDescent="0.2">
      <c r="B272" s="38"/>
      <c r="C272" s="40"/>
      <c r="D272" s="40" t="s">
        <v>432</v>
      </c>
      <c r="E272" s="40"/>
      <c r="F272" s="40"/>
      <c r="G272" s="40"/>
      <c r="H272" s="40"/>
      <c r="I272" s="40"/>
      <c r="J272" s="40"/>
      <c r="K272" s="41"/>
    </row>
    <row r="273" spans="2:14" x14ac:dyDescent="0.2">
      <c r="B273" s="38"/>
      <c r="C273" s="40" t="s">
        <v>292</v>
      </c>
      <c r="D273" s="40"/>
      <c r="E273" s="40"/>
      <c r="F273" s="40"/>
      <c r="G273" s="40"/>
      <c r="H273" s="40"/>
      <c r="I273" s="40"/>
      <c r="J273" s="258" t="str">
        <f>'Baseline Health'!G97</f>
        <v>N/A</v>
      </c>
      <c r="K273" s="41"/>
    </row>
    <row r="274" spans="2:14" x14ac:dyDescent="0.2">
      <c r="B274" s="38"/>
      <c r="C274" s="40" t="s">
        <v>293</v>
      </c>
      <c r="D274" s="40"/>
      <c r="E274" s="40"/>
      <c r="F274" s="40"/>
      <c r="G274" s="40"/>
      <c r="H274" s="40"/>
      <c r="I274" s="40"/>
      <c r="J274" s="258" t="str">
        <f>IF(J273="N/A","N/A",IF(J268-J269=0,"No Nurses",((J270+J271)/(J268-J269))))</f>
        <v>N/A</v>
      </c>
      <c r="K274" s="41"/>
    </row>
    <row r="275" spans="2:14" x14ac:dyDescent="0.2">
      <c r="B275" s="38"/>
      <c r="C275" s="40" t="s">
        <v>260</v>
      </c>
      <c r="D275" s="40"/>
      <c r="E275" s="40"/>
      <c r="F275" s="40"/>
      <c r="G275" s="40"/>
      <c r="H275" s="40"/>
      <c r="I275" s="40"/>
      <c r="J275" s="245">
        <f>IF(J273=0,"Not Calculated",IF(J274="N/A",0,IF(J274="No Nurses",4,IF((J274/J273)&lt;=1,0,IF((J274/J273)&lt;=1.1,1,IF((J274/J273)&lt;=1=1.25,2,IF((J274/J273)&lt;=1.5,3,4)))))))</f>
        <v>0</v>
      </c>
      <c r="K275" s="41"/>
    </row>
    <row r="276" spans="2:14" ht="9.75" customHeight="1" x14ac:dyDescent="0.2">
      <c r="B276" s="38"/>
      <c r="C276" s="279" t="str">
        <f>"0:"</f>
        <v>0:</v>
      </c>
      <c r="D276" s="278" t="s">
        <v>927</v>
      </c>
      <c r="E276" s="40"/>
      <c r="F276" s="40"/>
      <c r="G276" s="40"/>
      <c r="H276" s="40"/>
      <c r="I276" s="40"/>
      <c r="J276" s="258"/>
      <c r="K276" s="41"/>
    </row>
    <row r="277" spans="2:14" ht="9.75" customHeight="1" x14ac:dyDescent="0.2">
      <c r="B277" s="38"/>
      <c r="C277" s="280" t="str">
        <f>"1:"</f>
        <v>1:</v>
      </c>
      <c r="D277" s="278" t="s">
        <v>928</v>
      </c>
      <c r="E277" s="40"/>
      <c r="F277" s="40"/>
      <c r="G277" s="40"/>
      <c r="H277" s="40"/>
      <c r="I277" s="40"/>
      <c r="J277" s="258"/>
      <c r="K277" s="41"/>
    </row>
    <row r="278" spans="2:14" ht="9.75" customHeight="1" x14ac:dyDescent="0.2">
      <c r="B278" s="38"/>
      <c r="C278" s="280" t="str">
        <f>"2:"</f>
        <v>2:</v>
      </c>
      <c r="D278" s="278" t="s">
        <v>929</v>
      </c>
      <c r="E278" s="40"/>
      <c r="F278" s="40"/>
      <c r="G278" s="40"/>
      <c r="H278" s="40"/>
      <c r="I278" s="40"/>
      <c r="J278" s="258"/>
      <c r="K278" s="41"/>
    </row>
    <row r="279" spans="2:14" ht="9.75" customHeight="1" x14ac:dyDescent="0.2">
      <c r="B279" s="38"/>
      <c r="C279" s="280" t="str">
        <f>"3:"</f>
        <v>3:</v>
      </c>
      <c r="D279" s="278" t="s">
        <v>930</v>
      </c>
      <c r="E279" s="40"/>
      <c r="F279" s="40"/>
      <c r="G279" s="40"/>
      <c r="H279" s="40"/>
      <c r="I279" s="40"/>
      <c r="J279" s="258"/>
      <c r="K279" s="41"/>
    </row>
    <row r="280" spans="2:14" ht="9.75" customHeight="1" x14ac:dyDescent="0.2">
      <c r="B280" s="38"/>
      <c r="C280" s="280" t="str">
        <f>"4:"</f>
        <v>4:</v>
      </c>
      <c r="D280" s="278" t="s">
        <v>931</v>
      </c>
      <c r="E280" s="40"/>
      <c r="F280" s="40"/>
      <c r="G280" s="40"/>
      <c r="H280" s="40"/>
      <c r="I280" s="40"/>
      <c r="J280" s="40"/>
      <c r="K280" s="41"/>
      <c r="N280" s="12" t="s">
        <v>661</v>
      </c>
    </row>
    <row r="281" spans="2:14" x14ac:dyDescent="0.2">
      <c r="B281" s="38"/>
      <c r="C281" s="174" t="s">
        <v>662</v>
      </c>
      <c r="D281" s="40"/>
      <c r="E281" s="40"/>
      <c r="F281" s="40"/>
      <c r="G281" s="40"/>
      <c r="H281" s="40"/>
      <c r="I281" s="40"/>
      <c r="J281" s="265" t="s">
        <v>903</v>
      </c>
      <c r="K281" s="41"/>
      <c r="N281" s="12" t="s">
        <v>903</v>
      </c>
    </row>
    <row r="282" spans="2:14" x14ac:dyDescent="0.2">
      <c r="B282" s="38"/>
      <c r="C282" s="174" t="s">
        <v>660</v>
      </c>
      <c r="D282" s="40"/>
      <c r="E282" s="40"/>
      <c r="F282" s="40"/>
      <c r="G282" s="40"/>
      <c r="H282" s="40"/>
      <c r="I282" s="40"/>
      <c r="J282" s="246">
        <f>IF(J281=N280,"N/A",IF(J281=N281,0,IF(J281=N282,1,IF(J281=N283,2,IF(J281=N284,3,IF(J281=N285,4,"N/A"))))))</f>
        <v>0</v>
      </c>
      <c r="K282" s="41"/>
      <c r="N282" s="12" t="s">
        <v>904</v>
      </c>
    </row>
    <row r="283" spans="2:14" x14ac:dyDescent="0.2">
      <c r="B283" s="38"/>
      <c r="C283" s="40" t="s">
        <v>257</v>
      </c>
      <c r="D283" s="40"/>
      <c r="E283" s="40"/>
      <c r="F283" s="40"/>
      <c r="G283" s="40"/>
      <c r="H283" s="40"/>
      <c r="I283" s="40"/>
      <c r="J283" s="266" t="s">
        <v>870</v>
      </c>
      <c r="K283" s="41"/>
      <c r="N283" s="12" t="s">
        <v>905</v>
      </c>
    </row>
    <row r="284" spans="2:14" x14ac:dyDescent="0.2">
      <c r="B284" s="38"/>
      <c r="C284" s="40" t="s">
        <v>261</v>
      </c>
      <c r="D284" s="40"/>
      <c r="E284" s="40"/>
      <c r="F284" s="40"/>
      <c r="G284" s="40"/>
      <c r="H284" s="40"/>
      <c r="I284" s="40"/>
      <c r="J284" s="248">
        <f>IF(J283=$B$973,$A$973,IF(J283=$B$974,$A$974,IF(J283=$B$975,$A$975,IF(J283=$B$976,$A$976,IF(J283=$B$977,$A$977,"Not Calculated")))))</f>
        <v>0</v>
      </c>
      <c r="K284" s="41"/>
      <c r="N284" s="12" t="s">
        <v>906</v>
      </c>
    </row>
    <row r="285" spans="2:14" x14ac:dyDescent="0.2">
      <c r="B285" s="38"/>
      <c r="C285" s="40" t="s">
        <v>893</v>
      </c>
      <c r="D285" s="40"/>
      <c r="E285" s="40"/>
      <c r="F285" s="40"/>
      <c r="G285" s="40"/>
      <c r="H285" s="40"/>
      <c r="I285" s="40"/>
      <c r="J285" s="40"/>
      <c r="K285" s="41"/>
      <c r="N285" s="12" t="s">
        <v>907</v>
      </c>
    </row>
    <row r="286" spans="2:14" ht="30" customHeight="1" x14ac:dyDescent="0.2">
      <c r="B286" s="38"/>
      <c r="C286" s="399"/>
      <c r="D286" s="400"/>
      <c r="E286" s="400"/>
      <c r="F286" s="400"/>
      <c r="G286" s="400"/>
      <c r="H286" s="400"/>
      <c r="I286" s="400"/>
      <c r="J286" s="401"/>
      <c r="K286" s="41"/>
    </row>
    <row r="287" spans="2:14" x14ac:dyDescent="0.2">
      <c r="B287" s="38"/>
      <c r="C287" s="40"/>
      <c r="D287" s="40"/>
      <c r="E287" s="40"/>
      <c r="F287" s="40"/>
      <c r="G287" s="40"/>
      <c r="H287" s="40"/>
      <c r="I287" s="40"/>
      <c r="J287" s="40"/>
      <c r="K287" s="41"/>
    </row>
    <row r="288" spans="2:14" x14ac:dyDescent="0.2">
      <c r="B288" s="38"/>
      <c r="C288" s="179" t="s">
        <v>295</v>
      </c>
      <c r="D288" s="40"/>
      <c r="E288" s="40"/>
      <c r="F288" s="40"/>
      <c r="G288" s="40"/>
      <c r="H288" s="40"/>
      <c r="I288" s="40"/>
      <c r="J288" s="245">
        <f>IF(J282="N/A",IF(OR(J275="Not Calculated",J284="Not Calculated")=TRUE,"Not Calculated",AVERAGE(J275,J284)),AVERAGE(J282,J284))</f>
        <v>0</v>
      </c>
      <c r="K288" s="41"/>
    </row>
    <row r="289" spans="2:11" x14ac:dyDescent="0.2">
      <c r="B289" s="38"/>
      <c r="C289" s="40"/>
      <c r="D289" s="40"/>
      <c r="E289" s="40"/>
      <c r="F289" s="40"/>
      <c r="G289" s="40"/>
      <c r="H289" s="40"/>
      <c r="I289" s="40"/>
      <c r="J289" s="245"/>
      <c r="K289" s="41"/>
    </row>
    <row r="290" spans="2:11" x14ac:dyDescent="0.2">
      <c r="B290" s="38"/>
      <c r="C290" s="40"/>
      <c r="D290" s="40"/>
      <c r="E290" s="40"/>
      <c r="F290" s="40"/>
      <c r="G290" s="40"/>
      <c r="H290" s="40"/>
      <c r="I290" s="40"/>
      <c r="J290" s="40"/>
      <c r="K290" s="41"/>
    </row>
    <row r="291" spans="2:11" ht="16" x14ac:dyDescent="0.2">
      <c r="B291" s="38"/>
      <c r="C291" s="45" t="s">
        <v>856</v>
      </c>
      <c r="D291" s="40"/>
      <c r="E291" s="40"/>
      <c r="F291" s="40"/>
      <c r="G291" s="40"/>
      <c r="H291" s="40"/>
      <c r="I291" s="40"/>
      <c r="J291" s="40"/>
      <c r="K291" s="41"/>
    </row>
    <row r="292" spans="2:11" x14ac:dyDescent="0.2">
      <c r="B292" s="38"/>
      <c r="C292" s="380" t="s">
        <v>855</v>
      </c>
      <c r="D292" s="380"/>
      <c r="E292" s="380"/>
      <c r="F292" s="380"/>
      <c r="G292" s="380"/>
      <c r="H292" s="380"/>
      <c r="I292" s="380"/>
      <c r="J292" s="40"/>
      <c r="K292" s="41"/>
    </row>
    <row r="293" spans="2:11" x14ac:dyDescent="0.2">
      <c r="B293" s="38"/>
      <c r="C293" s="380"/>
      <c r="D293" s="380"/>
      <c r="E293" s="380"/>
      <c r="F293" s="380"/>
      <c r="G293" s="380"/>
      <c r="H293" s="380"/>
      <c r="I293" s="380"/>
      <c r="J293" s="264">
        <v>0</v>
      </c>
      <c r="K293" s="41"/>
    </row>
    <row r="294" spans="2:11" x14ac:dyDescent="0.2">
      <c r="B294" s="38"/>
      <c r="C294" s="40" t="s">
        <v>853</v>
      </c>
      <c r="D294" s="291"/>
      <c r="E294" s="291"/>
      <c r="F294" s="291"/>
      <c r="G294" s="291"/>
      <c r="H294" s="291"/>
      <c r="I294" s="291"/>
      <c r="J294" s="255">
        <f>'Baseline Health'!$G$102</f>
        <v>0</v>
      </c>
      <c r="K294" s="41"/>
    </row>
    <row r="295" spans="2:11" x14ac:dyDescent="0.2">
      <c r="B295" s="38"/>
      <c r="C295" s="40" t="s">
        <v>842</v>
      </c>
      <c r="D295" s="40"/>
      <c r="E295" s="40"/>
      <c r="F295" s="40"/>
      <c r="G295" s="40"/>
      <c r="H295" s="40"/>
      <c r="I295" s="40"/>
      <c r="J295" s="244" t="str">
        <f>IF('Baseline Health'!$G$102=0,"Not Calculated",100*J293/'Baseline Health'!$G$102)</f>
        <v>Not Calculated</v>
      </c>
      <c r="K295" s="41"/>
    </row>
    <row r="296" spans="2:11" x14ac:dyDescent="0.2">
      <c r="B296" s="38"/>
      <c r="C296" s="40" t="s">
        <v>260</v>
      </c>
      <c r="D296" s="40"/>
      <c r="E296" s="40"/>
      <c r="F296" s="40"/>
      <c r="G296" s="40"/>
      <c r="H296" s="40"/>
      <c r="I296" s="40"/>
      <c r="J296" s="245">
        <f>IF(J295&lt;=0,0,IF(J295&lt;=1,1,IF(J295&lt;=5,2,IF(J295&lt;=10,3,4))))</f>
        <v>4</v>
      </c>
      <c r="K296" s="41"/>
    </row>
    <row r="297" spans="2:11" ht="9.75" customHeight="1" x14ac:dyDescent="0.2">
      <c r="B297" s="38"/>
      <c r="C297" s="279" t="str">
        <f>"0:"</f>
        <v>0:</v>
      </c>
      <c r="D297" s="278" t="s">
        <v>932</v>
      </c>
      <c r="E297" s="40"/>
      <c r="F297" s="40"/>
      <c r="G297" s="40"/>
      <c r="H297" s="40"/>
      <c r="I297" s="40"/>
      <c r="J297" s="244"/>
      <c r="K297" s="41"/>
    </row>
    <row r="298" spans="2:11" ht="9.75" customHeight="1" x14ac:dyDescent="0.2">
      <c r="B298" s="38"/>
      <c r="C298" s="280" t="str">
        <f>"1:"</f>
        <v>1:</v>
      </c>
      <c r="D298" s="278" t="s">
        <v>934</v>
      </c>
      <c r="E298" s="40"/>
      <c r="F298" s="40"/>
      <c r="G298" s="40"/>
      <c r="H298" s="40"/>
      <c r="I298" s="40"/>
      <c r="J298" s="244"/>
      <c r="K298" s="41"/>
    </row>
    <row r="299" spans="2:11" ht="9.75" customHeight="1" x14ac:dyDescent="0.2">
      <c r="B299" s="38"/>
      <c r="C299" s="280" t="str">
        <f>"2:"</f>
        <v>2:</v>
      </c>
      <c r="D299" s="278" t="s">
        <v>933</v>
      </c>
      <c r="E299" s="40"/>
      <c r="F299" s="40"/>
      <c r="G299" s="40"/>
      <c r="H299" s="40"/>
      <c r="I299" s="40"/>
      <c r="J299" s="244"/>
      <c r="K299" s="41"/>
    </row>
    <row r="300" spans="2:11" ht="9.75" customHeight="1" x14ac:dyDescent="0.2">
      <c r="B300" s="38"/>
      <c r="C300" s="280" t="str">
        <f>"3:"</f>
        <v>3:</v>
      </c>
      <c r="D300" s="278" t="s">
        <v>935</v>
      </c>
      <c r="E300" s="40"/>
      <c r="F300" s="40"/>
      <c r="G300" s="40"/>
      <c r="H300" s="40"/>
      <c r="I300" s="40"/>
      <c r="J300" s="244"/>
      <c r="K300" s="41"/>
    </row>
    <row r="301" spans="2:11" ht="9.75" customHeight="1" x14ac:dyDescent="0.2">
      <c r="B301" s="38"/>
      <c r="C301" s="280" t="str">
        <f>"4:"</f>
        <v>4:</v>
      </c>
      <c r="D301" s="278" t="s">
        <v>936</v>
      </c>
      <c r="E301" s="40"/>
      <c r="F301" s="40"/>
      <c r="G301" s="40"/>
      <c r="H301" s="40"/>
      <c r="I301" s="40"/>
      <c r="J301" s="40"/>
      <c r="K301" s="41"/>
    </row>
    <row r="302" spans="2:11" x14ac:dyDescent="0.2">
      <c r="B302" s="38"/>
      <c r="C302" s="40" t="s">
        <v>257</v>
      </c>
      <c r="D302" s="40"/>
      <c r="E302" s="40"/>
      <c r="F302" s="40"/>
      <c r="G302" s="40"/>
      <c r="H302" s="40"/>
      <c r="I302" s="40"/>
      <c r="J302" s="266" t="s">
        <v>870</v>
      </c>
      <c r="K302" s="41"/>
    </row>
    <row r="303" spans="2:11" x14ac:dyDescent="0.2">
      <c r="B303" s="38"/>
      <c r="C303" s="40" t="s">
        <v>261</v>
      </c>
      <c r="D303" s="40"/>
      <c r="E303" s="40"/>
      <c r="F303" s="40"/>
      <c r="G303" s="40"/>
      <c r="H303" s="40"/>
      <c r="I303" s="40"/>
      <c r="J303" s="245">
        <f>IF(J302=$B$980,$A$980,IF(J302=$B$981,$A$981,IF(J302=$B$982,$A$982,IF(J302=$B$983,$A$983,IF(J302=$B$984,$A$984,"Not Calculated")))))</f>
        <v>0</v>
      </c>
      <c r="K303" s="41"/>
    </row>
    <row r="304" spans="2:11" x14ac:dyDescent="0.2">
      <c r="B304" s="38"/>
      <c r="C304" s="40" t="s">
        <v>893</v>
      </c>
      <c r="D304" s="40"/>
      <c r="E304" s="40"/>
      <c r="F304" s="40"/>
      <c r="G304" s="40"/>
      <c r="H304" s="40"/>
      <c r="I304" s="40"/>
      <c r="J304" s="40"/>
      <c r="K304" s="41"/>
    </row>
    <row r="305" spans="2:11" ht="15" customHeight="1" x14ac:dyDescent="0.2">
      <c r="B305" s="38"/>
      <c r="C305" s="399"/>
      <c r="D305" s="400"/>
      <c r="E305" s="400"/>
      <c r="F305" s="400"/>
      <c r="G305" s="400"/>
      <c r="H305" s="400"/>
      <c r="I305" s="400"/>
      <c r="J305" s="401"/>
      <c r="K305" s="41"/>
    </row>
    <row r="306" spans="2:11" x14ac:dyDescent="0.2">
      <c r="B306" s="38"/>
      <c r="C306" s="40"/>
      <c r="D306" s="40"/>
      <c r="E306" s="40"/>
      <c r="F306" s="40"/>
      <c r="G306" s="40"/>
      <c r="H306" s="40"/>
      <c r="I306" s="40"/>
      <c r="J306" s="40"/>
      <c r="K306" s="41"/>
    </row>
    <row r="307" spans="2:11" x14ac:dyDescent="0.2">
      <c r="B307" s="38"/>
      <c r="C307" s="179" t="s">
        <v>885</v>
      </c>
      <c r="D307" s="40"/>
      <c r="E307" s="40"/>
      <c r="F307" s="40"/>
      <c r="G307" s="40"/>
      <c r="H307" s="40"/>
      <c r="I307" s="40"/>
      <c r="J307" s="245">
        <f>IF(OR(J296="Not Calculated",J303="Not Calculated")=TRUE,"Not Calculated",AVERAGE(J296,J303))</f>
        <v>2</v>
      </c>
      <c r="K307" s="41"/>
    </row>
    <row r="308" spans="2:11" x14ac:dyDescent="0.2">
      <c r="B308" s="38"/>
      <c r="C308" s="40"/>
      <c r="D308" s="40"/>
      <c r="E308" s="40"/>
      <c r="F308" s="40"/>
      <c r="G308" s="40"/>
      <c r="H308" s="40"/>
      <c r="I308" s="40"/>
      <c r="J308" s="40"/>
      <c r="K308" s="41"/>
    </row>
    <row r="309" spans="2:11" x14ac:dyDescent="0.2">
      <c r="B309" s="38"/>
      <c r="C309" s="40"/>
      <c r="D309" s="40"/>
      <c r="E309" s="40"/>
      <c r="F309" s="40"/>
      <c r="G309" s="40"/>
      <c r="H309" s="40"/>
      <c r="I309" s="40"/>
      <c r="J309" s="40"/>
      <c r="K309" s="41"/>
    </row>
    <row r="310" spans="2:11" ht="16" x14ac:dyDescent="0.2">
      <c r="B310" s="38"/>
      <c r="C310" s="45" t="s">
        <v>857</v>
      </c>
      <c r="D310" s="40"/>
      <c r="E310" s="40"/>
      <c r="F310" s="40"/>
      <c r="G310" s="40"/>
      <c r="H310" s="40"/>
      <c r="I310" s="40"/>
      <c r="J310" s="40"/>
      <c r="K310" s="41"/>
    </row>
    <row r="311" spans="2:11" ht="15" customHeight="1" x14ac:dyDescent="0.2">
      <c r="B311" s="38"/>
      <c r="C311" s="380" t="s">
        <v>843</v>
      </c>
      <c r="D311" s="380"/>
      <c r="E311" s="380"/>
      <c r="F311" s="380"/>
      <c r="G311" s="380"/>
      <c r="H311" s="380"/>
      <c r="I311" s="380"/>
      <c r="J311" s="40"/>
      <c r="K311" s="41"/>
    </row>
    <row r="312" spans="2:11" x14ac:dyDescent="0.2">
      <c r="B312" s="38"/>
      <c r="C312" s="380"/>
      <c r="D312" s="380"/>
      <c r="E312" s="380"/>
      <c r="F312" s="380"/>
      <c r="G312" s="380"/>
      <c r="H312" s="380"/>
      <c r="I312" s="380"/>
      <c r="J312" s="264">
        <v>0</v>
      </c>
      <c r="K312" s="41"/>
    </row>
    <row r="313" spans="2:11" x14ac:dyDescent="0.2">
      <c r="B313" s="38"/>
      <c r="C313" s="40" t="s">
        <v>853</v>
      </c>
      <c r="D313" s="291"/>
      <c r="E313" s="291"/>
      <c r="F313" s="291"/>
      <c r="G313" s="291"/>
      <c r="H313" s="291"/>
      <c r="I313" s="291"/>
      <c r="J313" s="255">
        <f>'Baseline Health'!$G$102</f>
        <v>0</v>
      </c>
      <c r="K313" s="41"/>
    </row>
    <row r="314" spans="2:11" x14ac:dyDescent="0.2">
      <c r="B314" s="38"/>
      <c r="C314" s="40" t="s">
        <v>842</v>
      </c>
      <c r="D314" s="40"/>
      <c r="E314" s="40"/>
      <c r="F314" s="40"/>
      <c r="G314" s="40"/>
      <c r="H314" s="40"/>
      <c r="I314" s="40"/>
      <c r="J314" s="244" t="str">
        <f>IF('Baseline Health'!$G$102=0,"Not Calculated",100*J312/'Baseline Health'!$G$102)</f>
        <v>Not Calculated</v>
      </c>
      <c r="K314" s="41"/>
    </row>
    <row r="315" spans="2:11" x14ac:dyDescent="0.2">
      <c r="B315" s="38"/>
      <c r="C315" s="40" t="s">
        <v>260</v>
      </c>
      <c r="D315" s="40"/>
      <c r="E315" s="40"/>
      <c r="F315" s="40"/>
      <c r="G315" s="40"/>
      <c r="H315" s="40"/>
      <c r="I315" s="40"/>
      <c r="J315" s="245">
        <f>IF(J314&lt;=0,0,IF(J314&lt;=1,1,IF(J314&lt;=5,2,IF(J314&lt;=10,3,4))))</f>
        <v>4</v>
      </c>
      <c r="K315" s="41"/>
    </row>
    <row r="316" spans="2:11" ht="9.75" customHeight="1" x14ac:dyDescent="0.2">
      <c r="B316" s="38"/>
      <c r="C316" s="279" t="str">
        <f>"0:"</f>
        <v>0:</v>
      </c>
      <c r="D316" s="278" t="s">
        <v>932</v>
      </c>
      <c r="E316" s="40"/>
      <c r="F316" s="40"/>
      <c r="G316" s="40"/>
      <c r="H316" s="40"/>
      <c r="I316" s="40"/>
      <c r="J316" s="244"/>
      <c r="K316" s="41"/>
    </row>
    <row r="317" spans="2:11" ht="9.75" customHeight="1" x14ac:dyDescent="0.2">
      <c r="B317" s="38"/>
      <c r="C317" s="280" t="str">
        <f>"1:"</f>
        <v>1:</v>
      </c>
      <c r="D317" s="278" t="s">
        <v>934</v>
      </c>
      <c r="E317" s="40"/>
      <c r="F317" s="40"/>
      <c r="G317" s="40"/>
      <c r="H317" s="40"/>
      <c r="I317" s="40"/>
      <c r="J317" s="244"/>
      <c r="K317" s="41"/>
    </row>
    <row r="318" spans="2:11" ht="9.75" customHeight="1" x14ac:dyDescent="0.2">
      <c r="B318" s="38"/>
      <c r="C318" s="280" t="str">
        <f>"2:"</f>
        <v>2:</v>
      </c>
      <c r="D318" s="278" t="s">
        <v>933</v>
      </c>
      <c r="E318" s="40"/>
      <c r="F318" s="40"/>
      <c r="G318" s="40"/>
      <c r="H318" s="40"/>
      <c r="I318" s="40"/>
      <c r="J318" s="244"/>
      <c r="K318" s="41"/>
    </row>
    <row r="319" spans="2:11" ht="9.75" customHeight="1" x14ac:dyDescent="0.2">
      <c r="B319" s="38"/>
      <c r="C319" s="280" t="str">
        <f>"3:"</f>
        <v>3:</v>
      </c>
      <c r="D319" s="278" t="s">
        <v>935</v>
      </c>
      <c r="E319" s="40"/>
      <c r="F319" s="40"/>
      <c r="G319" s="40"/>
      <c r="H319" s="40"/>
      <c r="I319" s="40"/>
      <c r="J319" s="244"/>
      <c r="K319" s="41"/>
    </row>
    <row r="320" spans="2:11" ht="9.75" customHeight="1" x14ac:dyDescent="0.2">
      <c r="B320" s="38"/>
      <c r="C320" s="280" t="str">
        <f>"4:"</f>
        <v>4:</v>
      </c>
      <c r="D320" s="278" t="s">
        <v>936</v>
      </c>
      <c r="E320" s="40"/>
      <c r="F320" s="40"/>
      <c r="G320" s="40"/>
      <c r="H320" s="40"/>
      <c r="I320" s="40"/>
      <c r="J320" s="40"/>
      <c r="K320" s="41"/>
    </row>
    <row r="321" spans="2:11" x14ac:dyDescent="0.2">
      <c r="B321" s="38"/>
      <c r="C321" s="40" t="s">
        <v>296</v>
      </c>
      <c r="D321" s="40"/>
      <c r="E321" s="40"/>
      <c r="F321" s="40"/>
      <c r="G321" s="40"/>
      <c r="H321" s="40"/>
      <c r="I321" s="40"/>
      <c r="J321" s="266">
        <v>0</v>
      </c>
      <c r="K321" s="41"/>
    </row>
    <row r="322" spans="2:11" x14ac:dyDescent="0.2">
      <c r="B322" s="38"/>
      <c r="C322" s="40" t="s">
        <v>261</v>
      </c>
      <c r="D322" s="40"/>
      <c r="E322" s="40"/>
      <c r="F322" s="40"/>
      <c r="G322" s="40"/>
      <c r="H322" s="40"/>
      <c r="I322" s="40"/>
      <c r="J322" s="245">
        <f>IF(J321&lt;=0,0,IF(J321&lt;=2,1,IF(J321&lt;=6,2,IF(J321&lt;=12,3,4))))</f>
        <v>0</v>
      </c>
      <c r="K322" s="41"/>
    </row>
    <row r="323" spans="2:11" x14ac:dyDescent="0.2">
      <c r="B323" s="38"/>
      <c r="C323" s="40" t="s">
        <v>893</v>
      </c>
      <c r="D323" s="40"/>
      <c r="E323" s="40"/>
      <c r="F323" s="40"/>
      <c r="G323" s="40"/>
      <c r="H323" s="40"/>
      <c r="I323" s="40"/>
      <c r="J323" s="40"/>
      <c r="K323" s="41"/>
    </row>
    <row r="324" spans="2:11" ht="90" customHeight="1" x14ac:dyDescent="0.2">
      <c r="B324" s="38"/>
      <c r="C324" s="399"/>
      <c r="D324" s="400"/>
      <c r="E324" s="400"/>
      <c r="F324" s="400"/>
      <c r="G324" s="400"/>
      <c r="H324" s="400"/>
      <c r="I324" s="400"/>
      <c r="J324" s="401"/>
      <c r="K324" s="41"/>
    </row>
    <row r="325" spans="2:11" x14ac:dyDescent="0.2">
      <c r="B325" s="38"/>
      <c r="C325" s="40"/>
      <c r="D325" s="40"/>
      <c r="E325" s="40"/>
      <c r="F325" s="40"/>
      <c r="G325" s="40"/>
      <c r="H325" s="40"/>
      <c r="I325" s="40"/>
      <c r="J325" s="40"/>
      <c r="K325" s="41"/>
    </row>
    <row r="326" spans="2:11" x14ac:dyDescent="0.2">
      <c r="B326" s="38"/>
      <c r="C326" s="179" t="s">
        <v>886</v>
      </c>
      <c r="D326" s="40"/>
      <c r="E326" s="40"/>
      <c r="F326" s="40"/>
      <c r="G326" s="40"/>
      <c r="H326" s="40"/>
      <c r="I326" s="40"/>
      <c r="J326" s="245">
        <f>IF(OR(J315="Not Calculated",J322="Not Calculated")=TRUE,"Not Calculated",AVERAGE(J315,J322))</f>
        <v>2</v>
      </c>
      <c r="K326" s="41"/>
    </row>
    <row r="327" spans="2:11" x14ac:dyDescent="0.2">
      <c r="B327" s="38"/>
      <c r="C327" s="40"/>
      <c r="D327" s="40"/>
      <c r="E327" s="40"/>
      <c r="F327" s="40"/>
      <c r="G327" s="40"/>
      <c r="H327" s="40"/>
      <c r="I327" s="40"/>
      <c r="J327" s="40"/>
      <c r="K327" s="41"/>
    </row>
    <row r="328" spans="2:11" x14ac:dyDescent="0.2">
      <c r="B328" s="38"/>
      <c r="C328" s="40"/>
      <c r="D328" s="40"/>
      <c r="E328" s="40"/>
      <c r="F328" s="40"/>
      <c r="G328" s="40"/>
      <c r="H328" s="40"/>
      <c r="I328" s="40"/>
      <c r="J328" s="40"/>
      <c r="K328" s="41"/>
    </row>
    <row r="329" spans="2:11" ht="16" x14ac:dyDescent="0.2">
      <c r="B329" s="38"/>
      <c r="C329" s="45" t="s">
        <v>858</v>
      </c>
      <c r="D329" s="40"/>
      <c r="E329" s="40"/>
      <c r="F329" s="40"/>
      <c r="G329" s="40"/>
      <c r="H329" s="40"/>
      <c r="I329" s="40"/>
      <c r="J329" s="40"/>
      <c r="K329" s="41"/>
    </row>
    <row r="330" spans="2:11" ht="15" customHeight="1" x14ac:dyDescent="0.2">
      <c r="B330" s="38"/>
      <c r="C330" s="380" t="s">
        <v>844</v>
      </c>
      <c r="D330" s="380"/>
      <c r="E330" s="380"/>
      <c r="F330" s="380"/>
      <c r="G330" s="380"/>
      <c r="H330" s="380"/>
      <c r="I330" s="380"/>
      <c r="J330" s="40"/>
      <c r="K330" s="41"/>
    </row>
    <row r="331" spans="2:11" x14ac:dyDescent="0.2">
      <c r="B331" s="38"/>
      <c r="C331" s="380"/>
      <c r="D331" s="380"/>
      <c r="E331" s="380"/>
      <c r="F331" s="380"/>
      <c r="G331" s="380"/>
      <c r="H331" s="380"/>
      <c r="I331" s="380"/>
      <c r="J331" s="264">
        <f>J312</f>
        <v>0</v>
      </c>
      <c r="K331" s="41"/>
    </row>
    <row r="332" spans="2:11" x14ac:dyDescent="0.2">
      <c r="B332" s="38"/>
      <c r="C332" s="40" t="s">
        <v>853</v>
      </c>
      <c r="D332" s="291"/>
      <c r="E332" s="291"/>
      <c r="F332" s="291"/>
      <c r="G332" s="291"/>
      <c r="H332" s="291"/>
      <c r="I332" s="291"/>
      <c r="J332" s="255">
        <f>'Baseline Health'!$G$102</f>
        <v>0</v>
      </c>
      <c r="K332" s="41"/>
    </row>
    <row r="333" spans="2:11" x14ac:dyDescent="0.2">
      <c r="B333" s="38"/>
      <c r="C333" s="40" t="s">
        <v>845</v>
      </c>
      <c r="D333" s="40"/>
      <c r="E333" s="40"/>
      <c r="F333" s="40"/>
      <c r="G333" s="40"/>
      <c r="H333" s="40"/>
      <c r="I333" s="40"/>
      <c r="J333" s="244" t="str">
        <f>IF('Baseline Health'!$G$102=0,"Not Calculated",100*J331/'Baseline Health'!$G$102)</f>
        <v>Not Calculated</v>
      </c>
      <c r="K333" s="41"/>
    </row>
    <row r="334" spans="2:11" x14ac:dyDescent="0.2">
      <c r="B334" s="38"/>
      <c r="C334" s="40" t="s">
        <v>260</v>
      </c>
      <c r="D334" s="40"/>
      <c r="E334" s="40"/>
      <c r="F334" s="40"/>
      <c r="G334" s="40"/>
      <c r="H334" s="40"/>
      <c r="I334" s="40"/>
      <c r="J334" s="245">
        <f>IF(J333&lt;=0,0,IF(J333&lt;=1,1,IF(J333&lt;=5,2,IF(J333&lt;=10,3,4))))</f>
        <v>4</v>
      </c>
      <c r="K334" s="41"/>
    </row>
    <row r="335" spans="2:11" ht="9.75" customHeight="1" x14ac:dyDescent="0.2">
      <c r="B335" s="38"/>
      <c r="C335" s="279" t="str">
        <f>"0:"</f>
        <v>0:</v>
      </c>
      <c r="D335" s="278" t="s">
        <v>932</v>
      </c>
      <c r="E335" s="40"/>
      <c r="F335" s="40"/>
      <c r="G335" s="40"/>
      <c r="H335" s="40"/>
      <c r="I335" s="40"/>
      <c r="J335" s="244"/>
      <c r="K335" s="41"/>
    </row>
    <row r="336" spans="2:11" ht="9.75" customHeight="1" x14ac:dyDescent="0.2">
      <c r="B336" s="38"/>
      <c r="C336" s="280" t="str">
        <f>"1:"</f>
        <v>1:</v>
      </c>
      <c r="D336" s="278" t="s">
        <v>934</v>
      </c>
      <c r="E336" s="40"/>
      <c r="F336" s="40"/>
      <c r="G336" s="40"/>
      <c r="H336" s="40"/>
      <c r="I336" s="40"/>
      <c r="J336" s="244"/>
      <c r="K336" s="41"/>
    </row>
    <row r="337" spans="2:11" ht="9.75" customHeight="1" x14ac:dyDescent="0.2">
      <c r="B337" s="38"/>
      <c r="C337" s="280" t="str">
        <f>"2:"</f>
        <v>2:</v>
      </c>
      <c r="D337" s="278" t="s">
        <v>933</v>
      </c>
      <c r="E337" s="40"/>
      <c r="F337" s="40"/>
      <c r="G337" s="40"/>
      <c r="H337" s="40"/>
      <c r="I337" s="40"/>
      <c r="J337" s="244"/>
      <c r="K337" s="41"/>
    </row>
    <row r="338" spans="2:11" ht="9.75" customHeight="1" x14ac:dyDescent="0.2">
      <c r="B338" s="38"/>
      <c r="C338" s="280" t="str">
        <f>"3:"</f>
        <v>3:</v>
      </c>
      <c r="D338" s="278" t="s">
        <v>935</v>
      </c>
      <c r="E338" s="40"/>
      <c r="F338" s="40"/>
      <c r="G338" s="40"/>
      <c r="H338" s="40"/>
      <c r="I338" s="40"/>
      <c r="J338" s="244"/>
      <c r="K338" s="41"/>
    </row>
    <row r="339" spans="2:11" ht="9.75" customHeight="1" x14ac:dyDescent="0.2">
      <c r="B339" s="38"/>
      <c r="C339" s="280" t="str">
        <f>"4:"</f>
        <v>4:</v>
      </c>
      <c r="D339" s="278" t="s">
        <v>936</v>
      </c>
      <c r="E339" s="40"/>
      <c r="F339" s="40"/>
      <c r="G339" s="40"/>
      <c r="H339" s="40"/>
      <c r="I339" s="40"/>
      <c r="J339" s="40"/>
      <c r="K339" s="41"/>
    </row>
    <row r="340" spans="2:11" x14ac:dyDescent="0.2">
      <c r="B340" s="38"/>
      <c r="C340" s="380" t="s">
        <v>84</v>
      </c>
      <c r="D340" s="380"/>
      <c r="E340" s="380"/>
      <c r="F340" s="380"/>
      <c r="G340" s="380"/>
      <c r="H340" s="380"/>
      <c r="I340" s="380"/>
      <c r="J340" s="245"/>
      <c r="K340" s="41"/>
    </row>
    <row r="341" spans="2:11" x14ac:dyDescent="0.2">
      <c r="B341" s="38"/>
      <c r="C341" s="380"/>
      <c r="D341" s="380"/>
      <c r="E341" s="380"/>
      <c r="F341" s="380"/>
      <c r="G341" s="380"/>
      <c r="H341" s="380"/>
      <c r="I341" s="380"/>
      <c r="J341" s="245">
        <f>'Baseline Health'!G108</f>
        <v>40</v>
      </c>
      <c r="K341" s="41"/>
    </row>
    <row r="342" spans="2:11" ht="15" customHeight="1" x14ac:dyDescent="0.2">
      <c r="B342" s="38"/>
      <c r="C342" s="40" t="s">
        <v>833</v>
      </c>
      <c r="D342" s="40"/>
      <c r="E342" s="40"/>
      <c r="F342" s="40"/>
      <c r="G342" s="40"/>
      <c r="H342" s="40"/>
      <c r="I342" s="40"/>
      <c r="J342" s="245">
        <f>IF(J341&gt;J321,0,J321-J341)</f>
        <v>0</v>
      </c>
      <c r="K342" s="41"/>
    </row>
    <row r="343" spans="2:11" x14ac:dyDescent="0.2">
      <c r="B343" s="38"/>
      <c r="C343" s="40"/>
      <c r="D343" s="380" t="s">
        <v>834</v>
      </c>
      <c r="E343" s="380"/>
      <c r="F343" s="380"/>
      <c r="G343" s="380"/>
      <c r="H343" s="380"/>
      <c r="I343" s="380"/>
      <c r="J343" s="40"/>
      <c r="K343" s="41"/>
    </row>
    <row r="344" spans="2:11" x14ac:dyDescent="0.2">
      <c r="B344" s="38"/>
      <c r="C344" s="40"/>
      <c r="D344" s="380"/>
      <c r="E344" s="380"/>
      <c r="F344" s="380"/>
      <c r="G344" s="380"/>
      <c r="H344" s="380"/>
      <c r="I344" s="380"/>
      <c r="J344" s="40"/>
      <c r="K344" s="41"/>
    </row>
    <row r="345" spans="2:11" x14ac:dyDescent="0.2">
      <c r="B345" s="38"/>
      <c r="C345" s="40" t="s">
        <v>261</v>
      </c>
      <c r="D345" s="40"/>
      <c r="E345" s="40"/>
      <c r="F345" s="40"/>
      <c r="G345" s="40"/>
      <c r="H345" s="40"/>
      <c r="I345" s="40"/>
      <c r="J345" s="245">
        <f>IF(J342&lt;=0,0,IF(J342&lt;=2,1,IF(J342&lt;=6,2,IF(J342&lt;=12,3,4))))</f>
        <v>0</v>
      </c>
      <c r="K345" s="41"/>
    </row>
    <row r="346" spans="2:11" x14ac:dyDescent="0.2">
      <c r="B346" s="38"/>
      <c r="C346" s="40" t="s">
        <v>893</v>
      </c>
      <c r="D346" s="40"/>
      <c r="E346" s="40"/>
      <c r="F346" s="40"/>
      <c r="G346" s="40"/>
      <c r="H346" s="40"/>
      <c r="I346" s="40"/>
      <c r="J346" s="40"/>
      <c r="K346" s="41"/>
    </row>
    <row r="347" spans="2:11" ht="90" customHeight="1" x14ac:dyDescent="0.2">
      <c r="B347" s="38"/>
      <c r="C347" s="399"/>
      <c r="D347" s="400"/>
      <c r="E347" s="400"/>
      <c r="F347" s="400"/>
      <c r="G347" s="400"/>
      <c r="H347" s="400"/>
      <c r="I347" s="400"/>
      <c r="J347" s="401"/>
      <c r="K347" s="41"/>
    </row>
    <row r="348" spans="2:11" x14ac:dyDescent="0.2">
      <c r="B348" s="38"/>
      <c r="C348" s="40"/>
      <c r="D348" s="40"/>
      <c r="E348" s="40"/>
      <c r="F348" s="40"/>
      <c r="G348" s="40"/>
      <c r="H348" s="40"/>
      <c r="I348" s="40"/>
      <c r="J348" s="40"/>
      <c r="K348" s="41"/>
    </row>
    <row r="349" spans="2:11" x14ac:dyDescent="0.2">
      <c r="B349" s="38"/>
      <c r="C349" s="179" t="s">
        <v>887</v>
      </c>
      <c r="D349" s="40"/>
      <c r="E349" s="40"/>
      <c r="F349" s="40"/>
      <c r="G349" s="40"/>
      <c r="H349" s="40"/>
      <c r="I349" s="40"/>
      <c r="J349" s="245">
        <f>IF(OR(J334="Not Calculated",J345="Not Calculated")=TRUE,"Not Calculated",AVERAGE(J334,J345))</f>
        <v>2</v>
      </c>
      <c r="K349" s="41"/>
    </row>
    <row r="350" spans="2:11" x14ac:dyDescent="0.2">
      <c r="B350" s="38"/>
      <c r="C350" s="40"/>
      <c r="D350" s="40"/>
      <c r="E350" s="40"/>
      <c r="F350" s="40"/>
      <c r="G350" s="40"/>
      <c r="H350" s="40"/>
      <c r="I350" s="40"/>
      <c r="J350" s="40"/>
      <c r="K350" s="41"/>
    </row>
    <row r="351" spans="2:11" x14ac:dyDescent="0.2">
      <c r="B351" s="38"/>
      <c r="C351" s="40"/>
      <c r="D351" s="40"/>
      <c r="E351" s="40"/>
      <c r="F351" s="40"/>
      <c r="G351" s="40"/>
      <c r="H351" s="40"/>
      <c r="I351" s="40"/>
      <c r="J351" s="40"/>
      <c r="K351" s="41"/>
    </row>
    <row r="352" spans="2:11" ht="15" customHeight="1" x14ac:dyDescent="0.2">
      <c r="B352" s="38"/>
      <c r="C352" s="45" t="s">
        <v>859</v>
      </c>
      <c r="D352" s="40"/>
      <c r="E352" s="40"/>
      <c r="F352" s="40"/>
      <c r="G352" s="40"/>
      <c r="H352" s="40"/>
      <c r="I352" s="40"/>
      <c r="J352" s="40"/>
      <c r="K352" s="41"/>
    </row>
    <row r="353" spans="2:11" x14ac:dyDescent="0.2">
      <c r="B353" s="38"/>
      <c r="C353" s="40" t="s">
        <v>846</v>
      </c>
      <c r="D353" s="40"/>
      <c r="E353" s="40"/>
      <c r="F353" s="40"/>
      <c r="G353" s="40"/>
      <c r="H353" s="40"/>
      <c r="I353" s="40"/>
      <c r="J353" s="264">
        <v>0</v>
      </c>
      <c r="K353" s="41"/>
    </row>
    <row r="354" spans="2:11" x14ac:dyDescent="0.2">
      <c r="B354" s="38"/>
      <c r="C354" s="40" t="s">
        <v>854</v>
      </c>
      <c r="D354" s="40"/>
      <c r="E354" s="40"/>
      <c r="F354" s="40"/>
      <c r="G354" s="40"/>
      <c r="H354" s="40"/>
      <c r="I354" s="40"/>
      <c r="J354" s="255">
        <f>'Baseline Health'!$G$59</f>
        <v>0</v>
      </c>
      <c r="K354" s="41"/>
    </row>
    <row r="355" spans="2:11" x14ac:dyDescent="0.2">
      <c r="B355" s="38"/>
      <c r="C355" s="40" t="s">
        <v>847</v>
      </c>
      <c r="D355" s="40"/>
      <c r="E355" s="40"/>
      <c r="F355" s="40"/>
      <c r="G355" s="40"/>
      <c r="H355" s="40"/>
      <c r="I355" s="40"/>
      <c r="J355" s="244">
        <f>IF(J353=0,0,IF('Baseline Health'!G$59=0,"Not Calculated",100*J353/'Baseline Health'!$G$59))</f>
        <v>0</v>
      </c>
      <c r="K355" s="41"/>
    </row>
    <row r="356" spans="2:11" x14ac:dyDescent="0.2">
      <c r="B356" s="38"/>
      <c r="C356" s="40" t="s">
        <v>260</v>
      </c>
      <c r="D356" s="40"/>
      <c r="E356" s="40"/>
      <c r="F356" s="40"/>
      <c r="G356" s="40"/>
      <c r="H356" s="40"/>
      <c r="I356" s="40"/>
      <c r="J356" s="245">
        <f>IF(J355&lt;=0,0,IF(J355&lt;=5,1,IF(J355&lt;=10,2,IF(J355&lt;=25,3,4))))</f>
        <v>0</v>
      </c>
      <c r="K356" s="41"/>
    </row>
    <row r="357" spans="2:11" ht="9.75" customHeight="1" x14ac:dyDescent="0.2">
      <c r="B357" s="38"/>
      <c r="C357" s="279" t="str">
        <f>"0:"</f>
        <v>0:</v>
      </c>
      <c r="D357" s="278" t="s">
        <v>932</v>
      </c>
      <c r="E357" s="40"/>
      <c r="F357" s="40"/>
      <c r="G357" s="40"/>
      <c r="H357" s="40"/>
      <c r="I357" s="40"/>
      <c r="J357" s="244"/>
      <c r="K357" s="41"/>
    </row>
    <row r="358" spans="2:11" ht="9.75" customHeight="1" x14ac:dyDescent="0.2">
      <c r="B358" s="38"/>
      <c r="C358" s="280" t="str">
        <f>"1:"</f>
        <v>1:</v>
      </c>
      <c r="D358" s="278" t="s">
        <v>933</v>
      </c>
      <c r="E358" s="40"/>
      <c r="F358" s="40"/>
      <c r="G358" s="40"/>
      <c r="H358" s="40"/>
      <c r="I358" s="40"/>
      <c r="J358" s="244"/>
      <c r="K358" s="41"/>
    </row>
    <row r="359" spans="2:11" ht="9.75" customHeight="1" x14ac:dyDescent="0.2">
      <c r="B359" s="38"/>
      <c r="C359" s="280" t="str">
        <f>"2:"</f>
        <v>2:</v>
      </c>
      <c r="D359" s="278" t="s">
        <v>935</v>
      </c>
      <c r="E359" s="40"/>
      <c r="F359" s="40"/>
      <c r="G359" s="40"/>
      <c r="H359" s="40"/>
      <c r="I359" s="40"/>
      <c r="J359" s="244"/>
      <c r="K359" s="41"/>
    </row>
    <row r="360" spans="2:11" ht="9.75" customHeight="1" x14ac:dyDescent="0.2">
      <c r="B360" s="38"/>
      <c r="C360" s="280" t="str">
        <f>"3:"</f>
        <v>3:</v>
      </c>
      <c r="D360" s="278" t="s">
        <v>937</v>
      </c>
      <c r="E360" s="40"/>
      <c r="F360" s="40"/>
      <c r="G360" s="40"/>
      <c r="H360" s="40"/>
      <c r="I360" s="40"/>
      <c r="J360" s="244"/>
      <c r="K360" s="41"/>
    </row>
    <row r="361" spans="2:11" ht="9.75" customHeight="1" x14ac:dyDescent="0.2">
      <c r="B361" s="38"/>
      <c r="C361" s="280" t="str">
        <f>"4:"</f>
        <v>4:</v>
      </c>
      <c r="D361" s="278" t="s">
        <v>938</v>
      </c>
      <c r="E361" s="40"/>
      <c r="F361" s="40"/>
      <c r="G361" s="40"/>
      <c r="H361" s="40"/>
      <c r="I361" s="40"/>
      <c r="J361" s="40"/>
      <c r="K361" s="41"/>
    </row>
    <row r="362" spans="2:11" x14ac:dyDescent="0.2">
      <c r="B362" s="38"/>
      <c r="C362" s="40" t="s">
        <v>257</v>
      </c>
      <c r="D362" s="40"/>
      <c r="E362" s="40"/>
      <c r="F362" s="40"/>
      <c r="G362" s="40"/>
      <c r="H362" s="40"/>
      <c r="I362" s="40"/>
      <c r="J362" s="266" t="s">
        <v>870</v>
      </c>
      <c r="K362" s="41"/>
    </row>
    <row r="363" spans="2:11" x14ac:dyDescent="0.2">
      <c r="B363" s="38"/>
      <c r="C363" s="40" t="s">
        <v>261</v>
      </c>
      <c r="D363" s="40"/>
      <c r="E363" s="40"/>
      <c r="F363" s="40"/>
      <c r="G363" s="40"/>
      <c r="H363" s="40"/>
      <c r="I363" s="40"/>
      <c r="J363" s="245">
        <f>IF(J362=$B$980,$A$980,IF(J362=$B$981,$A$981,IF(J362=$B$982,$A$982,IF(J362=$B$983,$A$983,IF(J362=$B$984,$A$984,"Not Calculated")))))</f>
        <v>0</v>
      </c>
      <c r="K363" s="41"/>
    </row>
    <row r="364" spans="2:11" x14ac:dyDescent="0.2">
      <c r="B364" s="38"/>
      <c r="C364" s="40" t="s">
        <v>893</v>
      </c>
      <c r="D364" s="40"/>
      <c r="E364" s="40"/>
      <c r="F364" s="40"/>
      <c r="G364" s="40"/>
      <c r="H364" s="40"/>
      <c r="I364" s="40"/>
      <c r="J364" s="40"/>
      <c r="K364" s="41"/>
    </row>
    <row r="365" spans="2:11" ht="75" customHeight="1" x14ac:dyDescent="0.2">
      <c r="B365" s="38"/>
      <c r="C365" s="399"/>
      <c r="D365" s="400"/>
      <c r="E365" s="400"/>
      <c r="F365" s="400"/>
      <c r="G365" s="400"/>
      <c r="H365" s="400"/>
      <c r="I365" s="400"/>
      <c r="J365" s="401"/>
      <c r="K365" s="41"/>
    </row>
    <row r="366" spans="2:11" x14ac:dyDescent="0.2">
      <c r="B366" s="38"/>
      <c r="C366" s="40"/>
      <c r="D366" s="40"/>
      <c r="E366" s="40"/>
      <c r="F366" s="40"/>
      <c r="G366" s="40"/>
      <c r="H366" s="40"/>
      <c r="I366" s="40"/>
      <c r="J366" s="40"/>
      <c r="K366" s="41"/>
    </row>
    <row r="367" spans="2:11" x14ac:dyDescent="0.2">
      <c r="B367" s="38"/>
      <c r="C367" s="179" t="s">
        <v>888</v>
      </c>
      <c r="D367" s="40"/>
      <c r="E367" s="40"/>
      <c r="F367" s="40"/>
      <c r="G367" s="40"/>
      <c r="H367" s="40"/>
      <c r="I367" s="40"/>
      <c r="J367" s="245">
        <f>IF(OR(J356="Not Calculated",J363="Not Calculated")=TRUE,"Not Calculated",AVERAGE(J356,J363))</f>
        <v>0</v>
      </c>
      <c r="K367" s="41"/>
    </row>
    <row r="368" spans="2:11" x14ac:dyDescent="0.2">
      <c r="B368" s="38"/>
      <c r="C368" s="40"/>
      <c r="D368" s="40"/>
      <c r="E368" s="40"/>
      <c r="F368" s="40"/>
      <c r="G368" s="40"/>
      <c r="H368" s="40"/>
      <c r="I368" s="40"/>
      <c r="J368" s="40"/>
      <c r="K368" s="41"/>
    </row>
    <row r="369" spans="2:11" x14ac:dyDescent="0.2">
      <c r="B369" s="38"/>
      <c r="C369" s="40"/>
      <c r="D369" s="40"/>
      <c r="E369" s="40"/>
      <c r="F369" s="40"/>
      <c r="G369" s="40"/>
      <c r="H369" s="40"/>
      <c r="I369" s="40"/>
      <c r="J369" s="40"/>
      <c r="K369" s="41"/>
    </row>
    <row r="370" spans="2:11" ht="16" x14ac:dyDescent="0.2">
      <c r="B370" s="38"/>
      <c r="C370" s="45" t="s">
        <v>863</v>
      </c>
      <c r="D370" s="40"/>
      <c r="E370" s="40"/>
      <c r="F370" s="40"/>
      <c r="G370" s="40"/>
      <c r="H370" s="40"/>
      <c r="I370" s="40"/>
      <c r="J370" s="40"/>
      <c r="K370" s="41"/>
    </row>
    <row r="371" spans="2:11" ht="15" customHeight="1" x14ac:dyDescent="0.2">
      <c r="B371" s="38"/>
      <c r="C371" s="380" t="s">
        <v>848</v>
      </c>
      <c r="D371" s="380"/>
      <c r="E371" s="380"/>
      <c r="F371" s="380"/>
      <c r="G371" s="380"/>
      <c r="H371" s="380"/>
      <c r="I371" s="380"/>
      <c r="J371" s="181"/>
      <c r="K371" s="41"/>
    </row>
    <row r="372" spans="2:11" x14ac:dyDescent="0.2">
      <c r="B372" s="38"/>
      <c r="C372" s="380"/>
      <c r="D372" s="380"/>
      <c r="E372" s="380"/>
      <c r="F372" s="380"/>
      <c r="G372" s="380"/>
      <c r="H372" s="380"/>
      <c r="I372" s="380"/>
      <c r="J372" s="264">
        <v>0</v>
      </c>
      <c r="K372" s="41"/>
    </row>
    <row r="373" spans="2:11" x14ac:dyDescent="0.2">
      <c r="B373" s="38"/>
      <c r="C373" s="40" t="s">
        <v>853</v>
      </c>
      <c r="D373" s="291"/>
      <c r="E373" s="291"/>
      <c r="F373" s="291"/>
      <c r="G373" s="291"/>
      <c r="H373" s="291"/>
      <c r="I373" s="291"/>
      <c r="J373" s="255">
        <f>'Baseline Health'!$G$102</f>
        <v>0</v>
      </c>
      <c r="K373" s="41"/>
    </row>
    <row r="374" spans="2:11" x14ac:dyDescent="0.2">
      <c r="B374" s="38"/>
      <c r="C374" s="40" t="s">
        <v>842</v>
      </c>
      <c r="D374" s="291"/>
      <c r="E374" s="291"/>
      <c r="F374" s="291"/>
      <c r="G374" s="291"/>
      <c r="H374" s="291"/>
      <c r="I374" s="291"/>
      <c r="J374" s="244" t="str">
        <f>IF('Baseline Health'!$G$102=0,"Not Calculated",100*J372/'Baseline Health'!$G$102)</f>
        <v>Not Calculated</v>
      </c>
      <c r="K374" s="41"/>
    </row>
    <row r="375" spans="2:11" x14ac:dyDescent="0.2">
      <c r="B375" s="38"/>
      <c r="C375" s="40" t="s">
        <v>260</v>
      </c>
      <c r="D375" s="40"/>
      <c r="E375" s="40"/>
      <c r="F375" s="40"/>
      <c r="G375" s="40"/>
      <c r="H375" s="40"/>
      <c r="I375" s="40"/>
      <c r="J375" s="251">
        <f>IF(J374&lt;=0,0,IF(J374&lt;=1,1,IF(J374&lt;=5,2,IF(J374&lt;=10,3,4))))</f>
        <v>4</v>
      </c>
      <c r="K375" s="41"/>
    </row>
    <row r="376" spans="2:11" ht="9.75" customHeight="1" x14ac:dyDescent="0.2">
      <c r="B376" s="38"/>
      <c r="C376" s="279" t="str">
        <f>"0:"</f>
        <v>0:</v>
      </c>
      <c r="D376" s="278" t="s">
        <v>932</v>
      </c>
      <c r="E376" s="291"/>
      <c r="F376" s="291"/>
      <c r="G376" s="291"/>
      <c r="H376" s="291"/>
      <c r="I376" s="291"/>
      <c r="J376" s="244"/>
      <c r="K376" s="41"/>
    </row>
    <row r="377" spans="2:11" ht="9.75" customHeight="1" x14ac:dyDescent="0.2">
      <c r="B377" s="38"/>
      <c r="C377" s="280" t="str">
        <f>"1:"</f>
        <v>1:</v>
      </c>
      <c r="D377" s="278" t="s">
        <v>934</v>
      </c>
      <c r="E377" s="291"/>
      <c r="F377" s="291"/>
      <c r="G377" s="291"/>
      <c r="H377" s="291"/>
      <c r="I377" s="291"/>
      <c r="J377" s="244"/>
      <c r="K377" s="41"/>
    </row>
    <row r="378" spans="2:11" ht="9.75" customHeight="1" x14ac:dyDescent="0.2">
      <c r="B378" s="38"/>
      <c r="C378" s="280" t="str">
        <f>"2:"</f>
        <v>2:</v>
      </c>
      <c r="D378" s="278" t="s">
        <v>933</v>
      </c>
      <c r="E378" s="291"/>
      <c r="F378" s="291"/>
      <c r="G378" s="291"/>
      <c r="H378" s="291"/>
      <c r="I378" s="291"/>
      <c r="J378" s="244"/>
      <c r="K378" s="41"/>
    </row>
    <row r="379" spans="2:11" ht="9.75" customHeight="1" x14ac:dyDescent="0.2">
      <c r="B379" s="38"/>
      <c r="C379" s="280" t="str">
        <f>"3:"</f>
        <v>3:</v>
      </c>
      <c r="D379" s="278" t="s">
        <v>935</v>
      </c>
      <c r="E379" s="291"/>
      <c r="F379" s="291"/>
      <c r="G379" s="291"/>
      <c r="H379" s="291"/>
      <c r="I379" s="291"/>
      <c r="J379" s="244"/>
      <c r="K379" s="41"/>
    </row>
    <row r="380" spans="2:11" ht="9.75" customHeight="1" x14ac:dyDescent="0.2">
      <c r="B380" s="38"/>
      <c r="C380" s="280" t="str">
        <f>"4:"</f>
        <v>4:</v>
      </c>
      <c r="D380" s="278" t="s">
        <v>936</v>
      </c>
      <c r="E380" s="40"/>
      <c r="F380" s="40"/>
      <c r="G380" s="40"/>
      <c r="H380" s="40"/>
      <c r="I380" s="40"/>
      <c r="J380" s="40"/>
      <c r="K380" s="41"/>
    </row>
    <row r="381" spans="2:11" x14ac:dyDescent="0.2">
      <c r="B381" s="38"/>
      <c r="C381" s="40" t="s">
        <v>85</v>
      </c>
      <c r="D381" s="40"/>
      <c r="E381" s="40"/>
      <c r="F381" s="40"/>
      <c r="G381" s="40"/>
      <c r="H381" s="40"/>
      <c r="I381" s="40"/>
      <c r="J381" s="254">
        <f>'Baseline Health'!G114</f>
        <v>7</v>
      </c>
      <c r="K381" s="41"/>
    </row>
    <row r="382" spans="2:11" x14ac:dyDescent="0.2">
      <c r="B382" s="38"/>
      <c r="C382" s="40" t="s">
        <v>297</v>
      </c>
      <c r="D382" s="40"/>
      <c r="E382" s="40"/>
      <c r="F382" s="40"/>
      <c r="G382" s="40"/>
      <c r="H382" s="40"/>
      <c r="I382" s="40"/>
      <c r="J382" s="266">
        <v>0</v>
      </c>
      <c r="K382" s="41"/>
    </row>
    <row r="383" spans="2:11" x14ac:dyDescent="0.2">
      <c r="B383" s="38"/>
      <c r="C383" s="40" t="s">
        <v>261</v>
      </c>
      <c r="D383" s="40"/>
      <c r="E383" s="40"/>
      <c r="F383" s="40"/>
      <c r="G383" s="40"/>
      <c r="H383" s="40"/>
      <c r="I383" s="40"/>
      <c r="J383" s="248">
        <f>IF((J382-J381)&lt;1,0,IF((J382-J381)&lt;3,1,IF((J382-J381)&lt;5,2,IF((J382-J381)&lt;7,3,4))))</f>
        <v>0</v>
      </c>
      <c r="K383" s="41"/>
    </row>
    <row r="384" spans="2:11" x14ac:dyDescent="0.2">
      <c r="B384" s="38"/>
      <c r="C384" s="40" t="s">
        <v>893</v>
      </c>
      <c r="D384" s="40"/>
      <c r="E384" s="40"/>
      <c r="F384" s="40"/>
      <c r="G384" s="40"/>
      <c r="H384" s="40"/>
      <c r="I384" s="40"/>
      <c r="J384" s="40"/>
      <c r="K384" s="41"/>
    </row>
    <row r="385" spans="2:11" ht="15" customHeight="1" x14ac:dyDescent="0.2">
      <c r="B385" s="38"/>
      <c r="C385" s="399"/>
      <c r="D385" s="400"/>
      <c r="E385" s="400"/>
      <c r="F385" s="400"/>
      <c r="G385" s="400"/>
      <c r="H385" s="400"/>
      <c r="I385" s="400"/>
      <c r="J385" s="401"/>
      <c r="K385" s="41"/>
    </row>
    <row r="386" spans="2:11" x14ac:dyDescent="0.2">
      <c r="B386" s="38"/>
      <c r="C386" s="40"/>
      <c r="D386" s="40"/>
      <c r="E386" s="40"/>
      <c r="F386" s="40"/>
      <c r="G386" s="40"/>
      <c r="H386" s="40"/>
      <c r="I386" s="40"/>
      <c r="J386" s="40"/>
      <c r="K386" s="41"/>
    </row>
    <row r="387" spans="2:11" x14ac:dyDescent="0.2">
      <c r="B387" s="38"/>
      <c r="C387" s="179" t="s">
        <v>889</v>
      </c>
      <c r="D387" s="40"/>
      <c r="E387" s="40"/>
      <c r="F387" s="40"/>
      <c r="G387" s="40"/>
      <c r="H387" s="40"/>
      <c r="I387" s="40"/>
      <c r="J387" s="245">
        <f>IF(OR(J375="Not Calculated",J383="Not Calculated")=TRUE,"Not Calculated",AVERAGE(J375,J383))</f>
        <v>2</v>
      </c>
      <c r="K387" s="41"/>
    </row>
    <row r="388" spans="2:11" x14ac:dyDescent="0.2">
      <c r="B388" s="38"/>
      <c r="C388" s="40"/>
      <c r="D388" s="40"/>
      <c r="E388" s="40"/>
      <c r="F388" s="40"/>
      <c r="G388" s="40"/>
      <c r="H388" s="40"/>
      <c r="I388" s="40"/>
      <c r="J388" s="40"/>
      <c r="K388" s="41"/>
    </row>
    <row r="389" spans="2:11" x14ac:dyDescent="0.2">
      <c r="B389" s="38"/>
      <c r="C389" s="40"/>
      <c r="D389" s="40"/>
      <c r="E389" s="40"/>
      <c r="F389" s="40"/>
      <c r="G389" s="40"/>
      <c r="H389" s="40"/>
      <c r="I389" s="40"/>
      <c r="J389" s="40"/>
      <c r="K389" s="41"/>
    </row>
    <row r="390" spans="2:11" ht="16" x14ac:dyDescent="0.2">
      <c r="B390" s="38"/>
      <c r="C390" s="45" t="s">
        <v>860</v>
      </c>
      <c r="D390" s="40"/>
      <c r="E390" s="40"/>
      <c r="F390" s="40"/>
      <c r="G390" s="40"/>
      <c r="H390" s="40"/>
      <c r="I390" s="40"/>
      <c r="J390" s="40"/>
      <c r="K390" s="41"/>
    </row>
    <row r="391" spans="2:11" x14ac:dyDescent="0.2">
      <c r="B391" s="38"/>
      <c r="C391" s="380" t="s">
        <v>849</v>
      </c>
      <c r="D391" s="380"/>
      <c r="E391" s="380"/>
      <c r="F391" s="380"/>
      <c r="G391" s="380"/>
      <c r="H391" s="380"/>
      <c r="I391" s="380"/>
      <c r="J391" s="181"/>
      <c r="K391" s="41"/>
    </row>
    <row r="392" spans="2:11" x14ac:dyDescent="0.2">
      <c r="B392" s="38"/>
      <c r="C392" s="380"/>
      <c r="D392" s="380"/>
      <c r="E392" s="380"/>
      <c r="F392" s="380"/>
      <c r="G392" s="380"/>
      <c r="H392" s="380"/>
      <c r="I392" s="380"/>
      <c r="J392" s="264">
        <v>0</v>
      </c>
      <c r="K392" s="41"/>
    </row>
    <row r="393" spans="2:11" x14ac:dyDescent="0.2">
      <c r="B393" s="38"/>
      <c r="C393" s="40" t="s">
        <v>853</v>
      </c>
      <c r="D393" s="291"/>
      <c r="E393" s="291"/>
      <c r="F393" s="291"/>
      <c r="G393" s="291"/>
      <c r="H393" s="291"/>
      <c r="I393" s="291"/>
      <c r="J393" s="255">
        <f>'Baseline Health'!$G$102</f>
        <v>0</v>
      </c>
      <c r="K393" s="41"/>
    </row>
    <row r="394" spans="2:11" ht="15" customHeight="1" x14ac:dyDescent="0.2">
      <c r="B394" s="38"/>
      <c r="C394" s="40" t="s">
        <v>850</v>
      </c>
      <c r="D394" s="291"/>
      <c r="E394" s="291"/>
      <c r="F394" s="291"/>
      <c r="G394" s="291"/>
      <c r="H394" s="291"/>
      <c r="I394" s="291"/>
      <c r="J394" s="244" t="str">
        <f>IF('Baseline Health'!$G$102=0,"Not Calculated",100*J392/'Baseline Health'!$G$102)</f>
        <v>Not Calculated</v>
      </c>
      <c r="K394" s="41"/>
    </row>
    <row r="395" spans="2:11" ht="15" customHeight="1" x14ac:dyDescent="0.2">
      <c r="B395" s="38"/>
      <c r="C395" s="40" t="s">
        <v>260</v>
      </c>
      <c r="D395" s="40"/>
      <c r="E395" s="40"/>
      <c r="F395" s="40"/>
      <c r="G395" s="40"/>
      <c r="H395" s="40"/>
      <c r="I395" s="40"/>
      <c r="J395" s="43">
        <f>IF(J394&lt;=0,0,IF(J394&lt;=1,1,IF(J394&lt;=5,2,IF(J394&lt;=10,3,4))))</f>
        <v>4</v>
      </c>
      <c r="K395" s="41"/>
    </row>
    <row r="396" spans="2:11" ht="9.75" customHeight="1" x14ac:dyDescent="0.2">
      <c r="B396" s="38"/>
      <c r="C396" s="279" t="str">
        <f>"0:"</f>
        <v>0:</v>
      </c>
      <c r="D396" s="278" t="s">
        <v>932</v>
      </c>
      <c r="E396" s="291"/>
      <c r="F396" s="291"/>
      <c r="G396" s="291"/>
      <c r="H396" s="291"/>
      <c r="I396" s="291"/>
      <c r="J396" s="244"/>
      <c r="K396" s="41"/>
    </row>
    <row r="397" spans="2:11" ht="9.75" customHeight="1" x14ac:dyDescent="0.2">
      <c r="B397" s="38"/>
      <c r="C397" s="280" t="str">
        <f>"1:"</f>
        <v>1:</v>
      </c>
      <c r="D397" s="278" t="s">
        <v>934</v>
      </c>
      <c r="E397" s="291"/>
      <c r="F397" s="291"/>
      <c r="G397" s="291"/>
      <c r="H397" s="291"/>
      <c r="I397" s="291"/>
      <c r="J397" s="244"/>
      <c r="K397" s="41"/>
    </row>
    <row r="398" spans="2:11" ht="9.75" customHeight="1" x14ac:dyDescent="0.2">
      <c r="B398" s="38"/>
      <c r="C398" s="280" t="str">
        <f>"2:"</f>
        <v>2:</v>
      </c>
      <c r="D398" s="278" t="s">
        <v>933</v>
      </c>
      <c r="E398" s="291"/>
      <c r="F398" s="291"/>
      <c r="G398" s="291"/>
      <c r="H398" s="291"/>
      <c r="I398" s="291"/>
      <c r="J398" s="244"/>
      <c r="K398" s="41"/>
    </row>
    <row r="399" spans="2:11" ht="9.75" customHeight="1" x14ac:dyDescent="0.2">
      <c r="B399" s="38"/>
      <c r="C399" s="280" t="str">
        <f>"3:"</f>
        <v>3:</v>
      </c>
      <c r="D399" s="278" t="s">
        <v>935</v>
      </c>
      <c r="E399" s="291"/>
      <c r="F399" s="291"/>
      <c r="G399" s="291"/>
      <c r="H399" s="291"/>
      <c r="I399" s="291"/>
      <c r="J399" s="244"/>
      <c r="K399" s="41"/>
    </row>
    <row r="400" spans="2:11" ht="9.75" customHeight="1" x14ac:dyDescent="0.2">
      <c r="B400" s="38"/>
      <c r="C400" s="280" t="str">
        <f>"4:"</f>
        <v>4:</v>
      </c>
      <c r="D400" s="278" t="s">
        <v>936</v>
      </c>
      <c r="E400" s="40"/>
      <c r="F400" s="40"/>
      <c r="G400" s="40"/>
      <c r="H400" s="40"/>
      <c r="I400" s="40"/>
      <c r="J400" s="40"/>
      <c r="K400" s="41"/>
    </row>
    <row r="401" spans="2:11" x14ac:dyDescent="0.2">
      <c r="B401" s="38"/>
      <c r="C401" s="40" t="s">
        <v>893</v>
      </c>
      <c r="D401" s="40"/>
      <c r="E401" s="40"/>
      <c r="F401" s="40"/>
      <c r="G401" s="40"/>
      <c r="H401" s="40"/>
      <c r="I401" s="40"/>
      <c r="J401" s="40"/>
      <c r="K401" s="41"/>
    </row>
    <row r="402" spans="2:11" ht="15" customHeight="1" x14ac:dyDescent="0.2">
      <c r="B402" s="38"/>
      <c r="C402" s="399"/>
      <c r="D402" s="400"/>
      <c r="E402" s="400"/>
      <c r="F402" s="400"/>
      <c r="G402" s="400"/>
      <c r="H402" s="400"/>
      <c r="I402" s="400"/>
      <c r="J402" s="401"/>
      <c r="K402" s="41"/>
    </row>
    <row r="403" spans="2:11" x14ac:dyDescent="0.2">
      <c r="B403" s="38"/>
      <c r="C403" s="40"/>
      <c r="D403" s="40"/>
      <c r="E403" s="40"/>
      <c r="F403" s="40"/>
      <c r="G403" s="40"/>
      <c r="H403" s="40"/>
      <c r="I403" s="40"/>
      <c r="J403" s="40"/>
      <c r="K403" s="41"/>
    </row>
    <row r="404" spans="2:11" x14ac:dyDescent="0.2">
      <c r="B404" s="38"/>
      <c r="C404" s="179" t="s">
        <v>890</v>
      </c>
      <c r="D404" s="40"/>
      <c r="E404" s="40"/>
      <c r="F404" s="40"/>
      <c r="G404" s="40"/>
      <c r="H404" s="40"/>
      <c r="I404" s="40"/>
      <c r="J404" s="245">
        <f>J395</f>
        <v>4</v>
      </c>
      <c r="K404" s="41"/>
    </row>
    <row r="405" spans="2:11" x14ac:dyDescent="0.2">
      <c r="B405" s="38"/>
      <c r="C405" s="40"/>
      <c r="D405" s="40"/>
      <c r="E405" s="40"/>
      <c r="F405" s="40"/>
      <c r="G405" s="40"/>
      <c r="H405" s="40"/>
      <c r="I405" s="40"/>
      <c r="J405" s="40"/>
      <c r="K405" s="41"/>
    </row>
    <row r="406" spans="2:11" x14ac:dyDescent="0.2">
      <c r="B406" s="38"/>
      <c r="C406" s="40"/>
      <c r="D406" s="40"/>
      <c r="E406" s="40"/>
      <c r="F406" s="40"/>
      <c r="G406" s="40"/>
      <c r="H406" s="40"/>
      <c r="I406" s="40"/>
      <c r="J406" s="40"/>
      <c r="K406" s="41"/>
    </row>
    <row r="407" spans="2:11" ht="16" x14ac:dyDescent="0.2">
      <c r="B407" s="38"/>
      <c r="C407" s="45" t="s">
        <v>861</v>
      </c>
      <c r="D407" s="40"/>
      <c r="E407" s="40"/>
      <c r="F407" s="40"/>
      <c r="G407" s="40"/>
      <c r="H407" s="40"/>
      <c r="I407" s="40"/>
      <c r="J407" s="40"/>
      <c r="K407" s="41"/>
    </row>
    <row r="408" spans="2:11" x14ac:dyDescent="0.2">
      <c r="B408" s="38"/>
      <c r="C408" s="40" t="s">
        <v>298</v>
      </c>
      <c r="D408" s="40"/>
      <c r="E408" s="40"/>
      <c r="F408" s="40"/>
      <c r="G408" s="40"/>
      <c r="H408" s="40"/>
      <c r="I408" s="40"/>
      <c r="J408" s="269">
        <v>0</v>
      </c>
      <c r="K408" s="41"/>
    </row>
    <row r="409" spans="2:11" x14ac:dyDescent="0.2">
      <c r="B409" s="38"/>
      <c r="C409" s="40" t="s">
        <v>260</v>
      </c>
      <c r="D409" s="40"/>
      <c r="E409" s="40"/>
      <c r="F409" s="40"/>
      <c r="G409" s="40"/>
      <c r="H409" s="40"/>
      <c r="I409" s="40"/>
      <c r="J409" s="253">
        <f>IF(J408&lt;=0,0,IF(J408&lt;=(J161*0.01),1,IF(J408&lt;=(J161*0.05),2,IF(J408&lt;=(J161*0.1),3,4))))</f>
        <v>0</v>
      </c>
      <c r="K409" s="41"/>
    </row>
    <row r="410" spans="2:11" ht="9.75" customHeight="1" x14ac:dyDescent="0.2">
      <c r="B410" s="38"/>
      <c r="C410" s="279" t="str">
        <f>"0:"</f>
        <v>0:</v>
      </c>
      <c r="D410" s="278" t="s">
        <v>939</v>
      </c>
      <c r="E410" s="40"/>
      <c r="F410" s="40"/>
      <c r="G410" s="40"/>
      <c r="H410" s="40"/>
      <c r="I410" s="40"/>
      <c r="J410" s="282"/>
      <c r="K410" s="41"/>
    </row>
    <row r="411" spans="2:11" ht="9.75" customHeight="1" x14ac:dyDescent="0.2">
      <c r="B411" s="38"/>
      <c r="C411" s="280" t="str">
        <f>"1:"</f>
        <v>1:</v>
      </c>
      <c r="D411" s="278" t="s">
        <v>940</v>
      </c>
      <c r="E411" s="40"/>
      <c r="F411" s="40"/>
      <c r="G411" s="40"/>
      <c r="H411" s="40"/>
      <c r="I411" s="40"/>
      <c r="J411" s="282"/>
      <c r="K411" s="41"/>
    </row>
    <row r="412" spans="2:11" ht="9.75" customHeight="1" x14ac:dyDescent="0.2">
      <c r="B412" s="38"/>
      <c r="C412" s="280" t="str">
        <f>"2:"</f>
        <v>2:</v>
      </c>
      <c r="D412" s="278" t="s">
        <v>941</v>
      </c>
      <c r="E412" s="40"/>
      <c r="F412" s="40"/>
      <c r="G412" s="40"/>
      <c r="H412" s="40"/>
      <c r="I412" s="40"/>
      <c r="J412" s="282"/>
      <c r="K412" s="41"/>
    </row>
    <row r="413" spans="2:11" ht="9.75" customHeight="1" x14ac:dyDescent="0.2">
      <c r="B413" s="38"/>
      <c r="C413" s="280" t="str">
        <f>"3:"</f>
        <v>3:</v>
      </c>
      <c r="D413" s="278" t="s">
        <v>942</v>
      </c>
      <c r="E413" s="40"/>
      <c r="F413" s="40"/>
      <c r="G413" s="40"/>
      <c r="H413" s="40"/>
      <c r="I413" s="40"/>
      <c r="J413" s="282"/>
      <c r="K413" s="41"/>
    </row>
    <row r="414" spans="2:11" ht="9.75" customHeight="1" x14ac:dyDescent="0.2">
      <c r="B414" s="38"/>
      <c r="C414" s="280" t="str">
        <f>"4:"</f>
        <v>4:</v>
      </c>
      <c r="D414" s="278" t="s">
        <v>943</v>
      </c>
      <c r="E414" s="40"/>
      <c r="F414" s="40"/>
      <c r="G414" s="40"/>
      <c r="H414" s="40"/>
      <c r="I414" s="40"/>
      <c r="J414" s="40"/>
      <c r="K414" s="41"/>
    </row>
    <row r="415" spans="2:11" x14ac:dyDescent="0.2">
      <c r="B415" s="38"/>
      <c r="C415" s="40" t="s">
        <v>893</v>
      </c>
      <c r="D415" s="40"/>
      <c r="E415" s="40"/>
      <c r="F415" s="40"/>
      <c r="G415" s="40"/>
      <c r="H415" s="40"/>
      <c r="I415" s="40"/>
      <c r="J415" s="40"/>
      <c r="K415" s="41"/>
    </row>
    <row r="416" spans="2:11" ht="15" customHeight="1" x14ac:dyDescent="0.2">
      <c r="B416" s="38"/>
      <c r="C416" s="399"/>
      <c r="D416" s="400"/>
      <c r="E416" s="400"/>
      <c r="F416" s="400"/>
      <c r="G416" s="400"/>
      <c r="H416" s="400"/>
      <c r="I416" s="400"/>
      <c r="J416" s="401"/>
      <c r="K416" s="41"/>
    </row>
    <row r="417" spans="2:11" x14ac:dyDescent="0.2">
      <c r="B417" s="38"/>
      <c r="C417" s="40"/>
      <c r="D417" s="40"/>
      <c r="E417" s="40"/>
      <c r="F417" s="40"/>
      <c r="G417" s="40"/>
      <c r="H417" s="40"/>
      <c r="I417" s="40"/>
      <c r="J417" s="40"/>
      <c r="K417" s="41"/>
    </row>
    <row r="418" spans="2:11" x14ac:dyDescent="0.2">
      <c r="B418" s="38"/>
      <c r="C418" s="179" t="s">
        <v>891</v>
      </c>
      <c r="D418" s="40"/>
      <c r="E418" s="40"/>
      <c r="F418" s="40"/>
      <c r="G418" s="40"/>
      <c r="H418" s="40"/>
      <c r="I418" s="40"/>
      <c r="J418" s="245">
        <f>J409</f>
        <v>0</v>
      </c>
      <c r="K418" s="41"/>
    </row>
    <row r="419" spans="2:11" x14ac:dyDescent="0.2">
      <c r="B419" s="38"/>
      <c r="C419" s="40"/>
      <c r="D419" s="40"/>
      <c r="E419" s="40"/>
      <c r="F419" s="40"/>
      <c r="G419" s="40"/>
      <c r="H419" s="40"/>
      <c r="I419" s="40"/>
      <c r="J419" s="40"/>
      <c r="K419" s="41"/>
    </row>
    <row r="420" spans="2:11" x14ac:dyDescent="0.2">
      <c r="B420" s="38"/>
      <c r="C420" s="410" t="s">
        <v>881</v>
      </c>
      <c r="D420" s="410"/>
      <c r="E420" s="410"/>
      <c r="F420" s="410"/>
      <c r="G420" s="410"/>
      <c r="H420" s="410"/>
      <c r="I420" s="410"/>
      <c r="J420" s="40"/>
      <c r="K420" s="41"/>
    </row>
    <row r="421" spans="2:11" x14ac:dyDescent="0.2">
      <c r="B421" s="38"/>
      <c r="C421" s="410"/>
      <c r="D421" s="410"/>
      <c r="E421" s="410"/>
      <c r="F421" s="410"/>
      <c r="G421" s="410"/>
      <c r="H421" s="410"/>
      <c r="I421" s="410"/>
      <c r="J421" s="244">
        <f>IF(OR(J288="Not Calculated",J307="Not Calculated",J326="Not Calculated",J349="Not Calculated",J367="Not Calculated",J387="Not Calculated",J404="Not Calculated",J418="Not Calculated")=TRUE,"Not Calculated",AVERAGE(J288,J307,J326,J349,J367,J387,J404,J418))</f>
        <v>1.5</v>
      </c>
      <c r="K421" s="41"/>
    </row>
    <row r="422" spans="2:11" ht="16" thickBot="1" x14ac:dyDescent="0.25">
      <c r="B422" s="46"/>
      <c r="C422" s="47"/>
      <c r="D422" s="47"/>
      <c r="E422" s="47"/>
      <c r="F422" s="47"/>
      <c r="G422" s="47"/>
      <c r="H422" s="47"/>
      <c r="I422" s="47"/>
      <c r="J422" s="47"/>
      <c r="K422" s="49"/>
    </row>
    <row r="423" spans="2:11" ht="16" thickBot="1" x14ac:dyDescent="0.25"/>
    <row r="424" spans="2:11" x14ac:dyDescent="0.2">
      <c r="B424" s="33"/>
      <c r="C424" s="34"/>
      <c r="D424" s="34"/>
      <c r="E424" s="34"/>
      <c r="F424" s="34"/>
      <c r="G424" s="34"/>
      <c r="H424" s="34"/>
      <c r="I424" s="34"/>
      <c r="J424" s="34"/>
      <c r="K424" s="37"/>
    </row>
    <row r="425" spans="2:11" ht="21" x14ac:dyDescent="0.25">
      <c r="B425" s="38"/>
      <c r="C425" s="40"/>
      <c r="D425" s="40"/>
      <c r="E425" s="40"/>
      <c r="F425" s="40"/>
      <c r="G425" s="172" t="s">
        <v>230</v>
      </c>
      <c r="H425" s="40"/>
      <c r="I425" s="40"/>
      <c r="J425" s="40"/>
      <c r="K425" s="41"/>
    </row>
    <row r="426" spans="2:11" x14ac:dyDescent="0.2">
      <c r="B426" s="38"/>
      <c r="C426" s="40"/>
      <c r="D426" s="40"/>
      <c r="E426" s="40"/>
      <c r="F426" s="40"/>
      <c r="G426" s="40"/>
      <c r="H426" s="40"/>
      <c r="I426" s="40"/>
      <c r="J426" s="40"/>
      <c r="K426" s="41"/>
    </row>
    <row r="427" spans="2:11" ht="16" x14ac:dyDescent="0.2">
      <c r="B427" s="38"/>
      <c r="C427" s="45" t="s">
        <v>299</v>
      </c>
      <c r="D427" s="40"/>
      <c r="E427" s="40"/>
      <c r="F427" s="40"/>
      <c r="G427" s="40"/>
      <c r="H427" s="40"/>
      <c r="I427" s="40"/>
      <c r="J427" s="40"/>
      <c r="K427" s="41"/>
    </row>
    <row r="428" spans="2:11" x14ac:dyDescent="0.2">
      <c r="B428" s="38"/>
      <c r="C428" s="40" t="s">
        <v>300</v>
      </c>
      <c r="D428" s="40"/>
      <c r="E428" s="40"/>
      <c r="F428" s="40"/>
      <c r="G428" s="40"/>
      <c r="H428" s="40"/>
      <c r="I428" s="40"/>
      <c r="J428" s="270">
        <v>0</v>
      </c>
      <c r="K428" s="41"/>
    </row>
    <row r="429" spans="2:11" x14ac:dyDescent="0.2">
      <c r="B429" s="38"/>
      <c r="C429" s="40" t="s">
        <v>260</v>
      </c>
      <c r="D429" s="40"/>
      <c r="E429" s="40"/>
      <c r="F429" s="40"/>
      <c r="G429" s="40"/>
      <c r="H429" s="40"/>
      <c r="I429" s="40"/>
      <c r="J429" s="248">
        <f>IF(J428&lt;=0,0,IF(J428&lt;=1,1,IF(J428&lt;=5,2,IF(J428&lt;=10,3,4))))</f>
        <v>0</v>
      </c>
      <c r="K429" s="41"/>
    </row>
    <row r="430" spans="2:11" s="98" customFormat="1" ht="9.75" customHeight="1" x14ac:dyDescent="0.2">
      <c r="B430" s="288"/>
      <c r="C430" s="279" t="str">
        <f>"0:"</f>
        <v>0:</v>
      </c>
      <c r="D430" s="290" t="s">
        <v>944</v>
      </c>
      <c r="E430" s="245"/>
      <c r="F430" s="245"/>
      <c r="G430" s="245"/>
      <c r="H430" s="245"/>
      <c r="I430" s="245"/>
      <c r="J430" s="245"/>
      <c r="K430" s="289"/>
    </row>
    <row r="431" spans="2:11" s="98" customFormat="1" ht="9.75" customHeight="1" x14ac:dyDescent="0.2">
      <c r="B431" s="288"/>
      <c r="C431" s="280" t="str">
        <f>"1:"</f>
        <v>1:</v>
      </c>
      <c r="D431" s="290" t="s">
        <v>945</v>
      </c>
      <c r="E431" s="245"/>
      <c r="F431" s="245"/>
      <c r="G431" s="245"/>
      <c r="H431" s="245"/>
      <c r="I431" s="245"/>
      <c r="J431" s="245"/>
      <c r="K431" s="289"/>
    </row>
    <row r="432" spans="2:11" s="98" customFormat="1" ht="9.75" customHeight="1" x14ac:dyDescent="0.2">
      <c r="B432" s="288"/>
      <c r="C432" s="280" t="str">
        <f>"2:"</f>
        <v>2:</v>
      </c>
      <c r="D432" s="290" t="s">
        <v>946</v>
      </c>
      <c r="E432" s="245"/>
      <c r="F432" s="245"/>
      <c r="G432" s="245"/>
      <c r="H432" s="245"/>
      <c r="I432" s="245"/>
      <c r="J432" s="245"/>
      <c r="K432" s="289"/>
    </row>
    <row r="433" spans="2:11" s="98" customFormat="1" ht="9.75" customHeight="1" x14ac:dyDescent="0.2">
      <c r="B433" s="288"/>
      <c r="C433" s="280" t="str">
        <f>"3:"</f>
        <v>3:</v>
      </c>
      <c r="D433" s="290" t="s">
        <v>947</v>
      </c>
      <c r="E433" s="245"/>
      <c r="F433" s="245"/>
      <c r="G433" s="245"/>
      <c r="H433" s="245"/>
      <c r="I433" s="245"/>
      <c r="J433" s="245"/>
      <c r="K433" s="289"/>
    </row>
    <row r="434" spans="2:11" s="98" customFormat="1" ht="9.75" customHeight="1" x14ac:dyDescent="0.2">
      <c r="B434" s="288"/>
      <c r="C434" s="280" t="str">
        <f>"4:"</f>
        <v>4:</v>
      </c>
      <c r="D434" s="290" t="s">
        <v>948</v>
      </c>
      <c r="E434" s="245"/>
      <c r="F434" s="245"/>
      <c r="G434" s="245"/>
      <c r="H434" s="245"/>
      <c r="I434" s="245"/>
      <c r="J434" s="247"/>
      <c r="K434" s="289"/>
    </row>
    <row r="435" spans="2:11" x14ac:dyDescent="0.2">
      <c r="B435" s="38"/>
      <c r="C435" s="40" t="s">
        <v>257</v>
      </c>
      <c r="D435" s="40"/>
      <c r="E435" s="40"/>
      <c r="F435" s="40"/>
      <c r="G435" s="40"/>
      <c r="H435" s="40"/>
      <c r="I435" s="40"/>
      <c r="J435" s="266" t="s">
        <v>870</v>
      </c>
      <c r="K435" s="41"/>
    </row>
    <row r="436" spans="2:11" x14ac:dyDescent="0.2">
      <c r="B436" s="38"/>
      <c r="C436" s="40" t="s">
        <v>261</v>
      </c>
      <c r="D436" s="40"/>
      <c r="E436" s="40"/>
      <c r="F436" s="40"/>
      <c r="G436" s="40"/>
      <c r="H436" s="40"/>
      <c r="I436" s="40"/>
      <c r="J436" s="248">
        <f>IF(J435=$B$973,$A$973,IF(J435=$B$974,$A$974,IF(J435=$B$975,$A$975,IF(J435=$B$976,$A$976,IF(J435=$B$977,$A$977,"Not Calculated")))))</f>
        <v>0</v>
      </c>
      <c r="K436" s="41"/>
    </row>
    <row r="437" spans="2:11" x14ac:dyDescent="0.2">
      <c r="B437" s="38"/>
      <c r="C437" s="40" t="s">
        <v>893</v>
      </c>
      <c r="D437" s="40"/>
      <c r="E437" s="40"/>
      <c r="F437" s="40"/>
      <c r="G437" s="40"/>
      <c r="H437" s="40"/>
      <c r="I437" s="40"/>
      <c r="J437" s="40"/>
      <c r="K437" s="41"/>
    </row>
    <row r="438" spans="2:11" ht="45" customHeight="1" x14ac:dyDescent="0.2">
      <c r="B438" s="38"/>
      <c r="C438" s="399"/>
      <c r="D438" s="400"/>
      <c r="E438" s="400"/>
      <c r="F438" s="400"/>
      <c r="G438" s="400"/>
      <c r="H438" s="400"/>
      <c r="I438" s="400"/>
      <c r="J438" s="401"/>
      <c r="K438" s="41"/>
    </row>
    <row r="439" spans="2:11" x14ac:dyDescent="0.2">
      <c r="B439" s="38"/>
      <c r="C439" s="40"/>
      <c r="D439" s="40"/>
      <c r="E439" s="40"/>
      <c r="F439" s="40"/>
      <c r="G439" s="40"/>
      <c r="H439" s="40"/>
      <c r="I439" s="40"/>
      <c r="J439" s="40"/>
      <c r="K439" s="41"/>
    </row>
    <row r="440" spans="2:11" x14ac:dyDescent="0.2">
      <c r="B440" s="38"/>
      <c r="C440" s="179" t="s">
        <v>301</v>
      </c>
      <c r="D440" s="40"/>
      <c r="E440" s="40"/>
      <c r="F440" s="40"/>
      <c r="G440" s="40"/>
      <c r="H440" s="40"/>
      <c r="I440" s="40"/>
      <c r="J440" s="245">
        <f>IF(OR(J429="Not Calculated",J436="Not Calculated")=TRUE,"Not Calculated",AVERAGE(J429,J436))</f>
        <v>0</v>
      </c>
      <c r="K440" s="41"/>
    </row>
    <row r="441" spans="2:11" x14ac:dyDescent="0.2">
      <c r="B441" s="38"/>
      <c r="C441" s="40"/>
      <c r="D441" s="40"/>
      <c r="E441" s="40"/>
      <c r="F441" s="40"/>
      <c r="G441" s="40"/>
      <c r="H441" s="40"/>
      <c r="I441" s="40"/>
      <c r="J441" s="40"/>
      <c r="K441" s="41"/>
    </row>
    <row r="442" spans="2:11" x14ac:dyDescent="0.2">
      <c r="B442" s="38"/>
      <c r="C442" s="40"/>
      <c r="D442" s="40"/>
      <c r="E442" s="40"/>
      <c r="F442" s="40"/>
      <c r="G442" s="40"/>
      <c r="H442" s="40"/>
      <c r="I442" s="40"/>
      <c r="J442" s="40"/>
      <c r="K442" s="41"/>
    </row>
    <row r="443" spans="2:11" ht="16" x14ac:dyDescent="0.2">
      <c r="B443" s="38"/>
      <c r="C443" s="45" t="s">
        <v>303</v>
      </c>
      <c r="D443" s="40"/>
      <c r="E443" s="40"/>
      <c r="F443" s="40"/>
      <c r="G443" s="40"/>
      <c r="H443" s="40"/>
      <c r="I443" s="40"/>
      <c r="J443" s="40"/>
      <c r="K443" s="41"/>
    </row>
    <row r="444" spans="2:11" ht="15" customHeight="1" x14ac:dyDescent="0.2">
      <c r="B444" s="38"/>
      <c r="C444" s="380" t="s">
        <v>305</v>
      </c>
      <c r="D444" s="380"/>
      <c r="E444" s="380"/>
      <c r="F444" s="380"/>
      <c r="G444" s="380"/>
      <c r="H444" s="380"/>
      <c r="I444" s="380"/>
      <c r="J444" s="40"/>
      <c r="K444" s="41"/>
    </row>
    <row r="445" spans="2:11" x14ac:dyDescent="0.2">
      <c r="B445" s="38"/>
      <c r="C445" s="380"/>
      <c r="D445" s="380"/>
      <c r="E445" s="380"/>
      <c r="F445" s="380"/>
      <c r="G445" s="380"/>
      <c r="H445" s="380"/>
      <c r="I445" s="380"/>
      <c r="J445" s="270">
        <v>0</v>
      </c>
      <c r="K445" s="41"/>
    </row>
    <row r="446" spans="2:11" x14ac:dyDescent="0.2">
      <c r="B446" s="38"/>
      <c r="C446" s="40" t="s">
        <v>260</v>
      </c>
      <c r="D446" s="40"/>
      <c r="E446" s="40"/>
      <c r="F446" s="40"/>
      <c r="G446" s="40"/>
      <c r="H446" s="40"/>
      <c r="I446" s="40"/>
      <c r="J446" s="248">
        <f>IF(J445&lt;=0,0,IF(J445&lt;=1,1,IF(J445&lt;=5,2,IF(J445&lt;=10,3,4))))</f>
        <v>0</v>
      </c>
      <c r="K446" s="41"/>
    </row>
    <row r="447" spans="2:11" ht="9.75" customHeight="1" x14ac:dyDescent="0.2">
      <c r="B447" s="38"/>
      <c r="C447" s="279" t="str">
        <f>"0:"</f>
        <v>0:</v>
      </c>
      <c r="D447" s="278" t="s">
        <v>944</v>
      </c>
      <c r="E447" s="40"/>
      <c r="F447" s="40"/>
      <c r="G447" s="40"/>
      <c r="H447" s="40"/>
      <c r="I447" s="40"/>
      <c r="J447" s="245"/>
      <c r="K447" s="41"/>
    </row>
    <row r="448" spans="2:11" ht="9.75" customHeight="1" x14ac:dyDescent="0.2">
      <c r="B448" s="38"/>
      <c r="C448" s="280" t="str">
        <f>"1:"</f>
        <v>1:</v>
      </c>
      <c r="D448" s="278" t="s">
        <v>945</v>
      </c>
      <c r="E448" s="40"/>
      <c r="F448" s="40"/>
      <c r="G448" s="40"/>
      <c r="H448" s="40"/>
      <c r="I448" s="40"/>
      <c r="J448" s="245"/>
      <c r="K448" s="41"/>
    </row>
    <row r="449" spans="2:11" ht="9.75" customHeight="1" x14ac:dyDescent="0.2">
      <c r="B449" s="38"/>
      <c r="C449" s="280" t="str">
        <f>"2:"</f>
        <v>2:</v>
      </c>
      <c r="D449" s="278" t="s">
        <v>946</v>
      </c>
      <c r="E449" s="40"/>
      <c r="F449" s="40"/>
      <c r="G449" s="40"/>
      <c r="H449" s="40"/>
      <c r="I449" s="40"/>
      <c r="J449" s="245"/>
      <c r="K449" s="41"/>
    </row>
    <row r="450" spans="2:11" ht="9.75" customHeight="1" x14ac:dyDescent="0.2">
      <c r="B450" s="38"/>
      <c r="C450" s="280" t="str">
        <f>"3:"</f>
        <v>3:</v>
      </c>
      <c r="D450" s="278" t="s">
        <v>947</v>
      </c>
      <c r="E450" s="40"/>
      <c r="F450" s="40"/>
      <c r="G450" s="40"/>
      <c r="H450" s="40"/>
      <c r="I450" s="40"/>
      <c r="J450" s="245"/>
      <c r="K450" s="41"/>
    </row>
    <row r="451" spans="2:11" ht="9.75" customHeight="1" x14ac:dyDescent="0.2">
      <c r="B451" s="38"/>
      <c r="C451" s="280" t="str">
        <f>"4:"</f>
        <v>4:</v>
      </c>
      <c r="D451" s="278" t="s">
        <v>948</v>
      </c>
      <c r="E451" s="40"/>
      <c r="F451" s="40"/>
      <c r="G451" s="40"/>
      <c r="H451" s="40"/>
      <c r="I451" s="40"/>
      <c r="J451" s="247"/>
      <c r="K451" s="41"/>
    </row>
    <row r="452" spans="2:11" x14ac:dyDescent="0.2">
      <c r="B452" s="38"/>
      <c r="C452" s="40" t="s">
        <v>257</v>
      </c>
      <c r="D452" s="40"/>
      <c r="E452" s="40"/>
      <c r="F452" s="40"/>
      <c r="G452" s="40"/>
      <c r="H452" s="40"/>
      <c r="I452" s="40"/>
      <c r="J452" s="266" t="s">
        <v>870</v>
      </c>
      <c r="K452" s="41"/>
    </row>
    <row r="453" spans="2:11" x14ac:dyDescent="0.2">
      <c r="B453" s="38"/>
      <c r="C453" s="40" t="s">
        <v>261</v>
      </c>
      <c r="D453" s="40"/>
      <c r="E453" s="40"/>
      <c r="F453" s="40"/>
      <c r="G453" s="40"/>
      <c r="H453" s="40"/>
      <c r="I453" s="40"/>
      <c r="J453" s="248">
        <f>IF(J452=$B$973,$A$973,IF(J452=$B$974,$A$974,IF(J452=$B$975,$A$975,IF(J452=$B$976,$A$976,IF(J452=$B$977,$A$977,"Not Calculated")))))</f>
        <v>0</v>
      </c>
      <c r="K453" s="41"/>
    </row>
    <row r="454" spans="2:11" x14ac:dyDescent="0.2">
      <c r="B454" s="38"/>
      <c r="C454" s="40" t="s">
        <v>893</v>
      </c>
      <c r="D454" s="40"/>
      <c r="E454" s="40"/>
      <c r="F454" s="40"/>
      <c r="G454" s="40"/>
      <c r="H454" s="40"/>
      <c r="I454" s="40"/>
      <c r="J454" s="40"/>
      <c r="K454" s="41"/>
    </row>
    <row r="455" spans="2:11" ht="45" customHeight="1" x14ac:dyDescent="0.2">
      <c r="B455" s="38"/>
      <c r="C455" s="399"/>
      <c r="D455" s="400"/>
      <c r="E455" s="400"/>
      <c r="F455" s="400"/>
      <c r="G455" s="400"/>
      <c r="H455" s="400"/>
      <c r="I455" s="400"/>
      <c r="J455" s="401"/>
      <c r="K455" s="41"/>
    </row>
    <row r="456" spans="2:11" x14ac:dyDescent="0.2">
      <c r="B456" s="38"/>
      <c r="C456" s="40"/>
      <c r="D456" s="40"/>
      <c r="E456" s="40"/>
      <c r="F456" s="40"/>
      <c r="G456" s="40"/>
      <c r="H456" s="40"/>
      <c r="I456" s="40"/>
      <c r="J456" s="40"/>
      <c r="K456" s="41"/>
    </row>
    <row r="457" spans="2:11" x14ac:dyDescent="0.2">
      <c r="B457" s="38"/>
      <c r="C457" s="179" t="s">
        <v>304</v>
      </c>
      <c r="D457" s="40"/>
      <c r="E457" s="40"/>
      <c r="F457" s="40"/>
      <c r="G457" s="40"/>
      <c r="H457" s="40"/>
      <c r="I457" s="40"/>
      <c r="J457" s="245">
        <f>IF(OR(J446="Not Calculated",J453="Not Calculated")=TRUE,"Not Calculated",AVERAGE(J446,J453))</f>
        <v>0</v>
      </c>
      <c r="K457" s="41"/>
    </row>
    <row r="458" spans="2:11" x14ac:dyDescent="0.2">
      <c r="B458" s="38"/>
      <c r="C458" s="40"/>
      <c r="D458" s="40"/>
      <c r="E458" s="40"/>
      <c r="F458" s="40"/>
      <c r="G458" s="40"/>
      <c r="H458" s="40"/>
      <c r="I458" s="40"/>
      <c r="J458" s="40"/>
      <c r="K458" s="41"/>
    </row>
    <row r="459" spans="2:11" x14ac:dyDescent="0.2">
      <c r="B459" s="38"/>
      <c r="C459" s="40"/>
      <c r="D459" s="40"/>
      <c r="E459" s="40"/>
      <c r="F459" s="40"/>
      <c r="G459" s="40"/>
      <c r="H459" s="40"/>
      <c r="I459" s="40"/>
      <c r="J459" s="40"/>
      <c r="K459" s="41"/>
    </row>
    <row r="460" spans="2:11" ht="16" x14ac:dyDescent="0.2">
      <c r="B460" s="38"/>
      <c r="C460" s="45" t="s">
        <v>306</v>
      </c>
      <c r="D460" s="40"/>
      <c r="E460" s="40"/>
      <c r="F460" s="40"/>
      <c r="G460" s="40"/>
      <c r="H460" s="40"/>
      <c r="I460" s="40"/>
      <c r="J460" s="40"/>
      <c r="K460" s="41"/>
    </row>
    <row r="461" spans="2:11" x14ac:dyDescent="0.2">
      <c r="B461" s="38"/>
      <c r="C461" s="40" t="s">
        <v>949</v>
      </c>
      <c r="D461" s="40"/>
      <c r="E461" s="40"/>
      <c r="F461" s="40"/>
      <c r="G461" s="40"/>
      <c r="H461" s="40"/>
      <c r="I461" s="40"/>
      <c r="J461" s="270">
        <v>0</v>
      </c>
      <c r="K461" s="41"/>
    </row>
    <row r="462" spans="2:11" x14ac:dyDescent="0.2">
      <c r="B462" s="38"/>
      <c r="C462" s="40" t="s">
        <v>260</v>
      </c>
      <c r="D462" s="40"/>
      <c r="E462" s="40"/>
      <c r="F462" s="40"/>
      <c r="G462" s="40"/>
      <c r="H462" s="40"/>
      <c r="I462" s="40"/>
      <c r="J462" s="248">
        <f>IF(J461&lt;=0,0,IF(J461&lt;=1,1,IF(J461&lt;=5,2,IF(J461&lt;=10,3,4))))</f>
        <v>0</v>
      </c>
      <c r="K462" s="41"/>
    </row>
    <row r="463" spans="2:11" ht="9.75" customHeight="1" x14ac:dyDescent="0.2">
      <c r="B463" s="38"/>
      <c r="C463" s="279" t="str">
        <f>"0:"</f>
        <v>0:</v>
      </c>
      <c r="D463" s="290" t="s">
        <v>944</v>
      </c>
      <c r="E463" s="40"/>
      <c r="F463" s="40"/>
      <c r="G463" s="40"/>
      <c r="H463" s="40"/>
      <c r="I463" s="40"/>
      <c r="J463" s="245"/>
      <c r="K463" s="41"/>
    </row>
    <row r="464" spans="2:11" ht="9.75" customHeight="1" x14ac:dyDescent="0.2">
      <c r="B464" s="38"/>
      <c r="C464" s="280" t="str">
        <f>"1:"</f>
        <v>1:</v>
      </c>
      <c r="D464" s="290" t="s">
        <v>945</v>
      </c>
      <c r="E464" s="40"/>
      <c r="F464" s="40"/>
      <c r="G464" s="40"/>
      <c r="H464" s="40"/>
      <c r="I464" s="40"/>
      <c r="J464" s="245"/>
      <c r="K464" s="41"/>
    </row>
    <row r="465" spans="2:11" ht="9.75" customHeight="1" x14ac:dyDescent="0.2">
      <c r="B465" s="38"/>
      <c r="C465" s="280" t="str">
        <f>"2:"</f>
        <v>2:</v>
      </c>
      <c r="D465" s="290" t="s">
        <v>946</v>
      </c>
      <c r="E465" s="40"/>
      <c r="F465" s="40"/>
      <c r="G465" s="40"/>
      <c r="H465" s="40"/>
      <c r="I465" s="40"/>
      <c r="J465" s="245"/>
      <c r="K465" s="41"/>
    </row>
    <row r="466" spans="2:11" ht="9.75" customHeight="1" x14ac:dyDescent="0.2">
      <c r="B466" s="38"/>
      <c r="C466" s="280" t="str">
        <f>"3:"</f>
        <v>3:</v>
      </c>
      <c r="D466" s="290" t="s">
        <v>947</v>
      </c>
      <c r="E466" s="40"/>
      <c r="F466" s="40"/>
      <c r="G466" s="40"/>
      <c r="H466" s="40"/>
      <c r="I466" s="40"/>
      <c r="J466" s="245"/>
      <c r="K466" s="41"/>
    </row>
    <row r="467" spans="2:11" ht="9.75" customHeight="1" x14ac:dyDescent="0.2">
      <c r="B467" s="38"/>
      <c r="C467" s="280" t="str">
        <f>"4:"</f>
        <v>4:</v>
      </c>
      <c r="D467" s="290" t="s">
        <v>948</v>
      </c>
      <c r="E467" s="40"/>
      <c r="F467" s="40"/>
      <c r="G467" s="40"/>
      <c r="H467" s="40"/>
      <c r="I467" s="40"/>
      <c r="J467" s="247"/>
      <c r="K467" s="41"/>
    </row>
    <row r="468" spans="2:11" x14ac:dyDescent="0.2">
      <c r="B468" s="38"/>
      <c r="C468" s="40" t="s">
        <v>257</v>
      </c>
      <c r="D468" s="40"/>
      <c r="E468" s="40"/>
      <c r="F468" s="40"/>
      <c r="G468" s="40"/>
      <c r="H468" s="40"/>
      <c r="I468" s="40"/>
      <c r="J468" s="266" t="s">
        <v>870</v>
      </c>
      <c r="K468" s="41"/>
    </row>
    <row r="469" spans="2:11" ht="15" customHeight="1" x14ac:dyDescent="0.2">
      <c r="B469" s="38"/>
      <c r="C469" s="40" t="s">
        <v>261</v>
      </c>
      <c r="D469" s="40"/>
      <c r="E469" s="40"/>
      <c r="F469" s="40"/>
      <c r="G469" s="40"/>
      <c r="H469" s="40"/>
      <c r="I469" s="40"/>
      <c r="J469" s="248">
        <f>IF(J468=$B$973,$A$973,IF(J468=$B$974,$A$974,IF(J468=$B$975,$A$975,IF(J468=$B$976,$A$976,IF(J468=$B$977,$A$977,"Not Calculated")))))</f>
        <v>0</v>
      </c>
      <c r="K469" s="41"/>
    </row>
    <row r="470" spans="2:11" x14ac:dyDescent="0.2">
      <c r="B470" s="38"/>
      <c r="C470" s="40" t="s">
        <v>893</v>
      </c>
      <c r="D470" s="40"/>
      <c r="E470" s="40"/>
      <c r="F470" s="40"/>
      <c r="G470" s="40"/>
      <c r="H470" s="40"/>
      <c r="I470" s="40"/>
      <c r="J470" s="40"/>
      <c r="K470" s="41"/>
    </row>
    <row r="471" spans="2:11" ht="30.75" customHeight="1" x14ac:dyDescent="0.2">
      <c r="B471" s="38"/>
      <c r="C471" s="399"/>
      <c r="D471" s="400"/>
      <c r="E471" s="400"/>
      <c r="F471" s="400"/>
      <c r="G471" s="400"/>
      <c r="H471" s="400"/>
      <c r="I471" s="400"/>
      <c r="J471" s="401"/>
      <c r="K471" s="41"/>
    </row>
    <row r="472" spans="2:11" x14ac:dyDescent="0.2">
      <c r="B472" s="38"/>
      <c r="C472" s="40"/>
      <c r="D472" s="40"/>
      <c r="E472" s="40"/>
      <c r="F472" s="40"/>
      <c r="G472" s="40"/>
      <c r="H472" s="40"/>
      <c r="I472" s="40"/>
      <c r="J472" s="40"/>
      <c r="K472" s="41"/>
    </row>
    <row r="473" spans="2:11" x14ac:dyDescent="0.2">
      <c r="B473" s="38"/>
      <c r="C473" s="179" t="s">
        <v>307</v>
      </c>
      <c r="D473" s="40"/>
      <c r="E473" s="40"/>
      <c r="F473" s="40"/>
      <c r="G473" s="40"/>
      <c r="H473" s="40"/>
      <c r="I473" s="40"/>
      <c r="J473" s="245">
        <f>IF(OR(J462="Not Calculated",J469="Not Calculated")=TRUE,"Not Calculated",AVERAGE(J462,J469))</f>
        <v>0</v>
      </c>
      <c r="K473" s="41"/>
    </row>
    <row r="474" spans="2:11" x14ac:dyDescent="0.2">
      <c r="B474" s="38"/>
      <c r="C474" s="40"/>
      <c r="D474" s="40"/>
      <c r="E474" s="40"/>
      <c r="F474" s="40"/>
      <c r="G474" s="40"/>
      <c r="H474" s="40"/>
      <c r="I474" s="40"/>
      <c r="J474" s="40"/>
      <c r="K474" s="41"/>
    </row>
    <row r="475" spans="2:11" x14ac:dyDescent="0.2">
      <c r="B475" s="38"/>
      <c r="C475" s="40"/>
      <c r="D475" s="40"/>
      <c r="E475" s="40"/>
      <c r="F475" s="40"/>
      <c r="G475" s="40"/>
      <c r="H475" s="40"/>
      <c r="I475" s="40"/>
      <c r="J475" s="40"/>
      <c r="K475" s="41"/>
    </row>
    <row r="476" spans="2:11" ht="16" x14ac:dyDescent="0.2">
      <c r="B476" s="38"/>
      <c r="C476" s="45" t="s">
        <v>308</v>
      </c>
      <c r="D476" s="40"/>
      <c r="E476" s="40"/>
      <c r="F476" s="40"/>
      <c r="G476" s="40"/>
      <c r="H476" s="40"/>
      <c r="I476" s="40"/>
      <c r="J476" s="40"/>
      <c r="K476" s="41"/>
    </row>
    <row r="477" spans="2:11" ht="15" customHeight="1" x14ac:dyDescent="0.2">
      <c r="B477" s="38"/>
      <c r="C477" s="380" t="s">
        <v>310</v>
      </c>
      <c r="D477" s="380"/>
      <c r="E477" s="380"/>
      <c r="F477" s="380"/>
      <c r="G477" s="380"/>
      <c r="H477" s="380"/>
      <c r="I477" s="380"/>
      <c r="J477" s="40"/>
      <c r="K477" s="41"/>
    </row>
    <row r="478" spans="2:11" x14ac:dyDescent="0.2">
      <c r="B478" s="38"/>
      <c r="C478" s="380"/>
      <c r="D478" s="380"/>
      <c r="E478" s="380"/>
      <c r="F478" s="380"/>
      <c r="G478" s="380"/>
      <c r="H478" s="380"/>
      <c r="I478" s="380"/>
      <c r="J478" s="131">
        <v>0</v>
      </c>
      <c r="K478" s="41"/>
    </row>
    <row r="479" spans="2:11" x14ac:dyDescent="0.2">
      <c r="B479" s="38"/>
      <c r="C479" s="40" t="s">
        <v>261</v>
      </c>
      <c r="D479" s="40"/>
      <c r="E479" s="40"/>
      <c r="F479" s="40"/>
      <c r="G479" s="40"/>
      <c r="H479" s="40"/>
      <c r="I479" s="40"/>
      <c r="J479" s="248">
        <f>IF(J478&lt;=0,0,IF(J478&lt;=1,1,IF(J478&lt;=7,2,IF(J478&lt;=14,3,4))))</f>
        <v>0</v>
      </c>
      <c r="K479" s="41"/>
    </row>
    <row r="480" spans="2:11" s="51" customFormat="1" ht="9.75" customHeight="1" x14ac:dyDescent="0.2">
      <c r="B480" s="283"/>
      <c r="C480" s="279" t="str">
        <f>"0:"</f>
        <v>0:</v>
      </c>
      <c r="D480" s="284" t="s">
        <v>950</v>
      </c>
      <c r="E480" s="285"/>
      <c r="F480" s="285"/>
      <c r="G480" s="285"/>
      <c r="H480" s="285"/>
      <c r="I480" s="285"/>
      <c r="J480" s="43"/>
      <c r="K480" s="286"/>
    </row>
    <row r="481" spans="2:11" s="51" customFormat="1" ht="9.75" customHeight="1" x14ac:dyDescent="0.2">
      <c r="B481" s="283"/>
      <c r="C481" s="280" t="str">
        <f>"1:"</f>
        <v>1:</v>
      </c>
      <c r="D481" s="284" t="s">
        <v>951</v>
      </c>
      <c r="E481" s="285"/>
      <c r="F481" s="285"/>
      <c r="G481" s="285"/>
      <c r="H481" s="285"/>
      <c r="I481" s="285"/>
      <c r="J481" s="43"/>
      <c r="K481" s="286"/>
    </row>
    <row r="482" spans="2:11" s="51" customFormat="1" ht="9.75" customHeight="1" x14ac:dyDescent="0.2">
      <c r="B482" s="283"/>
      <c r="C482" s="280" t="str">
        <f>"2:"</f>
        <v>2:</v>
      </c>
      <c r="D482" s="284" t="s">
        <v>952</v>
      </c>
      <c r="E482" s="285"/>
      <c r="F482" s="285"/>
      <c r="G482" s="285"/>
      <c r="H482" s="285"/>
      <c r="I482" s="285"/>
      <c r="J482" s="43"/>
      <c r="K482" s="286"/>
    </row>
    <row r="483" spans="2:11" s="51" customFormat="1" ht="9.75" customHeight="1" x14ac:dyDescent="0.2">
      <c r="B483" s="283"/>
      <c r="C483" s="280" t="str">
        <f>"3:"</f>
        <v>3:</v>
      </c>
      <c r="D483" s="284" t="s">
        <v>953</v>
      </c>
      <c r="E483" s="285"/>
      <c r="F483" s="285"/>
      <c r="G483" s="285"/>
      <c r="H483" s="285"/>
      <c r="I483" s="285"/>
      <c r="J483" s="43"/>
      <c r="K483" s="286"/>
    </row>
    <row r="484" spans="2:11" s="51" customFormat="1" ht="9.75" customHeight="1" x14ac:dyDescent="0.2">
      <c r="B484" s="283"/>
      <c r="C484" s="280" t="str">
        <f>"4:"</f>
        <v>4:</v>
      </c>
      <c r="D484" s="284" t="s">
        <v>954</v>
      </c>
      <c r="E484" s="285"/>
      <c r="F484" s="285"/>
      <c r="G484" s="285"/>
      <c r="H484" s="285"/>
      <c r="I484" s="285"/>
      <c r="J484" s="43"/>
      <c r="K484" s="286"/>
    </row>
    <row r="485" spans="2:11" x14ac:dyDescent="0.2">
      <c r="B485" s="38"/>
      <c r="C485" s="40" t="s">
        <v>893</v>
      </c>
      <c r="D485" s="40"/>
      <c r="E485" s="40"/>
      <c r="F485" s="40"/>
      <c r="G485" s="40"/>
      <c r="H485" s="40"/>
      <c r="I485" s="40"/>
      <c r="J485" s="40"/>
      <c r="K485" s="41"/>
    </row>
    <row r="486" spans="2:11" ht="60" customHeight="1" x14ac:dyDescent="0.2">
      <c r="B486" s="38"/>
      <c r="C486" s="399"/>
      <c r="D486" s="400"/>
      <c r="E486" s="400"/>
      <c r="F486" s="400"/>
      <c r="G486" s="400"/>
      <c r="H486" s="400"/>
      <c r="I486" s="400"/>
      <c r="J486" s="401"/>
      <c r="K486" s="41"/>
    </row>
    <row r="487" spans="2:11" x14ac:dyDescent="0.2">
      <c r="B487" s="38"/>
      <c r="C487" s="40"/>
      <c r="D487" s="40"/>
      <c r="E487" s="40"/>
      <c r="F487" s="40"/>
      <c r="G487" s="40"/>
      <c r="H487" s="40"/>
      <c r="I487" s="40"/>
      <c r="J487" s="40"/>
      <c r="K487" s="41"/>
    </row>
    <row r="488" spans="2:11" x14ac:dyDescent="0.2">
      <c r="B488" s="38"/>
      <c r="C488" s="179" t="s">
        <v>309</v>
      </c>
      <c r="D488" s="40"/>
      <c r="E488" s="40"/>
      <c r="F488" s="40"/>
      <c r="G488" s="40"/>
      <c r="H488" s="40"/>
      <c r="I488" s="40"/>
      <c r="J488" s="245">
        <f>J479</f>
        <v>0</v>
      </c>
      <c r="K488" s="41"/>
    </row>
    <row r="489" spans="2:11" x14ac:dyDescent="0.2">
      <c r="B489" s="38"/>
      <c r="C489" s="40"/>
      <c r="D489" s="40"/>
      <c r="E489" s="40"/>
      <c r="F489" s="40"/>
      <c r="G489" s="40"/>
      <c r="H489" s="40"/>
      <c r="I489" s="40"/>
      <c r="J489" s="40"/>
      <c r="K489" s="41"/>
    </row>
    <row r="490" spans="2:11" x14ac:dyDescent="0.2">
      <c r="B490" s="38"/>
      <c r="C490" s="40"/>
      <c r="D490" s="40"/>
      <c r="E490" s="40"/>
      <c r="F490" s="40"/>
      <c r="G490" s="40"/>
      <c r="H490" s="40"/>
      <c r="I490" s="40"/>
      <c r="J490" s="40"/>
      <c r="K490" s="41"/>
    </row>
    <row r="491" spans="2:11" ht="16" x14ac:dyDescent="0.2">
      <c r="B491" s="38"/>
      <c r="C491" s="45" t="s">
        <v>311</v>
      </c>
      <c r="D491" s="40"/>
      <c r="E491" s="40"/>
      <c r="F491" s="40"/>
      <c r="G491" s="40"/>
      <c r="H491" s="40"/>
      <c r="I491" s="40"/>
      <c r="J491" s="40"/>
      <c r="K491" s="41"/>
    </row>
    <row r="492" spans="2:11" x14ac:dyDescent="0.2">
      <c r="B492" s="38"/>
      <c r="C492" s="40" t="s">
        <v>312</v>
      </c>
      <c r="D492" s="40"/>
      <c r="E492" s="40"/>
      <c r="F492" s="40"/>
      <c r="G492" s="40"/>
      <c r="H492" s="40"/>
      <c r="I492" s="40"/>
      <c r="J492" s="270">
        <v>0</v>
      </c>
      <c r="K492" s="41"/>
    </row>
    <row r="493" spans="2:11" x14ac:dyDescent="0.2">
      <c r="B493" s="38"/>
      <c r="C493" s="40" t="s">
        <v>260</v>
      </c>
      <c r="D493" s="40"/>
      <c r="E493" s="40"/>
      <c r="F493" s="40"/>
      <c r="G493" s="40"/>
      <c r="H493" s="40"/>
      <c r="I493" s="40"/>
      <c r="J493" s="248">
        <f>IF(J492&lt;=0,0,IF(J492&lt;=1,1,IF(J492&lt;=5,2,IF(J492&lt;=10,3,4))))</f>
        <v>0</v>
      </c>
      <c r="K493" s="41"/>
    </row>
    <row r="494" spans="2:11" ht="9.75" customHeight="1" x14ac:dyDescent="0.2">
      <c r="B494" s="38"/>
      <c r="C494" s="279" t="str">
        <f>"0:"</f>
        <v>0:</v>
      </c>
      <c r="D494" s="290" t="s">
        <v>955</v>
      </c>
      <c r="E494" s="40"/>
      <c r="F494" s="40"/>
      <c r="G494" s="40"/>
      <c r="H494" s="40"/>
      <c r="I494" s="40"/>
      <c r="J494" s="245"/>
      <c r="K494" s="41"/>
    </row>
    <row r="495" spans="2:11" ht="9.75" customHeight="1" x14ac:dyDescent="0.2">
      <c r="B495" s="38"/>
      <c r="C495" s="280" t="str">
        <f>"1:"</f>
        <v>1:</v>
      </c>
      <c r="D495" s="290" t="s">
        <v>956</v>
      </c>
      <c r="E495" s="40"/>
      <c r="F495" s="40"/>
      <c r="G495" s="40"/>
      <c r="H495" s="40"/>
      <c r="I495" s="40"/>
      <c r="J495" s="245"/>
      <c r="K495" s="41"/>
    </row>
    <row r="496" spans="2:11" ht="9.75" customHeight="1" x14ac:dyDescent="0.2">
      <c r="B496" s="38"/>
      <c r="C496" s="280" t="str">
        <f>"2:"</f>
        <v>2:</v>
      </c>
      <c r="D496" s="290" t="s">
        <v>957</v>
      </c>
      <c r="E496" s="40"/>
      <c r="F496" s="40"/>
      <c r="G496" s="40"/>
      <c r="H496" s="40"/>
      <c r="I496" s="40"/>
      <c r="J496" s="245"/>
      <c r="K496" s="41"/>
    </row>
    <row r="497" spans="2:11" ht="9.75" customHeight="1" x14ac:dyDescent="0.2">
      <c r="B497" s="38"/>
      <c r="C497" s="280" t="str">
        <f>"3:"</f>
        <v>3:</v>
      </c>
      <c r="D497" s="290" t="s">
        <v>958</v>
      </c>
      <c r="E497" s="40"/>
      <c r="F497" s="40"/>
      <c r="G497" s="40"/>
      <c r="H497" s="40"/>
      <c r="I497" s="40"/>
      <c r="J497" s="245"/>
      <c r="K497" s="41"/>
    </row>
    <row r="498" spans="2:11" ht="9.75" customHeight="1" x14ac:dyDescent="0.2">
      <c r="B498" s="38"/>
      <c r="C498" s="280" t="str">
        <f>"4:"</f>
        <v>4:</v>
      </c>
      <c r="D498" s="290" t="s">
        <v>959</v>
      </c>
      <c r="E498" s="40"/>
      <c r="F498" s="40"/>
      <c r="G498" s="40"/>
      <c r="H498" s="40"/>
      <c r="I498" s="40"/>
      <c r="J498" s="247"/>
      <c r="K498" s="41"/>
    </row>
    <row r="499" spans="2:11" x14ac:dyDescent="0.2">
      <c r="B499" s="38"/>
      <c r="C499" s="40" t="s">
        <v>313</v>
      </c>
      <c r="D499" s="40"/>
      <c r="E499" s="40"/>
      <c r="F499" s="40"/>
      <c r="G499" s="40"/>
      <c r="H499" s="40"/>
      <c r="I499" s="40"/>
      <c r="J499" s="266" t="s">
        <v>870</v>
      </c>
      <c r="K499" s="41"/>
    </row>
    <row r="500" spans="2:11" x14ac:dyDescent="0.2">
      <c r="B500" s="38"/>
      <c r="C500" s="40" t="s">
        <v>261</v>
      </c>
      <c r="D500" s="40"/>
      <c r="E500" s="40"/>
      <c r="F500" s="40"/>
      <c r="G500" s="40"/>
      <c r="H500" s="40"/>
      <c r="I500" s="40"/>
      <c r="J500" s="248">
        <f>IF(J499=$B$973,$A$973,IF(J499=$B$974,$A$974,IF(J499=$B$975,$A$975,IF(J499=$B$976,$A$976,IF(J499=$B$977,$A$977,"Not Calculated")))))</f>
        <v>0</v>
      </c>
      <c r="K500" s="41"/>
    </row>
    <row r="501" spans="2:11" x14ac:dyDescent="0.2">
      <c r="B501" s="38"/>
      <c r="C501" s="40" t="s">
        <v>893</v>
      </c>
      <c r="D501" s="40"/>
      <c r="E501" s="40"/>
      <c r="F501" s="40"/>
      <c r="G501" s="40"/>
      <c r="H501" s="40"/>
      <c r="I501" s="40"/>
      <c r="J501" s="40"/>
      <c r="K501" s="41"/>
    </row>
    <row r="502" spans="2:11" ht="60" customHeight="1" x14ac:dyDescent="0.2">
      <c r="B502" s="38"/>
      <c r="C502" s="399"/>
      <c r="D502" s="400"/>
      <c r="E502" s="400"/>
      <c r="F502" s="400"/>
      <c r="G502" s="400"/>
      <c r="H502" s="400"/>
      <c r="I502" s="400"/>
      <c r="J502" s="401"/>
      <c r="K502" s="41"/>
    </row>
    <row r="503" spans="2:11" x14ac:dyDescent="0.2">
      <c r="B503" s="38"/>
      <c r="C503" s="40"/>
      <c r="D503" s="40"/>
      <c r="E503" s="40"/>
      <c r="F503" s="40"/>
      <c r="G503" s="40"/>
      <c r="H503" s="40"/>
      <c r="I503" s="40"/>
      <c r="J503" s="40"/>
      <c r="K503" s="41"/>
    </row>
    <row r="504" spans="2:11" x14ac:dyDescent="0.2">
      <c r="B504" s="38"/>
      <c r="C504" s="179" t="s">
        <v>321</v>
      </c>
      <c r="D504" s="40"/>
      <c r="E504" s="40"/>
      <c r="F504" s="40"/>
      <c r="G504" s="40"/>
      <c r="H504" s="40"/>
      <c r="I504" s="40"/>
      <c r="J504" s="245">
        <f>IF(OR(J493="Not Calculated",J500="Not Calculated")=TRUE,"Not Calculated",AVERAGE(J493,J500))</f>
        <v>0</v>
      </c>
      <c r="K504" s="41"/>
    </row>
    <row r="505" spans="2:11" x14ac:dyDescent="0.2">
      <c r="B505" s="38"/>
      <c r="C505" s="40"/>
      <c r="D505" s="40"/>
      <c r="E505" s="40"/>
      <c r="F505" s="40"/>
      <c r="G505" s="40"/>
      <c r="H505" s="40"/>
      <c r="I505" s="40"/>
      <c r="J505" s="40"/>
      <c r="K505" s="41"/>
    </row>
    <row r="506" spans="2:11" x14ac:dyDescent="0.2">
      <c r="B506" s="38"/>
      <c r="C506" s="40"/>
      <c r="D506" s="40"/>
      <c r="E506" s="40"/>
      <c r="F506" s="40"/>
      <c r="G506" s="40"/>
      <c r="H506" s="40"/>
      <c r="I506" s="40"/>
      <c r="J506" s="40"/>
      <c r="K506" s="41"/>
    </row>
    <row r="507" spans="2:11" ht="16" x14ac:dyDescent="0.2">
      <c r="B507" s="38"/>
      <c r="C507" s="45" t="s">
        <v>314</v>
      </c>
      <c r="D507" s="40"/>
      <c r="E507" s="40"/>
      <c r="F507" s="40"/>
      <c r="G507" s="40"/>
      <c r="H507" s="40"/>
      <c r="I507" s="40"/>
      <c r="J507" s="40"/>
      <c r="K507" s="41"/>
    </row>
    <row r="508" spans="2:11" x14ac:dyDescent="0.2">
      <c r="B508" s="38"/>
      <c r="C508" s="40" t="s">
        <v>316</v>
      </c>
      <c r="D508" s="40"/>
      <c r="E508" s="40"/>
      <c r="F508" s="40"/>
      <c r="G508" s="40"/>
      <c r="H508" s="40"/>
      <c r="I508" s="40"/>
      <c r="J508" s="269">
        <v>0</v>
      </c>
      <c r="K508" s="41"/>
    </row>
    <row r="509" spans="2:11" x14ac:dyDescent="0.2">
      <c r="B509" s="38"/>
      <c r="C509" s="40" t="s">
        <v>260</v>
      </c>
      <c r="D509" s="40"/>
      <c r="E509" s="40"/>
      <c r="F509" s="40"/>
      <c r="G509" s="40"/>
      <c r="H509" s="40"/>
      <c r="I509" s="40"/>
      <c r="J509" s="248">
        <f>IF(J508&lt;=0,0,IF(J508&lt;=1000,1,IF(J508&lt;=5000,2,IF(J508&lt;=25000,3,4))))</f>
        <v>0</v>
      </c>
      <c r="K509" s="41"/>
    </row>
    <row r="510" spans="2:11" s="51" customFormat="1" ht="9.75" customHeight="1" x14ac:dyDescent="0.2">
      <c r="B510" s="283"/>
      <c r="C510" s="279" t="str">
        <f>"0:"</f>
        <v>0:</v>
      </c>
      <c r="D510" s="284" t="s">
        <v>960</v>
      </c>
      <c r="E510" s="285"/>
      <c r="F510" s="285"/>
      <c r="G510" s="285"/>
      <c r="H510" s="285"/>
      <c r="I510" s="285"/>
      <c r="J510" s="43"/>
      <c r="K510" s="286"/>
    </row>
    <row r="511" spans="2:11" s="51" customFormat="1" ht="9.75" customHeight="1" x14ac:dyDescent="0.2">
      <c r="B511" s="283"/>
      <c r="C511" s="280" t="str">
        <f>"1:"</f>
        <v>1:</v>
      </c>
      <c r="D511" s="284" t="s">
        <v>961</v>
      </c>
      <c r="E511" s="285"/>
      <c r="F511" s="285"/>
      <c r="G511" s="285"/>
      <c r="H511" s="285"/>
      <c r="I511" s="285"/>
      <c r="J511" s="43"/>
      <c r="K511" s="286"/>
    </row>
    <row r="512" spans="2:11" s="51" customFormat="1" ht="9.75" customHeight="1" x14ac:dyDescent="0.2">
      <c r="B512" s="283"/>
      <c r="C512" s="280" t="str">
        <f>"2:"</f>
        <v>2:</v>
      </c>
      <c r="D512" s="284" t="s">
        <v>962</v>
      </c>
      <c r="E512" s="285"/>
      <c r="F512" s="285"/>
      <c r="G512" s="285"/>
      <c r="H512" s="285"/>
      <c r="I512" s="285"/>
      <c r="J512" s="43"/>
      <c r="K512" s="286"/>
    </row>
    <row r="513" spans="2:11" s="51" customFormat="1" ht="9.75" customHeight="1" x14ac:dyDescent="0.2">
      <c r="B513" s="283"/>
      <c r="C513" s="280" t="str">
        <f>"3:"</f>
        <v>3:</v>
      </c>
      <c r="D513" s="284" t="s">
        <v>963</v>
      </c>
      <c r="E513" s="285"/>
      <c r="F513" s="285"/>
      <c r="G513" s="285"/>
      <c r="H513" s="285"/>
      <c r="I513" s="285"/>
      <c r="J513" s="43"/>
      <c r="K513" s="286"/>
    </row>
    <row r="514" spans="2:11" s="51" customFormat="1" ht="9.75" customHeight="1" x14ac:dyDescent="0.2">
      <c r="B514" s="283"/>
      <c r="C514" s="280" t="str">
        <f>"4:"</f>
        <v>4:</v>
      </c>
      <c r="D514" s="284" t="s">
        <v>964</v>
      </c>
      <c r="E514" s="285"/>
      <c r="F514" s="285"/>
      <c r="G514" s="285"/>
      <c r="H514" s="285"/>
      <c r="I514" s="285"/>
      <c r="J514" s="287"/>
      <c r="K514" s="286"/>
    </row>
    <row r="515" spans="2:11" x14ac:dyDescent="0.2">
      <c r="B515" s="38"/>
      <c r="C515" s="40" t="s">
        <v>315</v>
      </c>
      <c r="D515" s="40"/>
      <c r="E515" s="40"/>
      <c r="F515" s="40"/>
      <c r="G515" s="40"/>
      <c r="H515" s="40"/>
      <c r="I515" s="40"/>
      <c r="J515" s="266" t="s">
        <v>870</v>
      </c>
      <c r="K515" s="41"/>
    </row>
    <row r="516" spans="2:11" x14ac:dyDescent="0.2">
      <c r="B516" s="38"/>
      <c r="C516" s="40" t="s">
        <v>261</v>
      </c>
      <c r="D516" s="40"/>
      <c r="E516" s="40"/>
      <c r="F516" s="40"/>
      <c r="G516" s="40"/>
      <c r="H516" s="40"/>
      <c r="I516" s="40"/>
      <c r="J516" s="248">
        <f>IF(J515=$B$973,$A$973,IF(J515=$B$974,$A$974,IF(J515=$B$975,$A$975,IF(J515=$B$976,$A$976,IF(J515=$B$977,$A$977,"Not Calculated")))))</f>
        <v>0</v>
      </c>
      <c r="K516" s="41"/>
    </row>
    <row r="517" spans="2:11" x14ac:dyDescent="0.2">
      <c r="B517" s="38"/>
      <c r="C517" s="40" t="s">
        <v>893</v>
      </c>
      <c r="D517" s="40"/>
      <c r="E517" s="40"/>
      <c r="F517" s="40"/>
      <c r="G517" s="40"/>
      <c r="H517" s="40"/>
      <c r="I517" s="40"/>
      <c r="J517" s="40"/>
      <c r="K517" s="41"/>
    </row>
    <row r="518" spans="2:11" ht="45.75" customHeight="1" x14ac:dyDescent="0.2">
      <c r="B518" s="38"/>
      <c r="C518" s="399"/>
      <c r="D518" s="400"/>
      <c r="E518" s="400"/>
      <c r="F518" s="400"/>
      <c r="G518" s="400"/>
      <c r="H518" s="400"/>
      <c r="I518" s="400"/>
      <c r="J518" s="401"/>
      <c r="K518" s="41"/>
    </row>
    <row r="519" spans="2:11" x14ac:dyDescent="0.2">
      <c r="B519" s="38"/>
      <c r="C519" s="40"/>
      <c r="D519" s="40"/>
      <c r="E519" s="40"/>
      <c r="F519" s="40"/>
      <c r="G519" s="40"/>
      <c r="H519" s="40"/>
      <c r="I519" s="40"/>
      <c r="J519" s="40"/>
      <c r="K519" s="41"/>
    </row>
    <row r="520" spans="2:11" x14ac:dyDescent="0.2">
      <c r="B520" s="38"/>
      <c r="C520" s="179" t="s">
        <v>320</v>
      </c>
      <c r="D520" s="40"/>
      <c r="E520" s="40"/>
      <c r="F520" s="40"/>
      <c r="G520" s="40"/>
      <c r="H520" s="40"/>
      <c r="I520" s="40"/>
      <c r="J520" s="245">
        <f>IF(OR(J509="Not Calculated",J516="Not Calculated")=TRUE,"Not Calculated",AVERAGE(J509,J516))</f>
        <v>0</v>
      </c>
      <c r="K520" s="41"/>
    </row>
    <row r="521" spans="2:11" x14ac:dyDescent="0.2">
      <c r="B521" s="38"/>
      <c r="C521" s="40"/>
      <c r="D521" s="40"/>
      <c r="E521" s="40"/>
      <c r="F521" s="40"/>
      <c r="G521" s="40"/>
      <c r="H521" s="40"/>
      <c r="I521" s="40"/>
      <c r="J521" s="40"/>
      <c r="K521" s="41"/>
    </row>
    <row r="522" spans="2:11" x14ac:dyDescent="0.2">
      <c r="B522" s="38"/>
      <c r="C522" s="40"/>
      <c r="D522" s="40"/>
      <c r="E522" s="40"/>
      <c r="F522" s="40"/>
      <c r="G522" s="40"/>
      <c r="H522" s="40"/>
      <c r="I522" s="40"/>
      <c r="J522" s="40"/>
      <c r="K522" s="41"/>
    </row>
    <row r="523" spans="2:11" ht="16" x14ac:dyDescent="0.2">
      <c r="B523" s="38"/>
      <c r="C523" s="45" t="s">
        <v>317</v>
      </c>
      <c r="D523" s="40"/>
      <c r="E523" s="40"/>
      <c r="F523" s="40"/>
      <c r="G523" s="40"/>
      <c r="H523" s="40"/>
      <c r="I523" s="40"/>
      <c r="J523" s="40"/>
      <c r="K523" s="41"/>
    </row>
    <row r="524" spans="2:11" ht="15" customHeight="1" x14ac:dyDescent="0.2">
      <c r="B524" s="38"/>
      <c r="C524" s="380" t="s">
        <v>318</v>
      </c>
      <c r="D524" s="380"/>
      <c r="E524" s="380"/>
      <c r="F524" s="380"/>
      <c r="G524" s="380"/>
      <c r="H524" s="380"/>
      <c r="I524" s="380"/>
      <c r="J524" s="40"/>
      <c r="K524" s="41"/>
    </row>
    <row r="525" spans="2:11" x14ac:dyDescent="0.2">
      <c r="B525" s="38"/>
      <c r="C525" s="380"/>
      <c r="D525" s="380"/>
      <c r="E525" s="380"/>
      <c r="F525" s="380"/>
      <c r="G525" s="380"/>
      <c r="H525" s="380"/>
      <c r="I525" s="380"/>
      <c r="J525" s="274">
        <v>0</v>
      </c>
      <c r="K525" s="41"/>
    </row>
    <row r="526" spans="2:11" x14ac:dyDescent="0.2">
      <c r="B526" s="38"/>
      <c r="C526" s="40" t="s">
        <v>260</v>
      </c>
      <c r="D526" s="40"/>
      <c r="E526" s="40"/>
      <c r="F526" s="40"/>
      <c r="G526" s="40"/>
      <c r="H526" s="40"/>
      <c r="I526" s="40"/>
      <c r="J526" s="248">
        <f>IF(J525&lt;=0,0,IF(J525&lt;=1,1,IF(J525&lt;=5,2,IF(J525&lt;=10,3,4))))</f>
        <v>0</v>
      </c>
      <c r="K526" s="41"/>
    </row>
    <row r="527" spans="2:11" s="51" customFormat="1" ht="9.75" customHeight="1" x14ac:dyDescent="0.2">
      <c r="B527" s="283"/>
      <c r="C527" s="279" t="str">
        <f>"0:"</f>
        <v>0:</v>
      </c>
      <c r="D527" s="284" t="s">
        <v>965</v>
      </c>
      <c r="E527" s="285"/>
      <c r="F527" s="285"/>
      <c r="G527" s="285"/>
      <c r="H527" s="285"/>
      <c r="I527" s="285"/>
      <c r="J527" s="43"/>
      <c r="K527" s="286"/>
    </row>
    <row r="528" spans="2:11" s="51" customFormat="1" ht="9.75" customHeight="1" x14ac:dyDescent="0.2">
      <c r="B528" s="283"/>
      <c r="C528" s="280" t="str">
        <f>"1:"</f>
        <v>1:</v>
      </c>
      <c r="D528" s="284" t="s">
        <v>966</v>
      </c>
      <c r="E528" s="285"/>
      <c r="F528" s="285"/>
      <c r="G528" s="285"/>
      <c r="H528" s="285"/>
      <c r="I528" s="285"/>
      <c r="J528" s="43"/>
      <c r="K528" s="286"/>
    </row>
    <row r="529" spans="2:11" s="51" customFormat="1" ht="9.75" customHeight="1" x14ac:dyDescent="0.2">
      <c r="B529" s="283"/>
      <c r="C529" s="280" t="str">
        <f>"2:"</f>
        <v>2:</v>
      </c>
      <c r="D529" s="284" t="s">
        <v>967</v>
      </c>
      <c r="E529" s="285"/>
      <c r="F529" s="285"/>
      <c r="G529" s="285"/>
      <c r="H529" s="285"/>
      <c r="I529" s="285"/>
      <c r="J529" s="43"/>
      <c r="K529" s="286"/>
    </row>
    <row r="530" spans="2:11" s="51" customFormat="1" ht="9.75" customHeight="1" x14ac:dyDescent="0.2">
      <c r="B530" s="283"/>
      <c r="C530" s="280" t="str">
        <f>"3:"</f>
        <v>3:</v>
      </c>
      <c r="D530" s="284" t="s">
        <v>968</v>
      </c>
      <c r="E530" s="285"/>
      <c r="F530" s="285"/>
      <c r="G530" s="285"/>
      <c r="H530" s="285"/>
      <c r="I530" s="285"/>
      <c r="J530" s="43"/>
      <c r="K530" s="286"/>
    </row>
    <row r="531" spans="2:11" s="51" customFormat="1" ht="9.75" customHeight="1" x14ac:dyDescent="0.2">
      <c r="B531" s="283"/>
      <c r="C531" s="280" t="str">
        <f>"4:"</f>
        <v>4:</v>
      </c>
      <c r="D531" s="284" t="s">
        <v>969</v>
      </c>
      <c r="E531" s="285"/>
      <c r="F531" s="285"/>
      <c r="G531" s="285"/>
      <c r="H531" s="285"/>
      <c r="I531" s="285"/>
      <c r="J531" s="287"/>
      <c r="K531" s="286"/>
    </row>
    <row r="532" spans="2:11" x14ac:dyDescent="0.2">
      <c r="B532" s="38"/>
      <c r="C532" s="40" t="s">
        <v>257</v>
      </c>
      <c r="D532" s="40"/>
      <c r="E532" s="40"/>
      <c r="F532" s="40"/>
      <c r="G532" s="40"/>
      <c r="H532" s="40"/>
      <c r="I532" s="40"/>
      <c r="J532" s="266" t="s">
        <v>870</v>
      </c>
      <c r="K532" s="41"/>
    </row>
    <row r="533" spans="2:11" x14ac:dyDescent="0.2">
      <c r="B533" s="38"/>
      <c r="C533" s="40" t="s">
        <v>261</v>
      </c>
      <c r="D533" s="40"/>
      <c r="E533" s="40"/>
      <c r="F533" s="40"/>
      <c r="G533" s="40"/>
      <c r="H533" s="40"/>
      <c r="I533" s="40"/>
      <c r="J533" s="248">
        <f>IF(J532=$B$973,$A$973,IF(J532=$B$974,$A$974,IF(J532=$B$975,$A$975,IF(J532=$B$976,$A$976,IF(J532=$B$977,$A$977,"Not Calculated")))))</f>
        <v>0</v>
      </c>
      <c r="K533" s="41"/>
    </row>
    <row r="534" spans="2:11" x14ac:dyDescent="0.2">
      <c r="B534" s="38"/>
      <c r="C534" s="40" t="s">
        <v>893</v>
      </c>
      <c r="D534" s="40"/>
      <c r="E534" s="40"/>
      <c r="F534" s="40"/>
      <c r="G534" s="40"/>
      <c r="H534" s="40"/>
      <c r="I534" s="40"/>
      <c r="J534" s="40"/>
      <c r="K534" s="41"/>
    </row>
    <row r="535" spans="2:11" ht="15" customHeight="1" x14ac:dyDescent="0.2">
      <c r="B535" s="38"/>
      <c r="C535" s="399"/>
      <c r="D535" s="400"/>
      <c r="E535" s="400"/>
      <c r="F535" s="400"/>
      <c r="G535" s="400"/>
      <c r="H535" s="400"/>
      <c r="I535" s="400"/>
      <c r="J535" s="401"/>
      <c r="K535" s="41"/>
    </row>
    <row r="536" spans="2:11" x14ac:dyDescent="0.2">
      <c r="B536" s="38"/>
      <c r="C536" s="40"/>
      <c r="D536" s="40"/>
      <c r="E536" s="40"/>
      <c r="F536" s="40"/>
      <c r="G536" s="40"/>
      <c r="H536" s="40"/>
      <c r="I536" s="40"/>
      <c r="J536" s="40"/>
      <c r="K536" s="41"/>
    </row>
    <row r="537" spans="2:11" x14ac:dyDescent="0.2">
      <c r="B537" s="38"/>
      <c r="C537" s="179" t="s">
        <v>319</v>
      </c>
      <c r="D537" s="40"/>
      <c r="E537" s="40"/>
      <c r="F537" s="40"/>
      <c r="G537" s="40"/>
      <c r="H537" s="40"/>
      <c r="I537" s="40"/>
      <c r="J537" s="245">
        <f>IF(OR(J526="Not Calculated",J533="Not Calculated")=TRUE,"Not Calculated",AVERAGE(J526,J533))</f>
        <v>0</v>
      </c>
      <c r="K537" s="41"/>
    </row>
    <row r="538" spans="2:11" x14ac:dyDescent="0.2">
      <c r="B538" s="38"/>
      <c r="C538" s="40"/>
      <c r="D538" s="40"/>
      <c r="E538" s="40"/>
      <c r="F538" s="40"/>
      <c r="G538" s="40"/>
      <c r="H538" s="40"/>
      <c r="I538" s="40"/>
      <c r="J538" s="40"/>
      <c r="K538" s="41"/>
    </row>
    <row r="539" spans="2:11" ht="18" x14ac:dyDescent="0.2">
      <c r="B539" s="38"/>
      <c r="C539" s="180" t="s">
        <v>302</v>
      </c>
      <c r="D539" s="40"/>
      <c r="E539" s="40"/>
      <c r="F539" s="40"/>
      <c r="G539" s="40"/>
      <c r="H539" s="40"/>
      <c r="I539" s="40"/>
      <c r="J539" s="244">
        <f>IF(OR(J440="Not Calculated",J457="Not Calculated",J473="Not Calculated",J488="Not Calculated",J504="Not Calculated",J520="Not Calculated",J537="Not Calculated")=TRUE,"Not Calculated",AVERAGE(J440,J457,J473,J488,J504,J520,J537))</f>
        <v>0</v>
      </c>
      <c r="K539" s="41"/>
    </row>
    <row r="540" spans="2:11" ht="16" thickBot="1" x14ac:dyDescent="0.25">
      <c r="B540" s="46"/>
      <c r="C540" s="47"/>
      <c r="D540" s="47"/>
      <c r="E540" s="47"/>
      <c r="F540" s="47"/>
      <c r="G540" s="47"/>
      <c r="H540" s="47"/>
      <c r="I540" s="47"/>
      <c r="J540" s="47"/>
      <c r="K540" s="49"/>
    </row>
    <row r="541" spans="2:11" ht="16" thickBot="1" x14ac:dyDescent="0.25"/>
    <row r="542" spans="2:11" x14ac:dyDescent="0.2">
      <c r="B542" s="33"/>
      <c r="C542" s="34"/>
      <c r="D542" s="34"/>
      <c r="E542" s="34"/>
      <c r="F542" s="34"/>
      <c r="G542" s="34"/>
      <c r="H542" s="34"/>
      <c r="I542" s="34"/>
      <c r="J542" s="34"/>
      <c r="K542" s="37"/>
    </row>
    <row r="543" spans="2:11" ht="21" x14ac:dyDescent="0.25">
      <c r="B543" s="38"/>
      <c r="C543" s="40"/>
      <c r="D543" s="40"/>
      <c r="E543" s="40"/>
      <c r="F543" s="40"/>
      <c r="G543" s="172" t="s">
        <v>29</v>
      </c>
      <c r="H543" s="40"/>
      <c r="I543" s="40"/>
      <c r="J543" s="40"/>
      <c r="K543" s="41"/>
    </row>
    <row r="544" spans="2:11" ht="15" customHeight="1" x14ac:dyDescent="0.2">
      <c r="B544" s="38"/>
      <c r="C544" s="40"/>
      <c r="D544" s="40"/>
      <c r="E544" s="40"/>
      <c r="F544" s="40"/>
      <c r="G544" s="40"/>
      <c r="H544" s="40"/>
      <c r="I544" s="40"/>
      <c r="J544" s="40"/>
      <c r="K544" s="41"/>
    </row>
    <row r="545" spans="2:14" ht="16" x14ac:dyDescent="0.2">
      <c r="B545" s="38"/>
      <c r="C545" s="45" t="s">
        <v>88</v>
      </c>
      <c r="D545" s="40"/>
      <c r="E545" s="40"/>
      <c r="F545" s="40"/>
      <c r="G545" s="40"/>
      <c r="H545" s="40"/>
      <c r="I545" s="40"/>
      <c r="J545" s="40"/>
      <c r="K545" s="41"/>
    </row>
    <row r="546" spans="2:14" x14ac:dyDescent="0.2">
      <c r="B546" s="38"/>
      <c r="C546" s="40" t="s">
        <v>448</v>
      </c>
      <c r="D546" s="40"/>
      <c r="E546" s="40"/>
      <c r="F546" s="40"/>
      <c r="G546" s="40"/>
      <c r="H546" s="40"/>
      <c r="I546" s="40"/>
      <c r="J546" s="252">
        <f>'Baseline Health'!G123</f>
        <v>0</v>
      </c>
      <c r="K546" s="41"/>
    </row>
    <row r="547" spans="2:14" x14ac:dyDescent="0.2">
      <c r="B547" s="38"/>
      <c r="C547" s="40" t="s">
        <v>322</v>
      </c>
      <c r="D547" s="40"/>
      <c r="E547" s="40"/>
      <c r="F547" s="40"/>
      <c r="G547" s="40"/>
      <c r="H547" s="40"/>
      <c r="I547" s="40"/>
      <c r="J547" s="264">
        <v>0</v>
      </c>
      <c r="K547" s="41"/>
    </row>
    <row r="548" spans="2:14" x14ac:dyDescent="0.2">
      <c r="B548" s="38"/>
      <c r="C548" s="40" t="s">
        <v>428</v>
      </c>
      <c r="D548" s="40"/>
      <c r="E548" s="40"/>
      <c r="F548" s="40"/>
      <c r="G548" s="40"/>
      <c r="H548" s="40"/>
      <c r="I548" s="40"/>
      <c r="J548" s="264">
        <v>0</v>
      </c>
      <c r="K548" s="41"/>
    </row>
    <row r="549" spans="2:14" x14ac:dyDescent="0.2">
      <c r="B549" s="38"/>
      <c r="C549" s="40" t="s">
        <v>260</v>
      </c>
      <c r="D549" s="40"/>
      <c r="E549" s="40"/>
      <c r="F549" s="40"/>
      <c r="G549" s="40"/>
      <c r="H549" s="40"/>
      <c r="I549" s="40"/>
      <c r="J549" s="248" t="str">
        <f>IF(OR(J546=0,J546="Not Calculated")=TRUE,"Not Calculated",IF(J546-J547=0,4,(IF(((J546+J548)/(J546-J547))&lt;=1,0,IF(((J546+J548)/(J546-J547))&lt;=1.05,1,IF(((J546+J548)/(J546-J547))&lt;=1.5, 2,IF(((J546+J548)/(J546-J547))&lt;=2,3,4)))))))</f>
        <v>Not Calculated</v>
      </c>
      <c r="K549" s="41"/>
    </row>
    <row r="550" spans="2:14" ht="9.75" customHeight="1" x14ac:dyDescent="0.2">
      <c r="B550" s="38"/>
      <c r="C550" s="279" t="str">
        <f>"0:"</f>
        <v>0:</v>
      </c>
      <c r="D550" s="278" t="s">
        <v>918</v>
      </c>
      <c r="E550" s="40"/>
      <c r="F550" s="40"/>
      <c r="G550" s="40"/>
      <c r="H550" s="40"/>
      <c r="I550" s="40"/>
      <c r="J550" s="251"/>
      <c r="K550" s="41"/>
    </row>
    <row r="551" spans="2:14" ht="9.75" customHeight="1" x14ac:dyDescent="0.2">
      <c r="B551" s="38"/>
      <c r="C551" s="280" t="str">
        <f>"1:"</f>
        <v>1:</v>
      </c>
      <c r="D551" s="278" t="s">
        <v>923</v>
      </c>
      <c r="E551" s="40"/>
      <c r="F551" s="40"/>
      <c r="G551" s="40"/>
      <c r="H551" s="40"/>
      <c r="I551" s="40"/>
      <c r="J551" s="251"/>
      <c r="K551" s="41"/>
    </row>
    <row r="552" spans="2:14" ht="9.75" customHeight="1" x14ac:dyDescent="0.2">
      <c r="B552" s="38"/>
      <c r="C552" s="280" t="str">
        <f>"2:"</f>
        <v>2:</v>
      </c>
      <c r="D552" s="278" t="s">
        <v>924</v>
      </c>
      <c r="E552" s="40"/>
      <c r="F552" s="40"/>
      <c r="G552" s="40"/>
      <c r="H552" s="40"/>
      <c r="I552" s="40"/>
      <c r="J552" s="251"/>
      <c r="K552" s="41"/>
    </row>
    <row r="553" spans="2:14" ht="9.75" customHeight="1" x14ac:dyDescent="0.2">
      <c r="B553" s="38"/>
      <c r="C553" s="280" t="str">
        <f>"3:"</f>
        <v>3:</v>
      </c>
      <c r="D553" s="278" t="s">
        <v>925</v>
      </c>
      <c r="E553" s="40"/>
      <c r="F553" s="40"/>
      <c r="G553" s="40"/>
      <c r="H553" s="40"/>
      <c r="I553" s="40"/>
      <c r="J553" s="251"/>
      <c r="K553" s="41"/>
    </row>
    <row r="554" spans="2:14" ht="9.75" customHeight="1" x14ac:dyDescent="0.2">
      <c r="B554" s="38"/>
      <c r="C554" s="280" t="str">
        <f>"4:"</f>
        <v>4:</v>
      </c>
      <c r="D554" s="278" t="s">
        <v>926</v>
      </c>
      <c r="E554" s="40"/>
      <c r="F554" s="40"/>
      <c r="G554" s="40"/>
      <c r="H554" s="40"/>
      <c r="I554" s="40"/>
      <c r="J554" s="40"/>
      <c r="K554" s="41"/>
      <c r="N554" s="12" t="s">
        <v>661</v>
      </c>
    </row>
    <row r="555" spans="2:14" x14ac:dyDescent="0.2">
      <c r="B555" s="38"/>
      <c r="C555" s="174" t="s">
        <v>662</v>
      </c>
      <c r="D555" s="40"/>
      <c r="E555" s="40"/>
      <c r="F555" s="40"/>
      <c r="G555" s="40"/>
      <c r="H555" s="40"/>
      <c r="I555" s="40"/>
      <c r="J555" s="265" t="s">
        <v>894</v>
      </c>
      <c r="K555" s="41"/>
      <c r="N555" s="12" t="s">
        <v>894</v>
      </c>
    </row>
    <row r="556" spans="2:14" x14ac:dyDescent="0.2">
      <c r="B556" s="38"/>
      <c r="C556" s="174" t="s">
        <v>660</v>
      </c>
      <c r="D556" s="40"/>
      <c r="E556" s="40"/>
      <c r="F556" s="40"/>
      <c r="G556" s="40"/>
      <c r="H556" s="40"/>
      <c r="I556" s="40"/>
      <c r="J556" s="247">
        <f>IF(J555=N554,"N/A",IF(J555=N555,0,IF(J555=N556,1,IF(J555=N557,2,IF(J555=N558,3,IF(J555=N559,4,"N/A"))))))</f>
        <v>0</v>
      </c>
      <c r="K556" s="41"/>
      <c r="N556" s="12" t="s">
        <v>899</v>
      </c>
    </row>
    <row r="557" spans="2:14" x14ac:dyDescent="0.2">
      <c r="B557" s="38"/>
      <c r="C557" s="40" t="s">
        <v>257</v>
      </c>
      <c r="D557" s="40"/>
      <c r="E557" s="40"/>
      <c r="F557" s="40"/>
      <c r="G557" s="40"/>
      <c r="H557" s="40"/>
      <c r="I557" s="40"/>
      <c r="J557" s="266" t="s">
        <v>870</v>
      </c>
      <c r="K557" s="41"/>
      <c r="N557" s="12" t="s">
        <v>900</v>
      </c>
    </row>
    <row r="558" spans="2:14" x14ac:dyDescent="0.2">
      <c r="B558" s="38"/>
      <c r="C558" s="40" t="s">
        <v>261</v>
      </c>
      <c r="D558" s="40"/>
      <c r="E558" s="40"/>
      <c r="F558" s="40"/>
      <c r="G558" s="40"/>
      <c r="H558" s="40"/>
      <c r="I558" s="40"/>
      <c r="J558" s="248">
        <f>IF(J557=$B$973,$A$973,IF(J557=$B$974,$A$974,IF(J557=$B$975,$A$975,IF(J557=$B$976,$A$976,IF(J557=$B$977,$A$977,"Not Calculated")))))</f>
        <v>0</v>
      </c>
      <c r="K558" s="41"/>
      <c r="N558" s="12" t="s">
        <v>901</v>
      </c>
    </row>
    <row r="559" spans="2:14" x14ac:dyDescent="0.2">
      <c r="B559" s="38"/>
      <c r="C559" s="40" t="s">
        <v>893</v>
      </c>
      <c r="D559" s="40"/>
      <c r="E559" s="40"/>
      <c r="F559" s="40"/>
      <c r="G559" s="40"/>
      <c r="H559" s="40"/>
      <c r="I559" s="40"/>
      <c r="J559" s="40"/>
      <c r="K559" s="41"/>
      <c r="N559" s="12" t="s">
        <v>902</v>
      </c>
    </row>
    <row r="560" spans="2:14" ht="30" customHeight="1" x14ac:dyDescent="0.2">
      <c r="B560" s="38"/>
      <c r="C560" s="399"/>
      <c r="D560" s="400"/>
      <c r="E560" s="400"/>
      <c r="F560" s="400"/>
      <c r="G560" s="400"/>
      <c r="H560" s="400"/>
      <c r="I560" s="400"/>
      <c r="J560" s="401"/>
      <c r="K560" s="41"/>
    </row>
    <row r="561" spans="2:11" x14ac:dyDescent="0.2">
      <c r="B561" s="38"/>
      <c r="C561" s="40"/>
      <c r="D561" s="40"/>
      <c r="E561" s="40"/>
      <c r="F561" s="40"/>
      <c r="G561" s="40"/>
      <c r="H561" s="40"/>
      <c r="I561" s="40"/>
      <c r="J561" s="40"/>
      <c r="K561" s="41"/>
    </row>
    <row r="562" spans="2:11" x14ac:dyDescent="0.2">
      <c r="B562" s="38"/>
      <c r="C562" s="179" t="s">
        <v>323</v>
      </c>
      <c r="D562" s="40"/>
      <c r="E562" s="40"/>
      <c r="F562" s="40"/>
      <c r="G562" s="40"/>
      <c r="H562" s="40"/>
      <c r="I562" s="40"/>
      <c r="J562" s="245">
        <f>IF(J556="N/A",IF(OR(J549="Not Calculated",J558="Not Calculated")=TRUE,"Not Calculated",AVERAGE(J549,J558)),AVERAGE(J556,J558))</f>
        <v>0</v>
      </c>
      <c r="K562" s="41"/>
    </row>
    <row r="563" spans="2:11" x14ac:dyDescent="0.2">
      <c r="B563" s="38"/>
      <c r="C563" s="40"/>
      <c r="D563" s="40"/>
      <c r="E563" s="40"/>
      <c r="F563" s="40"/>
      <c r="G563" s="40"/>
      <c r="H563" s="40"/>
      <c r="I563" s="40"/>
      <c r="J563" s="40"/>
      <c r="K563" s="41"/>
    </row>
    <row r="564" spans="2:11" x14ac:dyDescent="0.2">
      <c r="B564" s="38"/>
      <c r="C564" s="40"/>
      <c r="D564" s="40"/>
      <c r="E564" s="40"/>
      <c r="F564" s="40"/>
      <c r="G564" s="40"/>
      <c r="H564" s="40"/>
      <c r="I564" s="40"/>
      <c r="J564" s="40"/>
      <c r="K564" s="41"/>
    </row>
    <row r="565" spans="2:11" ht="16" x14ac:dyDescent="0.2">
      <c r="B565" s="38"/>
      <c r="C565" s="45" t="s">
        <v>89</v>
      </c>
      <c r="D565" s="40"/>
      <c r="E565" s="40"/>
      <c r="F565" s="40"/>
      <c r="G565" s="40"/>
      <c r="H565" s="40"/>
      <c r="I565" s="40"/>
      <c r="J565" s="40"/>
      <c r="K565" s="41"/>
    </row>
    <row r="566" spans="2:11" ht="15" customHeight="1" x14ac:dyDescent="0.2">
      <c r="B566" s="38"/>
      <c r="C566" s="380" t="s">
        <v>333</v>
      </c>
      <c r="D566" s="380"/>
      <c r="E566" s="380"/>
      <c r="F566" s="380"/>
      <c r="G566" s="380"/>
      <c r="H566" s="380"/>
      <c r="I566" s="380"/>
      <c r="J566" s="40"/>
      <c r="K566" s="41"/>
    </row>
    <row r="567" spans="2:11" x14ac:dyDescent="0.2">
      <c r="B567" s="38"/>
      <c r="C567" s="380"/>
      <c r="D567" s="380"/>
      <c r="E567" s="380"/>
      <c r="F567" s="380"/>
      <c r="G567" s="380"/>
      <c r="H567" s="380"/>
      <c r="I567" s="380"/>
      <c r="J567" s="40"/>
      <c r="K567" s="41"/>
    </row>
    <row r="568" spans="2:11" x14ac:dyDescent="0.2">
      <c r="B568" s="38"/>
      <c r="C568" s="380"/>
      <c r="D568" s="380"/>
      <c r="E568" s="380"/>
      <c r="F568" s="380"/>
      <c r="G568" s="380"/>
      <c r="H568" s="380"/>
      <c r="I568" s="380"/>
      <c r="J568" s="251">
        <f>'Baseline Health'!G132</f>
        <v>0</v>
      </c>
      <c r="K568" s="41"/>
    </row>
    <row r="569" spans="2:11" ht="15" customHeight="1" x14ac:dyDescent="0.2">
      <c r="B569" s="38"/>
      <c r="C569" s="380" t="s">
        <v>334</v>
      </c>
      <c r="D569" s="380"/>
      <c r="E569" s="380"/>
      <c r="F569" s="380"/>
      <c r="G569" s="380"/>
      <c r="H569" s="380"/>
      <c r="I569" s="380"/>
      <c r="J569" s="245"/>
      <c r="K569" s="41"/>
    </row>
    <row r="570" spans="2:11" x14ac:dyDescent="0.2">
      <c r="B570" s="38"/>
      <c r="C570" s="380"/>
      <c r="D570" s="380"/>
      <c r="E570" s="380"/>
      <c r="F570" s="380"/>
      <c r="G570" s="380"/>
      <c r="H570" s="380"/>
      <c r="I570" s="380"/>
      <c r="J570" s="245"/>
      <c r="K570" s="41"/>
    </row>
    <row r="571" spans="2:11" x14ac:dyDescent="0.2">
      <c r="B571" s="38"/>
      <c r="C571" s="380"/>
      <c r="D571" s="380"/>
      <c r="E571" s="380"/>
      <c r="F571" s="380"/>
      <c r="G571" s="380"/>
      <c r="H571" s="380"/>
      <c r="I571" s="380"/>
      <c r="J571" s="264">
        <v>0</v>
      </c>
      <c r="K571" s="41"/>
    </row>
    <row r="572" spans="2:11" x14ac:dyDescent="0.2">
      <c r="B572" s="38"/>
      <c r="C572" s="40" t="s">
        <v>260</v>
      </c>
      <c r="D572" s="40"/>
      <c r="E572" s="40"/>
      <c r="F572" s="40"/>
      <c r="G572" s="40"/>
      <c r="H572" s="40"/>
      <c r="I572" s="40"/>
      <c r="J572" s="248" t="str">
        <f>IF(OR(J568=0,J568="Not Calculated")=TRUE,"Not Calculated",IF(((J568+J571)/J568)&lt;=1,0,IF(((J568+J571)/J568)&lt;=1.05,1,IF(((J568+J571)/J568)&lt;=1.5, 2,IF(((J568+J571)/J568)&lt;=2,3,4)))))</f>
        <v>Not Calculated</v>
      </c>
      <c r="K572" s="41"/>
    </row>
    <row r="573" spans="2:11" ht="9.75" customHeight="1" x14ac:dyDescent="0.2">
      <c r="B573" s="38"/>
      <c r="C573" s="279" t="str">
        <f>"0:"</f>
        <v>0:</v>
      </c>
      <c r="D573" s="281" t="s">
        <v>918</v>
      </c>
      <c r="E573" s="291"/>
      <c r="F573" s="291"/>
      <c r="G573" s="291"/>
      <c r="H573" s="291"/>
      <c r="I573" s="291"/>
      <c r="J573" s="251"/>
      <c r="K573" s="41"/>
    </row>
    <row r="574" spans="2:11" ht="9.75" customHeight="1" x14ac:dyDescent="0.2">
      <c r="B574" s="38"/>
      <c r="C574" s="280" t="str">
        <f>"1:"</f>
        <v>1:</v>
      </c>
      <c r="D574" s="281" t="s">
        <v>919</v>
      </c>
      <c r="E574" s="291"/>
      <c r="F574" s="291"/>
      <c r="G574" s="291"/>
      <c r="H574" s="291"/>
      <c r="I574" s="291"/>
      <c r="J574" s="251"/>
      <c r="K574" s="41"/>
    </row>
    <row r="575" spans="2:11" ht="9.75" customHeight="1" x14ac:dyDescent="0.2">
      <c r="B575" s="38"/>
      <c r="C575" s="280" t="str">
        <f>"2:"</f>
        <v>2:</v>
      </c>
      <c r="D575" s="281" t="s">
        <v>920</v>
      </c>
      <c r="E575" s="291"/>
      <c r="F575" s="291"/>
      <c r="G575" s="291"/>
      <c r="H575" s="291"/>
      <c r="I575" s="291"/>
      <c r="J575" s="251"/>
      <c r="K575" s="41"/>
    </row>
    <row r="576" spans="2:11" ht="9.75" customHeight="1" x14ac:dyDescent="0.2">
      <c r="B576" s="38"/>
      <c r="C576" s="280" t="str">
        <f>"3:"</f>
        <v>3:</v>
      </c>
      <c r="D576" s="281" t="s">
        <v>921</v>
      </c>
      <c r="E576" s="291"/>
      <c r="F576" s="291"/>
      <c r="G576" s="291"/>
      <c r="H576" s="291"/>
      <c r="I576" s="291"/>
      <c r="J576" s="251"/>
      <c r="K576" s="41"/>
    </row>
    <row r="577" spans="2:14" ht="9.75" customHeight="1" x14ac:dyDescent="0.2">
      <c r="B577" s="38"/>
      <c r="C577" s="280" t="str">
        <f>"4:"</f>
        <v>4:</v>
      </c>
      <c r="D577" s="281" t="s">
        <v>922</v>
      </c>
      <c r="E577" s="40"/>
      <c r="F577" s="40"/>
      <c r="G577" s="40"/>
      <c r="H577" s="40"/>
      <c r="I577" s="40"/>
      <c r="J577" s="40"/>
      <c r="K577" s="41"/>
      <c r="N577" s="12" t="s">
        <v>661</v>
      </c>
    </row>
    <row r="578" spans="2:14" ht="15" customHeight="1" x14ac:dyDescent="0.2">
      <c r="B578" s="38"/>
      <c r="C578" s="174" t="s">
        <v>662</v>
      </c>
      <c r="D578" s="40"/>
      <c r="E578" s="40"/>
      <c r="F578" s="40"/>
      <c r="G578" s="40"/>
      <c r="H578" s="40"/>
      <c r="I578" s="40"/>
      <c r="J578" s="265" t="s">
        <v>894</v>
      </c>
      <c r="K578" s="41"/>
      <c r="N578" s="12" t="s">
        <v>894</v>
      </c>
    </row>
    <row r="579" spans="2:14" ht="15" customHeight="1" x14ac:dyDescent="0.2">
      <c r="B579" s="38"/>
      <c r="C579" s="174" t="s">
        <v>660</v>
      </c>
      <c r="D579" s="40"/>
      <c r="E579" s="40"/>
      <c r="F579" s="40"/>
      <c r="G579" s="40"/>
      <c r="H579" s="40"/>
      <c r="I579" s="40"/>
      <c r="J579" s="247">
        <f>IF(J578=N577,"N/A",IF(J578=N578,0,IF(J578=N579,1,IF(J578=N580,2,IF(J578=N581,3,IF(J578=N582,4,"N/A"))))))</f>
        <v>0</v>
      </c>
      <c r="K579" s="41"/>
      <c r="N579" s="12" t="s">
        <v>895</v>
      </c>
    </row>
    <row r="580" spans="2:14" x14ac:dyDescent="0.2">
      <c r="B580" s="38"/>
      <c r="C580" s="40" t="s">
        <v>257</v>
      </c>
      <c r="D580" s="40"/>
      <c r="E580" s="40"/>
      <c r="F580" s="40"/>
      <c r="G580" s="40"/>
      <c r="H580" s="40"/>
      <c r="I580" s="40"/>
      <c r="J580" s="266" t="s">
        <v>870</v>
      </c>
      <c r="K580" s="41"/>
      <c r="N580" s="12" t="s">
        <v>896</v>
      </c>
    </row>
    <row r="581" spans="2:14" x14ac:dyDescent="0.2">
      <c r="B581" s="38"/>
      <c r="C581" s="40" t="s">
        <v>261</v>
      </c>
      <c r="D581" s="40"/>
      <c r="E581" s="40"/>
      <c r="F581" s="40"/>
      <c r="G581" s="40"/>
      <c r="H581" s="40"/>
      <c r="I581" s="40"/>
      <c r="J581" s="248">
        <f>IF(J580=$B$973,$A$973,IF(J580=$B$974,$A$974,IF(J580=$B$975,$A$975,IF(J580=$B$976,$A$976,IF(J580=$B$977,$A$977,"Not Calculated")))))</f>
        <v>0</v>
      </c>
      <c r="K581" s="41"/>
      <c r="N581" s="12" t="s">
        <v>897</v>
      </c>
    </row>
    <row r="582" spans="2:14" x14ac:dyDescent="0.2">
      <c r="B582" s="38"/>
      <c r="C582" s="40" t="s">
        <v>893</v>
      </c>
      <c r="D582" s="40"/>
      <c r="E582" s="40"/>
      <c r="F582" s="40"/>
      <c r="G582" s="40"/>
      <c r="H582" s="40"/>
      <c r="I582" s="40"/>
      <c r="J582" s="40"/>
      <c r="K582" s="41"/>
      <c r="N582" s="12" t="s">
        <v>898</v>
      </c>
    </row>
    <row r="583" spans="2:14" ht="45" customHeight="1" x14ac:dyDescent="0.2">
      <c r="B583" s="38"/>
      <c r="C583" s="399"/>
      <c r="D583" s="400"/>
      <c r="E583" s="400"/>
      <c r="F583" s="400"/>
      <c r="G583" s="400"/>
      <c r="H583" s="400"/>
      <c r="I583" s="400"/>
      <c r="J583" s="401"/>
      <c r="K583" s="41"/>
    </row>
    <row r="584" spans="2:14" x14ac:dyDescent="0.2">
      <c r="B584" s="38"/>
      <c r="C584" s="40"/>
      <c r="D584" s="40"/>
      <c r="E584" s="40"/>
      <c r="F584" s="40"/>
      <c r="G584" s="40"/>
      <c r="H584" s="40"/>
      <c r="I584" s="40"/>
      <c r="J584" s="40"/>
      <c r="K584" s="41"/>
    </row>
    <row r="585" spans="2:14" x14ac:dyDescent="0.2">
      <c r="B585" s="38"/>
      <c r="C585" s="179" t="s">
        <v>324</v>
      </c>
      <c r="D585" s="40"/>
      <c r="E585" s="40"/>
      <c r="F585" s="40"/>
      <c r="G585" s="40"/>
      <c r="H585" s="40"/>
      <c r="I585" s="40"/>
      <c r="J585" s="245">
        <f>IF(J579="N/A",IF(OR(J572="Not Calculated",J581="Not Calculated")=TRUE,"Not Calculated",AVERAGE(J572,J581)),AVERAGE(J579,J581))</f>
        <v>0</v>
      </c>
      <c r="K585" s="41"/>
    </row>
    <row r="586" spans="2:14" x14ac:dyDescent="0.2">
      <c r="B586" s="38"/>
      <c r="C586" s="40"/>
      <c r="D586" s="40"/>
      <c r="E586" s="40"/>
      <c r="F586" s="40"/>
      <c r="G586" s="40"/>
      <c r="H586" s="40"/>
      <c r="I586" s="40"/>
      <c r="J586" s="40"/>
      <c r="K586" s="41"/>
    </row>
    <row r="587" spans="2:14" x14ac:dyDescent="0.2">
      <c r="B587" s="38"/>
      <c r="C587" s="40"/>
      <c r="D587" s="40"/>
      <c r="E587" s="40"/>
      <c r="F587" s="40"/>
      <c r="G587" s="40"/>
      <c r="H587" s="40"/>
      <c r="I587" s="40"/>
      <c r="J587" s="40"/>
      <c r="K587" s="41"/>
    </row>
    <row r="588" spans="2:14" ht="16" x14ac:dyDescent="0.2">
      <c r="B588" s="38"/>
      <c r="C588" s="45" t="s">
        <v>115</v>
      </c>
      <c r="D588" s="40"/>
      <c r="E588" s="40"/>
      <c r="F588" s="40"/>
      <c r="G588" s="40"/>
      <c r="H588" s="40"/>
      <c r="I588" s="40"/>
      <c r="J588" s="40"/>
      <c r="K588" s="41"/>
    </row>
    <row r="589" spans="2:14" x14ac:dyDescent="0.2">
      <c r="B589" s="38"/>
      <c r="C589" s="40" t="s">
        <v>335</v>
      </c>
      <c r="D589" s="40"/>
      <c r="E589" s="40"/>
      <c r="F589" s="40"/>
      <c r="G589" s="40"/>
      <c r="H589" s="40"/>
      <c r="I589" s="40"/>
      <c r="J589" s="264">
        <v>0</v>
      </c>
      <c r="K589" s="41"/>
    </row>
    <row r="590" spans="2:14" x14ac:dyDescent="0.2">
      <c r="B590" s="38"/>
      <c r="C590" s="40" t="s">
        <v>260</v>
      </c>
      <c r="D590" s="40"/>
      <c r="E590" s="40"/>
      <c r="F590" s="40"/>
      <c r="G590" s="40"/>
      <c r="H590" s="40"/>
      <c r="I590" s="40"/>
      <c r="J590" s="255">
        <f>IF(J589&lt;=0,0,IF(J589&lt;=1000,1,IF(J589&lt;=5000,2,IF(J589&lt;=25000,3,4))))</f>
        <v>0</v>
      </c>
      <c r="K590" s="41"/>
    </row>
    <row r="591" spans="2:14" ht="9.75" customHeight="1" x14ac:dyDescent="0.2">
      <c r="B591" s="38"/>
      <c r="C591" s="279" t="str">
        <f>"0:"</f>
        <v>0:</v>
      </c>
      <c r="D591" s="284" t="s">
        <v>970</v>
      </c>
      <c r="E591" s="40"/>
      <c r="F591" s="40"/>
      <c r="G591" s="40"/>
      <c r="H591" s="40"/>
      <c r="I591" s="40"/>
      <c r="J591" s="251"/>
      <c r="K591" s="41"/>
    </row>
    <row r="592" spans="2:14" ht="9.75" customHeight="1" x14ac:dyDescent="0.2">
      <c r="B592" s="38"/>
      <c r="C592" s="280" t="str">
        <f>"1:"</f>
        <v>1:</v>
      </c>
      <c r="D592" s="284" t="s">
        <v>961</v>
      </c>
      <c r="E592" s="40"/>
      <c r="F592" s="40"/>
      <c r="G592" s="40"/>
      <c r="H592" s="40"/>
      <c r="I592" s="40"/>
      <c r="J592" s="251"/>
      <c r="K592" s="41"/>
    </row>
    <row r="593" spans="2:11" ht="9.75" customHeight="1" x14ac:dyDescent="0.2">
      <c r="B593" s="38"/>
      <c r="C593" s="280" t="str">
        <f>"2:"</f>
        <v>2:</v>
      </c>
      <c r="D593" s="284" t="s">
        <v>971</v>
      </c>
      <c r="E593" s="40"/>
      <c r="F593" s="40"/>
      <c r="G593" s="40"/>
      <c r="H593" s="40"/>
      <c r="I593" s="40"/>
      <c r="J593" s="251"/>
      <c r="K593" s="41"/>
    </row>
    <row r="594" spans="2:11" ht="9.75" customHeight="1" x14ac:dyDescent="0.2">
      <c r="B594" s="38"/>
      <c r="C594" s="280" t="str">
        <f>"3:"</f>
        <v>3:</v>
      </c>
      <c r="D594" s="284" t="s">
        <v>963</v>
      </c>
      <c r="E594" s="40"/>
      <c r="F594" s="40"/>
      <c r="G594" s="40"/>
      <c r="H594" s="40"/>
      <c r="I594" s="40"/>
      <c r="J594" s="251"/>
      <c r="K594" s="41"/>
    </row>
    <row r="595" spans="2:11" ht="9.75" customHeight="1" x14ac:dyDescent="0.2">
      <c r="B595" s="38"/>
      <c r="C595" s="280" t="str">
        <f>"4:"</f>
        <v>4:</v>
      </c>
      <c r="D595" s="284" t="s">
        <v>964</v>
      </c>
      <c r="E595" s="40"/>
      <c r="F595" s="40"/>
      <c r="G595" s="40"/>
      <c r="H595" s="40"/>
      <c r="I595" s="40"/>
      <c r="J595" s="40"/>
      <c r="K595" s="41"/>
    </row>
    <row r="596" spans="2:11" ht="15" customHeight="1" x14ac:dyDescent="0.2">
      <c r="B596" s="38"/>
      <c r="C596" s="40" t="s">
        <v>257</v>
      </c>
      <c r="D596" s="40"/>
      <c r="E596" s="40"/>
      <c r="F596" s="40"/>
      <c r="G596" s="40"/>
      <c r="H596" s="40"/>
      <c r="I596" s="40"/>
      <c r="J596" s="266" t="s">
        <v>870</v>
      </c>
      <c r="K596" s="41"/>
    </row>
    <row r="597" spans="2:11" ht="15" customHeight="1" x14ac:dyDescent="0.2">
      <c r="B597" s="38"/>
      <c r="C597" s="40" t="s">
        <v>261</v>
      </c>
      <c r="D597" s="40"/>
      <c r="E597" s="40"/>
      <c r="F597" s="40"/>
      <c r="G597" s="40"/>
      <c r="H597" s="40"/>
      <c r="I597" s="40"/>
      <c r="J597" s="245">
        <f>IF(J596=$B$973,$A$973,IF(J596=$B$974,$A$974,IF(J596=$B$975,$A$975,IF(J596=$B$976,$A$976,IF(J596=$B$977,$A$977,"Not Calculated")))))</f>
        <v>0</v>
      </c>
      <c r="K597" s="41"/>
    </row>
    <row r="598" spans="2:11" x14ac:dyDescent="0.2">
      <c r="B598" s="38"/>
      <c r="C598" s="40" t="s">
        <v>893</v>
      </c>
      <c r="D598" s="40"/>
      <c r="E598" s="40"/>
      <c r="F598" s="40"/>
      <c r="G598" s="40"/>
      <c r="H598" s="40"/>
      <c r="I598" s="40"/>
      <c r="J598" s="40"/>
      <c r="K598" s="41"/>
    </row>
    <row r="599" spans="2:11" ht="46.5" customHeight="1" x14ac:dyDescent="0.2">
      <c r="B599" s="38"/>
      <c r="C599" s="399"/>
      <c r="D599" s="400"/>
      <c r="E599" s="400"/>
      <c r="F599" s="400"/>
      <c r="G599" s="400"/>
      <c r="H599" s="400"/>
      <c r="I599" s="400"/>
      <c r="J599" s="401"/>
      <c r="K599" s="41"/>
    </row>
    <row r="600" spans="2:11" x14ac:dyDescent="0.2">
      <c r="B600" s="38"/>
      <c r="C600" s="40"/>
      <c r="D600" s="40"/>
      <c r="E600" s="40"/>
      <c r="F600" s="40"/>
      <c r="G600" s="40"/>
      <c r="H600" s="40"/>
      <c r="I600" s="40"/>
      <c r="J600" s="40"/>
      <c r="K600" s="41"/>
    </row>
    <row r="601" spans="2:11" x14ac:dyDescent="0.2">
      <c r="B601" s="38"/>
      <c r="C601" s="179" t="s">
        <v>325</v>
      </c>
      <c r="D601" s="40"/>
      <c r="E601" s="40"/>
      <c r="F601" s="40"/>
      <c r="G601" s="40"/>
      <c r="H601" s="40"/>
      <c r="I601" s="40"/>
      <c r="J601" s="245">
        <f>IF(J590="Not Calculated","Not Calculated",AVERAGE(J590,J597))</f>
        <v>0</v>
      </c>
      <c r="K601" s="41"/>
    </row>
    <row r="602" spans="2:11" x14ac:dyDescent="0.2">
      <c r="B602" s="38"/>
      <c r="C602" s="40"/>
      <c r="D602" s="40"/>
      <c r="E602" s="40"/>
      <c r="F602" s="40"/>
      <c r="G602" s="40"/>
      <c r="H602" s="40"/>
      <c r="I602" s="40"/>
      <c r="J602" s="40"/>
      <c r="K602" s="41"/>
    </row>
    <row r="603" spans="2:11" x14ac:dyDescent="0.2">
      <c r="B603" s="38"/>
      <c r="C603" s="40"/>
      <c r="D603" s="40"/>
      <c r="E603" s="40"/>
      <c r="F603" s="40"/>
      <c r="G603" s="40"/>
      <c r="H603" s="40"/>
      <c r="I603" s="40"/>
      <c r="J603" s="40"/>
      <c r="K603" s="41"/>
    </row>
    <row r="604" spans="2:11" ht="16" x14ac:dyDescent="0.2">
      <c r="B604" s="38"/>
      <c r="C604" s="45" t="s">
        <v>326</v>
      </c>
      <c r="D604" s="40"/>
      <c r="E604" s="40"/>
      <c r="F604" s="40"/>
      <c r="G604" s="40"/>
      <c r="H604" s="40"/>
      <c r="I604" s="40"/>
      <c r="J604" s="40"/>
      <c r="K604" s="41"/>
    </row>
    <row r="605" spans="2:11" x14ac:dyDescent="0.2">
      <c r="B605" s="38"/>
      <c r="C605" s="40" t="s">
        <v>336</v>
      </c>
      <c r="D605" s="40"/>
      <c r="E605" s="40"/>
      <c r="F605" s="40"/>
      <c r="G605" s="40"/>
      <c r="H605" s="40"/>
      <c r="I605" s="40"/>
      <c r="J605" s="271">
        <v>0</v>
      </c>
      <c r="K605" s="41"/>
    </row>
    <row r="606" spans="2:11" x14ac:dyDescent="0.2">
      <c r="B606" s="38"/>
      <c r="C606" s="40" t="s">
        <v>260</v>
      </c>
      <c r="D606" s="40"/>
      <c r="E606" s="40"/>
      <c r="F606" s="40"/>
      <c r="G606" s="40"/>
      <c r="H606" s="40"/>
      <c r="I606" s="40"/>
      <c r="J606" s="248">
        <f>IF(J605&lt;=0,0,IF(J605&lt;=10,1,IF(J605&lt;=25,2,IF(J605&lt;=50,3,4))))</f>
        <v>0</v>
      </c>
      <c r="K606" s="41"/>
    </row>
    <row r="607" spans="2:11" ht="9.75" customHeight="1" x14ac:dyDescent="0.2">
      <c r="B607" s="38"/>
      <c r="C607" s="279" t="str">
        <f>"0:"</f>
        <v>0:</v>
      </c>
      <c r="D607" s="290" t="s">
        <v>944</v>
      </c>
      <c r="E607" s="40"/>
      <c r="F607" s="40"/>
      <c r="G607" s="40"/>
      <c r="H607" s="40"/>
      <c r="I607" s="40"/>
      <c r="J607" s="244"/>
      <c r="K607" s="41"/>
    </row>
    <row r="608" spans="2:11" ht="9.75" customHeight="1" x14ac:dyDescent="0.2">
      <c r="B608" s="38"/>
      <c r="C608" s="280" t="str">
        <f>"1:"</f>
        <v>1:</v>
      </c>
      <c r="D608" s="290" t="s">
        <v>947</v>
      </c>
      <c r="E608" s="40"/>
      <c r="F608" s="40"/>
      <c r="G608" s="40"/>
      <c r="H608" s="40"/>
      <c r="I608" s="40"/>
      <c r="J608" s="244"/>
      <c r="K608" s="41"/>
    </row>
    <row r="609" spans="2:11" ht="9.75" customHeight="1" x14ac:dyDescent="0.2">
      <c r="B609" s="38"/>
      <c r="C609" s="280" t="str">
        <f>"2:"</f>
        <v>2:</v>
      </c>
      <c r="D609" s="290" t="s">
        <v>972</v>
      </c>
      <c r="E609" s="40"/>
      <c r="F609" s="40"/>
      <c r="G609" s="40"/>
      <c r="H609" s="40"/>
      <c r="I609" s="40"/>
      <c r="J609" s="244"/>
      <c r="K609" s="41"/>
    </row>
    <row r="610" spans="2:11" ht="9.75" customHeight="1" x14ac:dyDescent="0.2">
      <c r="B610" s="38"/>
      <c r="C610" s="280" t="str">
        <f>"3:"</f>
        <v>3:</v>
      </c>
      <c r="D610" s="290" t="s">
        <v>973</v>
      </c>
      <c r="E610" s="40"/>
      <c r="F610" s="40"/>
      <c r="G610" s="40"/>
      <c r="H610" s="40"/>
      <c r="I610" s="40"/>
      <c r="J610" s="244"/>
      <c r="K610" s="41"/>
    </row>
    <row r="611" spans="2:11" ht="9.75" customHeight="1" x14ac:dyDescent="0.2">
      <c r="B611" s="38"/>
      <c r="C611" s="280" t="str">
        <f>"4:"</f>
        <v>4:</v>
      </c>
      <c r="D611" s="290" t="s">
        <v>974</v>
      </c>
      <c r="E611" s="40"/>
      <c r="F611" s="40"/>
      <c r="G611" s="40"/>
      <c r="H611" s="40"/>
      <c r="I611" s="40"/>
      <c r="J611" s="40"/>
      <c r="K611" s="41"/>
    </row>
    <row r="612" spans="2:11" x14ac:dyDescent="0.2">
      <c r="B612" s="38"/>
      <c r="C612" s="40" t="s">
        <v>893</v>
      </c>
      <c r="D612" s="40"/>
      <c r="E612" s="40"/>
      <c r="F612" s="40"/>
      <c r="G612" s="40"/>
      <c r="H612" s="40"/>
      <c r="I612" s="40"/>
      <c r="J612" s="40"/>
      <c r="K612" s="41"/>
    </row>
    <row r="613" spans="2:11" ht="15" customHeight="1" x14ac:dyDescent="0.2">
      <c r="B613" s="38"/>
      <c r="C613" s="399"/>
      <c r="D613" s="400"/>
      <c r="E613" s="400"/>
      <c r="F613" s="400"/>
      <c r="G613" s="400"/>
      <c r="H613" s="400"/>
      <c r="I613" s="400"/>
      <c r="J613" s="401"/>
      <c r="K613" s="41"/>
    </row>
    <row r="614" spans="2:11" x14ac:dyDescent="0.2">
      <c r="B614" s="38"/>
      <c r="C614" s="40"/>
      <c r="D614" s="40"/>
      <c r="E614" s="40"/>
      <c r="F614" s="40"/>
      <c r="G614" s="40"/>
      <c r="H614" s="40"/>
      <c r="I614" s="40"/>
      <c r="J614" s="40"/>
      <c r="K614" s="41"/>
    </row>
    <row r="615" spans="2:11" x14ac:dyDescent="0.2">
      <c r="B615" s="38"/>
      <c r="C615" s="179" t="s">
        <v>327</v>
      </c>
      <c r="D615" s="40"/>
      <c r="E615" s="40"/>
      <c r="F615" s="40"/>
      <c r="G615" s="40"/>
      <c r="H615" s="40"/>
      <c r="I615" s="40"/>
      <c r="J615" s="245">
        <f>J606</f>
        <v>0</v>
      </c>
      <c r="K615" s="41"/>
    </row>
    <row r="616" spans="2:11" x14ac:dyDescent="0.2">
      <c r="B616" s="38"/>
      <c r="C616" s="40"/>
      <c r="D616" s="40"/>
      <c r="E616" s="40"/>
      <c r="F616" s="40"/>
      <c r="G616" s="40"/>
      <c r="H616" s="40"/>
      <c r="I616" s="40"/>
      <c r="J616" s="40"/>
      <c r="K616" s="41"/>
    </row>
    <row r="617" spans="2:11" x14ac:dyDescent="0.2">
      <c r="B617" s="38"/>
      <c r="C617" s="40"/>
      <c r="D617" s="40"/>
      <c r="E617" s="40"/>
      <c r="F617" s="40"/>
      <c r="G617" s="40"/>
      <c r="H617" s="40"/>
      <c r="I617" s="40"/>
      <c r="J617" s="40"/>
      <c r="K617" s="41"/>
    </row>
    <row r="618" spans="2:11" ht="16" x14ac:dyDescent="0.2">
      <c r="B618" s="38"/>
      <c r="C618" s="45" t="s">
        <v>92</v>
      </c>
      <c r="D618" s="40"/>
      <c r="E618" s="40"/>
      <c r="F618" s="40"/>
      <c r="G618" s="40"/>
      <c r="H618" s="40"/>
      <c r="I618" s="40"/>
      <c r="J618" s="40"/>
      <c r="K618" s="41"/>
    </row>
    <row r="619" spans="2:11" x14ac:dyDescent="0.2">
      <c r="B619" s="38"/>
      <c r="C619" s="40" t="s">
        <v>337</v>
      </c>
      <c r="D619" s="40"/>
      <c r="E619" s="40"/>
      <c r="F619" s="40"/>
      <c r="G619" s="40"/>
      <c r="H619" s="40"/>
      <c r="I619" s="40"/>
      <c r="J619" s="251">
        <f>'Baseline Health'!G137</f>
        <v>1</v>
      </c>
      <c r="K619" s="41"/>
    </row>
    <row r="620" spans="2:11" ht="15" customHeight="1" x14ac:dyDescent="0.2">
      <c r="B620" s="38"/>
      <c r="C620" s="380" t="s">
        <v>338</v>
      </c>
      <c r="D620" s="380"/>
      <c r="E620" s="380"/>
      <c r="F620" s="380"/>
      <c r="G620" s="380"/>
      <c r="H620" s="380"/>
      <c r="I620" s="380"/>
      <c r="J620" s="251"/>
      <c r="K620" s="41"/>
    </row>
    <row r="621" spans="2:11" x14ac:dyDescent="0.2">
      <c r="B621" s="38"/>
      <c r="C621" s="380"/>
      <c r="D621" s="380"/>
      <c r="E621" s="380"/>
      <c r="F621" s="380"/>
      <c r="G621" s="380"/>
      <c r="H621" s="380"/>
      <c r="I621" s="380"/>
      <c r="J621" s="264">
        <v>0</v>
      </c>
      <c r="K621" s="41"/>
    </row>
    <row r="622" spans="2:11" x14ac:dyDescent="0.2">
      <c r="B622" s="38"/>
      <c r="C622" s="40" t="s">
        <v>260</v>
      </c>
      <c r="D622" s="40"/>
      <c r="E622" s="40"/>
      <c r="F622" s="40"/>
      <c r="G622" s="40"/>
      <c r="H622" s="40"/>
      <c r="I622" s="40"/>
      <c r="J622" s="248">
        <f>IF(OR(J619=0,J619="Not Calculated")=TRUE,"Not Calculated",IF(((J619+J621)/J619)&lt;=1,0,IF(((J619+J621)/J619)&lt;=1.05,1,IF(((J619+J621)/J619)&lt;=1.5, 2,IF(((J619+J621)/J619)&lt;=2,3,4)))))</f>
        <v>0</v>
      </c>
      <c r="K622" s="41"/>
    </row>
    <row r="623" spans="2:11" ht="9.75" customHeight="1" x14ac:dyDescent="0.2">
      <c r="B623" s="38"/>
      <c r="C623" s="279" t="str">
        <f>"0:"</f>
        <v>0:</v>
      </c>
      <c r="D623" s="281" t="s">
        <v>918</v>
      </c>
      <c r="E623" s="291"/>
      <c r="F623" s="291"/>
      <c r="G623" s="291"/>
      <c r="H623" s="291"/>
      <c r="I623" s="291"/>
      <c r="J623" s="251"/>
      <c r="K623" s="41"/>
    </row>
    <row r="624" spans="2:11" ht="9.75" customHeight="1" x14ac:dyDescent="0.2">
      <c r="B624" s="38"/>
      <c r="C624" s="280" t="str">
        <f>"1:"</f>
        <v>1:</v>
      </c>
      <c r="D624" s="281" t="s">
        <v>919</v>
      </c>
      <c r="E624" s="291"/>
      <c r="F624" s="291"/>
      <c r="G624" s="291"/>
      <c r="H624" s="291"/>
      <c r="I624" s="291"/>
      <c r="J624" s="251"/>
      <c r="K624" s="41"/>
    </row>
    <row r="625" spans="2:14" ht="9.75" customHeight="1" x14ac:dyDescent="0.2">
      <c r="B625" s="38"/>
      <c r="C625" s="280" t="str">
        <f>"2:"</f>
        <v>2:</v>
      </c>
      <c r="D625" s="281" t="s">
        <v>920</v>
      </c>
      <c r="E625" s="291"/>
      <c r="F625" s="291"/>
      <c r="G625" s="291"/>
      <c r="H625" s="291"/>
      <c r="I625" s="291"/>
      <c r="J625" s="251"/>
      <c r="K625" s="41"/>
    </row>
    <row r="626" spans="2:14" ht="9.75" customHeight="1" x14ac:dyDescent="0.2">
      <c r="B626" s="38"/>
      <c r="C626" s="280" t="str">
        <f>"3:"</f>
        <v>3:</v>
      </c>
      <c r="D626" s="281" t="s">
        <v>921</v>
      </c>
      <c r="E626" s="291"/>
      <c r="F626" s="291"/>
      <c r="G626" s="291"/>
      <c r="H626" s="291"/>
      <c r="I626" s="291"/>
      <c r="J626" s="251"/>
      <c r="K626" s="41"/>
    </row>
    <row r="627" spans="2:14" ht="9.75" customHeight="1" x14ac:dyDescent="0.2">
      <c r="B627" s="38"/>
      <c r="C627" s="280" t="str">
        <f>"4:"</f>
        <v>4:</v>
      </c>
      <c r="D627" s="281" t="s">
        <v>922</v>
      </c>
      <c r="E627" s="40"/>
      <c r="F627" s="40"/>
      <c r="G627" s="40"/>
      <c r="H627" s="40"/>
      <c r="I627" s="40"/>
      <c r="J627" s="40"/>
      <c r="K627" s="41"/>
      <c r="N627" s="12" t="s">
        <v>661</v>
      </c>
    </row>
    <row r="628" spans="2:14" x14ac:dyDescent="0.2">
      <c r="B628" s="38"/>
      <c r="C628" s="174" t="s">
        <v>662</v>
      </c>
      <c r="D628" s="40"/>
      <c r="E628" s="40"/>
      <c r="F628" s="40"/>
      <c r="G628" s="40"/>
      <c r="H628" s="40"/>
      <c r="I628" s="40"/>
      <c r="J628" s="265" t="s">
        <v>894</v>
      </c>
      <c r="K628" s="41"/>
      <c r="N628" s="12" t="s">
        <v>894</v>
      </c>
    </row>
    <row r="629" spans="2:14" x14ac:dyDescent="0.2">
      <c r="B629" s="38"/>
      <c r="C629" s="174" t="s">
        <v>660</v>
      </c>
      <c r="D629" s="40"/>
      <c r="E629" s="40"/>
      <c r="F629" s="40"/>
      <c r="G629" s="40"/>
      <c r="H629" s="40"/>
      <c r="I629" s="40"/>
      <c r="J629" s="247">
        <f>IF(J628=N627,"N/A",IF(J628=N628,0,IF(J628=N629,1,IF(J628=N630,2,IF(J628=N631,3,IF(J628=N632,4,"N/A"))))))</f>
        <v>0</v>
      </c>
      <c r="K629" s="41"/>
      <c r="N629" s="12" t="s">
        <v>895</v>
      </c>
    </row>
    <row r="630" spans="2:14" x14ac:dyDescent="0.2">
      <c r="B630" s="38"/>
      <c r="C630" s="40" t="s">
        <v>257</v>
      </c>
      <c r="D630" s="40"/>
      <c r="E630" s="40"/>
      <c r="F630" s="40"/>
      <c r="G630" s="40"/>
      <c r="H630" s="40"/>
      <c r="I630" s="40"/>
      <c r="J630" s="266" t="s">
        <v>870</v>
      </c>
      <c r="K630" s="41"/>
      <c r="N630" s="12" t="s">
        <v>896</v>
      </c>
    </row>
    <row r="631" spans="2:14" x14ac:dyDescent="0.2">
      <c r="B631" s="38"/>
      <c r="C631" s="40" t="s">
        <v>261</v>
      </c>
      <c r="D631" s="40"/>
      <c r="E631" s="40"/>
      <c r="F631" s="40"/>
      <c r="G631" s="40"/>
      <c r="H631" s="40"/>
      <c r="I631" s="40"/>
      <c r="J631" s="248">
        <f>IF(J630=$B$973,$A$973,IF(J630=$B$974,$A$974,IF(J630=$B$975,$A$975,IF(J630=$B$976,$A$976,IF(J630=$B$977,$A$977,"Not Calculated")))))</f>
        <v>0</v>
      </c>
      <c r="K631" s="41"/>
      <c r="N631" s="12" t="s">
        <v>897</v>
      </c>
    </row>
    <row r="632" spans="2:14" x14ac:dyDescent="0.2">
      <c r="B632" s="38"/>
      <c r="C632" s="40" t="s">
        <v>893</v>
      </c>
      <c r="D632" s="40"/>
      <c r="E632" s="40"/>
      <c r="F632" s="40"/>
      <c r="G632" s="40"/>
      <c r="H632" s="40"/>
      <c r="I632" s="40"/>
      <c r="J632" s="40"/>
      <c r="K632" s="41"/>
      <c r="N632" s="12" t="s">
        <v>898</v>
      </c>
    </row>
    <row r="633" spans="2:14" ht="15" customHeight="1" x14ac:dyDescent="0.2">
      <c r="B633" s="38"/>
      <c r="C633" s="399"/>
      <c r="D633" s="400"/>
      <c r="E633" s="400"/>
      <c r="F633" s="400"/>
      <c r="G633" s="400"/>
      <c r="H633" s="400"/>
      <c r="I633" s="400"/>
      <c r="J633" s="401"/>
      <c r="K633" s="41"/>
    </row>
    <row r="634" spans="2:14" x14ac:dyDescent="0.2">
      <c r="B634" s="38"/>
      <c r="C634" s="40"/>
      <c r="D634" s="40"/>
      <c r="E634" s="40"/>
      <c r="F634" s="40"/>
      <c r="G634" s="40"/>
      <c r="H634" s="40"/>
      <c r="I634" s="40"/>
      <c r="J634" s="40"/>
      <c r="K634" s="41"/>
    </row>
    <row r="635" spans="2:14" x14ac:dyDescent="0.2">
      <c r="B635" s="38"/>
      <c r="C635" s="179" t="s">
        <v>328</v>
      </c>
      <c r="D635" s="40"/>
      <c r="E635" s="40"/>
      <c r="F635" s="40"/>
      <c r="G635" s="40"/>
      <c r="H635" s="40"/>
      <c r="I635" s="40"/>
      <c r="J635" s="245">
        <f>IF(J629="N/A",IF(OR(J622="Not Calculated",J631="Not Calculated")=TRUE,"Not Calculated",AVERAGE(J622,J631)),AVERAGE(J629,J631))</f>
        <v>0</v>
      </c>
      <c r="K635" s="41"/>
    </row>
    <row r="636" spans="2:14" x14ac:dyDescent="0.2">
      <c r="B636" s="38"/>
      <c r="C636" s="40"/>
      <c r="D636" s="40"/>
      <c r="E636" s="40"/>
      <c r="F636" s="40"/>
      <c r="G636" s="40"/>
      <c r="H636" s="40"/>
      <c r="I636" s="40"/>
      <c r="J636" s="40"/>
      <c r="K636" s="41"/>
    </row>
    <row r="637" spans="2:14" x14ac:dyDescent="0.2">
      <c r="B637" s="38"/>
      <c r="C637" s="40"/>
      <c r="D637" s="40"/>
      <c r="E637" s="40"/>
      <c r="F637" s="40"/>
      <c r="G637" s="40"/>
      <c r="H637" s="40"/>
      <c r="I637" s="40"/>
      <c r="J637" s="40"/>
      <c r="K637" s="41"/>
    </row>
    <row r="638" spans="2:14" ht="16" x14ac:dyDescent="0.2">
      <c r="B638" s="38"/>
      <c r="C638" s="45" t="s">
        <v>329</v>
      </c>
      <c r="D638" s="40"/>
      <c r="E638" s="40"/>
      <c r="F638" s="40"/>
      <c r="G638" s="40"/>
      <c r="H638" s="40"/>
      <c r="I638" s="40"/>
      <c r="J638" s="40"/>
      <c r="K638" s="41"/>
    </row>
    <row r="639" spans="2:14" ht="15" customHeight="1" x14ac:dyDescent="0.2">
      <c r="B639" s="38"/>
      <c r="C639" s="380" t="s">
        <v>339</v>
      </c>
      <c r="D639" s="380"/>
      <c r="E639" s="380"/>
      <c r="F639" s="380"/>
      <c r="G639" s="380"/>
      <c r="H639" s="380"/>
      <c r="I639" s="380"/>
      <c r="J639" s="40"/>
      <c r="K639" s="41"/>
    </row>
    <row r="640" spans="2:14" x14ac:dyDescent="0.2">
      <c r="B640" s="38"/>
      <c r="C640" s="380"/>
      <c r="D640" s="380"/>
      <c r="E640" s="380"/>
      <c r="F640" s="380"/>
      <c r="G640" s="380"/>
      <c r="H640" s="380"/>
      <c r="I640" s="380"/>
      <c r="J640" s="250">
        <f>'Baseline Health'!G145</f>
        <v>0</v>
      </c>
      <c r="K640" s="41"/>
    </row>
    <row r="641" spans="2:14" ht="15" customHeight="1" x14ac:dyDescent="0.2">
      <c r="B641" s="38"/>
      <c r="C641" s="380" t="s">
        <v>340</v>
      </c>
      <c r="D641" s="380"/>
      <c r="E641" s="380"/>
      <c r="F641" s="380"/>
      <c r="G641" s="380"/>
      <c r="H641" s="380"/>
      <c r="I641" s="380"/>
      <c r="J641" s="245"/>
      <c r="K641" s="41"/>
    </row>
    <row r="642" spans="2:14" x14ac:dyDescent="0.2">
      <c r="B642" s="38"/>
      <c r="C642" s="380"/>
      <c r="D642" s="380"/>
      <c r="E642" s="380"/>
      <c r="F642" s="380"/>
      <c r="G642" s="380"/>
      <c r="H642" s="380"/>
      <c r="I642" s="380"/>
      <c r="J642" s="245"/>
      <c r="K642" s="41"/>
    </row>
    <row r="643" spans="2:14" x14ac:dyDescent="0.2">
      <c r="B643" s="38"/>
      <c r="C643" s="380"/>
      <c r="D643" s="380"/>
      <c r="E643" s="380"/>
      <c r="F643" s="380"/>
      <c r="G643" s="380"/>
      <c r="H643" s="380"/>
      <c r="I643" s="380"/>
      <c r="J643" s="272">
        <v>0</v>
      </c>
      <c r="K643" s="41"/>
    </row>
    <row r="644" spans="2:14" x14ac:dyDescent="0.2">
      <c r="B644" s="38"/>
      <c r="C644" s="40" t="s">
        <v>260</v>
      </c>
      <c r="D644" s="40"/>
      <c r="E644" s="40"/>
      <c r="F644" s="40"/>
      <c r="G644" s="40"/>
      <c r="H644" s="40"/>
      <c r="I644" s="40"/>
      <c r="J644" s="248" t="str">
        <f>IF(OR(J640=0,J640="Not Calculated")=TRUE,"Not Calculated",IF(((J640+J643)/J640)&lt;=1,0,IF(((J640+J643)/J640)&lt;=1.05,1,IF(((J640+J643)/J640)&lt;=1.5, 2,IF(((J640+J643)/J640)&lt;=2,3,4)))))</f>
        <v>Not Calculated</v>
      </c>
      <c r="K644" s="41"/>
    </row>
    <row r="645" spans="2:14" ht="9.75" customHeight="1" x14ac:dyDescent="0.2">
      <c r="B645" s="38"/>
      <c r="C645" s="279" t="str">
        <f>"0:"</f>
        <v>0:</v>
      </c>
      <c r="D645" s="281" t="s">
        <v>918</v>
      </c>
      <c r="E645" s="291"/>
      <c r="F645" s="291"/>
      <c r="G645" s="291"/>
      <c r="H645" s="291"/>
      <c r="I645" s="291"/>
      <c r="J645" s="250"/>
      <c r="K645" s="41"/>
    </row>
    <row r="646" spans="2:14" ht="9.75" customHeight="1" x14ac:dyDescent="0.2">
      <c r="B646" s="38"/>
      <c r="C646" s="280" t="str">
        <f>"1:"</f>
        <v>1:</v>
      </c>
      <c r="D646" s="281" t="s">
        <v>919</v>
      </c>
      <c r="E646" s="291"/>
      <c r="F646" s="291"/>
      <c r="G646" s="291"/>
      <c r="H646" s="291"/>
      <c r="I646" s="291"/>
      <c r="J646" s="250"/>
      <c r="K646" s="41"/>
    </row>
    <row r="647" spans="2:14" ht="9.75" customHeight="1" x14ac:dyDescent="0.2">
      <c r="B647" s="38"/>
      <c r="C647" s="280" t="str">
        <f>"2:"</f>
        <v>2:</v>
      </c>
      <c r="D647" s="281" t="s">
        <v>920</v>
      </c>
      <c r="E647" s="291"/>
      <c r="F647" s="291"/>
      <c r="G647" s="291"/>
      <c r="H647" s="291"/>
      <c r="I647" s="291"/>
      <c r="J647" s="250"/>
      <c r="K647" s="41"/>
    </row>
    <row r="648" spans="2:14" ht="9.75" customHeight="1" x14ac:dyDescent="0.2">
      <c r="B648" s="38"/>
      <c r="C648" s="280" t="str">
        <f>"3:"</f>
        <v>3:</v>
      </c>
      <c r="D648" s="281" t="s">
        <v>921</v>
      </c>
      <c r="E648" s="291"/>
      <c r="F648" s="291"/>
      <c r="G648" s="291"/>
      <c r="H648" s="291"/>
      <c r="I648" s="291"/>
      <c r="J648" s="250"/>
      <c r="K648" s="41"/>
    </row>
    <row r="649" spans="2:14" ht="9.75" customHeight="1" x14ac:dyDescent="0.2">
      <c r="B649" s="38"/>
      <c r="C649" s="280" t="str">
        <f>"4:"</f>
        <v>4:</v>
      </c>
      <c r="D649" s="281" t="s">
        <v>922</v>
      </c>
      <c r="E649" s="40"/>
      <c r="F649" s="40"/>
      <c r="G649" s="40"/>
      <c r="H649" s="40"/>
      <c r="I649" s="40"/>
      <c r="J649" s="40"/>
      <c r="K649" s="41"/>
      <c r="N649" s="12" t="s">
        <v>661</v>
      </c>
    </row>
    <row r="650" spans="2:14" x14ac:dyDescent="0.2">
      <c r="B650" s="38"/>
      <c r="C650" s="174" t="s">
        <v>662</v>
      </c>
      <c r="D650" s="40"/>
      <c r="E650" s="40"/>
      <c r="F650" s="40"/>
      <c r="G650" s="40"/>
      <c r="H650" s="40"/>
      <c r="I650" s="40"/>
      <c r="J650" s="265" t="s">
        <v>894</v>
      </c>
      <c r="K650" s="41"/>
      <c r="N650" s="12" t="s">
        <v>894</v>
      </c>
    </row>
    <row r="651" spans="2:14" x14ac:dyDescent="0.2">
      <c r="B651" s="38"/>
      <c r="C651" s="174" t="s">
        <v>660</v>
      </c>
      <c r="D651" s="40"/>
      <c r="E651" s="40"/>
      <c r="F651" s="40"/>
      <c r="G651" s="40"/>
      <c r="H651" s="40"/>
      <c r="I651" s="40"/>
      <c r="J651" s="247">
        <f>IF(J650=N649,"N/A",IF(J650=N650,0,IF(J650=N651,1,IF(J650=N652,2,IF(J650=N653,3,IF(J650=N654,4,"N/A"))))))</f>
        <v>0</v>
      </c>
      <c r="K651" s="41"/>
      <c r="N651" s="12" t="s">
        <v>895</v>
      </c>
    </row>
    <row r="652" spans="2:14" ht="15" customHeight="1" x14ac:dyDescent="0.2">
      <c r="B652" s="38"/>
      <c r="C652" s="40" t="s">
        <v>257</v>
      </c>
      <c r="D652" s="40"/>
      <c r="E652" s="40"/>
      <c r="F652" s="40"/>
      <c r="G652" s="40"/>
      <c r="H652" s="40"/>
      <c r="I652" s="40"/>
      <c r="J652" s="266" t="s">
        <v>870</v>
      </c>
      <c r="K652" s="41"/>
      <c r="N652" s="12" t="s">
        <v>896</v>
      </c>
    </row>
    <row r="653" spans="2:14" x14ac:dyDescent="0.2">
      <c r="B653" s="38"/>
      <c r="C653" s="40" t="s">
        <v>261</v>
      </c>
      <c r="D653" s="40"/>
      <c r="E653" s="40"/>
      <c r="F653" s="40"/>
      <c r="G653" s="40"/>
      <c r="H653" s="40"/>
      <c r="I653" s="40"/>
      <c r="J653" s="248">
        <f>IF(J652=$B$973,$A$973,IF(J652=$B$974,$A$974,IF(J652=$B$975,$A$975,IF(J652=$B$976,$A$976,IF(J652=$B$977,$A$977,"Not Calculated")))))</f>
        <v>0</v>
      </c>
      <c r="K653" s="41"/>
      <c r="N653" s="12" t="s">
        <v>897</v>
      </c>
    </row>
    <row r="654" spans="2:14" x14ac:dyDescent="0.2">
      <c r="B654" s="38"/>
      <c r="C654" s="40" t="s">
        <v>893</v>
      </c>
      <c r="D654" s="40"/>
      <c r="E654" s="40"/>
      <c r="F654" s="40"/>
      <c r="G654" s="40"/>
      <c r="H654" s="40"/>
      <c r="I654" s="40"/>
      <c r="J654" s="40"/>
      <c r="K654" s="41"/>
      <c r="N654" s="12" t="s">
        <v>898</v>
      </c>
    </row>
    <row r="655" spans="2:14" ht="60.75" customHeight="1" x14ac:dyDescent="0.2">
      <c r="B655" s="38"/>
      <c r="C655" s="399"/>
      <c r="D655" s="400"/>
      <c r="E655" s="400"/>
      <c r="F655" s="400"/>
      <c r="G655" s="400"/>
      <c r="H655" s="400"/>
      <c r="I655" s="400"/>
      <c r="J655" s="401"/>
      <c r="K655" s="41"/>
    </row>
    <row r="656" spans="2:14" x14ac:dyDescent="0.2">
      <c r="B656" s="38"/>
      <c r="C656" s="40"/>
      <c r="D656" s="40"/>
      <c r="E656" s="40"/>
      <c r="F656" s="40"/>
      <c r="G656" s="40"/>
      <c r="H656" s="40"/>
      <c r="I656" s="40"/>
      <c r="J656" s="40"/>
      <c r="K656" s="41"/>
    </row>
    <row r="657" spans="2:14" x14ac:dyDescent="0.2">
      <c r="B657" s="38"/>
      <c r="C657" s="179" t="s">
        <v>330</v>
      </c>
      <c r="D657" s="40"/>
      <c r="E657" s="40"/>
      <c r="F657" s="40"/>
      <c r="G657" s="40"/>
      <c r="H657" s="40"/>
      <c r="I657" s="40"/>
      <c r="J657" s="245">
        <f>IF(J651="N/A",IF(OR(J644="Not Calculated",J653="Not Calculated")=TRUE,"Not Calculated",AVERAGE(J644,J653)),AVERAGE(J651,J653))</f>
        <v>0</v>
      </c>
      <c r="K657" s="41"/>
    </row>
    <row r="658" spans="2:14" x14ac:dyDescent="0.2">
      <c r="B658" s="38"/>
      <c r="C658" s="40"/>
      <c r="D658" s="40"/>
      <c r="E658" s="40"/>
      <c r="F658" s="40"/>
      <c r="G658" s="40"/>
      <c r="H658" s="40"/>
      <c r="I658" s="40"/>
      <c r="J658" s="40"/>
      <c r="K658" s="41"/>
    </row>
    <row r="659" spans="2:14" x14ac:dyDescent="0.2">
      <c r="B659" s="38"/>
      <c r="C659" s="40"/>
      <c r="D659" s="40"/>
      <c r="E659" s="40"/>
      <c r="F659" s="40"/>
      <c r="G659" s="40"/>
      <c r="H659" s="40"/>
      <c r="I659" s="40"/>
      <c r="J659" s="40"/>
      <c r="K659" s="41"/>
    </row>
    <row r="660" spans="2:14" ht="16" x14ac:dyDescent="0.2">
      <c r="B660" s="38"/>
      <c r="C660" s="45" t="s">
        <v>97</v>
      </c>
      <c r="D660" s="40"/>
      <c r="E660" s="40"/>
      <c r="F660" s="40"/>
      <c r="G660" s="40"/>
      <c r="H660" s="40"/>
      <c r="I660" s="40"/>
      <c r="J660" s="40"/>
      <c r="K660" s="41"/>
    </row>
    <row r="661" spans="2:14" x14ac:dyDescent="0.2">
      <c r="B661" s="38"/>
      <c r="C661" s="40" t="s">
        <v>449</v>
      </c>
      <c r="D661" s="40"/>
      <c r="E661" s="40"/>
      <c r="F661" s="40"/>
      <c r="G661" s="40"/>
      <c r="H661" s="40"/>
      <c r="I661" s="40"/>
      <c r="J661" s="249">
        <f>'Baseline Health'!G150</f>
        <v>0</v>
      </c>
      <c r="K661" s="41"/>
    </row>
    <row r="662" spans="2:14" x14ac:dyDescent="0.2">
      <c r="B662" s="38"/>
      <c r="C662" s="40" t="s">
        <v>341</v>
      </c>
      <c r="D662" s="40"/>
      <c r="E662" s="40"/>
      <c r="F662" s="40"/>
      <c r="G662" s="40"/>
      <c r="H662" s="40"/>
      <c r="I662" s="40"/>
      <c r="J662" s="273">
        <v>0</v>
      </c>
      <c r="K662" s="41"/>
    </row>
    <row r="663" spans="2:14" x14ac:dyDescent="0.2">
      <c r="B663" s="38"/>
      <c r="C663" s="40" t="s">
        <v>450</v>
      </c>
      <c r="D663" s="40"/>
      <c r="E663" s="40"/>
      <c r="F663" s="40"/>
      <c r="G663" s="40"/>
      <c r="H663" s="40"/>
      <c r="I663" s="40"/>
      <c r="J663" s="243">
        <f>J26</f>
        <v>0</v>
      </c>
      <c r="K663" s="41"/>
    </row>
    <row r="664" spans="2:14" ht="15" customHeight="1" x14ac:dyDescent="0.2">
      <c r="B664" s="38"/>
      <c r="C664" s="291"/>
      <c r="D664" s="380" t="s">
        <v>342</v>
      </c>
      <c r="E664" s="380"/>
      <c r="F664" s="380"/>
      <c r="G664" s="380"/>
      <c r="H664" s="380"/>
      <c r="I664" s="380"/>
      <c r="J664" s="245"/>
      <c r="K664" s="41"/>
    </row>
    <row r="665" spans="2:14" x14ac:dyDescent="0.2">
      <c r="B665" s="38"/>
      <c r="C665" s="291"/>
      <c r="D665" s="380"/>
      <c r="E665" s="380"/>
      <c r="F665" s="380"/>
      <c r="G665" s="380"/>
      <c r="H665" s="380"/>
      <c r="I665" s="380"/>
      <c r="J665" s="245"/>
      <c r="K665" s="41"/>
    </row>
    <row r="666" spans="2:14" x14ac:dyDescent="0.2">
      <c r="B666" s="38"/>
      <c r="C666" s="40" t="s">
        <v>260</v>
      </c>
      <c r="D666" s="40"/>
      <c r="E666" s="40"/>
      <c r="F666" s="40"/>
      <c r="G666" s="40"/>
      <c r="H666" s="40"/>
      <c r="I666" s="40"/>
      <c r="J666" s="245" t="str">
        <f>IF(OR(J661=0,J661="Not Calculated")=TRUE,"Not Calculated",IF(((J661+J663)/(J661-J662))&lt;=1,0,IF(((J661+J663)/(J661-J662))&lt;=1.1,1,IF(((J661+J663)/(J661-J662))&lt;=1.5, 2,IF(((J661+J663)/(J661-J662))&lt;=2,3,4)))))</f>
        <v>Not Calculated</v>
      </c>
      <c r="K666" s="41"/>
    </row>
    <row r="667" spans="2:14" ht="9.75" customHeight="1" x14ac:dyDescent="0.2">
      <c r="B667" s="38"/>
      <c r="C667" s="279" t="str">
        <f>"0:"</f>
        <v>0:</v>
      </c>
      <c r="D667" s="278" t="s">
        <v>918</v>
      </c>
      <c r="E667" s="291"/>
      <c r="F667" s="291"/>
      <c r="G667" s="291"/>
      <c r="H667" s="291"/>
      <c r="I667" s="291"/>
      <c r="J667" s="245"/>
      <c r="K667" s="41"/>
    </row>
    <row r="668" spans="2:14" ht="9.75" customHeight="1" x14ac:dyDescent="0.2">
      <c r="B668" s="38"/>
      <c r="C668" s="280" t="str">
        <f>"1:"</f>
        <v>1:</v>
      </c>
      <c r="D668" s="278" t="s">
        <v>923</v>
      </c>
      <c r="E668" s="291"/>
      <c r="F668" s="291"/>
      <c r="G668" s="291"/>
      <c r="H668" s="291"/>
      <c r="I668" s="291"/>
      <c r="J668" s="245"/>
      <c r="K668" s="41"/>
    </row>
    <row r="669" spans="2:14" ht="9.75" customHeight="1" x14ac:dyDescent="0.2">
      <c r="B669" s="38"/>
      <c r="C669" s="280" t="str">
        <f>"2:"</f>
        <v>2:</v>
      </c>
      <c r="D669" s="278" t="s">
        <v>924</v>
      </c>
      <c r="E669" s="291"/>
      <c r="F669" s="291"/>
      <c r="G669" s="291"/>
      <c r="H669" s="291"/>
      <c r="I669" s="291"/>
      <c r="J669" s="245"/>
      <c r="K669" s="41"/>
    </row>
    <row r="670" spans="2:14" ht="9.75" customHeight="1" x14ac:dyDescent="0.2">
      <c r="B670" s="38"/>
      <c r="C670" s="280" t="str">
        <f>"3:"</f>
        <v>3:</v>
      </c>
      <c r="D670" s="278" t="s">
        <v>925</v>
      </c>
      <c r="E670" s="291"/>
      <c r="F670" s="291"/>
      <c r="G670" s="291"/>
      <c r="H670" s="291"/>
      <c r="I670" s="291"/>
      <c r="J670" s="245"/>
      <c r="K670" s="41"/>
    </row>
    <row r="671" spans="2:14" ht="9.75" customHeight="1" x14ac:dyDescent="0.2">
      <c r="B671" s="38"/>
      <c r="C671" s="280" t="str">
        <f>"4:"</f>
        <v>4:</v>
      </c>
      <c r="D671" s="278" t="s">
        <v>926</v>
      </c>
      <c r="E671" s="40"/>
      <c r="F671" s="40"/>
      <c r="G671" s="40"/>
      <c r="H671" s="40"/>
      <c r="I671" s="40"/>
      <c r="J671" s="40"/>
      <c r="K671" s="41"/>
      <c r="N671" s="12" t="s">
        <v>661</v>
      </c>
    </row>
    <row r="672" spans="2:14" ht="15" customHeight="1" x14ac:dyDescent="0.2">
      <c r="B672" s="38"/>
      <c r="C672" s="174" t="s">
        <v>662</v>
      </c>
      <c r="D672" s="40"/>
      <c r="E672" s="40"/>
      <c r="F672" s="40"/>
      <c r="G672" s="40"/>
      <c r="H672" s="40"/>
      <c r="I672" s="40"/>
      <c r="J672" s="265" t="s">
        <v>894</v>
      </c>
      <c r="K672" s="41"/>
      <c r="N672" s="12" t="s">
        <v>894</v>
      </c>
    </row>
    <row r="673" spans="2:14" ht="15" customHeight="1" x14ac:dyDescent="0.2">
      <c r="B673" s="38"/>
      <c r="C673" s="174" t="s">
        <v>660</v>
      </c>
      <c r="D673" s="40"/>
      <c r="E673" s="40"/>
      <c r="F673" s="40"/>
      <c r="G673" s="40"/>
      <c r="H673" s="40"/>
      <c r="I673" s="40"/>
      <c r="J673" s="246">
        <f>IF(J672=N671,"N/A",IF(J672=N672,0,IF(J672=N673,1,IF(J672=N674,2,IF(J672=N675,3,IF(J672=N676,4,"N/A"))))))</f>
        <v>0</v>
      </c>
      <c r="K673" s="41"/>
      <c r="N673" s="12" t="s">
        <v>908</v>
      </c>
    </row>
    <row r="674" spans="2:14" ht="15" customHeight="1" x14ac:dyDescent="0.2">
      <c r="B674" s="38"/>
      <c r="C674" s="40" t="s">
        <v>257</v>
      </c>
      <c r="D674" s="40"/>
      <c r="E674" s="40"/>
      <c r="F674" s="40"/>
      <c r="G674" s="40"/>
      <c r="H674" s="40"/>
      <c r="I674" s="40"/>
      <c r="J674" s="266" t="s">
        <v>870</v>
      </c>
      <c r="K674" s="41"/>
      <c r="N674" s="12" t="s">
        <v>900</v>
      </c>
    </row>
    <row r="675" spans="2:14" x14ac:dyDescent="0.2">
      <c r="B675" s="38"/>
      <c r="C675" s="40" t="s">
        <v>261</v>
      </c>
      <c r="D675" s="40"/>
      <c r="E675" s="40"/>
      <c r="F675" s="40"/>
      <c r="G675" s="40"/>
      <c r="H675" s="40"/>
      <c r="I675" s="40"/>
      <c r="J675" s="248">
        <f>IF(J674=$B$973,$A$973,IF(J674=$B$974,$A$974,IF(J674=$B$975,$A$975,IF(J674=$B$976,$A$976,IF(J674=$B$977,$A$977,"Not Calculated")))))</f>
        <v>0</v>
      </c>
      <c r="K675" s="41"/>
      <c r="N675" s="12" t="s">
        <v>901</v>
      </c>
    </row>
    <row r="676" spans="2:14" ht="15" customHeight="1" x14ac:dyDescent="0.2">
      <c r="B676" s="38"/>
      <c r="C676" s="40" t="s">
        <v>893</v>
      </c>
      <c r="D676" s="40"/>
      <c r="E676" s="40"/>
      <c r="F676" s="40"/>
      <c r="G676" s="40"/>
      <c r="H676" s="40"/>
      <c r="I676" s="40"/>
      <c r="J676" s="40"/>
      <c r="K676" s="41"/>
      <c r="N676" s="12" t="s">
        <v>909</v>
      </c>
    </row>
    <row r="677" spans="2:14" ht="15" customHeight="1" x14ac:dyDescent="0.2">
      <c r="B677" s="38"/>
      <c r="C677" s="399"/>
      <c r="D677" s="400"/>
      <c r="E677" s="400"/>
      <c r="F677" s="400"/>
      <c r="G677" s="400"/>
      <c r="H677" s="400"/>
      <c r="I677" s="400"/>
      <c r="J677" s="401"/>
      <c r="K677" s="41"/>
    </row>
    <row r="678" spans="2:14" x14ac:dyDescent="0.2">
      <c r="B678" s="38"/>
      <c r="C678" s="40"/>
      <c r="D678" s="40"/>
      <c r="E678" s="40"/>
      <c r="F678" s="40"/>
      <c r="G678" s="40"/>
      <c r="H678" s="40"/>
      <c r="I678" s="40"/>
      <c r="J678" s="40"/>
      <c r="K678" s="41"/>
    </row>
    <row r="679" spans="2:14" x14ac:dyDescent="0.2">
      <c r="B679" s="38"/>
      <c r="C679" s="179" t="s">
        <v>331</v>
      </c>
      <c r="D679" s="40"/>
      <c r="E679" s="40"/>
      <c r="F679" s="40"/>
      <c r="G679" s="40"/>
      <c r="H679" s="40"/>
      <c r="I679" s="40"/>
      <c r="J679" s="245">
        <f>IF(J673="N/A",IF(OR(J666="Not Calculated",J675="Not Calculated")=TRUE,"Not Calculated",AVERAGE(J666,J675)),AVERAGE(J673,J675))</f>
        <v>0</v>
      </c>
      <c r="K679" s="41"/>
    </row>
    <row r="680" spans="2:14" x14ac:dyDescent="0.2">
      <c r="B680" s="38"/>
      <c r="C680" s="40"/>
      <c r="D680" s="40"/>
      <c r="E680" s="40"/>
      <c r="F680" s="40"/>
      <c r="G680" s="40"/>
      <c r="H680" s="40"/>
      <c r="I680" s="40"/>
      <c r="J680" s="40"/>
      <c r="K680" s="41"/>
    </row>
    <row r="681" spans="2:14" ht="18" x14ac:dyDescent="0.2">
      <c r="B681" s="38"/>
      <c r="C681" s="180" t="s">
        <v>332</v>
      </c>
      <c r="D681" s="40"/>
      <c r="E681" s="40"/>
      <c r="F681" s="40"/>
      <c r="G681" s="40"/>
      <c r="H681" s="40"/>
      <c r="I681" s="40"/>
      <c r="J681" s="244">
        <f>IF(OR(J562="Not Calculated",J585="Not Calculated",J601="Not Calculated",J615="Not Calculated",J635="Not Calculated",J657="Not Calculated",J679="Not Calculated")=TRUE,"Not Calculated",AVERAGE(J562,J585,J601,J615,J635,J657,J679))</f>
        <v>0</v>
      </c>
      <c r="K681" s="41"/>
    </row>
    <row r="682" spans="2:14" ht="16" thickBot="1" x14ac:dyDescent="0.25">
      <c r="B682" s="46"/>
      <c r="C682" s="47"/>
      <c r="D682" s="47"/>
      <c r="E682" s="47"/>
      <c r="F682" s="47"/>
      <c r="G682" s="47"/>
      <c r="H682" s="47"/>
      <c r="I682" s="47"/>
      <c r="J682" s="47"/>
      <c r="K682" s="49"/>
    </row>
    <row r="683" spans="2:14" ht="16" thickBot="1" x14ac:dyDescent="0.25"/>
    <row r="684" spans="2:14" x14ac:dyDescent="0.2">
      <c r="B684" s="33"/>
      <c r="C684" s="34"/>
      <c r="D684" s="34"/>
      <c r="E684" s="34"/>
      <c r="F684" s="34"/>
      <c r="G684" s="34"/>
      <c r="H684" s="34"/>
      <c r="I684" s="34"/>
      <c r="J684" s="34"/>
      <c r="K684" s="37"/>
    </row>
    <row r="685" spans="2:14" ht="21" x14ac:dyDescent="0.25">
      <c r="B685" s="38"/>
      <c r="C685" s="40"/>
      <c r="D685" s="40"/>
      <c r="E685" s="40"/>
      <c r="F685" s="40"/>
      <c r="G685" s="172" t="s">
        <v>346</v>
      </c>
      <c r="H685" s="40"/>
      <c r="I685" s="40"/>
      <c r="J685" s="40"/>
      <c r="K685" s="41"/>
    </row>
    <row r="686" spans="2:14" x14ac:dyDescent="0.2">
      <c r="B686" s="38"/>
      <c r="C686" s="40"/>
      <c r="D686" s="40"/>
      <c r="E686" s="40"/>
      <c r="F686" s="40"/>
      <c r="G686" s="40"/>
      <c r="H686" s="40"/>
      <c r="I686" s="40"/>
      <c r="J686" s="40"/>
      <c r="K686" s="41"/>
    </row>
    <row r="687" spans="2:14" ht="16" x14ac:dyDescent="0.2">
      <c r="B687" s="38"/>
      <c r="C687" s="182" t="s">
        <v>986</v>
      </c>
      <c r="D687" s="40"/>
      <c r="E687" s="40"/>
      <c r="F687" s="40"/>
      <c r="G687" s="40"/>
      <c r="H687" s="40"/>
      <c r="I687" s="40"/>
      <c r="J687" s="257" t="str">
        <f>IF(OR($J$133="Not Calculated",$J$261="Not Calculated",$J$421="Not Calculated",$J$539="Not Calculated",$J$681="Not Calculated")=TRUE,"Not Calculated",AVERAGE($J$133,$J$261,$J$421,$J$539,$J$681))</f>
        <v>Not Calculated</v>
      </c>
      <c r="K687" s="41"/>
    </row>
    <row r="688" spans="2:14" x14ac:dyDescent="0.2">
      <c r="B688" s="38"/>
      <c r="C688" s="40"/>
      <c r="D688" s="40" t="s">
        <v>343</v>
      </c>
      <c r="E688" s="40"/>
      <c r="F688" s="40"/>
      <c r="G688" s="40"/>
      <c r="H688" s="40"/>
      <c r="I688" s="40"/>
      <c r="J688" s="40"/>
      <c r="K688" s="41"/>
    </row>
    <row r="689" spans="2:11" ht="15" customHeight="1" x14ac:dyDescent="0.2">
      <c r="B689" s="38"/>
      <c r="C689" s="40"/>
      <c r="D689" s="40"/>
      <c r="E689" s="40"/>
      <c r="F689" s="40"/>
      <c r="G689" s="40"/>
      <c r="H689" s="40"/>
      <c r="I689" s="40"/>
      <c r="J689" s="40"/>
      <c r="K689" s="41"/>
    </row>
    <row r="690" spans="2:11" ht="16" x14ac:dyDescent="0.2">
      <c r="B690" s="38"/>
      <c r="C690" s="182" t="s">
        <v>987</v>
      </c>
      <c r="D690" s="40"/>
      <c r="E690" s="40"/>
      <c r="F690" s="40"/>
      <c r="G690" s="40"/>
      <c r="H690" s="40"/>
      <c r="I690" s="40"/>
      <c r="J690" s="257" t="str">
        <f>IF(OR($J$133="Not Calculated",$J$261="Not Calculated",$J$539="Not Calculated",$J$681="Not Calculated")=TRUE,"Not Calculated",AVERAGE($J$133,$J$261,$J$539,$J$681))</f>
        <v>Not Calculated</v>
      </c>
      <c r="K690" s="41"/>
    </row>
    <row r="691" spans="2:11" ht="15" customHeight="1" x14ac:dyDescent="0.2">
      <c r="B691" s="38"/>
      <c r="C691" s="40"/>
      <c r="D691" s="40" t="s">
        <v>344</v>
      </c>
      <c r="E691" s="40"/>
      <c r="F691" s="40"/>
      <c r="G691" s="40"/>
      <c r="H691" s="40"/>
      <c r="I691" s="40"/>
      <c r="J691" s="40"/>
      <c r="K691" s="41"/>
    </row>
    <row r="692" spans="2:11" x14ac:dyDescent="0.2">
      <c r="B692" s="38"/>
      <c r="C692" s="40"/>
      <c r="D692" s="40"/>
      <c r="E692" s="40"/>
      <c r="F692" s="40"/>
      <c r="G692" s="40"/>
      <c r="H692" s="40"/>
      <c r="I692" s="40"/>
      <c r="J692" s="40"/>
      <c r="K692" s="41"/>
    </row>
    <row r="693" spans="2:11" ht="16" x14ac:dyDescent="0.2">
      <c r="B693" s="38"/>
      <c r="C693" s="182" t="s">
        <v>988</v>
      </c>
      <c r="D693" s="40"/>
      <c r="E693" s="40"/>
      <c r="F693" s="40"/>
      <c r="G693" s="40"/>
      <c r="H693" s="40"/>
      <c r="I693" s="40"/>
      <c r="J693" s="257" t="str">
        <f>IF(OR($J$133="Not Calculated",$J$261="Not Calculated",$J$421="Not Calculated")=TRUE,"Not Calculated",AVERAGE($J$133,$J$261,$J$421))</f>
        <v>Not Calculated</v>
      </c>
      <c r="K693" s="41"/>
    </row>
    <row r="694" spans="2:11" x14ac:dyDescent="0.2">
      <c r="B694" s="38"/>
      <c r="C694" s="40"/>
      <c r="D694" s="40" t="s">
        <v>345</v>
      </c>
      <c r="E694" s="40"/>
      <c r="F694" s="40"/>
      <c r="G694" s="40"/>
      <c r="H694" s="40"/>
      <c r="I694" s="40"/>
      <c r="J694" s="40"/>
      <c r="K694" s="41"/>
    </row>
    <row r="695" spans="2:11" ht="16" thickBot="1" x14ac:dyDescent="0.25">
      <c r="B695" s="46"/>
      <c r="C695" s="47"/>
      <c r="D695" s="47"/>
      <c r="E695" s="47"/>
      <c r="F695" s="47"/>
      <c r="G695" s="47"/>
      <c r="H695" s="47"/>
      <c r="I695" s="47"/>
      <c r="J695" s="47"/>
      <c r="K695" s="49"/>
    </row>
    <row r="696" spans="2:11" ht="16" thickBot="1" x14ac:dyDescent="0.25"/>
    <row r="697" spans="2:11" x14ac:dyDescent="0.2">
      <c r="B697" s="183"/>
      <c r="C697" s="184"/>
      <c r="D697" s="184"/>
      <c r="E697" s="184"/>
      <c r="F697" s="184"/>
      <c r="G697" s="184"/>
      <c r="H697" s="184"/>
      <c r="I697" s="184"/>
      <c r="J697" s="184"/>
      <c r="K697" s="185"/>
    </row>
    <row r="698" spans="2:11" ht="21" x14ac:dyDescent="0.25">
      <c r="B698" s="186"/>
      <c r="C698" s="187"/>
      <c r="D698" s="187"/>
      <c r="E698" s="187"/>
      <c r="F698" s="187"/>
      <c r="G698" s="188" t="s">
        <v>231</v>
      </c>
      <c r="H698" s="187"/>
      <c r="I698" s="187"/>
      <c r="J698" s="187"/>
      <c r="K698" s="189"/>
    </row>
    <row r="699" spans="2:11" x14ac:dyDescent="0.2">
      <c r="B699" s="186"/>
      <c r="C699" s="187"/>
      <c r="D699" s="187"/>
      <c r="E699" s="187"/>
      <c r="F699" s="187"/>
      <c r="G699" s="187"/>
      <c r="H699" s="187"/>
      <c r="I699" s="187"/>
      <c r="J699" s="187"/>
      <c r="K699" s="189"/>
    </row>
    <row r="700" spans="2:11" ht="16" x14ac:dyDescent="0.2">
      <c r="B700" s="186"/>
      <c r="C700" s="190" t="s">
        <v>989</v>
      </c>
      <c r="D700" s="187"/>
      <c r="E700" s="187"/>
      <c r="F700" s="187"/>
      <c r="G700" s="187"/>
      <c r="H700" s="187"/>
      <c r="I700" s="187"/>
      <c r="J700" s="256" t="str">
        <f>IF(OR(J687="Not Calculated",$E$17="Not Calculated")=TRUE,"Not Calculated",(J687*$E$17*100/16))</f>
        <v>Not Calculated</v>
      </c>
      <c r="K700" s="189"/>
    </row>
    <row r="701" spans="2:11" x14ac:dyDescent="0.2">
      <c r="B701" s="186"/>
      <c r="C701" s="187"/>
      <c r="D701" s="187" t="s">
        <v>377</v>
      </c>
      <c r="E701" s="187"/>
      <c r="F701" s="187"/>
      <c r="G701" s="187"/>
      <c r="H701" s="187"/>
      <c r="I701" s="187"/>
      <c r="J701" s="187"/>
      <c r="K701" s="189"/>
    </row>
    <row r="702" spans="2:11" x14ac:dyDescent="0.2">
      <c r="B702" s="186"/>
      <c r="C702" s="187"/>
      <c r="D702" s="187"/>
      <c r="E702" s="187"/>
      <c r="F702" s="187"/>
      <c r="G702" s="187"/>
      <c r="H702" s="187"/>
      <c r="I702" s="187"/>
      <c r="J702" s="187"/>
      <c r="K702" s="189"/>
    </row>
    <row r="703" spans="2:11" ht="16" x14ac:dyDescent="0.2">
      <c r="B703" s="186"/>
      <c r="C703" s="190" t="s">
        <v>990</v>
      </c>
      <c r="D703" s="187"/>
      <c r="E703" s="187"/>
      <c r="F703" s="187"/>
      <c r="G703" s="187"/>
      <c r="H703" s="187"/>
      <c r="I703" s="187"/>
      <c r="J703" s="256" t="str">
        <f>IF(OR(J690="Not Calculated",$E$17="Not Calculated")=TRUE,"Not Calculated",(J690*$E$17*100/16))</f>
        <v>Not Calculated</v>
      </c>
      <c r="K703" s="189"/>
    </row>
    <row r="704" spans="2:11" x14ac:dyDescent="0.2">
      <c r="B704" s="186"/>
      <c r="C704" s="187"/>
      <c r="D704" s="187" t="s">
        <v>378</v>
      </c>
      <c r="E704" s="187"/>
      <c r="F704" s="187"/>
      <c r="G704" s="187"/>
      <c r="H704" s="187"/>
      <c r="I704" s="187"/>
      <c r="J704" s="187"/>
      <c r="K704" s="189"/>
    </row>
    <row r="705" spans="2:11" x14ac:dyDescent="0.2">
      <c r="B705" s="186"/>
      <c r="C705" s="187"/>
      <c r="D705" s="187"/>
      <c r="E705" s="187"/>
      <c r="F705" s="187"/>
      <c r="G705" s="187"/>
      <c r="H705" s="187"/>
      <c r="I705" s="187"/>
      <c r="J705" s="187"/>
      <c r="K705" s="189"/>
    </row>
    <row r="706" spans="2:11" ht="16" x14ac:dyDescent="0.2">
      <c r="B706" s="186"/>
      <c r="C706" s="190" t="s">
        <v>991</v>
      </c>
      <c r="D706" s="187"/>
      <c r="E706" s="187"/>
      <c r="F706" s="187"/>
      <c r="G706" s="187"/>
      <c r="H706" s="187"/>
      <c r="I706" s="187"/>
      <c r="J706" s="256" t="str">
        <f>IF(OR(J693="Not Calculated",$E$17="Not Calculated")=TRUE,"Not Calculated",(J693*$E$17*100/16))</f>
        <v>Not Calculated</v>
      </c>
      <c r="K706" s="189"/>
    </row>
    <row r="707" spans="2:11" x14ac:dyDescent="0.2">
      <c r="B707" s="186"/>
      <c r="C707" s="187"/>
      <c r="D707" s="187" t="s">
        <v>379</v>
      </c>
      <c r="E707" s="187"/>
      <c r="F707" s="187"/>
      <c r="G707" s="187"/>
      <c r="H707" s="187"/>
      <c r="I707" s="187"/>
      <c r="J707" s="187"/>
      <c r="K707" s="189"/>
    </row>
    <row r="708" spans="2:11" ht="16" thickBot="1" x14ac:dyDescent="0.25">
      <c r="B708" s="191"/>
      <c r="C708" s="192"/>
      <c r="D708" s="192"/>
      <c r="E708" s="192"/>
      <c r="F708" s="192"/>
      <c r="G708" s="192"/>
      <c r="H708" s="192"/>
      <c r="I708" s="192"/>
      <c r="J708" s="192"/>
      <c r="K708" s="193"/>
    </row>
    <row r="709" spans="2:11" ht="16" thickBot="1" x14ac:dyDescent="0.25"/>
    <row r="710" spans="2:11" x14ac:dyDescent="0.2">
      <c r="B710" s="53"/>
      <c r="C710" s="54"/>
      <c r="D710" s="54"/>
      <c r="E710" s="54"/>
      <c r="F710" s="54"/>
      <c r="G710" s="54"/>
      <c r="H710" s="54"/>
      <c r="I710" s="54"/>
      <c r="J710" s="54"/>
      <c r="K710" s="56"/>
    </row>
    <row r="711" spans="2:11" ht="21" x14ac:dyDescent="0.25">
      <c r="B711" s="57"/>
      <c r="C711" s="59"/>
      <c r="D711" s="59"/>
      <c r="E711" s="59"/>
      <c r="F711" s="59"/>
      <c r="G711" s="194" t="s">
        <v>232</v>
      </c>
      <c r="H711" s="59"/>
      <c r="I711" s="59"/>
      <c r="J711" s="59"/>
      <c r="K711" s="61"/>
    </row>
    <row r="712" spans="2:11" x14ac:dyDescent="0.2">
      <c r="B712" s="57"/>
      <c r="C712" s="59"/>
      <c r="D712" s="59"/>
      <c r="E712" s="59"/>
      <c r="F712" s="59"/>
      <c r="G712" s="59"/>
      <c r="H712" s="59"/>
      <c r="I712" s="59"/>
      <c r="J712" s="59"/>
      <c r="K712" s="61"/>
    </row>
    <row r="713" spans="2:11" ht="16" x14ac:dyDescent="0.2">
      <c r="B713" s="57"/>
      <c r="C713" s="195" t="s">
        <v>363</v>
      </c>
      <c r="D713" s="59"/>
      <c r="E713" s="59"/>
      <c r="F713" s="59"/>
      <c r="G713" s="59"/>
      <c r="H713" s="59"/>
      <c r="I713" s="59"/>
      <c r="J713" s="59"/>
      <c r="K713" s="61"/>
    </row>
    <row r="714" spans="2:11" ht="15" customHeight="1" x14ac:dyDescent="0.2">
      <c r="B714" s="57"/>
      <c r="C714" s="411" t="s">
        <v>364</v>
      </c>
      <c r="D714" s="411"/>
      <c r="E714" s="411"/>
      <c r="F714" s="411"/>
      <c r="G714" s="411"/>
      <c r="H714" s="411"/>
      <c r="I714" s="411"/>
      <c r="J714" s="411"/>
      <c r="K714" s="61"/>
    </row>
    <row r="715" spans="2:11" x14ac:dyDescent="0.2">
      <c r="B715" s="57"/>
      <c r="C715" s="411"/>
      <c r="D715" s="411"/>
      <c r="E715" s="411"/>
      <c r="F715" s="411"/>
      <c r="G715" s="411"/>
      <c r="H715" s="411"/>
      <c r="I715" s="411"/>
      <c r="J715" s="411"/>
      <c r="K715" s="61"/>
    </row>
    <row r="716" spans="2:11" x14ac:dyDescent="0.2">
      <c r="B716" s="57"/>
      <c r="C716" s="411"/>
      <c r="D716" s="411"/>
      <c r="E716" s="411"/>
      <c r="F716" s="411"/>
      <c r="G716" s="411"/>
      <c r="H716" s="411"/>
      <c r="I716" s="411"/>
      <c r="J716" s="411"/>
      <c r="K716" s="61"/>
    </row>
    <row r="717" spans="2:11" x14ac:dyDescent="0.2">
      <c r="B717" s="57"/>
      <c r="C717" s="196" t="s">
        <v>30</v>
      </c>
      <c r="D717" s="59"/>
      <c r="E717" s="59"/>
      <c r="F717" s="59"/>
      <c r="G717" s="408" t="s">
        <v>190</v>
      </c>
      <c r="H717" s="409"/>
      <c r="I717" s="59"/>
      <c r="J717" s="260">
        <f>IF(G717=$B$994,$A$994,IF(G717=$B$995,$A$995,"Not Calculated"))</f>
        <v>1</v>
      </c>
      <c r="K717" s="61"/>
    </row>
    <row r="718" spans="2:11" x14ac:dyDescent="0.2">
      <c r="B718" s="57"/>
      <c r="C718" s="196" t="s">
        <v>32</v>
      </c>
      <c r="D718" s="59"/>
      <c r="E718" s="59"/>
      <c r="F718" s="59"/>
      <c r="G718" s="408" t="s">
        <v>190</v>
      </c>
      <c r="H718" s="409"/>
      <c r="I718" s="59"/>
      <c r="J718" s="260">
        <f t="shared" ref="J718:J725" si="0">IF(G718=$B$994,$A$994,IF(G718=$B$995,$A$995,"Not Calculated"))</f>
        <v>1</v>
      </c>
      <c r="K718" s="61"/>
    </row>
    <row r="719" spans="2:11" x14ac:dyDescent="0.2">
      <c r="B719" s="57"/>
      <c r="C719" s="196" t="s">
        <v>34</v>
      </c>
      <c r="D719" s="59"/>
      <c r="E719" s="59"/>
      <c r="F719" s="59"/>
      <c r="G719" s="408" t="s">
        <v>202</v>
      </c>
      <c r="H719" s="409"/>
      <c r="I719" s="59"/>
      <c r="J719" s="260">
        <f t="shared" si="0"/>
        <v>0</v>
      </c>
      <c r="K719" s="61"/>
    </row>
    <row r="720" spans="2:11" x14ac:dyDescent="0.2">
      <c r="B720" s="57"/>
      <c r="C720" s="196" t="s">
        <v>35</v>
      </c>
      <c r="D720" s="59"/>
      <c r="E720" s="59"/>
      <c r="F720" s="59"/>
      <c r="G720" s="408" t="s">
        <v>190</v>
      </c>
      <c r="H720" s="409"/>
      <c r="I720" s="59"/>
      <c r="J720" s="260">
        <f t="shared" si="0"/>
        <v>1</v>
      </c>
      <c r="K720" s="61"/>
    </row>
    <row r="721" spans="2:11" x14ac:dyDescent="0.2">
      <c r="B721" s="57"/>
      <c r="C721" s="196" t="s">
        <v>37</v>
      </c>
      <c r="D721" s="59"/>
      <c r="E721" s="59"/>
      <c r="F721" s="59"/>
      <c r="G721" s="408" t="s">
        <v>190</v>
      </c>
      <c r="H721" s="409"/>
      <c r="I721" s="59"/>
      <c r="J721" s="260">
        <f t="shared" si="0"/>
        <v>1</v>
      </c>
      <c r="K721" s="61"/>
    </row>
    <row r="722" spans="2:11" x14ac:dyDescent="0.2">
      <c r="B722" s="57"/>
      <c r="C722" s="196" t="s">
        <v>38</v>
      </c>
      <c r="D722" s="59"/>
      <c r="E722" s="59"/>
      <c r="F722" s="59"/>
      <c r="G722" s="408" t="s">
        <v>190</v>
      </c>
      <c r="H722" s="409"/>
      <c r="I722" s="59"/>
      <c r="J722" s="260">
        <f t="shared" si="0"/>
        <v>1</v>
      </c>
      <c r="K722" s="61"/>
    </row>
    <row r="723" spans="2:11" x14ac:dyDescent="0.2">
      <c r="B723" s="57"/>
      <c r="C723" s="196" t="s">
        <v>40</v>
      </c>
      <c r="D723" s="59"/>
      <c r="E723" s="59"/>
      <c r="F723" s="59"/>
      <c r="G723" s="408" t="s">
        <v>202</v>
      </c>
      <c r="H723" s="409"/>
      <c r="I723" s="59"/>
      <c r="J723" s="260">
        <f t="shared" si="0"/>
        <v>0</v>
      </c>
      <c r="K723" s="61"/>
    </row>
    <row r="724" spans="2:11" x14ac:dyDescent="0.2">
      <c r="B724" s="57"/>
      <c r="C724" s="196" t="s">
        <v>41</v>
      </c>
      <c r="D724" s="59"/>
      <c r="E724" s="59"/>
      <c r="F724" s="59"/>
      <c r="G724" s="408" t="s">
        <v>190</v>
      </c>
      <c r="H724" s="409"/>
      <c r="I724" s="59"/>
      <c r="J724" s="260">
        <f t="shared" si="0"/>
        <v>1</v>
      </c>
      <c r="K724" s="61"/>
    </row>
    <row r="725" spans="2:11" x14ac:dyDescent="0.2">
      <c r="B725" s="57"/>
      <c r="C725" s="196" t="s">
        <v>43</v>
      </c>
      <c r="D725" s="59"/>
      <c r="E725" s="59"/>
      <c r="F725" s="59"/>
      <c r="G725" s="408" t="s">
        <v>202</v>
      </c>
      <c r="H725" s="409"/>
      <c r="I725" s="59"/>
      <c r="J725" s="260">
        <f t="shared" si="0"/>
        <v>0</v>
      </c>
      <c r="K725" s="61"/>
    </row>
    <row r="726" spans="2:11" x14ac:dyDescent="0.2">
      <c r="B726" s="57"/>
      <c r="C726" s="59"/>
      <c r="D726" s="59"/>
      <c r="E726" s="59"/>
      <c r="F726" s="59"/>
      <c r="G726" s="59"/>
      <c r="H726" s="59"/>
      <c r="I726" s="59"/>
      <c r="J726" s="59"/>
      <c r="K726" s="61"/>
    </row>
    <row r="727" spans="2:11" x14ac:dyDescent="0.2">
      <c r="B727" s="57"/>
      <c r="C727" s="59"/>
      <c r="D727" s="59"/>
      <c r="E727" s="59"/>
      <c r="F727" s="59"/>
      <c r="G727" s="59"/>
      <c r="H727" s="59"/>
      <c r="I727" s="59"/>
      <c r="J727" s="59"/>
      <c r="K727" s="61"/>
    </row>
    <row r="728" spans="2:11" ht="16" x14ac:dyDescent="0.2">
      <c r="B728" s="57"/>
      <c r="C728" s="195" t="s">
        <v>115</v>
      </c>
      <c r="D728" s="59"/>
      <c r="E728" s="59"/>
      <c r="F728" s="59"/>
      <c r="G728" s="59"/>
      <c r="H728" s="59"/>
      <c r="I728" s="59"/>
      <c r="J728" s="59"/>
      <c r="K728" s="61"/>
    </row>
    <row r="729" spans="2:11" ht="15" customHeight="1" x14ac:dyDescent="0.2">
      <c r="B729" s="57"/>
      <c r="C729" s="411" t="s">
        <v>365</v>
      </c>
      <c r="D729" s="411"/>
      <c r="E729" s="411"/>
      <c r="F729" s="411"/>
      <c r="G729" s="411"/>
      <c r="H729" s="411"/>
      <c r="I729" s="411"/>
      <c r="J729" s="411"/>
      <c r="K729" s="61"/>
    </row>
    <row r="730" spans="2:11" x14ac:dyDescent="0.2">
      <c r="B730" s="57"/>
      <c r="C730" s="411"/>
      <c r="D730" s="411"/>
      <c r="E730" s="411"/>
      <c r="F730" s="411"/>
      <c r="G730" s="411"/>
      <c r="H730" s="411"/>
      <c r="I730" s="411"/>
      <c r="J730" s="411"/>
      <c r="K730" s="61"/>
    </row>
    <row r="731" spans="2:11" x14ac:dyDescent="0.2">
      <c r="B731" s="57"/>
      <c r="C731" s="411"/>
      <c r="D731" s="411"/>
      <c r="E731" s="411"/>
      <c r="F731" s="411"/>
      <c r="G731" s="411"/>
      <c r="H731" s="411"/>
      <c r="I731" s="411"/>
      <c r="J731" s="411"/>
      <c r="K731" s="61"/>
    </row>
    <row r="732" spans="2:11" x14ac:dyDescent="0.2">
      <c r="B732" s="57"/>
      <c r="C732" s="196" t="s">
        <v>30</v>
      </c>
      <c r="D732" s="59"/>
      <c r="E732" s="59"/>
      <c r="F732" s="59"/>
      <c r="G732" s="408" t="s">
        <v>190</v>
      </c>
      <c r="H732" s="409"/>
      <c r="I732" s="59"/>
      <c r="J732" s="260">
        <f>IF(G732=$B$994,$A$994,IF(G732=$B$995,$A$995,"Not Calculated"))</f>
        <v>1</v>
      </c>
      <c r="K732" s="61"/>
    </row>
    <row r="733" spans="2:11" x14ac:dyDescent="0.2">
      <c r="B733" s="57"/>
      <c r="C733" s="196" t="s">
        <v>32</v>
      </c>
      <c r="D733" s="59"/>
      <c r="E733" s="59"/>
      <c r="F733" s="59"/>
      <c r="G733" s="408" t="s">
        <v>190</v>
      </c>
      <c r="H733" s="409"/>
      <c r="I733" s="59"/>
      <c r="J733" s="260">
        <f t="shared" ref="J733:J740" si="1">IF(G733=$B$994,$A$994,IF(G733=$B$995,$A$995,"Not Calculated"))</f>
        <v>1</v>
      </c>
      <c r="K733" s="61"/>
    </row>
    <row r="734" spans="2:11" ht="15" customHeight="1" x14ac:dyDescent="0.2">
      <c r="B734" s="57"/>
      <c r="C734" s="196" t="s">
        <v>34</v>
      </c>
      <c r="D734" s="59"/>
      <c r="E734" s="59"/>
      <c r="F734" s="59"/>
      <c r="G734" s="408" t="s">
        <v>190</v>
      </c>
      <c r="H734" s="409"/>
      <c r="I734" s="59"/>
      <c r="J734" s="260">
        <f t="shared" si="1"/>
        <v>1</v>
      </c>
      <c r="K734" s="61"/>
    </row>
    <row r="735" spans="2:11" x14ac:dyDescent="0.2">
      <c r="B735" s="57"/>
      <c r="C735" s="196" t="s">
        <v>35</v>
      </c>
      <c r="D735" s="59"/>
      <c r="E735" s="59"/>
      <c r="F735" s="59"/>
      <c r="G735" s="408" t="s">
        <v>190</v>
      </c>
      <c r="H735" s="409"/>
      <c r="I735" s="59"/>
      <c r="J735" s="260">
        <f t="shared" si="1"/>
        <v>1</v>
      </c>
      <c r="K735" s="61"/>
    </row>
    <row r="736" spans="2:11" x14ac:dyDescent="0.2">
      <c r="B736" s="57"/>
      <c r="C736" s="196" t="s">
        <v>37</v>
      </c>
      <c r="D736" s="59"/>
      <c r="E736" s="59"/>
      <c r="F736" s="59"/>
      <c r="G736" s="408" t="s">
        <v>190</v>
      </c>
      <c r="H736" s="409"/>
      <c r="I736" s="59"/>
      <c r="J736" s="260">
        <f t="shared" si="1"/>
        <v>1</v>
      </c>
      <c r="K736" s="61"/>
    </row>
    <row r="737" spans="2:11" x14ac:dyDescent="0.2">
      <c r="B737" s="57"/>
      <c r="C737" s="196" t="s">
        <v>38</v>
      </c>
      <c r="D737" s="59"/>
      <c r="E737" s="59"/>
      <c r="F737" s="59"/>
      <c r="G737" s="408" t="s">
        <v>202</v>
      </c>
      <c r="H737" s="409"/>
      <c r="I737" s="59"/>
      <c r="J737" s="260">
        <f t="shared" si="1"/>
        <v>0</v>
      </c>
      <c r="K737" s="61"/>
    </row>
    <row r="738" spans="2:11" x14ac:dyDescent="0.2">
      <c r="B738" s="57"/>
      <c r="C738" s="196" t="s">
        <v>40</v>
      </c>
      <c r="D738" s="59"/>
      <c r="E738" s="59"/>
      <c r="F738" s="59"/>
      <c r="G738" s="408" t="s">
        <v>190</v>
      </c>
      <c r="H738" s="409"/>
      <c r="I738" s="59"/>
      <c r="J738" s="260">
        <f t="shared" si="1"/>
        <v>1</v>
      </c>
      <c r="K738" s="61"/>
    </row>
    <row r="739" spans="2:11" x14ac:dyDescent="0.2">
      <c r="B739" s="57"/>
      <c r="C739" s="196" t="s">
        <v>41</v>
      </c>
      <c r="D739" s="59"/>
      <c r="E739" s="59"/>
      <c r="F739" s="59"/>
      <c r="G739" s="408" t="s">
        <v>190</v>
      </c>
      <c r="H739" s="409"/>
      <c r="I739" s="59"/>
      <c r="J739" s="260">
        <f t="shared" si="1"/>
        <v>1</v>
      </c>
      <c r="K739" s="61"/>
    </row>
    <row r="740" spans="2:11" x14ac:dyDescent="0.2">
      <c r="B740" s="57"/>
      <c r="C740" s="196" t="s">
        <v>43</v>
      </c>
      <c r="D740" s="59"/>
      <c r="E740" s="59"/>
      <c r="F740" s="59"/>
      <c r="G740" s="408" t="s">
        <v>190</v>
      </c>
      <c r="H740" s="409"/>
      <c r="I740" s="59"/>
      <c r="J740" s="260">
        <f t="shared" si="1"/>
        <v>1</v>
      </c>
      <c r="K740" s="61"/>
    </row>
    <row r="741" spans="2:11" x14ac:dyDescent="0.2">
      <c r="B741" s="57"/>
      <c r="C741" s="59"/>
      <c r="D741" s="59"/>
      <c r="E741" s="59"/>
      <c r="F741" s="59"/>
      <c r="G741" s="59"/>
      <c r="H741" s="59"/>
      <c r="I741" s="59"/>
      <c r="J741" s="59"/>
      <c r="K741" s="61"/>
    </row>
    <row r="742" spans="2:11" x14ac:dyDescent="0.2">
      <c r="B742" s="57"/>
      <c r="C742" s="59"/>
      <c r="D742" s="59"/>
      <c r="E742" s="59"/>
      <c r="F742" s="59"/>
      <c r="G742" s="59"/>
      <c r="H742" s="59"/>
      <c r="I742" s="59"/>
      <c r="J742" s="59"/>
      <c r="K742" s="61"/>
    </row>
    <row r="743" spans="2:11" ht="16" x14ac:dyDescent="0.2">
      <c r="B743" s="57"/>
      <c r="C743" s="195" t="s">
        <v>366</v>
      </c>
      <c r="D743" s="59"/>
      <c r="E743" s="59"/>
      <c r="F743" s="59"/>
      <c r="G743" s="59"/>
      <c r="H743" s="59"/>
      <c r="I743" s="59"/>
      <c r="J743" s="59"/>
      <c r="K743" s="61"/>
    </row>
    <row r="744" spans="2:11" ht="15" customHeight="1" x14ac:dyDescent="0.2">
      <c r="B744" s="57"/>
      <c r="C744" s="411" t="s">
        <v>367</v>
      </c>
      <c r="D744" s="411"/>
      <c r="E744" s="411"/>
      <c r="F744" s="411"/>
      <c r="G744" s="411"/>
      <c r="H744" s="411"/>
      <c r="I744" s="411"/>
      <c r="J744" s="411"/>
      <c r="K744" s="61"/>
    </row>
    <row r="745" spans="2:11" x14ac:dyDescent="0.2">
      <c r="B745" s="57"/>
      <c r="C745" s="411"/>
      <c r="D745" s="411"/>
      <c r="E745" s="411"/>
      <c r="F745" s="411"/>
      <c r="G745" s="411"/>
      <c r="H745" s="411"/>
      <c r="I745" s="411"/>
      <c r="J745" s="411"/>
      <c r="K745" s="61"/>
    </row>
    <row r="746" spans="2:11" x14ac:dyDescent="0.2">
      <c r="B746" s="57"/>
      <c r="C746" s="411"/>
      <c r="D746" s="411"/>
      <c r="E746" s="411"/>
      <c r="F746" s="411"/>
      <c r="G746" s="411"/>
      <c r="H746" s="411"/>
      <c r="I746" s="411"/>
      <c r="J746" s="411"/>
      <c r="K746" s="61"/>
    </row>
    <row r="747" spans="2:11" x14ac:dyDescent="0.2">
      <c r="B747" s="57"/>
      <c r="C747" s="196" t="s">
        <v>30</v>
      </c>
      <c r="D747" s="59"/>
      <c r="E747" s="59"/>
      <c r="F747" s="59"/>
      <c r="G747" s="408" t="s">
        <v>202</v>
      </c>
      <c r="H747" s="409"/>
      <c r="I747" s="59"/>
      <c r="J747" s="260">
        <f>IF(G747=$B$994,$A$994,IF(G747=$B$995,$A$995,"Not Calculated"))</f>
        <v>0</v>
      </c>
      <c r="K747" s="61"/>
    </row>
    <row r="748" spans="2:11" x14ac:dyDescent="0.2">
      <c r="B748" s="57"/>
      <c r="C748" s="196" t="s">
        <v>32</v>
      </c>
      <c r="D748" s="59"/>
      <c r="E748" s="59"/>
      <c r="F748" s="59"/>
      <c r="G748" s="408" t="s">
        <v>190</v>
      </c>
      <c r="H748" s="409"/>
      <c r="I748" s="59"/>
      <c r="J748" s="260">
        <f t="shared" ref="J748:J755" si="2">IF(G748=$B$994,$A$994,IF(G748=$B$995,$A$995,"Not Calculated"))</f>
        <v>1</v>
      </c>
      <c r="K748" s="61"/>
    </row>
    <row r="749" spans="2:11" ht="15" customHeight="1" x14ac:dyDescent="0.2">
      <c r="B749" s="57"/>
      <c r="C749" s="196" t="s">
        <v>34</v>
      </c>
      <c r="D749" s="59"/>
      <c r="E749" s="59"/>
      <c r="F749" s="59"/>
      <c r="G749" s="408" t="s">
        <v>190</v>
      </c>
      <c r="H749" s="409"/>
      <c r="I749" s="59"/>
      <c r="J749" s="260">
        <f t="shared" si="2"/>
        <v>1</v>
      </c>
      <c r="K749" s="61"/>
    </row>
    <row r="750" spans="2:11" x14ac:dyDescent="0.2">
      <c r="B750" s="57"/>
      <c r="C750" s="196" t="s">
        <v>35</v>
      </c>
      <c r="D750" s="59"/>
      <c r="E750" s="59"/>
      <c r="F750" s="59"/>
      <c r="G750" s="408" t="s">
        <v>190</v>
      </c>
      <c r="H750" s="409"/>
      <c r="I750" s="59"/>
      <c r="J750" s="260">
        <f t="shared" si="2"/>
        <v>1</v>
      </c>
      <c r="K750" s="61"/>
    </row>
    <row r="751" spans="2:11" x14ac:dyDescent="0.2">
      <c r="B751" s="57"/>
      <c r="C751" s="196" t="s">
        <v>37</v>
      </c>
      <c r="D751" s="59"/>
      <c r="E751" s="59"/>
      <c r="F751" s="59"/>
      <c r="G751" s="408" t="s">
        <v>202</v>
      </c>
      <c r="H751" s="409"/>
      <c r="I751" s="59"/>
      <c r="J751" s="260">
        <f t="shared" si="2"/>
        <v>0</v>
      </c>
      <c r="K751" s="61"/>
    </row>
    <row r="752" spans="2:11" x14ac:dyDescent="0.2">
      <c r="B752" s="57"/>
      <c r="C752" s="196" t="s">
        <v>38</v>
      </c>
      <c r="D752" s="59"/>
      <c r="E752" s="59"/>
      <c r="F752" s="59"/>
      <c r="G752" s="408" t="s">
        <v>190</v>
      </c>
      <c r="H752" s="409"/>
      <c r="I752" s="59"/>
      <c r="J752" s="260">
        <f t="shared" si="2"/>
        <v>1</v>
      </c>
      <c r="K752" s="61"/>
    </row>
    <row r="753" spans="2:11" x14ac:dyDescent="0.2">
      <c r="B753" s="57"/>
      <c r="C753" s="196" t="s">
        <v>40</v>
      </c>
      <c r="D753" s="59"/>
      <c r="E753" s="59"/>
      <c r="F753" s="59"/>
      <c r="G753" s="408" t="s">
        <v>190</v>
      </c>
      <c r="H753" s="409"/>
      <c r="I753" s="59"/>
      <c r="J753" s="260">
        <f t="shared" si="2"/>
        <v>1</v>
      </c>
      <c r="K753" s="61"/>
    </row>
    <row r="754" spans="2:11" x14ac:dyDescent="0.2">
      <c r="B754" s="57"/>
      <c r="C754" s="196" t="s">
        <v>41</v>
      </c>
      <c r="D754" s="59"/>
      <c r="E754" s="59"/>
      <c r="F754" s="59"/>
      <c r="G754" s="408" t="s">
        <v>190</v>
      </c>
      <c r="H754" s="409"/>
      <c r="I754" s="59"/>
      <c r="J754" s="260">
        <f t="shared" si="2"/>
        <v>1</v>
      </c>
      <c r="K754" s="61"/>
    </row>
    <row r="755" spans="2:11" x14ac:dyDescent="0.2">
      <c r="B755" s="57"/>
      <c r="C755" s="196" t="s">
        <v>43</v>
      </c>
      <c r="D755" s="59"/>
      <c r="E755" s="59"/>
      <c r="F755" s="59"/>
      <c r="G755" s="408" t="s">
        <v>190</v>
      </c>
      <c r="H755" s="409"/>
      <c r="I755" s="59"/>
      <c r="J755" s="260">
        <f t="shared" si="2"/>
        <v>1</v>
      </c>
      <c r="K755" s="61"/>
    </row>
    <row r="756" spans="2:11" x14ac:dyDescent="0.2">
      <c r="B756" s="57"/>
      <c r="C756" s="59"/>
      <c r="D756" s="59"/>
      <c r="E756" s="59"/>
      <c r="F756" s="59"/>
      <c r="G756" s="59"/>
      <c r="H756" s="59"/>
      <c r="I756" s="59"/>
      <c r="J756" s="59"/>
      <c r="K756" s="61"/>
    </row>
    <row r="757" spans="2:11" x14ac:dyDescent="0.2">
      <c r="B757" s="57"/>
      <c r="C757" s="59"/>
      <c r="D757" s="59"/>
      <c r="E757" s="59"/>
      <c r="F757" s="59"/>
      <c r="G757" s="59"/>
      <c r="H757" s="59"/>
      <c r="I757" s="59"/>
      <c r="J757" s="59"/>
      <c r="K757" s="61"/>
    </row>
    <row r="758" spans="2:11" ht="16" x14ac:dyDescent="0.2">
      <c r="B758" s="57"/>
      <c r="C758" s="195" t="s">
        <v>368</v>
      </c>
      <c r="D758" s="59"/>
      <c r="E758" s="59"/>
      <c r="F758" s="59"/>
      <c r="G758" s="59"/>
      <c r="H758" s="59"/>
      <c r="I758" s="59"/>
      <c r="J758" s="59"/>
      <c r="K758" s="61"/>
    </row>
    <row r="759" spans="2:11" ht="15" customHeight="1" x14ac:dyDescent="0.2">
      <c r="B759" s="57"/>
      <c r="C759" s="411" t="s">
        <v>369</v>
      </c>
      <c r="D759" s="411"/>
      <c r="E759" s="411"/>
      <c r="F759" s="411"/>
      <c r="G759" s="411"/>
      <c r="H759" s="411"/>
      <c r="I759" s="411"/>
      <c r="J759" s="411"/>
      <c r="K759" s="61"/>
    </row>
    <row r="760" spans="2:11" x14ac:dyDescent="0.2">
      <c r="B760" s="57"/>
      <c r="C760" s="411"/>
      <c r="D760" s="411"/>
      <c r="E760" s="411"/>
      <c r="F760" s="411"/>
      <c r="G760" s="411"/>
      <c r="H760" s="411"/>
      <c r="I760" s="411"/>
      <c r="J760" s="411"/>
      <c r="K760" s="61"/>
    </row>
    <row r="761" spans="2:11" x14ac:dyDescent="0.2">
      <c r="B761" s="57"/>
      <c r="C761" s="411"/>
      <c r="D761" s="411"/>
      <c r="E761" s="411"/>
      <c r="F761" s="411"/>
      <c r="G761" s="411"/>
      <c r="H761" s="411"/>
      <c r="I761" s="411"/>
      <c r="J761" s="411"/>
      <c r="K761" s="61"/>
    </row>
    <row r="762" spans="2:11" x14ac:dyDescent="0.2">
      <c r="B762" s="57"/>
      <c r="C762" s="196" t="s">
        <v>30</v>
      </c>
      <c r="D762" s="59"/>
      <c r="E762" s="59"/>
      <c r="F762" s="59"/>
      <c r="G762" s="408" t="s">
        <v>190</v>
      </c>
      <c r="H762" s="409"/>
      <c r="I762" s="59"/>
      <c r="J762" s="260">
        <f>IF(G762=$B$994,$A$994,IF(G762=$B$995,$A$995,"Not Calculated"))</f>
        <v>1</v>
      </c>
      <c r="K762" s="61"/>
    </row>
    <row r="763" spans="2:11" x14ac:dyDescent="0.2">
      <c r="B763" s="57"/>
      <c r="C763" s="196" t="s">
        <v>32</v>
      </c>
      <c r="D763" s="59"/>
      <c r="E763" s="59"/>
      <c r="F763" s="59"/>
      <c r="G763" s="408" t="s">
        <v>190</v>
      </c>
      <c r="H763" s="409"/>
      <c r="I763" s="59"/>
      <c r="J763" s="260">
        <f t="shared" ref="J763:J770" si="3">IF(G763=$B$994,$A$994,IF(G763=$B$995,$A$995,"Not Calculated"))</f>
        <v>1</v>
      </c>
      <c r="K763" s="61"/>
    </row>
    <row r="764" spans="2:11" ht="15" customHeight="1" x14ac:dyDescent="0.2">
      <c r="B764" s="57"/>
      <c r="C764" s="196" t="s">
        <v>34</v>
      </c>
      <c r="D764" s="59"/>
      <c r="E764" s="59"/>
      <c r="F764" s="59"/>
      <c r="G764" s="408" t="s">
        <v>190</v>
      </c>
      <c r="H764" s="409"/>
      <c r="I764" s="59"/>
      <c r="J764" s="260">
        <f t="shared" si="3"/>
        <v>1</v>
      </c>
      <c r="K764" s="61"/>
    </row>
    <row r="765" spans="2:11" x14ac:dyDescent="0.2">
      <c r="B765" s="57"/>
      <c r="C765" s="196" t="s">
        <v>35</v>
      </c>
      <c r="D765" s="59"/>
      <c r="E765" s="59"/>
      <c r="F765" s="59"/>
      <c r="G765" s="408" t="s">
        <v>190</v>
      </c>
      <c r="H765" s="409"/>
      <c r="I765" s="59"/>
      <c r="J765" s="260">
        <f t="shared" si="3"/>
        <v>1</v>
      </c>
      <c r="K765" s="61"/>
    </row>
    <row r="766" spans="2:11" x14ac:dyDescent="0.2">
      <c r="B766" s="57"/>
      <c r="C766" s="196" t="s">
        <v>37</v>
      </c>
      <c r="D766" s="59"/>
      <c r="E766" s="59"/>
      <c r="F766" s="59"/>
      <c r="G766" s="408" t="s">
        <v>190</v>
      </c>
      <c r="H766" s="409"/>
      <c r="I766" s="59"/>
      <c r="J766" s="260">
        <f t="shared" si="3"/>
        <v>1</v>
      </c>
      <c r="K766" s="61"/>
    </row>
    <row r="767" spans="2:11" x14ac:dyDescent="0.2">
      <c r="B767" s="57"/>
      <c r="C767" s="196" t="s">
        <v>38</v>
      </c>
      <c r="D767" s="59"/>
      <c r="E767" s="59"/>
      <c r="F767" s="59"/>
      <c r="G767" s="408" t="s">
        <v>190</v>
      </c>
      <c r="H767" s="409"/>
      <c r="I767" s="59"/>
      <c r="J767" s="260">
        <f t="shared" si="3"/>
        <v>1</v>
      </c>
      <c r="K767" s="61"/>
    </row>
    <row r="768" spans="2:11" x14ac:dyDescent="0.2">
      <c r="B768" s="57"/>
      <c r="C768" s="196" t="s">
        <v>40</v>
      </c>
      <c r="D768" s="59"/>
      <c r="E768" s="59"/>
      <c r="F768" s="59"/>
      <c r="G768" s="408" t="s">
        <v>190</v>
      </c>
      <c r="H768" s="409"/>
      <c r="I768" s="59"/>
      <c r="J768" s="260">
        <f t="shared" si="3"/>
        <v>1</v>
      </c>
      <c r="K768" s="61"/>
    </row>
    <row r="769" spans="2:11" x14ac:dyDescent="0.2">
      <c r="B769" s="57"/>
      <c r="C769" s="196" t="s">
        <v>41</v>
      </c>
      <c r="D769" s="59"/>
      <c r="E769" s="59"/>
      <c r="F769" s="59"/>
      <c r="G769" s="408" t="s">
        <v>190</v>
      </c>
      <c r="H769" s="409"/>
      <c r="I769" s="59"/>
      <c r="J769" s="260">
        <f t="shared" si="3"/>
        <v>1</v>
      </c>
      <c r="K769" s="61"/>
    </row>
    <row r="770" spans="2:11" x14ac:dyDescent="0.2">
      <c r="B770" s="57"/>
      <c r="C770" s="196" t="s">
        <v>43</v>
      </c>
      <c r="D770" s="59"/>
      <c r="E770" s="59"/>
      <c r="F770" s="59"/>
      <c r="G770" s="408" t="s">
        <v>190</v>
      </c>
      <c r="H770" s="409"/>
      <c r="I770" s="59"/>
      <c r="J770" s="260">
        <f t="shared" si="3"/>
        <v>1</v>
      </c>
      <c r="K770" s="61"/>
    </row>
    <row r="771" spans="2:11" x14ac:dyDescent="0.2">
      <c r="B771" s="57"/>
      <c r="C771" s="59"/>
      <c r="D771" s="59"/>
      <c r="E771" s="59"/>
      <c r="F771" s="59"/>
      <c r="G771" s="59"/>
      <c r="H771" s="59"/>
      <c r="I771" s="59"/>
      <c r="J771" s="59"/>
      <c r="K771" s="61"/>
    </row>
    <row r="772" spans="2:11" x14ac:dyDescent="0.2">
      <c r="B772" s="57"/>
      <c r="C772" s="59"/>
      <c r="D772" s="59"/>
      <c r="E772" s="59"/>
      <c r="F772" s="59"/>
      <c r="G772" s="59"/>
      <c r="H772" s="59"/>
      <c r="I772" s="59"/>
      <c r="J772" s="59"/>
      <c r="K772" s="61"/>
    </row>
    <row r="773" spans="2:11" ht="16" x14ac:dyDescent="0.2">
      <c r="B773" s="57"/>
      <c r="C773" s="197" t="s">
        <v>30</v>
      </c>
      <c r="D773" s="59"/>
      <c r="E773" s="59"/>
      <c r="F773" s="59"/>
      <c r="G773" s="59"/>
      <c r="H773" s="59"/>
      <c r="I773" s="59"/>
      <c r="J773" s="59"/>
      <c r="K773" s="61"/>
    </row>
    <row r="774" spans="2:11" x14ac:dyDescent="0.2">
      <c r="B774" s="57"/>
      <c r="C774" s="59"/>
      <c r="D774" s="59" t="s">
        <v>370</v>
      </c>
      <c r="E774" s="59"/>
      <c r="F774" s="59"/>
      <c r="G774" s="59"/>
      <c r="H774" s="59"/>
      <c r="I774" s="59"/>
      <c r="J774" s="60">
        <f>'Baseline At-Risk Pops'!H8</f>
        <v>0</v>
      </c>
      <c r="K774" s="61"/>
    </row>
    <row r="775" spans="2:11" x14ac:dyDescent="0.2">
      <c r="B775" s="57"/>
      <c r="C775" s="59"/>
      <c r="D775" s="59" t="s">
        <v>371</v>
      </c>
      <c r="E775" s="59"/>
      <c r="F775" s="59"/>
      <c r="G775" s="59"/>
      <c r="H775" s="59"/>
      <c r="I775" s="59"/>
      <c r="J775" s="60">
        <f>SUM(J717,J732,J747,J762)</f>
        <v>3</v>
      </c>
      <c r="K775" s="61"/>
    </row>
    <row r="776" spans="2:11" x14ac:dyDescent="0.2">
      <c r="B776" s="57"/>
      <c r="C776" s="59"/>
      <c r="D776" s="196" t="s">
        <v>372</v>
      </c>
      <c r="E776" s="59"/>
      <c r="F776" s="59"/>
      <c r="G776" s="59"/>
      <c r="H776" s="59"/>
      <c r="I776" s="59"/>
      <c r="J776" s="60">
        <f>AVERAGE(J774,J775)</f>
        <v>1.5</v>
      </c>
      <c r="K776" s="61"/>
    </row>
    <row r="777" spans="2:11" ht="16" x14ac:dyDescent="0.2">
      <c r="B777" s="57"/>
      <c r="C777" s="197" t="s">
        <v>32</v>
      </c>
      <c r="D777" s="59"/>
      <c r="E777" s="59"/>
      <c r="F777" s="59"/>
      <c r="G777" s="59"/>
      <c r="H777" s="59"/>
      <c r="I777" s="59"/>
      <c r="J777" s="60"/>
      <c r="K777" s="61"/>
    </row>
    <row r="778" spans="2:11" x14ac:dyDescent="0.2">
      <c r="B778" s="57"/>
      <c r="C778" s="59"/>
      <c r="D778" s="59" t="s">
        <v>370</v>
      </c>
      <c r="E778" s="59"/>
      <c r="F778" s="59"/>
      <c r="G778" s="59"/>
      <c r="H778" s="59"/>
      <c r="I778" s="59"/>
      <c r="J778" s="60">
        <f>'Baseline At-Risk Pops'!H14</f>
        <v>0</v>
      </c>
      <c r="K778" s="61"/>
    </row>
    <row r="779" spans="2:11" ht="15" customHeight="1" x14ac:dyDescent="0.2">
      <c r="B779" s="57"/>
      <c r="C779" s="59"/>
      <c r="D779" s="59" t="s">
        <v>371</v>
      </c>
      <c r="E779" s="59"/>
      <c r="F779" s="59"/>
      <c r="G779" s="59"/>
      <c r="H779" s="59"/>
      <c r="I779" s="59"/>
      <c r="J779" s="60">
        <f>SUM(J718,J733,J748,J763)</f>
        <v>4</v>
      </c>
      <c r="K779" s="61"/>
    </row>
    <row r="780" spans="2:11" x14ac:dyDescent="0.2">
      <c r="B780" s="57"/>
      <c r="C780" s="59"/>
      <c r="D780" s="196" t="s">
        <v>372</v>
      </c>
      <c r="E780" s="59"/>
      <c r="F780" s="59"/>
      <c r="G780" s="59"/>
      <c r="H780" s="59"/>
      <c r="I780" s="59"/>
      <c r="J780" s="60">
        <f>AVERAGE(J778,J779)</f>
        <v>2</v>
      </c>
      <c r="K780" s="61"/>
    </row>
    <row r="781" spans="2:11" ht="16" x14ac:dyDescent="0.2">
      <c r="B781" s="57"/>
      <c r="C781" s="197" t="s">
        <v>34</v>
      </c>
      <c r="D781" s="59"/>
      <c r="E781" s="59"/>
      <c r="F781" s="59"/>
      <c r="G781" s="59"/>
      <c r="H781" s="59"/>
      <c r="I781" s="59"/>
      <c r="J781" s="60"/>
      <c r="K781" s="61"/>
    </row>
    <row r="782" spans="2:11" ht="16" x14ac:dyDescent="0.2">
      <c r="B782" s="57"/>
      <c r="C782" s="197"/>
      <c r="D782" s="59" t="s">
        <v>370</v>
      </c>
      <c r="E782" s="59"/>
      <c r="F782" s="59"/>
      <c r="G782" s="59"/>
      <c r="H782" s="59"/>
      <c r="I782" s="59"/>
      <c r="J782" s="60">
        <f>'Baseline At-Risk Pops'!H21</f>
        <v>0</v>
      </c>
      <c r="K782" s="61"/>
    </row>
    <row r="783" spans="2:11" x14ac:dyDescent="0.2">
      <c r="B783" s="57"/>
      <c r="C783" s="59"/>
      <c r="D783" s="59" t="s">
        <v>371</v>
      </c>
      <c r="E783" s="59"/>
      <c r="F783" s="59"/>
      <c r="G783" s="59"/>
      <c r="H783" s="59"/>
      <c r="I783" s="59"/>
      <c r="J783" s="60">
        <f>SUM(J719,J734,J749,J764)</f>
        <v>3</v>
      </c>
      <c r="K783" s="61"/>
    </row>
    <row r="784" spans="2:11" x14ac:dyDescent="0.2">
      <c r="B784" s="57"/>
      <c r="C784" s="59"/>
      <c r="D784" s="196" t="s">
        <v>372</v>
      </c>
      <c r="E784" s="59"/>
      <c r="F784" s="59"/>
      <c r="G784" s="59"/>
      <c r="H784" s="59"/>
      <c r="I784" s="59"/>
      <c r="J784" s="60">
        <f>AVERAGE(J782,J783)</f>
        <v>1.5</v>
      </c>
      <c r="K784" s="61"/>
    </row>
    <row r="785" spans="2:11" ht="16" x14ac:dyDescent="0.2">
      <c r="B785" s="57"/>
      <c r="C785" s="197" t="s">
        <v>35</v>
      </c>
      <c r="D785" s="59"/>
      <c r="E785" s="59"/>
      <c r="F785" s="59"/>
      <c r="G785" s="59"/>
      <c r="H785" s="59"/>
      <c r="I785" s="59"/>
      <c r="J785" s="60"/>
      <c r="K785" s="61"/>
    </row>
    <row r="786" spans="2:11" x14ac:dyDescent="0.2">
      <c r="B786" s="57"/>
      <c r="C786" s="59"/>
      <c r="D786" s="59" t="s">
        <v>370</v>
      </c>
      <c r="E786" s="59"/>
      <c r="F786" s="59"/>
      <c r="G786" s="59"/>
      <c r="H786" s="59"/>
      <c r="I786" s="59"/>
      <c r="J786" s="60">
        <f>'Baseline At-Risk Pops'!H27</f>
        <v>0</v>
      </c>
      <c r="K786" s="61"/>
    </row>
    <row r="787" spans="2:11" x14ac:dyDescent="0.2">
      <c r="B787" s="57"/>
      <c r="C787" s="59"/>
      <c r="D787" s="59" t="s">
        <v>371</v>
      </c>
      <c r="E787" s="59"/>
      <c r="F787" s="59"/>
      <c r="G787" s="59"/>
      <c r="H787" s="59"/>
      <c r="I787" s="59"/>
      <c r="J787" s="60">
        <f>SUM(J720,J735,J750,J765)</f>
        <v>4</v>
      </c>
      <c r="K787" s="61"/>
    </row>
    <row r="788" spans="2:11" x14ac:dyDescent="0.2">
      <c r="B788" s="57"/>
      <c r="C788" s="59"/>
      <c r="D788" s="196" t="s">
        <v>372</v>
      </c>
      <c r="E788" s="59"/>
      <c r="F788" s="59"/>
      <c r="G788" s="59"/>
      <c r="H788" s="59"/>
      <c r="I788" s="59"/>
      <c r="J788" s="60">
        <f>AVERAGE(J786,J787)</f>
        <v>2</v>
      </c>
      <c r="K788" s="61"/>
    </row>
    <row r="789" spans="2:11" ht="16" x14ac:dyDescent="0.2">
      <c r="B789" s="57"/>
      <c r="C789" s="197" t="s">
        <v>37</v>
      </c>
      <c r="D789" s="59"/>
      <c r="E789" s="59"/>
      <c r="F789" s="59"/>
      <c r="G789" s="59"/>
      <c r="H789" s="59"/>
      <c r="I789" s="59"/>
      <c r="J789" s="60"/>
      <c r="K789" s="61"/>
    </row>
    <row r="790" spans="2:11" x14ac:dyDescent="0.2">
      <c r="B790" s="57"/>
      <c r="C790" s="59"/>
      <c r="D790" s="59" t="s">
        <v>370</v>
      </c>
      <c r="E790" s="59"/>
      <c r="F790" s="59"/>
      <c r="G790" s="59"/>
      <c r="H790" s="59"/>
      <c r="I790" s="59"/>
      <c r="J790" s="60">
        <f>'Baseline At-Risk Pops'!H34</f>
        <v>0</v>
      </c>
      <c r="K790" s="61"/>
    </row>
    <row r="791" spans="2:11" x14ac:dyDescent="0.2">
      <c r="B791" s="57"/>
      <c r="C791" s="59"/>
      <c r="D791" s="59" t="s">
        <v>371</v>
      </c>
      <c r="E791" s="59"/>
      <c r="F791" s="59"/>
      <c r="G791" s="59"/>
      <c r="H791" s="59"/>
      <c r="I791" s="59"/>
      <c r="J791" s="60">
        <f>SUM(J721,J736,J751,J766)</f>
        <v>3</v>
      </c>
      <c r="K791" s="61"/>
    </row>
    <row r="792" spans="2:11" x14ac:dyDescent="0.2">
      <c r="B792" s="57"/>
      <c r="C792" s="59"/>
      <c r="D792" s="196" t="s">
        <v>372</v>
      </c>
      <c r="E792" s="59"/>
      <c r="F792" s="59"/>
      <c r="G792" s="59"/>
      <c r="H792" s="59"/>
      <c r="I792" s="59"/>
      <c r="J792" s="60">
        <f>AVERAGE(J790,J791)</f>
        <v>1.5</v>
      </c>
      <c r="K792" s="61"/>
    </row>
    <row r="793" spans="2:11" ht="16" x14ac:dyDescent="0.2">
      <c r="B793" s="57"/>
      <c r="C793" s="197" t="s">
        <v>38</v>
      </c>
      <c r="D793" s="59"/>
      <c r="E793" s="59"/>
      <c r="F793" s="59"/>
      <c r="G793" s="59"/>
      <c r="H793" s="59"/>
      <c r="I793" s="59"/>
      <c r="J793" s="60"/>
      <c r="K793" s="61"/>
    </row>
    <row r="794" spans="2:11" x14ac:dyDescent="0.2">
      <c r="B794" s="57"/>
      <c r="C794" s="59"/>
      <c r="D794" s="59" t="s">
        <v>370</v>
      </c>
      <c r="E794" s="59"/>
      <c r="F794" s="59"/>
      <c r="G794" s="59"/>
      <c r="H794" s="59"/>
      <c r="I794" s="59"/>
      <c r="J794" s="60">
        <f>'Baseline At-Risk Pops'!H40</f>
        <v>0</v>
      </c>
      <c r="K794" s="61"/>
    </row>
    <row r="795" spans="2:11" x14ac:dyDescent="0.2">
      <c r="B795" s="57"/>
      <c r="C795" s="59"/>
      <c r="D795" s="59" t="s">
        <v>371</v>
      </c>
      <c r="E795" s="59"/>
      <c r="F795" s="59"/>
      <c r="G795" s="59"/>
      <c r="H795" s="59"/>
      <c r="I795" s="59"/>
      <c r="J795" s="60">
        <f>SUM(J722,J737,J752,J767)</f>
        <v>3</v>
      </c>
      <c r="K795" s="61"/>
    </row>
    <row r="796" spans="2:11" x14ac:dyDescent="0.2">
      <c r="B796" s="57"/>
      <c r="C796" s="59"/>
      <c r="D796" s="196" t="s">
        <v>372</v>
      </c>
      <c r="E796" s="59"/>
      <c r="F796" s="59"/>
      <c r="G796" s="59"/>
      <c r="H796" s="59"/>
      <c r="I796" s="59"/>
      <c r="J796" s="60">
        <f>AVERAGE(J794,J795)</f>
        <v>1.5</v>
      </c>
      <c r="K796" s="61"/>
    </row>
    <row r="797" spans="2:11" ht="16" x14ac:dyDescent="0.2">
      <c r="B797" s="57"/>
      <c r="C797" s="197" t="s">
        <v>40</v>
      </c>
      <c r="D797" s="59"/>
      <c r="E797" s="59"/>
      <c r="F797" s="59"/>
      <c r="G797" s="59"/>
      <c r="H797" s="59"/>
      <c r="I797" s="59"/>
      <c r="J797" s="60"/>
      <c r="K797" s="61"/>
    </row>
    <row r="798" spans="2:11" x14ac:dyDescent="0.2">
      <c r="B798" s="57"/>
      <c r="C798" s="59"/>
      <c r="D798" s="59" t="s">
        <v>370</v>
      </c>
      <c r="E798" s="59"/>
      <c r="F798" s="59"/>
      <c r="G798" s="59"/>
      <c r="H798" s="59"/>
      <c r="I798" s="59"/>
      <c r="J798" s="60">
        <f>'Baseline At-Risk Pops'!H46</f>
        <v>0</v>
      </c>
      <c r="K798" s="61"/>
    </row>
    <row r="799" spans="2:11" x14ac:dyDescent="0.2">
      <c r="B799" s="57"/>
      <c r="C799" s="59"/>
      <c r="D799" s="59" t="s">
        <v>371</v>
      </c>
      <c r="E799" s="59"/>
      <c r="F799" s="59"/>
      <c r="G799" s="59"/>
      <c r="H799" s="59"/>
      <c r="I799" s="59"/>
      <c r="J799" s="60">
        <f>SUM(J723,J738,J753,J768)</f>
        <v>3</v>
      </c>
      <c r="K799" s="61"/>
    </row>
    <row r="800" spans="2:11" x14ac:dyDescent="0.2">
      <c r="B800" s="57"/>
      <c r="C800" s="59"/>
      <c r="D800" s="196" t="s">
        <v>372</v>
      </c>
      <c r="E800" s="59"/>
      <c r="F800" s="59"/>
      <c r="G800" s="59"/>
      <c r="H800" s="59"/>
      <c r="I800" s="59"/>
      <c r="J800" s="60">
        <f>AVERAGE(J798,J799)</f>
        <v>1.5</v>
      </c>
      <c r="K800" s="61"/>
    </row>
    <row r="801" spans="2:11" ht="16" x14ac:dyDescent="0.2">
      <c r="B801" s="57"/>
      <c r="C801" s="197" t="s">
        <v>41</v>
      </c>
      <c r="D801" s="59"/>
      <c r="E801" s="59"/>
      <c r="F801" s="59"/>
      <c r="G801" s="59"/>
      <c r="H801" s="59"/>
      <c r="I801" s="59"/>
      <c r="J801" s="60"/>
      <c r="K801" s="61"/>
    </row>
    <row r="802" spans="2:11" ht="16" x14ac:dyDescent="0.2">
      <c r="B802" s="57"/>
      <c r="C802" s="197"/>
      <c r="D802" s="59" t="s">
        <v>370</v>
      </c>
      <c r="E802" s="59"/>
      <c r="F802" s="59"/>
      <c r="G802" s="59"/>
      <c r="H802" s="59"/>
      <c r="I802" s="59"/>
      <c r="J802" s="60">
        <f>'Baseline At-Risk Pops'!H52</f>
        <v>0</v>
      </c>
      <c r="K802" s="61"/>
    </row>
    <row r="803" spans="2:11" x14ac:dyDescent="0.2">
      <c r="B803" s="57"/>
      <c r="C803" s="59"/>
      <c r="D803" s="59" t="s">
        <v>371</v>
      </c>
      <c r="E803" s="59"/>
      <c r="F803" s="59"/>
      <c r="G803" s="59"/>
      <c r="H803" s="59"/>
      <c r="I803" s="59"/>
      <c r="J803" s="60">
        <f>SUM(J724,J739,J754,J769)</f>
        <v>4</v>
      </c>
      <c r="K803" s="61"/>
    </row>
    <row r="804" spans="2:11" x14ac:dyDescent="0.2">
      <c r="B804" s="57"/>
      <c r="C804" s="59"/>
      <c r="D804" s="196" t="s">
        <v>372</v>
      </c>
      <c r="E804" s="59"/>
      <c r="F804" s="59"/>
      <c r="G804" s="59"/>
      <c r="H804" s="59"/>
      <c r="I804" s="59"/>
      <c r="J804" s="60">
        <f>AVERAGE(J802,J803)</f>
        <v>2</v>
      </c>
      <c r="K804" s="61"/>
    </row>
    <row r="805" spans="2:11" ht="16" x14ac:dyDescent="0.2">
      <c r="B805" s="57"/>
      <c r="C805" s="197" t="s">
        <v>43</v>
      </c>
      <c r="D805" s="59"/>
      <c r="E805" s="59"/>
      <c r="F805" s="59"/>
      <c r="G805" s="59"/>
      <c r="H805" s="59"/>
      <c r="I805" s="59"/>
      <c r="J805" s="60"/>
      <c r="K805" s="61"/>
    </row>
    <row r="806" spans="2:11" x14ac:dyDescent="0.2">
      <c r="B806" s="57"/>
      <c r="C806" s="59"/>
      <c r="D806" s="59" t="s">
        <v>370</v>
      </c>
      <c r="E806" s="59"/>
      <c r="F806" s="59"/>
      <c r="G806" s="59"/>
      <c r="H806" s="59"/>
      <c r="I806" s="59"/>
      <c r="J806" s="60">
        <f>'Baseline At-Risk Pops'!H58</f>
        <v>0</v>
      </c>
      <c r="K806" s="61"/>
    </row>
    <row r="807" spans="2:11" x14ac:dyDescent="0.2">
      <c r="B807" s="57"/>
      <c r="C807" s="59"/>
      <c r="D807" s="59" t="s">
        <v>371</v>
      </c>
      <c r="E807" s="59"/>
      <c r="F807" s="59"/>
      <c r="G807" s="59"/>
      <c r="H807" s="59"/>
      <c r="I807" s="59"/>
      <c r="J807" s="60">
        <f>SUM(J725,J740,J755,J770)</f>
        <v>3</v>
      </c>
      <c r="K807" s="61"/>
    </row>
    <row r="808" spans="2:11" x14ac:dyDescent="0.2">
      <c r="B808" s="57"/>
      <c r="C808" s="59"/>
      <c r="D808" s="196" t="s">
        <v>372</v>
      </c>
      <c r="E808" s="59"/>
      <c r="F808" s="59"/>
      <c r="G808" s="59"/>
      <c r="H808" s="59"/>
      <c r="I808" s="59"/>
      <c r="J808" s="60">
        <f>AVERAGE(J806,J807)</f>
        <v>1.5</v>
      </c>
      <c r="K808" s="61"/>
    </row>
    <row r="809" spans="2:11" x14ac:dyDescent="0.2">
      <c r="B809" s="57"/>
      <c r="C809" s="59"/>
      <c r="D809" s="59"/>
      <c r="E809" s="59"/>
      <c r="F809" s="59"/>
      <c r="G809" s="59"/>
      <c r="H809" s="59"/>
      <c r="I809" s="59"/>
      <c r="J809" s="59"/>
      <c r="K809" s="61"/>
    </row>
    <row r="810" spans="2:11" x14ac:dyDescent="0.2">
      <c r="B810" s="57"/>
      <c r="C810" s="59"/>
      <c r="D810" s="59"/>
      <c r="E810" s="59"/>
      <c r="F810" s="59"/>
      <c r="G810" s="59"/>
      <c r="H810" s="59"/>
      <c r="I810" s="59"/>
      <c r="J810" s="59"/>
      <c r="K810" s="61"/>
    </row>
    <row r="811" spans="2:11" ht="16" x14ac:dyDescent="0.2">
      <c r="B811" s="57"/>
      <c r="C811" s="198" t="s">
        <v>373</v>
      </c>
      <c r="D811" s="59"/>
      <c r="E811" s="59"/>
      <c r="F811" s="59"/>
      <c r="G811" s="59"/>
      <c r="H811" s="59"/>
      <c r="I811" s="59"/>
      <c r="J811" s="261">
        <f>AVERAGE(J776,J780,J784,J788,J792,J796,J800,J804,J808)</f>
        <v>1.6666666666666667</v>
      </c>
      <c r="K811" s="61"/>
    </row>
    <row r="812" spans="2:11" ht="16" thickBot="1" x14ac:dyDescent="0.25">
      <c r="B812" s="73"/>
      <c r="C812" s="74"/>
      <c r="D812" s="74"/>
      <c r="E812" s="74"/>
      <c r="F812" s="74"/>
      <c r="G812" s="74"/>
      <c r="H812" s="74"/>
      <c r="I812" s="74"/>
      <c r="J812" s="74"/>
      <c r="K812" s="76"/>
    </row>
    <row r="813" spans="2:11" ht="16" thickBot="1" x14ac:dyDescent="0.25"/>
    <row r="814" spans="2:11" x14ac:dyDescent="0.2">
      <c r="B814" s="199"/>
      <c r="C814" s="200"/>
      <c r="D814" s="200"/>
      <c r="E814" s="200"/>
      <c r="F814" s="200"/>
      <c r="G814" s="200"/>
      <c r="H814" s="200"/>
      <c r="I814" s="200"/>
      <c r="J814" s="200"/>
      <c r="K814" s="201"/>
    </row>
    <row r="815" spans="2:11" ht="21" x14ac:dyDescent="0.25">
      <c r="B815" s="202"/>
      <c r="C815" s="203"/>
      <c r="D815" s="203"/>
      <c r="E815" s="203"/>
      <c r="F815" s="203"/>
      <c r="G815" s="204" t="s">
        <v>233</v>
      </c>
      <c r="H815" s="203"/>
      <c r="I815" s="203"/>
      <c r="J815" s="203"/>
      <c r="K815" s="205"/>
    </row>
    <row r="816" spans="2:11" x14ac:dyDescent="0.2">
      <c r="B816" s="202"/>
      <c r="C816" s="203"/>
      <c r="D816" s="203"/>
      <c r="E816" s="203"/>
      <c r="F816" s="203"/>
      <c r="G816" s="203"/>
      <c r="H816" s="203"/>
      <c r="I816" s="203"/>
      <c r="J816" s="203"/>
      <c r="K816" s="205"/>
    </row>
    <row r="817" spans="2:11" ht="16" x14ac:dyDescent="0.2">
      <c r="B817" s="202"/>
      <c r="C817" s="206" t="s">
        <v>992</v>
      </c>
      <c r="D817" s="203"/>
      <c r="E817" s="203"/>
      <c r="F817" s="203"/>
      <c r="G817" s="203"/>
      <c r="H817" s="203"/>
      <c r="I817" s="203"/>
      <c r="J817" s="262" t="str">
        <f>IF(J700="Not Calculated","Not Calculated",J700*(($J$811/4)+1))</f>
        <v>Not Calculated</v>
      </c>
      <c r="K817" s="205"/>
    </row>
    <row r="818" spans="2:11" x14ac:dyDescent="0.2">
      <c r="B818" s="202"/>
      <c r="C818" s="203"/>
      <c r="D818" s="203" t="s">
        <v>1119</v>
      </c>
      <c r="E818" s="203"/>
      <c r="F818" s="203"/>
      <c r="G818" s="203"/>
      <c r="H818" s="203"/>
      <c r="I818" s="203"/>
      <c r="J818" s="203"/>
      <c r="K818" s="205"/>
    </row>
    <row r="819" spans="2:11" x14ac:dyDescent="0.2">
      <c r="B819" s="202"/>
      <c r="C819" s="203"/>
      <c r="D819" s="203"/>
      <c r="E819" s="203"/>
      <c r="F819" s="203"/>
      <c r="G819" s="203"/>
      <c r="H819" s="203"/>
      <c r="I819" s="203"/>
      <c r="J819" s="203"/>
      <c r="K819" s="205"/>
    </row>
    <row r="820" spans="2:11" ht="16" x14ac:dyDescent="0.2">
      <c r="B820" s="202"/>
      <c r="C820" s="206" t="s">
        <v>993</v>
      </c>
      <c r="D820" s="203"/>
      <c r="E820" s="203"/>
      <c r="F820" s="203"/>
      <c r="G820" s="203"/>
      <c r="H820" s="203"/>
      <c r="I820" s="203"/>
      <c r="J820" s="262" t="str">
        <f>IF(J703="Not Calculated","Not Calculated",J703*(($J$811/4)+1))</f>
        <v>Not Calculated</v>
      </c>
      <c r="K820" s="205"/>
    </row>
    <row r="821" spans="2:11" x14ac:dyDescent="0.2">
      <c r="B821" s="202"/>
      <c r="C821" s="203"/>
      <c r="D821" s="203" t="s">
        <v>1120</v>
      </c>
      <c r="E821" s="203"/>
      <c r="F821" s="203"/>
      <c r="G821" s="203"/>
      <c r="H821" s="203"/>
      <c r="I821" s="203"/>
      <c r="J821" s="203"/>
      <c r="K821" s="205"/>
    </row>
    <row r="822" spans="2:11" x14ac:dyDescent="0.2">
      <c r="B822" s="202"/>
      <c r="C822" s="203"/>
      <c r="D822" s="203"/>
      <c r="E822" s="203"/>
      <c r="F822" s="203"/>
      <c r="G822" s="203"/>
      <c r="H822" s="203"/>
      <c r="I822" s="203"/>
      <c r="J822" s="203"/>
      <c r="K822" s="205"/>
    </row>
    <row r="823" spans="2:11" ht="16" x14ac:dyDescent="0.2">
      <c r="B823" s="202"/>
      <c r="C823" s="206" t="s">
        <v>994</v>
      </c>
      <c r="D823" s="203"/>
      <c r="E823" s="203"/>
      <c r="F823" s="203"/>
      <c r="G823" s="203"/>
      <c r="H823" s="203"/>
      <c r="I823" s="203"/>
      <c r="J823" s="262" t="str">
        <f>IF(J706="Not Calculated","Not Calculated",J706*(($J$811/4)+1))</f>
        <v>Not Calculated</v>
      </c>
      <c r="K823" s="205"/>
    </row>
    <row r="824" spans="2:11" x14ac:dyDescent="0.2">
      <c r="B824" s="202"/>
      <c r="C824" s="203"/>
      <c r="D824" s="203" t="s">
        <v>1121</v>
      </c>
      <c r="E824" s="203"/>
      <c r="F824" s="203"/>
      <c r="G824" s="203"/>
      <c r="H824" s="203"/>
      <c r="I824" s="203"/>
      <c r="J824" s="203"/>
      <c r="K824" s="205"/>
    </row>
    <row r="825" spans="2:11" ht="16" thickBot="1" x14ac:dyDescent="0.25">
      <c r="B825" s="207"/>
      <c r="C825" s="208"/>
      <c r="D825" s="208"/>
      <c r="E825" s="208"/>
      <c r="F825" s="208"/>
      <c r="G825" s="208"/>
      <c r="H825" s="208"/>
      <c r="I825" s="208"/>
      <c r="J825" s="208"/>
      <c r="K825" s="209"/>
    </row>
    <row r="826" spans="2:11" ht="16" thickBot="1" x14ac:dyDescent="0.25"/>
    <row r="827" spans="2:11" x14ac:dyDescent="0.2">
      <c r="B827" s="77"/>
      <c r="C827" s="78"/>
      <c r="D827" s="78"/>
      <c r="E827" s="78"/>
      <c r="F827" s="78"/>
      <c r="G827" s="78"/>
      <c r="H827" s="78"/>
      <c r="I827" s="78"/>
      <c r="J827" s="78"/>
      <c r="K827" s="80"/>
    </row>
    <row r="828" spans="2:11" ht="21" x14ac:dyDescent="0.25">
      <c r="B828" s="81"/>
      <c r="C828" s="85"/>
      <c r="D828" s="85"/>
      <c r="E828" s="85"/>
      <c r="F828" s="85"/>
      <c r="G828" s="210" t="s">
        <v>806</v>
      </c>
      <c r="H828" s="85"/>
      <c r="I828" s="85"/>
      <c r="J828" s="85"/>
      <c r="K828" s="87"/>
    </row>
    <row r="829" spans="2:11" x14ac:dyDescent="0.2">
      <c r="B829" s="81"/>
      <c r="C829" s="85"/>
      <c r="D829" s="85"/>
      <c r="E829" s="85"/>
      <c r="F829" s="85"/>
      <c r="G829" s="85"/>
      <c r="H829" s="85"/>
      <c r="I829" s="85"/>
      <c r="J829" s="85"/>
      <c r="K829" s="87"/>
    </row>
    <row r="830" spans="2:11" ht="15" customHeight="1" x14ac:dyDescent="0.2">
      <c r="B830" s="81"/>
      <c r="C830" s="424" t="s">
        <v>808</v>
      </c>
      <c r="D830" s="424"/>
      <c r="E830" s="424"/>
      <c r="F830" s="424"/>
      <c r="G830" s="424"/>
      <c r="H830" s="424"/>
      <c r="I830" s="424"/>
      <c r="J830" s="424"/>
      <c r="K830" s="87"/>
    </row>
    <row r="831" spans="2:11" x14ac:dyDescent="0.2">
      <c r="B831" s="81"/>
      <c r="C831" s="424"/>
      <c r="D831" s="424"/>
      <c r="E831" s="424"/>
      <c r="F831" s="424"/>
      <c r="G831" s="424"/>
      <c r="H831" s="424"/>
      <c r="I831" s="424"/>
      <c r="J831" s="424"/>
      <c r="K831" s="87"/>
    </row>
    <row r="832" spans="2:11" x14ac:dyDescent="0.2">
      <c r="B832" s="81"/>
      <c r="C832" s="85"/>
      <c r="D832" s="85"/>
      <c r="E832" s="85"/>
      <c r="F832" s="85"/>
      <c r="G832" s="85"/>
      <c r="H832" s="85"/>
      <c r="I832" s="85"/>
      <c r="J832" s="85"/>
      <c r="K832" s="87"/>
    </row>
    <row r="833" spans="2:11" ht="16" x14ac:dyDescent="0.2">
      <c r="B833" s="81"/>
      <c r="C833" s="211" t="s">
        <v>654</v>
      </c>
      <c r="D833" s="85"/>
      <c r="E833" s="85"/>
      <c r="F833" s="85"/>
      <c r="G833" s="85"/>
      <c r="H833" s="85"/>
      <c r="I833" s="85"/>
      <c r="J833" s="85"/>
      <c r="K833" s="87"/>
    </row>
    <row r="834" spans="2:11" x14ac:dyDescent="0.2">
      <c r="B834" s="81"/>
      <c r="C834" s="85" t="s">
        <v>380</v>
      </c>
      <c r="D834" s="85"/>
      <c r="E834" s="85"/>
      <c r="F834" s="85"/>
      <c r="G834" s="406" t="s">
        <v>234</v>
      </c>
      <c r="H834" s="407"/>
      <c r="I834" s="85"/>
      <c r="J834" s="83">
        <f>IF(G834=$B$998,$A$998,IF(G834=$B$999,$A$999,IF(G834=$B$1000,$A$1000,IF(G834=$B$1001,$A$1001,IF(G834=$B$1002,$A$1002,"Not Calculated")))))</f>
        <v>4</v>
      </c>
      <c r="K834" s="87"/>
    </row>
    <row r="835" spans="2:11" x14ac:dyDescent="0.2">
      <c r="B835" s="81"/>
      <c r="C835" s="85" t="s">
        <v>134</v>
      </c>
      <c r="D835" s="85"/>
      <c r="E835" s="85"/>
      <c r="F835" s="85"/>
      <c r="G835" s="85"/>
      <c r="H835" s="85"/>
      <c r="I835" s="85"/>
      <c r="J835" s="240">
        <f>'Baseline PHP'!J16</f>
        <v>0</v>
      </c>
      <c r="K835" s="87"/>
    </row>
    <row r="836" spans="2:11" x14ac:dyDescent="0.2">
      <c r="B836" s="81"/>
      <c r="C836" s="85"/>
      <c r="D836" s="85"/>
      <c r="E836" s="85"/>
      <c r="F836" s="85"/>
      <c r="G836" s="85"/>
      <c r="H836" s="85"/>
      <c r="I836" s="85"/>
      <c r="J836" s="85"/>
      <c r="K836" s="87"/>
    </row>
    <row r="837" spans="2:11" ht="16" x14ac:dyDescent="0.2">
      <c r="B837" s="81"/>
      <c r="C837" s="211" t="s">
        <v>655</v>
      </c>
      <c r="D837" s="85"/>
      <c r="E837" s="85"/>
      <c r="F837" s="85"/>
      <c r="G837" s="85"/>
      <c r="H837" s="85"/>
      <c r="I837" s="85"/>
      <c r="J837" s="85"/>
      <c r="K837" s="87"/>
    </row>
    <row r="838" spans="2:11" x14ac:dyDescent="0.2">
      <c r="B838" s="81"/>
      <c r="C838" s="85" t="s">
        <v>380</v>
      </c>
      <c r="D838" s="85"/>
      <c r="E838" s="85"/>
      <c r="F838" s="85"/>
      <c r="G838" s="406" t="s">
        <v>234</v>
      </c>
      <c r="H838" s="407"/>
      <c r="I838" s="85"/>
      <c r="J838" s="83">
        <f>IF(G838=$B$998,$A$998,IF(G838=$B$999,$A$999,IF(G838=$B$1000,$A$1000,IF(G838=$B$1001,$A$1001,IF(G838=$B$1002,$A$1002,"Not Calculated")))))</f>
        <v>4</v>
      </c>
      <c r="K838" s="87"/>
    </row>
    <row r="839" spans="2:11" x14ac:dyDescent="0.2">
      <c r="B839" s="81"/>
      <c r="C839" s="85" t="s">
        <v>134</v>
      </c>
      <c r="D839" s="85"/>
      <c r="E839" s="85"/>
      <c r="F839" s="85"/>
      <c r="G839" s="85"/>
      <c r="H839" s="85"/>
      <c r="I839" s="85"/>
      <c r="J839" s="240">
        <f>'Baseline PHP'!J28</f>
        <v>0</v>
      </c>
      <c r="K839" s="87"/>
    </row>
    <row r="840" spans="2:11" x14ac:dyDescent="0.2">
      <c r="B840" s="81"/>
      <c r="C840" s="85"/>
      <c r="D840" s="85"/>
      <c r="E840" s="85"/>
      <c r="F840" s="85"/>
      <c r="G840" s="85"/>
      <c r="H840" s="85"/>
      <c r="I840" s="85"/>
      <c r="J840" s="85"/>
      <c r="K840" s="87"/>
    </row>
    <row r="841" spans="2:11" ht="16" x14ac:dyDescent="0.2">
      <c r="B841" s="81"/>
      <c r="C841" s="211" t="s">
        <v>645</v>
      </c>
      <c r="D841" s="85"/>
      <c r="E841" s="85"/>
      <c r="F841" s="85"/>
      <c r="G841" s="85"/>
      <c r="H841" s="85"/>
      <c r="I841" s="85"/>
      <c r="J841" s="85"/>
      <c r="K841" s="87"/>
    </row>
    <row r="842" spans="2:11" x14ac:dyDescent="0.2">
      <c r="B842" s="81"/>
      <c r="C842" s="85" t="s">
        <v>380</v>
      </c>
      <c r="D842" s="85"/>
      <c r="E842" s="85"/>
      <c r="F842" s="85"/>
      <c r="G842" s="406" t="s">
        <v>234</v>
      </c>
      <c r="H842" s="407"/>
      <c r="I842" s="85"/>
      <c r="J842" s="83">
        <f>IF(G842=$B$998,$A$998,IF(G842=$B$999,$A$999,IF(G842=$B$1000,$A$1000,IF(G842=$B$1001,$A$1001,IF(G842=$B$1002,$A$1002,"Not Calculated")))))</f>
        <v>4</v>
      </c>
      <c r="K842" s="87"/>
    </row>
    <row r="843" spans="2:11" x14ac:dyDescent="0.2">
      <c r="B843" s="81"/>
      <c r="C843" s="85" t="s">
        <v>134</v>
      </c>
      <c r="D843" s="85"/>
      <c r="E843" s="85"/>
      <c r="F843" s="85"/>
      <c r="G843" s="85"/>
      <c r="H843" s="85"/>
      <c r="I843" s="85"/>
      <c r="J843" s="240">
        <f>'Baseline PHP'!J44</f>
        <v>0</v>
      </c>
      <c r="K843" s="87"/>
    </row>
    <row r="844" spans="2:11" x14ac:dyDescent="0.2">
      <c r="B844" s="81"/>
      <c r="C844" s="85"/>
      <c r="D844" s="85"/>
      <c r="E844" s="85"/>
      <c r="F844" s="85"/>
      <c r="G844" s="85"/>
      <c r="H844" s="85"/>
      <c r="I844" s="85"/>
      <c r="J844" s="85"/>
      <c r="K844" s="87"/>
    </row>
    <row r="845" spans="2:11" ht="16" x14ac:dyDescent="0.2">
      <c r="B845" s="81"/>
      <c r="C845" s="211" t="s">
        <v>646</v>
      </c>
      <c r="D845" s="85"/>
      <c r="E845" s="85"/>
      <c r="F845" s="85"/>
      <c r="G845" s="85"/>
      <c r="H845" s="85"/>
      <c r="I845" s="85"/>
      <c r="J845" s="85"/>
      <c r="K845" s="87"/>
    </row>
    <row r="846" spans="2:11" x14ac:dyDescent="0.2">
      <c r="B846" s="81"/>
      <c r="C846" s="85" t="s">
        <v>380</v>
      </c>
      <c r="D846" s="85"/>
      <c r="E846" s="85"/>
      <c r="F846" s="85"/>
      <c r="G846" s="406" t="s">
        <v>234</v>
      </c>
      <c r="H846" s="407"/>
      <c r="I846" s="85"/>
      <c r="J846" s="83">
        <f>IF(G846=$B$998,$A$998,IF(G846=$B$999,$A$999,IF(G846=$B$1000,$A$1000,IF(G846=$B$1001,$A$1001,IF(G846=$B$1002,$A$1002,"Not Calculated")))))</f>
        <v>4</v>
      </c>
      <c r="K846" s="87"/>
    </row>
    <row r="847" spans="2:11" x14ac:dyDescent="0.2">
      <c r="B847" s="81"/>
      <c r="C847" s="85" t="s">
        <v>134</v>
      </c>
      <c r="D847" s="85"/>
      <c r="E847" s="85"/>
      <c r="F847" s="85"/>
      <c r="G847" s="85"/>
      <c r="H847" s="85"/>
      <c r="I847" s="85"/>
      <c r="J847" s="240">
        <f>'Baseline PHP'!J60</f>
        <v>0</v>
      </c>
      <c r="K847" s="87"/>
    </row>
    <row r="848" spans="2:11" x14ac:dyDescent="0.2">
      <c r="B848" s="81"/>
      <c r="C848" s="85"/>
      <c r="D848" s="85"/>
      <c r="E848" s="85"/>
      <c r="F848" s="85"/>
      <c r="G848" s="85"/>
      <c r="H848" s="85"/>
      <c r="I848" s="85"/>
      <c r="J848" s="85"/>
      <c r="K848" s="87"/>
    </row>
    <row r="849" spans="2:11" ht="16" x14ac:dyDescent="0.2">
      <c r="B849" s="81"/>
      <c r="C849" s="211" t="s">
        <v>648</v>
      </c>
      <c r="D849" s="85"/>
      <c r="E849" s="85"/>
      <c r="F849" s="85"/>
      <c r="G849" s="85"/>
      <c r="H849" s="85"/>
      <c r="I849" s="85"/>
      <c r="J849" s="85"/>
      <c r="K849" s="87"/>
    </row>
    <row r="850" spans="2:11" ht="15" customHeight="1" x14ac:dyDescent="0.2">
      <c r="B850" s="81"/>
      <c r="C850" s="85" t="s">
        <v>380</v>
      </c>
      <c r="D850" s="85"/>
      <c r="E850" s="85"/>
      <c r="F850" s="85"/>
      <c r="G850" s="406" t="s">
        <v>237</v>
      </c>
      <c r="H850" s="407"/>
      <c r="I850" s="85"/>
      <c r="J850" s="83">
        <f>IF(G850=$B$998,$A$998,IF(G850=$B$999,$A$999,IF(G850=$B$1000,$A$1000,IF(G850=$B$1001,$A$1001,IF(G850=$B$1002,$A$1002,"Not Calculated")))))</f>
        <v>1</v>
      </c>
      <c r="K850" s="87"/>
    </row>
    <row r="851" spans="2:11" x14ac:dyDescent="0.2">
      <c r="B851" s="81"/>
      <c r="C851" s="85" t="s">
        <v>134</v>
      </c>
      <c r="D851" s="85"/>
      <c r="E851" s="85"/>
      <c r="F851" s="85"/>
      <c r="G851" s="85"/>
      <c r="H851" s="85"/>
      <c r="I851" s="85"/>
      <c r="J851" s="240">
        <f>'Baseline PHP'!J76</f>
        <v>0</v>
      </c>
      <c r="K851" s="87"/>
    </row>
    <row r="852" spans="2:11" x14ac:dyDescent="0.2">
      <c r="B852" s="81"/>
      <c r="C852" s="85"/>
      <c r="D852" s="85"/>
      <c r="E852" s="85"/>
      <c r="F852" s="85"/>
      <c r="G852" s="85"/>
      <c r="H852" s="85"/>
      <c r="I852" s="85"/>
      <c r="J852" s="85"/>
      <c r="K852" s="87"/>
    </row>
    <row r="853" spans="2:11" ht="16" x14ac:dyDescent="0.2">
      <c r="B853" s="81"/>
      <c r="C853" s="211" t="s">
        <v>647</v>
      </c>
      <c r="D853" s="85"/>
      <c r="E853" s="85"/>
      <c r="F853" s="85"/>
      <c r="G853" s="85"/>
      <c r="H853" s="85"/>
      <c r="I853" s="85"/>
      <c r="J853" s="85"/>
      <c r="K853" s="87"/>
    </row>
    <row r="854" spans="2:11" x14ac:dyDescent="0.2">
      <c r="B854" s="81"/>
      <c r="C854" s="85" t="s">
        <v>380</v>
      </c>
      <c r="D854" s="85"/>
      <c r="E854" s="85"/>
      <c r="F854" s="85"/>
      <c r="G854" s="406" t="s">
        <v>234</v>
      </c>
      <c r="H854" s="407"/>
      <c r="I854" s="85"/>
      <c r="J854" s="83">
        <f>IF(G854=$B$998,$A$998,IF(G854=$B$999,$A$999,IF(G854=$B$1000,$A$1000,IF(G854=$B$1001,$A$1001,IF(G854=$B$1002,$A$1002,"Not Calculated")))))</f>
        <v>4</v>
      </c>
      <c r="K854" s="87"/>
    </row>
    <row r="855" spans="2:11" x14ac:dyDescent="0.2">
      <c r="B855" s="81"/>
      <c r="C855" s="85" t="s">
        <v>134</v>
      </c>
      <c r="D855" s="85"/>
      <c r="E855" s="85"/>
      <c r="F855" s="85"/>
      <c r="G855" s="85"/>
      <c r="H855" s="85"/>
      <c r="I855" s="85"/>
      <c r="J855" s="240">
        <f>'Baseline PHP'!J88</f>
        <v>0</v>
      </c>
      <c r="K855" s="87"/>
    </row>
    <row r="856" spans="2:11" x14ac:dyDescent="0.2">
      <c r="B856" s="81"/>
      <c r="C856" s="85"/>
      <c r="D856" s="85"/>
      <c r="E856" s="85"/>
      <c r="F856" s="85"/>
      <c r="G856" s="85"/>
      <c r="H856" s="85"/>
      <c r="I856" s="85"/>
      <c r="J856" s="85"/>
      <c r="K856" s="87"/>
    </row>
    <row r="857" spans="2:11" ht="16" x14ac:dyDescent="0.2">
      <c r="B857" s="81"/>
      <c r="C857" s="211" t="s">
        <v>115</v>
      </c>
      <c r="D857" s="85"/>
      <c r="E857" s="85"/>
      <c r="F857" s="85"/>
      <c r="G857" s="85"/>
      <c r="H857" s="85"/>
      <c r="I857" s="85"/>
      <c r="J857" s="85"/>
      <c r="K857" s="87"/>
    </row>
    <row r="858" spans="2:11" x14ac:dyDescent="0.2">
      <c r="B858" s="81"/>
      <c r="C858" s="85" t="s">
        <v>380</v>
      </c>
      <c r="D858" s="85"/>
      <c r="E858" s="85"/>
      <c r="F858" s="85"/>
      <c r="G858" s="406" t="s">
        <v>238</v>
      </c>
      <c r="H858" s="407"/>
      <c r="I858" s="85"/>
      <c r="J858" s="83">
        <f>IF(G858=$B$998,$A$998,IF(G858=$B$999,$A$999,IF(G858=$B$1000,$A$1000,IF(G858=$B$1001,$A$1001,IF(G858=$B$1002,$A$1002,"Not Calculated")))))</f>
        <v>3</v>
      </c>
      <c r="K858" s="87"/>
    </row>
    <row r="859" spans="2:11" x14ac:dyDescent="0.2">
      <c r="B859" s="81"/>
      <c r="C859" s="85" t="s">
        <v>134</v>
      </c>
      <c r="D859" s="85"/>
      <c r="E859" s="85"/>
      <c r="F859" s="85"/>
      <c r="G859" s="85"/>
      <c r="H859" s="85"/>
      <c r="I859" s="85"/>
      <c r="J859" s="240">
        <f>'Baseline PHP'!J102</f>
        <v>0</v>
      </c>
      <c r="K859" s="87"/>
    </row>
    <row r="860" spans="2:11" x14ac:dyDescent="0.2">
      <c r="B860" s="81"/>
      <c r="C860" s="85"/>
      <c r="D860" s="85"/>
      <c r="E860" s="85"/>
      <c r="F860" s="85"/>
      <c r="G860" s="85"/>
      <c r="H860" s="85"/>
      <c r="I860" s="85"/>
      <c r="J860" s="85"/>
      <c r="K860" s="87"/>
    </row>
    <row r="861" spans="2:11" ht="16" x14ac:dyDescent="0.2">
      <c r="B861" s="81"/>
      <c r="C861" s="211" t="s">
        <v>649</v>
      </c>
      <c r="D861" s="85"/>
      <c r="E861" s="85"/>
      <c r="F861" s="85"/>
      <c r="G861" s="85"/>
      <c r="H861" s="85"/>
      <c r="I861" s="85"/>
      <c r="J861" s="85"/>
      <c r="K861" s="87"/>
    </row>
    <row r="862" spans="2:11" x14ac:dyDescent="0.2">
      <c r="B862" s="81"/>
      <c r="C862" s="85" t="s">
        <v>380</v>
      </c>
      <c r="D862" s="85"/>
      <c r="E862" s="85"/>
      <c r="F862" s="85"/>
      <c r="G862" s="406" t="s">
        <v>236</v>
      </c>
      <c r="H862" s="407"/>
      <c r="I862" s="85"/>
      <c r="J862" s="83">
        <f>IF(G862=$B$998,$A$998,IF(G862=$B$999,$A$999,IF(G862=$B$1000,$A$1000,IF(G862=$B$1001,$A$1001,IF(G862=$B$1002,$A$1002,"Not Calculated")))))</f>
        <v>0</v>
      </c>
      <c r="K862" s="87"/>
    </row>
    <row r="863" spans="2:11" x14ac:dyDescent="0.2">
      <c r="B863" s="81"/>
      <c r="C863" s="85" t="s">
        <v>134</v>
      </c>
      <c r="D863" s="85"/>
      <c r="E863" s="85"/>
      <c r="F863" s="85"/>
      <c r="G863" s="85"/>
      <c r="H863" s="85"/>
      <c r="I863" s="85"/>
      <c r="J863" s="240">
        <f>'Baseline PHP'!J118</f>
        <v>0</v>
      </c>
      <c r="K863" s="87"/>
    </row>
    <row r="864" spans="2:11" x14ac:dyDescent="0.2">
      <c r="B864" s="81"/>
      <c r="C864" s="85"/>
      <c r="D864" s="85"/>
      <c r="E864" s="85"/>
      <c r="F864" s="85"/>
      <c r="G864" s="85"/>
      <c r="H864" s="85"/>
      <c r="I864" s="85"/>
      <c r="J864" s="85"/>
      <c r="K864" s="87"/>
    </row>
    <row r="865" spans="2:11" ht="16" x14ac:dyDescent="0.2">
      <c r="B865" s="81"/>
      <c r="C865" s="211" t="s">
        <v>656</v>
      </c>
      <c r="D865" s="85"/>
      <c r="E865" s="85"/>
      <c r="F865" s="85"/>
      <c r="G865" s="85"/>
      <c r="H865" s="85"/>
      <c r="I865" s="85"/>
      <c r="J865" s="85"/>
      <c r="K865" s="87"/>
    </row>
    <row r="866" spans="2:11" x14ac:dyDescent="0.2">
      <c r="B866" s="81"/>
      <c r="C866" s="85" t="s">
        <v>380</v>
      </c>
      <c r="D866" s="85"/>
      <c r="E866" s="85"/>
      <c r="F866" s="85"/>
      <c r="G866" s="406" t="s">
        <v>235</v>
      </c>
      <c r="H866" s="407"/>
      <c r="I866" s="85"/>
      <c r="J866" s="83">
        <f>IF(G866=$B$998,$A$998,IF(G866=$B$999,$A$999,IF(G866=$B$1000,$A$1000,IF(G866=$B$1001,$A$1001,IF(G866=$B$1002,$A$1002,"Not Calculated")))))</f>
        <v>2</v>
      </c>
      <c r="K866" s="87"/>
    </row>
    <row r="867" spans="2:11" x14ac:dyDescent="0.2">
      <c r="B867" s="81"/>
      <c r="C867" s="85" t="s">
        <v>134</v>
      </c>
      <c r="D867" s="85"/>
      <c r="E867" s="85"/>
      <c r="F867" s="85"/>
      <c r="G867" s="85"/>
      <c r="H867" s="85"/>
      <c r="I867" s="85"/>
      <c r="J867" s="240">
        <f>'Baseline PHP'!J136</f>
        <v>0</v>
      </c>
      <c r="K867" s="87"/>
    </row>
    <row r="868" spans="2:11" x14ac:dyDescent="0.2">
      <c r="B868" s="81"/>
      <c r="C868" s="85"/>
      <c r="D868" s="85"/>
      <c r="E868" s="85"/>
      <c r="F868" s="85"/>
      <c r="G868" s="85"/>
      <c r="H868" s="85"/>
      <c r="I868" s="85"/>
      <c r="J868" s="85"/>
      <c r="K868" s="87"/>
    </row>
    <row r="869" spans="2:11" ht="16" x14ac:dyDescent="0.2">
      <c r="B869" s="81"/>
      <c r="C869" s="211" t="s">
        <v>121</v>
      </c>
      <c r="D869" s="85"/>
      <c r="E869" s="85"/>
      <c r="F869" s="85"/>
      <c r="G869" s="85"/>
      <c r="H869" s="85"/>
      <c r="I869" s="85"/>
      <c r="J869" s="85"/>
      <c r="K869" s="87"/>
    </row>
    <row r="870" spans="2:11" x14ac:dyDescent="0.2">
      <c r="B870" s="81"/>
      <c r="C870" s="85" t="s">
        <v>380</v>
      </c>
      <c r="D870" s="85"/>
      <c r="E870" s="85"/>
      <c r="F870" s="85"/>
      <c r="G870" s="406" t="s">
        <v>235</v>
      </c>
      <c r="H870" s="407"/>
      <c r="I870" s="85"/>
      <c r="J870" s="83">
        <f>IF(G870=$B$998,$A$998,IF(G870=$B$999,$A$999,IF(G870=$B$1000,$A$1000,IF(G870=$B$1001,$A$1001,IF(G870=$B$1002,$A$1002,"Not Calculated")))))</f>
        <v>2</v>
      </c>
      <c r="K870" s="87"/>
    </row>
    <row r="871" spans="2:11" x14ac:dyDescent="0.2">
      <c r="B871" s="81"/>
      <c r="C871" s="85" t="s">
        <v>134</v>
      </c>
      <c r="D871" s="85"/>
      <c r="E871" s="85"/>
      <c r="F871" s="85"/>
      <c r="G871" s="85"/>
      <c r="H871" s="85"/>
      <c r="I871" s="85"/>
      <c r="J871" s="240">
        <f>'Baseline PHP'!J150</f>
        <v>0</v>
      </c>
      <c r="K871" s="87"/>
    </row>
    <row r="872" spans="2:11" x14ac:dyDescent="0.2">
      <c r="B872" s="81"/>
      <c r="C872" s="85"/>
      <c r="D872" s="85"/>
      <c r="E872" s="85"/>
      <c r="F872" s="85"/>
      <c r="G872" s="85"/>
      <c r="H872" s="85"/>
      <c r="I872" s="85"/>
      <c r="J872" s="85"/>
      <c r="K872" s="87"/>
    </row>
    <row r="873" spans="2:11" ht="16" x14ac:dyDescent="0.2">
      <c r="B873" s="81"/>
      <c r="C873" s="211" t="s">
        <v>657</v>
      </c>
      <c r="D873" s="85"/>
      <c r="E873" s="85"/>
      <c r="F873" s="85"/>
      <c r="G873" s="85"/>
      <c r="H873" s="85"/>
      <c r="I873" s="85"/>
      <c r="J873" s="85"/>
      <c r="K873" s="87"/>
    </row>
    <row r="874" spans="2:11" x14ac:dyDescent="0.2">
      <c r="B874" s="81"/>
      <c r="C874" s="85" t="s">
        <v>380</v>
      </c>
      <c r="D874" s="85"/>
      <c r="E874" s="85"/>
      <c r="F874" s="85"/>
      <c r="G874" s="406" t="s">
        <v>236</v>
      </c>
      <c r="H874" s="407"/>
      <c r="I874" s="85"/>
      <c r="J874" s="83">
        <f>IF(G874=$B$998,$A$998,IF(G874=$B$999,$A$999,IF(G874=$B$1000,$A$1000,IF(G874=$B$1001,$A$1001,IF(G874=$B$1002,$A$1002,"Not Calculated")))))</f>
        <v>0</v>
      </c>
      <c r="K874" s="87"/>
    </row>
    <row r="875" spans="2:11" x14ac:dyDescent="0.2">
      <c r="B875" s="81"/>
      <c r="C875" s="85" t="s">
        <v>134</v>
      </c>
      <c r="D875" s="85"/>
      <c r="E875" s="85"/>
      <c r="F875" s="85"/>
      <c r="G875" s="85"/>
      <c r="H875" s="85"/>
      <c r="I875" s="85"/>
      <c r="J875" s="240">
        <f>'Baseline PHP'!J164</f>
        <v>0</v>
      </c>
      <c r="K875" s="87"/>
    </row>
    <row r="876" spans="2:11" x14ac:dyDescent="0.2">
      <c r="B876" s="81"/>
      <c r="C876" s="85"/>
      <c r="D876" s="85"/>
      <c r="E876" s="85"/>
      <c r="F876" s="85"/>
      <c r="G876" s="85"/>
      <c r="H876" s="85"/>
      <c r="I876" s="85"/>
      <c r="J876" s="85"/>
      <c r="K876" s="87"/>
    </row>
    <row r="877" spans="2:11" ht="16" x14ac:dyDescent="0.2">
      <c r="B877" s="81"/>
      <c r="C877" s="211" t="s">
        <v>650</v>
      </c>
      <c r="D877" s="85"/>
      <c r="E877" s="85"/>
      <c r="F877" s="85"/>
      <c r="G877" s="85"/>
      <c r="H877" s="85"/>
      <c r="I877" s="85"/>
      <c r="J877" s="85"/>
      <c r="K877" s="87"/>
    </row>
    <row r="878" spans="2:11" x14ac:dyDescent="0.2">
      <c r="B878" s="81"/>
      <c r="C878" s="85" t="s">
        <v>380</v>
      </c>
      <c r="D878" s="85"/>
      <c r="E878" s="85"/>
      <c r="F878" s="85"/>
      <c r="G878" s="406" t="s">
        <v>237</v>
      </c>
      <c r="H878" s="407"/>
      <c r="I878" s="85"/>
      <c r="J878" s="83">
        <f>IF(G878=$B$998,$A$998,IF(G878=$B$999,$A$999,IF(G878=$B$1000,$A$1000,IF(G878=$B$1001,$A$1001,IF(G878=$B$1002,$A$1002,"Not Calculated")))))</f>
        <v>1</v>
      </c>
      <c r="K878" s="87"/>
    </row>
    <row r="879" spans="2:11" x14ac:dyDescent="0.2">
      <c r="B879" s="81"/>
      <c r="C879" s="85" t="s">
        <v>134</v>
      </c>
      <c r="D879" s="85"/>
      <c r="E879" s="85"/>
      <c r="F879" s="85"/>
      <c r="G879" s="85"/>
      <c r="H879" s="85"/>
      <c r="I879" s="85"/>
      <c r="J879" s="240">
        <f>'Baseline PHP'!J180</f>
        <v>0</v>
      </c>
      <c r="K879" s="87"/>
    </row>
    <row r="880" spans="2:11" x14ac:dyDescent="0.2">
      <c r="B880" s="81"/>
      <c r="C880" s="85"/>
      <c r="D880" s="85"/>
      <c r="E880" s="85"/>
      <c r="F880" s="85"/>
      <c r="G880" s="85"/>
      <c r="H880" s="85"/>
      <c r="I880" s="85"/>
      <c r="J880" s="85"/>
      <c r="K880" s="87"/>
    </row>
    <row r="881" spans="2:11" ht="16" x14ac:dyDescent="0.2">
      <c r="B881" s="81"/>
      <c r="C881" s="211" t="s">
        <v>651</v>
      </c>
      <c r="D881" s="85"/>
      <c r="E881" s="85"/>
      <c r="F881" s="85"/>
      <c r="G881" s="85"/>
      <c r="H881" s="85"/>
      <c r="I881" s="85"/>
      <c r="J881" s="85"/>
      <c r="K881" s="87"/>
    </row>
    <row r="882" spans="2:11" x14ac:dyDescent="0.2">
      <c r="B882" s="81"/>
      <c r="C882" s="85" t="s">
        <v>380</v>
      </c>
      <c r="D882" s="85"/>
      <c r="E882" s="85"/>
      <c r="F882" s="85"/>
      <c r="G882" s="406" t="s">
        <v>235</v>
      </c>
      <c r="H882" s="407"/>
      <c r="I882" s="85"/>
      <c r="J882" s="83">
        <f>IF(G882=$B$998,$A$998,IF(G882=$B$999,$A$999,IF(G882=$B$1000,$A$1000,IF(G882=$B$1001,$A$1001,IF(G882=$B$1002,$A$1002,"Not Calculated")))))</f>
        <v>2</v>
      </c>
      <c r="K882" s="87"/>
    </row>
    <row r="883" spans="2:11" x14ac:dyDescent="0.2">
      <c r="B883" s="81"/>
      <c r="C883" s="85" t="s">
        <v>134</v>
      </c>
      <c r="D883" s="85"/>
      <c r="E883" s="85"/>
      <c r="F883" s="85"/>
      <c r="G883" s="85"/>
      <c r="H883" s="85"/>
      <c r="I883" s="85"/>
      <c r="J883" s="240">
        <f>'Baseline PHP'!J194</f>
        <v>0</v>
      </c>
      <c r="K883" s="87"/>
    </row>
    <row r="884" spans="2:11" x14ac:dyDescent="0.2">
      <c r="B884" s="81"/>
      <c r="C884" s="85"/>
      <c r="D884" s="85"/>
      <c r="E884" s="85"/>
      <c r="F884" s="85"/>
      <c r="G884" s="85"/>
      <c r="H884" s="85"/>
      <c r="I884" s="85"/>
      <c r="J884" s="85"/>
      <c r="K884" s="87"/>
    </row>
    <row r="885" spans="2:11" ht="16" x14ac:dyDescent="0.2">
      <c r="B885" s="81"/>
      <c r="C885" s="211" t="s">
        <v>652</v>
      </c>
      <c r="D885" s="85"/>
      <c r="E885" s="85"/>
      <c r="F885" s="85"/>
      <c r="G885" s="85"/>
      <c r="H885" s="85"/>
      <c r="I885" s="85"/>
      <c r="J885" s="85"/>
      <c r="K885" s="87"/>
    </row>
    <row r="886" spans="2:11" x14ac:dyDescent="0.2">
      <c r="B886" s="81"/>
      <c r="C886" s="85" t="s">
        <v>380</v>
      </c>
      <c r="D886" s="85"/>
      <c r="E886" s="85"/>
      <c r="F886" s="85"/>
      <c r="G886" s="406" t="s">
        <v>235</v>
      </c>
      <c r="H886" s="407"/>
      <c r="I886" s="85"/>
      <c r="J886" s="83">
        <f>IF(G886=$B$998,$A$998,IF(G886=$B$999,$A$999,IF(G886=$B$1000,$A$1000,IF(G886=$B$1001,$A$1001,IF(G886=$B$1002,$A$1002,"Not Calculated")))))</f>
        <v>2</v>
      </c>
      <c r="K886" s="87"/>
    </row>
    <row r="887" spans="2:11" x14ac:dyDescent="0.2">
      <c r="B887" s="81"/>
      <c r="C887" s="85" t="s">
        <v>134</v>
      </c>
      <c r="D887" s="85"/>
      <c r="E887" s="85"/>
      <c r="F887" s="85"/>
      <c r="G887" s="85"/>
      <c r="H887" s="85"/>
      <c r="I887" s="85"/>
      <c r="J887" s="240">
        <f>'Baseline PHP'!J208</f>
        <v>0</v>
      </c>
      <c r="K887" s="87"/>
    </row>
    <row r="888" spans="2:11" x14ac:dyDescent="0.2">
      <c r="B888" s="81"/>
      <c r="C888" s="85"/>
      <c r="D888" s="85"/>
      <c r="E888" s="85"/>
      <c r="F888" s="85"/>
      <c r="G888" s="85"/>
      <c r="H888" s="85"/>
      <c r="I888" s="85"/>
      <c r="J888" s="85"/>
      <c r="K888" s="87"/>
    </row>
    <row r="889" spans="2:11" ht="16" x14ac:dyDescent="0.2">
      <c r="B889" s="81"/>
      <c r="C889" s="211" t="s">
        <v>653</v>
      </c>
      <c r="D889" s="85"/>
      <c r="E889" s="85"/>
      <c r="F889" s="85"/>
      <c r="G889" s="85"/>
      <c r="H889" s="85"/>
      <c r="I889" s="85"/>
      <c r="J889" s="85"/>
      <c r="K889" s="87"/>
    </row>
    <row r="890" spans="2:11" x14ac:dyDescent="0.2">
      <c r="B890" s="81"/>
      <c r="C890" s="85" t="s">
        <v>380</v>
      </c>
      <c r="D890" s="85"/>
      <c r="E890" s="85"/>
      <c r="F890" s="85"/>
      <c r="G890" s="406" t="s">
        <v>238</v>
      </c>
      <c r="H890" s="407"/>
      <c r="I890" s="85"/>
      <c r="J890" s="83">
        <f>IF(G890=$B$998,$A$998,IF(G890=$B$999,$A$999,IF(G890=$B$1000,$A$1000,IF(G890=$B$1001,$A$1001,IF(G890=$B$1002,$A$1002,"Not Calculated")))))</f>
        <v>3</v>
      </c>
      <c r="K890" s="87"/>
    </row>
    <row r="891" spans="2:11" x14ac:dyDescent="0.2">
      <c r="B891" s="81"/>
      <c r="C891" s="85" t="s">
        <v>134</v>
      </c>
      <c r="D891" s="85"/>
      <c r="E891" s="85"/>
      <c r="F891" s="85"/>
      <c r="G891" s="85"/>
      <c r="H891" s="85"/>
      <c r="I891" s="85"/>
      <c r="J891" s="240">
        <f>'Baseline PHP'!J222</f>
        <v>0</v>
      </c>
      <c r="K891" s="87"/>
    </row>
    <row r="892" spans="2:11" x14ac:dyDescent="0.2">
      <c r="B892" s="81"/>
      <c r="C892" s="85"/>
      <c r="D892" s="85"/>
      <c r="E892" s="85"/>
      <c r="F892" s="85"/>
      <c r="G892" s="85"/>
      <c r="H892" s="85"/>
      <c r="I892" s="85"/>
      <c r="J892" s="85"/>
      <c r="K892" s="87"/>
    </row>
    <row r="893" spans="2:11" x14ac:dyDescent="0.2">
      <c r="B893" s="81"/>
      <c r="C893" s="85"/>
      <c r="D893" s="85"/>
      <c r="E893" s="85"/>
      <c r="F893" s="85"/>
      <c r="G893" s="85"/>
      <c r="H893" s="85"/>
      <c r="I893" s="85"/>
      <c r="J893" s="85"/>
      <c r="K893" s="87"/>
    </row>
    <row r="894" spans="2:11" ht="16" x14ac:dyDescent="0.2">
      <c r="B894" s="81"/>
      <c r="C894" s="212" t="s">
        <v>813</v>
      </c>
      <c r="D894" s="85"/>
      <c r="E894" s="85"/>
      <c r="F894" s="85"/>
      <c r="G894" s="85"/>
      <c r="H894" s="85"/>
      <c r="I894" s="85"/>
      <c r="J894" s="241">
        <f>IF(OR(J854="Not Calculated",J858="Not Calculated",J862="Not Calculated",J866="Not Calculated",J870="Not Calculated",J874="Not Calculated",J878="Not Calculated",J882="Not Calculated",J886="Not Calculated",J890="Not Calculated",J834="Not Calculated",J838="Not Calculated",J842="Not Calculated",J846="Not Calculated",J850="Not Calculated",J855="Not Calculated",J859="Not Calculated",J863="Not Calculated",J867="Not Calculated",J871="Not Calculated",J875="Not Calculated",J879="Not Calculated",J883="Not Calculated",J887="Not Calculated",J891="Not Calculated",J835="Not Calculated",J839="Not Calculated",J843="Not Calculated",J847="Not Calculated",J851="Not Calculated")=TRUE,"Not Calculated",((J834*J835)+(J838*J839)+(J842*J843)+(J846*J847)+(J850*J851)+(J854*J855)+(J858*J859)+(J862*J863)+(J866*J867)+(J870*J871)+(J874*J875)+(J878*J879)+(J882*J883)+(J886*J887)+(J890*J891))/(J834+J838+J842+J846+J850+J854+J858+J862+J866+J870+J874+J878+J882+J886+J890))</f>
        <v>0</v>
      </c>
      <c r="K894" s="87"/>
    </row>
    <row r="895" spans="2:11" ht="16" thickBot="1" x14ac:dyDescent="0.25">
      <c r="B895" s="213"/>
      <c r="C895" s="94"/>
      <c r="D895" s="94"/>
      <c r="E895" s="94"/>
      <c r="F895" s="94"/>
      <c r="G895" s="94"/>
      <c r="H895" s="94"/>
      <c r="I895" s="94"/>
      <c r="J895" s="94"/>
      <c r="K895" s="96"/>
    </row>
    <row r="896" spans="2:11" ht="16" thickBot="1" x14ac:dyDescent="0.25"/>
    <row r="897" spans="2:11" x14ac:dyDescent="0.2">
      <c r="B897" s="77"/>
      <c r="C897" s="78"/>
      <c r="D897" s="78"/>
      <c r="E897" s="78"/>
      <c r="F897" s="78"/>
      <c r="G897" s="78"/>
      <c r="H897" s="78"/>
      <c r="I897" s="78"/>
      <c r="J897" s="78"/>
      <c r="K897" s="80"/>
    </row>
    <row r="898" spans="2:11" ht="21" x14ac:dyDescent="0.25">
      <c r="B898" s="81"/>
      <c r="C898" s="85"/>
      <c r="D898" s="85"/>
      <c r="E898" s="85"/>
      <c r="F898" s="85"/>
      <c r="G898" s="210" t="s">
        <v>807</v>
      </c>
      <c r="H898" s="85"/>
      <c r="I898" s="85"/>
      <c r="J898" s="85"/>
      <c r="K898" s="87"/>
    </row>
    <row r="899" spans="2:11" x14ac:dyDescent="0.2">
      <c r="B899" s="81"/>
      <c r="C899" s="85"/>
      <c r="D899" s="85"/>
      <c r="E899" s="85"/>
      <c r="F899" s="85"/>
      <c r="G899" s="85"/>
      <c r="H899" s="85"/>
      <c r="I899" s="85"/>
      <c r="J899" s="85"/>
      <c r="K899" s="87"/>
    </row>
    <row r="900" spans="2:11" ht="15" customHeight="1" x14ac:dyDescent="0.2">
      <c r="B900" s="81"/>
      <c r="C900" s="424" t="s">
        <v>809</v>
      </c>
      <c r="D900" s="424"/>
      <c r="E900" s="424"/>
      <c r="F900" s="424"/>
      <c r="G900" s="424"/>
      <c r="H900" s="424"/>
      <c r="I900" s="424"/>
      <c r="J900" s="424"/>
      <c r="K900" s="87"/>
    </row>
    <row r="901" spans="2:11" x14ac:dyDescent="0.2">
      <c r="B901" s="81"/>
      <c r="C901" s="424"/>
      <c r="D901" s="424"/>
      <c r="E901" s="424"/>
      <c r="F901" s="424"/>
      <c r="G901" s="424"/>
      <c r="H901" s="424"/>
      <c r="I901" s="424"/>
      <c r="J901" s="424"/>
      <c r="K901" s="87"/>
    </row>
    <row r="902" spans="2:11" x14ac:dyDescent="0.2">
      <c r="B902" s="81"/>
      <c r="C902" s="85"/>
      <c r="D902" s="85"/>
      <c r="E902" s="85"/>
      <c r="F902" s="85"/>
      <c r="G902" s="85"/>
      <c r="H902" s="85"/>
      <c r="I902" s="85"/>
      <c r="J902" s="85"/>
      <c r="K902" s="87"/>
    </row>
    <row r="903" spans="2:11" ht="16" x14ac:dyDescent="0.2">
      <c r="B903" s="81"/>
      <c r="C903" s="211" t="s">
        <v>810</v>
      </c>
      <c r="D903" s="85"/>
      <c r="E903" s="85"/>
      <c r="F903" s="85"/>
      <c r="G903" s="85"/>
      <c r="H903" s="85"/>
      <c r="I903" s="85"/>
      <c r="J903" s="85"/>
      <c r="K903" s="87"/>
    </row>
    <row r="904" spans="2:11" x14ac:dyDescent="0.2">
      <c r="B904" s="81"/>
      <c r="C904" s="85" t="s">
        <v>380</v>
      </c>
      <c r="D904" s="85"/>
      <c r="E904" s="85"/>
      <c r="F904" s="85"/>
      <c r="G904" s="406" t="s">
        <v>234</v>
      </c>
      <c r="H904" s="407"/>
      <c r="I904" s="85"/>
      <c r="J904" s="83">
        <f>IF(G904=$B$998,$A$998,IF(G904=$B$999,$A$999,IF(G904=$B$1000,$A$1000,IF(G904=$B$1001,$A$1001,IF(G904=$B$1002,$A$1002,"Not Calculated")))))</f>
        <v>4</v>
      </c>
      <c r="K904" s="87"/>
    </row>
    <row r="905" spans="2:11" x14ac:dyDescent="0.2">
      <c r="B905" s="81"/>
      <c r="C905" s="85" t="s">
        <v>134</v>
      </c>
      <c r="D905" s="85"/>
      <c r="E905" s="85"/>
      <c r="F905" s="85"/>
      <c r="G905" s="85"/>
      <c r="H905" s="85"/>
      <c r="I905" s="85"/>
      <c r="J905" s="240">
        <f>'Baseline HP'!J22</f>
        <v>0</v>
      </c>
      <c r="K905" s="87"/>
    </row>
    <row r="906" spans="2:11" x14ac:dyDescent="0.2">
      <c r="B906" s="81"/>
      <c r="C906" s="85"/>
      <c r="D906" s="85"/>
      <c r="E906" s="85"/>
      <c r="F906" s="85"/>
      <c r="G906" s="85"/>
      <c r="H906" s="85"/>
      <c r="I906" s="85"/>
      <c r="J906" s="85"/>
      <c r="K906" s="87"/>
    </row>
    <row r="907" spans="2:11" ht="16" x14ac:dyDescent="0.2">
      <c r="B907" s="81"/>
      <c r="C907" s="211" t="s">
        <v>811</v>
      </c>
      <c r="D907" s="85"/>
      <c r="E907" s="85"/>
      <c r="F907" s="85"/>
      <c r="G907" s="85"/>
      <c r="H907" s="85"/>
      <c r="I907" s="85"/>
      <c r="J907" s="85"/>
      <c r="K907" s="87"/>
    </row>
    <row r="908" spans="2:11" x14ac:dyDescent="0.2">
      <c r="B908" s="81"/>
      <c r="C908" s="85" t="s">
        <v>380</v>
      </c>
      <c r="D908" s="85"/>
      <c r="E908" s="85"/>
      <c r="F908" s="85"/>
      <c r="G908" s="406" t="s">
        <v>234</v>
      </c>
      <c r="H908" s="407"/>
      <c r="I908" s="85"/>
      <c r="J908" s="83">
        <f>IF(G908=$B$998,$A$998,IF(G908=$B$999,$A$999,IF(G908=$B$1000,$A$1000,IF(G908=$B$1001,$A$1001,IF(G908=$B$1002,$A$1002,"Not Calculated")))))</f>
        <v>4</v>
      </c>
      <c r="K908" s="87"/>
    </row>
    <row r="909" spans="2:11" x14ac:dyDescent="0.2">
      <c r="B909" s="81"/>
      <c r="C909" s="85" t="s">
        <v>134</v>
      </c>
      <c r="D909" s="85"/>
      <c r="E909" s="85"/>
      <c r="F909" s="85"/>
      <c r="G909" s="85"/>
      <c r="H909" s="85"/>
      <c r="I909" s="85"/>
      <c r="J909" s="240">
        <f>'Baseline HP'!J32</f>
        <v>0</v>
      </c>
      <c r="K909" s="87"/>
    </row>
    <row r="910" spans="2:11" x14ac:dyDescent="0.2">
      <c r="B910" s="81"/>
      <c r="C910" s="85"/>
      <c r="D910" s="85"/>
      <c r="E910" s="85"/>
      <c r="F910" s="85"/>
      <c r="G910" s="85"/>
      <c r="H910" s="85"/>
      <c r="I910" s="85"/>
      <c r="J910" s="85"/>
      <c r="K910" s="87"/>
    </row>
    <row r="911" spans="2:11" ht="16" x14ac:dyDescent="0.2">
      <c r="B911" s="81"/>
      <c r="C911" s="211" t="s">
        <v>645</v>
      </c>
      <c r="D911" s="85"/>
      <c r="E911" s="85"/>
      <c r="F911" s="85"/>
      <c r="G911" s="85"/>
      <c r="H911" s="85"/>
      <c r="I911" s="85"/>
      <c r="J911" s="85"/>
      <c r="K911" s="87"/>
    </row>
    <row r="912" spans="2:11" x14ac:dyDescent="0.2">
      <c r="B912" s="81"/>
      <c r="C912" s="85" t="s">
        <v>380</v>
      </c>
      <c r="D912" s="85"/>
      <c r="E912" s="85"/>
      <c r="F912" s="85"/>
      <c r="G912" s="406" t="s">
        <v>234</v>
      </c>
      <c r="H912" s="407"/>
      <c r="I912" s="85"/>
      <c r="J912" s="83">
        <f>IF(G912=$B$998,$A$998,IF(G912=$B$999,$A$999,IF(G912=$B$1000,$A$1000,IF(G912=$B$1001,$A$1001,IF(G912=$B$1002,$A$1002,"Not Calculated")))))</f>
        <v>4</v>
      </c>
      <c r="K912" s="87"/>
    </row>
    <row r="913" spans="2:11" x14ac:dyDescent="0.2">
      <c r="B913" s="81"/>
      <c r="C913" s="85" t="s">
        <v>134</v>
      </c>
      <c r="D913" s="85"/>
      <c r="E913" s="85"/>
      <c r="F913" s="85"/>
      <c r="G913" s="85"/>
      <c r="H913" s="85"/>
      <c r="I913" s="85"/>
      <c r="J913" s="240">
        <f>'Baseline HP'!J46</f>
        <v>0</v>
      </c>
      <c r="K913" s="87"/>
    </row>
    <row r="914" spans="2:11" x14ac:dyDescent="0.2">
      <c r="B914" s="81"/>
      <c r="C914" s="85"/>
      <c r="D914" s="85"/>
      <c r="E914" s="85"/>
      <c r="F914" s="85"/>
      <c r="G914" s="85"/>
      <c r="H914" s="85"/>
      <c r="I914" s="85"/>
      <c r="J914" s="85"/>
      <c r="K914" s="87"/>
    </row>
    <row r="915" spans="2:11" ht="16" x14ac:dyDescent="0.2">
      <c r="B915" s="81"/>
      <c r="C915" s="211" t="s">
        <v>648</v>
      </c>
      <c r="D915" s="85"/>
      <c r="E915" s="85"/>
      <c r="F915" s="85"/>
      <c r="G915" s="85"/>
      <c r="H915" s="85"/>
      <c r="I915" s="85"/>
      <c r="J915" s="85"/>
      <c r="K915" s="87"/>
    </row>
    <row r="916" spans="2:11" ht="15" customHeight="1" x14ac:dyDescent="0.2">
      <c r="B916" s="81"/>
      <c r="C916" s="85" t="s">
        <v>380</v>
      </c>
      <c r="D916" s="85"/>
      <c r="E916" s="85"/>
      <c r="F916" s="85"/>
      <c r="G916" s="406" t="s">
        <v>237</v>
      </c>
      <c r="H916" s="407"/>
      <c r="I916" s="85"/>
      <c r="J916" s="83">
        <f>IF(G916=$B$998,$A$998,IF(G916=$B$999,$A$999,IF(G916=$B$1000,$A$1000,IF(G916=$B$1001,$A$1001,IF(G916=$B$1002,$A$1002,"Not Calculated")))))</f>
        <v>1</v>
      </c>
      <c r="K916" s="87"/>
    </row>
    <row r="917" spans="2:11" x14ac:dyDescent="0.2">
      <c r="B917" s="81"/>
      <c r="C917" s="85" t="s">
        <v>134</v>
      </c>
      <c r="D917" s="85"/>
      <c r="E917" s="85"/>
      <c r="F917" s="85"/>
      <c r="G917" s="85"/>
      <c r="H917" s="85"/>
      <c r="I917" s="85"/>
      <c r="J917" s="240">
        <f>'Baseline HP'!J58</f>
        <v>0</v>
      </c>
      <c r="K917" s="87"/>
    </row>
    <row r="918" spans="2:11" x14ac:dyDescent="0.2">
      <c r="B918" s="81"/>
      <c r="C918" s="85"/>
      <c r="D918" s="85"/>
      <c r="E918" s="85"/>
      <c r="F918" s="85"/>
      <c r="G918" s="85"/>
      <c r="H918" s="85"/>
      <c r="I918" s="85"/>
      <c r="J918" s="85"/>
      <c r="K918" s="87"/>
    </row>
    <row r="919" spans="2:11" ht="16" x14ac:dyDescent="0.2">
      <c r="B919" s="81"/>
      <c r="C919" s="211" t="s">
        <v>647</v>
      </c>
      <c r="D919" s="85"/>
      <c r="E919" s="85"/>
      <c r="F919" s="85"/>
      <c r="G919" s="85"/>
      <c r="H919" s="85"/>
      <c r="I919" s="85"/>
      <c r="J919" s="85"/>
      <c r="K919" s="87"/>
    </row>
    <row r="920" spans="2:11" x14ac:dyDescent="0.2">
      <c r="B920" s="81"/>
      <c r="C920" s="85" t="s">
        <v>380</v>
      </c>
      <c r="D920" s="85"/>
      <c r="E920" s="85"/>
      <c r="F920" s="85"/>
      <c r="G920" s="406" t="s">
        <v>234</v>
      </c>
      <c r="H920" s="407"/>
      <c r="I920" s="85"/>
      <c r="J920" s="83">
        <f>IF(G920=$B$998,$A$998,IF(G920=$B$999,$A$999,IF(G920=$B$1000,$A$1000,IF(G920=$B$1001,$A$1001,IF(G920=$B$1002,$A$1002,"Not Calculated")))))</f>
        <v>4</v>
      </c>
      <c r="K920" s="87"/>
    </row>
    <row r="921" spans="2:11" x14ac:dyDescent="0.2">
      <c r="B921" s="81"/>
      <c r="C921" s="85" t="s">
        <v>134</v>
      </c>
      <c r="D921" s="85"/>
      <c r="E921" s="85"/>
      <c r="F921" s="85"/>
      <c r="G921" s="85"/>
      <c r="H921" s="85"/>
      <c r="I921" s="85"/>
      <c r="J921" s="240">
        <f>'Baseline HP'!J68</f>
        <v>0</v>
      </c>
      <c r="K921" s="87"/>
    </row>
    <row r="922" spans="2:11" x14ac:dyDescent="0.2">
      <c r="B922" s="81"/>
      <c r="C922" s="85"/>
      <c r="D922" s="85"/>
      <c r="E922" s="85"/>
      <c r="F922" s="85"/>
      <c r="G922" s="85"/>
      <c r="H922" s="85"/>
      <c r="I922" s="85"/>
      <c r="J922" s="85"/>
      <c r="K922" s="87"/>
    </row>
    <row r="923" spans="2:11" ht="16" x14ac:dyDescent="0.2">
      <c r="B923" s="81"/>
      <c r="C923" s="211" t="s">
        <v>121</v>
      </c>
      <c r="D923" s="85"/>
      <c r="E923" s="85"/>
      <c r="F923" s="85"/>
      <c r="G923" s="85"/>
      <c r="H923" s="85"/>
      <c r="I923" s="85"/>
      <c r="J923" s="85"/>
      <c r="K923" s="87"/>
    </row>
    <row r="924" spans="2:11" x14ac:dyDescent="0.2">
      <c r="B924" s="81"/>
      <c r="C924" s="85" t="s">
        <v>380</v>
      </c>
      <c r="D924" s="85"/>
      <c r="E924" s="85"/>
      <c r="F924" s="85"/>
      <c r="G924" s="406" t="s">
        <v>235</v>
      </c>
      <c r="H924" s="407"/>
      <c r="I924" s="85"/>
      <c r="J924" s="83">
        <f>IF(G924=$B$998,$A$998,IF(G924=$B$999,$A$999,IF(G924=$B$1000,$A$1000,IF(G924=$B$1001,$A$1001,IF(G924=$B$1002,$A$1002,"Not Calculated")))))</f>
        <v>2</v>
      </c>
      <c r="K924" s="87"/>
    </row>
    <row r="925" spans="2:11" x14ac:dyDescent="0.2">
      <c r="B925" s="81"/>
      <c r="C925" s="85" t="s">
        <v>134</v>
      </c>
      <c r="D925" s="85"/>
      <c r="E925" s="85"/>
      <c r="F925" s="85"/>
      <c r="G925" s="85"/>
      <c r="H925" s="85"/>
      <c r="I925" s="85"/>
      <c r="J925" s="240">
        <f>'Baseline HP'!J84</f>
        <v>0</v>
      </c>
      <c r="K925" s="87"/>
    </row>
    <row r="926" spans="2:11" x14ac:dyDescent="0.2">
      <c r="B926" s="81"/>
      <c r="C926" s="85"/>
      <c r="D926" s="85"/>
      <c r="E926" s="85"/>
      <c r="F926" s="85"/>
      <c r="G926" s="85"/>
      <c r="H926" s="85"/>
      <c r="I926" s="85"/>
      <c r="J926" s="85"/>
      <c r="K926" s="87"/>
    </row>
    <row r="927" spans="2:11" ht="16" x14ac:dyDescent="0.2">
      <c r="B927" s="81"/>
      <c r="C927" s="211" t="s">
        <v>652</v>
      </c>
      <c r="D927" s="85"/>
      <c r="E927" s="85"/>
      <c r="F927" s="85"/>
      <c r="G927" s="85"/>
      <c r="H927" s="85"/>
      <c r="I927" s="85"/>
      <c r="J927" s="85"/>
      <c r="K927" s="87"/>
    </row>
    <row r="928" spans="2:11" x14ac:dyDescent="0.2">
      <c r="B928" s="81"/>
      <c r="C928" s="85" t="s">
        <v>380</v>
      </c>
      <c r="D928" s="85"/>
      <c r="E928" s="85"/>
      <c r="F928" s="85"/>
      <c r="G928" s="406" t="s">
        <v>235</v>
      </c>
      <c r="H928" s="407"/>
      <c r="I928" s="85"/>
      <c r="J928" s="83">
        <f>IF(G928=$B$998,$A$998,IF(G928=$B$999,$A$999,IF(G928=$B$1000,$A$1000,IF(G928=$B$1001,$A$1001,IF(G928=$B$1002,$A$1002,"Not Calculated")))))</f>
        <v>2</v>
      </c>
      <c r="K928" s="87"/>
    </row>
    <row r="929" spans="2:11" x14ac:dyDescent="0.2">
      <c r="B929" s="81"/>
      <c r="C929" s="85" t="s">
        <v>134</v>
      </c>
      <c r="D929" s="85"/>
      <c r="E929" s="85"/>
      <c r="F929" s="85"/>
      <c r="G929" s="85"/>
      <c r="H929" s="85"/>
      <c r="I929" s="85"/>
      <c r="J929" s="240">
        <f>'Baseline HP'!J94</f>
        <v>0</v>
      </c>
      <c r="K929" s="87"/>
    </row>
    <row r="930" spans="2:11" x14ac:dyDescent="0.2">
      <c r="B930" s="81"/>
      <c r="C930" s="85"/>
      <c r="D930" s="85"/>
      <c r="E930" s="85"/>
      <c r="F930" s="85"/>
      <c r="G930" s="85"/>
      <c r="H930" s="85"/>
      <c r="I930" s="85"/>
      <c r="J930" s="85"/>
      <c r="K930" s="87"/>
    </row>
    <row r="931" spans="2:11" ht="16" x14ac:dyDescent="0.2">
      <c r="B931" s="81"/>
      <c r="C931" s="211" t="s">
        <v>653</v>
      </c>
      <c r="D931" s="85"/>
      <c r="E931" s="85"/>
      <c r="F931" s="85"/>
      <c r="G931" s="85"/>
      <c r="H931" s="85"/>
      <c r="I931" s="85"/>
      <c r="J931" s="85"/>
      <c r="K931" s="87"/>
    </row>
    <row r="932" spans="2:11" x14ac:dyDescent="0.2">
      <c r="B932" s="81"/>
      <c r="C932" s="85" t="s">
        <v>380</v>
      </c>
      <c r="D932" s="85"/>
      <c r="E932" s="85"/>
      <c r="F932" s="85"/>
      <c r="G932" s="406" t="s">
        <v>238</v>
      </c>
      <c r="H932" s="407"/>
      <c r="I932" s="85"/>
      <c r="J932" s="83">
        <f>IF(G932=$B$998,$A$998,IF(G932=$B$999,$A$999,IF(G932=$B$1000,$A$1000,IF(G932=$B$1001,$A$1001,IF(G932=$B$1002,$A$1002,"Not Calculated")))))</f>
        <v>3</v>
      </c>
      <c r="K932" s="87"/>
    </row>
    <row r="933" spans="2:11" x14ac:dyDescent="0.2">
      <c r="B933" s="81"/>
      <c r="C933" s="85" t="s">
        <v>134</v>
      </c>
      <c r="D933" s="85"/>
      <c r="E933" s="85"/>
      <c r="F933" s="85"/>
      <c r="G933" s="85"/>
      <c r="H933" s="85"/>
      <c r="I933" s="85"/>
      <c r="J933" s="240">
        <f>'Baseline HP'!J108</f>
        <v>0</v>
      </c>
      <c r="K933" s="87"/>
    </row>
    <row r="934" spans="2:11" x14ac:dyDescent="0.2">
      <c r="B934" s="81"/>
      <c r="C934" s="85"/>
      <c r="D934" s="85"/>
      <c r="E934" s="85"/>
      <c r="F934" s="85"/>
      <c r="G934" s="85"/>
      <c r="H934" s="85"/>
      <c r="I934" s="85"/>
      <c r="J934" s="85"/>
      <c r="K934" s="87"/>
    </row>
    <row r="935" spans="2:11" x14ac:dyDescent="0.2">
      <c r="B935" s="81"/>
      <c r="C935" s="85"/>
      <c r="D935" s="85"/>
      <c r="E935" s="85"/>
      <c r="F935" s="85"/>
      <c r="G935" s="85"/>
      <c r="H935" s="85"/>
      <c r="I935" s="85"/>
      <c r="J935" s="85"/>
      <c r="K935" s="87"/>
    </row>
    <row r="936" spans="2:11" ht="16" x14ac:dyDescent="0.2">
      <c r="B936" s="81"/>
      <c r="C936" s="212" t="s">
        <v>812</v>
      </c>
      <c r="D936" s="85"/>
      <c r="E936" s="85"/>
      <c r="F936" s="85"/>
      <c r="G936" s="85"/>
      <c r="H936" s="85"/>
      <c r="I936" s="85"/>
      <c r="J936" s="241">
        <f>IF(OR(J920="Not Calculated",J924="Not Calculated",J928="Not Calculated",J932="Not Calculated",J904="Not Calculated",J908="Not Calculated",J912="Not Calculated",J916="Not Calculated",J921="Not Calculated",J925="Not Calculated",J929="Not Calculated",J933="Not Calculated",J905="Not Calculated",J909="Not Calculated",J913="Not Calculated",J917="Not Calculated")=TRUE,"Not Calculated",((J904*J905)+(J908*J909)+(J912*J913)+(J916*J917)+(J920*J921)+(J924*J925)+(J928*J929)+(J932*J933))/(J904+J908+J912+J916+J920+J924+J928+J932))</f>
        <v>0</v>
      </c>
      <c r="K936" s="87"/>
    </row>
    <row r="937" spans="2:11" ht="16" thickBot="1" x14ac:dyDescent="0.25">
      <c r="B937" s="213"/>
      <c r="C937" s="94"/>
      <c r="D937" s="94"/>
      <c r="E937" s="94"/>
      <c r="F937" s="94"/>
      <c r="G937" s="94"/>
      <c r="H937" s="94"/>
      <c r="I937" s="94"/>
      <c r="J937" s="94"/>
      <c r="K937" s="96"/>
    </row>
    <row r="938" spans="2:11" ht="16" thickBot="1" x14ac:dyDescent="0.25"/>
    <row r="939" spans="2:11" x14ac:dyDescent="0.2">
      <c r="B939" s="77"/>
      <c r="C939" s="78"/>
      <c r="D939" s="78"/>
      <c r="E939" s="78"/>
      <c r="F939" s="78"/>
      <c r="G939" s="78"/>
      <c r="H939" s="78"/>
      <c r="I939" s="78"/>
      <c r="J939" s="78"/>
      <c r="K939" s="80"/>
    </row>
    <row r="940" spans="2:11" ht="21" x14ac:dyDescent="0.25">
      <c r="B940" s="81"/>
      <c r="C940" s="85"/>
      <c r="D940" s="85"/>
      <c r="E940" s="85"/>
      <c r="F940" s="85"/>
      <c r="G940" s="210" t="s">
        <v>815</v>
      </c>
      <c r="H940" s="85"/>
      <c r="I940" s="85"/>
      <c r="J940" s="85"/>
      <c r="K940" s="87"/>
    </row>
    <row r="941" spans="2:11" ht="21" x14ac:dyDescent="0.25">
      <c r="B941" s="81"/>
      <c r="C941" s="85"/>
      <c r="D941" s="85"/>
      <c r="E941" s="85"/>
      <c r="F941" s="85"/>
      <c r="G941" s="210"/>
      <c r="H941" s="85"/>
      <c r="I941" s="85"/>
      <c r="J941" s="85"/>
      <c r="K941" s="87"/>
    </row>
    <row r="942" spans="2:11" ht="16" x14ac:dyDescent="0.2">
      <c r="B942" s="81"/>
      <c r="C942" s="212" t="s">
        <v>995</v>
      </c>
      <c r="D942" s="85"/>
      <c r="E942" s="85"/>
      <c r="F942" s="85"/>
      <c r="G942" s="85"/>
      <c r="H942" s="85"/>
      <c r="I942" s="85"/>
      <c r="J942" s="241">
        <f>IF(OR(J936="Not Calculated",J894="Not Calculated")=TRUE,"Not Calculated",AVERAGE(J936,J894))</f>
        <v>0</v>
      </c>
      <c r="K942" s="87"/>
    </row>
    <row r="943" spans="2:11" ht="16" x14ac:dyDescent="0.2">
      <c r="B943" s="81"/>
      <c r="C943" s="212"/>
      <c r="D943" s="85" t="s">
        <v>814</v>
      </c>
      <c r="E943" s="85"/>
      <c r="F943" s="85"/>
      <c r="G943" s="85"/>
      <c r="H943" s="85"/>
      <c r="I943" s="85"/>
      <c r="J943" s="241"/>
      <c r="K943" s="87"/>
    </row>
    <row r="944" spans="2:11" ht="17" thickBot="1" x14ac:dyDescent="0.25">
      <c r="B944" s="213"/>
      <c r="C944" s="227"/>
      <c r="D944" s="94"/>
      <c r="E944" s="94"/>
      <c r="F944" s="94"/>
      <c r="G944" s="94"/>
      <c r="H944" s="94"/>
      <c r="I944" s="94"/>
      <c r="J944" s="228"/>
      <c r="K944" s="96"/>
    </row>
    <row r="945" spans="2:11" ht="16" thickBot="1" x14ac:dyDescent="0.25"/>
    <row r="946" spans="2:11" x14ac:dyDescent="0.2">
      <c r="B946" s="214"/>
      <c r="C946" s="215"/>
      <c r="D946" s="215"/>
      <c r="E946" s="215"/>
      <c r="F946" s="215"/>
      <c r="G946" s="215"/>
      <c r="H946" s="215"/>
      <c r="I946" s="215"/>
      <c r="J946" s="215"/>
      <c r="K946" s="216"/>
    </row>
    <row r="947" spans="2:11" ht="21" x14ac:dyDescent="0.25">
      <c r="B947" s="217"/>
      <c r="C947" s="218"/>
      <c r="D947" s="218"/>
      <c r="E947" s="218"/>
      <c r="F947" s="218"/>
      <c r="G947" s="219" t="s">
        <v>239</v>
      </c>
      <c r="H947" s="218"/>
      <c r="I947" s="218"/>
      <c r="J947" s="218"/>
      <c r="K947" s="220"/>
    </row>
    <row r="948" spans="2:11" x14ac:dyDescent="0.2">
      <c r="B948" s="217"/>
      <c r="C948" s="218"/>
      <c r="D948" s="218"/>
      <c r="E948" s="218"/>
      <c r="F948" s="218"/>
      <c r="G948" s="218"/>
      <c r="H948" s="218"/>
      <c r="I948" s="218"/>
      <c r="J948" s="218"/>
      <c r="K948" s="220"/>
    </row>
    <row r="949" spans="2:11" ht="16" x14ac:dyDescent="0.2">
      <c r="B949" s="217"/>
      <c r="C949" s="221" t="s">
        <v>393</v>
      </c>
      <c r="D949" s="218"/>
      <c r="E949" s="218"/>
      <c r="F949" s="218"/>
      <c r="G949" s="218"/>
      <c r="H949" s="218"/>
      <c r="I949" s="218"/>
      <c r="J949" s="242" t="str">
        <f>IF(OR(J817="Not Calculated",J942="Not Calculated")=TRUE,"Not Calculated",J817/J942)</f>
        <v>Not Calculated</v>
      </c>
      <c r="K949" s="220"/>
    </row>
    <row r="950" spans="2:11" x14ac:dyDescent="0.2">
      <c r="B950" s="217"/>
      <c r="C950" s="218"/>
      <c r="D950" s="218" t="s">
        <v>816</v>
      </c>
      <c r="E950" s="218"/>
      <c r="F950" s="218"/>
      <c r="G950" s="218"/>
      <c r="H950" s="218"/>
      <c r="I950" s="218"/>
      <c r="J950" s="218"/>
      <c r="K950" s="220"/>
    </row>
    <row r="951" spans="2:11" x14ac:dyDescent="0.2">
      <c r="B951" s="217"/>
      <c r="C951" s="218"/>
      <c r="D951" s="218"/>
      <c r="E951" s="218"/>
      <c r="F951" s="218"/>
      <c r="G951" s="218"/>
      <c r="H951" s="218"/>
      <c r="I951" s="218"/>
      <c r="J951" s="218"/>
      <c r="K951" s="220"/>
    </row>
    <row r="952" spans="2:11" ht="16" x14ac:dyDescent="0.2">
      <c r="B952" s="217"/>
      <c r="C952" s="221" t="s">
        <v>996</v>
      </c>
      <c r="D952" s="218"/>
      <c r="E952" s="218"/>
      <c r="F952" s="218"/>
      <c r="G952" s="218"/>
      <c r="H952" s="218"/>
      <c r="I952" s="218"/>
      <c r="J952" s="242" t="str">
        <f>IF(OR(J820="Not Calculated",J894="Not Calculated")=TRUE,"Not Calculated",J820/J894)</f>
        <v>Not Calculated</v>
      </c>
      <c r="K952" s="220"/>
    </row>
    <row r="953" spans="2:11" x14ac:dyDescent="0.2">
      <c r="B953" s="217"/>
      <c r="C953" s="218"/>
      <c r="D953" s="218" t="s">
        <v>817</v>
      </c>
      <c r="E953" s="218"/>
      <c r="F953" s="218"/>
      <c r="G953" s="218"/>
      <c r="H953" s="218"/>
      <c r="I953" s="218"/>
      <c r="J953" s="218"/>
      <c r="K953" s="220"/>
    </row>
    <row r="954" spans="2:11" x14ac:dyDescent="0.2">
      <c r="B954" s="217"/>
      <c r="C954" s="218"/>
      <c r="D954" s="218"/>
      <c r="E954" s="218"/>
      <c r="F954" s="218"/>
      <c r="G954" s="218"/>
      <c r="H954" s="218"/>
      <c r="I954" s="218"/>
      <c r="J954" s="218"/>
      <c r="K954" s="220"/>
    </row>
    <row r="955" spans="2:11" ht="16" x14ac:dyDescent="0.2">
      <c r="B955" s="217"/>
      <c r="C955" s="221" t="s">
        <v>997</v>
      </c>
      <c r="D955" s="218"/>
      <c r="E955" s="218"/>
      <c r="F955" s="218"/>
      <c r="G955" s="218"/>
      <c r="H955" s="218"/>
      <c r="I955" s="218"/>
      <c r="J955" s="242" t="str">
        <f>IF(OR(J936="Not Calculated",J823="Not Calculated")=TRUE,"Not Calculated",J823/J936)</f>
        <v>Not Calculated</v>
      </c>
      <c r="K955" s="220"/>
    </row>
    <row r="956" spans="2:11" x14ac:dyDescent="0.2">
      <c r="B956" s="217"/>
      <c r="C956" s="218"/>
      <c r="D956" s="218" t="s">
        <v>818</v>
      </c>
      <c r="E956" s="218"/>
      <c r="F956" s="218"/>
      <c r="G956" s="218"/>
      <c r="H956" s="218"/>
      <c r="I956" s="218"/>
      <c r="J956" s="218"/>
      <c r="K956" s="220"/>
    </row>
    <row r="957" spans="2:11" ht="16" thickBot="1" x14ac:dyDescent="0.25">
      <c r="B957" s="222"/>
      <c r="C957" s="223"/>
      <c r="D957" s="223"/>
      <c r="E957" s="223"/>
      <c r="F957" s="223"/>
      <c r="G957" s="223"/>
      <c r="H957" s="223"/>
      <c r="I957" s="223"/>
      <c r="J957" s="223"/>
      <c r="K957" s="224"/>
    </row>
    <row r="959" spans="2:11" ht="15" customHeight="1" x14ac:dyDescent="0.2">
      <c r="F959" s="405"/>
      <c r="G959" s="405"/>
      <c r="H959" s="405"/>
    </row>
    <row r="960" spans="2:11" x14ac:dyDescent="0.2">
      <c r="F960" s="405"/>
      <c r="G960" s="405"/>
      <c r="H960" s="405"/>
    </row>
    <row r="965" spans="1:3" ht="15" hidden="1" customHeight="1" x14ac:dyDescent="0.2">
      <c r="A965" s="12" t="s">
        <v>228</v>
      </c>
    </row>
    <row r="966" spans="1:3" ht="15" hidden="1" customHeight="1" x14ac:dyDescent="0.2">
      <c r="A966" s="12">
        <v>0</v>
      </c>
      <c r="B966" s="12" t="s">
        <v>250</v>
      </c>
      <c r="C966" s="12" t="s">
        <v>240</v>
      </c>
    </row>
    <row r="967" spans="1:3" ht="15" hidden="1" customHeight="1" x14ac:dyDescent="0.2">
      <c r="A967" s="12">
        <v>1</v>
      </c>
      <c r="B967" s="12" t="s">
        <v>251</v>
      </c>
      <c r="C967" s="12" t="s">
        <v>241</v>
      </c>
    </row>
    <row r="968" spans="1:3" ht="15" hidden="1" customHeight="1" x14ac:dyDescent="0.2">
      <c r="A968" s="12">
        <v>2</v>
      </c>
      <c r="B968" s="12" t="s">
        <v>252</v>
      </c>
      <c r="C968" s="12" t="s">
        <v>242</v>
      </c>
    </row>
    <row r="969" spans="1:3" ht="15" hidden="1" customHeight="1" x14ac:dyDescent="0.2">
      <c r="A969" s="12">
        <v>3</v>
      </c>
      <c r="B969" s="12" t="s">
        <v>253</v>
      </c>
      <c r="C969" s="12" t="s">
        <v>227</v>
      </c>
    </row>
    <row r="970" spans="1:3" ht="15" hidden="1" customHeight="1" x14ac:dyDescent="0.2">
      <c r="A970" s="12">
        <v>4</v>
      </c>
      <c r="B970" s="12" t="s">
        <v>254</v>
      </c>
      <c r="C970" s="12" t="s">
        <v>243</v>
      </c>
    </row>
    <row r="971" spans="1:3" ht="15" hidden="1" customHeight="1" x14ac:dyDescent="0.2"/>
    <row r="972" spans="1:3" ht="15" hidden="1" customHeight="1" x14ac:dyDescent="0.2">
      <c r="A972" s="12" t="s">
        <v>259</v>
      </c>
    </row>
    <row r="973" spans="1:3" ht="15" hidden="1" customHeight="1" x14ac:dyDescent="0.2">
      <c r="A973" s="12">
        <v>0</v>
      </c>
      <c r="B973" s="225" t="s">
        <v>870</v>
      </c>
    </row>
    <row r="974" spans="1:3" ht="15" hidden="1" customHeight="1" x14ac:dyDescent="0.2">
      <c r="A974" s="12">
        <v>1</v>
      </c>
      <c r="B974" s="12" t="s">
        <v>880</v>
      </c>
    </row>
    <row r="975" spans="1:3" ht="15" hidden="1" customHeight="1" x14ac:dyDescent="0.2">
      <c r="A975" s="12">
        <v>2</v>
      </c>
      <c r="B975" s="12" t="s">
        <v>872</v>
      </c>
    </row>
    <row r="976" spans="1:3" ht="15" hidden="1" customHeight="1" x14ac:dyDescent="0.2">
      <c r="A976" s="12">
        <v>3</v>
      </c>
      <c r="B976" s="12" t="s">
        <v>873</v>
      </c>
    </row>
    <row r="977" spans="1:2" ht="15" hidden="1" customHeight="1" x14ac:dyDescent="0.2">
      <c r="A977" s="12">
        <v>4</v>
      </c>
      <c r="B977" s="12" t="s">
        <v>874</v>
      </c>
    </row>
    <row r="978" spans="1:2" ht="15" hidden="1" customHeight="1" x14ac:dyDescent="0.2"/>
    <row r="979" spans="1:2" ht="15" hidden="1" customHeight="1" x14ac:dyDescent="0.2">
      <c r="A979" s="12" t="s">
        <v>294</v>
      </c>
    </row>
    <row r="980" spans="1:2" ht="15" hidden="1" customHeight="1" x14ac:dyDescent="0.2">
      <c r="A980" s="12">
        <v>0</v>
      </c>
      <c r="B980" s="225" t="s">
        <v>870</v>
      </c>
    </row>
    <row r="981" spans="1:2" ht="15" hidden="1" customHeight="1" x14ac:dyDescent="0.2">
      <c r="A981" s="12">
        <v>1</v>
      </c>
      <c r="B981" s="12" t="s">
        <v>875</v>
      </c>
    </row>
    <row r="982" spans="1:2" ht="15" hidden="1" customHeight="1" x14ac:dyDescent="0.2">
      <c r="A982" s="12">
        <v>2</v>
      </c>
      <c r="B982" s="12" t="s">
        <v>876</v>
      </c>
    </row>
    <row r="983" spans="1:2" ht="15" hidden="1" customHeight="1" x14ac:dyDescent="0.2">
      <c r="A983" s="12">
        <v>3</v>
      </c>
      <c r="B983" s="12" t="s">
        <v>877</v>
      </c>
    </row>
    <row r="984" spans="1:2" ht="15" hidden="1" customHeight="1" x14ac:dyDescent="0.2">
      <c r="A984" s="12">
        <v>4</v>
      </c>
      <c r="B984" s="12" t="s">
        <v>878</v>
      </c>
    </row>
    <row r="985" spans="1:2" ht="15" hidden="1" customHeight="1" x14ac:dyDescent="0.2"/>
    <row r="986" spans="1:2" ht="15" hidden="1" customHeight="1" x14ac:dyDescent="0.2">
      <c r="A986" s="12" t="s">
        <v>244</v>
      </c>
    </row>
    <row r="987" spans="1:2" ht="15" hidden="1" customHeight="1" x14ac:dyDescent="0.2">
      <c r="A987" s="12">
        <v>0</v>
      </c>
      <c r="B987" s="12" t="s">
        <v>245</v>
      </c>
    </row>
    <row r="988" spans="1:2" ht="15" hidden="1" customHeight="1" x14ac:dyDescent="0.2">
      <c r="A988" s="12">
        <v>1</v>
      </c>
      <c r="B988" s="12" t="s">
        <v>246</v>
      </c>
    </row>
    <row r="989" spans="1:2" ht="15" hidden="1" customHeight="1" x14ac:dyDescent="0.2">
      <c r="A989" s="12">
        <v>2</v>
      </c>
      <c r="B989" s="12" t="s">
        <v>247</v>
      </c>
    </row>
    <row r="990" spans="1:2" ht="15" hidden="1" customHeight="1" x14ac:dyDescent="0.2">
      <c r="A990" s="12">
        <v>3</v>
      </c>
      <c r="B990" s="12" t="s">
        <v>229</v>
      </c>
    </row>
    <row r="991" spans="1:2" ht="15" hidden="1" customHeight="1" x14ac:dyDescent="0.2">
      <c r="A991" s="12">
        <v>4</v>
      </c>
      <c r="B991" s="12" t="s">
        <v>248</v>
      </c>
    </row>
    <row r="992" spans="1:2" ht="15" hidden="1" customHeight="1" x14ac:dyDescent="0.2"/>
    <row r="993" spans="1:11" ht="15" hidden="1" customHeight="1" x14ac:dyDescent="0.2">
      <c r="A993" s="12" t="s">
        <v>381</v>
      </c>
    </row>
    <row r="994" spans="1:11" ht="15" hidden="1" customHeight="1" x14ac:dyDescent="0.2">
      <c r="A994" s="12">
        <v>0</v>
      </c>
      <c r="B994" s="12" t="s">
        <v>202</v>
      </c>
    </row>
    <row r="995" spans="1:11" ht="15" hidden="1" customHeight="1" x14ac:dyDescent="0.2">
      <c r="A995" s="12">
        <v>1</v>
      </c>
      <c r="B995" s="12" t="s">
        <v>190</v>
      </c>
    </row>
    <row r="996" spans="1:11" ht="15" hidden="1" customHeight="1" x14ac:dyDescent="0.2"/>
    <row r="997" spans="1:11" ht="15" hidden="1" customHeight="1" x14ac:dyDescent="0.2">
      <c r="A997" s="12" t="s">
        <v>249</v>
      </c>
    </row>
    <row r="998" spans="1:11" ht="15" hidden="1" customHeight="1" x14ac:dyDescent="0.2">
      <c r="A998" s="12">
        <v>0</v>
      </c>
      <c r="B998" s="12" t="s">
        <v>236</v>
      </c>
    </row>
    <row r="999" spans="1:11" ht="15" hidden="1" customHeight="1" x14ac:dyDescent="0.2">
      <c r="A999" s="12">
        <v>1</v>
      </c>
      <c r="B999" s="12" t="s">
        <v>237</v>
      </c>
    </row>
    <row r="1000" spans="1:11" ht="15" hidden="1" customHeight="1" x14ac:dyDescent="0.2">
      <c r="A1000" s="12">
        <v>2</v>
      </c>
      <c r="B1000" s="12" t="s">
        <v>235</v>
      </c>
    </row>
    <row r="1001" spans="1:11" ht="15" hidden="1" customHeight="1" x14ac:dyDescent="0.2">
      <c r="A1001" s="12">
        <v>3</v>
      </c>
      <c r="B1001" s="12" t="s">
        <v>238</v>
      </c>
    </row>
    <row r="1002" spans="1:11" ht="15" hidden="1" customHeight="1" x14ac:dyDescent="0.2">
      <c r="A1002" s="12">
        <v>4</v>
      </c>
      <c r="B1002" s="12" t="s">
        <v>234</v>
      </c>
    </row>
    <row r="1003" spans="1:11" ht="15" customHeight="1" x14ac:dyDescent="0.2">
      <c r="B1003" s="12" t="s">
        <v>685</v>
      </c>
    </row>
    <row r="1004" spans="1:11" ht="14.25" customHeight="1" x14ac:dyDescent="0.2">
      <c r="B1004" s="459" t="s">
        <v>827</v>
      </c>
      <c r="C1004" s="460"/>
      <c r="D1004" s="460"/>
      <c r="E1004" s="460"/>
      <c r="F1004" s="460"/>
      <c r="G1004" s="460"/>
      <c r="H1004" s="460"/>
      <c r="I1004" s="460"/>
      <c r="J1004" s="460"/>
      <c r="K1004" s="461"/>
    </row>
    <row r="1005" spans="1:11" ht="15" customHeight="1" x14ac:dyDescent="0.2">
      <c r="B1005" s="456"/>
      <c r="C1005" s="457"/>
      <c r="D1005" s="457"/>
      <c r="E1005" s="457"/>
      <c r="F1005" s="457"/>
      <c r="G1005" s="457"/>
      <c r="H1005" s="457"/>
      <c r="I1005" s="457"/>
      <c r="J1005" s="457"/>
      <c r="K1005" s="458"/>
    </row>
    <row r="1006" spans="1:11" ht="45" customHeight="1" x14ac:dyDescent="0.2">
      <c r="B1006" s="456" t="s">
        <v>822</v>
      </c>
      <c r="C1006" s="457"/>
      <c r="D1006" s="457"/>
      <c r="E1006" s="457"/>
      <c r="F1006" s="457"/>
      <c r="G1006" s="457"/>
      <c r="H1006" s="457"/>
      <c r="I1006" s="457"/>
      <c r="J1006" s="457"/>
      <c r="K1006" s="458"/>
    </row>
    <row r="1007" spans="1:11" ht="15" customHeight="1" x14ac:dyDescent="0.2">
      <c r="B1007" s="456"/>
      <c r="C1007" s="457"/>
      <c r="D1007" s="457"/>
      <c r="E1007" s="457"/>
      <c r="F1007" s="457"/>
      <c r="G1007" s="457"/>
      <c r="H1007" s="457"/>
      <c r="I1007" s="457"/>
      <c r="J1007" s="457"/>
      <c r="K1007" s="458"/>
    </row>
    <row r="1008" spans="1:11" ht="30" customHeight="1" x14ac:dyDescent="0.2">
      <c r="B1008" s="456" t="s">
        <v>835</v>
      </c>
      <c r="C1008" s="457"/>
      <c r="D1008" s="457"/>
      <c r="E1008" s="457"/>
      <c r="F1008" s="457"/>
      <c r="G1008" s="457"/>
      <c r="H1008" s="457"/>
      <c r="I1008" s="457"/>
      <c r="J1008" s="457"/>
      <c r="K1008" s="458"/>
    </row>
    <row r="1009" spans="2:11" ht="15" customHeight="1" x14ac:dyDescent="0.2">
      <c r="B1009" s="456"/>
      <c r="C1009" s="457"/>
      <c r="D1009" s="457"/>
      <c r="E1009" s="457"/>
      <c r="F1009" s="457"/>
      <c r="G1009" s="457"/>
      <c r="H1009" s="457"/>
      <c r="I1009" s="457"/>
      <c r="J1009" s="457"/>
      <c r="K1009" s="458"/>
    </row>
    <row r="1010" spans="2:11" ht="44.25" customHeight="1" x14ac:dyDescent="0.2">
      <c r="B1010" s="456" t="s">
        <v>826</v>
      </c>
      <c r="C1010" s="457"/>
      <c r="D1010" s="457"/>
      <c r="E1010" s="457"/>
      <c r="F1010" s="457"/>
      <c r="G1010" s="457"/>
      <c r="H1010" s="457"/>
      <c r="I1010" s="457"/>
      <c r="J1010" s="457"/>
      <c r="K1010" s="458"/>
    </row>
    <row r="1011" spans="2:11" ht="15" customHeight="1" x14ac:dyDescent="0.2">
      <c r="B1011" s="456"/>
      <c r="C1011" s="457"/>
      <c r="D1011" s="457"/>
      <c r="E1011" s="457"/>
      <c r="F1011" s="457"/>
      <c r="G1011" s="457"/>
      <c r="H1011" s="457"/>
      <c r="I1011" s="457"/>
      <c r="J1011" s="457"/>
      <c r="K1011" s="458"/>
    </row>
    <row r="1012" spans="2:11" ht="30" customHeight="1" x14ac:dyDescent="0.2">
      <c r="B1012" s="456" t="s">
        <v>824</v>
      </c>
      <c r="C1012" s="457"/>
      <c r="D1012" s="457"/>
      <c r="E1012" s="457"/>
      <c r="F1012" s="457"/>
      <c r="G1012" s="457"/>
      <c r="H1012" s="457"/>
      <c r="I1012" s="457"/>
      <c r="J1012" s="457"/>
      <c r="K1012" s="458"/>
    </row>
    <row r="1013" spans="2:11" ht="15" customHeight="1" x14ac:dyDescent="0.2">
      <c r="B1013" s="456"/>
      <c r="C1013" s="457"/>
      <c r="D1013" s="457"/>
      <c r="E1013" s="457"/>
      <c r="F1013" s="457"/>
      <c r="G1013" s="457"/>
      <c r="H1013" s="457"/>
      <c r="I1013" s="457"/>
      <c r="J1013" s="457"/>
      <c r="K1013" s="458"/>
    </row>
    <row r="1014" spans="2:11" ht="30" customHeight="1" x14ac:dyDescent="0.2">
      <c r="B1014" s="456" t="s">
        <v>829</v>
      </c>
      <c r="C1014" s="457"/>
      <c r="D1014" s="457"/>
      <c r="E1014" s="457"/>
      <c r="F1014" s="457"/>
      <c r="G1014" s="457"/>
      <c r="H1014" s="457"/>
      <c r="I1014" s="457"/>
      <c r="J1014" s="457"/>
      <c r="K1014" s="458"/>
    </row>
    <row r="1015" spans="2:11" ht="15" customHeight="1" x14ac:dyDescent="0.2">
      <c r="B1015" s="456"/>
      <c r="C1015" s="457"/>
      <c r="D1015" s="457"/>
      <c r="E1015" s="457"/>
      <c r="F1015" s="457"/>
      <c r="G1015" s="457"/>
      <c r="H1015" s="457"/>
      <c r="I1015" s="457"/>
      <c r="J1015" s="457"/>
      <c r="K1015" s="458"/>
    </row>
    <row r="1016" spans="2:11" ht="30" customHeight="1" x14ac:dyDescent="0.2">
      <c r="B1016" s="456" t="s">
        <v>821</v>
      </c>
      <c r="C1016" s="457"/>
      <c r="D1016" s="457"/>
      <c r="E1016" s="457"/>
      <c r="F1016" s="457"/>
      <c r="G1016" s="457"/>
      <c r="H1016" s="457"/>
      <c r="I1016" s="457"/>
      <c r="J1016" s="457"/>
      <c r="K1016" s="458"/>
    </row>
    <row r="1017" spans="2:11" ht="15" customHeight="1" x14ac:dyDescent="0.2">
      <c r="B1017" s="456"/>
      <c r="C1017" s="457"/>
      <c r="D1017" s="457"/>
      <c r="E1017" s="457"/>
      <c r="F1017" s="457"/>
      <c r="G1017" s="457"/>
      <c r="H1017" s="457"/>
      <c r="I1017" s="457"/>
      <c r="J1017" s="457"/>
      <c r="K1017" s="458"/>
    </row>
    <row r="1018" spans="2:11" ht="30" customHeight="1" x14ac:dyDescent="0.2">
      <c r="B1018" s="456" t="s">
        <v>825</v>
      </c>
      <c r="C1018" s="457"/>
      <c r="D1018" s="457"/>
      <c r="E1018" s="457"/>
      <c r="F1018" s="457"/>
      <c r="G1018" s="457"/>
      <c r="H1018" s="457"/>
      <c r="I1018" s="457"/>
      <c r="J1018" s="457"/>
      <c r="K1018" s="458"/>
    </row>
    <row r="1019" spans="2:11" ht="15" customHeight="1" x14ac:dyDescent="0.2">
      <c r="B1019" s="456"/>
      <c r="C1019" s="457"/>
      <c r="D1019" s="457"/>
      <c r="E1019" s="457"/>
      <c r="F1019" s="457"/>
      <c r="G1019" s="457"/>
      <c r="H1019" s="457"/>
      <c r="I1019" s="457"/>
      <c r="J1019" s="457"/>
      <c r="K1019" s="458"/>
    </row>
    <row r="1020" spans="2:11" ht="30" customHeight="1" x14ac:dyDescent="0.2">
      <c r="B1020" s="456" t="s">
        <v>832</v>
      </c>
      <c r="C1020" s="457"/>
      <c r="D1020" s="457"/>
      <c r="E1020" s="457"/>
      <c r="F1020" s="457"/>
      <c r="G1020" s="457"/>
      <c r="H1020" s="457"/>
      <c r="I1020" s="457"/>
      <c r="J1020" s="457"/>
      <c r="K1020" s="458"/>
    </row>
    <row r="1021" spans="2:11" ht="15" customHeight="1" x14ac:dyDescent="0.2">
      <c r="B1021" s="456"/>
      <c r="C1021" s="457"/>
      <c r="D1021" s="457"/>
      <c r="E1021" s="457"/>
      <c r="F1021" s="457"/>
      <c r="G1021" s="457"/>
      <c r="H1021" s="457"/>
      <c r="I1021" s="457"/>
      <c r="J1021" s="457"/>
      <c r="K1021" s="458"/>
    </row>
    <row r="1022" spans="2:11" ht="30" customHeight="1" x14ac:dyDescent="0.2">
      <c r="B1022" s="456" t="s">
        <v>830</v>
      </c>
      <c r="C1022" s="457"/>
      <c r="D1022" s="457"/>
      <c r="E1022" s="457"/>
      <c r="F1022" s="457"/>
      <c r="G1022" s="457"/>
      <c r="H1022" s="457"/>
      <c r="I1022" s="457"/>
      <c r="J1022" s="457"/>
      <c r="K1022" s="458"/>
    </row>
    <row r="1023" spans="2:11" ht="15" customHeight="1" x14ac:dyDescent="0.2">
      <c r="B1023" s="456"/>
      <c r="C1023" s="457"/>
      <c r="D1023" s="457"/>
      <c r="E1023" s="457"/>
      <c r="F1023" s="457"/>
      <c r="G1023" s="457"/>
      <c r="H1023" s="457"/>
      <c r="I1023" s="457"/>
      <c r="J1023" s="457"/>
      <c r="K1023" s="458"/>
    </row>
    <row r="1024" spans="2:11" ht="44.25" customHeight="1" x14ac:dyDescent="0.2">
      <c r="B1024" s="456" t="s">
        <v>828</v>
      </c>
      <c r="C1024" s="457"/>
      <c r="D1024" s="457"/>
      <c r="E1024" s="457"/>
      <c r="F1024" s="457"/>
      <c r="G1024" s="457"/>
      <c r="H1024" s="457"/>
      <c r="I1024" s="457"/>
      <c r="J1024" s="457"/>
      <c r="K1024" s="458"/>
    </row>
    <row r="1025" spans="2:11" ht="15" customHeight="1" x14ac:dyDescent="0.2">
      <c r="B1025" s="456"/>
      <c r="C1025" s="457"/>
      <c r="D1025" s="457"/>
      <c r="E1025" s="457"/>
      <c r="F1025" s="457"/>
      <c r="G1025" s="457"/>
      <c r="H1025" s="457"/>
      <c r="I1025" s="457"/>
      <c r="J1025" s="457"/>
      <c r="K1025" s="458"/>
    </row>
    <row r="1026" spans="2:11" ht="62.25" customHeight="1" x14ac:dyDescent="0.2">
      <c r="B1026" s="456" t="s">
        <v>831</v>
      </c>
      <c r="C1026" s="457"/>
      <c r="D1026" s="457"/>
      <c r="E1026" s="457"/>
      <c r="F1026" s="457"/>
      <c r="G1026" s="457"/>
      <c r="H1026" s="457"/>
      <c r="I1026" s="457"/>
      <c r="J1026" s="457"/>
      <c r="K1026" s="458"/>
    </row>
    <row r="1027" spans="2:11" ht="15" customHeight="1" x14ac:dyDescent="0.2">
      <c r="B1027" s="456"/>
      <c r="C1027" s="457"/>
      <c r="D1027" s="457"/>
      <c r="E1027" s="457"/>
      <c r="F1027" s="457"/>
      <c r="G1027" s="457"/>
      <c r="H1027" s="457"/>
      <c r="I1027" s="457"/>
      <c r="J1027" s="457"/>
      <c r="K1027" s="458"/>
    </row>
    <row r="1028" spans="2:11" ht="15" customHeight="1" x14ac:dyDescent="0.2">
      <c r="B1028" s="456"/>
      <c r="C1028" s="457"/>
      <c r="D1028" s="457"/>
      <c r="E1028" s="457"/>
      <c r="F1028" s="457"/>
      <c r="G1028" s="457"/>
      <c r="H1028" s="457"/>
      <c r="I1028" s="457"/>
      <c r="J1028" s="457"/>
      <c r="K1028" s="458"/>
    </row>
    <row r="1029" spans="2:11" ht="15" customHeight="1" x14ac:dyDescent="0.2">
      <c r="B1029" s="462"/>
      <c r="C1029" s="463"/>
      <c r="D1029" s="463"/>
      <c r="E1029" s="463"/>
      <c r="F1029" s="463"/>
      <c r="G1029" s="463"/>
      <c r="H1029" s="463"/>
      <c r="I1029" s="463"/>
      <c r="J1029" s="463"/>
      <c r="K1029" s="464"/>
    </row>
  </sheetData>
  <sheetProtection formatCells="0" formatColumns="0" formatRows="0" selectLockedCells="1"/>
  <mergeCells count="152">
    <mergeCell ref="C120:J122"/>
    <mergeCell ref="C123:J124"/>
    <mergeCell ref="C129:J129"/>
    <mergeCell ref="C95:J95"/>
    <mergeCell ref="C114:J114"/>
    <mergeCell ref="C176:J176"/>
    <mergeCell ref="C155:J155"/>
    <mergeCell ref="B5:K5"/>
    <mergeCell ref="B6:K6"/>
    <mergeCell ref="B7:K7"/>
    <mergeCell ref="B8:K8"/>
    <mergeCell ref="B9:K9"/>
    <mergeCell ref="B10:K10"/>
    <mergeCell ref="C76:J76"/>
    <mergeCell ref="E15:J15"/>
    <mergeCell ref="C38:J38"/>
    <mergeCell ref="C57:J57"/>
    <mergeCell ref="C216:J216"/>
    <mergeCell ref="C196:J196"/>
    <mergeCell ref="C237:J237"/>
    <mergeCell ref="C257:J257"/>
    <mergeCell ref="C324:J324"/>
    <mergeCell ref="C330:I331"/>
    <mergeCell ref="C347:J347"/>
    <mergeCell ref="D343:I344"/>
    <mergeCell ref="C365:J365"/>
    <mergeCell ref="C286:J286"/>
    <mergeCell ref="C292:I293"/>
    <mergeCell ref="C311:I312"/>
    <mergeCell ref="C340:I341"/>
    <mergeCell ref="C305:J305"/>
    <mergeCell ref="C371:I372"/>
    <mergeCell ref="C455:J455"/>
    <mergeCell ref="C402:J402"/>
    <mergeCell ref="C416:J416"/>
    <mergeCell ref="C438:J438"/>
    <mergeCell ref="C444:I445"/>
    <mergeCell ref="C518:J518"/>
    <mergeCell ref="C471:J471"/>
    <mergeCell ref="C477:I478"/>
    <mergeCell ref="C486:J486"/>
    <mergeCell ref="C502:J502"/>
    <mergeCell ref="C420:I421"/>
    <mergeCell ref="C391:I392"/>
    <mergeCell ref="C385:J385"/>
    <mergeCell ref="C524:I525"/>
    <mergeCell ref="C535:J535"/>
    <mergeCell ref="C613:J613"/>
    <mergeCell ref="C560:J560"/>
    <mergeCell ref="C566:I568"/>
    <mergeCell ref="C569:I571"/>
    <mergeCell ref="C583:J583"/>
    <mergeCell ref="C620:I621"/>
    <mergeCell ref="C633:J633"/>
    <mergeCell ref="C599:J599"/>
    <mergeCell ref="C639:I640"/>
    <mergeCell ref="C641:I643"/>
    <mergeCell ref="G734:H734"/>
    <mergeCell ref="G735:H735"/>
    <mergeCell ref="G724:H724"/>
    <mergeCell ref="G725:H725"/>
    <mergeCell ref="G719:H719"/>
    <mergeCell ref="G720:H720"/>
    <mergeCell ref="G721:H721"/>
    <mergeCell ref="G717:H717"/>
    <mergeCell ref="G718:H718"/>
    <mergeCell ref="C729:J731"/>
    <mergeCell ref="G732:H732"/>
    <mergeCell ref="G733:H733"/>
    <mergeCell ref="C714:J716"/>
    <mergeCell ref="C655:J655"/>
    <mergeCell ref="D664:I665"/>
    <mergeCell ref="C677:J677"/>
    <mergeCell ref="G722:H722"/>
    <mergeCell ref="G723:H723"/>
    <mergeCell ref="G766:H766"/>
    <mergeCell ref="G754:H754"/>
    <mergeCell ref="G755:H755"/>
    <mergeCell ref="G752:H752"/>
    <mergeCell ref="G753:H753"/>
    <mergeCell ref="C759:J761"/>
    <mergeCell ref="G762:H762"/>
    <mergeCell ref="G763:H763"/>
    <mergeCell ref="G764:H764"/>
    <mergeCell ref="G765:H765"/>
    <mergeCell ref="C900:J901"/>
    <mergeCell ref="G904:H904"/>
    <mergeCell ref="G908:H908"/>
    <mergeCell ref="G912:H912"/>
    <mergeCell ref="G924:H924"/>
    <mergeCell ref="G916:H916"/>
    <mergeCell ref="G920:H920"/>
    <mergeCell ref="G769:H769"/>
    <mergeCell ref="G770:H770"/>
    <mergeCell ref="G846:H846"/>
    <mergeCell ref="C830:J831"/>
    <mergeCell ref="G834:H834"/>
    <mergeCell ref="G838:H838"/>
    <mergeCell ref="G842:H842"/>
    <mergeCell ref="G736:H736"/>
    <mergeCell ref="C744:J746"/>
    <mergeCell ref="G747:H747"/>
    <mergeCell ref="G748:H748"/>
    <mergeCell ref="G749:H749"/>
    <mergeCell ref="G886:H886"/>
    <mergeCell ref="G890:H890"/>
    <mergeCell ref="G882:H882"/>
    <mergeCell ref="G870:H870"/>
    <mergeCell ref="G874:H874"/>
    <mergeCell ref="G878:H878"/>
    <mergeCell ref="G850:H850"/>
    <mergeCell ref="G862:H862"/>
    <mergeCell ref="G866:H866"/>
    <mergeCell ref="G854:H854"/>
    <mergeCell ref="G858:H858"/>
    <mergeCell ref="G767:H767"/>
    <mergeCell ref="G768:H768"/>
    <mergeCell ref="G750:H750"/>
    <mergeCell ref="G751:H751"/>
    <mergeCell ref="G739:H739"/>
    <mergeCell ref="G740:H740"/>
    <mergeCell ref="G737:H737"/>
    <mergeCell ref="G738:H738"/>
    <mergeCell ref="B1029:K1029"/>
    <mergeCell ref="B1013:K1013"/>
    <mergeCell ref="B1014:K1014"/>
    <mergeCell ref="B1015:K1015"/>
    <mergeCell ref="B1016:K1016"/>
    <mergeCell ref="B1017:K1017"/>
    <mergeCell ref="B1018:K1018"/>
    <mergeCell ref="B1019:K1019"/>
    <mergeCell ref="B1020:K1020"/>
    <mergeCell ref="B1021:K1021"/>
    <mergeCell ref="G928:H928"/>
    <mergeCell ref="G932:H932"/>
    <mergeCell ref="B1022:K1022"/>
    <mergeCell ref="B1023:K1023"/>
    <mergeCell ref="B1024:K1024"/>
    <mergeCell ref="B1025:K1025"/>
    <mergeCell ref="B1026:K1026"/>
    <mergeCell ref="B1027:K1027"/>
    <mergeCell ref="B1028:K1028"/>
    <mergeCell ref="B1004:K1004"/>
    <mergeCell ref="B1005:K1005"/>
    <mergeCell ref="B1006:K1006"/>
    <mergeCell ref="B1007:K1007"/>
    <mergeCell ref="B1008:K1008"/>
    <mergeCell ref="B1009:K1009"/>
    <mergeCell ref="B1010:K1010"/>
    <mergeCell ref="B1011:K1011"/>
    <mergeCell ref="B1012:K1012"/>
    <mergeCell ref="F959:H960"/>
  </mergeCells>
  <dataValidations count="23">
    <dataValidation type="list" allowBlank="1" showInputMessage="1" showErrorMessage="1" sqref="E15:J15" xr:uid="{00000000-0002-0000-0D00-000000000000}">
      <formula1>$C$966:$C$970</formula1>
    </dataValidation>
    <dataValidation type="list" allowBlank="1" showInputMessage="1" showErrorMessage="1" sqref="G834:H834 G890:H890 G886:H886 G882:H882 G878:H878 G874:H874 G870:H870 G866:H866 G862:H862 G858:H858 G854:H854 G850:H850 G846:H846 G842:H842 G838:H838 G904:H904 G932:H932 G928:H928 G924:H924 G920:H920 G916:H916 G912:H912 G908:H908" xr:uid="{00000000-0002-0000-0D00-000001000000}">
      <formula1>$B$998:$B$1002</formula1>
    </dataValidation>
    <dataValidation type="list" allowBlank="1" showInputMessage="1" showErrorMessage="1" sqref="G717:H725 G762:H770 G732:H740 G747:H755" xr:uid="{00000000-0002-0000-0D00-000002000000}">
      <formula1>$B$994:$B$995</formula1>
    </dataValidation>
    <dataValidation type="list" allowBlank="1" showInputMessage="1" showErrorMessage="1" sqref="J302 J362" xr:uid="{00000000-0002-0000-0D00-000003000000}">
      <formula1>$B$980:$B$984</formula1>
    </dataValidation>
    <dataValidation type="list" allowBlank="1" showInputMessage="1" showErrorMessage="1" sqref="C123:J124" xr:uid="{00000000-0002-0000-0D00-000004000000}">
      <formula1>$B$987:$B$991</formula1>
    </dataValidation>
    <dataValidation type="list" allowBlank="1" showInputMessage="1" showErrorMessage="1" sqref="J35 J213 J283 J652 J452 J54 J193 J173 J152 J126 J111 J92 J73 J254 J630 J234 J468 J499 J515 J532 J557 J580 J596 J674 J435" xr:uid="{00000000-0002-0000-0D00-000005000000}">
      <formula1>$B$973:$B$977</formula1>
    </dataValidation>
    <dataValidation type="list" allowBlank="1" showInputMessage="1" showErrorMessage="1" sqref="J33" xr:uid="{00000000-0002-0000-0D00-000006000000}">
      <formula1>$N$32:$N$37</formula1>
    </dataValidation>
    <dataValidation type="list" allowBlank="1" showInputMessage="1" showErrorMessage="1" sqref="J52" xr:uid="{00000000-0002-0000-0D00-000007000000}">
      <formula1>$N$51:$N$56</formula1>
    </dataValidation>
    <dataValidation type="list" allowBlank="1" showInputMessage="1" showErrorMessage="1" sqref="J71" xr:uid="{00000000-0002-0000-0D00-000008000000}">
      <formula1>$N$70:$N$75</formula1>
    </dataValidation>
    <dataValidation type="list" allowBlank="1" showInputMessage="1" showErrorMessage="1" sqref="J90" xr:uid="{00000000-0002-0000-0D00-000009000000}">
      <formula1>$N$89:$N$94</formula1>
    </dataValidation>
    <dataValidation type="list" allowBlank="1" showInputMessage="1" showErrorMessage="1" sqref="J109" xr:uid="{00000000-0002-0000-0D00-00000A000000}">
      <formula1>$N$108:$N$113</formula1>
    </dataValidation>
    <dataValidation type="list" allowBlank="1" showInputMessage="1" showErrorMessage="1" sqref="J150" xr:uid="{00000000-0002-0000-0D00-00000B000000}">
      <formula1>$N$149:$N$154</formula1>
    </dataValidation>
    <dataValidation type="list" allowBlank="1" showInputMessage="1" showErrorMessage="1" sqref="J171" xr:uid="{00000000-0002-0000-0D00-00000C000000}">
      <formula1>$N$170:$N$175</formula1>
    </dataValidation>
    <dataValidation type="list" allowBlank="1" showInputMessage="1" showErrorMessage="1" sqref="J191" xr:uid="{00000000-0002-0000-0D00-00000D000000}">
      <formula1>$N$190:$N$195</formula1>
    </dataValidation>
    <dataValidation type="list" allowBlank="1" showInputMessage="1" showErrorMessage="1" sqref="J211" xr:uid="{00000000-0002-0000-0D00-00000E000000}">
      <formula1>$N$210:$N$215</formula1>
    </dataValidation>
    <dataValidation type="list" allowBlank="1" showInputMessage="1" showErrorMessage="1" sqref="J232" xr:uid="{00000000-0002-0000-0D00-00000F000000}">
      <formula1>$N$231:$N$236</formula1>
    </dataValidation>
    <dataValidation type="list" allowBlank="1" showInputMessage="1" showErrorMessage="1" sqref="J252" xr:uid="{00000000-0002-0000-0D00-000010000000}">
      <formula1>$N$251:$N$256</formula1>
    </dataValidation>
    <dataValidation type="list" allowBlank="1" showInputMessage="1" showErrorMessage="1" sqref="J281" xr:uid="{00000000-0002-0000-0D00-000011000000}">
      <formula1>$N$280:$N$285</formula1>
    </dataValidation>
    <dataValidation type="list" allowBlank="1" showInputMessage="1" showErrorMessage="1" sqref="J555" xr:uid="{00000000-0002-0000-0D00-000012000000}">
      <formula1>$N$554:$N$559</formula1>
    </dataValidation>
    <dataValidation type="list" allowBlank="1" showInputMessage="1" showErrorMessage="1" sqref="J578" xr:uid="{00000000-0002-0000-0D00-000013000000}">
      <formula1>$N$577:$N$582</formula1>
    </dataValidation>
    <dataValidation type="list" allowBlank="1" showInputMessage="1" showErrorMessage="1" sqref="J628" xr:uid="{00000000-0002-0000-0D00-000014000000}">
      <formula1>$N$627:$N$632</formula1>
    </dataValidation>
    <dataValidation type="list" allowBlank="1" showInputMessage="1" showErrorMessage="1" sqref="J650" xr:uid="{00000000-0002-0000-0D00-000015000000}">
      <formula1>$N$649:$N$654</formula1>
    </dataValidation>
    <dataValidation type="list" allowBlank="1" showInputMessage="1" showErrorMessage="1" sqref="J672" xr:uid="{00000000-0002-0000-0D00-000016000000}">
      <formula1>$N$671:$N$676</formula1>
    </dataValidation>
  </dataValidations>
  <pageMargins left="0.7" right="0.7" top="0.75" bottom="0.75" header="0.3" footer="0.3"/>
  <pageSetup scale="7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dimension ref="A1:N1029"/>
  <sheetViews>
    <sheetView showGridLines="0" showRowColHeaders="0" zoomScaleNormal="100" workbookViewId="0">
      <selection activeCell="Q686" sqref="Q686"/>
    </sheetView>
  </sheetViews>
  <sheetFormatPr baseColWidth="10" defaultColWidth="9.1640625" defaultRowHeight="15" x14ac:dyDescent="0.2"/>
  <cols>
    <col min="1" max="1" width="9.1640625" style="12"/>
    <col min="2" max="3" width="9.1640625" style="12" customWidth="1"/>
    <col min="4" max="4" width="9.1640625" style="12"/>
    <col min="5" max="5" width="9.1640625" style="12" customWidth="1"/>
    <col min="6" max="9" width="9.1640625" style="12"/>
    <col min="10" max="10" width="25.6640625" style="12" customWidth="1"/>
    <col min="11" max="13" width="9.1640625" style="12"/>
    <col min="14" max="14" width="9.1640625" style="12" hidden="1" customWidth="1"/>
    <col min="15" max="16384" width="9.1640625" style="12"/>
  </cols>
  <sheetData>
    <row r="1" spans="2:13" x14ac:dyDescent="0.2">
      <c r="I1" s="29"/>
    </row>
    <row r="2" spans="2:13" ht="33" x14ac:dyDescent="0.2">
      <c r="G2" s="16" t="s">
        <v>1038</v>
      </c>
      <c r="I2" s="29"/>
    </row>
    <row r="3" spans="2:13" ht="23" x14ac:dyDescent="0.25">
      <c r="G3" s="30" t="s">
        <v>18</v>
      </c>
      <c r="I3" s="29"/>
      <c r="L3" s="157"/>
      <c r="M3" s="157"/>
    </row>
    <row r="4" spans="2:13" x14ac:dyDescent="0.2">
      <c r="G4" s="98"/>
      <c r="I4" s="29"/>
      <c r="L4" s="158"/>
      <c r="M4" s="157"/>
    </row>
    <row r="5" spans="2:13" ht="105" customHeight="1" x14ac:dyDescent="0.2">
      <c r="B5" s="426" t="s">
        <v>669</v>
      </c>
      <c r="C5" s="427"/>
      <c r="D5" s="427"/>
      <c r="E5" s="427"/>
      <c r="F5" s="427"/>
      <c r="G5" s="427"/>
      <c r="H5" s="427"/>
      <c r="I5" s="427"/>
      <c r="J5" s="427"/>
      <c r="K5" s="427"/>
      <c r="L5" s="158"/>
      <c r="M5" s="157"/>
    </row>
    <row r="6" spans="2:13" x14ac:dyDescent="0.2">
      <c r="B6" s="426"/>
      <c r="C6" s="426"/>
      <c r="D6" s="426"/>
      <c r="E6" s="426"/>
      <c r="F6" s="426"/>
      <c r="G6" s="426"/>
      <c r="H6" s="426"/>
      <c r="I6" s="426"/>
      <c r="J6" s="426"/>
      <c r="K6" s="426"/>
      <c r="L6" s="158"/>
    </row>
    <row r="7" spans="2:13" ht="60" customHeight="1" x14ac:dyDescent="0.2">
      <c r="B7" s="425" t="s">
        <v>664</v>
      </c>
      <c r="C7" s="341"/>
      <c r="D7" s="341"/>
      <c r="E7" s="341"/>
      <c r="F7" s="341"/>
      <c r="G7" s="341"/>
      <c r="H7" s="341"/>
      <c r="I7" s="341"/>
      <c r="J7" s="341"/>
      <c r="K7" s="341"/>
    </row>
    <row r="8" spans="2:13" x14ac:dyDescent="0.2">
      <c r="B8" s="426"/>
      <c r="C8" s="426"/>
      <c r="D8" s="426"/>
      <c r="E8" s="426"/>
      <c r="F8" s="426"/>
      <c r="G8" s="426"/>
      <c r="H8" s="426"/>
      <c r="I8" s="426"/>
      <c r="J8" s="426"/>
      <c r="K8" s="426"/>
    </row>
    <row r="9" spans="2:13" ht="30" customHeight="1" x14ac:dyDescent="0.2">
      <c r="B9" s="445" t="s">
        <v>665</v>
      </c>
      <c r="C9" s="446"/>
      <c r="D9" s="446"/>
      <c r="E9" s="446"/>
      <c r="F9" s="446"/>
      <c r="G9" s="446"/>
      <c r="H9" s="446"/>
      <c r="I9" s="446"/>
      <c r="J9" s="446"/>
      <c r="K9" s="446"/>
    </row>
    <row r="10" spans="2:13" ht="120" customHeight="1" x14ac:dyDescent="0.2">
      <c r="B10" s="447" t="s">
        <v>1317</v>
      </c>
      <c r="C10" s="448"/>
      <c r="D10" s="448"/>
      <c r="E10" s="448"/>
      <c r="F10" s="448"/>
      <c r="G10" s="448"/>
      <c r="H10" s="448"/>
      <c r="I10" s="448"/>
      <c r="J10" s="448"/>
      <c r="K10" s="449"/>
    </row>
    <row r="11" spans="2:13" ht="16" thickBot="1" x14ac:dyDescent="0.25"/>
    <row r="12" spans="2:13" x14ac:dyDescent="0.2">
      <c r="B12" s="159"/>
      <c r="C12" s="160"/>
      <c r="D12" s="160"/>
      <c r="E12" s="160"/>
      <c r="F12" s="160"/>
      <c r="G12" s="160"/>
      <c r="H12" s="160"/>
      <c r="I12" s="160"/>
      <c r="J12" s="160"/>
      <c r="K12" s="161"/>
    </row>
    <row r="13" spans="2:13" ht="21" x14ac:dyDescent="0.25">
      <c r="B13" s="162"/>
      <c r="C13" s="163"/>
      <c r="D13" s="163"/>
      <c r="E13" s="163"/>
      <c r="F13" s="163"/>
      <c r="G13" s="164" t="s">
        <v>226</v>
      </c>
      <c r="H13" s="163"/>
      <c r="I13" s="163"/>
      <c r="J13" s="163"/>
      <c r="K13" s="165"/>
    </row>
    <row r="14" spans="2:13" ht="21" x14ac:dyDescent="0.25">
      <c r="B14" s="162"/>
      <c r="C14" s="163"/>
      <c r="D14" s="163"/>
      <c r="E14" s="163"/>
      <c r="F14" s="163"/>
      <c r="G14" s="164"/>
      <c r="H14" s="163"/>
      <c r="I14" s="163"/>
      <c r="J14" s="163"/>
      <c r="K14" s="165"/>
    </row>
    <row r="15" spans="2:13" ht="26.25" customHeight="1" x14ac:dyDescent="0.2">
      <c r="B15" s="162"/>
      <c r="C15" s="163" t="s">
        <v>255</v>
      </c>
      <c r="D15" s="163"/>
      <c r="E15" s="412" t="s">
        <v>242</v>
      </c>
      <c r="F15" s="413"/>
      <c r="G15" s="413"/>
      <c r="H15" s="413"/>
      <c r="I15" s="413"/>
      <c r="J15" s="414"/>
      <c r="K15" s="165"/>
    </row>
    <row r="16" spans="2:13" x14ac:dyDescent="0.2">
      <c r="B16" s="162"/>
      <c r="C16" s="163"/>
      <c r="D16" s="163"/>
      <c r="E16" s="163"/>
      <c r="F16" s="163"/>
      <c r="G16" s="163"/>
      <c r="H16" s="163"/>
      <c r="I16" s="163"/>
      <c r="J16" s="163"/>
      <c r="K16" s="165"/>
    </row>
    <row r="17" spans="2:14" x14ac:dyDescent="0.2">
      <c r="B17" s="162"/>
      <c r="C17" s="166" t="s">
        <v>256</v>
      </c>
      <c r="D17" s="163"/>
      <c r="E17" s="167">
        <f>IF(E15=$C$966,$A$966,IF(E15=$C$967,$A$967,IF(E15=$C$968,$A$968,IF(E15=$C$969,$A$969,IF(E15=$C$970,$A$970,"Not Calculated")))))</f>
        <v>2</v>
      </c>
      <c r="F17" s="163"/>
      <c r="G17" s="163"/>
      <c r="H17" s="163"/>
      <c r="I17" s="163"/>
      <c r="J17" s="163"/>
      <c r="K17" s="165"/>
    </row>
    <row r="18" spans="2:14" x14ac:dyDescent="0.2">
      <c r="B18" s="162"/>
      <c r="C18" s="163"/>
      <c r="D18" s="163"/>
      <c r="E18" s="167" t="str">
        <f>IF(E15=$C$966,$B$966,IF(E15=$C$967,$B$967,IF(E15=$C$968,$B$968,IF(E15=$C$969,$B$969,IF(E15=$C$970,$B$970,"Not Calculated")))))</f>
        <v>Occasional</v>
      </c>
      <c r="F18" s="163"/>
      <c r="G18" s="163"/>
      <c r="H18" s="163"/>
      <c r="I18" s="163"/>
      <c r="J18" s="163"/>
      <c r="K18" s="165"/>
    </row>
    <row r="19" spans="2:14" ht="16" thickBot="1" x14ac:dyDescent="0.25">
      <c r="B19" s="168"/>
      <c r="C19" s="169"/>
      <c r="D19" s="169"/>
      <c r="E19" s="169"/>
      <c r="F19" s="169"/>
      <c r="G19" s="169"/>
      <c r="H19" s="169"/>
      <c r="I19" s="169"/>
      <c r="J19" s="169"/>
      <c r="K19" s="170"/>
    </row>
    <row r="20" spans="2:14" ht="16" thickBot="1" x14ac:dyDescent="0.25"/>
    <row r="21" spans="2:14" x14ac:dyDescent="0.2">
      <c r="B21" s="33"/>
      <c r="C21" s="34"/>
      <c r="D21" s="34"/>
      <c r="E21" s="34"/>
      <c r="F21" s="34"/>
      <c r="G21" s="34"/>
      <c r="H21" s="34"/>
      <c r="I21" s="34"/>
      <c r="J21" s="34"/>
      <c r="K21" s="37"/>
    </row>
    <row r="22" spans="2:14" ht="21" x14ac:dyDescent="0.25">
      <c r="B22" s="38"/>
      <c r="C22" s="171"/>
      <c r="D22" s="40"/>
      <c r="E22" s="40"/>
      <c r="F22" s="40"/>
      <c r="G22" s="172" t="s">
        <v>26</v>
      </c>
      <c r="H22" s="40"/>
      <c r="I22" s="40"/>
      <c r="J22" s="40"/>
      <c r="K22" s="41"/>
    </row>
    <row r="23" spans="2:14" x14ac:dyDescent="0.2">
      <c r="B23" s="38"/>
      <c r="C23" s="40"/>
      <c r="D23" s="40"/>
      <c r="E23" s="40"/>
      <c r="F23" s="40"/>
      <c r="G23" s="40"/>
      <c r="H23" s="40"/>
      <c r="I23" s="40"/>
      <c r="J23" s="40"/>
      <c r="K23" s="41"/>
    </row>
    <row r="24" spans="2:14" ht="16" x14ac:dyDescent="0.2">
      <c r="B24" s="38"/>
      <c r="C24" s="45" t="s">
        <v>61</v>
      </c>
      <c r="D24" s="40"/>
      <c r="E24" s="40"/>
      <c r="F24" s="40"/>
      <c r="G24" s="40"/>
      <c r="H24" s="40"/>
      <c r="I24" s="40"/>
      <c r="J24" s="40"/>
      <c r="K24" s="41"/>
    </row>
    <row r="25" spans="2:14" x14ac:dyDescent="0.2">
      <c r="B25" s="38"/>
      <c r="C25" s="40" t="s">
        <v>434</v>
      </c>
      <c r="D25" s="40"/>
      <c r="E25" s="40"/>
      <c r="F25" s="40"/>
      <c r="G25" s="40"/>
      <c r="H25" s="40"/>
      <c r="I25" s="40"/>
      <c r="J25" s="252">
        <f>'Baseline Health'!G11</f>
        <v>0</v>
      </c>
      <c r="K25" s="41"/>
    </row>
    <row r="26" spans="2:14" x14ac:dyDescent="0.2">
      <c r="B26" s="38"/>
      <c r="C26" s="40" t="s">
        <v>288</v>
      </c>
      <c r="D26" s="40"/>
      <c r="E26" s="40"/>
      <c r="F26" s="40"/>
      <c r="G26" s="40"/>
      <c r="H26" s="40"/>
      <c r="I26" s="40"/>
      <c r="J26" s="264">
        <f>'Community Characteristics'!$H$111*0.46</f>
        <v>0</v>
      </c>
      <c r="K26" s="41"/>
    </row>
    <row r="27" spans="2:14" x14ac:dyDescent="0.2">
      <c r="B27" s="38"/>
      <c r="C27" s="40" t="s">
        <v>260</v>
      </c>
      <c r="D27" s="40"/>
      <c r="E27" s="40"/>
      <c r="F27" s="40"/>
      <c r="G27" s="40"/>
      <c r="H27" s="40"/>
      <c r="I27" s="40"/>
      <c r="J27" s="248" t="str">
        <f>IF(OR(J25=0,J25="Not Calculated")=TRUE,"Not Calculated",(IF(((J26+J25)/J25)&lt;=1,0,IF(((J26+J25)/J25)&lt;=1.05,1,IF(((J26+J25)/J25)&lt;=1.5, 2,IF(((J26+J25)/J25)&lt;=2,3,4))))))</f>
        <v>Not Calculated</v>
      </c>
      <c r="K27" s="41"/>
    </row>
    <row r="28" spans="2:14" ht="9.75" customHeight="1" x14ac:dyDescent="0.2">
      <c r="B28" s="38"/>
      <c r="C28" s="279" t="str">
        <f>"0:"</f>
        <v>0:</v>
      </c>
      <c r="D28" s="281" t="s">
        <v>918</v>
      </c>
      <c r="E28" s="40"/>
      <c r="F28" s="40"/>
      <c r="G28" s="40"/>
      <c r="H28" s="40"/>
      <c r="I28" s="40"/>
      <c r="J28" s="40"/>
      <c r="K28" s="41"/>
    </row>
    <row r="29" spans="2:14" ht="9.75" customHeight="1" x14ac:dyDescent="0.2">
      <c r="B29" s="38"/>
      <c r="C29" s="280" t="str">
        <f>"1:"</f>
        <v>1:</v>
      </c>
      <c r="D29" s="281" t="s">
        <v>919</v>
      </c>
      <c r="E29" s="40"/>
      <c r="F29" s="40"/>
      <c r="G29" s="40"/>
      <c r="H29" s="40"/>
      <c r="I29" s="40"/>
      <c r="J29" s="40"/>
      <c r="K29" s="41"/>
    </row>
    <row r="30" spans="2:14" ht="9.75" customHeight="1" x14ac:dyDescent="0.2">
      <c r="B30" s="38"/>
      <c r="C30" s="280" t="str">
        <f>"2:"</f>
        <v>2:</v>
      </c>
      <c r="D30" s="281" t="s">
        <v>920</v>
      </c>
      <c r="E30" s="40"/>
      <c r="F30" s="40"/>
      <c r="G30" s="40"/>
      <c r="H30" s="40"/>
      <c r="I30" s="40"/>
      <c r="J30" s="40"/>
      <c r="K30" s="41"/>
    </row>
    <row r="31" spans="2:14" ht="9.75" customHeight="1" x14ac:dyDescent="0.2">
      <c r="B31" s="38"/>
      <c r="C31" s="280" t="str">
        <f>"3:"</f>
        <v>3:</v>
      </c>
      <c r="D31" s="281" t="s">
        <v>921</v>
      </c>
      <c r="E31" s="40"/>
      <c r="F31" s="40"/>
      <c r="G31" s="40"/>
      <c r="H31" s="40"/>
      <c r="I31" s="40"/>
      <c r="J31" s="40"/>
      <c r="K31" s="41"/>
    </row>
    <row r="32" spans="2:14" ht="9.75" customHeight="1" x14ac:dyDescent="0.2">
      <c r="B32" s="38"/>
      <c r="C32" s="280" t="str">
        <f>"4:"</f>
        <v>4:</v>
      </c>
      <c r="D32" s="281" t="s">
        <v>922</v>
      </c>
      <c r="E32" s="40"/>
      <c r="F32" s="40"/>
      <c r="G32" s="40"/>
      <c r="H32" s="40"/>
      <c r="I32" s="40"/>
      <c r="J32" s="40"/>
      <c r="K32" s="41"/>
      <c r="N32" s="12" t="s">
        <v>661</v>
      </c>
    </row>
    <row r="33" spans="2:14" x14ac:dyDescent="0.2">
      <c r="B33" s="38"/>
      <c r="C33" s="174" t="s">
        <v>662</v>
      </c>
      <c r="D33" s="40"/>
      <c r="E33" s="40"/>
      <c r="F33" s="40"/>
      <c r="G33" s="40"/>
      <c r="H33" s="40"/>
      <c r="I33" s="40"/>
      <c r="J33" s="265" t="s">
        <v>661</v>
      </c>
      <c r="K33" s="41"/>
      <c r="N33" s="12" t="s">
        <v>894</v>
      </c>
    </row>
    <row r="34" spans="2:14" x14ac:dyDescent="0.2">
      <c r="B34" s="38"/>
      <c r="C34" s="174" t="s">
        <v>660</v>
      </c>
      <c r="D34" s="40"/>
      <c r="E34" s="40"/>
      <c r="F34" s="40"/>
      <c r="G34" s="40"/>
      <c r="H34" s="40"/>
      <c r="I34" s="40"/>
      <c r="J34" s="246" t="str">
        <f>IF(J33=N32,"N/A",IF(J33=N33,0,IF(J33=N34,1,IF(J33=N35,2,IF(J33=N36,3,IF(J33=N37,4,"N/A"))))))</f>
        <v>N/A</v>
      </c>
      <c r="K34" s="41"/>
      <c r="N34" s="12" t="s">
        <v>895</v>
      </c>
    </row>
    <row r="35" spans="2:14" x14ac:dyDescent="0.2">
      <c r="B35" s="38"/>
      <c r="C35" s="40" t="s">
        <v>257</v>
      </c>
      <c r="D35" s="40"/>
      <c r="E35" s="40"/>
      <c r="F35" s="40"/>
      <c r="G35" s="40"/>
      <c r="H35" s="40"/>
      <c r="I35" s="40"/>
      <c r="J35" s="266" t="s">
        <v>882</v>
      </c>
      <c r="K35" s="41"/>
      <c r="N35" s="12" t="s">
        <v>896</v>
      </c>
    </row>
    <row r="36" spans="2:14" x14ac:dyDescent="0.2">
      <c r="B36" s="38"/>
      <c r="C36" s="40" t="s">
        <v>261</v>
      </c>
      <c r="D36" s="40"/>
      <c r="E36" s="40"/>
      <c r="F36" s="40"/>
      <c r="G36" s="40"/>
      <c r="H36" s="40"/>
      <c r="I36" s="40"/>
      <c r="J36" s="248">
        <f>IF(J35=$B$973,$A$973,IF(J35=$B$974,$A$974,IF(J35=$B$975,$A$975,IF(J35=$B$976,$A$976,IF(J35=$B$977,$A$977,"Not Calculated")))))</f>
        <v>1</v>
      </c>
      <c r="K36" s="41"/>
      <c r="N36" s="12" t="s">
        <v>897</v>
      </c>
    </row>
    <row r="37" spans="2:14" x14ac:dyDescent="0.2">
      <c r="B37" s="38"/>
      <c r="C37" s="40" t="s">
        <v>893</v>
      </c>
      <c r="D37" s="40"/>
      <c r="E37" s="40"/>
      <c r="F37" s="40"/>
      <c r="G37" s="40"/>
      <c r="H37" s="40"/>
      <c r="I37" s="40"/>
      <c r="J37" s="175"/>
      <c r="K37" s="41"/>
      <c r="N37" s="12" t="s">
        <v>898</v>
      </c>
    </row>
    <row r="38" spans="2:14" s="178" customFormat="1" ht="15" customHeight="1" x14ac:dyDescent="0.2">
      <c r="B38" s="176"/>
      <c r="C38" s="415" t="s">
        <v>1014</v>
      </c>
      <c r="D38" s="400"/>
      <c r="E38" s="400"/>
      <c r="F38" s="400"/>
      <c r="G38" s="400"/>
      <c r="H38" s="400"/>
      <c r="I38" s="400"/>
      <c r="J38" s="401"/>
      <c r="K38" s="177"/>
    </row>
    <row r="39" spans="2:14" x14ac:dyDescent="0.2">
      <c r="B39" s="38"/>
      <c r="C39" s="40"/>
      <c r="D39" s="40"/>
      <c r="E39" s="40"/>
      <c r="F39" s="40"/>
      <c r="G39" s="40"/>
      <c r="H39" s="40"/>
      <c r="I39" s="40"/>
      <c r="J39" s="40"/>
      <c r="K39" s="41"/>
    </row>
    <row r="40" spans="2:14" x14ac:dyDescent="0.2">
      <c r="B40" s="38"/>
      <c r="C40" s="179" t="s">
        <v>258</v>
      </c>
      <c r="D40" s="40"/>
      <c r="E40" s="40"/>
      <c r="F40" s="40"/>
      <c r="G40" s="40"/>
      <c r="H40" s="40"/>
      <c r="I40" s="40"/>
      <c r="J40" s="245" t="str">
        <f>IF(J34="N/A",IF(OR(J27="Not Calculated",J36="Not Calculated")=TRUE,"Not Calculated",AVERAGE(J27,J36)),AVERAGE(J34,J36))</f>
        <v>Not Calculated</v>
      </c>
      <c r="K40" s="41"/>
    </row>
    <row r="41" spans="2:14" x14ac:dyDescent="0.2">
      <c r="B41" s="38"/>
      <c r="C41" s="179"/>
      <c r="D41" s="40"/>
      <c r="E41" s="40"/>
      <c r="F41" s="40"/>
      <c r="G41" s="40"/>
      <c r="H41" s="40"/>
      <c r="I41" s="40"/>
      <c r="J41" s="245"/>
      <c r="K41" s="41"/>
    </row>
    <row r="42" spans="2:14" x14ac:dyDescent="0.2">
      <c r="B42" s="38"/>
      <c r="C42" s="40"/>
      <c r="D42" s="40"/>
      <c r="E42" s="40"/>
      <c r="F42" s="40"/>
      <c r="G42" s="40"/>
      <c r="H42" s="40"/>
      <c r="I42" s="40"/>
      <c r="J42" s="40"/>
      <c r="K42" s="41"/>
    </row>
    <row r="43" spans="2:14" ht="16" x14ac:dyDescent="0.2">
      <c r="B43" s="38"/>
      <c r="C43" s="45" t="s">
        <v>51</v>
      </c>
      <c r="D43" s="40"/>
      <c r="E43" s="40"/>
      <c r="F43" s="40"/>
      <c r="G43" s="40"/>
      <c r="H43" s="40"/>
      <c r="I43" s="40"/>
      <c r="J43" s="40"/>
      <c r="K43" s="41"/>
    </row>
    <row r="44" spans="2:14" x14ac:dyDescent="0.2">
      <c r="B44" s="38"/>
      <c r="C44" s="40" t="s">
        <v>435</v>
      </c>
      <c r="D44" s="40"/>
      <c r="E44" s="40"/>
      <c r="F44" s="40"/>
      <c r="G44" s="40"/>
      <c r="H44" s="40"/>
      <c r="I44" s="40"/>
      <c r="J44" s="252">
        <f>'Baseline Health'!G17</f>
        <v>0</v>
      </c>
      <c r="K44" s="41"/>
    </row>
    <row r="45" spans="2:14" x14ac:dyDescent="0.2">
      <c r="B45" s="38"/>
      <c r="C45" s="40" t="s">
        <v>287</v>
      </c>
      <c r="D45" s="40"/>
      <c r="E45" s="40"/>
      <c r="F45" s="40"/>
      <c r="G45" s="40"/>
      <c r="H45" s="40"/>
      <c r="I45" s="40"/>
      <c r="J45" s="264">
        <f>'Community Characteristics'!$H$111*0.38</f>
        <v>0</v>
      </c>
      <c r="K45" s="41"/>
    </row>
    <row r="46" spans="2:14" x14ac:dyDescent="0.2">
      <c r="B46" s="38"/>
      <c r="C46" s="40" t="s">
        <v>260</v>
      </c>
      <c r="D46" s="40"/>
      <c r="E46" s="40"/>
      <c r="F46" s="40"/>
      <c r="G46" s="40"/>
      <c r="H46" s="40"/>
      <c r="I46" s="40"/>
      <c r="J46" s="248" t="str">
        <f>IF(OR(J44=0,J44="Not Calculated")=TRUE,"Not Calculated",(IF(((J45+J44)/J44)&lt;=1,0,IF(((J45+J44)/J44)&lt;=1.05,1,IF(((J45+J44)/J44)&lt;=1.5, 2,IF(((J45+J44)/J44)&lt;=2,3,4))))))</f>
        <v>Not Calculated</v>
      </c>
      <c r="K46" s="41"/>
    </row>
    <row r="47" spans="2:14" ht="9.75" customHeight="1" x14ac:dyDescent="0.2">
      <c r="B47" s="38"/>
      <c r="C47" s="279" t="str">
        <f>"0:"</f>
        <v>0:</v>
      </c>
      <c r="D47" s="281" t="s">
        <v>918</v>
      </c>
      <c r="E47" s="40"/>
      <c r="F47" s="40"/>
      <c r="G47" s="40"/>
      <c r="H47" s="40"/>
      <c r="I47" s="40"/>
      <c r="J47" s="40"/>
      <c r="K47" s="41"/>
    </row>
    <row r="48" spans="2:14" ht="9.75" customHeight="1" x14ac:dyDescent="0.2">
      <c r="B48" s="38"/>
      <c r="C48" s="280" t="str">
        <f>"1:"</f>
        <v>1:</v>
      </c>
      <c r="D48" s="281" t="s">
        <v>919</v>
      </c>
      <c r="E48" s="40"/>
      <c r="F48" s="40"/>
      <c r="G48" s="40"/>
      <c r="H48" s="40"/>
      <c r="I48" s="40"/>
      <c r="J48" s="40"/>
      <c r="K48" s="41"/>
    </row>
    <row r="49" spans="2:14" ht="9.75" customHeight="1" x14ac:dyDescent="0.2">
      <c r="B49" s="38"/>
      <c r="C49" s="280" t="str">
        <f>"2:"</f>
        <v>2:</v>
      </c>
      <c r="D49" s="281" t="s">
        <v>920</v>
      </c>
      <c r="E49" s="40"/>
      <c r="F49" s="40"/>
      <c r="G49" s="40"/>
      <c r="H49" s="40"/>
      <c r="I49" s="40"/>
      <c r="J49" s="40"/>
      <c r="K49" s="41"/>
    </row>
    <row r="50" spans="2:14" ht="9.75" customHeight="1" x14ac:dyDescent="0.2">
      <c r="B50" s="38"/>
      <c r="C50" s="280" t="str">
        <f>"3:"</f>
        <v>3:</v>
      </c>
      <c r="D50" s="281" t="s">
        <v>921</v>
      </c>
      <c r="E50" s="40"/>
      <c r="F50" s="40"/>
      <c r="G50" s="40"/>
      <c r="H50" s="40"/>
      <c r="I50" s="40"/>
      <c r="J50" s="40"/>
      <c r="K50" s="41"/>
    </row>
    <row r="51" spans="2:14" ht="9.75" customHeight="1" x14ac:dyDescent="0.2">
      <c r="B51" s="38"/>
      <c r="C51" s="280" t="str">
        <f>"4:"</f>
        <v>4:</v>
      </c>
      <c r="D51" s="281" t="s">
        <v>922</v>
      </c>
      <c r="E51" s="40"/>
      <c r="F51" s="40"/>
      <c r="G51" s="40"/>
      <c r="H51" s="40"/>
      <c r="I51" s="40"/>
      <c r="J51" s="40"/>
      <c r="K51" s="41"/>
      <c r="N51" s="12" t="s">
        <v>661</v>
      </c>
    </row>
    <row r="52" spans="2:14" x14ac:dyDescent="0.2">
      <c r="B52" s="38"/>
      <c r="C52" s="174" t="s">
        <v>662</v>
      </c>
      <c r="D52" s="40"/>
      <c r="E52" s="40"/>
      <c r="F52" s="40"/>
      <c r="G52" s="40"/>
      <c r="H52" s="40"/>
      <c r="I52" s="40"/>
      <c r="J52" s="265" t="s">
        <v>661</v>
      </c>
      <c r="K52" s="41"/>
      <c r="N52" s="12" t="s">
        <v>894</v>
      </c>
    </row>
    <row r="53" spans="2:14" x14ac:dyDescent="0.2">
      <c r="B53" s="38"/>
      <c r="C53" s="174" t="s">
        <v>660</v>
      </c>
      <c r="D53" s="40"/>
      <c r="E53" s="40"/>
      <c r="F53" s="40"/>
      <c r="G53" s="40"/>
      <c r="H53" s="40"/>
      <c r="I53" s="40"/>
      <c r="J53" s="246" t="str">
        <f>IF(J52=N51,"N/A",IF(J52=N52,0,IF(J52=N53,1,IF(J52=N54,2,IF(J52=N55,3,IF(J52=N56,4,"N/A"))))))</f>
        <v>N/A</v>
      </c>
      <c r="K53" s="41"/>
      <c r="N53" s="12" t="s">
        <v>895</v>
      </c>
    </row>
    <row r="54" spans="2:14" x14ac:dyDescent="0.2">
      <c r="B54" s="38"/>
      <c r="C54" s="40" t="s">
        <v>257</v>
      </c>
      <c r="D54" s="40"/>
      <c r="E54" s="40"/>
      <c r="F54" s="40"/>
      <c r="G54" s="40"/>
      <c r="H54" s="40"/>
      <c r="I54" s="40"/>
      <c r="J54" s="266" t="s">
        <v>882</v>
      </c>
      <c r="K54" s="41"/>
      <c r="N54" s="12" t="s">
        <v>896</v>
      </c>
    </row>
    <row r="55" spans="2:14" x14ac:dyDescent="0.2">
      <c r="B55" s="38"/>
      <c r="C55" s="40" t="s">
        <v>261</v>
      </c>
      <c r="D55" s="40"/>
      <c r="E55" s="40"/>
      <c r="F55" s="40"/>
      <c r="G55" s="40"/>
      <c r="H55" s="40"/>
      <c r="I55" s="40"/>
      <c r="J55" s="248">
        <f>IF(J54=$B$973,$A$973,IF(J54=$B$974,$A$974,IF(J54=$B$975,$A$975,IF(J54=$B$976,$A$976,IF(J54=$B$977,$A$977,"Not Calculated")))))</f>
        <v>1</v>
      </c>
      <c r="K55" s="41"/>
      <c r="N55" s="12" t="s">
        <v>897</v>
      </c>
    </row>
    <row r="56" spans="2:14" x14ac:dyDescent="0.2">
      <c r="B56" s="38"/>
      <c r="C56" s="40" t="s">
        <v>893</v>
      </c>
      <c r="D56" s="40"/>
      <c r="E56" s="40"/>
      <c r="F56" s="40"/>
      <c r="G56" s="40"/>
      <c r="H56" s="40"/>
      <c r="I56" s="40"/>
      <c r="J56" s="175"/>
      <c r="K56" s="41"/>
      <c r="N56" s="12" t="s">
        <v>898</v>
      </c>
    </row>
    <row r="57" spans="2:14" s="178" customFormat="1" ht="60" customHeight="1" x14ac:dyDescent="0.2">
      <c r="B57" s="176"/>
      <c r="C57" s="415" t="s">
        <v>1015</v>
      </c>
      <c r="D57" s="400"/>
      <c r="E57" s="400"/>
      <c r="F57" s="400"/>
      <c r="G57" s="400"/>
      <c r="H57" s="400"/>
      <c r="I57" s="400"/>
      <c r="J57" s="401"/>
      <c r="K57" s="177"/>
    </row>
    <row r="58" spans="2:14" x14ac:dyDescent="0.2">
      <c r="B58" s="38"/>
      <c r="C58" s="40"/>
      <c r="D58" s="40"/>
      <c r="E58" s="40"/>
      <c r="F58" s="40"/>
      <c r="G58" s="40"/>
      <c r="H58" s="40"/>
      <c r="I58" s="40"/>
      <c r="J58" s="40"/>
      <c r="K58" s="41"/>
    </row>
    <row r="59" spans="2:14" x14ac:dyDescent="0.2">
      <c r="B59" s="38"/>
      <c r="C59" s="179" t="s">
        <v>263</v>
      </c>
      <c r="D59" s="40"/>
      <c r="E59" s="40"/>
      <c r="F59" s="40"/>
      <c r="G59" s="40"/>
      <c r="H59" s="40"/>
      <c r="I59" s="40"/>
      <c r="J59" s="245" t="str">
        <f>IF(J53="N/A",IF(OR(J46="Not Calculated",J55="Not Calculated")=TRUE,"Not Calculated",AVERAGE(J46,J55)),AVERAGE(J53,J55))</f>
        <v>Not Calculated</v>
      </c>
      <c r="K59" s="41"/>
    </row>
    <row r="60" spans="2:14" x14ac:dyDescent="0.2">
      <c r="B60" s="38"/>
      <c r="C60" s="40"/>
      <c r="D60" s="40"/>
      <c r="E60" s="40"/>
      <c r="F60" s="40"/>
      <c r="G60" s="40"/>
      <c r="H60" s="40"/>
      <c r="I60" s="40"/>
      <c r="J60" s="40"/>
      <c r="K60" s="41"/>
    </row>
    <row r="61" spans="2:14" x14ac:dyDescent="0.2">
      <c r="B61" s="38"/>
      <c r="C61" s="40"/>
      <c r="D61" s="40"/>
      <c r="E61" s="40"/>
      <c r="F61" s="40"/>
      <c r="G61" s="40"/>
      <c r="H61" s="40"/>
      <c r="I61" s="40"/>
      <c r="J61" s="40"/>
      <c r="K61" s="41"/>
    </row>
    <row r="62" spans="2:14" ht="16" x14ac:dyDescent="0.2">
      <c r="B62" s="38"/>
      <c r="C62" s="45" t="s">
        <v>54</v>
      </c>
      <c r="D62" s="40"/>
      <c r="E62" s="40"/>
      <c r="F62" s="40"/>
      <c r="G62" s="40"/>
      <c r="H62" s="40"/>
      <c r="I62" s="40"/>
      <c r="J62" s="40"/>
      <c r="K62" s="41"/>
    </row>
    <row r="63" spans="2:14" x14ac:dyDescent="0.2">
      <c r="B63" s="38"/>
      <c r="C63" s="40" t="s">
        <v>436</v>
      </c>
      <c r="D63" s="40"/>
      <c r="E63" s="40"/>
      <c r="F63" s="40"/>
      <c r="G63" s="40"/>
      <c r="H63" s="40"/>
      <c r="I63" s="40"/>
      <c r="J63" s="252">
        <f>'Baseline Health'!G23</f>
        <v>0</v>
      </c>
      <c r="K63" s="41"/>
    </row>
    <row r="64" spans="2:14" x14ac:dyDescent="0.2">
      <c r="B64" s="38"/>
      <c r="C64" s="40" t="s">
        <v>289</v>
      </c>
      <c r="D64" s="40"/>
      <c r="E64" s="40"/>
      <c r="F64" s="40"/>
      <c r="G64" s="40"/>
      <c r="H64" s="40"/>
      <c r="I64" s="40"/>
      <c r="J64" s="264">
        <f>'Community Characteristics'!$H$111*1.51</f>
        <v>0</v>
      </c>
      <c r="K64" s="41"/>
    </row>
    <row r="65" spans="2:14" x14ac:dyDescent="0.2">
      <c r="B65" s="38"/>
      <c r="C65" s="40" t="s">
        <v>260</v>
      </c>
      <c r="D65" s="40"/>
      <c r="E65" s="40"/>
      <c r="F65" s="40"/>
      <c r="G65" s="40"/>
      <c r="H65" s="40"/>
      <c r="I65" s="40"/>
      <c r="J65" s="248" t="str">
        <f>IF(OR(J63=0,J63="Not Calculated")=TRUE,"Not Calculated",(IF(((J64+J63)/J63)&lt;=1,0,IF(((J64+J63)/J63)&lt;=1.05,1,IF(((J64+J63)/J63)&lt;=1.5, 2,IF(((J64+J63)/J63)&lt;=2,3,4))))))</f>
        <v>Not Calculated</v>
      </c>
      <c r="K65" s="41"/>
    </row>
    <row r="66" spans="2:14" ht="9.75" customHeight="1" x14ac:dyDescent="0.2">
      <c r="B66" s="38"/>
      <c r="C66" s="279" t="str">
        <f>"0:"</f>
        <v>0:</v>
      </c>
      <c r="D66" s="281" t="s">
        <v>918</v>
      </c>
      <c r="E66" s="40"/>
      <c r="F66" s="40"/>
      <c r="G66" s="40"/>
      <c r="H66" s="40"/>
      <c r="I66" s="40"/>
      <c r="J66" s="40"/>
      <c r="K66" s="41"/>
    </row>
    <row r="67" spans="2:14" ht="9.75" customHeight="1" x14ac:dyDescent="0.2">
      <c r="B67" s="38"/>
      <c r="C67" s="280" t="str">
        <f>"1:"</f>
        <v>1:</v>
      </c>
      <c r="D67" s="281" t="s">
        <v>919</v>
      </c>
      <c r="E67" s="40"/>
      <c r="F67" s="40"/>
      <c r="G67" s="40"/>
      <c r="H67" s="40"/>
      <c r="I67" s="40"/>
      <c r="J67" s="40"/>
      <c r="K67" s="41"/>
    </row>
    <row r="68" spans="2:14" ht="9.75" customHeight="1" x14ac:dyDescent="0.2">
      <c r="B68" s="38"/>
      <c r="C68" s="280" t="str">
        <f>"2:"</f>
        <v>2:</v>
      </c>
      <c r="D68" s="281" t="s">
        <v>920</v>
      </c>
      <c r="E68" s="40"/>
      <c r="F68" s="40"/>
      <c r="G68" s="40"/>
      <c r="H68" s="40"/>
      <c r="I68" s="40"/>
      <c r="J68" s="40"/>
      <c r="K68" s="41"/>
    </row>
    <row r="69" spans="2:14" ht="9.75" customHeight="1" x14ac:dyDescent="0.2">
      <c r="B69" s="38"/>
      <c r="C69" s="280" t="str">
        <f>"3:"</f>
        <v>3:</v>
      </c>
      <c r="D69" s="281" t="s">
        <v>921</v>
      </c>
      <c r="E69" s="40"/>
      <c r="F69" s="40"/>
      <c r="G69" s="40"/>
      <c r="H69" s="40"/>
      <c r="I69" s="40"/>
      <c r="J69" s="40"/>
      <c r="K69" s="41"/>
    </row>
    <row r="70" spans="2:14" ht="9.75" customHeight="1" x14ac:dyDescent="0.2">
      <c r="B70" s="38"/>
      <c r="C70" s="280" t="str">
        <f>"4:"</f>
        <v>4:</v>
      </c>
      <c r="D70" s="281" t="s">
        <v>922</v>
      </c>
      <c r="E70" s="40"/>
      <c r="F70" s="40"/>
      <c r="G70" s="40"/>
      <c r="H70" s="40"/>
      <c r="I70" s="40"/>
      <c r="J70" s="40"/>
      <c r="K70" s="41"/>
      <c r="N70" s="12" t="s">
        <v>661</v>
      </c>
    </row>
    <row r="71" spans="2:14" x14ac:dyDescent="0.2">
      <c r="B71" s="38"/>
      <c r="C71" s="174" t="s">
        <v>662</v>
      </c>
      <c r="D71" s="40"/>
      <c r="E71" s="40"/>
      <c r="F71" s="40"/>
      <c r="G71" s="40"/>
      <c r="H71" s="40"/>
      <c r="I71" s="40"/>
      <c r="J71" s="265" t="s">
        <v>661</v>
      </c>
      <c r="K71" s="41"/>
      <c r="N71" s="12" t="s">
        <v>894</v>
      </c>
    </row>
    <row r="72" spans="2:14" x14ac:dyDescent="0.2">
      <c r="B72" s="38"/>
      <c r="C72" s="174" t="s">
        <v>660</v>
      </c>
      <c r="D72" s="40"/>
      <c r="E72" s="40"/>
      <c r="F72" s="40"/>
      <c r="G72" s="40"/>
      <c r="H72" s="40"/>
      <c r="I72" s="40"/>
      <c r="J72" s="246" t="str">
        <f>IF(J71=N70,"N/A",IF(J71=N71,0,IF(J71=N72,1,IF(J71=N73,2,IF(J71=N74,3,IF(J71=N75,4,"N/A"))))))</f>
        <v>N/A</v>
      </c>
      <c r="K72" s="41"/>
      <c r="N72" s="12" t="s">
        <v>895</v>
      </c>
    </row>
    <row r="73" spans="2:14" x14ac:dyDescent="0.2">
      <c r="B73" s="38"/>
      <c r="C73" s="40" t="s">
        <v>257</v>
      </c>
      <c r="D73" s="40"/>
      <c r="E73" s="40"/>
      <c r="F73" s="40"/>
      <c r="G73" s="40"/>
      <c r="H73" s="40"/>
      <c r="I73" s="40"/>
      <c r="J73" s="266" t="s">
        <v>882</v>
      </c>
      <c r="K73" s="41"/>
      <c r="N73" s="12" t="s">
        <v>896</v>
      </c>
    </row>
    <row r="74" spans="2:14" x14ac:dyDescent="0.2">
      <c r="B74" s="38"/>
      <c r="C74" s="40" t="s">
        <v>261</v>
      </c>
      <c r="D74" s="40"/>
      <c r="E74" s="40"/>
      <c r="F74" s="40"/>
      <c r="G74" s="40"/>
      <c r="H74" s="40"/>
      <c r="I74" s="40"/>
      <c r="J74" s="248">
        <f>IF(J73=$B$973,$A$973,IF(J73=$B$974,$A$974,IF(J73=$B$975,$A$975,IF(J73=$B$976,$A$976,IF(J73=$B$977,$A$977,"Not Calculated")))))</f>
        <v>1</v>
      </c>
      <c r="K74" s="41"/>
      <c r="N74" s="12" t="s">
        <v>897</v>
      </c>
    </row>
    <row r="75" spans="2:14" x14ac:dyDescent="0.2">
      <c r="B75" s="38"/>
      <c r="C75" s="40" t="s">
        <v>893</v>
      </c>
      <c r="D75" s="40"/>
      <c r="E75" s="40"/>
      <c r="F75" s="40"/>
      <c r="G75" s="40"/>
      <c r="H75" s="40"/>
      <c r="I75" s="40"/>
      <c r="J75" s="175"/>
      <c r="K75" s="41"/>
      <c r="N75" s="12" t="s">
        <v>898</v>
      </c>
    </row>
    <row r="76" spans="2:14" s="178" customFormat="1" ht="30" customHeight="1" x14ac:dyDescent="0.2">
      <c r="B76" s="176"/>
      <c r="C76" s="415" t="s">
        <v>1016</v>
      </c>
      <c r="D76" s="400"/>
      <c r="E76" s="400"/>
      <c r="F76" s="400"/>
      <c r="G76" s="400"/>
      <c r="H76" s="400"/>
      <c r="I76" s="400"/>
      <c r="J76" s="401"/>
      <c r="K76" s="177"/>
    </row>
    <row r="77" spans="2:14" x14ac:dyDescent="0.2">
      <c r="B77" s="38"/>
      <c r="C77" s="40"/>
      <c r="D77" s="40"/>
      <c r="E77" s="40"/>
      <c r="F77" s="40"/>
      <c r="G77" s="40"/>
      <c r="H77" s="40"/>
      <c r="I77" s="40"/>
      <c r="J77" s="40"/>
      <c r="K77" s="41"/>
    </row>
    <row r="78" spans="2:14" x14ac:dyDescent="0.2">
      <c r="B78" s="38"/>
      <c r="C78" s="179" t="s">
        <v>264</v>
      </c>
      <c r="D78" s="40"/>
      <c r="E78" s="40"/>
      <c r="F78" s="40"/>
      <c r="G78" s="40"/>
      <c r="H78" s="40"/>
      <c r="I78" s="40"/>
      <c r="J78" s="245" t="str">
        <f>IF(J72="N/A",IF(OR(J65="Not Calculated",J74="Not Calculated")=TRUE,"Not Calculated",AVERAGE(J65,J74)),AVERAGE(J72,J74))</f>
        <v>Not Calculated</v>
      </c>
      <c r="K78" s="41"/>
    </row>
    <row r="79" spans="2:14" x14ac:dyDescent="0.2">
      <c r="B79" s="38"/>
      <c r="C79" s="40"/>
      <c r="D79" s="40"/>
      <c r="E79" s="40"/>
      <c r="F79" s="40"/>
      <c r="G79" s="40"/>
      <c r="H79" s="40"/>
      <c r="I79" s="40"/>
      <c r="J79" s="40"/>
      <c r="K79" s="41"/>
    </row>
    <row r="80" spans="2:14" x14ac:dyDescent="0.2">
      <c r="B80" s="38"/>
      <c r="C80" s="40"/>
      <c r="D80" s="40"/>
      <c r="E80" s="40"/>
      <c r="F80" s="40"/>
      <c r="G80" s="40"/>
      <c r="H80" s="40"/>
      <c r="I80" s="40"/>
      <c r="J80" s="40"/>
      <c r="K80" s="41"/>
    </row>
    <row r="81" spans="2:14" ht="16" x14ac:dyDescent="0.2">
      <c r="B81" s="38"/>
      <c r="C81" s="45" t="s">
        <v>57</v>
      </c>
      <c r="D81" s="40"/>
      <c r="E81" s="40"/>
      <c r="F81" s="40"/>
      <c r="G81" s="40"/>
      <c r="H81" s="40"/>
      <c r="I81" s="40"/>
      <c r="J81" s="40"/>
      <c r="K81" s="41"/>
    </row>
    <row r="82" spans="2:14" x14ac:dyDescent="0.2">
      <c r="B82" s="38"/>
      <c r="C82" s="40" t="s">
        <v>437</v>
      </c>
      <c r="D82" s="40"/>
      <c r="E82" s="40"/>
      <c r="F82" s="40"/>
      <c r="G82" s="40"/>
      <c r="H82" s="40"/>
      <c r="I82" s="40"/>
      <c r="J82" s="252">
        <f>'Baseline Health'!G29</f>
        <v>0</v>
      </c>
      <c r="K82" s="41"/>
    </row>
    <row r="83" spans="2:14" x14ac:dyDescent="0.2">
      <c r="B83" s="38"/>
      <c r="C83" s="40" t="s">
        <v>290</v>
      </c>
      <c r="D83" s="40"/>
      <c r="E83" s="40"/>
      <c r="F83" s="40"/>
      <c r="G83" s="40"/>
      <c r="H83" s="40"/>
      <c r="I83" s="40"/>
      <c r="J83" s="264">
        <f>'Community Characteristics'!$H$111*0.64</f>
        <v>0</v>
      </c>
      <c r="K83" s="41"/>
    </row>
    <row r="84" spans="2:14" x14ac:dyDescent="0.2">
      <c r="B84" s="38"/>
      <c r="C84" s="40" t="s">
        <v>260</v>
      </c>
      <c r="D84" s="40"/>
      <c r="E84" s="40"/>
      <c r="F84" s="40"/>
      <c r="G84" s="40"/>
      <c r="H84" s="40"/>
      <c r="I84" s="40"/>
      <c r="J84" s="248" t="str">
        <f>IF(OR(J82=0,J82="Not Calculated")=TRUE,"Not Calculated",(IF(((J83+J82)/J82)&lt;=1,0,IF(((J83+J82)/J82)&lt;=1.05,1,IF(((J83+J82)/J82)&lt;=1.5, 2,IF(((J83+J82)/J82)&lt;=2,3,4))))))</f>
        <v>Not Calculated</v>
      </c>
      <c r="K84" s="41"/>
    </row>
    <row r="85" spans="2:14" ht="9.75" customHeight="1" x14ac:dyDescent="0.2">
      <c r="B85" s="38"/>
      <c r="C85" s="279" t="str">
        <f>"0:"</f>
        <v>0:</v>
      </c>
      <c r="D85" s="281" t="s">
        <v>918</v>
      </c>
      <c r="E85" s="40"/>
      <c r="F85" s="40"/>
      <c r="G85" s="40"/>
      <c r="H85" s="40"/>
      <c r="I85" s="40"/>
      <c r="J85" s="40"/>
      <c r="K85" s="41"/>
    </row>
    <row r="86" spans="2:14" ht="9.75" customHeight="1" x14ac:dyDescent="0.2">
      <c r="B86" s="38"/>
      <c r="C86" s="280" t="str">
        <f>"1:"</f>
        <v>1:</v>
      </c>
      <c r="D86" s="281" t="s">
        <v>919</v>
      </c>
      <c r="E86" s="40"/>
      <c r="F86" s="40"/>
      <c r="G86" s="40"/>
      <c r="H86" s="40"/>
      <c r="I86" s="40"/>
      <c r="J86" s="40"/>
      <c r="K86" s="41"/>
    </row>
    <row r="87" spans="2:14" ht="9.75" customHeight="1" x14ac:dyDescent="0.2">
      <c r="B87" s="38"/>
      <c r="C87" s="280" t="str">
        <f>"2:"</f>
        <v>2:</v>
      </c>
      <c r="D87" s="281" t="s">
        <v>920</v>
      </c>
      <c r="E87" s="40"/>
      <c r="F87" s="40"/>
      <c r="G87" s="40"/>
      <c r="H87" s="40"/>
      <c r="I87" s="40"/>
      <c r="J87" s="40"/>
      <c r="K87" s="41"/>
    </row>
    <row r="88" spans="2:14" ht="9.75" customHeight="1" x14ac:dyDescent="0.2">
      <c r="B88" s="38"/>
      <c r="C88" s="280" t="str">
        <f>"3:"</f>
        <v>3:</v>
      </c>
      <c r="D88" s="281" t="s">
        <v>921</v>
      </c>
      <c r="E88" s="40"/>
      <c r="F88" s="40"/>
      <c r="G88" s="40"/>
      <c r="H88" s="40"/>
      <c r="I88" s="40"/>
      <c r="J88" s="40"/>
      <c r="K88" s="41"/>
    </row>
    <row r="89" spans="2:14" ht="9.75" customHeight="1" x14ac:dyDescent="0.2">
      <c r="B89" s="38"/>
      <c r="C89" s="280" t="str">
        <f>"4:"</f>
        <v>4:</v>
      </c>
      <c r="D89" s="281" t="s">
        <v>922</v>
      </c>
      <c r="E89" s="40"/>
      <c r="F89" s="40"/>
      <c r="G89" s="40"/>
      <c r="H89" s="40"/>
      <c r="I89" s="40"/>
      <c r="J89" s="40"/>
      <c r="K89" s="41"/>
      <c r="N89" s="12" t="s">
        <v>661</v>
      </c>
    </row>
    <row r="90" spans="2:14" x14ac:dyDescent="0.2">
      <c r="B90" s="38"/>
      <c r="C90" s="174" t="s">
        <v>662</v>
      </c>
      <c r="D90" s="40"/>
      <c r="E90" s="40"/>
      <c r="F90" s="40"/>
      <c r="G90" s="40"/>
      <c r="H90" s="40"/>
      <c r="I90" s="40"/>
      <c r="J90" s="265" t="s">
        <v>661</v>
      </c>
      <c r="K90" s="41"/>
      <c r="N90" s="12" t="s">
        <v>894</v>
      </c>
    </row>
    <row r="91" spans="2:14" x14ac:dyDescent="0.2">
      <c r="B91" s="38"/>
      <c r="C91" s="174" t="s">
        <v>660</v>
      </c>
      <c r="D91" s="40"/>
      <c r="E91" s="40"/>
      <c r="F91" s="40"/>
      <c r="G91" s="40"/>
      <c r="H91" s="40"/>
      <c r="I91" s="40"/>
      <c r="J91" s="246" t="str">
        <f>IF(J90=N89,"N/A",IF(J90=N90,0,IF(J90=N91,1,IF(J90=N92,2,IF(J90=N93,3,IF(J90=N94,4,"N/A"))))))</f>
        <v>N/A</v>
      </c>
      <c r="K91" s="41"/>
      <c r="N91" s="12" t="s">
        <v>895</v>
      </c>
    </row>
    <row r="92" spans="2:14" x14ac:dyDescent="0.2">
      <c r="B92" s="38"/>
      <c r="C92" s="40" t="s">
        <v>257</v>
      </c>
      <c r="D92" s="40"/>
      <c r="E92" s="40"/>
      <c r="F92" s="40"/>
      <c r="G92" s="40"/>
      <c r="H92" s="40"/>
      <c r="I92" s="40"/>
      <c r="J92" s="266" t="s">
        <v>882</v>
      </c>
      <c r="K92" s="41"/>
      <c r="N92" s="12" t="s">
        <v>896</v>
      </c>
    </row>
    <row r="93" spans="2:14" x14ac:dyDescent="0.2">
      <c r="B93" s="38"/>
      <c r="C93" s="40" t="s">
        <v>261</v>
      </c>
      <c r="D93" s="40"/>
      <c r="E93" s="40"/>
      <c r="F93" s="40"/>
      <c r="G93" s="40"/>
      <c r="H93" s="40"/>
      <c r="I93" s="40"/>
      <c r="J93" s="248">
        <f>IF(J92=$B$973,$A$973,IF(J92=$B$974,$A$974,IF(J92=$B$975,$A$975,IF(J92=$B$976,$A$976,IF(J92=$B$977,$A$977,"Not Calculated")))))</f>
        <v>1</v>
      </c>
      <c r="K93" s="41"/>
      <c r="N93" s="12" t="s">
        <v>897</v>
      </c>
    </row>
    <row r="94" spans="2:14" x14ac:dyDescent="0.2">
      <c r="B94" s="38"/>
      <c r="C94" s="40" t="s">
        <v>893</v>
      </c>
      <c r="D94" s="40"/>
      <c r="E94" s="40"/>
      <c r="F94" s="40"/>
      <c r="G94" s="40"/>
      <c r="H94" s="40"/>
      <c r="I94" s="40"/>
      <c r="J94" s="175"/>
      <c r="K94" s="41"/>
      <c r="N94" s="12" t="s">
        <v>898</v>
      </c>
    </row>
    <row r="95" spans="2:14" s="178" customFormat="1" ht="30" customHeight="1" x14ac:dyDescent="0.2">
      <c r="B95" s="176"/>
      <c r="C95" s="415" t="s">
        <v>1017</v>
      </c>
      <c r="D95" s="400"/>
      <c r="E95" s="400"/>
      <c r="F95" s="400"/>
      <c r="G95" s="400"/>
      <c r="H95" s="400"/>
      <c r="I95" s="400"/>
      <c r="J95" s="401"/>
      <c r="K95" s="177"/>
    </row>
    <row r="96" spans="2:14" x14ac:dyDescent="0.2">
      <c r="B96" s="38"/>
      <c r="C96" s="40"/>
      <c r="D96" s="40"/>
      <c r="E96" s="40"/>
      <c r="F96" s="40"/>
      <c r="G96" s="40"/>
      <c r="H96" s="40"/>
      <c r="I96" s="40"/>
      <c r="J96" s="40"/>
      <c r="K96" s="41"/>
    </row>
    <row r="97" spans="2:14" x14ac:dyDescent="0.2">
      <c r="B97" s="38"/>
      <c r="C97" s="179" t="s">
        <v>265</v>
      </c>
      <c r="D97" s="40"/>
      <c r="E97" s="40"/>
      <c r="F97" s="40"/>
      <c r="G97" s="40"/>
      <c r="H97" s="40"/>
      <c r="I97" s="40"/>
      <c r="J97" s="245" t="str">
        <f>IF(J91="N/A",IF(OR(J84="Not Calculated",J93="Not Calculated")=TRUE,"Not Calculated",AVERAGE(J84,J93)),AVERAGE(J91,J93))</f>
        <v>Not Calculated</v>
      </c>
      <c r="K97" s="41"/>
    </row>
    <row r="98" spans="2:14" x14ac:dyDescent="0.2">
      <c r="B98" s="38"/>
      <c r="C98" s="40"/>
      <c r="D98" s="40"/>
      <c r="E98" s="40"/>
      <c r="F98" s="40"/>
      <c r="G98" s="40"/>
      <c r="H98" s="40"/>
      <c r="I98" s="40"/>
      <c r="J98" s="40"/>
      <c r="K98" s="41"/>
    </row>
    <row r="99" spans="2:14" x14ac:dyDescent="0.2">
      <c r="B99" s="38"/>
      <c r="C99" s="40"/>
      <c r="D99" s="40"/>
      <c r="E99" s="40"/>
      <c r="F99" s="40"/>
      <c r="G99" s="40"/>
      <c r="H99" s="40"/>
      <c r="I99" s="40"/>
      <c r="J99" s="40"/>
      <c r="K99" s="41"/>
    </row>
    <row r="100" spans="2:14" ht="16" x14ac:dyDescent="0.2">
      <c r="B100" s="38"/>
      <c r="C100" s="45" t="s">
        <v>60</v>
      </c>
      <c r="D100" s="40"/>
      <c r="E100" s="40"/>
      <c r="F100" s="40"/>
      <c r="G100" s="40"/>
      <c r="H100" s="40"/>
      <c r="I100" s="40"/>
      <c r="J100" s="40"/>
      <c r="K100" s="41"/>
    </row>
    <row r="101" spans="2:14" x14ac:dyDescent="0.2">
      <c r="B101" s="38"/>
      <c r="C101" s="40" t="s">
        <v>438</v>
      </c>
      <c r="D101" s="40"/>
      <c r="E101" s="40"/>
      <c r="F101" s="40"/>
      <c r="G101" s="40"/>
      <c r="H101" s="40"/>
      <c r="I101" s="40"/>
      <c r="J101" s="252">
        <f>'Baseline Health'!G35</f>
        <v>0</v>
      </c>
      <c r="K101" s="41"/>
    </row>
    <row r="102" spans="2:14" x14ac:dyDescent="0.2">
      <c r="B102" s="38"/>
      <c r="C102" s="40" t="s">
        <v>291</v>
      </c>
      <c r="D102" s="40"/>
      <c r="E102" s="40"/>
      <c r="F102" s="40"/>
      <c r="G102" s="40"/>
      <c r="H102" s="40"/>
      <c r="I102" s="40"/>
      <c r="J102" s="264">
        <f>'Community Characteristics'!$H$111*0.23</f>
        <v>0</v>
      </c>
      <c r="K102" s="41"/>
    </row>
    <row r="103" spans="2:14" x14ac:dyDescent="0.2">
      <c r="B103" s="38"/>
      <c r="C103" s="40" t="s">
        <v>260</v>
      </c>
      <c r="D103" s="40"/>
      <c r="E103" s="40"/>
      <c r="F103" s="40"/>
      <c r="G103" s="40"/>
      <c r="H103" s="40"/>
      <c r="I103" s="40"/>
      <c r="J103" s="248" t="str">
        <f>IF(OR(J101=0,J101="Not Calculated")=TRUE,"Not Calculated",(IF(((J102+J101)/J101)&lt;=1,0,IF(((J102+J101)/J101)&lt;=1.05,1,IF(((J102+J101)/J101)&lt;=1.5, 2,IF(((J102+J101)/J101)&lt;=2,3,4))))))</f>
        <v>Not Calculated</v>
      </c>
      <c r="K103" s="41"/>
    </row>
    <row r="104" spans="2:14" ht="9.75" customHeight="1" x14ac:dyDescent="0.2">
      <c r="B104" s="38"/>
      <c r="C104" s="279" t="str">
        <f>"0:"</f>
        <v>0:</v>
      </c>
      <c r="D104" s="281" t="s">
        <v>918</v>
      </c>
      <c r="E104" s="40"/>
      <c r="F104" s="40"/>
      <c r="G104" s="40"/>
      <c r="H104" s="40"/>
      <c r="I104" s="40"/>
      <c r="J104" s="40"/>
      <c r="K104" s="41"/>
    </row>
    <row r="105" spans="2:14" ht="9.75" customHeight="1" x14ac:dyDescent="0.2">
      <c r="B105" s="38"/>
      <c r="C105" s="280" t="str">
        <f>"1:"</f>
        <v>1:</v>
      </c>
      <c r="D105" s="281" t="s">
        <v>919</v>
      </c>
      <c r="E105" s="40"/>
      <c r="F105" s="40"/>
      <c r="G105" s="40"/>
      <c r="H105" s="40"/>
      <c r="I105" s="40"/>
      <c r="J105" s="40"/>
      <c r="K105" s="41"/>
    </row>
    <row r="106" spans="2:14" ht="9.75" customHeight="1" x14ac:dyDescent="0.2">
      <c r="B106" s="38"/>
      <c r="C106" s="280" t="str">
        <f>"2:"</f>
        <v>2:</v>
      </c>
      <c r="D106" s="281" t="s">
        <v>920</v>
      </c>
      <c r="E106" s="40"/>
      <c r="F106" s="40"/>
      <c r="G106" s="40"/>
      <c r="H106" s="40"/>
      <c r="I106" s="40"/>
      <c r="J106" s="40"/>
      <c r="K106" s="41"/>
    </row>
    <row r="107" spans="2:14" ht="9.75" customHeight="1" x14ac:dyDescent="0.2">
      <c r="B107" s="38"/>
      <c r="C107" s="280" t="str">
        <f>"3:"</f>
        <v>3:</v>
      </c>
      <c r="D107" s="281" t="s">
        <v>921</v>
      </c>
      <c r="E107" s="40"/>
      <c r="F107" s="40"/>
      <c r="G107" s="40"/>
      <c r="H107" s="40"/>
      <c r="I107" s="40"/>
      <c r="J107" s="40"/>
      <c r="K107" s="41"/>
    </row>
    <row r="108" spans="2:14" ht="9.75" customHeight="1" x14ac:dyDescent="0.2">
      <c r="B108" s="38"/>
      <c r="C108" s="280" t="str">
        <f>"4:"</f>
        <v>4:</v>
      </c>
      <c r="D108" s="281" t="s">
        <v>922</v>
      </c>
      <c r="E108" s="40"/>
      <c r="F108" s="40"/>
      <c r="G108" s="40"/>
      <c r="H108" s="40"/>
      <c r="I108" s="40"/>
      <c r="J108" s="40"/>
      <c r="K108" s="41"/>
      <c r="N108" s="12" t="s">
        <v>661</v>
      </c>
    </row>
    <row r="109" spans="2:14" x14ac:dyDescent="0.2">
      <c r="B109" s="38"/>
      <c r="C109" s="174" t="s">
        <v>662</v>
      </c>
      <c r="D109" s="40"/>
      <c r="E109" s="40"/>
      <c r="F109" s="40"/>
      <c r="G109" s="40"/>
      <c r="H109" s="40"/>
      <c r="I109" s="40"/>
      <c r="J109" s="265" t="s">
        <v>661</v>
      </c>
      <c r="K109" s="41"/>
      <c r="N109" s="12" t="s">
        <v>894</v>
      </c>
    </row>
    <row r="110" spans="2:14" x14ac:dyDescent="0.2">
      <c r="B110" s="38"/>
      <c r="C110" s="174" t="s">
        <v>660</v>
      </c>
      <c r="D110" s="40"/>
      <c r="E110" s="40"/>
      <c r="F110" s="40"/>
      <c r="G110" s="40"/>
      <c r="H110" s="40"/>
      <c r="I110" s="40"/>
      <c r="J110" s="246" t="str">
        <f>IF(J109=N108,"N/A",IF(J109=N109,0,IF(J109=N110,1,IF(J109=N111,2,IF(J109=N112,3,IF(J109=N113,4,"N/A"))))))</f>
        <v>N/A</v>
      </c>
      <c r="K110" s="41"/>
      <c r="N110" s="12" t="s">
        <v>895</v>
      </c>
    </row>
    <row r="111" spans="2:14" x14ac:dyDescent="0.2">
      <c r="B111" s="38"/>
      <c r="C111" s="40" t="s">
        <v>257</v>
      </c>
      <c r="D111" s="40"/>
      <c r="E111" s="40"/>
      <c r="F111" s="40"/>
      <c r="G111" s="40"/>
      <c r="H111" s="40"/>
      <c r="I111" s="40"/>
      <c r="J111" s="266" t="s">
        <v>882</v>
      </c>
      <c r="K111" s="41"/>
      <c r="N111" s="12" t="s">
        <v>896</v>
      </c>
    </row>
    <row r="112" spans="2:14" x14ac:dyDescent="0.2">
      <c r="B112" s="38"/>
      <c r="C112" s="40" t="s">
        <v>261</v>
      </c>
      <c r="D112" s="40"/>
      <c r="E112" s="40"/>
      <c r="F112" s="40"/>
      <c r="G112" s="40"/>
      <c r="H112" s="40"/>
      <c r="I112" s="40"/>
      <c r="J112" s="248">
        <f>IF(J111=$B$973,$A$973,IF(J111=$B$974,$A$974,IF(J111=$B$975,$A$975,IF(J111=$B$976,$A$976,IF(J111=$B$977,$A$977,"Not Calculated")))))</f>
        <v>1</v>
      </c>
      <c r="K112" s="41"/>
      <c r="N112" s="12" t="s">
        <v>897</v>
      </c>
    </row>
    <row r="113" spans="2:14" x14ac:dyDescent="0.2">
      <c r="B113" s="38"/>
      <c r="C113" s="40" t="s">
        <v>893</v>
      </c>
      <c r="D113" s="40"/>
      <c r="E113" s="40"/>
      <c r="F113" s="40"/>
      <c r="G113" s="40"/>
      <c r="H113" s="40"/>
      <c r="I113" s="40"/>
      <c r="J113" s="175"/>
      <c r="K113" s="41"/>
      <c r="N113" s="12" t="s">
        <v>898</v>
      </c>
    </row>
    <row r="114" spans="2:14" s="178" customFormat="1" ht="30" customHeight="1" x14ac:dyDescent="0.2">
      <c r="B114" s="176"/>
      <c r="C114" s="415" t="s">
        <v>1018</v>
      </c>
      <c r="D114" s="400"/>
      <c r="E114" s="400"/>
      <c r="F114" s="400"/>
      <c r="G114" s="400"/>
      <c r="H114" s="400"/>
      <c r="I114" s="400"/>
      <c r="J114" s="401"/>
      <c r="K114" s="177"/>
    </row>
    <row r="115" spans="2:14" x14ac:dyDescent="0.2">
      <c r="B115" s="38"/>
      <c r="C115" s="40"/>
      <c r="D115" s="40"/>
      <c r="E115" s="40"/>
      <c r="F115" s="40"/>
      <c r="G115" s="40"/>
      <c r="H115" s="40"/>
      <c r="I115" s="40"/>
      <c r="J115" s="40"/>
      <c r="K115" s="41"/>
    </row>
    <row r="116" spans="2:14" x14ac:dyDescent="0.2">
      <c r="B116" s="38"/>
      <c r="C116" s="179" t="s">
        <v>266</v>
      </c>
      <c r="D116" s="40"/>
      <c r="E116" s="40"/>
      <c r="F116" s="40"/>
      <c r="G116" s="40"/>
      <c r="H116" s="40"/>
      <c r="I116" s="40"/>
      <c r="J116" s="245" t="str">
        <f>IF(J110="N/A",IF(OR(J103="Not Calculated",J112="Not Calculated")=TRUE,"Not Calculated",AVERAGE(J103,J112)),AVERAGE(J110,J112))</f>
        <v>Not Calculated</v>
      </c>
      <c r="K116" s="41"/>
    </row>
    <row r="117" spans="2:14" x14ac:dyDescent="0.2">
      <c r="B117" s="38"/>
      <c r="C117" s="40"/>
      <c r="D117" s="40"/>
      <c r="E117" s="40"/>
      <c r="F117" s="40"/>
      <c r="G117" s="40"/>
      <c r="H117" s="40"/>
      <c r="I117" s="40"/>
      <c r="J117" s="40"/>
      <c r="K117" s="41"/>
    </row>
    <row r="118" spans="2:14" x14ac:dyDescent="0.2">
      <c r="B118" s="38"/>
      <c r="C118" s="40"/>
      <c r="D118" s="40"/>
      <c r="E118" s="40"/>
      <c r="F118" s="40"/>
      <c r="G118" s="40"/>
      <c r="H118" s="40"/>
      <c r="I118" s="40"/>
      <c r="J118" s="40"/>
      <c r="K118" s="41"/>
    </row>
    <row r="119" spans="2:14" ht="16" x14ac:dyDescent="0.2">
      <c r="B119" s="38"/>
      <c r="C119" s="45" t="s">
        <v>262</v>
      </c>
      <c r="D119" s="40"/>
      <c r="E119" s="40"/>
      <c r="F119" s="40"/>
      <c r="G119" s="40"/>
      <c r="H119" s="40"/>
      <c r="I119" s="40"/>
      <c r="J119" s="40"/>
      <c r="K119" s="41"/>
    </row>
    <row r="120" spans="2:14" ht="15" customHeight="1" x14ac:dyDescent="0.2">
      <c r="B120" s="38"/>
      <c r="C120" s="422" t="s">
        <v>268</v>
      </c>
      <c r="D120" s="422"/>
      <c r="E120" s="422"/>
      <c r="F120" s="422"/>
      <c r="G120" s="422"/>
      <c r="H120" s="422"/>
      <c r="I120" s="422"/>
      <c r="J120" s="422"/>
      <c r="K120" s="41"/>
    </row>
    <row r="121" spans="2:14" x14ac:dyDescent="0.2">
      <c r="B121" s="38"/>
      <c r="C121" s="422"/>
      <c r="D121" s="422"/>
      <c r="E121" s="422"/>
      <c r="F121" s="422"/>
      <c r="G121" s="422"/>
      <c r="H121" s="422"/>
      <c r="I121" s="422"/>
      <c r="J121" s="422"/>
      <c r="K121" s="41"/>
    </row>
    <row r="122" spans="2:14" x14ac:dyDescent="0.2">
      <c r="B122" s="38"/>
      <c r="C122" s="423"/>
      <c r="D122" s="423"/>
      <c r="E122" s="423"/>
      <c r="F122" s="423"/>
      <c r="G122" s="423"/>
      <c r="H122" s="423"/>
      <c r="I122" s="423"/>
      <c r="J122" s="423"/>
      <c r="K122" s="41"/>
    </row>
    <row r="123" spans="2:14" ht="15" customHeight="1" x14ac:dyDescent="0.2">
      <c r="B123" s="38"/>
      <c r="C123" s="416" t="s">
        <v>229</v>
      </c>
      <c r="D123" s="417"/>
      <c r="E123" s="417"/>
      <c r="F123" s="417"/>
      <c r="G123" s="417"/>
      <c r="H123" s="417"/>
      <c r="I123" s="417"/>
      <c r="J123" s="418"/>
      <c r="K123" s="41"/>
    </row>
    <row r="124" spans="2:14" x14ac:dyDescent="0.2">
      <c r="B124" s="38"/>
      <c r="C124" s="419"/>
      <c r="D124" s="420"/>
      <c r="E124" s="420"/>
      <c r="F124" s="420"/>
      <c r="G124" s="420"/>
      <c r="H124" s="420"/>
      <c r="I124" s="420"/>
      <c r="J124" s="421"/>
      <c r="K124" s="41"/>
    </row>
    <row r="125" spans="2:14" ht="15" customHeight="1" x14ac:dyDescent="0.2">
      <c r="B125" s="38"/>
      <c r="C125" s="40" t="s">
        <v>260</v>
      </c>
      <c r="D125" s="40"/>
      <c r="E125" s="40"/>
      <c r="F125" s="40"/>
      <c r="G125" s="40"/>
      <c r="H125" s="40"/>
      <c r="I125" s="40"/>
      <c r="J125" s="246">
        <f>IF(C123=B987,A987,IF(C123=B988,A988,IF(C123=B989,A989,IF(C123=B990,A990,IF(C123=B991,A991,"Not Calculated")))))</f>
        <v>3</v>
      </c>
      <c r="K125" s="41"/>
    </row>
    <row r="126" spans="2:14" ht="15" customHeight="1" x14ac:dyDescent="0.2">
      <c r="B126" s="38"/>
      <c r="C126" s="40" t="s">
        <v>257</v>
      </c>
      <c r="D126" s="40"/>
      <c r="E126" s="40"/>
      <c r="F126" s="40"/>
      <c r="G126" s="40"/>
      <c r="H126" s="40"/>
      <c r="I126" s="40"/>
      <c r="J126" s="266" t="s">
        <v>874</v>
      </c>
      <c r="K126" s="41"/>
    </row>
    <row r="127" spans="2:14" x14ac:dyDescent="0.2">
      <c r="B127" s="38"/>
      <c r="C127" s="40" t="s">
        <v>261</v>
      </c>
      <c r="D127" s="40"/>
      <c r="E127" s="40"/>
      <c r="F127" s="40"/>
      <c r="G127" s="40"/>
      <c r="H127" s="40"/>
      <c r="I127" s="40"/>
      <c r="J127" s="248">
        <f>IF(J126=$B$973,$A$973,IF(J126=$B$974,$A$974,IF(J126=$B$975,$A$975,IF(J126=$B$976,$A$976,IF(J126=$B$977,$A$977,"Not Calculated")))))</f>
        <v>4</v>
      </c>
      <c r="K127" s="41"/>
    </row>
    <row r="128" spans="2:14" ht="15" customHeight="1" x14ac:dyDescent="0.2">
      <c r="B128" s="38"/>
      <c r="C128" s="40" t="s">
        <v>893</v>
      </c>
      <c r="D128" s="40"/>
      <c r="E128" s="40"/>
      <c r="F128" s="40"/>
      <c r="G128" s="40"/>
      <c r="H128" s="40"/>
      <c r="I128" s="40"/>
      <c r="J128" s="175"/>
      <c r="K128" s="41"/>
    </row>
    <row r="129" spans="2:11" s="178" customFormat="1" ht="45" customHeight="1" x14ac:dyDescent="0.2">
      <c r="B129" s="176"/>
      <c r="C129" s="415" t="s">
        <v>1019</v>
      </c>
      <c r="D129" s="400"/>
      <c r="E129" s="400"/>
      <c r="F129" s="400"/>
      <c r="G129" s="400"/>
      <c r="H129" s="400"/>
      <c r="I129" s="400"/>
      <c r="J129" s="401"/>
      <c r="K129" s="177"/>
    </row>
    <row r="130" spans="2:11" x14ac:dyDescent="0.2">
      <c r="B130" s="38"/>
      <c r="C130" s="40"/>
      <c r="D130" s="40"/>
      <c r="E130" s="40"/>
      <c r="F130" s="40"/>
      <c r="G130" s="40"/>
      <c r="H130" s="40"/>
      <c r="I130" s="40"/>
      <c r="J130" s="40"/>
      <c r="K130" s="41"/>
    </row>
    <row r="131" spans="2:11" x14ac:dyDescent="0.2">
      <c r="B131" s="38"/>
      <c r="C131" s="179" t="s">
        <v>267</v>
      </c>
      <c r="D131" s="40"/>
      <c r="E131" s="40"/>
      <c r="F131" s="40"/>
      <c r="G131" s="40"/>
      <c r="H131" s="40"/>
      <c r="I131" s="40"/>
      <c r="J131" s="245">
        <f>IF(OR(J125="Not Calculated",J127="Not Calculated")=TRUE,"Not Calculated",AVERAGE(J125,J127))</f>
        <v>3.5</v>
      </c>
      <c r="K131" s="41"/>
    </row>
    <row r="132" spans="2:11" x14ac:dyDescent="0.2">
      <c r="B132" s="38"/>
      <c r="C132" s="179"/>
      <c r="D132" s="40"/>
      <c r="E132" s="40"/>
      <c r="F132" s="40"/>
      <c r="G132" s="40"/>
      <c r="H132" s="40"/>
      <c r="I132" s="40"/>
      <c r="J132" s="245"/>
      <c r="K132" s="41"/>
    </row>
    <row r="133" spans="2:11" ht="18" x14ac:dyDescent="0.2">
      <c r="B133" s="38"/>
      <c r="C133" s="180" t="s">
        <v>269</v>
      </c>
      <c r="D133" s="40"/>
      <c r="E133" s="40"/>
      <c r="F133" s="40"/>
      <c r="G133" s="40"/>
      <c r="H133" s="40"/>
      <c r="I133" s="40"/>
      <c r="J133" s="244" t="str">
        <f>IF(OR(J40="Not Calculated",J59="Not Calculated",J78="Not Calculated",J97="Not Calculated",J116="Not Calculated",J131="Not Calculated",)=TRUE,"Not Calculated",AVERAGE(J40,J59,J78,J97,J116,J131))</f>
        <v>Not Calculated</v>
      </c>
      <c r="K133" s="41"/>
    </row>
    <row r="134" spans="2:11" ht="16" thickBot="1" x14ac:dyDescent="0.25">
      <c r="B134" s="46"/>
      <c r="C134" s="47"/>
      <c r="D134" s="47"/>
      <c r="E134" s="47"/>
      <c r="F134" s="47"/>
      <c r="G134" s="47"/>
      <c r="H134" s="47"/>
      <c r="I134" s="47"/>
      <c r="J134" s="47"/>
      <c r="K134" s="49"/>
    </row>
    <row r="135" spans="2:11" ht="16" thickBot="1" x14ac:dyDescent="0.25"/>
    <row r="136" spans="2:11" x14ac:dyDescent="0.2">
      <c r="B136" s="33"/>
      <c r="C136" s="34"/>
      <c r="D136" s="34"/>
      <c r="E136" s="34"/>
      <c r="F136" s="34"/>
      <c r="G136" s="34"/>
      <c r="H136" s="34"/>
      <c r="I136" s="34"/>
      <c r="J136" s="34"/>
      <c r="K136" s="37"/>
    </row>
    <row r="137" spans="2:11" ht="21" x14ac:dyDescent="0.25">
      <c r="B137" s="38"/>
      <c r="C137" s="171"/>
      <c r="D137" s="40"/>
      <c r="E137" s="40"/>
      <c r="F137" s="40"/>
      <c r="G137" s="172" t="s">
        <v>27</v>
      </c>
      <c r="H137" s="40"/>
      <c r="I137" s="40"/>
      <c r="J137" s="40"/>
      <c r="K137" s="41"/>
    </row>
    <row r="138" spans="2:11" x14ac:dyDescent="0.2">
      <c r="B138" s="38"/>
      <c r="C138" s="40"/>
      <c r="D138" s="40"/>
      <c r="E138" s="40"/>
      <c r="F138" s="40"/>
      <c r="G138" s="40"/>
      <c r="H138" s="40"/>
      <c r="I138" s="40"/>
      <c r="J138" s="40"/>
      <c r="K138" s="41"/>
    </row>
    <row r="139" spans="2:11" ht="16" x14ac:dyDescent="0.2">
      <c r="B139" s="38"/>
      <c r="C139" s="45" t="s">
        <v>72</v>
      </c>
      <c r="D139" s="40"/>
      <c r="E139" s="40"/>
      <c r="F139" s="40"/>
      <c r="G139" s="40"/>
      <c r="H139" s="40"/>
      <c r="I139" s="40"/>
      <c r="J139" s="40"/>
      <c r="K139" s="41"/>
    </row>
    <row r="140" spans="2:11" x14ac:dyDescent="0.2">
      <c r="B140" s="38"/>
      <c r="C140" s="40" t="s">
        <v>440</v>
      </c>
      <c r="D140" s="40"/>
      <c r="E140" s="40"/>
      <c r="F140" s="40"/>
      <c r="G140" s="40"/>
      <c r="H140" s="40"/>
      <c r="I140" s="40"/>
      <c r="J140" s="252">
        <f>'Baseline Health'!G45</f>
        <v>0</v>
      </c>
      <c r="K140" s="41"/>
    </row>
    <row r="141" spans="2:11" x14ac:dyDescent="0.2">
      <c r="B141" s="38"/>
      <c r="C141" s="40" t="s">
        <v>270</v>
      </c>
      <c r="D141" s="40"/>
      <c r="E141" s="40"/>
      <c r="F141" s="40"/>
      <c r="G141" s="40"/>
      <c r="H141" s="40"/>
      <c r="I141" s="40"/>
      <c r="J141" s="264">
        <v>0</v>
      </c>
      <c r="K141" s="41"/>
    </row>
    <row r="142" spans="2:11" x14ac:dyDescent="0.2">
      <c r="B142" s="38"/>
      <c r="C142" s="40" t="s">
        <v>439</v>
      </c>
      <c r="D142" s="40"/>
      <c r="E142" s="40"/>
      <c r="F142" s="40"/>
      <c r="G142" s="40"/>
      <c r="H142" s="40"/>
      <c r="I142" s="40"/>
      <c r="J142" s="255">
        <f>J83/20</f>
        <v>0</v>
      </c>
      <c r="K142" s="41"/>
    </row>
    <row r="143" spans="2:11" x14ac:dyDescent="0.2">
      <c r="B143" s="38"/>
      <c r="C143" s="40"/>
      <c r="D143" s="40" t="s">
        <v>351</v>
      </c>
      <c r="E143" s="40"/>
      <c r="F143" s="40"/>
      <c r="G143" s="40"/>
      <c r="H143" s="40"/>
      <c r="I143" s="40"/>
      <c r="J143" s="40"/>
      <c r="K143" s="41"/>
    </row>
    <row r="144" spans="2:11" x14ac:dyDescent="0.2">
      <c r="B144" s="38"/>
      <c r="C144" s="40" t="s">
        <v>260</v>
      </c>
      <c r="D144" s="40"/>
      <c r="E144" s="40"/>
      <c r="F144" s="40"/>
      <c r="G144" s="40"/>
      <c r="H144" s="40"/>
      <c r="I144" s="40"/>
      <c r="J144" s="245" t="str">
        <f>IF(OR(J140=0,J140="Not Calculated")=TRUE,"Not Calculated",IF((J140-J141)&lt;=0,4,IF(((J140+J142)/(J140-J141))&lt;=1,0,IF(((J140+J142)/(J140-J141))&lt;=1.05,1,IF(((J140+J142)/(J140-J141))&lt;=1.5, 2,IF(((J140+J142)/(J140-J141))&lt;=2,3,4))))))</f>
        <v>Not Calculated</v>
      </c>
      <c r="K144" s="41"/>
    </row>
    <row r="145" spans="2:14" ht="9.75" customHeight="1" x14ac:dyDescent="0.2">
      <c r="B145" s="38"/>
      <c r="C145" s="279" t="str">
        <f>"0:"</f>
        <v>0:</v>
      </c>
      <c r="D145" s="278" t="s">
        <v>918</v>
      </c>
      <c r="E145" s="40"/>
      <c r="F145" s="40"/>
      <c r="G145" s="40"/>
      <c r="H145" s="40"/>
      <c r="I145" s="40"/>
      <c r="J145" s="40"/>
      <c r="K145" s="41"/>
    </row>
    <row r="146" spans="2:14" ht="9.75" customHeight="1" x14ac:dyDescent="0.2">
      <c r="B146" s="38"/>
      <c r="C146" s="280" t="str">
        <f>"1:"</f>
        <v>1:</v>
      </c>
      <c r="D146" s="278" t="s">
        <v>923</v>
      </c>
      <c r="E146" s="40"/>
      <c r="F146" s="40"/>
      <c r="G146" s="40"/>
      <c r="H146" s="40"/>
      <c r="I146" s="40"/>
      <c r="J146" s="40"/>
      <c r="K146" s="41"/>
    </row>
    <row r="147" spans="2:14" ht="9.75" customHeight="1" x14ac:dyDescent="0.2">
      <c r="B147" s="38"/>
      <c r="C147" s="280" t="str">
        <f>"2:"</f>
        <v>2:</v>
      </c>
      <c r="D147" s="278" t="s">
        <v>924</v>
      </c>
      <c r="E147" s="40"/>
      <c r="F147" s="40"/>
      <c r="G147" s="40"/>
      <c r="H147" s="40"/>
      <c r="I147" s="40"/>
      <c r="J147" s="40"/>
      <c r="K147" s="41"/>
    </row>
    <row r="148" spans="2:14" ht="9.75" customHeight="1" x14ac:dyDescent="0.2">
      <c r="B148" s="38"/>
      <c r="C148" s="280" t="str">
        <f>"3:"</f>
        <v>3:</v>
      </c>
      <c r="D148" s="278" t="s">
        <v>925</v>
      </c>
      <c r="E148" s="40"/>
      <c r="F148" s="40"/>
      <c r="G148" s="40"/>
      <c r="H148" s="40"/>
      <c r="I148" s="40"/>
      <c r="J148" s="40"/>
      <c r="K148" s="41"/>
    </row>
    <row r="149" spans="2:14" ht="9.75" customHeight="1" x14ac:dyDescent="0.2">
      <c r="B149" s="38"/>
      <c r="C149" s="280" t="str">
        <f>"4:"</f>
        <v>4:</v>
      </c>
      <c r="D149" s="278" t="s">
        <v>926</v>
      </c>
      <c r="E149" s="40"/>
      <c r="F149" s="40"/>
      <c r="G149" s="40"/>
      <c r="H149" s="40"/>
      <c r="I149" s="40"/>
      <c r="J149" s="40"/>
      <c r="K149" s="41"/>
      <c r="N149" s="12" t="s">
        <v>661</v>
      </c>
    </row>
    <row r="150" spans="2:14" x14ac:dyDescent="0.2">
      <c r="B150" s="38"/>
      <c r="C150" s="174" t="s">
        <v>662</v>
      </c>
      <c r="D150" s="40"/>
      <c r="E150" s="40"/>
      <c r="F150" s="40"/>
      <c r="G150" s="40"/>
      <c r="H150" s="40"/>
      <c r="I150" s="40"/>
      <c r="J150" s="265" t="s">
        <v>661</v>
      </c>
      <c r="K150" s="41"/>
      <c r="N150" s="12" t="s">
        <v>894</v>
      </c>
    </row>
    <row r="151" spans="2:14" x14ac:dyDescent="0.2">
      <c r="B151" s="38"/>
      <c r="C151" s="174" t="s">
        <v>660</v>
      </c>
      <c r="D151" s="40"/>
      <c r="E151" s="40"/>
      <c r="F151" s="40"/>
      <c r="G151" s="40"/>
      <c r="H151" s="40"/>
      <c r="I151" s="40"/>
      <c r="J151" s="246" t="str">
        <f>IF(J150=N149,"N/A",IF(J150=N150,0,IF(J150=N151,1,IF(J150=N152,2,IF(J150=N153,3,IF(J150=N154,4,"N/A"))))))</f>
        <v>N/A</v>
      </c>
      <c r="K151" s="41"/>
      <c r="N151" s="12" t="s">
        <v>899</v>
      </c>
    </row>
    <row r="152" spans="2:14" x14ac:dyDescent="0.2">
      <c r="B152" s="38"/>
      <c r="C152" s="40" t="s">
        <v>257</v>
      </c>
      <c r="D152" s="40"/>
      <c r="E152" s="40"/>
      <c r="F152" s="40"/>
      <c r="G152" s="40"/>
      <c r="H152" s="40"/>
      <c r="I152" s="40"/>
      <c r="J152" s="266" t="s">
        <v>872</v>
      </c>
      <c r="K152" s="41"/>
      <c r="N152" s="12" t="s">
        <v>900</v>
      </c>
    </row>
    <row r="153" spans="2:14" x14ac:dyDescent="0.2">
      <c r="B153" s="38"/>
      <c r="C153" s="40" t="s">
        <v>261</v>
      </c>
      <c r="D153" s="40"/>
      <c r="E153" s="40"/>
      <c r="F153" s="40"/>
      <c r="G153" s="40"/>
      <c r="H153" s="40"/>
      <c r="I153" s="40"/>
      <c r="J153" s="248">
        <f>IF(J152=$B$973,$A$973,IF(J152=$B$974,$A$974,IF(J152=$B$975,$A$975,IF(J152=$B$976,$A$976,IF(J152=$B$977,$A$977,"Not Calculated")))))</f>
        <v>2</v>
      </c>
      <c r="K153" s="41"/>
      <c r="N153" s="12" t="s">
        <v>901</v>
      </c>
    </row>
    <row r="154" spans="2:14" x14ac:dyDescent="0.2">
      <c r="B154" s="38"/>
      <c r="C154" s="40" t="s">
        <v>893</v>
      </c>
      <c r="D154" s="40"/>
      <c r="E154" s="40"/>
      <c r="F154" s="40"/>
      <c r="G154" s="40"/>
      <c r="H154" s="40"/>
      <c r="I154" s="40"/>
      <c r="J154" s="40"/>
      <c r="K154" s="41"/>
      <c r="N154" s="12" t="s">
        <v>902</v>
      </c>
    </row>
    <row r="155" spans="2:14" ht="30" customHeight="1" x14ac:dyDescent="0.2">
      <c r="B155" s="38"/>
      <c r="C155" s="399"/>
      <c r="D155" s="400"/>
      <c r="E155" s="400"/>
      <c r="F155" s="400"/>
      <c r="G155" s="400"/>
      <c r="H155" s="400"/>
      <c r="I155" s="400"/>
      <c r="J155" s="401"/>
      <c r="K155" s="41"/>
    </row>
    <row r="156" spans="2:14" x14ac:dyDescent="0.2">
      <c r="B156" s="38"/>
      <c r="C156" s="40"/>
      <c r="D156" s="40"/>
      <c r="E156" s="40"/>
      <c r="F156" s="40"/>
      <c r="G156" s="40"/>
      <c r="H156" s="40"/>
      <c r="I156" s="40"/>
      <c r="J156" s="40"/>
      <c r="K156" s="41"/>
    </row>
    <row r="157" spans="2:14" x14ac:dyDescent="0.2">
      <c r="B157" s="38"/>
      <c r="C157" s="179" t="s">
        <v>271</v>
      </c>
      <c r="D157" s="40"/>
      <c r="E157" s="40"/>
      <c r="F157" s="40"/>
      <c r="G157" s="40"/>
      <c r="H157" s="40"/>
      <c r="I157" s="40"/>
      <c r="J157" s="245" t="str">
        <f>IF(J151="N/A",IF(OR(J144="Not Calculated",J153="Not Calculated")=TRUE,"Not Calculated",AVERAGE(J144,J153)),AVERAGE(J151,J153))</f>
        <v>Not Calculated</v>
      </c>
      <c r="K157" s="41"/>
    </row>
    <row r="158" spans="2:14" x14ac:dyDescent="0.2">
      <c r="B158" s="38"/>
      <c r="C158" s="40"/>
      <c r="D158" s="40"/>
      <c r="E158" s="40"/>
      <c r="F158" s="40"/>
      <c r="G158" s="40"/>
      <c r="H158" s="40"/>
      <c r="I158" s="40"/>
      <c r="J158" s="40"/>
      <c r="K158" s="41"/>
    </row>
    <row r="159" spans="2:14" x14ac:dyDescent="0.2">
      <c r="B159" s="38"/>
      <c r="C159" s="40"/>
      <c r="D159" s="40"/>
      <c r="E159" s="40"/>
      <c r="F159" s="40"/>
      <c r="G159" s="40"/>
      <c r="H159" s="40"/>
      <c r="I159" s="40"/>
      <c r="J159" s="40"/>
      <c r="K159" s="41"/>
    </row>
    <row r="160" spans="2:14" ht="16" x14ac:dyDescent="0.2">
      <c r="B160" s="38"/>
      <c r="C160" s="45" t="s">
        <v>273</v>
      </c>
      <c r="D160" s="40"/>
      <c r="E160" s="40"/>
      <c r="F160" s="40"/>
      <c r="G160" s="40"/>
      <c r="H160" s="40"/>
      <c r="I160" s="40"/>
      <c r="J160" s="40"/>
      <c r="K160" s="41"/>
    </row>
    <row r="161" spans="2:14" x14ac:dyDescent="0.2">
      <c r="B161" s="38"/>
      <c r="C161" s="40" t="s">
        <v>441</v>
      </c>
      <c r="D161" s="40"/>
      <c r="E161" s="40"/>
      <c r="F161" s="40"/>
      <c r="G161" s="40"/>
      <c r="H161" s="40"/>
      <c r="I161" s="40"/>
      <c r="J161" s="252">
        <f>'Baseline Health'!G51</f>
        <v>0</v>
      </c>
      <c r="K161" s="41"/>
    </row>
    <row r="162" spans="2:14" x14ac:dyDescent="0.2">
      <c r="B162" s="38"/>
      <c r="C162" s="40" t="s">
        <v>280</v>
      </c>
      <c r="D162" s="40"/>
      <c r="E162" s="40"/>
      <c r="F162" s="40"/>
      <c r="G162" s="40"/>
      <c r="H162" s="40"/>
      <c r="I162" s="40"/>
      <c r="J162" s="264">
        <v>0</v>
      </c>
      <c r="K162" s="41"/>
    </row>
    <row r="163" spans="2:14" x14ac:dyDescent="0.2">
      <c r="B163" s="38"/>
      <c r="C163" s="40" t="s">
        <v>442</v>
      </c>
      <c r="D163" s="40"/>
      <c r="E163" s="40"/>
      <c r="F163" s="40"/>
      <c r="G163" s="40"/>
      <c r="H163" s="40"/>
      <c r="I163" s="40"/>
      <c r="J163" s="255">
        <f>(J64)/4.5</f>
        <v>0</v>
      </c>
      <c r="K163" s="41"/>
    </row>
    <row r="164" spans="2:14" x14ac:dyDescent="0.2">
      <c r="B164" s="38"/>
      <c r="C164" s="40"/>
      <c r="D164" s="40" t="s">
        <v>353</v>
      </c>
      <c r="E164" s="40"/>
      <c r="F164" s="40"/>
      <c r="G164" s="40"/>
      <c r="H164" s="40"/>
      <c r="I164" s="40"/>
      <c r="J164" s="40"/>
      <c r="K164" s="41"/>
    </row>
    <row r="165" spans="2:14" x14ac:dyDescent="0.2">
      <c r="B165" s="38"/>
      <c r="C165" s="40" t="s">
        <v>260</v>
      </c>
      <c r="D165" s="40"/>
      <c r="E165" s="40"/>
      <c r="F165" s="40"/>
      <c r="G165" s="40"/>
      <c r="H165" s="40"/>
      <c r="I165" s="40"/>
      <c r="J165" s="245" t="str">
        <f>IF(OR(J161=0,J161="Not Calculated")=TRUE,"Not Calculated",IF((J161-J162)&lt;=0,4,IF(((J161+J163)/(J161-J162))&lt;=1,0,IF(((J161+J163)/(J161-J162))&lt;=1.05,1,IF(((J161+J163)/(J161-J162))&lt;=1.5, 2,IF(((J161+J163)/(J161-J162))&lt;=2,3,4))))))</f>
        <v>Not Calculated</v>
      </c>
      <c r="K165" s="41"/>
    </row>
    <row r="166" spans="2:14" ht="9.75" customHeight="1" x14ac:dyDescent="0.2">
      <c r="B166" s="38"/>
      <c r="C166" s="279" t="str">
        <f>"0:"</f>
        <v>0:</v>
      </c>
      <c r="D166" s="278" t="s">
        <v>918</v>
      </c>
      <c r="E166" s="40"/>
      <c r="F166" s="40"/>
      <c r="G166" s="40"/>
      <c r="H166" s="40"/>
      <c r="I166" s="40"/>
      <c r="J166" s="40"/>
      <c r="K166" s="41"/>
    </row>
    <row r="167" spans="2:14" ht="9.75" customHeight="1" x14ac:dyDescent="0.2">
      <c r="B167" s="38"/>
      <c r="C167" s="280" t="str">
        <f>"1:"</f>
        <v>1:</v>
      </c>
      <c r="D167" s="278" t="s">
        <v>923</v>
      </c>
      <c r="E167" s="40"/>
      <c r="F167" s="40"/>
      <c r="G167" s="40"/>
      <c r="H167" s="40"/>
      <c r="I167" s="40"/>
      <c r="J167" s="40"/>
      <c r="K167" s="41"/>
    </row>
    <row r="168" spans="2:14" ht="9.75" customHeight="1" x14ac:dyDescent="0.2">
      <c r="B168" s="38"/>
      <c r="C168" s="280" t="str">
        <f>"2:"</f>
        <v>2:</v>
      </c>
      <c r="D168" s="278" t="s">
        <v>924</v>
      </c>
      <c r="E168" s="40"/>
      <c r="F168" s="40"/>
      <c r="G168" s="40"/>
      <c r="H168" s="40"/>
      <c r="I168" s="40"/>
      <c r="J168" s="40"/>
      <c r="K168" s="41"/>
    </row>
    <row r="169" spans="2:14" ht="9.75" customHeight="1" x14ac:dyDescent="0.2">
      <c r="B169" s="38"/>
      <c r="C169" s="280" t="str">
        <f>"3:"</f>
        <v>3:</v>
      </c>
      <c r="D169" s="278" t="s">
        <v>925</v>
      </c>
      <c r="E169" s="40"/>
      <c r="F169" s="40"/>
      <c r="G169" s="40"/>
      <c r="H169" s="40"/>
      <c r="I169" s="40"/>
      <c r="J169" s="40"/>
      <c r="K169" s="41"/>
    </row>
    <row r="170" spans="2:14" ht="9.75" customHeight="1" x14ac:dyDescent="0.2">
      <c r="B170" s="38"/>
      <c r="C170" s="280" t="str">
        <f>"4:"</f>
        <v>4:</v>
      </c>
      <c r="D170" s="278" t="s">
        <v>926</v>
      </c>
      <c r="E170" s="40"/>
      <c r="F170" s="40"/>
      <c r="G170" s="40"/>
      <c r="H170" s="40"/>
      <c r="I170" s="40"/>
      <c r="J170" s="40"/>
      <c r="K170" s="41"/>
      <c r="N170" s="12" t="s">
        <v>661</v>
      </c>
    </row>
    <row r="171" spans="2:14" x14ac:dyDescent="0.2">
      <c r="B171" s="38"/>
      <c r="C171" s="174" t="s">
        <v>662</v>
      </c>
      <c r="D171" s="40"/>
      <c r="E171" s="40"/>
      <c r="F171" s="40"/>
      <c r="G171" s="40"/>
      <c r="H171" s="40"/>
      <c r="I171" s="40"/>
      <c r="J171" s="265" t="s">
        <v>661</v>
      </c>
      <c r="K171" s="41"/>
      <c r="N171" s="12" t="s">
        <v>894</v>
      </c>
    </row>
    <row r="172" spans="2:14" x14ac:dyDescent="0.2">
      <c r="B172" s="38"/>
      <c r="C172" s="174" t="s">
        <v>660</v>
      </c>
      <c r="D172" s="40"/>
      <c r="E172" s="40"/>
      <c r="F172" s="40"/>
      <c r="G172" s="40"/>
      <c r="H172" s="40"/>
      <c r="I172" s="40"/>
      <c r="J172" s="246" t="str">
        <f>IF(J171=N170,"N/A",IF(J171=N171,0,IF(J171=N172,1,IF(J171=N173,2,IF(J171=N174,3,IF(J171=N175,4,"N/A"))))))</f>
        <v>N/A</v>
      </c>
      <c r="K172" s="41"/>
      <c r="N172" s="12" t="s">
        <v>899</v>
      </c>
    </row>
    <row r="173" spans="2:14" x14ac:dyDescent="0.2">
      <c r="B173" s="38"/>
      <c r="C173" s="40" t="s">
        <v>257</v>
      </c>
      <c r="D173" s="40"/>
      <c r="E173" s="40"/>
      <c r="F173" s="40"/>
      <c r="G173" s="40"/>
      <c r="H173" s="40"/>
      <c r="I173" s="40"/>
      <c r="J173" s="266" t="s">
        <v>882</v>
      </c>
      <c r="K173" s="41"/>
      <c r="N173" s="12" t="s">
        <v>900</v>
      </c>
    </row>
    <row r="174" spans="2:14" x14ac:dyDescent="0.2">
      <c r="B174" s="38"/>
      <c r="C174" s="40" t="s">
        <v>261</v>
      </c>
      <c r="D174" s="40"/>
      <c r="E174" s="40"/>
      <c r="F174" s="40"/>
      <c r="G174" s="40"/>
      <c r="H174" s="40"/>
      <c r="I174" s="40"/>
      <c r="J174" s="248">
        <f>IF(J173=$B$973,$A$973,IF(J173=$B$974,$A$974,IF(J173=$B$975,$A$975,IF(J173=$B$976,$A$976,IF(J173=$B$977,$A$977,"Not Calculated")))))</f>
        <v>1</v>
      </c>
      <c r="K174" s="41"/>
      <c r="N174" s="12" t="s">
        <v>901</v>
      </c>
    </row>
    <row r="175" spans="2:14" x14ac:dyDescent="0.2">
      <c r="B175" s="38"/>
      <c r="C175" s="40" t="s">
        <v>893</v>
      </c>
      <c r="D175" s="40"/>
      <c r="E175" s="40"/>
      <c r="F175" s="40"/>
      <c r="G175" s="40"/>
      <c r="H175" s="40"/>
      <c r="I175" s="40"/>
      <c r="J175" s="40"/>
      <c r="K175" s="41"/>
      <c r="N175" s="12" t="s">
        <v>902</v>
      </c>
    </row>
    <row r="176" spans="2:14" ht="30" customHeight="1" x14ac:dyDescent="0.2">
      <c r="B176" s="38"/>
      <c r="C176" s="399"/>
      <c r="D176" s="400"/>
      <c r="E176" s="400"/>
      <c r="F176" s="400"/>
      <c r="G176" s="400"/>
      <c r="H176" s="400"/>
      <c r="I176" s="400"/>
      <c r="J176" s="401"/>
      <c r="K176" s="41"/>
    </row>
    <row r="177" spans="2:14" x14ac:dyDescent="0.2">
      <c r="B177" s="38"/>
      <c r="C177" s="40"/>
      <c r="D177" s="40"/>
      <c r="E177" s="40"/>
      <c r="F177" s="40"/>
      <c r="G177" s="40"/>
      <c r="H177" s="40"/>
      <c r="I177" s="40"/>
      <c r="J177" s="40"/>
      <c r="K177" s="41"/>
    </row>
    <row r="178" spans="2:14" x14ac:dyDescent="0.2">
      <c r="B178" s="38"/>
      <c r="C178" s="179" t="s">
        <v>274</v>
      </c>
      <c r="D178" s="40"/>
      <c r="E178" s="40"/>
      <c r="F178" s="40"/>
      <c r="G178" s="40"/>
      <c r="H178" s="40"/>
      <c r="I178" s="40"/>
      <c r="J178" s="245" t="str">
        <f>IF(J172="N/A",IF(OR(J165="Not Calculated",J174="Not Calculated")=TRUE,"Not Calculated",AVERAGE(J165,J174)),AVERAGE(J172,J174))</f>
        <v>Not Calculated</v>
      </c>
      <c r="K178" s="41"/>
    </row>
    <row r="179" spans="2:14" x14ac:dyDescent="0.2">
      <c r="B179" s="38"/>
      <c r="C179" s="40"/>
      <c r="D179" s="40"/>
      <c r="E179" s="40"/>
      <c r="F179" s="40"/>
      <c r="G179" s="40"/>
      <c r="H179" s="40"/>
      <c r="I179" s="40"/>
      <c r="J179" s="40"/>
      <c r="K179" s="41"/>
    </row>
    <row r="180" spans="2:14" x14ac:dyDescent="0.2">
      <c r="B180" s="38"/>
      <c r="C180" s="40"/>
      <c r="D180" s="40"/>
      <c r="E180" s="40"/>
      <c r="F180" s="40"/>
      <c r="G180" s="40"/>
      <c r="H180" s="40"/>
      <c r="I180" s="40"/>
      <c r="J180" s="40"/>
      <c r="K180" s="41"/>
    </row>
    <row r="181" spans="2:14" ht="16" x14ac:dyDescent="0.2">
      <c r="B181" s="38"/>
      <c r="C181" s="45" t="s">
        <v>74</v>
      </c>
      <c r="D181" s="40"/>
      <c r="E181" s="40"/>
      <c r="F181" s="40"/>
      <c r="G181" s="40"/>
      <c r="H181" s="40"/>
      <c r="I181" s="40"/>
      <c r="J181" s="40"/>
      <c r="K181" s="41"/>
    </row>
    <row r="182" spans="2:14" x14ac:dyDescent="0.2">
      <c r="B182" s="38"/>
      <c r="C182" s="40" t="s">
        <v>443</v>
      </c>
      <c r="D182" s="40"/>
      <c r="E182" s="40"/>
      <c r="F182" s="40"/>
      <c r="G182" s="40"/>
      <c r="H182" s="40"/>
      <c r="I182" s="40"/>
      <c r="J182" s="252">
        <f>'Baseline Health'!G59</f>
        <v>0</v>
      </c>
      <c r="K182" s="41"/>
    </row>
    <row r="183" spans="2:14" x14ac:dyDescent="0.2">
      <c r="B183" s="38"/>
      <c r="C183" s="40" t="s">
        <v>281</v>
      </c>
      <c r="D183" s="40"/>
      <c r="E183" s="40"/>
      <c r="F183" s="40"/>
      <c r="G183" s="40"/>
      <c r="H183" s="40"/>
      <c r="I183" s="40"/>
      <c r="J183" s="264">
        <v>0</v>
      </c>
      <c r="K183" s="41"/>
    </row>
    <row r="184" spans="2:14" x14ac:dyDescent="0.2">
      <c r="B184" s="38"/>
      <c r="C184" s="40" t="s">
        <v>354</v>
      </c>
      <c r="D184" s="40"/>
      <c r="E184" s="40"/>
      <c r="F184" s="40"/>
      <c r="G184" s="40"/>
      <c r="H184" s="40"/>
      <c r="I184" s="40"/>
      <c r="J184" s="264">
        <f>'Community Characteristics'!$H$111*0.25</f>
        <v>0</v>
      </c>
      <c r="K184" s="41"/>
    </row>
    <row r="185" spans="2:14" x14ac:dyDescent="0.2">
      <c r="B185" s="38"/>
      <c r="C185" s="40" t="s">
        <v>260</v>
      </c>
      <c r="D185" s="40"/>
      <c r="E185" s="40"/>
      <c r="F185" s="40"/>
      <c r="G185" s="40"/>
      <c r="H185" s="40"/>
      <c r="I185" s="40"/>
      <c r="J185" s="248" t="str">
        <f>IF(OR(J182=0,J182="Not Calculated")=TRUE,"Not Calculated",IF(J182-J183=0,4,IF(((J182+J184)/(J182-J183))&lt;=1,0,IF(((J182+J184)/(J182-J183))&lt;=1.05,1,IF(((J182+J184)/(J182-J183))&lt;=1.5, 2,IF(((J182+J184)/(J182-J183))&lt;=2,3,4))))))</f>
        <v>Not Calculated</v>
      </c>
      <c r="K185" s="41"/>
    </row>
    <row r="186" spans="2:14" ht="9.75" customHeight="1" x14ac:dyDescent="0.2">
      <c r="B186" s="38"/>
      <c r="C186" s="279" t="str">
        <f>"0:"</f>
        <v>0:</v>
      </c>
      <c r="D186" s="278" t="s">
        <v>918</v>
      </c>
      <c r="E186" s="40"/>
      <c r="F186" s="40"/>
      <c r="G186" s="40"/>
      <c r="H186" s="40"/>
      <c r="I186" s="40"/>
      <c r="J186" s="40"/>
      <c r="K186" s="41"/>
    </row>
    <row r="187" spans="2:14" ht="9.75" customHeight="1" x14ac:dyDescent="0.2">
      <c r="B187" s="38"/>
      <c r="C187" s="280" t="str">
        <f>"1:"</f>
        <v>1:</v>
      </c>
      <c r="D187" s="278" t="s">
        <v>923</v>
      </c>
      <c r="E187" s="40"/>
      <c r="F187" s="40"/>
      <c r="G187" s="40"/>
      <c r="H187" s="40"/>
      <c r="I187" s="40"/>
      <c r="J187" s="40"/>
      <c r="K187" s="41"/>
    </row>
    <row r="188" spans="2:14" ht="9.75" customHeight="1" x14ac:dyDescent="0.2">
      <c r="B188" s="38"/>
      <c r="C188" s="280" t="str">
        <f>"2:"</f>
        <v>2:</v>
      </c>
      <c r="D188" s="278" t="s">
        <v>924</v>
      </c>
      <c r="E188" s="40"/>
      <c r="F188" s="40"/>
      <c r="G188" s="40"/>
      <c r="H188" s="40"/>
      <c r="I188" s="40"/>
      <c r="J188" s="40"/>
      <c r="K188" s="41"/>
    </row>
    <row r="189" spans="2:14" ht="9.75" customHeight="1" x14ac:dyDescent="0.2">
      <c r="B189" s="38"/>
      <c r="C189" s="280" t="str">
        <f>"3:"</f>
        <v>3:</v>
      </c>
      <c r="D189" s="278" t="s">
        <v>925</v>
      </c>
      <c r="E189" s="40"/>
      <c r="F189" s="40"/>
      <c r="G189" s="40"/>
      <c r="H189" s="40"/>
      <c r="I189" s="40"/>
      <c r="J189" s="40"/>
      <c r="K189" s="41"/>
    </row>
    <row r="190" spans="2:14" ht="9.75" customHeight="1" x14ac:dyDescent="0.2">
      <c r="B190" s="38"/>
      <c r="C190" s="280" t="str">
        <f>"4:"</f>
        <v>4:</v>
      </c>
      <c r="D190" s="278" t="s">
        <v>926</v>
      </c>
      <c r="E190" s="40"/>
      <c r="F190" s="40"/>
      <c r="G190" s="40"/>
      <c r="H190" s="40"/>
      <c r="I190" s="40"/>
      <c r="J190" s="40"/>
      <c r="K190" s="41"/>
      <c r="N190" s="12" t="s">
        <v>661</v>
      </c>
    </row>
    <row r="191" spans="2:14" x14ac:dyDescent="0.2">
      <c r="B191" s="38"/>
      <c r="C191" s="174" t="s">
        <v>662</v>
      </c>
      <c r="D191" s="40"/>
      <c r="E191" s="40"/>
      <c r="F191" s="40"/>
      <c r="G191" s="40"/>
      <c r="H191" s="40"/>
      <c r="I191" s="40"/>
      <c r="J191" s="265" t="s">
        <v>661</v>
      </c>
      <c r="K191" s="41"/>
      <c r="N191" s="12" t="s">
        <v>894</v>
      </c>
    </row>
    <row r="192" spans="2:14" x14ac:dyDescent="0.2">
      <c r="B192" s="38"/>
      <c r="C192" s="174" t="s">
        <v>660</v>
      </c>
      <c r="D192" s="40"/>
      <c r="E192" s="40"/>
      <c r="F192" s="40"/>
      <c r="G192" s="40"/>
      <c r="H192" s="40"/>
      <c r="I192" s="40"/>
      <c r="J192" s="246" t="str">
        <f>IF(J191=N190,"N/A",IF(J191=N191,0,IF(J191=N192,1,IF(J191=N193,2,IF(J191=N194,3,IF(J191=N195,4,"N/A"))))))</f>
        <v>N/A</v>
      </c>
      <c r="K192" s="41"/>
      <c r="N192" s="12" t="s">
        <v>899</v>
      </c>
    </row>
    <row r="193" spans="2:14" x14ac:dyDescent="0.2">
      <c r="B193" s="38"/>
      <c r="C193" s="40" t="s">
        <v>257</v>
      </c>
      <c r="D193" s="40"/>
      <c r="E193" s="40"/>
      <c r="F193" s="40"/>
      <c r="G193" s="40"/>
      <c r="H193" s="40"/>
      <c r="I193" s="40"/>
      <c r="J193" s="266" t="s">
        <v>874</v>
      </c>
      <c r="K193" s="41"/>
      <c r="N193" s="12" t="s">
        <v>900</v>
      </c>
    </row>
    <row r="194" spans="2:14" x14ac:dyDescent="0.2">
      <c r="B194" s="38"/>
      <c r="C194" s="40" t="s">
        <v>261</v>
      </c>
      <c r="D194" s="40"/>
      <c r="E194" s="40"/>
      <c r="F194" s="40"/>
      <c r="G194" s="40"/>
      <c r="H194" s="40"/>
      <c r="I194" s="40"/>
      <c r="J194" s="248">
        <f>IF(J193=$B$973,$A$973,IF(J193=$B$974,$A$974,IF(J193=$B$975,$A$975,IF(J193=$B$976,$A$976,IF(J193=$B$977,$A$977,"Not Calculated")))))</f>
        <v>4</v>
      </c>
      <c r="K194" s="41"/>
      <c r="N194" s="12" t="s">
        <v>901</v>
      </c>
    </row>
    <row r="195" spans="2:14" x14ac:dyDescent="0.2">
      <c r="B195" s="38"/>
      <c r="C195" s="40" t="s">
        <v>893</v>
      </c>
      <c r="D195" s="40"/>
      <c r="E195" s="40"/>
      <c r="F195" s="40"/>
      <c r="G195" s="40"/>
      <c r="H195" s="40"/>
      <c r="I195" s="40"/>
      <c r="J195" s="40"/>
      <c r="K195" s="41"/>
      <c r="N195" s="12" t="s">
        <v>902</v>
      </c>
    </row>
    <row r="196" spans="2:14" ht="45" customHeight="1" x14ac:dyDescent="0.2">
      <c r="B196" s="38"/>
      <c r="C196" s="399" t="s">
        <v>1020</v>
      </c>
      <c r="D196" s="400"/>
      <c r="E196" s="400"/>
      <c r="F196" s="400"/>
      <c r="G196" s="400"/>
      <c r="H196" s="400"/>
      <c r="I196" s="400"/>
      <c r="J196" s="401"/>
      <c r="K196" s="41"/>
    </row>
    <row r="197" spans="2:14" x14ac:dyDescent="0.2">
      <c r="B197" s="38"/>
      <c r="C197" s="40"/>
      <c r="D197" s="40"/>
      <c r="E197" s="40"/>
      <c r="F197" s="40"/>
      <c r="G197" s="40"/>
      <c r="H197" s="40"/>
      <c r="I197" s="40"/>
      <c r="J197" s="40"/>
      <c r="K197" s="41"/>
    </row>
    <row r="198" spans="2:14" x14ac:dyDescent="0.2">
      <c r="B198" s="38"/>
      <c r="C198" s="179" t="s">
        <v>275</v>
      </c>
      <c r="D198" s="40"/>
      <c r="E198" s="40"/>
      <c r="F198" s="40"/>
      <c r="G198" s="40"/>
      <c r="H198" s="40"/>
      <c r="I198" s="40"/>
      <c r="J198" s="245" t="str">
        <f>IF(J192="N/A",IF(OR(J185="Not Calculated",J194="Not Calculated")=TRUE,"Not Calculated",AVERAGE(J185,J194)),AVERAGE(J192,J194))</f>
        <v>Not Calculated</v>
      </c>
      <c r="K198" s="41"/>
    </row>
    <row r="199" spans="2:14" x14ac:dyDescent="0.2">
      <c r="B199" s="38"/>
      <c r="C199" s="40"/>
      <c r="D199" s="40"/>
      <c r="E199" s="40"/>
      <c r="F199" s="40"/>
      <c r="G199" s="40"/>
      <c r="H199" s="40"/>
      <c r="I199" s="40"/>
      <c r="J199" s="40"/>
      <c r="K199" s="41"/>
    </row>
    <row r="200" spans="2:14" x14ac:dyDescent="0.2">
      <c r="B200" s="38"/>
      <c r="C200" s="40"/>
      <c r="D200" s="40"/>
      <c r="E200" s="40"/>
      <c r="F200" s="40"/>
      <c r="G200" s="40"/>
      <c r="H200" s="40"/>
      <c r="I200" s="40"/>
      <c r="J200" s="40"/>
      <c r="K200" s="41"/>
    </row>
    <row r="201" spans="2:14" ht="16" x14ac:dyDescent="0.2">
      <c r="B201" s="38"/>
      <c r="C201" s="45" t="s">
        <v>75</v>
      </c>
      <c r="D201" s="40"/>
      <c r="E201" s="40"/>
      <c r="F201" s="40"/>
      <c r="G201" s="40"/>
      <c r="H201" s="40"/>
      <c r="I201" s="40"/>
      <c r="J201" s="40"/>
      <c r="K201" s="41"/>
    </row>
    <row r="202" spans="2:14" x14ac:dyDescent="0.2">
      <c r="B202" s="38"/>
      <c r="C202" s="40" t="s">
        <v>444</v>
      </c>
      <c r="D202" s="40"/>
      <c r="E202" s="40"/>
      <c r="F202" s="40"/>
      <c r="G202" s="40"/>
      <c r="H202" s="40"/>
      <c r="I202" s="40"/>
      <c r="J202" s="252">
        <f>'Baseline Health'!G65</f>
        <v>0</v>
      </c>
      <c r="K202" s="41"/>
    </row>
    <row r="203" spans="2:14" x14ac:dyDescent="0.2">
      <c r="B203" s="38"/>
      <c r="C203" s="40" t="s">
        <v>282</v>
      </c>
      <c r="D203" s="40"/>
      <c r="E203" s="40"/>
      <c r="F203" s="40"/>
      <c r="G203" s="40"/>
      <c r="H203" s="40"/>
      <c r="I203" s="40"/>
      <c r="J203" s="264">
        <v>0</v>
      </c>
      <c r="K203" s="41"/>
    </row>
    <row r="204" spans="2:14" x14ac:dyDescent="0.2">
      <c r="B204" s="38"/>
      <c r="C204" s="40" t="s">
        <v>355</v>
      </c>
      <c r="D204" s="40"/>
      <c r="E204" s="40"/>
      <c r="F204" s="40"/>
      <c r="G204" s="40"/>
      <c r="H204" s="40"/>
      <c r="I204" s="40"/>
      <c r="J204" s="264">
        <v>0</v>
      </c>
      <c r="K204" s="41"/>
    </row>
    <row r="205" spans="2:14" x14ac:dyDescent="0.2">
      <c r="B205" s="38"/>
      <c r="C205" s="40" t="s">
        <v>260</v>
      </c>
      <c r="D205" s="40"/>
      <c r="E205" s="40"/>
      <c r="F205" s="40"/>
      <c r="G205" s="40"/>
      <c r="H205" s="40"/>
      <c r="I205" s="40"/>
      <c r="J205" s="248" t="str">
        <f>IF(OR(J202=0,J202="Not Calculated")=TRUE,"Not Calculated",IF(J202-J203=0,4,IF(((J202+J204)/(J202-J203))&lt;=1,0,IF(((J202+J204)/(J202-J203))&lt;=1.05,1,IF(((J202+J204)/(J202-J203))&lt;=1.5, 2,IF(((J202+J204)/(J202-J203))&lt;=2,3,4))))))</f>
        <v>Not Calculated</v>
      </c>
      <c r="K205" s="41"/>
    </row>
    <row r="206" spans="2:14" ht="9.75" customHeight="1" x14ac:dyDescent="0.2">
      <c r="B206" s="38"/>
      <c r="C206" s="279" t="str">
        <f>"0:"</f>
        <v>0:</v>
      </c>
      <c r="D206" s="278" t="s">
        <v>918</v>
      </c>
      <c r="E206" s="40"/>
      <c r="F206" s="40"/>
      <c r="G206" s="40"/>
      <c r="H206" s="40"/>
      <c r="I206" s="40"/>
      <c r="J206" s="40"/>
      <c r="K206" s="41"/>
    </row>
    <row r="207" spans="2:14" ht="9.75" customHeight="1" x14ac:dyDescent="0.2">
      <c r="B207" s="38"/>
      <c r="C207" s="280" t="str">
        <f>"1:"</f>
        <v>1:</v>
      </c>
      <c r="D207" s="278" t="s">
        <v>923</v>
      </c>
      <c r="E207" s="40"/>
      <c r="F207" s="40"/>
      <c r="G207" s="40"/>
      <c r="H207" s="40"/>
      <c r="I207" s="40"/>
      <c r="J207" s="40"/>
      <c r="K207" s="41"/>
    </row>
    <row r="208" spans="2:14" ht="9.75" customHeight="1" x14ac:dyDescent="0.2">
      <c r="B208" s="38"/>
      <c r="C208" s="280" t="str">
        <f>"2:"</f>
        <v>2:</v>
      </c>
      <c r="D208" s="278" t="s">
        <v>924</v>
      </c>
      <c r="E208" s="40"/>
      <c r="F208" s="40"/>
      <c r="G208" s="40"/>
      <c r="H208" s="40"/>
      <c r="I208" s="40"/>
      <c r="J208" s="40"/>
      <c r="K208" s="41"/>
    </row>
    <row r="209" spans="2:14" ht="9.75" customHeight="1" x14ac:dyDescent="0.2">
      <c r="B209" s="38"/>
      <c r="C209" s="280" t="str">
        <f>"3:"</f>
        <v>3:</v>
      </c>
      <c r="D209" s="278" t="s">
        <v>925</v>
      </c>
      <c r="E209" s="40"/>
      <c r="F209" s="40"/>
      <c r="G209" s="40"/>
      <c r="H209" s="40"/>
      <c r="I209" s="40"/>
      <c r="J209" s="40"/>
      <c r="K209" s="41"/>
    </row>
    <row r="210" spans="2:14" ht="9.75" customHeight="1" x14ac:dyDescent="0.2">
      <c r="B210" s="38"/>
      <c r="C210" s="280" t="str">
        <f>"4:"</f>
        <v>4:</v>
      </c>
      <c r="D210" s="278" t="s">
        <v>926</v>
      </c>
      <c r="E210" s="40"/>
      <c r="F210" s="40"/>
      <c r="G210" s="40"/>
      <c r="H210" s="40"/>
      <c r="I210" s="40"/>
      <c r="J210" s="40"/>
      <c r="K210" s="41"/>
      <c r="N210" s="12" t="s">
        <v>661</v>
      </c>
    </row>
    <row r="211" spans="2:14" x14ac:dyDescent="0.2">
      <c r="B211" s="38"/>
      <c r="C211" s="174" t="s">
        <v>662</v>
      </c>
      <c r="D211" s="40"/>
      <c r="E211" s="40"/>
      <c r="F211" s="40"/>
      <c r="G211" s="40"/>
      <c r="H211" s="40"/>
      <c r="I211" s="40"/>
      <c r="J211" s="265" t="s">
        <v>661</v>
      </c>
      <c r="K211" s="41"/>
      <c r="N211" s="12" t="s">
        <v>894</v>
      </c>
    </row>
    <row r="212" spans="2:14" x14ac:dyDescent="0.2">
      <c r="B212" s="38"/>
      <c r="C212" s="174" t="s">
        <v>660</v>
      </c>
      <c r="D212" s="40"/>
      <c r="E212" s="40"/>
      <c r="F212" s="40"/>
      <c r="G212" s="40"/>
      <c r="H212" s="40"/>
      <c r="I212" s="40"/>
      <c r="J212" s="246" t="str">
        <f>IF(J211=N210,"N/A",IF(J211=N211,0,IF(J211=N212,1,IF(J211=N213,2,IF(J211=N214,3,IF(J211=N215,4,"N/A"))))))</f>
        <v>N/A</v>
      </c>
      <c r="K212" s="41"/>
      <c r="N212" s="12" t="s">
        <v>899</v>
      </c>
    </row>
    <row r="213" spans="2:14" x14ac:dyDescent="0.2">
      <c r="B213" s="38"/>
      <c r="C213" s="40" t="s">
        <v>257</v>
      </c>
      <c r="D213" s="40"/>
      <c r="E213" s="40"/>
      <c r="F213" s="40"/>
      <c r="G213" s="40"/>
      <c r="H213" s="40"/>
      <c r="I213" s="40"/>
      <c r="J213" s="266" t="s">
        <v>870</v>
      </c>
      <c r="K213" s="41"/>
      <c r="N213" s="12" t="s">
        <v>900</v>
      </c>
    </row>
    <row r="214" spans="2:14" x14ac:dyDescent="0.2">
      <c r="B214" s="38"/>
      <c r="C214" s="40" t="s">
        <v>261</v>
      </c>
      <c r="D214" s="40"/>
      <c r="E214" s="40"/>
      <c r="F214" s="40"/>
      <c r="G214" s="40"/>
      <c r="H214" s="40"/>
      <c r="I214" s="40"/>
      <c r="J214" s="248">
        <f>IF(J213=$B$973,$A$973,IF(J213=$B$974,$A$974,IF(J213=$B$975,$A$975,IF(J213=$B$976,$A$976,IF(J213=$B$977,$A$977,"Not Calculated")))))</f>
        <v>0</v>
      </c>
      <c r="K214" s="41"/>
      <c r="N214" s="12" t="s">
        <v>901</v>
      </c>
    </row>
    <row r="215" spans="2:14" x14ac:dyDescent="0.2">
      <c r="B215" s="38"/>
      <c r="C215" s="40" t="s">
        <v>893</v>
      </c>
      <c r="D215" s="40"/>
      <c r="E215" s="40"/>
      <c r="F215" s="40"/>
      <c r="G215" s="40"/>
      <c r="H215" s="40"/>
      <c r="I215" s="40"/>
      <c r="J215" s="40"/>
      <c r="K215" s="41"/>
      <c r="N215" s="12" t="s">
        <v>902</v>
      </c>
    </row>
    <row r="216" spans="2:14" ht="30" customHeight="1" x14ac:dyDescent="0.2">
      <c r="B216" s="38"/>
      <c r="C216" s="399"/>
      <c r="D216" s="400"/>
      <c r="E216" s="400"/>
      <c r="F216" s="400"/>
      <c r="G216" s="400"/>
      <c r="H216" s="400"/>
      <c r="I216" s="400"/>
      <c r="J216" s="401"/>
      <c r="K216" s="41"/>
    </row>
    <row r="217" spans="2:14" x14ac:dyDescent="0.2">
      <c r="B217" s="38"/>
      <c r="C217" s="40"/>
      <c r="D217" s="40"/>
      <c r="E217" s="40"/>
      <c r="F217" s="40"/>
      <c r="G217" s="40"/>
      <c r="H217" s="40"/>
      <c r="I217" s="40"/>
      <c r="J217" s="40"/>
      <c r="K217" s="41"/>
    </row>
    <row r="218" spans="2:14" x14ac:dyDescent="0.2">
      <c r="B218" s="38"/>
      <c r="C218" s="179" t="s">
        <v>276</v>
      </c>
      <c r="D218" s="40"/>
      <c r="E218" s="40"/>
      <c r="F218" s="40"/>
      <c r="G218" s="40"/>
      <c r="H218" s="40"/>
      <c r="I218" s="40"/>
      <c r="J218" s="245" t="str">
        <f>IF(J212="N/A",IF(OR(J205="Not Calculated",J214="Not Calculated")=TRUE,"Not Calculated",AVERAGE(J205,J214)),AVERAGE(J212,J214))</f>
        <v>Not Calculated</v>
      </c>
      <c r="K218" s="41"/>
    </row>
    <row r="219" spans="2:14" x14ac:dyDescent="0.2">
      <c r="B219" s="38"/>
      <c r="C219" s="40"/>
      <c r="D219" s="40"/>
      <c r="E219" s="40"/>
      <c r="F219" s="40"/>
      <c r="G219" s="40"/>
      <c r="H219" s="40"/>
      <c r="I219" s="40"/>
      <c r="J219" s="40"/>
      <c r="K219" s="41"/>
    </row>
    <row r="220" spans="2:14" x14ac:dyDescent="0.2">
      <c r="B220" s="38"/>
      <c r="C220" s="40"/>
      <c r="D220" s="40"/>
      <c r="E220" s="40"/>
      <c r="F220" s="40"/>
      <c r="G220" s="40"/>
      <c r="H220" s="40"/>
      <c r="I220" s="40"/>
      <c r="J220" s="40"/>
      <c r="K220" s="41"/>
    </row>
    <row r="221" spans="2:14" ht="16" x14ac:dyDescent="0.2">
      <c r="B221" s="38"/>
      <c r="C221" s="45" t="s">
        <v>76</v>
      </c>
      <c r="D221" s="40"/>
      <c r="E221" s="40"/>
      <c r="F221" s="40"/>
      <c r="G221" s="40"/>
      <c r="H221" s="40"/>
      <c r="I221" s="40"/>
      <c r="J221" s="40"/>
      <c r="K221" s="41"/>
    </row>
    <row r="222" spans="2:14" ht="15" customHeight="1" x14ac:dyDescent="0.2">
      <c r="B222" s="38"/>
      <c r="C222" s="40" t="s">
        <v>356</v>
      </c>
      <c r="D222" s="40"/>
      <c r="E222" s="40"/>
      <c r="F222" s="40"/>
      <c r="G222" s="40"/>
      <c r="H222" s="40"/>
      <c r="I222" s="40"/>
      <c r="J222" s="252">
        <f>'Baseline Health'!G71</f>
        <v>0</v>
      </c>
      <c r="K222" s="41"/>
    </row>
    <row r="223" spans="2:14" x14ac:dyDescent="0.2">
      <c r="B223" s="38"/>
      <c r="C223" s="40" t="s">
        <v>357</v>
      </c>
      <c r="D223" s="40"/>
      <c r="E223" s="40"/>
      <c r="F223" s="40"/>
      <c r="G223" s="40"/>
      <c r="H223" s="40"/>
      <c r="I223" s="40"/>
      <c r="J223" s="264">
        <v>0</v>
      </c>
      <c r="K223" s="41"/>
    </row>
    <row r="224" spans="2:14" x14ac:dyDescent="0.2">
      <c r="B224" s="38"/>
      <c r="C224" s="40" t="s">
        <v>445</v>
      </c>
      <c r="D224" s="40"/>
      <c r="E224" s="40"/>
      <c r="F224" s="40"/>
      <c r="G224" s="40"/>
      <c r="H224" s="40"/>
      <c r="I224" s="40"/>
      <c r="J224" s="255">
        <f>J102</f>
        <v>0</v>
      </c>
      <c r="K224" s="41"/>
    </row>
    <row r="225" spans="2:14" x14ac:dyDescent="0.2">
      <c r="B225" s="38"/>
      <c r="C225" s="40"/>
      <c r="D225" s="40" t="s">
        <v>446</v>
      </c>
      <c r="E225" s="40"/>
      <c r="F225" s="40"/>
      <c r="G225" s="40"/>
      <c r="H225" s="40"/>
      <c r="I225" s="40"/>
      <c r="J225" s="40"/>
      <c r="K225" s="41"/>
    </row>
    <row r="226" spans="2:14" x14ac:dyDescent="0.2">
      <c r="B226" s="38"/>
      <c r="C226" s="40" t="s">
        <v>260</v>
      </c>
      <c r="D226" s="40"/>
      <c r="E226" s="40"/>
      <c r="F226" s="40"/>
      <c r="G226" s="40"/>
      <c r="H226" s="40"/>
      <c r="I226" s="40"/>
      <c r="J226" s="245" t="str">
        <f>IF(OR(J222=0,J222="Not Calculated")=TRUE,"Not Calculated",IF(J222-J223=0,4,IF(((J222+J224)/(J222-J223))&lt;=1,0,IF(((J222+J224)/(J222-J223))&lt;=1.05,1,IF(((J222+J224)/(J222-J223))&lt;=1.5, 2,IF(((J222+J224)/(J222-J223))&lt;=2,3,4))))))</f>
        <v>Not Calculated</v>
      </c>
      <c r="K226" s="41"/>
    </row>
    <row r="227" spans="2:14" ht="9.75" customHeight="1" x14ac:dyDescent="0.2">
      <c r="B227" s="38"/>
      <c r="C227" s="279" t="str">
        <f>"0:"</f>
        <v>0:</v>
      </c>
      <c r="D227" s="278" t="s">
        <v>918</v>
      </c>
      <c r="E227" s="40"/>
      <c r="F227" s="40"/>
      <c r="G227" s="40"/>
      <c r="H227" s="40"/>
      <c r="I227" s="40"/>
      <c r="J227" s="40"/>
      <c r="K227" s="41"/>
    </row>
    <row r="228" spans="2:14" ht="9.75" customHeight="1" x14ac:dyDescent="0.2">
      <c r="B228" s="38"/>
      <c r="C228" s="280" t="str">
        <f>"1:"</f>
        <v>1:</v>
      </c>
      <c r="D228" s="278" t="s">
        <v>923</v>
      </c>
      <c r="E228" s="40"/>
      <c r="F228" s="40"/>
      <c r="G228" s="40"/>
      <c r="H228" s="40"/>
      <c r="I228" s="40"/>
      <c r="J228" s="40"/>
      <c r="K228" s="41"/>
    </row>
    <row r="229" spans="2:14" ht="9.75" customHeight="1" x14ac:dyDescent="0.2">
      <c r="B229" s="38"/>
      <c r="C229" s="280" t="str">
        <f>"2:"</f>
        <v>2:</v>
      </c>
      <c r="D229" s="278" t="s">
        <v>924</v>
      </c>
      <c r="E229" s="40"/>
      <c r="F229" s="40"/>
      <c r="G229" s="40"/>
      <c r="H229" s="40"/>
      <c r="I229" s="40"/>
      <c r="J229" s="40"/>
      <c r="K229" s="41"/>
    </row>
    <row r="230" spans="2:14" ht="9.75" customHeight="1" x14ac:dyDescent="0.2">
      <c r="B230" s="38"/>
      <c r="C230" s="280" t="str">
        <f>"3:"</f>
        <v>3:</v>
      </c>
      <c r="D230" s="278" t="s">
        <v>925</v>
      </c>
      <c r="E230" s="40"/>
      <c r="F230" s="40"/>
      <c r="G230" s="40"/>
      <c r="H230" s="40"/>
      <c r="I230" s="40"/>
      <c r="J230" s="40"/>
      <c r="K230" s="41"/>
    </row>
    <row r="231" spans="2:14" ht="9.75" customHeight="1" x14ac:dyDescent="0.2">
      <c r="B231" s="38"/>
      <c r="C231" s="280" t="str">
        <f>"4:"</f>
        <v>4:</v>
      </c>
      <c r="D231" s="278" t="s">
        <v>926</v>
      </c>
      <c r="E231" s="40"/>
      <c r="F231" s="40"/>
      <c r="G231" s="40"/>
      <c r="H231" s="40"/>
      <c r="I231" s="40"/>
      <c r="J231" s="40"/>
      <c r="K231" s="41"/>
      <c r="N231" s="12" t="s">
        <v>661</v>
      </c>
    </row>
    <row r="232" spans="2:14" x14ac:dyDescent="0.2">
      <c r="B232" s="38"/>
      <c r="C232" s="174" t="s">
        <v>662</v>
      </c>
      <c r="D232" s="40"/>
      <c r="E232" s="40"/>
      <c r="F232" s="40"/>
      <c r="G232" s="40"/>
      <c r="H232" s="40"/>
      <c r="I232" s="40"/>
      <c r="J232" s="265" t="s">
        <v>661</v>
      </c>
      <c r="K232" s="41"/>
      <c r="N232" s="12" t="s">
        <v>894</v>
      </c>
    </row>
    <row r="233" spans="2:14" x14ac:dyDescent="0.2">
      <c r="B233" s="38"/>
      <c r="C233" s="174" t="s">
        <v>660</v>
      </c>
      <c r="D233" s="40"/>
      <c r="E233" s="40"/>
      <c r="F233" s="40"/>
      <c r="G233" s="40"/>
      <c r="H233" s="40"/>
      <c r="I233" s="40"/>
      <c r="J233" s="246" t="str">
        <f>IF(J232=N231,"N/A",IF(J232=N232,0,IF(J232=N233,1,IF(J232=N234,2,IF(J232=N235,3,IF(J232=N236,4,"N/A"))))))</f>
        <v>N/A</v>
      </c>
      <c r="K233" s="41"/>
      <c r="N233" s="12" t="s">
        <v>899</v>
      </c>
    </row>
    <row r="234" spans="2:14" x14ac:dyDescent="0.2">
      <c r="B234" s="38"/>
      <c r="C234" s="40" t="s">
        <v>257</v>
      </c>
      <c r="D234" s="40"/>
      <c r="E234" s="40"/>
      <c r="F234" s="40"/>
      <c r="G234" s="40"/>
      <c r="H234" s="40"/>
      <c r="I234" s="40"/>
      <c r="J234" s="266" t="s">
        <v>882</v>
      </c>
      <c r="K234" s="41"/>
      <c r="N234" s="12" t="s">
        <v>900</v>
      </c>
    </row>
    <row r="235" spans="2:14" x14ac:dyDescent="0.2">
      <c r="B235" s="38"/>
      <c r="C235" s="40" t="s">
        <v>261</v>
      </c>
      <c r="D235" s="40"/>
      <c r="E235" s="40"/>
      <c r="F235" s="40"/>
      <c r="G235" s="40"/>
      <c r="H235" s="40"/>
      <c r="I235" s="40"/>
      <c r="J235" s="248">
        <f>IF(J234=$B$973,$A$973,IF(J234=$B$974,$A$974,IF(J234=$B$975,$A$975,IF(J234=$B$976,$A$976,IF(J234=$B$977,$A$977,"Not Calculated")))))</f>
        <v>1</v>
      </c>
      <c r="K235" s="41"/>
      <c r="N235" s="12" t="s">
        <v>901</v>
      </c>
    </row>
    <row r="236" spans="2:14" x14ac:dyDescent="0.2">
      <c r="B236" s="38"/>
      <c r="C236" s="40" t="s">
        <v>893</v>
      </c>
      <c r="D236" s="40"/>
      <c r="E236" s="40"/>
      <c r="F236" s="40"/>
      <c r="G236" s="40"/>
      <c r="H236" s="40"/>
      <c r="I236" s="40"/>
      <c r="J236" s="40"/>
      <c r="K236" s="41"/>
      <c r="N236" s="12" t="s">
        <v>902</v>
      </c>
    </row>
    <row r="237" spans="2:14" ht="30" customHeight="1" x14ac:dyDescent="0.2">
      <c r="B237" s="38"/>
      <c r="C237" s="399"/>
      <c r="D237" s="400"/>
      <c r="E237" s="400"/>
      <c r="F237" s="400"/>
      <c r="G237" s="400"/>
      <c r="H237" s="400"/>
      <c r="I237" s="400"/>
      <c r="J237" s="401"/>
      <c r="K237" s="41"/>
    </row>
    <row r="238" spans="2:14" x14ac:dyDescent="0.2">
      <c r="B238" s="38"/>
      <c r="C238" s="40"/>
      <c r="D238" s="40"/>
      <c r="E238" s="40"/>
      <c r="F238" s="40"/>
      <c r="G238" s="40"/>
      <c r="H238" s="40"/>
      <c r="I238" s="40"/>
      <c r="J238" s="40"/>
      <c r="K238" s="41"/>
    </row>
    <row r="239" spans="2:14" x14ac:dyDescent="0.2">
      <c r="B239" s="38"/>
      <c r="C239" s="179" t="s">
        <v>277</v>
      </c>
      <c r="D239" s="40"/>
      <c r="E239" s="40"/>
      <c r="F239" s="40"/>
      <c r="G239" s="40"/>
      <c r="H239" s="40"/>
      <c r="I239" s="40"/>
      <c r="J239" s="245" t="str">
        <f>IF(J233="N/A",IF(OR(J226="Not Calculated",J235="Not Calculated")=TRUE,"Not Calculated",AVERAGE(J226,J235)),AVERAGE(J233,J235))</f>
        <v>Not Calculated</v>
      </c>
      <c r="K239" s="41"/>
    </row>
    <row r="240" spans="2:14" x14ac:dyDescent="0.2">
      <c r="B240" s="38"/>
      <c r="C240" s="40"/>
      <c r="D240" s="40"/>
      <c r="E240" s="40"/>
      <c r="F240" s="40"/>
      <c r="G240" s="40"/>
      <c r="H240" s="40"/>
      <c r="I240" s="40"/>
      <c r="J240" s="40"/>
      <c r="K240" s="41"/>
    </row>
    <row r="241" spans="2:14" x14ac:dyDescent="0.2">
      <c r="B241" s="38"/>
      <c r="C241" s="40"/>
      <c r="D241" s="40"/>
      <c r="E241" s="40"/>
      <c r="F241" s="40"/>
      <c r="G241" s="40"/>
      <c r="H241" s="40"/>
      <c r="I241" s="40"/>
      <c r="J241" s="40"/>
      <c r="K241" s="41"/>
    </row>
    <row r="242" spans="2:14" ht="16" x14ac:dyDescent="0.2">
      <c r="B242" s="38"/>
      <c r="C242" s="45" t="s">
        <v>278</v>
      </c>
      <c r="D242" s="40"/>
      <c r="E242" s="40"/>
      <c r="F242" s="40"/>
      <c r="G242" s="40"/>
      <c r="H242" s="40"/>
      <c r="I242" s="40"/>
      <c r="J242" s="40"/>
      <c r="K242" s="41"/>
    </row>
    <row r="243" spans="2:14" ht="15" customHeight="1" x14ac:dyDescent="0.2">
      <c r="B243" s="38"/>
      <c r="C243" s="40" t="s">
        <v>447</v>
      </c>
      <c r="D243" s="40"/>
      <c r="E243" s="40"/>
      <c r="F243" s="40"/>
      <c r="G243" s="40"/>
      <c r="H243" s="40"/>
      <c r="I243" s="40"/>
      <c r="J243" s="254">
        <f>'Baseline Health'!G77</f>
        <v>0</v>
      </c>
      <c r="K243" s="41"/>
    </row>
    <row r="244" spans="2:14" x14ac:dyDescent="0.2">
      <c r="B244" s="38"/>
      <c r="C244" s="40" t="s">
        <v>358</v>
      </c>
      <c r="D244" s="40"/>
      <c r="E244" s="40"/>
      <c r="F244" s="40"/>
      <c r="G244" s="40"/>
      <c r="H244" s="40"/>
      <c r="I244" s="40"/>
      <c r="J244" s="264">
        <v>0</v>
      </c>
      <c r="K244" s="41"/>
    </row>
    <row r="245" spans="2:14" x14ac:dyDescent="0.2">
      <c r="B245" s="38"/>
      <c r="C245" s="40" t="s">
        <v>360</v>
      </c>
      <c r="D245" s="291"/>
      <c r="E245" s="291"/>
      <c r="F245" s="291"/>
      <c r="G245" s="291"/>
      <c r="H245" s="291"/>
      <c r="I245" s="291"/>
      <c r="J245" s="264">
        <f>('Community Characteristics'!$H$111*500)*40/250</f>
        <v>0</v>
      </c>
      <c r="K245" s="41"/>
    </row>
    <row r="246" spans="2:14" x14ac:dyDescent="0.2">
      <c r="B246" s="38"/>
      <c r="C246" s="40" t="s">
        <v>260</v>
      </c>
      <c r="D246" s="40"/>
      <c r="E246" s="40"/>
      <c r="F246" s="40"/>
      <c r="G246" s="40"/>
      <c r="H246" s="40"/>
      <c r="I246" s="40"/>
      <c r="J246" s="248" t="str">
        <f>IF(OR(J243=0,J243="Not Calculated")=TRUE,"Not Calculated",IF(J243-J244=0,4,(IF(((J243+J245)/(J243-J244))&lt;=1,0,IF(((J243+J245)/(J243-J244))&lt;=1.05,1,IF(((J243+J245)/(J243-J244))&lt;=1.5,2,IF(((J243+J245)/(J243-J244))&lt;=2,3,4)))))))</f>
        <v>Not Calculated</v>
      </c>
      <c r="K246" s="41"/>
    </row>
    <row r="247" spans="2:14" ht="9.75" customHeight="1" x14ac:dyDescent="0.2">
      <c r="B247" s="38"/>
      <c r="C247" s="279" t="str">
        <f>"0:"</f>
        <v>0:</v>
      </c>
      <c r="D247" s="278" t="s">
        <v>918</v>
      </c>
      <c r="E247" s="40"/>
      <c r="F247" s="40"/>
      <c r="G247" s="40"/>
      <c r="H247" s="40"/>
      <c r="I247" s="40"/>
      <c r="J247" s="40"/>
      <c r="K247" s="41"/>
    </row>
    <row r="248" spans="2:14" ht="9.75" customHeight="1" x14ac:dyDescent="0.2">
      <c r="B248" s="38"/>
      <c r="C248" s="280" t="str">
        <f>"1:"</f>
        <v>1:</v>
      </c>
      <c r="D248" s="278" t="s">
        <v>923</v>
      </c>
      <c r="E248" s="40"/>
      <c r="F248" s="40"/>
      <c r="G248" s="40"/>
      <c r="H248" s="40"/>
      <c r="I248" s="40"/>
      <c r="J248" s="40"/>
      <c r="K248" s="41"/>
    </row>
    <row r="249" spans="2:14" ht="9.75" customHeight="1" x14ac:dyDescent="0.2">
      <c r="B249" s="38"/>
      <c r="C249" s="280" t="str">
        <f>"2:"</f>
        <v>2:</v>
      </c>
      <c r="D249" s="278" t="s">
        <v>924</v>
      </c>
      <c r="E249" s="40"/>
      <c r="F249" s="40"/>
      <c r="G249" s="40"/>
      <c r="H249" s="40"/>
      <c r="I249" s="40"/>
      <c r="J249" s="40"/>
      <c r="K249" s="41"/>
    </row>
    <row r="250" spans="2:14" ht="9.75" customHeight="1" x14ac:dyDescent="0.2">
      <c r="B250" s="38"/>
      <c r="C250" s="280" t="str">
        <f>"3:"</f>
        <v>3:</v>
      </c>
      <c r="D250" s="278" t="s">
        <v>925</v>
      </c>
      <c r="E250" s="40"/>
      <c r="F250" s="40"/>
      <c r="G250" s="40"/>
      <c r="H250" s="40"/>
      <c r="I250" s="40"/>
      <c r="J250" s="40"/>
      <c r="K250" s="41"/>
    </row>
    <row r="251" spans="2:14" ht="9.75" customHeight="1" x14ac:dyDescent="0.2">
      <c r="B251" s="38"/>
      <c r="C251" s="280" t="str">
        <f>"4:"</f>
        <v>4:</v>
      </c>
      <c r="D251" s="278" t="s">
        <v>926</v>
      </c>
      <c r="E251" s="40"/>
      <c r="F251" s="40"/>
      <c r="G251" s="40"/>
      <c r="H251" s="40"/>
      <c r="I251" s="40"/>
      <c r="J251" s="40"/>
      <c r="K251" s="41"/>
      <c r="N251" s="12" t="s">
        <v>661</v>
      </c>
    </row>
    <row r="252" spans="2:14" x14ac:dyDescent="0.2">
      <c r="B252" s="38"/>
      <c r="C252" s="174" t="s">
        <v>662</v>
      </c>
      <c r="D252" s="40"/>
      <c r="E252" s="40"/>
      <c r="F252" s="40"/>
      <c r="G252" s="40"/>
      <c r="H252" s="40"/>
      <c r="I252" s="40"/>
      <c r="J252" s="265" t="s">
        <v>661</v>
      </c>
      <c r="K252" s="41"/>
      <c r="N252" s="12" t="s">
        <v>894</v>
      </c>
    </row>
    <row r="253" spans="2:14" x14ac:dyDescent="0.2">
      <c r="B253" s="38"/>
      <c r="C253" s="174" t="s">
        <v>660</v>
      </c>
      <c r="D253" s="40"/>
      <c r="E253" s="40"/>
      <c r="F253" s="40"/>
      <c r="G253" s="40"/>
      <c r="H253" s="40"/>
      <c r="I253" s="40"/>
      <c r="J253" s="246" t="str">
        <f>IF(J252=N251,"N/A",IF(J252=N252,0,IF(J252=N253,1,IF(J252=N254,2,IF(J252=N255,3,IF(J252=N256,4,"N/A"))))))</f>
        <v>N/A</v>
      </c>
      <c r="K253" s="41"/>
      <c r="N253" s="12" t="s">
        <v>899</v>
      </c>
    </row>
    <row r="254" spans="2:14" x14ac:dyDescent="0.2">
      <c r="B254" s="38"/>
      <c r="C254" s="40" t="s">
        <v>257</v>
      </c>
      <c r="D254" s="40"/>
      <c r="E254" s="40"/>
      <c r="F254" s="40"/>
      <c r="G254" s="40"/>
      <c r="H254" s="40"/>
      <c r="I254" s="40"/>
      <c r="J254" s="266" t="s">
        <v>874</v>
      </c>
      <c r="K254" s="41"/>
      <c r="N254" s="12" t="s">
        <v>900</v>
      </c>
    </row>
    <row r="255" spans="2:14" x14ac:dyDescent="0.2">
      <c r="B255" s="38"/>
      <c r="C255" s="40" t="s">
        <v>261</v>
      </c>
      <c r="D255" s="40"/>
      <c r="E255" s="40"/>
      <c r="F255" s="40"/>
      <c r="G255" s="40"/>
      <c r="H255" s="40"/>
      <c r="I255" s="40"/>
      <c r="J255" s="248">
        <f>IF(J254=$B$973,$A$973,IF(J254=$B$974,$A$974,IF(J254=$B$975,$A$975,IF(J254=$B$976,$A$976,IF(J254=$B$977,$A$977,"Not Calculated")))))</f>
        <v>4</v>
      </c>
      <c r="K255" s="41"/>
      <c r="N255" s="12" t="s">
        <v>901</v>
      </c>
    </row>
    <row r="256" spans="2:14" x14ac:dyDescent="0.2">
      <c r="B256" s="38"/>
      <c r="C256" s="40" t="s">
        <v>893</v>
      </c>
      <c r="D256" s="40"/>
      <c r="E256" s="40"/>
      <c r="F256" s="40"/>
      <c r="G256" s="40"/>
      <c r="H256" s="40"/>
      <c r="I256" s="40"/>
      <c r="J256" s="40"/>
      <c r="K256" s="41"/>
      <c r="N256" s="12" t="s">
        <v>902</v>
      </c>
    </row>
    <row r="257" spans="2:11" ht="60" customHeight="1" x14ac:dyDescent="0.2">
      <c r="B257" s="38"/>
      <c r="C257" s="399" t="s">
        <v>1021</v>
      </c>
      <c r="D257" s="400"/>
      <c r="E257" s="400"/>
      <c r="F257" s="400"/>
      <c r="G257" s="400"/>
      <c r="H257" s="400"/>
      <c r="I257" s="400"/>
      <c r="J257" s="401"/>
      <c r="K257" s="41"/>
    </row>
    <row r="258" spans="2:11" x14ac:dyDescent="0.2">
      <c r="B258" s="38"/>
      <c r="C258" s="40"/>
      <c r="D258" s="40"/>
      <c r="E258" s="40"/>
      <c r="F258" s="40"/>
      <c r="G258" s="40"/>
      <c r="H258" s="40"/>
      <c r="I258" s="40"/>
      <c r="J258" s="40"/>
      <c r="K258" s="41"/>
    </row>
    <row r="259" spans="2:11" x14ac:dyDescent="0.2">
      <c r="B259" s="38"/>
      <c r="C259" s="179" t="s">
        <v>279</v>
      </c>
      <c r="D259" s="40"/>
      <c r="E259" s="40"/>
      <c r="F259" s="40"/>
      <c r="G259" s="40"/>
      <c r="H259" s="40"/>
      <c r="I259" s="40"/>
      <c r="J259" s="245" t="str">
        <f>IF(J253="N/A",IF(OR(J246="Not Calculated",J255="Not Calculated")=TRUE,"Not Calculated",AVERAGE(J246,J255)),AVERAGE(J253,J255))</f>
        <v>Not Calculated</v>
      </c>
      <c r="K259" s="41"/>
    </row>
    <row r="260" spans="2:11" x14ac:dyDescent="0.2">
      <c r="B260" s="38"/>
      <c r="C260" s="40"/>
      <c r="D260" s="40"/>
      <c r="E260" s="40"/>
      <c r="F260" s="40"/>
      <c r="G260" s="40"/>
      <c r="H260" s="40"/>
      <c r="I260" s="40"/>
      <c r="J260" s="40"/>
      <c r="K260" s="41"/>
    </row>
    <row r="261" spans="2:11" ht="18" x14ac:dyDescent="0.2">
      <c r="B261" s="38"/>
      <c r="C261" s="180" t="s">
        <v>272</v>
      </c>
      <c r="D261" s="40"/>
      <c r="E261" s="40"/>
      <c r="F261" s="40"/>
      <c r="G261" s="40"/>
      <c r="H261" s="40"/>
      <c r="I261" s="40"/>
      <c r="J261" s="244" t="str">
        <f>IF(OR(J157="Not Calculated",J178="Not Calculated",J198="Not Calculated",J218="Not Calculated",J239="Not Calculated",J259="Not Calculated",)=TRUE,"Not Calculated",AVERAGE(J157,J178,J198,J218,J239,J259))</f>
        <v>Not Calculated</v>
      </c>
      <c r="K261" s="41"/>
    </row>
    <row r="262" spans="2:11" ht="16" thickBot="1" x14ac:dyDescent="0.25">
      <c r="B262" s="46"/>
      <c r="C262" s="47"/>
      <c r="D262" s="47"/>
      <c r="E262" s="47"/>
      <c r="F262" s="47"/>
      <c r="G262" s="47"/>
      <c r="H262" s="47"/>
      <c r="I262" s="47"/>
      <c r="J262" s="47"/>
      <c r="K262" s="49"/>
    </row>
    <row r="263" spans="2:11" ht="16" thickBot="1" x14ac:dyDescent="0.25"/>
    <row r="264" spans="2:11" x14ac:dyDescent="0.2">
      <c r="B264" s="33"/>
      <c r="C264" s="34"/>
      <c r="D264" s="34"/>
      <c r="E264" s="34"/>
      <c r="F264" s="34"/>
      <c r="G264" s="34"/>
      <c r="H264" s="34"/>
      <c r="I264" s="34"/>
      <c r="J264" s="34"/>
      <c r="K264" s="37"/>
    </row>
    <row r="265" spans="2:11" ht="21" x14ac:dyDescent="0.25">
      <c r="B265" s="38"/>
      <c r="C265" s="40"/>
      <c r="D265" s="40"/>
      <c r="E265" s="40"/>
      <c r="F265" s="40"/>
      <c r="G265" s="172" t="s">
        <v>864</v>
      </c>
      <c r="H265" s="40"/>
      <c r="I265" s="40"/>
      <c r="J265" s="40"/>
      <c r="K265" s="41"/>
    </row>
    <row r="266" spans="2:11" ht="15" customHeight="1" x14ac:dyDescent="0.2">
      <c r="B266" s="38"/>
      <c r="C266" s="40"/>
      <c r="D266" s="40"/>
      <c r="E266" s="40"/>
      <c r="F266" s="40"/>
      <c r="G266" s="40"/>
      <c r="H266" s="40"/>
      <c r="I266" s="40"/>
      <c r="J266" s="40"/>
      <c r="K266" s="41"/>
    </row>
    <row r="267" spans="2:11" ht="16" x14ac:dyDescent="0.2">
      <c r="B267" s="38"/>
      <c r="C267" s="45" t="s">
        <v>80</v>
      </c>
      <c r="D267" s="40"/>
      <c r="E267" s="40"/>
      <c r="F267" s="40"/>
      <c r="G267" s="40"/>
      <c r="H267" s="40"/>
      <c r="I267" s="40"/>
      <c r="J267" s="40"/>
      <c r="K267" s="41"/>
    </row>
    <row r="268" spans="2:11" x14ac:dyDescent="0.2">
      <c r="B268" s="38"/>
      <c r="C268" s="40" t="s">
        <v>283</v>
      </c>
      <c r="D268" s="40"/>
      <c r="E268" s="40"/>
      <c r="F268" s="40"/>
      <c r="G268" s="40"/>
      <c r="H268" s="40"/>
      <c r="I268" s="40"/>
      <c r="J268" s="254">
        <f>'Baseline Health'!G88</f>
        <v>0</v>
      </c>
      <c r="K268" s="41"/>
    </row>
    <row r="269" spans="2:11" x14ac:dyDescent="0.2">
      <c r="B269" s="38"/>
      <c r="C269" s="40" t="s">
        <v>284</v>
      </c>
      <c r="D269" s="40"/>
      <c r="E269" s="40"/>
      <c r="F269" s="40"/>
      <c r="G269" s="40"/>
      <c r="H269" s="40"/>
      <c r="I269" s="40"/>
      <c r="J269" s="264">
        <v>0</v>
      </c>
      <c r="K269" s="41"/>
    </row>
    <row r="270" spans="2:11" x14ac:dyDescent="0.2">
      <c r="B270" s="38"/>
      <c r="C270" s="40" t="s">
        <v>285</v>
      </c>
      <c r="D270" s="40"/>
      <c r="E270" s="40"/>
      <c r="F270" s="40"/>
      <c r="G270" s="40"/>
      <c r="H270" s="40"/>
      <c r="I270" s="40"/>
      <c r="J270" s="259">
        <f>'Baseline Health'!G93</f>
        <v>0</v>
      </c>
      <c r="K270" s="41"/>
    </row>
    <row r="271" spans="2:11" x14ac:dyDescent="0.2">
      <c r="B271" s="38"/>
      <c r="C271" s="40" t="s">
        <v>286</v>
      </c>
      <c r="D271" s="40"/>
      <c r="E271" s="40"/>
      <c r="F271" s="40"/>
      <c r="G271" s="40"/>
      <c r="H271" s="40"/>
      <c r="I271" s="40"/>
      <c r="J271" s="250">
        <f>J184</f>
        <v>0</v>
      </c>
      <c r="K271" s="41"/>
    </row>
    <row r="272" spans="2:11" x14ac:dyDescent="0.2">
      <c r="B272" s="38"/>
      <c r="C272" s="40"/>
      <c r="D272" s="40" t="s">
        <v>432</v>
      </c>
      <c r="E272" s="40"/>
      <c r="F272" s="40"/>
      <c r="G272" s="40"/>
      <c r="H272" s="40"/>
      <c r="I272" s="40"/>
      <c r="J272" s="40"/>
      <c r="K272" s="41"/>
    </row>
    <row r="273" spans="2:14" x14ac:dyDescent="0.2">
      <c r="B273" s="38"/>
      <c r="C273" s="40" t="s">
        <v>292</v>
      </c>
      <c r="D273" s="40"/>
      <c r="E273" s="40"/>
      <c r="F273" s="40"/>
      <c r="G273" s="40"/>
      <c r="H273" s="40"/>
      <c r="I273" s="40"/>
      <c r="J273" s="258" t="str">
        <f>'Baseline Health'!G97</f>
        <v>N/A</v>
      </c>
      <c r="K273" s="41"/>
    </row>
    <row r="274" spans="2:14" x14ac:dyDescent="0.2">
      <c r="B274" s="38"/>
      <c r="C274" s="40" t="s">
        <v>293</v>
      </c>
      <c r="D274" s="40"/>
      <c r="E274" s="40"/>
      <c r="F274" s="40"/>
      <c r="G274" s="40"/>
      <c r="H274" s="40"/>
      <c r="I274" s="40"/>
      <c r="J274" s="258" t="str">
        <f>IF(J273="N/A","N/A",IF(J268-J269=0,"No Nurses",((J270+J271)/(J268-J269))))</f>
        <v>N/A</v>
      </c>
      <c r="K274" s="41"/>
    </row>
    <row r="275" spans="2:14" x14ac:dyDescent="0.2">
      <c r="B275" s="38"/>
      <c r="C275" s="40" t="s">
        <v>260</v>
      </c>
      <c r="D275" s="40"/>
      <c r="E275" s="40"/>
      <c r="F275" s="40"/>
      <c r="G275" s="40"/>
      <c r="H275" s="40"/>
      <c r="I275" s="40"/>
      <c r="J275" s="245">
        <f>IF(J273=0,"Not Calculated",IF(J274="N/A",0,IF(J274="No Nurses",4,IF((J274/J273)&lt;=1,0,IF((J274/J273)&lt;=1.1,1,IF((J274/J273)&lt;=1=1.25,2,IF((J274/J273)&lt;=1.5,3,4)))))))</f>
        <v>0</v>
      </c>
      <c r="K275" s="41"/>
    </row>
    <row r="276" spans="2:14" ht="9.75" customHeight="1" x14ac:dyDescent="0.2">
      <c r="B276" s="38"/>
      <c r="C276" s="279" t="str">
        <f>"0:"</f>
        <v>0:</v>
      </c>
      <c r="D276" s="278" t="s">
        <v>927</v>
      </c>
      <c r="E276" s="40"/>
      <c r="F276" s="40"/>
      <c r="G276" s="40"/>
      <c r="H276" s="40"/>
      <c r="I276" s="40"/>
      <c r="J276" s="258"/>
      <c r="K276" s="41"/>
    </row>
    <row r="277" spans="2:14" ht="9.75" customHeight="1" x14ac:dyDescent="0.2">
      <c r="B277" s="38"/>
      <c r="C277" s="280" t="str">
        <f>"1:"</f>
        <v>1:</v>
      </c>
      <c r="D277" s="278" t="s">
        <v>928</v>
      </c>
      <c r="E277" s="40"/>
      <c r="F277" s="40"/>
      <c r="G277" s="40"/>
      <c r="H277" s="40"/>
      <c r="I277" s="40"/>
      <c r="J277" s="258"/>
      <c r="K277" s="41"/>
    </row>
    <row r="278" spans="2:14" ht="9.75" customHeight="1" x14ac:dyDescent="0.2">
      <c r="B278" s="38"/>
      <c r="C278" s="280" t="str">
        <f>"2:"</f>
        <v>2:</v>
      </c>
      <c r="D278" s="278" t="s">
        <v>929</v>
      </c>
      <c r="E278" s="40"/>
      <c r="F278" s="40"/>
      <c r="G278" s="40"/>
      <c r="H278" s="40"/>
      <c r="I278" s="40"/>
      <c r="J278" s="258"/>
      <c r="K278" s="41"/>
    </row>
    <row r="279" spans="2:14" ht="9.75" customHeight="1" x14ac:dyDescent="0.2">
      <c r="B279" s="38"/>
      <c r="C279" s="280" t="str">
        <f>"3:"</f>
        <v>3:</v>
      </c>
      <c r="D279" s="278" t="s">
        <v>930</v>
      </c>
      <c r="E279" s="40"/>
      <c r="F279" s="40"/>
      <c r="G279" s="40"/>
      <c r="H279" s="40"/>
      <c r="I279" s="40"/>
      <c r="J279" s="258"/>
      <c r="K279" s="41"/>
    </row>
    <row r="280" spans="2:14" ht="9.75" customHeight="1" x14ac:dyDescent="0.2">
      <c r="B280" s="38"/>
      <c r="C280" s="280" t="str">
        <f>"4:"</f>
        <v>4:</v>
      </c>
      <c r="D280" s="278" t="s">
        <v>931</v>
      </c>
      <c r="E280" s="40"/>
      <c r="F280" s="40"/>
      <c r="G280" s="40"/>
      <c r="H280" s="40"/>
      <c r="I280" s="40"/>
      <c r="J280" s="40"/>
      <c r="K280" s="41"/>
      <c r="N280" s="12" t="s">
        <v>661</v>
      </c>
    </row>
    <row r="281" spans="2:14" x14ac:dyDescent="0.2">
      <c r="B281" s="38"/>
      <c r="C281" s="174" t="s">
        <v>662</v>
      </c>
      <c r="D281" s="40"/>
      <c r="E281" s="40"/>
      <c r="F281" s="40"/>
      <c r="G281" s="40"/>
      <c r="H281" s="40"/>
      <c r="I281" s="40"/>
      <c r="J281" s="265" t="s">
        <v>661</v>
      </c>
      <c r="K281" s="41"/>
      <c r="N281" s="12" t="s">
        <v>903</v>
      </c>
    </row>
    <row r="282" spans="2:14" x14ac:dyDescent="0.2">
      <c r="B282" s="38"/>
      <c r="C282" s="174" t="s">
        <v>660</v>
      </c>
      <c r="D282" s="40"/>
      <c r="E282" s="40"/>
      <c r="F282" s="40"/>
      <c r="G282" s="40"/>
      <c r="H282" s="40"/>
      <c r="I282" s="40"/>
      <c r="J282" s="246" t="str">
        <f>IF(J281=N280,"N/A",IF(J281=N281,0,IF(J281=N282,1,IF(J281=N283,2,IF(J281=N284,3,IF(J281=N285,4,"N/A"))))))</f>
        <v>N/A</v>
      </c>
      <c r="K282" s="41"/>
      <c r="N282" s="12" t="s">
        <v>904</v>
      </c>
    </row>
    <row r="283" spans="2:14" x14ac:dyDescent="0.2">
      <c r="B283" s="38"/>
      <c r="C283" s="40" t="s">
        <v>257</v>
      </c>
      <c r="D283" s="40"/>
      <c r="E283" s="40"/>
      <c r="F283" s="40"/>
      <c r="G283" s="40"/>
      <c r="H283" s="40"/>
      <c r="I283" s="40"/>
      <c r="J283" s="266" t="s">
        <v>873</v>
      </c>
      <c r="K283" s="41"/>
      <c r="N283" s="12" t="s">
        <v>905</v>
      </c>
    </row>
    <row r="284" spans="2:14" x14ac:dyDescent="0.2">
      <c r="B284" s="38"/>
      <c r="C284" s="40" t="s">
        <v>261</v>
      </c>
      <c r="D284" s="40"/>
      <c r="E284" s="40"/>
      <c r="F284" s="40"/>
      <c r="G284" s="40"/>
      <c r="H284" s="40"/>
      <c r="I284" s="40"/>
      <c r="J284" s="248">
        <f>IF(J283=$B$973,$A$973,IF(J283=$B$974,$A$974,IF(J283=$B$975,$A$975,IF(J283=$B$976,$A$976,IF(J283=$B$977,$A$977,"Not Calculated")))))</f>
        <v>3</v>
      </c>
      <c r="K284" s="41"/>
      <c r="N284" s="12" t="s">
        <v>906</v>
      </c>
    </row>
    <row r="285" spans="2:14" x14ac:dyDescent="0.2">
      <c r="B285" s="38"/>
      <c r="C285" s="40" t="s">
        <v>893</v>
      </c>
      <c r="D285" s="40"/>
      <c r="E285" s="40"/>
      <c r="F285" s="40"/>
      <c r="G285" s="40"/>
      <c r="H285" s="40"/>
      <c r="I285" s="40"/>
      <c r="J285" s="40"/>
      <c r="K285" s="41"/>
      <c r="N285" s="12" t="s">
        <v>907</v>
      </c>
    </row>
    <row r="286" spans="2:14" ht="30" customHeight="1" x14ac:dyDescent="0.2">
      <c r="B286" s="38"/>
      <c r="C286" s="399"/>
      <c r="D286" s="400"/>
      <c r="E286" s="400"/>
      <c r="F286" s="400"/>
      <c r="G286" s="400"/>
      <c r="H286" s="400"/>
      <c r="I286" s="400"/>
      <c r="J286" s="401"/>
      <c r="K286" s="41"/>
    </row>
    <row r="287" spans="2:14" x14ac:dyDescent="0.2">
      <c r="B287" s="38"/>
      <c r="C287" s="40"/>
      <c r="D287" s="40"/>
      <c r="E287" s="40"/>
      <c r="F287" s="40"/>
      <c r="G287" s="40"/>
      <c r="H287" s="40"/>
      <c r="I287" s="40"/>
      <c r="J287" s="40"/>
      <c r="K287" s="41"/>
    </row>
    <row r="288" spans="2:14" x14ac:dyDescent="0.2">
      <c r="B288" s="38"/>
      <c r="C288" s="179" t="s">
        <v>295</v>
      </c>
      <c r="D288" s="40"/>
      <c r="E288" s="40"/>
      <c r="F288" s="40"/>
      <c r="G288" s="40"/>
      <c r="H288" s="40"/>
      <c r="I288" s="40"/>
      <c r="J288" s="245">
        <f>IF(J282="N/A",IF(OR(J275="Not Calculated",J284="Not Calculated")=TRUE,"Not Calculated",AVERAGE(J275,J284)),AVERAGE(J282,J284))</f>
        <v>1.5</v>
      </c>
      <c r="K288" s="41"/>
    </row>
    <row r="289" spans="2:11" x14ac:dyDescent="0.2">
      <c r="B289" s="38"/>
      <c r="C289" s="40"/>
      <c r="D289" s="40"/>
      <c r="E289" s="40"/>
      <c r="F289" s="40"/>
      <c r="G289" s="40"/>
      <c r="H289" s="40"/>
      <c r="I289" s="40"/>
      <c r="J289" s="245"/>
      <c r="K289" s="41"/>
    </row>
    <row r="290" spans="2:11" x14ac:dyDescent="0.2">
      <c r="B290" s="38"/>
      <c r="C290" s="40"/>
      <c r="D290" s="40"/>
      <c r="E290" s="40"/>
      <c r="F290" s="40"/>
      <c r="G290" s="40"/>
      <c r="H290" s="40"/>
      <c r="I290" s="40"/>
      <c r="J290" s="40"/>
      <c r="K290" s="41"/>
    </row>
    <row r="291" spans="2:11" ht="16" x14ac:dyDescent="0.2">
      <c r="B291" s="38"/>
      <c r="C291" s="45" t="s">
        <v>856</v>
      </c>
      <c r="D291" s="40"/>
      <c r="E291" s="40"/>
      <c r="F291" s="40"/>
      <c r="G291" s="40"/>
      <c r="H291" s="40"/>
      <c r="I291" s="40"/>
      <c r="J291" s="40"/>
      <c r="K291" s="41"/>
    </row>
    <row r="292" spans="2:11" x14ac:dyDescent="0.2">
      <c r="B292" s="38"/>
      <c r="C292" s="380" t="s">
        <v>855</v>
      </c>
      <c r="D292" s="380"/>
      <c r="E292" s="380"/>
      <c r="F292" s="380"/>
      <c r="G292" s="380"/>
      <c r="H292" s="380"/>
      <c r="I292" s="380"/>
      <c r="J292" s="40"/>
      <c r="K292" s="41"/>
    </row>
    <row r="293" spans="2:11" x14ac:dyDescent="0.2">
      <c r="B293" s="38"/>
      <c r="C293" s="380"/>
      <c r="D293" s="380"/>
      <c r="E293" s="380"/>
      <c r="F293" s="380"/>
      <c r="G293" s="380"/>
      <c r="H293" s="380"/>
      <c r="I293" s="380"/>
      <c r="J293" s="264">
        <v>0</v>
      </c>
      <c r="K293" s="41"/>
    </row>
    <row r="294" spans="2:11" x14ac:dyDescent="0.2">
      <c r="B294" s="38"/>
      <c r="C294" s="40" t="s">
        <v>853</v>
      </c>
      <c r="D294" s="291"/>
      <c r="E294" s="291"/>
      <c r="F294" s="291"/>
      <c r="G294" s="291"/>
      <c r="H294" s="291"/>
      <c r="I294" s="291"/>
      <c r="J294" s="255">
        <f>'Baseline Health'!$G$102</f>
        <v>0</v>
      </c>
      <c r="K294" s="41"/>
    </row>
    <row r="295" spans="2:11" x14ac:dyDescent="0.2">
      <c r="B295" s="38"/>
      <c r="C295" s="40" t="s">
        <v>842</v>
      </c>
      <c r="D295" s="40"/>
      <c r="E295" s="40"/>
      <c r="F295" s="40"/>
      <c r="G295" s="40"/>
      <c r="H295" s="40"/>
      <c r="I295" s="40"/>
      <c r="J295" s="244" t="str">
        <f>IF('Baseline Health'!$G$102=0,"Not Calculated",100*J293/'Baseline Health'!$G$102)</f>
        <v>Not Calculated</v>
      </c>
      <c r="K295" s="41"/>
    </row>
    <row r="296" spans="2:11" x14ac:dyDescent="0.2">
      <c r="B296" s="38"/>
      <c r="C296" s="40" t="s">
        <v>260</v>
      </c>
      <c r="D296" s="40"/>
      <c r="E296" s="40"/>
      <c r="F296" s="40"/>
      <c r="G296" s="40"/>
      <c r="H296" s="40"/>
      <c r="I296" s="40"/>
      <c r="J296" s="245">
        <f>IF(J295&lt;=0,0,IF(J295&lt;=1,1,IF(J295&lt;=5,2,IF(J295&lt;=10,3,4))))</f>
        <v>4</v>
      </c>
      <c r="K296" s="41"/>
    </row>
    <row r="297" spans="2:11" ht="9.75" customHeight="1" x14ac:dyDescent="0.2">
      <c r="B297" s="38"/>
      <c r="C297" s="279" t="str">
        <f>"0:"</f>
        <v>0:</v>
      </c>
      <c r="D297" s="278" t="s">
        <v>932</v>
      </c>
      <c r="E297" s="40"/>
      <c r="F297" s="40"/>
      <c r="G297" s="40"/>
      <c r="H297" s="40"/>
      <c r="I297" s="40"/>
      <c r="J297" s="244"/>
      <c r="K297" s="41"/>
    </row>
    <row r="298" spans="2:11" ht="9.75" customHeight="1" x14ac:dyDescent="0.2">
      <c r="B298" s="38"/>
      <c r="C298" s="280" t="str">
        <f>"1:"</f>
        <v>1:</v>
      </c>
      <c r="D298" s="278" t="s">
        <v>934</v>
      </c>
      <c r="E298" s="40"/>
      <c r="F298" s="40"/>
      <c r="G298" s="40"/>
      <c r="H298" s="40"/>
      <c r="I298" s="40"/>
      <c r="J298" s="244"/>
      <c r="K298" s="41"/>
    </row>
    <row r="299" spans="2:11" ht="9.75" customHeight="1" x14ac:dyDescent="0.2">
      <c r="B299" s="38"/>
      <c r="C299" s="280" t="str">
        <f>"2:"</f>
        <v>2:</v>
      </c>
      <c r="D299" s="278" t="s">
        <v>933</v>
      </c>
      <c r="E299" s="40"/>
      <c r="F299" s="40"/>
      <c r="G299" s="40"/>
      <c r="H299" s="40"/>
      <c r="I299" s="40"/>
      <c r="J299" s="244"/>
      <c r="K299" s="41"/>
    </row>
    <row r="300" spans="2:11" ht="9.75" customHeight="1" x14ac:dyDescent="0.2">
      <c r="B300" s="38"/>
      <c r="C300" s="280" t="str">
        <f>"3:"</f>
        <v>3:</v>
      </c>
      <c r="D300" s="278" t="s">
        <v>935</v>
      </c>
      <c r="E300" s="40"/>
      <c r="F300" s="40"/>
      <c r="G300" s="40"/>
      <c r="H300" s="40"/>
      <c r="I300" s="40"/>
      <c r="J300" s="244"/>
      <c r="K300" s="41"/>
    </row>
    <row r="301" spans="2:11" ht="9.75" customHeight="1" x14ac:dyDescent="0.2">
      <c r="B301" s="38"/>
      <c r="C301" s="280" t="str">
        <f>"4:"</f>
        <v>4:</v>
      </c>
      <c r="D301" s="278" t="s">
        <v>936</v>
      </c>
      <c r="E301" s="40"/>
      <c r="F301" s="40"/>
      <c r="G301" s="40"/>
      <c r="H301" s="40"/>
      <c r="I301" s="40"/>
      <c r="J301" s="40"/>
      <c r="K301" s="41"/>
    </row>
    <row r="302" spans="2:11" x14ac:dyDescent="0.2">
      <c r="B302" s="38"/>
      <c r="C302" s="40" t="s">
        <v>257</v>
      </c>
      <c r="D302" s="40"/>
      <c r="E302" s="40"/>
      <c r="F302" s="40"/>
      <c r="G302" s="40"/>
      <c r="H302" s="40"/>
      <c r="I302" s="40"/>
      <c r="J302" s="266" t="s">
        <v>870</v>
      </c>
      <c r="K302" s="41"/>
    </row>
    <row r="303" spans="2:11" x14ac:dyDescent="0.2">
      <c r="B303" s="38"/>
      <c r="C303" s="40" t="s">
        <v>261</v>
      </c>
      <c r="D303" s="40"/>
      <c r="E303" s="40"/>
      <c r="F303" s="40"/>
      <c r="G303" s="40"/>
      <c r="H303" s="40"/>
      <c r="I303" s="40"/>
      <c r="J303" s="245">
        <f>IF(J302=$B$980,$A$980,IF(J302=$B$981,$A$981,IF(J302=$B$982,$A$982,IF(J302=$B$983,$A$983,IF(J302=$B$984,$A$984,"Not Calculated")))))</f>
        <v>0</v>
      </c>
      <c r="K303" s="41"/>
    </row>
    <row r="304" spans="2:11" x14ac:dyDescent="0.2">
      <c r="B304" s="38"/>
      <c r="C304" s="40" t="s">
        <v>893</v>
      </c>
      <c r="D304" s="40"/>
      <c r="E304" s="40"/>
      <c r="F304" s="40"/>
      <c r="G304" s="40"/>
      <c r="H304" s="40"/>
      <c r="I304" s="40"/>
      <c r="J304" s="40"/>
      <c r="K304" s="41"/>
    </row>
    <row r="305" spans="2:11" ht="30" customHeight="1" x14ac:dyDescent="0.2">
      <c r="B305" s="38"/>
      <c r="C305" s="399"/>
      <c r="D305" s="400"/>
      <c r="E305" s="400"/>
      <c r="F305" s="400"/>
      <c r="G305" s="400"/>
      <c r="H305" s="400"/>
      <c r="I305" s="400"/>
      <c r="J305" s="401"/>
      <c r="K305" s="41"/>
    </row>
    <row r="306" spans="2:11" x14ac:dyDescent="0.2">
      <c r="B306" s="38"/>
      <c r="C306" s="40"/>
      <c r="D306" s="40"/>
      <c r="E306" s="40"/>
      <c r="F306" s="40"/>
      <c r="G306" s="40"/>
      <c r="H306" s="40"/>
      <c r="I306" s="40"/>
      <c r="J306" s="40"/>
      <c r="K306" s="41"/>
    </row>
    <row r="307" spans="2:11" x14ac:dyDescent="0.2">
      <c r="B307" s="38"/>
      <c r="C307" s="179" t="s">
        <v>885</v>
      </c>
      <c r="D307" s="40"/>
      <c r="E307" s="40"/>
      <c r="F307" s="40"/>
      <c r="G307" s="40"/>
      <c r="H307" s="40"/>
      <c r="I307" s="40"/>
      <c r="J307" s="245">
        <f>IF(OR(J296="Not Calculated",J303="Not Calculated")=TRUE,"Not Calculated",AVERAGE(J296,J303))</f>
        <v>2</v>
      </c>
      <c r="K307" s="41"/>
    </row>
    <row r="308" spans="2:11" x14ac:dyDescent="0.2">
      <c r="B308" s="38"/>
      <c r="C308" s="40"/>
      <c r="D308" s="40"/>
      <c r="E308" s="40"/>
      <c r="F308" s="40"/>
      <c r="G308" s="40"/>
      <c r="H308" s="40"/>
      <c r="I308" s="40"/>
      <c r="J308" s="40"/>
      <c r="K308" s="41"/>
    </row>
    <row r="309" spans="2:11" x14ac:dyDescent="0.2">
      <c r="B309" s="38"/>
      <c r="C309" s="40"/>
      <c r="D309" s="40"/>
      <c r="E309" s="40"/>
      <c r="F309" s="40"/>
      <c r="G309" s="40"/>
      <c r="H309" s="40"/>
      <c r="I309" s="40"/>
      <c r="J309" s="40"/>
      <c r="K309" s="41"/>
    </row>
    <row r="310" spans="2:11" ht="16" x14ac:dyDescent="0.2">
      <c r="B310" s="38"/>
      <c r="C310" s="45" t="s">
        <v>857</v>
      </c>
      <c r="D310" s="40"/>
      <c r="E310" s="40"/>
      <c r="F310" s="40"/>
      <c r="G310" s="40"/>
      <c r="H310" s="40"/>
      <c r="I310" s="40"/>
      <c r="J310" s="40"/>
      <c r="K310" s="41"/>
    </row>
    <row r="311" spans="2:11" x14ac:dyDescent="0.2">
      <c r="B311" s="38"/>
      <c r="C311" s="380" t="s">
        <v>843</v>
      </c>
      <c r="D311" s="380"/>
      <c r="E311" s="380"/>
      <c r="F311" s="380"/>
      <c r="G311" s="380"/>
      <c r="H311" s="380"/>
      <c r="I311" s="380"/>
      <c r="J311" s="40"/>
      <c r="K311" s="41"/>
    </row>
    <row r="312" spans="2:11" x14ac:dyDescent="0.2">
      <c r="B312" s="38"/>
      <c r="C312" s="380"/>
      <c r="D312" s="380"/>
      <c r="E312" s="380"/>
      <c r="F312" s="380"/>
      <c r="G312" s="380"/>
      <c r="H312" s="380"/>
      <c r="I312" s="380"/>
      <c r="J312" s="264">
        <v>0</v>
      </c>
      <c r="K312" s="41"/>
    </row>
    <row r="313" spans="2:11" x14ac:dyDescent="0.2">
      <c r="B313" s="38"/>
      <c r="C313" s="40" t="s">
        <v>853</v>
      </c>
      <c r="D313" s="291"/>
      <c r="E313" s="291"/>
      <c r="F313" s="291"/>
      <c r="G313" s="291"/>
      <c r="H313" s="291"/>
      <c r="I313" s="291"/>
      <c r="J313" s="255">
        <f>'Baseline Health'!$G$102</f>
        <v>0</v>
      </c>
      <c r="K313" s="41"/>
    </row>
    <row r="314" spans="2:11" x14ac:dyDescent="0.2">
      <c r="B314" s="38"/>
      <c r="C314" s="40" t="s">
        <v>842</v>
      </c>
      <c r="D314" s="40"/>
      <c r="E314" s="40"/>
      <c r="F314" s="40"/>
      <c r="G314" s="40"/>
      <c r="H314" s="40"/>
      <c r="I314" s="40"/>
      <c r="J314" s="244" t="str">
        <f>IF('Baseline Health'!$G$102=0,"Not Calculated",100*J312/'Baseline Health'!$G$102)</f>
        <v>Not Calculated</v>
      </c>
      <c r="K314" s="41"/>
    </row>
    <row r="315" spans="2:11" x14ac:dyDescent="0.2">
      <c r="B315" s="38"/>
      <c r="C315" s="40" t="s">
        <v>260</v>
      </c>
      <c r="D315" s="40"/>
      <c r="E315" s="40"/>
      <c r="F315" s="40"/>
      <c r="G315" s="40"/>
      <c r="H315" s="40"/>
      <c r="I315" s="40"/>
      <c r="J315" s="245">
        <f>IF(J314&lt;=0,0,IF(J314&lt;=1,1,IF(J314&lt;=5,2,IF(J314&lt;=10,3,4))))</f>
        <v>4</v>
      </c>
      <c r="K315" s="41"/>
    </row>
    <row r="316" spans="2:11" ht="9.75" customHeight="1" x14ac:dyDescent="0.2">
      <c r="B316" s="38"/>
      <c r="C316" s="279" t="str">
        <f>"0:"</f>
        <v>0:</v>
      </c>
      <c r="D316" s="278" t="s">
        <v>932</v>
      </c>
      <c r="E316" s="40"/>
      <c r="F316" s="40"/>
      <c r="G316" s="40"/>
      <c r="H316" s="40"/>
      <c r="I316" s="40"/>
      <c r="J316" s="244"/>
      <c r="K316" s="41"/>
    </row>
    <row r="317" spans="2:11" ht="9.75" customHeight="1" x14ac:dyDescent="0.2">
      <c r="B317" s="38"/>
      <c r="C317" s="280" t="str">
        <f>"1:"</f>
        <v>1:</v>
      </c>
      <c r="D317" s="278" t="s">
        <v>934</v>
      </c>
      <c r="E317" s="40"/>
      <c r="F317" s="40"/>
      <c r="G317" s="40"/>
      <c r="H317" s="40"/>
      <c r="I317" s="40"/>
      <c r="J317" s="244"/>
      <c r="K317" s="41"/>
    </row>
    <row r="318" spans="2:11" ht="9.75" customHeight="1" x14ac:dyDescent="0.2">
      <c r="B318" s="38"/>
      <c r="C318" s="280" t="str">
        <f>"2:"</f>
        <v>2:</v>
      </c>
      <c r="D318" s="278" t="s">
        <v>933</v>
      </c>
      <c r="E318" s="40"/>
      <c r="F318" s="40"/>
      <c r="G318" s="40"/>
      <c r="H318" s="40"/>
      <c r="I318" s="40"/>
      <c r="J318" s="244"/>
      <c r="K318" s="41"/>
    </row>
    <row r="319" spans="2:11" ht="9.75" customHeight="1" x14ac:dyDescent="0.2">
      <c r="B319" s="38"/>
      <c r="C319" s="280" t="str">
        <f>"3:"</f>
        <v>3:</v>
      </c>
      <c r="D319" s="278" t="s">
        <v>935</v>
      </c>
      <c r="E319" s="40"/>
      <c r="F319" s="40"/>
      <c r="G319" s="40"/>
      <c r="H319" s="40"/>
      <c r="I319" s="40"/>
      <c r="J319" s="244"/>
      <c r="K319" s="41"/>
    </row>
    <row r="320" spans="2:11" ht="9.75" customHeight="1" x14ac:dyDescent="0.2">
      <c r="B320" s="38"/>
      <c r="C320" s="280" t="str">
        <f>"4:"</f>
        <v>4:</v>
      </c>
      <c r="D320" s="278" t="s">
        <v>936</v>
      </c>
      <c r="E320" s="40"/>
      <c r="F320" s="40"/>
      <c r="G320" s="40"/>
      <c r="H320" s="40"/>
      <c r="I320" s="40"/>
      <c r="J320" s="40"/>
      <c r="K320" s="41"/>
    </row>
    <row r="321" spans="2:11" x14ac:dyDescent="0.2">
      <c r="B321" s="38"/>
      <c r="C321" s="40" t="s">
        <v>296</v>
      </c>
      <c r="D321" s="40"/>
      <c r="E321" s="40"/>
      <c r="F321" s="40"/>
      <c r="G321" s="40"/>
      <c r="H321" s="40"/>
      <c r="I321" s="40"/>
      <c r="J321" s="266">
        <v>0</v>
      </c>
      <c r="K321" s="41"/>
    </row>
    <row r="322" spans="2:11" x14ac:dyDescent="0.2">
      <c r="B322" s="38"/>
      <c r="C322" s="40" t="s">
        <v>261</v>
      </c>
      <c r="D322" s="40"/>
      <c r="E322" s="40"/>
      <c r="F322" s="40"/>
      <c r="G322" s="40"/>
      <c r="H322" s="40"/>
      <c r="I322" s="40"/>
      <c r="J322" s="245">
        <f>IF(J321&lt;=0,0,IF(J321&lt;=2,1,IF(J321&lt;=6,2,IF(J321&lt;=12,3,4))))</f>
        <v>0</v>
      </c>
      <c r="K322" s="41"/>
    </row>
    <row r="323" spans="2:11" x14ac:dyDescent="0.2">
      <c r="B323" s="38"/>
      <c r="C323" s="40" t="s">
        <v>893</v>
      </c>
      <c r="D323" s="40"/>
      <c r="E323" s="40"/>
      <c r="F323" s="40"/>
      <c r="G323" s="40"/>
      <c r="H323" s="40"/>
      <c r="I323" s="40"/>
      <c r="J323" s="40"/>
      <c r="K323" s="41"/>
    </row>
    <row r="324" spans="2:11" ht="30" customHeight="1" x14ac:dyDescent="0.2">
      <c r="B324" s="38"/>
      <c r="C324" s="399"/>
      <c r="D324" s="400"/>
      <c r="E324" s="400"/>
      <c r="F324" s="400"/>
      <c r="G324" s="400"/>
      <c r="H324" s="400"/>
      <c r="I324" s="400"/>
      <c r="J324" s="401"/>
      <c r="K324" s="41"/>
    </row>
    <row r="325" spans="2:11" x14ac:dyDescent="0.2">
      <c r="B325" s="38"/>
      <c r="C325" s="40"/>
      <c r="D325" s="40"/>
      <c r="E325" s="40"/>
      <c r="F325" s="40"/>
      <c r="G325" s="40"/>
      <c r="H325" s="40"/>
      <c r="I325" s="40"/>
      <c r="J325" s="40"/>
      <c r="K325" s="41"/>
    </row>
    <row r="326" spans="2:11" x14ac:dyDescent="0.2">
      <c r="B326" s="38"/>
      <c r="C326" s="179" t="s">
        <v>886</v>
      </c>
      <c r="D326" s="40"/>
      <c r="E326" s="40"/>
      <c r="F326" s="40"/>
      <c r="G326" s="40"/>
      <c r="H326" s="40"/>
      <c r="I326" s="40"/>
      <c r="J326" s="245">
        <f>IF(OR(J315="Not Calculated",J322="Not Calculated")=TRUE,"Not Calculated",AVERAGE(J315,J322))</f>
        <v>2</v>
      </c>
      <c r="K326" s="41"/>
    </row>
    <row r="327" spans="2:11" x14ac:dyDescent="0.2">
      <c r="B327" s="38"/>
      <c r="C327" s="40"/>
      <c r="D327" s="40"/>
      <c r="E327" s="40"/>
      <c r="F327" s="40"/>
      <c r="G327" s="40"/>
      <c r="H327" s="40"/>
      <c r="I327" s="40"/>
      <c r="J327" s="40"/>
      <c r="K327" s="41"/>
    </row>
    <row r="328" spans="2:11" x14ac:dyDescent="0.2">
      <c r="B328" s="38"/>
      <c r="C328" s="40"/>
      <c r="D328" s="40"/>
      <c r="E328" s="40"/>
      <c r="F328" s="40"/>
      <c r="G328" s="40"/>
      <c r="H328" s="40"/>
      <c r="I328" s="40"/>
      <c r="J328" s="40"/>
      <c r="K328" s="41"/>
    </row>
    <row r="329" spans="2:11" ht="16" x14ac:dyDescent="0.2">
      <c r="B329" s="38"/>
      <c r="C329" s="45" t="s">
        <v>858</v>
      </c>
      <c r="D329" s="40"/>
      <c r="E329" s="40"/>
      <c r="F329" s="40"/>
      <c r="G329" s="40"/>
      <c r="H329" s="40"/>
      <c r="I329" s="40"/>
      <c r="J329" s="40"/>
      <c r="K329" s="41"/>
    </row>
    <row r="330" spans="2:11" ht="15" customHeight="1" x14ac:dyDescent="0.2">
      <c r="B330" s="38"/>
      <c r="C330" s="380" t="s">
        <v>844</v>
      </c>
      <c r="D330" s="380"/>
      <c r="E330" s="380"/>
      <c r="F330" s="380"/>
      <c r="G330" s="380"/>
      <c r="H330" s="380"/>
      <c r="I330" s="380"/>
      <c r="J330" s="40"/>
      <c r="K330" s="41"/>
    </row>
    <row r="331" spans="2:11" x14ac:dyDescent="0.2">
      <c r="B331" s="38"/>
      <c r="C331" s="380"/>
      <c r="D331" s="380"/>
      <c r="E331" s="380"/>
      <c r="F331" s="380"/>
      <c r="G331" s="380"/>
      <c r="H331" s="380"/>
      <c r="I331" s="380"/>
      <c r="J331" s="264">
        <v>0</v>
      </c>
      <c r="K331" s="41"/>
    </row>
    <row r="332" spans="2:11" x14ac:dyDescent="0.2">
      <c r="B332" s="38"/>
      <c r="C332" s="40" t="s">
        <v>853</v>
      </c>
      <c r="D332" s="291"/>
      <c r="E332" s="291"/>
      <c r="F332" s="291"/>
      <c r="G332" s="291"/>
      <c r="H332" s="291"/>
      <c r="I332" s="291"/>
      <c r="J332" s="255">
        <f>'Baseline Health'!$G$102</f>
        <v>0</v>
      </c>
      <c r="K332" s="41"/>
    </row>
    <row r="333" spans="2:11" x14ac:dyDescent="0.2">
      <c r="B333" s="38"/>
      <c r="C333" s="40" t="s">
        <v>845</v>
      </c>
      <c r="D333" s="40"/>
      <c r="E333" s="40"/>
      <c r="F333" s="40"/>
      <c r="G333" s="40"/>
      <c r="H333" s="40"/>
      <c r="I333" s="40"/>
      <c r="J333" s="244" t="str">
        <f>IF('Baseline Health'!$G$102=0,"Not Calculated",100*J331/'Baseline Health'!$G$102)</f>
        <v>Not Calculated</v>
      </c>
      <c r="K333" s="41"/>
    </row>
    <row r="334" spans="2:11" x14ac:dyDescent="0.2">
      <c r="B334" s="38"/>
      <c r="C334" s="40" t="s">
        <v>260</v>
      </c>
      <c r="D334" s="40"/>
      <c r="E334" s="40"/>
      <c r="F334" s="40"/>
      <c r="G334" s="40"/>
      <c r="H334" s="40"/>
      <c r="I334" s="40"/>
      <c r="J334" s="245">
        <f>IF(J333&lt;=0,0,IF(J333&lt;=1,1,IF(J333&lt;=5,2,IF(J333&lt;=10,3,4))))</f>
        <v>4</v>
      </c>
      <c r="K334" s="41"/>
    </row>
    <row r="335" spans="2:11" ht="9.75" customHeight="1" x14ac:dyDescent="0.2">
      <c r="B335" s="38"/>
      <c r="C335" s="279" t="str">
        <f>"0:"</f>
        <v>0:</v>
      </c>
      <c r="D335" s="278" t="s">
        <v>932</v>
      </c>
      <c r="E335" s="40"/>
      <c r="F335" s="40"/>
      <c r="G335" s="40"/>
      <c r="H335" s="40"/>
      <c r="I335" s="40"/>
      <c r="J335" s="244"/>
      <c r="K335" s="41"/>
    </row>
    <row r="336" spans="2:11" ht="9.75" customHeight="1" x14ac:dyDescent="0.2">
      <c r="B336" s="38"/>
      <c r="C336" s="280" t="str">
        <f>"1:"</f>
        <v>1:</v>
      </c>
      <c r="D336" s="278" t="s">
        <v>934</v>
      </c>
      <c r="E336" s="40"/>
      <c r="F336" s="40"/>
      <c r="G336" s="40"/>
      <c r="H336" s="40"/>
      <c r="I336" s="40"/>
      <c r="J336" s="244"/>
      <c r="K336" s="41"/>
    </row>
    <row r="337" spans="2:11" ht="9.75" customHeight="1" x14ac:dyDescent="0.2">
      <c r="B337" s="38"/>
      <c r="C337" s="280" t="str">
        <f>"2:"</f>
        <v>2:</v>
      </c>
      <c r="D337" s="278" t="s">
        <v>933</v>
      </c>
      <c r="E337" s="40"/>
      <c r="F337" s="40"/>
      <c r="G337" s="40"/>
      <c r="H337" s="40"/>
      <c r="I337" s="40"/>
      <c r="J337" s="244"/>
      <c r="K337" s="41"/>
    </row>
    <row r="338" spans="2:11" ht="9.75" customHeight="1" x14ac:dyDescent="0.2">
      <c r="B338" s="38"/>
      <c r="C338" s="280" t="str">
        <f>"3:"</f>
        <v>3:</v>
      </c>
      <c r="D338" s="278" t="s">
        <v>935</v>
      </c>
      <c r="E338" s="40"/>
      <c r="F338" s="40"/>
      <c r="G338" s="40"/>
      <c r="H338" s="40"/>
      <c r="I338" s="40"/>
      <c r="J338" s="244"/>
      <c r="K338" s="41"/>
    </row>
    <row r="339" spans="2:11" ht="9.75" customHeight="1" x14ac:dyDescent="0.2">
      <c r="B339" s="38"/>
      <c r="C339" s="280" t="str">
        <f>"4:"</f>
        <v>4:</v>
      </c>
      <c r="D339" s="278" t="s">
        <v>936</v>
      </c>
      <c r="E339" s="40"/>
      <c r="F339" s="40"/>
      <c r="G339" s="40"/>
      <c r="H339" s="40"/>
      <c r="I339" s="40"/>
      <c r="J339" s="40"/>
      <c r="K339" s="41"/>
    </row>
    <row r="340" spans="2:11" x14ac:dyDescent="0.2">
      <c r="B340" s="38"/>
      <c r="C340" s="380" t="s">
        <v>84</v>
      </c>
      <c r="D340" s="380"/>
      <c r="E340" s="380"/>
      <c r="F340" s="380"/>
      <c r="G340" s="380"/>
      <c r="H340" s="380"/>
      <c r="I340" s="380"/>
      <c r="J340" s="245"/>
      <c r="K340" s="41"/>
    </row>
    <row r="341" spans="2:11" x14ac:dyDescent="0.2">
      <c r="B341" s="38"/>
      <c r="C341" s="380"/>
      <c r="D341" s="380"/>
      <c r="E341" s="380"/>
      <c r="F341" s="380"/>
      <c r="G341" s="380"/>
      <c r="H341" s="380"/>
      <c r="I341" s="380"/>
      <c r="J341" s="245">
        <f>'Baseline Health'!G108</f>
        <v>40</v>
      </c>
      <c r="K341" s="41"/>
    </row>
    <row r="342" spans="2:11" x14ac:dyDescent="0.2">
      <c r="B342" s="38"/>
      <c r="C342" s="40" t="s">
        <v>833</v>
      </c>
      <c r="D342" s="40"/>
      <c r="E342" s="40"/>
      <c r="F342" s="40"/>
      <c r="G342" s="40"/>
      <c r="H342" s="40"/>
      <c r="I342" s="40"/>
      <c r="J342" s="245">
        <f>IF(J341&gt;J321,0,J321-J341)</f>
        <v>0</v>
      </c>
      <c r="K342" s="41"/>
    </row>
    <row r="343" spans="2:11" ht="15" customHeight="1" x14ac:dyDescent="0.2">
      <c r="B343" s="38"/>
      <c r="C343" s="40"/>
      <c r="D343" s="380" t="s">
        <v>834</v>
      </c>
      <c r="E343" s="380"/>
      <c r="F343" s="380"/>
      <c r="G343" s="380"/>
      <c r="H343" s="380"/>
      <c r="I343" s="380"/>
      <c r="J343" s="40"/>
      <c r="K343" s="41"/>
    </row>
    <row r="344" spans="2:11" x14ac:dyDescent="0.2">
      <c r="B344" s="38"/>
      <c r="C344" s="40"/>
      <c r="D344" s="380"/>
      <c r="E344" s="380"/>
      <c r="F344" s="380"/>
      <c r="G344" s="380"/>
      <c r="H344" s="380"/>
      <c r="I344" s="380"/>
      <c r="J344" s="40"/>
      <c r="K344" s="41"/>
    </row>
    <row r="345" spans="2:11" x14ac:dyDescent="0.2">
      <c r="B345" s="38"/>
      <c r="C345" s="40" t="s">
        <v>261</v>
      </c>
      <c r="D345" s="40"/>
      <c r="E345" s="40"/>
      <c r="F345" s="40"/>
      <c r="G345" s="40"/>
      <c r="H345" s="40"/>
      <c r="I345" s="40"/>
      <c r="J345" s="245">
        <f>IF(J342&lt;=0,0,IF(J342&lt;=2,1,IF(J342&lt;=6,2,IF(J342&lt;=12,3,4))))</f>
        <v>0</v>
      </c>
      <c r="K345" s="41"/>
    </row>
    <row r="346" spans="2:11" x14ac:dyDescent="0.2">
      <c r="B346" s="38"/>
      <c r="C346" s="40" t="s">
        <v>893</v>
      </c>
      <c r="D346" s="40"/>
      <c r="E346" s="40"/>
      <c r="F346" s="40"/>
      <c r="G346" s="40"/>
      <c r="H346" s="40"/>
      <c r="I346" s="40"/>
      <c r="J346" s="40"/>
      <c r="K346" s="41"/>
    </row>
    <row r="347" spans="2:11" ht="30" customHeight="1" x14ac:dyDescent="0.2">
      <c r="B347" s="38"/>
      <c r="C347" s="399"/>
      <c r="D347" s="400"/>
      <c r="E347" s="400"/>
      <c r="F347" s="400"/>
      <c r="G347" s="400"/>
      <c r="H347" s="400"/>
      <c r="I347" s="400"/>
      <c r="J347" s="401"/>
      <c r="K347" s="41"/>
    </row>
    <row r="348" spans="2:11" x14ac:dyDescent="0.2">
      <c r="B348" s="38"/>
      <c r="C348" s="40"/>
      <c r="D348" s="40"/>
      <c r="E348" s="40"/>
      <c r="F348" s="40"/>
      <c r="G348" s="40"/>
      <c r="H348" s="40"/>
      <c r="I348" s="40"/>
      <c r="J348" s="40"/>
      <c r="K348" s="41"/>
    </row>
    <row r="349" spans="2:11" x14ac:dyDescent="0.2">
      <c r="B349" s="38"/>
      <c r="C349" s="179" t="s">
        <v>887</v>
      </c>
      <c r="D349" s="40"/>
      <c r="E349" s="40"/>
      <c r="F349" s="40"/>
      <c r="G349" s="40"/>
      <c r="H349" s="40"/>
      <c r="I349" s="40"/>
      <c r="J349" s="245">
        <f>IF(OR(J334="Not Calculated",J345="Not Calculated")=TRUE,"Not Calculated",AVERAGE(J334,J345))</f>
        <v>2</v>
      </c>
      <c r="K349" s="41"/>
    </row>
    <row r="350" spans="2:11" x14ac:dyDescent="0.2">
      <c r="B350" s="38"/>
      <c r="C350" s="40"/>
      <c r="D350" s="40"/>
      <c r="E350" s="40"/>
      <c r="F350" s="40"/>
      <c r="G350" s="40"/>
      <c r="H350" s="40"/>
      <c r="I350" s="40"/>
      <c r="J350" s="40"/>
      <c r="K350" s="41"/>
    </row>
    <row r="351" spans="2:11" x14ac:dyDescent="0.2">
      <c r="B351" s="38"/>
      <c r="C351" s="40"/>
      <c r="D351" s="40"/>
      <c r="E351" s="40"/>
      <c r="F351" s="40"/>
      <c r="G351" s="40"/>
      <c r="H351" s="40"/>
      <c r="I351" s="40"/>
      <c r="J351" s="40"/>
      <c r="K351" s="41"/>
    </row>
    <row r="352" spans="2:11" ht="15" customHeight="1" x14ac:dyDescent="0.2">
      <c r="B352" s="38"/>
      <c r="C352" s="45" t="s">
        <v>859</v>
      </c>
      <c r="D352" s="40"/>
      <c r="E352" s="40"/>
      <c r="F352" s="40"/>
      <c r="G352" s="40"/>
      <c r="H352" s="40"/>
      <c r="I352" s="40"/>
      <c r="J352" s="40"/>
      <c r="K352" s="41"/>
    </row>
    <row r="353" spans="2:11" x14ac:dyDescent="0.2">
      <c r="B353" s="38"/>
      <c r="C353" s="40" t="s">
        <v>846</v>
      </c>
      <c r="D353" s="40"/>
      <c r="E353" s="40"/>
      <c r="F353" s="40"/>
      <c r="G353" s="40"/>
      <c r="H353" s="40"/>
      <c r="I353" s="40"/>
      <c r="J353" s="264">
        <v>0</v>
      </c>
      <c r="K353" s="41"/>
    </row>
    <row r="354" spans="2:11" x14ac:dyDescent="0.2">
      <c r="B354" s="38"/>
      <c r="C354" s="40" t="s">
        <v>854</v>
      </c>
      <c r="D354" s="40"/>
      <c r="E354" s="40"/>
      <c r="F354" s="40"/>
      <c r="G354" s="40"/>
      <c r="H354" s="40"/>
      <c r="I354" s="40"/>
      <c r="J354" s="255">
        <f>'Baseline Health'!$G$59</f>
        <v>0</v>
      </c>
      <c r="K354" s="41"/>
    </row>
    <row r="355" spans="2:11" x14ac:dyDescent="0.2">
      <c r="B355" s="38"/>
      <c r="C355" s="40" t="s">
        <v>847</v>
      </c>
      <c r="D355" s="40"/>
      <c r="E355" s="40"/>
      <c r="F355" s="40"/>
      <c r="G355" s="40"/>
      <c r="H355" s="40"/>
      <c r="I355" s="40"/>
      <c r="J355" s="244">
        <f>IF(J353=0,0,IF('Baseline Health'!G$59=0,"Not Calculated",100*J353/'Baseline Health'!$G$59))</f>
        <v>0</v>
      </c>
      <c r="K355" s="41"/>
    </row>
    <row r="356" spans="2:11" x14ac:dyDescent="0.2">
      <c r="B356" s="38"/>
      <c r="C356" s="40" t="s">
        <v>260</v>
      </c>
      <c r="D356" s="40"/>
      <c r="E356" s="40"/>
      <c r="F356" s="40"/>
      <c r="G356" s="40"/>
      <c r="H356" s="40"/>
      <c r="I356" s="40"/>
      <c r="J356" s="245">
        <f>IF(J355&lt;=0,0,IF(J355&lt;=5,1,IF(J355&lt;=10,2,IF(J355&lt;=25,3,4))))</f>
        <v>0</v>
      </c>
      <c r="K356" s="41"/>
    </row>
    <row r="357" spans="2:11" ht="9.75" customHeight="1" x14ac:dyDescent="0.2">
      <c r="B357" s="38"/>
      <c r="C357" s="279" t="str">
        <f>"0:"</f>
        <v>0:</v>
      </c>
      <c r="D357" s="278" t="s">
        <v>932</v>
      </c>
      <c r="E357" s="40"/>
      <c r="F357" s="40"/>
      <c r="G357" s="40"/>
      <c r="H357" s="40"/>
      <c r="I357" s="40"/>
      <c r="J357" s="244"/>
      <c r="K357" s="41"/>
    </row>
    <row r="358" spans="2:11" ht="9.75" customHeight="1" x14ac:dyDescent="0.2">
      <c r="B358" s="38"/>
      <c r="C358" s="280" t="str">
        <f>"1:"</f>
        <v>1:</v>
      </c>
      <c r="D358" s="278" t="s">
        <v>933</v>
      </c>
      <c r="E358" s="40"/>
      <c r="F358" s="40"/>
      <c r="G358" s="40"/>
      <c r="H358" s="40"/>
      <c r="I358" s="40"/>
      <c r="J358" s="244"/>
      <c r="K358" s="41"/>
    </row>
    <row r="359" spans="2:11" ht="9.75" customHeight="1" x14ac:dyDescent="0.2">
      <c r="B359" s="38"/>
      <c r="C359" s="280" t="str">
        <f>"2:"</f>
        <v>2:</v>
      </c>
      <c r="D359" s="278" t="s">
        <v>935</v>
      </c>
      <c r="E359" s="40"/>
      <c r="F359" s="40"/>
      <c r="G359" s="40"/>
      <c r="H359" s="40"/>
      <c r="I359" s="40"/>
      <c r="J359" s="244"/>
      <c r="K359" s="41"/>
    </row>
    <row r="360" spans="2:11" ht="9.75" customHeight="1" x14ac:dyDescent="0.2">
      <c r="B360" s="38"/>
      <c r="C360" s="280" t="str">
        <f>"3:"</f>
        <v>3:</v>
      </c>
      <c r="D360" s="278" t="s">
        <v>937</v>
      </c>
      <c r="E360" s="40"/>
      <c r="F360" s="40"/>
      <c r="G360" s="40"/>
      <c r="H360" s="40"/>
      <c r="I360" s="40"/>
      <c r="J360" s="244"/>
      <c r="K360" s="41"/>
    </row>
    <row r="361" spans="2:11" ht="9.75" customHeight="1" x14ac:dyDescent="0.2">
      <c r="B361" s="38"/>
      <c r="C361" s="280" t="str">
        <f>"4:"</f>
        <v>4:</v>
      </c>
      <c r="D361" s="278" t="s">
        <v>938</v>
      </c>
      <c r="E361" s="40"/>
      <c r="F361" s="40"/>
      <c r="G361" s="40"/>
      <c r="H361" s="40"/>
      <c r="I361" s="40"/>
      <c r="J361" s="40"/>
      <c r="K361" s="41"/>
    </row>
    <row r="362" spans="2:11" ht="15" customHeight="1" x14ac:dyDescent="0.2">
      <c r="B362" s="38"/>
      <c r="C362" s="40" t="s">
        <v>257</v>
      </c>
      <c r="D362" s="40"/>
      <c r="E362" s="40"/>
      <c r="F362" s="40"/>
      <c r="G362" s="40"/>
      <c r="H362" s="40"/>
      <c r="I362" s="40"/>
      <c r="J362" s="266" t="s">
        <v>870</v>
      </c>
      <c r="K362" s="41"/>
    </row>
    <row r="363" spans="2:11" x14ac:dyDescent="0.2">
      <c r="B363" s="38"/>
      <c r="C363" s="40" t="s">
        <v>261</v>
      </c>
      <c r="D363" s="40"/>
      <c r="E363" s="40"/>
      <c r="F363" s="40"/>
      <c r="G363" s="40"/>
      <c r="H363" s="40"/>
      <c r="I363" s="40"/>
      <c r="J363" s="245">
        <f>IF(J362=$B$980,$A$980,IF(J362=$B$981,$A$981,IF(J362=$B$982,$A$982,IF(J362=$B$983,$A$983,IF(J362=$B$984,$A$984,"Not Calculated")))))</f>
        <v>0</v>
      </c>
      <c r="K363" s="41"/>
    </row>
    <row r="364" spans="2:11" x14ac:dyDescent="0.2">
      <c r="B364" s="38"/>
      <c r="C364" s="40" t="s">
        <v>893</v>
      </c>
      <c r="D364" s="40"/>
      <c r="E364" s="40"/>
      <c r="F364" s="40"/>
      <c r="G364" s="40"/>
      <c r="H364" s="40"/>
      <c r="I364" s="40"/>
      <c r="J364" s="40"/>
      <c r="K364" s="41"/>
    </row>
    <row r="365" spans="2:11" ht="30" customHeight="1" x14ac:dyDescent="0.2">
      <c r="B365" s="38"/>
      <c r="C365" s="399"/>
      <c r="D365" s="400"/>
      <c r="E365" s="400"/>
      <c r="F365" s="400"/>
      <c r="G365" s="400"/>
      <c r="H365" s="400"/>
      <c r="I365" s="400"/>
      <c r="J365" s="401"/>
      <c r="K365" s="41"/>
    </row>
    <row r="366" spans="2:11" x14ac:dyDescent="0.2">
      <c r="B366" s="38"/>
      <c r="C366" s="40"/>
      <c r="D366" s="40"/>
      <c r="E366" s="40"/>
      <c r="F366" s="40"/>
      <c r="G366" s="40"/>
      <c r="H366" s="40"/>
      <c r="I366" s="40"/>
      <c r="J366" s="40"/>
      <c r="K366" s="41"/>
    </row>
    <row r="367" spans="2:11" x14ac:dyDescent="0.2">
      <c r="B367" s="38"/>
      <c r="C367" s="179" t="s">
        <v>888</v>
      </c>
      <c r="D367" s="40"/>
      <c r="E367" s="40"/>
      <c r="F367" s="40"/>
      <c r="G367" s="40"/>
      <c r="H367" s="40"/>
      <c r="I367" s="40"/>
      <c r="J367" s="245">
        <f>IF(OR(J356="Not Calculated",J363="Not Calculated")=TRUE,"Not Calculated",AVERAGE(J356,J363))</f>
        <v>0</v>
      </c>
      <c r="K367" s="41"/>
    </row>
    <row r="368" spans="2:11" x14ac:dyDescent="0.2">
      <c r="B368" s="38"/>
      <c r="C368" s="40"/>
      <c r="D368" s="40"/>
      <c r="E368" s="40"/>
      <c r="F368" s="40"/>
      <c r="G368" s="40"/>
      <c r="H368" s="40"/>
      <c r="I368" s="40"/>
      <c r="J368" s="40"/>
      <c r="K368" s="41"/>
    </row>
    <row r="369" spans="2:11" x14ac:dyDescent="0.2">
      <c r="B369" s="38"/>
      <c r="C369" s="40"/>
      <c r="D369" s="40"/>
      <c r="E369" s="40"/>
      <c r="F369" s="40"/>
      <c r="G369" s="40"/>
      <c r="H369" s="40"/>
      <c r="I369" s="40"/>
      <c r="J369" s="40"/>
      <c r="K369" s="41"/>
    </row>
    <row r="370" spans="2:11" ht="16" x14ac:dyDescent="0.2">
      <c r="B370" s="38"/>
      <c r="C370" s="45" t="s">
        <v>863</v>
      </c>
      <c r="D370" s="40"/>
      <c r="E370" s="40"/>
      <c r="F370" s="40"/>
      <c r="G370" s="40"/>
      <c r="H370" s="40"/>
      <c r="I370" s="40"/>
      <c r="J370" s="40"/>
      <c r="K370" s="41"/>
    </row>
    <row r="371" spans="2:11" ht="15" customHeight="1" x14ac:dyDescent="0.2">
      <c r="B371" s="38"/>
      <c r="C371" s="380" t="s">
        <v>848</v>
      </c>
      <c r="D371" s="380"/>
      <c r="E371" s="380"/>
      <c r="F371" s="380"/>
      <c r="G371" s="380"/>
      <c r="H371" s="380"/>
      <c r="I371" s="380"/>
      <c r="J371" s="181"/>
      <c r="K371" s="41"/>
    </row>
    <row r="372" spans="2:11" x14ac:dyDescent="0.2">
      <c r="B372" s="38"/>
      <c r="C372" s="380"/>
      <c r="D372" s="380"/>
      <c r="E372" s="380"/>
      <c r="F372" s="380"/>
      <c r="G372" s="380"/>
      <c r="H372" s="380"/>
      <c r="I372" s="380"/>
      <c r="J372" s="264">
        <v>0</v>
      </c>
      <c r="K372" s="41"/>
    </row>
    <row r="373" spans="2:11" x14ac:dyDescent="0.2">
      <c r="B373" s="38"/>
      <c r="C373" s="40" t="s">
        <v>853</v>
      </c>
      <c r="D373" s="291"/>
      <c r="E373" s="291"/>
      <c r="F373" s="291"/>
      <c r="G373" s="291"/>
      <c r="H373" s="291"/>
      <c r="I373" s="291"/>
      <c r="J373" s="255">
        <f>'Baseline Health'!$G$102</f>
        <v>0</v>
      </c>
      <c r="K373" s="41"/>
    </row>
    <row r="374" spans="2:11" x14ac:dyDescent="0.2">
      <c r="B374" s="38"/>
      <c r="C374" s="40" t="s">
        <v>842</v>
      </c>
      <c r="D374" s="291"/>
      <c r="E374" s="291"/>
      <c r="F374" s="291"/>
      <c r="G374" s="291"/>
      <c r="H374" s="291"/>
      <c r="I374" s="291"/>
      <c r="J374" s="244" t="str">
        <f>IF('Baseline Health'!$G$102=0,"Not Calculated",100*J372/'Baseline Health'!$G$102)</f>
        <v>Not Calculated</v>
      </c>
      <c r="K374" s="41"/>
    </row>
    <row r="375" spans="2:11" x14ac:dyDescent="0.2">
      <c r="B375" s="38"/>
      <c r="C375" s="40" t="s">
        <v>260</v>
      </c>
      <c r="D375" s="40"/>
      <c r="E375" s="40"/>
      <c r="F375" s="40"/>
      <c r="G375" s="40"/>
      <c r="H375" s="40"/>
      <c r="I375" s="40"/>
      <c r="J375" s="251">
        <f>IF(J374&lt;=0,0,IF(J374&lt;=1,1,IF(J374&lt;=5,2,IF(J374&lt;=10,3,4))))</f>
        <v>4</v>
      </c>
      <c r="K375" s="41"/>
    </row>
    <row r="376" spans="2:11" ht="9.75" customHeight="1" x14ac:dyDescent="0.2">
      <c r="B376" s="38"/>
      <c r="C376" s="279" t="str">
        <f>"0:"</f>
        <v>0:</v>
      </c>
      <c r="D376" s="278" t="s">
        <v>932</v>
      </c>
      <c r="E376" s="291"/>
      <c r="F376" s="291"/>
      <c r="G376" s="291"/>
      <c r="H376" s="291"/>
      <c r="I376" s="291"/>
      <c r="J376" s="244"/>
      <c r="K376" s="41"/>
    </row>
    <row r="377" spans="2:11" ht="9.75" customHeight="1" x14ac:dyDescent="0.2">
      <c r="B377" s="38"/>
      <c r="C377" s="280" t="str">
        <f>"1:"</f>
        <v>1:</v>
      </c>
      <c r="D377" s="278" t="s">
        <v>934</v>
      </c>
      <c r="E377" s="291"/>
      <c r="F377" s="291"/>
      <c r="G377" s="291"/>
      <c r="H377" s="291"/>
      <c r="I377" s="291"/>
      <c r="J377" s="244"/>
      <c r="K377" s="41"/>
    </row>
    <row r="378" spans="2:11" ht="9.75" customHeight="1" x14ac:dyDescent="0.2">
      <c r="B378" s="38"/>
      <c r="C378" s="280" t="str">
        <f>"2:"</f>
        <v>2:</v>
      </c>
      <c r="D378" s="278" t="s">
        <v>933</v>
      </c>
      <c r="E378" s="291"/>
      <c r="F378" s="291"/>
      <c r="G378" s="291"/>
      <c r="H378" s="291"/>
      <c r="I378" s="291"/>
      <c r="J378" s="244"/>
      <c r="K378" s="41"/>
    </row>
    <row r="379" spans="2:11" ht="9.75" customHeight="1" x14ac:dyDescent="0.2">
      <c r="B379" s="38"/>
      <c r="C379" s="280" t="str">
        <f>"3:"</f>
        <v>3:</v>
      </c>
      <c r="D379" s="278" t="s">
        <v>935</v>
      </c>
      <c r="E379" s="291"/>
      <c r="F379" s="291"/>
      <c r="G379" s="291"/>
      <c r="H379" s="291"/>
      <c r="I379" s="291"/>
      <c r="J379" s="244"/>
      <c r="K379" s="41"/>
    </row>
    <row r="380" spans="2:11" ht="9.75" customHeight="1" x14ac:dyDescent="0.2">
      <c r="B380" s="38"/>
      <c r="C380" s="280" t="str">
        <f>"4:"</f>
        <v>4:</v>
      </c>
      <c r="D380" s="278" t="s">
        <v>936</v>
      </c>
      <c r="E380" s="40"/>
      <c r="F380" s="40"/>
      <c r="G380" s="40"/>
      <c r="H380" s="40"/>
      <c r="I380" s="40"/>
      <c r="J380" s="40"/>
      <c r="K380" s="41"/>
    </row>
    <row r="381" spans="2:11" x14ac:dyDescent="0.2">
      <c r="B381" s="38"/>
      <c r="C381" s="40" t="s">
        <v>85</v>
      </c>
      <c r="D381" s="40"/>
      <c r="E381" s="40"/>
      <c r="F381" s="40"/>
      <c r="G381" s="40"/>
      <c r="H381" s="40"/>
      <c r="I381" s="40"/>
      <c r="J381" s="254">
        <f>'Baseline Health'!G114</f>
        <v>7</v>
      </c>
      <c r="K381" s="41"/>
    </row>
    <row r="382" spans="2:11" x14ac:dyDescent="0.2">
      <c r="B382" s="38"/>
      <c r="C382" s="40" t="s">
        <v>297</v>
      </c>
      <c r="D382" s="40"/>
      <c r="E382" s="40"/>
      <c r="F382" s="40"/>
      <c r="G382" s="40"/>
      <c r="H382" s="40"/>
      <c r="I382" s="40"/>
      <c r="J382" s="266">
        <v>0</v>
      </c>
      <c r="K382" s="41"/>
    </row>
    <row r="383" spans="2:11" x14ac:dyDescent="0.2">
      <c r="B383" s="38"/>
      <c r="C383" s="40" t="s">
        <v>261</v>
      </c>
      <c r="D383" s="40"/>
      <c r="E383" s="40"/>
      <c r="F383" s="40"/>
      <c r="G383" s="40"/>
      <c r="H383" s="40"/>
      <c r="I383" s="40"/>
      <c r="J383" s="248">
        <f>IF((J382-J381)&lt;1,0,IF((J382-J381)&lt;3,1,IF((J382-J381)&lt;5,2,IF((J382-J381)&lt;7,3,4))))</f>
        <v>0</v>
      </c>
      <c r="K383" s="41"/>
    </row>
    <row r="384" spans="2:11" x14ac:dyDescent="0.2">
      <c r="B384" s="38"/>
      <c r="C384" s="40" t="s">
        <v>893</v>
      </c>
      <c r="D384" s="40"/>
      <c r="E384" s="40"/>
      <c r="F384" s="40"/>
      <c r="G384" s="40"/>
      <c r="H384" s="40"/>
      <c r="I384" s="40"/>
      <c r="J384" s="40"/>
      <c r="K384" s="41"/>
    </row>
    <row r="385" spans="2:11" ht="30" customHeight="1" x14ac:dyDescent="0.2">
      <c r="B385" s="38"/>
      <c r="C385" s="399"/>
      <c r="D385" s="400"/>
      <c r="E385" s="400"/>
      <c r="F385" s="400"/>
      <c r="G385" s="400"/>
      <c r="H385" s="400"/>
      <c r="I385" s="400"/>
      <c r="J385" s="401"/>
      <c r="K385" s="41"/>
    </row>
    <row r="386" spans="2:11" x14ac:dyDescent="0.2">
      <c r="B386" s="38"/>
      <c r="C386" s="40"/>
      <c r="D386" s="40"/>
      <c r="E386" s="40"/>
      <c r="F386" s="40"/>
      <c r="G386" s="40"/>
      <c r="H386" s="40"/>
      <c r="I386" s="40"/>
      <c r="J386" s="40"/>
      <c r="K386" s="41"/>
    </row>
    <row r="387" spans="2:11" x14ac:dyDescent="0.2">
      <c r="B387" s="38"/>
      <c r="C387" s="179" t="s">
        <v>889</v>
      </c>
      <c r="D387" s="40"/>
      <c r="E387" s="40"/>
      <c r="F387" s="40"/>
      <c r="G387" s="40"/>
      <c r="H387" s="40"/>
      <c r="I387" s="40"/>
      <c r="J387" s="245">
        <f>IF(OR(J375="Not Calculated",J383="Not Calculated")=TRUE,"Not Calculated",AVERAGE(J375,J383))</f>
        <v>2</v>
      </c>
      <c r="K387" s="41"/>
    </row>
    <row r="388" spans="2:11" x14ac:dyDescent="0.2">
      <c r="B388" s="38"/>
      <c r="C388" s="40"/>
      <c r="D388" s="40"/>
      <c r="E388" s="40"/>
      <c r="F388" s="40"/>
      <c r="G388" s="40"/>
      <c r="H388" s="40"/>
      <c r="I388" s="40"/>
      <c r="J388" s="40"/>
      <c r="K388" s="41"/>
    </row>
    <row r="389" spans="2:11" x14ac:dyDescent="0.2">
      <c r="B389" s="38"/>
      <c r="C389" s="40"/>
      <c r="D389" s="40"/>
      <c r="E389" s="40"/>
      <c r="F389" s="40"/>
      <c r="G389" s="40"/>
      <c r="H389" s="40"/>
      <c r="I389" s="40"/>
      <c r="J389" s="40"/>
      <c r="K389" s="41"/>
    </row>
    <row r="390" spans="2:11" ht="16" x14ac:dyDescent="0.2">
      <c r="B390" s="38"/>
      <c r="C390" s="45" t="s">
        <v>860</v>
      </c>
      <c r="D390" s="40"/>
      <c r="E390" s="40"/>
      <c r="F390" s="40"/>
      <c r="G390" s="40"/>
      <c r="H390" s="40"/>
      <c r="I390" s="40"/>
      <c r="J390" s="40"/>
      <c r="K390" s="41"/>
    </row>
    <row r="391" spans="2:11" x14ac:dyDescent="0.2">
      <c r="B391" s="38"/>
      <c r="C391" s="380" t="s">
        <v>849</v>
      </c>
      <c r="D391" s="380"/>
      <c r="E391" s="380"/>
      <c r="F391" s="380"/>
      <c r="G391" s="380"/>
      <c r="H391" s="380"/>
      <c r="I391" s="380"/>
      <c r="J391" s="181"/>
      <c r="K391" s="41"/>
    </row>
    <row r="392" spans="2:11" x14ac:dyDescent="0.2">
      <c r="B392" s="38"/>
      <c r="C392" s="380"/>
      <c r="D392" s="380"/>
      <c r="E392" s="380"/>
      <c r="F392" s="380"/>
      <c r="G392" s="380"/>
      <c r="H392" s="380"/>
      <c r="I392" s="380"/>
      <c r="J392" s="264">
        <v>0</v>
      </c>
      <c r="K392" s="41"/>
    </row>
    <row r="393" spans="2:11" x14ac:dyDescent="0.2">
      <c r="B393" s="38"/>
      <c r="C393" s="40" t="s">
        <v>853</v>
      </c>
      <c r="D393" s="291"/>
      <c r="E393" s="291"/>
      <c r="F393" s="291"/>
      <c r="G393" s="291"/>
      <c r="H393" s="291"/>
      <c r="I393" s="291"/>
      <c r="J393" s="255">
        <f>'Baseline Health'!$G$102</f>
        <v>0</v>
      </c>
      <c r="K393" s="41"/>
    </row>
    <row r="394" spans="2:11" ht="15" customHeight="1" x14ac:dyDescent="0.2">
      <c r="B394" s="38"/>
      <c r="C394" s="40" t="s">
        <v>850</v>
      </c>
      <c r="D394" s="291"/>
      <c r="E394" s="291"/>
      <c r="F394" s="291"/>
      <c r="G394" s="291"/>
      <c r="H394" s="291"/>
      <c r="I394" s="291"/>
      <c r="J394" s="244" t="str">
        <f>IF('Baseline Health'!$G$102=0,"Not Calculated",100*J392/'Baseline Health'!$G$102)</f>
        <v>Not Calculated</v>
      </c>
      <c r="K394" s="41"/>
    </row>
    <row r="395" spans="2:11" ht="15" customHeight="1" x14ac:dyDescent="0.2">
      <c r="B395" s="38"/>
      <c r="C395" s="40" t="s">
        <v>260</v>
      </c>
      <c r="D395" s="40"/>
      <c r="E395" s="40"/>
      <c r="F395" s="40"/>
      <c r="G395" s="40"/>
      <c r="H395" s="40"/>
      <c r="I395" s="40"/>
      <c r="J395" s="43">
        <f>IF(J394&lt;=0,0,IF(J394&lt;=1,1,IF(J394&lt;=5,2,IF(J394&lt;=10,3,4))))</f>
        <v>4</v>
      </c>
      <c r="K395" s="41"/>
    </row>
    <row r="396" spans="2:11" ht="9.75" customHeight="1" x14ac:dyDescent="0.2">
      <c r="B396" s="38"/>
      <c r="C396" s="279" t="str">
        <f>"0:"</f>
        <v>0:</v>
      </c>
      <c r="D396" s="278" t="s">
        <v>932</v>
      </c>
      <c r="E396" s="291"/>
      <c r="F396" s="291"/>
      <c r="G396" s="291"/>
      <c r="H396" s="291"/>
      <c r="I396" s="291"/>
      <c r="J396" s="244"/>
      <c r="K396" s="41"/>
    </row>
    <row r="397" spans="2:11" ht="9.75" customHeight="1" x14ac:dyDescent="0.2">
      <c r="B397" s="38"/>
      <c r="C397" s="280" t="str">
        <f>"1:"</f>
        <v>1:</v>
      </c>
      <c r="D397" s="278" t="s">
        <v>934</v>
      </c>
      <c r="E397" s="291"/>
      <c r="F397" s="291"/>
      <c r="G397" s="291"/>
      <c r="H397" s="291"/>
      <c r="I397" s="291"/>
      <c r="J397" s="244"/>
      <c r="K397" s="41"/>
    </row>
    <row r="398" spans="2:11" ht="9.75" customHeight="1" x14ac:dyDescent="0.2">
      <c r="B398" s="38"/>
      <c r="C398" s="280" t="str">
        <f>"2:"</f>
        <v>2:</v>
      </c>
      <c r="D398" s="278" t="s">
        <v>933</v>
      </c>
      <c r="E398" s="291"/>
      <c r="F398" s="291"/>
      <c r="G398" s="291"/>
      <c r="H398" s="291"/>
      <c r="I398" s="291"/>
      <c r="J398" s="244"/>
      <c r="K398" s="41"/>
    </row>
    <row r="399" spans="2:11" ht="9.75" customHeight="1" x14ac:dyDescent="0.2">
      <c r="B399" s="38"/>
      <c r="C399" s="280" t="str">
        <f>"3:"</f>
        <v>3:</v>
      </c>
      <c r="D399" s="278" t="s">
        <v>935</v>
      </c>
      <c r="E399" s="291"/>
      <c r="F399" s="291"/>
      <c r="G399" s="291"/>
      <c r="H399" s="291"/>
      <c r="I399" s="291"/>
      <c r="J399" s="244"/>
      <c r="K399" s="41"/>
    </row>
    <row r="400" spans="2:11" ht="9.75" customHeight="1" x14ac:dyDescent="0.2">
      <c r="B400" s="38"/>
      <c r="C400" s="280" t="str">
        <f>"4:"</f>
        <v>4:</v>
      </c>
      <c r="D400" s="278" t="s">
        <v>936</v>
      </c>
      <c r="E400" s="40"/>
      <c r="F400" s="40"/>
      <c r="G400" s="40"/>
      <c r="H400" s="40"/>
      <c r="I400" s="40"/>
      <c r="J400" s="40"/>
      <c r="K400" s="41"/>
    </row>
    <row r="401" spans="2:11" x14ac:dyDescent="0.2">
      <c r="B401" s="38"/>
      <c r="C401" s="40" t="s">
        <v>893</v>
      </c>
      <c r="D401" s="40"/>
      <c r="E401" s="40"/>
      <c r="F401" s="40"/>
      <c r="G401" s="40"/>
      <c r="H401" s="40"/>
      <c r="I401" s="40"/>
      <c r="J401" s="40"/>
      <c r="K401" s="41"/>
    </row>
    <row r="402" spans="2:11" ht="30" customHeight="1" x14ac:dyDescent="0.2">
      <c r="B402" s="38"/>
      <c r="C402" s="399"/>
      <c r="D402" s="400"/>
      <c r="E402" s="400"/>
      <c r="F402" s="400"/>
      <c r="G402" s="400"/>
      <c r="H402" s="400"/>
      <c r="I402" s="400"/>
      <c r="J402" s="401"/>
      <c r="K402" s="41"/>
    </row>
    <row r="403" spans="2:11" x14ac:dyDescent="0.2">
      <c r="B403" s="38"/>
      <c r="C403" s="40"/>
      <c r="D403" s="40"/>
      <c r="E403" s="40"/>
      <c r="F403" s="40"/>
      <c r="G403" s="40"/>
      <c r="H403" s="40"/>
      <c r="I403" s="40"/>
      <c r="J403" s="40"/>
      <c r="K403" s="41"/>
    </row>
    <row r="404" spans="2:11" x14ac:dyDescent="0.2">
      <c r="B404" s="38"/>
      <c r="C404" s="179" t="s">
        <v>890</v>
      </c>
      <c r="D404" s="40"/>
      <c r="E404" s="40"/>
      <c r="F404" s="40"/>
      <c r="G404" s="40"/>
      <c r="H404" s="40"/>
      <c r="I404" s="40"/>
      <c r="J404" s="245">
        <f>J395</f>
        <v>4</v>
      </c>
      <c r="K404" s="41"/>
    </row>
    <row r="405" spans="2:11" x14ac:dyDescent="0.2">
      <c r="B405" s="38"/>
      <c r="C405" s="40"/>
      <c r="D405" s="40"/>
      <c r="E405" s="40"/>
      <c r="F405" s="40"/>
      <c r="G405" s="40"/>
      <c r="H405" s="40"/>
      <c r="I405" s="40"/>
      <c r="J405" s="40"/>
      <c r="K405" s="41"/>
    </row>
    <row r="406" spans="2:11" x14ac:dyDescent="0.2">
      <c r="B406" s="38"/>
      <c r="C406" s="40"/>
      <c r="D406" s="40"/>
      <c r="E406" s="40"/>
      <c r="F406" s="40"/>
      <c r="G406" s="40"/>
      <c r="H406" s="40"/>
      <c r="I406" s="40"/>
      <c r="J406" s="40"/>
      <c r="K406" s="41"/>
    </row>
    <row r="407" spans="2:11" ht="16" x14ac:dyDescent="0.2">
      <c r="B407" s="38"/>
      <c r="C407" s="45" t="s">
        <v>861</v>
      </c>
      <c r="D407" s="40"/>
      <c r="E407" s="40"/>
      <c r="F407" s="40"/>
      <c r="G407" s="40"/>
      <c r="H407" s="40"/>
      <c r="I407" s="40"/>
      <c r="J407" s="40"/>
      <c r="K407" s="41"/>
    </row>
    <row r="408" spans="2:11" x14ac:dyDescent="0.2">
      <c r="B408" s="38"/>
      <c r="C408" s="40" t="s">
        <v>298</v>
      </c>
      <c r="D408" s="40"/>
      <c r="E408" s="40"/>
      <c r="F408" s="40"/>
      <c r="G408" s="40"/>
      <c r="H408" s="40"/>
      <c r="I408" s="40"/>
      <c r="J408" s="269">
        <v>0</v>
      </c>
      <c r="K408" s="41"/>
    </row>
    <row r="409" spans="2:11" x14ac:dyDescent="0.2">
      <c r="B409" s="38"/>
      <c r="C409" s="40" t="s">
        <v>260</v>
      </c>
      <c r="D409" s="40"/>
      <c r="E409" s="40"/>
      <c r="F409" s="40"/>
      <c r="G409" s="40"/>
      <c r="H409" s="40"/>
      <c r="I409" s="40"/>
      <c r="J409" s="253">
        <f>IF(J408&lt;=0,0,IF(J408&lt;=(J161*0.01),1,IF(J408&lt;=(J161*0.05),2,IF(J408&lt;=(J161*0.1),3,4))))</f>
        <v>0</v>
      </c>
      <c r="K409" s="41"/>
    </row>
    <row r="410" spans="2:11" ht="9.75" customHeight="1" x14ac:dyDescent="0.2">
      <c r="B410" s="38"/>
      <c r="C410" s="279" t="str">
        <f>"0:"</f>
        <v>0:</v>
      </c>
      <c r="D410" s="278" t="s">
        <v>939</v>
      </c>
      <c r="E410" s="40"/>
      <c r="F410" s="40"/>
      <c r="G410" s="40"/>
      <c r="H410" s="40"/>
      <c r="I410" s="40"/>
      <c r="J410" s="282"/>
      <c r="K410" s="41"/>
    </row>
    <row r="411" spans="2:11" ht="9.75" customHeight="1" x14ac:dyDescent="0.2">
      <c r="B411" s="38"/>
      <c r="C411" s="280" t="str">
        <f>"1:"</f>
        <v>1:</v>
      </c>
      <c r="D411" s="278" t="s">
        <v>940</v>
      </c>
      <c r="E411" s="40"/>
      <c r="F411" s="40"/>
      <c r="G411" s="40"/>
      <c r="H411" s="40"/>
      <c r="I411" s="40"/>
      <c r="J411" s="282"/>
      <c r="K411" s="41"/>
    </row>
    <row r="412" spans="2:11" ht="9.75" customHeight="1" x14ac:dyDescent="0.2">
      <c r="B412" s="38"/>
      <c r="C412" s="280" t="str">
        <f>"2:"</f>
        <v>2:</v>
      </c>
      <c r="D412" s="278" t="s">
        <v>941</v>
      </c>
      <c r="E412" s="40"/>
      <c r="F412" s="40"/>
      <c r="G412" s="40"/>
      <c r="H412" s="40"/>
      <c r="I412" s="40"/>
      <c r="J412" s="282"/>
      <c r="K412" s="41"/>
    </row>
    <row r="413" spans="2:11" ht="9.75" customHeight="1" x14ac:dyDescent="0.2">
      <c r="B413" s="38"/>
      <c r="C413" s="280" t="str">
        <f>"3:"</f>
        <v>3:</v>
      </c>
      <c r="D413" s="278" t="s">
        <v>942</v>
      </c>
      <c r="E413" s="40"/>
      <c r="F413" s="40"/>
      <c r="G413" s="40"/>
      <c r="H413" s="40"/>
      <c r="I413" s="40"/>
      <c r="J413" s="282"/>
      <c r="K413" s="41"/>
    </row>
    <row r="414" spans="2:11" ht="9.75" customHeight="1" x14ac:dyDescent="0.2">
      <c r="B414" s="38"/>
      <c r="C414" s="280" t="str">
        <f>"4:"</f>
        <v>4:</v>
      </c>
      <c r="D414" s="278" t="s">
        <v>943</v>
      </c>
      <c r="E414" s="40"/>
      <c r="F414" s="40"/>
      <c r="G414" s="40"/>
      <c r="H414" s="40"/>
      <c r="I414" s="40"/>
      <c r="J414" s="40"/>
      <c r="K414" s="41"/>
    </row>
    <row r="415" spans="2:11" x14ac:dyDescent="0.2">
      <c r="B415" s="38"/>
      <c r="C415" s="40" t="s">
        <v>893</v>
      </c>
      <c r="D415" s="40"/>
      <c r="E415" s="40"/>
      <c r="F415" s="40"/>
      <c r="G415" s="40"/>
      <c r="H415" s="40"/>
      <c r="I415" s="40"/>
      <c r="J415" s="40"/>
      <c r="K415" s="41"/>
    </row>
    <row r="416" spans="2:11" ht="30" customHeight="1" x14ac:dyDescent="0.2">
      <c r="B416" s="38"/>
      <c r="C416" s="399"/>
      <c r="D416" s="400"/>
      <c r="E416" s="400"/>
      <c r="F416" s="400"/>
      <c r="G416" s="400"/>
      <c r="H416" s="400"/>
      <c r="I416" s="400"/>
      <c r="J416" s="401"/>
      <c r="K416" s="41"/>
    </row>
    <row r="417" spans="2:11" x14ac:dyDescent="0.2">
      <c r="B417" s="38"/>
      <c r="C417" s="40"/>
      <c r="D417" s="40"/>
      <c r="E417" s="40"/>
      <c r="F417" s="40"/>
      <c r="G417" s="40"/>
      <c r="H417" s="40"/>
      <c r="I417" s="40"/>
      <c r="J417" s="40"/>
      <c r="K417" s="41"/>
    </row>
    <row r="418" spans="2:11" x14ac:dyDescent="0.2">
      <c r="B418" s="38"/>
      <c r="C418" s="179" t="s">
        <v>891</v>
      </c>
      <c r="D418" s="40"/>
      <c r="E418" s="40"/>
      <c r="F418" s="40"/>
      <c r="G418" s="40"/>
      <c r="H418" s="40"/>
      <c r="I418" s="40"/>
      <c r="J418" s="245">
        <f>J409</f>
        <v>0</v>
      </c>
      <c r="K418" s="41"/>
    </row>
    <row r="419" spans="2:11" x14ac:dyDescent="0.2">
      <c r="B419" s="38"/>
      <c r="C419" s="40"/>
      <c r="D419" s="40"/>
      <c r="E419" s="40"/>
      <c r="F419" s="40"/>
      <c r="G419" s="40"/>
      <c r="H419" s="40"/>
      <c r="I419" s="40"/>
      <c r="J419" s="40"/>
      <c r="K419" s="41"/>
    </row>
    <row r="420" spans="2:11" ht="20" customHeight="1" x14ac:dyDescent="0.2">
      <c r="B420" s="38"/>
      <c r="C420" s="410" t="s">
        <v>881</v>
      </c>
      <c r="D420" s="410"/>
      <c r="E420" s="410"/>
      <c r="F420" s="410"/>
      <c r="G420" s="410"/>
      <c r="H420" s="410"/>
      <c r="I420" s="410"/>
      <c r="J420" s="40"/>
      <c r="K420" s="41"/>
    </row>
    <row r="421" spans="2:11" ht="20" customHeight="1" x14ac:dyDescent="0.2">
      <c r="B421" s="38"/>
      <c r="C421" s="410"/>
      <c r="D421" s="410"/>
      <c r="E421" s="410"/>
      <c r="F421" s="410"/>
      <c r="G421" s="410"/>
      <c r="H421" s="410"/>
      <c r="I421" s="410"/>
      <c r="J421" s="244">
        <f>IF(OR(J288="Not Calculated",J307="Not Calculated",J326="Not Calculated",J349="Not Calculated",J367="Not Calculated",J387="Not Calculated",J404="Not Calculated",J418="Not Calculated")=TRUE,"Not Calculated",AVERAGE(J288,J307,J326,J349,J367,J387,J404,J418))</f>
        <v>1.6875</v>
      </c>
      <c r="K421" s="41"/>
    </row>
    <row r="422" spans="2:11" ht="16" thickBot="1" x14ac:dyDescent="0.25">
      <c r="B422" s="46"/>
      <c r="C422" s="47"/>
      <c r="D422" s="47"/>
      <c r="E422" s="47"/>
      <c r="F422" s="47"/>
      <c r="G422" s="47"/>
      <c r="H422" s="47"/>
      <c r="I422" s="47"/>
      <c r="J422" s="47"/>
      <c r="K422" s="49"/>
    </row>
    <row r="423" spans="2:11" ht="16" thickBot="1" x14ac:dyDescent="0.25"/>
    <row r="424" spans="2:11" x14ac:dyDescent="0.2">
      <c r="B424" s="33"/>
      <c r="C424" s="34"/>
      <c r="D424" s="34"/>
      <c r="E424" s="34"/>
      <c r="F424" s="34"/>
      <c r="G424" s="34"/>
      <c r="H424" s="34"/>
      <c r="I424" s="34"/>
      <c r="J424" s="34"/>
      <c r="K424" s="37"/>
    </row>
    <row r="425" spans="2:11" ht="21" x14ac:dyDescent="0.25">
      <c r="B425" s="38"/>
      <c r="C425" s="40"/>
      <c r="D425" s="40"/>
      <c r="E425" s="40"/>
      <c r="F425" s="40"/>
      <c r="G425" s="172" t="s">
        <v>230</v>
      </c>
      <c r="H425" s="40"/>
      <c r="I425" s="40"/>
      <c r="J425" s="40"/>
      <c r="K425" s="41"/>
    </row>
    <row r="426" spans="2:11" x14ac:dyDescent="0.2">
      <c r="B426" s="38"/>
      <c r="C426" s="40"/>
      <c r="D426" s="40"/>
      <c r="E426" s="40"/>
      <c r="F426" s="40"/>
      <c r="G426" s="40"/>
      <c r="H426" s="40"/>
      <c r="I426" s="40"/>
      <c r="J426" s="40"/>
      <c r="K426" s="41"/>
    </row>
    <row r="427" spans="2:11" ht="16" x14ac:dyDescent="0.2">
      <c r="B427" s="38"/>
      <c r="C427" s="45" t="s">
        <v>299</v>
      </c>
      <c r="D427" s="40"/>
      <c r="E427" s="40"/>
      <c r="F427" s="40"/>
      <c r="G427" s="40"/>
      <c r="H427" s="40"/>
      <c r="I427" s="40"/>
      <c r="J427" s="40"/>
      <c r="K427" s="41"/>
    </row>
    <row r="428" spans="2:11" x14ac:dyDescent="0.2">
      <c r="B428" s="38"/>
      <c r="C428" s="40" t="s">
        <v>300</v>
      </c>
      <c r="D428" s="40"/>
      <c r="E428" s="40"/>
      <c r="F428" s="40"/>
      <c r="G428" s="40"/>
      <c r="H428" s="40"/>
      <c r="I428" s="40"/>
      <c r="J428" s="270">
        <v>0</v>
      </c>
      <c r="K428" s="41"/>
    </row>
    <row r="429" spans="2:11" x14ac:dyDescent="0.2">
      <c r="B429" s="38"/>
      <c r="C429" s="40" t="s">
        <v>260</v>
      </c>
      <c r="D429" s="40"/>
      <c r="E429" s="40"/>
      <c r="F429" s="40"/>
      <c r="G429" s="40"/>
      <c r="H429" s="40"/>
      <c r="I429" s="40"/>
      <c r="J429" s="248">
        <f>IF(J428&lt;=0,0,IF(J428&lt;=1,1,IF(J428&lt;=5,2,IF(J428&lt;=10,3,4))))</f>
        <v>0</v>
      </c>
      <c r="K429" s="41"/>
    </row>
    <row r="430" spans="2:11" s="98" customFormat="1" ht="9.75" customHeight="1" x14ac:dyDescent="0.2">
      <c r="B430" s="288"/>
      <c r="C430" s="279" t="str">
        <f>"0:"</f>
        <v>0:</v>
      </c>
      <c r="D430" s="290" t="s">
        <v>944</v>
      </c>
      <c r="E430" s="245"/>
      <c r="F430" s="245"/>
      <c r="G430" s="245"/>
      <c r="H430" s="245"/>
      <c r="I430" s="245"/>
      <c r="J430" s="245"/>
      <c r="K430" s="289"/>
    </row>
    <row r="431" spans="2:11" s="98" customFormat="1" ht="9.75" customHeight="1" x14ac:dyDescent="0.2">
      <c r="B431" s="288"/>
      <c r="C431" s="280" t="str">
        <f>"1:"</f>
        <v>1:</v>
      </c>
      <c r="D431" s="290" t="s">
        <v>945</v>
      </c>
      <c r="E431" s="245"/>
      <c r="F431" s="245"/>
      <c r="G431" s="245"/>
      <c r="H431" s="245"/>
      <c r="I431" s="245"/>
      <c r="J431" s="245"/>
      <c r="K431" s="289"/>
    </row>
    <row r="432" spans="2:11" s="98" customFormat="1" ht="9.75" customHeight="1" x14ac:dyDescent="0.2">
      <c r="B432" s="288"/>
      <c r="C432" s="280" t="str">
        <f>"2:"</f>
        <v>2:</v>
      </c>
      <c r="D432" s="290" t="s">
        <v>946</v>
      </c>
      <c r="E432" s="245"/>
      <c r="F432" s="245"/>
      <c r="G432" s="245"/>
      <c r="H432" s="245"/>
      <c r="I432" s="245"/>
      <c r="J432" s="245"/>
      <c r="K432" s="289"/>
    </row>
    <row r="433" spans="2:11" s="98" customFormat="1" ht="9.75" customHeight="1" x14ac:dyDescent="0.2">
      <c r="B433" s="288"/>
      <c r="C433" s="280" t="str">
        <f>"3:"</f>
        <v>3:</v>
      </c>
      <c r="D433" s="290" t="s">
        <v>947</v>
      </c>
      <c r="E433" s="245"/>
      <c r="F433" s="245"/>
      <c r="G433" s="245"/>
      <c r="H433" s="245"/>
      <c r="I433" s="245"/>
      <c r="J433" s="245"/>
      <c r="K433" s="289"/>
    </row>
    <row r="434" spans="2:11" s="98" customFormat="1" ht="9.75" customHeight="1" x14ac:dyDescent="0.2">
      <c r="B434" s="288"/>
      <c r="C434" s="280" t="str">
        <f>"4:"</f>
        <v>4:</v>
      </c>
      <c r="D434" s="290" t="s">
        <v>948</v>
      </c>
      <c r="E434" s="245"/>
      <c r="F434" s="245"/>
      <c r="G434" s="245"/>
      <c r="H434" s="245"/>
      <c r="I434" s="245"/>
      <c r="J434" s="247"/>
      <c r="K434" s="289"/>
    </row>
    <row r="435" spans="2:11" x14ac:dyDescent="0.2">
      <c r="B435" s="38"/>
      <c r="C435" s="40" t="s">
        <v>257</v>
      </c>
      <c r="D435" s="40"/>
      <c r="E435" s="40"/>
      <c r="F435" s="40"/>
      <c r="G435" s="40"/>
      <c r="H435" s="40"/>
      <c r="I435" s="40"/>
      <c r="J435" s="266" t="s">
        <v>870</v>
      </c>
      <c r="K435" s="41"/>
    </row>
    <row r="436" spans="2:11" x14ac:dyDescent="0.2">
      <c r="B436" s="38"/>
      <c r="C436" s="40" t="s">
        <v>261</v>
      </c>
      <c r="D436" s="40"/>
      <c r="E436" s="40"/>
      <c r="F436" s="40"/>
      <c r="G436" s="40"/>
      <c r="H436" s="40"/>
      <c r="I436" s="40"/>
      <c r="J436" s="248">
        <f>IF(J435=$B$973,$A$973,IF(J435=$B$974,$A$974,IF(J435=$B$975,$A$975,IF(J435=$B$976,$A$976,IF(J435=$B$977,$A$977,"Not Calculated")))))</f>
        <v>0</v>
      </c>
      <c r="K436" s="41"/>
    </row>
    <row r="437" spans="2:11" x14ac:dyDescent="0.2">
      <c r="B437" s="38"/>
      <c r="C437" s="40" t="s">
        <v>893</v>
      </c>
      <c r="D437" s="40"/>
      <c r="E437" s="40"/>
      <c r="F437" s="40"/>
      <c r="G437" s="40"/>
      <c r="H437" s="40"/>
      <c r="I437" s="40"/>
      <c r="J437" s="40"/>
      <c r="K437" s="41"/>
    </row>
    <row r="438" spans="2:11" ht="30" customHeight="1" x14ac:dyDescent="0.2">
      <c r="B438" s="38"/>
      <c r="C438" s="399"/>
      <c r="D438" s="400"/>
      <c r="E438" s="400"/>
      <c r="F438" s="400"/>
      <c r="G438" s="400"/>
      <c r="H438" s="400"/>
      <c r="I438" s="400"/>
      <c r="J438" s="401"/>
      <c r="K438" s="41"/>
    </row>
    <row r="439" spans="2:11" x14ac:dyDescent="0.2">
      <c r="B439" s="38"/>
      <c r="C439" s="40"/>
      <c r="D439" s="40"/>
      <c r="E439" s="40"/>
      <c r="F439" s="40"/>
      <c r="G439" s="40"/>
      <c r="H439" s="40"/>
      <c r="I439" s="40"/>
      <c r="J439" s="40"/>
      <c r="K439" s="41"/>
    </row>
    <row r="440" spans="2:11" x14ac:dyDescent="0.2">
      <c r="B440" s="38"/>
      <c r="C440" s="179" t="s">
        <v>301</v>
      </c>
      <c r="D440" s="40"/>
      <c r="E440" s="40"/>
      <c r="F440" s="40"/>
      <c r="G440" s="40"/>
      <c r="H440" s="40"/>
      <c r="I440" s="40"/>
      <c r="J440" s="245">
        <f>IF(OR(J429="Not Calculated",J436="Not Calculated")=TRUE,"Not Calculated",AVERAGE(J429,J436))</f>
        <v>0</v>
      </c>
      <c r="K440" s="41"/>
    </row>
    <row r="441" spans="2:11" x14ac:dyDescent="0.2">
      <c r="B441" s="38"/>
      <c r="C441" s="40"/>
      <c r="D441" s="40"/>
      <c r="E441" s="40"/>
      <c r="F441" s="40"/>
      <c r="G441" s="40"/>
      <c r="H441" s="40"/>
      <c r="I441" s="40"/>
      <c r="J441" s="40"/>
      <c r="K441" s="41"/>
    </row>
    <row r="442" spans="2:11" x14ac:dyDescent="0.2">
      <c r="B442" s="38"/>
      <c r="C442" s="40"/>
      <c r="D442" s="40"/>
      <c r="E442" s="40"/>
      <c r="F442" s="40"/>
      <c r="G442" s="40"/>
      <c r="H442" s="40"/>
      <c r="I442" s="40"/>
      <c r="J442" s="40"/>
      <c r="K442" s="41"/>
    </row>
    <row r="443" spans="2:11" ht="16" x14ac:dyDescent="0.2">
      <c r="B443" s="38"/>
      <c r="C443" s="45" t="s">
        <v>303</v>
      </c>
      <c r="D443" s="40"/>
      <c r="E443" s="40"/>
      <c r="F443" s="40"/>
      <c r="G443" s="40"/>
      <c r="H443" s="40"/>
      <c r="I443" s="40"/>
      <c r="J443" s="40"/>
      <c r="K443" s="41"/>
    </row>
    <row r="444" spans="2:11" ht="15" customHeight="1" x14ac:dyDescent="0.2">
      <c r="B444" s="38"/>
      <c r="C444" s="380" t="s">
        <v>305</v>
      </c>
      <c r="D444" s="380"/>
      <c r="E444" s="380"/>
      <c r="F444" s="380"/>
      <c r="G444" s="380"/>
      <c r="H444" s="380"/>
      <c r="I444" s="380"/>
      <c r="J444" s="40"/>
      <c r="K444" s="41"/>
    </row>
    <row r="445" spans="2:11" x14ac:dyDescent="0.2">
      <c r="B445" s="38"/>
      <c r="C445" s="380"/>
      <c r="D445" s="380"/>
      <c r="E445" s="380"/>
      <c r="F445" s="380"/>
      <c r="G445" s="380"/>
      <c r="H445" s="380"/>
      <c r="I445" s="380"/>
      <c r="J445" s="270">
        <v>0</v>
      </c>
      <c r="K445" s="41"/>
    </row>
    <row r="446" spans="2:11" x14ac:dyDescent="0.2">
      <c r="B446" s="38"/>
      <c r="C446" s="40" t="s">
        <v>260</v>
      </c>
      <c r="D446" s="40"/>
      <c r="E446" s="40"/>
      <c r="F446" s="40"/>
      <c r="G446" s="40"/>
      <c r="H446" s="40"/>
      <c r="I446" s="40"/>
      <c r="J446" s="248">
        <f>IF(J445&lt;=0,0,IF(J445&lt;=1,1,IF(J445&lt;=5,2,IF(J445&lt;=10,3,4))))</f>
        <v>0</v>
      </c>
      <c r="K446" s="41"/>
    </row>
    <row r="447" spans="2:11" ht="9.75" customHeight="1" x14ac:dyDescent="0.2">
      <c r="B447" s="38"/>
      <c r="C447" s="279" t="str">
        <f>"0:"</f>
        <v>0:</v>
      </c>
      <c r="D447" s="278" t="s">
        <v>944</v>
      </c>
      <c r="E447" s="40"/>
      <c r="F447" s="40"/>
      <c r="G447" s="40"/>
      <c r="H447" s="40"/>
      <c r="I447" s="40"/>
      <c r="J447" s="245"/>
      <c r="K447" s="41"/>
    </row>
    <row r="448" spans="2:11" ht="9.75" customHeight="1" x14ac:dyDescent="0.2">
      <c r="B448" s="38"/>
      <c r="C448" s="280" t="str">
        <f>"1:"</f>
        <v>1:</v>
      </c>
      <c r="D448" s="278" t="s">
        <v>945</v>
      </c>
      <c r="E448" s="40"/>
      <c r="F448" s="40"/>
      <c r="G448" s="40"/>
      <c r="H448" s="40"/>
      <c r="I448" s="40"/>
      <c r="J448" s="245"/>
      <c r="K448" s="41"/>
    </row>
    <row r="449" spans="2:11" ht="9.75" customHeight="1" x14ac:dyDescent="0.2">
      <c r="B449" s="38"/>
      <c r="C449" s="280" t="str">
        <f>"2:"</f>
        <v>2:</v>
      </c>
      <c r="D449" s="278" t="s">
        <v>946</v>
      </c>
      <c r="E449" s="40"/>
      <c r="F449" s="40"/>
      <c r="G449" s="40"/>
      <c r="H449" s="40"/>
      <c r="I449" s="40"/>
      <c r="J449" s="245"/>
      <c r="K449" s="41"/>
    </row>
    <row r="450" spans="2:11" ht="9.75" customHeight="1" x14ac:dyDescent="0.2">
      <c r="B450" s="38"/>
      <c r="C450" s="280" t="str">
        <f>"3:"</f>
        <v>3:</v>
      </c>
      <c r="D450" s="278" t="s">
        <v>947</v>
      </c>
      <c r="E450" s="40"/>
      <c r="F450" s="40"/>
      <c r="G450" s="40"/>
      <c r="H450" s="40"/>
      <c r="I450" s="40"/>
      <c r="J450" s="245"/>
      <c r="K450" s="41"/>
    </row>
    <row r="451" spans="2:11" ht="9.75" customHeight="1" x14ac:dyDescent="0.2">
      <c r="B451" s="38"/>
      <c r="C451" s="280" t="str">
        <f>"4:"</f>
        <v>4:</v>
      </c>
      <c r="D451" s="278" t="s">
        <v>948</v>
      </c>
      <c r="E451" s="40"/>
      <c r="F451" s="40"/>
      <c r="G451" s="40"/>
      <c r="H451" s="40"/>
      <c r="I451" s="40"/>
      <c r="J451" s="247"/>
      <c r="K451" s="41"/>
    </row>
    <row r="452" spans="2:11" x14ac:dyDescent="0.2">
      <c r="B452" s="38"/>
      <c r="C452" s="40" t="s">
        <v>257</v>
      </c>
      <c r="D452" s="40"/>
      <c r="E452" s="40"/>
      <c r="F452" s="40"/>
      <c r="G452" s="40"/>
      <c r="H452" s="40"/>
      <c r="I452" s="40"/>
      <c r="J452" s="266" t="s">
        <v>870</v>
      </c>
      <c r="K452" s="41"/>
    </row>
    <row r="453" spans="2:11" x14ac:dyDescent="0.2">
      <c r="B453" s="38"/>
      <c r="C453" s="40" t="s">
        <v>261</v>
      </c>
      <c r="D453" s="40"/>
      <c r="E453" s="40"/>
      <c r="F453" s="40"/>
      <c r="G453" s="40"/>
      <c r="H453" s="40"/>
      <c r="I453" s="40"/>
      <c r="J453" s="248">
        <f>IF(J452=$B$973,$A$973,IF(J452=$B$974,$A$974,IF(J452=$B$975,$A$975,IF(J452=$B$976,$A$976,IF(J452=$B$977,$A$977,"Not Calculated")))))</f>
        <v>0</v>
      </c>
      <c r="K453" s="41"/>
    </row>
    <row r="454" spans="2:11" x14ac:dyDescent="0.2">
      <c r="B454" s="38"/>
      <c r="C454" s="40" t="s">
        <v>893</v>
      </c>
      <c r="D454" s="40"/>
      <c r="E454" s="40"/>
      <c r="F454" s="40"/>
      <c r="G454" s="40"/>
      <c r="H454" s="40"/>
      <c r="I454" s="40"/>
      <c r="J454" s="40"/>
      <c r="K454" s="41"/>
    </row>
    <row r="455" spans="2:11" ht="30" customHeight="1" x14ac:dyDescent="0.2">
      <c r="B455" s="38"/>
      <c r="C455" s="399"/>
      <c r="D455" s="400"/>
      <c r="E455" s="400"/>
      <c r="F455" s="400"/>
      <c r="G455" s="400"/>
      <c r="H455" s="400"/>
      <c r="I455" s="400"/>
      <c r="J455" s="401"/>
      <c r="K455" s="41"/>
    </row>
    <row r="456" spans="2:11" x14ac:dyDescent="0.2">
      <c r="B456" s="38"/>
      <c r="C456" s="40"/>
      <c r="D456" s="40"/>
      <c r="E456" s="40"/>
      <c r="F456" s="40"/>
      <c r="G456" s="40"/>
      <c r="H456" s="40"/>
      <c r="I456" s="40"/>
      <c r="J456" s="40"/>
      <c r="K456" s="41"/>
    </row>
    <row r="457" spans="2:11" x14ac:dyDescent="0.2">
      <c r="B457" s="38"/>
      <c r="C457" s="179" t="s">
        <v>304</v>
      </c>
      <c r="D457" s="40"/>
      <c r="E457" s="40"/>
      <c r="F457" s="40"/>
      <c r="G457" s="40"/>
      <c r="H457" s="40"/>
      <c r="I457" s="40"/>
      <c r="J457" s="245">
        <f>IF(OR(J446="Not Calculated",J453="Not Calculated")=TRUE,"Not Calculated",AVERAGE(J446,J453))</f>
        <v>0</v>
      </c>
      <c r="K457" s="41"/>
    </row>
    <row r="458" spans="2:11" x14ac:dyDescent="0.2">
      <c r="B458" s="38"/>
      <c r="C458" s="40"/>
      <c r="D458" s="40"/>
      <c r="E458" s="40"/>
      <c r="F458" s="40"/>
      <c r="G458" s="40"/>
      <c r="H458" s="40"/>
      <c r="I458" s="40"/>
      <c r="J458" s="40"/>
      <c r="K458" s="41"/>
    </row>
    <row r="459" spans="2:11" x14ac:dyDescent="0.2">
      <c r="B459" s="38"/>
      <c r="C459" s="40"/>
      <c r="D459" s="40"/>
      <c r="E459" s="40"/>
      <c r="F459" s="40"/>
      <c r="G459" s="40"/>
      <c r="H459" s="40"/>
      <c r="I459" s="40"/>
      <c r="J459" s="40"/>
      <c r="K459" s="41"/>
    </row>
    <row r="460" spans="2:11" ht="16" x14ac:dyDescent="0.2">
      <c r="B460" s="38"/>
      <c r="C460" s="45" t="s">
        <v>306</v>
      </c>
      <c r="D460" s="40"/>
      <c r="E460" s="40"/>
      <c r="F460" s="40"/>
      <c r="G460" s="40"/>
      <c r="H460" s="40"/>
      <c r="I460" s="40"/>
      <c r="J460" s="40"/>
      <c r="K460" s="41"/>
    </row>
    <row r="461" spans="2:11" x14ac:dyDescent="0.2">
      <c r="B461" s="38"/>
      <c r="C461" s="40" t="s">
        <v>949</v>
      </c>
      <c r="D461" s="40"/>
      <c r="E461" s="40"/>
      <c r="F461" s="40"/>
      <c r="G461" s="40"/>
      <c r="H461" s="40"/>
      <c r="I461" s="40"/>
      <c r="J461" s="270">
        <v>0</v>
      </c>
      <c r="K461" s="41"/>
    </row>
    <row r="462" spans="2:11" x14ac:dyDescent="0.2">
      <c r="B462" s="38"/>
      <c r="C462" s="40" t="s">
        <v>260</v>
      </c>
      <c r="D462" s="40"/>
      <c r="E462" s="40"/>
      <c r="F462" s="40"/>
      <c r="G462" s="40"/>
      <c r="H462" s="40"/>
      <c r="I462" s="40"/>
      <c r="J462" s="248">
        <f>IF(J461&lt;=0,0,IF(J461&lt;=1,1,IF(J461&lt;=5,2,IF(J461&lt;=10,3,4))))</f>
        <v>0</v>
      </c>
      <c r="K462" s="41"/>
    </row>
    <row r="463" spans="2:11" ht="9.75" customHeight="1" x14ac:dyDescent="0.2">
      <c r="B463" s="38"/>
      <c r="C463" s="279" t="str">
        <f>"0:"</f>
        <v>0:</v>
      </c>
      <c r="D463" s="290" t="s">
        <v>944</v>
      </c>
      <c r="E463" s="40"/>
      <c r="F463" s="40"/>
      <c r="G463" s="40"/>
      <c r="H463" s="40"/>
      <c r="I463" s="40"/>
      <c r="J463" s="245"/>
      <c r="K463" s="41"/>
    </row>
    <row r="464" spans="2:11" ht="9.75" customHeight="1" x14ac:dyDescent="0.2">
      <c r="B464" s="38"/>
      <c r="C464" s="280" t="str">
        <f>"1:"</f>
        <v>1:</v>
      </c>
      <c r="D464" s="290" t="s">
        <v>945</v>
      </c>
      <c r="E464" s="40"/>
      <c r="F464" s="40"/>
      <c r="G464" s="40"/>
      <c r="H464" s="40"/>
      <c r="I464" s="40"/>
      <c r="J464" s="245"/>
      <c r="K464" s="41"/>
    </row>
    <row r="465" spans="2:11" ht="9.75" customHeight="1" x14ac:dyDescent="0.2">
      <c r="B465" s="38"/>
      <c r="C465" s="280" t="str">
        <f>"2:"</f>
        <v>2:</v>
      </c>
      <c r="D465" s="290" t="s">
        <v>946</v>
      </c>
      <c r="E465" s="40"/>
      <c r="F465" s="40"/>
      <c r="G465" s="40"/>
      <c r="H465" s="40"/>
      <c r="I465" s="40"/>
      <c r="J465" s="245"/>
      <c r="K465" s="41"/>
    </row>
    <row r="466" spans="2:11" ht="9.75" customHeight="1" x14ac:dyDescent="0.2">
      <c r="B466" s="38"/>
      <c r="C466" s="280" t="str">
        <f>"3:"</f>
        <v>3:</v>
      </c>
      <c r="D466" s="290" t="s">
        <v>947</v>
      </c>
      <c r="E466" s="40"/>
      <c r="F466" s="40"/>
      <c r="G466" s="40"/>
      <c r="H466" s="40"/>
      <c r="I466" s="40"/>
      <c r="J466" s="245"/>
      <c r="K466" s="41"/>
    </row>
    <row r="467" spans="2:11" ht="9.75" customHeight="1" x14ac:dyDescent="0.2">
      <c r="B467" s="38"/>
      <c r="C467" s="280" t="str">
        <f>"4:"</f>
        <v>4:</v>
      </c>
      <c r="D467" s="290" t="s">
        <v>948</v>
      </c>
      <c r="E467" s="40"/>
      <c r="F467" s="40"/>
      <c r="G467" s="40"/>
      <c r="H467" s="40"/>
      <c r="I467" s="40"/>
      <c r="J467" s="247"/>
      <c r="K467" s="41"/>
    </row>
    <row r="468" spans="2:11" x14ac:dyDescent="0.2">
      <c r="B468" s="38"/>
      <c r="C468" s="40" t="s">
        <v>257</v>
      </c>
      <c r="D468" s="40"/>
      <c r="E468" s="40"/>
      <c r="F468" s="40"/>
      <c r="G468" s="40"/>
      <c r="H468" s="40"/>
      <c r="I468" s="40"/>
      <c r="J468" s="266" t="s">
        <v>870</v>
      </c>
      <c r="K468" s="41"/>
    </row>
    <row r="469" spans="2:11" ht="15" customHeight="1" x14ac:dyDescent="0.2">
      <c r="B469" s="38"/>
      <c r="C469" s="40" t="s">
        <v>261</v>
      </c>
      <c r="D469" s="40"/>
      <c r="E469" s="40"/>
      <c r="F469" s="40"/>
      <c r="G469" s="40"/>
      <c r="H469" s="40"/>
      <c r="I469" s="40"/>
      <c r="J469" s="248">
        <f>IF(J468=$B$973,$A$973,IF(J468=$B$974,$A$974,IF(J468=$B$975,$A$975,IF(J468=$B$976,$A$976,IF(J468=$B$977,$A$977,"Not Calculated")))))</f>
        <v>0</v>
      </c>
      <c r="K469" s="41"/>
    </row>
    <row r="470" spans="2:11" x14ac:dyDescent="0.2">
      <c r="B470" s="38"/>
      <c r="C470" s="40" t="s">
        <v>893</v>
      </c>
      <c r="D470" s="40"/>
      <c r="E470" s="40"/>
      <c r="F470" s="40"/>
      <c r="G470" s="40"/>
      <c r="H470" s="40"/>
      <c r="I470" s="40"/>
      <c r="J470" s="40"/>
      <c r="K470" s="41"/>
    </row>
    <row r="471" spans="2:11" ht="30" customHeight="1" x14ac:dyDescent="0.2">
      <c r="B471" s="38"/>
      <c r="C471" s="399"/>
      <c r="D471" s="400"/>
      <c r="E471" s="400"/>
      <c r="F471" s="400"/>
      <c r="G471" s="400"/>
      <c r="H471" s="400"/>
      <c r="I471" s="400"/>
      <c r="J471" s="401"/>
      <c r="K471" s="41"/>
    </row>
    <row r="472" spans="2:11" x14ac:dyDescent="0.2">
      <c r="B472" s="38"/>
      <c r="C472" s="40"/>
      <c r="D472" s="40"/>
      <c r="E472" s="40"/>
      <c r="F472" s="40"/>
      <c r="G472" s="40"/>
      <c r="H472" s="40"/>
      <c r="I472" s="40"/>
      <c r="J472" s="40"/>
      <c r="K472" s="41"/>
    </row>
    <row r="473" spans="2:11" x14ac:dyDescent="0.2">
      <c r="B473" s="38"/>
      <c r="C473" s="179" t="s">
        <v>307</v>
      </c>
      <c r="D473" s="40"/>
      <c r="E473" s="40"/>
      <c r="F473" s="40"/>
      <c r="G473" s="40"/>
      <c r="H473" s="40"/>
      <c r="I473" s="40"/>
      <c r="J473" s="245">
        <f>IF(OR(J462="Not Calculated",J469="Not Calculated")=TRUE,"Not Calculated",AVERAGE(J462,J469))</f>
        <v>0</v>
      </c>
      <c r="K473" s="41"/>
    </row>
    <row r="474" spans="2:11" x14ac:dyDescent="0.2">
      <c r="B474" s="38"/>
      <c r="C474" s="40"/>
      <c r="D474" s="40"/>
      <c r="E474" s="40"/>
      <c r="F474" s="40"/>
      <c r="G474" s="40"/>
      <c r="H474" s="40"/>
      <c r="I474" s="40"/>
      <c r="J474" s="40"/>
      <c r="K474" s="41"/>
    </row>
    <row r="475" spans="2:11" x14ac:dyDescent="0.2">
      <c r="B475" s="38"/>
      <c r="C475" s="40"/>
      <c r="D475" s="40"/>
      <c r="E475" s="40"/>
      <c r="F475" s="40"/>
      <c r="G475" s="40"/>
      <c r="H475" s="40"/>
      <c r="I475" s="40"/>
      <c r="J475" s="40"/>
      <c r="K475" s="41"/>
    </row>
    <row r="476" spans="2:11" ht="16" x14ac:dyDescent="0.2">
      <c r="B476" s="38"/>
      <c r="C476" s="45" t="s">
        <v>308</v>
      </c>
      <c r="D476" s="40"/>
      <c r="E476" s="40"/>
      <c r="F476" s="40"/>
      <c r="G476" s="40"/>
      <c r="H476" s="40"/>
      <c r="I476" s="40"/>
      <c r="J476" s="40"/>
      <c r="K476" s="41"/>
    </row>
    <row r="477" spans="2:11" ht="15" customHeight="1" x14ac:dyDescent="0.2">
      <c r="B477" s="38"/>
      <c r="C477" s="380" t="s">
        <v>310</v>
      </c>
      <c r="D477" s="380"/>
      <c r="E477" s="380"/>
      <c r="F477" s="380"/>
      <c r="G477" s="380"/>
      <c r="H477" s="380"/>
      <c r="I477" s="380"/>
      <c r="J477" s="40"/>
      <c r="K477" s="41"/>
    </row>
    <row r="478" spans="2:11" x14ac:dyDescent="0.2">
      <c r="B478" s="38"/>
      <c r="C478" s="380"/>
      <c r="D478" s="380"/>
      <c r="E478" s="380"/>
      <c r="F478" s="380"/>
      <c r="G478" s="380"/>
      <c r="H478" s="380"/>
      <c r="I478" s="380"/>
      <c r="J478" s="131">
        <v>7</v>
      </c>
      <c r="K478" s="41"/>
    </row>
    <row r="479" spans="2:11" x14ac:dyDescent="0.2">
      <c r="B479" s="38"/>
      <c r="C479" s="40" t="s">
        <v>261</v>
      </c>
      <c r="D479" s="40"/>
      <c r="E479" s="40"/>
      <c r="F479" s="40"/>
      <c r="G479" s="40"/>
      <c r="H479" s="40"/>
      <c r="I479" s="40"/>
      <c r="J479" s="248">
        <f>IF(J478&lt;=0,0,IF(J478&lt;=1,1,IF(J478&lt;=7,2,IF(J478&lt;=14,3,4))))</f>
        <v>2</v>
      </c>
      <c r="K479" s="41"/>
    </row>
    <row r="480" spans="2:11" s="51" customFormat="1" ht="9.75" customHeight="1" x14ac:dyDescent="0.2">
      <c r="B480" s="283"/>
      <c r="C480" s="279" t="str">
        <f>"0:"</f>
        <v>0:</v>
      </c>
      <c r="D480" s="284" t="s">
        <v>950</v>
      </c>
      <c r="E480" s="285"/>
      <c r="F480" s="285"/>
      <c r="G480" s="285"/>
      <c r="H480" s="285"/>
      <c r="I480" s="285"/>
      <c r="J480" s="43"/>
      <c r="K480" s="286"/>
    </row>
    <row r="481" spans="2:11" s="51" customFormat="1" ht="9.75" customHeight="1" x14ac:dyDescent="0.2">
      <c r="B481" s="283"/>
      <c r="C481" s="280" t="str">
        <f>"1:"</f>
        <v>1:</v>
      </c>
      <c r="D481" s="284" t="s">
        <v>951</v>
      </c>
      <c r="E481" s="285"/>
      <c r="F481" s="285"/>
      <c r="G481" s="285"/>
      <c r="H481" s="285"/>
      <c r="I481" s="285"/>
      <c r="J481" s="43"/>
      <c r="K481" s="286"/>
    </row>
    <row r="482" spans="2:11" s="51" customFormat="1" ht="9.75" customHeight="1" x14ac:dyDescent="0.2">
      <c r="B482" s="283"/>
      <c r="C482" s="280" t="str">
        <f>"2:"</f>
        <v>2:</v>
      </c>
      <c r="D482" s="284" t="s">
        <v>952</v>
      </c>
      <c r="E482" s="285"/>
      <c r="F482" s="285"/>
      <c r="G482" s="285"/>
      <c r="H482" s="285"/>
      <c r="I482" s="285"/>
      <c r="J482" s="43"/>
      <c r="K482" s="286"/>
    </row>
    <row r="483" spans="2:11" s="51" customFormat="1" ht="9.75" customHeight="1" x14ac:dyDescent="0.2">
      <c r="B483" s="283"/>
      <c r="C483" s="280" t="str">
        <f>"3:"</f>
        <v>3:</v>
      </c>
      <c r="D483" s="284" t="s">
        <v>953</v>
      </c>
      <c r="E483" s="285"/>
      <c r="F483" s="285"/>
      <c r="G483" s="285"/>
      <c r="H483" s="285"/>
      <c r="I483" s="285"/>
      <c r="J483" s="43"/>
      <c r="K483" s="286"/>
    </row>
    <row r="484" spans="2:11" s="51" customFormat="1" ht="9.75" customHeight="1" x14ac:dyDescent="0.2">
      <c r="B484" s="283"/>
      <c r="C484" s="280" t="str">
        <f>"4:"</f>
        <v>4:</v>
      </c>
      <c r="D484" s="284" t="s">
        <v>954</v>
      </c>
      <c r="E484" s="285"/>
      <c r="F484" s="285"/>
      <c r="G484" s="285"/>
      <c r="H484" s="285"/>
      <c r="I484" s="285"/>
      <c r="J484" s="43"/>
      <c r="K484" s="286"/>
    </row>
    <row r="485" spans="2:11" x14ac:dyDescent="0.2">
      <c r="B485" s="38"/>
      <c r="C485" s="40" t="s">
        <v>893</v>
      </c>
      <c r="D485" s="40"/>
      <c r="E485" s="40"/>
      <c r="F485" s="40"/>
      <c r="G485" s="40"/>
      <c r="H485" s="40"/>
      <c r="I485" s="40"/>
      <c r="J485" s="40"/>
      <c r="K485" s="41"/>
    </row>
    <row r="486" spans="2:11" ht="30" customHeight="1" x14ac:dyDescent="0.2">
      <c r="B486" s="38"/>
      <c r="C486" s="399" t="s">
        <v>1022</v>
      </c>
      <c r="D486" s="400"/>
      <c r="E486" s="400"/>
      <c r="F486" s="400"/>
      <c r="G486" s="400"/>
      <c r="H486" s="400"/>
      <c r="I486" s="400"/>
      <c r="J486" s="401"/>
      <c r="K486" s="41"/>
    </row>
    <row r="487" spans="2:11" x14ac:dyDescent="0.2">
      <c r="B487" s="38"/>
      <c r="C487" s="40"/>
      <c r="D487" s="40"/>
      <c r="E487" s="40"/>
      <c r="F487" s="40"/>
      <c r="G487" s="40"/>
      <c r="H487" s="40"/>
      <c r="I487" s="40"/>
      <c r="J487" s="40"/>
      <c r="K487" s="41"/>
    </row>
    <row r="488" spans="2:11" x14ac:dyDescent="0.2">
      <c r="B488" s="38"/>
      <c r="C488" s="179" t="s">
        <v>309</v>
      </c>
      <c r="D488" s="40"/>
      <c r="E488" s="40"/>
      <c r="F488" s="40"/>
      <c r="G488" s="40"/>
      <c r="H488" s="40"/>
      <c r="I488" s="40"/>
      <c r="J488" s="245">
        <f>J479</f>
        <v>2</v>
      </c>
      <c r="K488" s="41"/>
    </row>
    <row r="489" spans="2:11" x14ac:dyDescent="0.2">
      <c r="B489" s="38"/>
      <c r="C489" s="40"/>
      <c r="D489" s="40"/>
      <c r="E489" s="40"/>
      <c r="F489" s="40"/>
      <c r="G489" s="40"/>
      <c r="H489" s="40"/>
      <c r="I489" s="40"/>
      <c r="J489" s="40"/>
      <c r="K489" s="41"/>
    </row>
    <row r="490" spans="2:11" x14ac:dyDescent="0.2">
      <c r="B490" s="38"/>
      <c r="C490" s="40"/>
      <c r="D490" s="40"/>
      <c r="E490" s="40"/>
      <c r="F490" s="40"/>
      <c r="G490" s="40"/>
      <c r="H490" s="40"/>
      <c r="I490" s="40"/>
      <c r="J490" s="40"/>
      <c r="K490" s="41"/>
    </row>
    <row r="491" spans="2:11" ht="16" x14ac:dyDescent="0.2">
      <c r="B491" s="38"/>
      <c r="C491" s="45" t="s">
        <v>311</v>
      </c>
      <c r="D491" s="40"/>
      <c r="E491" s="40"/>
      <c r="F491" s="40"/>
      <c r="G491" s="40"/>
      <c r="H491" s="40"/>
      <c r="I491" s="40"/>
      <c r="J491" s="40"/>
      <c r="K491" s="41"/>
    </row>
    <row r="492" spans="2:11" x14ac:dyDescent="0.2">
      <c r="B492" s="38"/>
      <c r="C492" s="40" t="s">
        <v>312</v>
      </c>
      <c r="D492" s="40"/>
      <c r="E492" s="40"/>
      <c r="F492" s="40"/>
      <c r="G492" s="40"/>
      <c r="H492" s="40"/>
      <c r="I492" s="40"/>
      <c r="J492" s="270">
        <v>5</v>
      </c>
      <c r="K492" s="41"/>
    </row>
    <row r="493" spans="2:11" x14ac:dyDescent="0.2">
      <c r="B493" s="38"/>
      <c r="C493" s="40" t="s">
        <v>260</v>
      </c>
      <c r="D493" s="40"/>
      <c r="E493" s="40"/>
      <c r="F493" s="40"/>
      <c r="G493" s="40"/>
      <c r="H493" s="40"/>
      <c r="I493" s="40"/>
      <c r="J493" s="248">
        <f>IF(J492&lt;=0,0,IF(J492&lt;=1,1,IF(J492&lt;=5,2,IF(J492&lt;=10,3,4))))</f>
        <v>2</v>
      </c>
      <c r="K493" s="41"/>
    </row>
    <row r="494" spans="2:11" ht="9.75" customHeight="1" x14ac:dyDescent="0.2">
      <c r="B494" s="38"/>
      <c r="C494" s="279" t="str">
        <f>"0:"</f>
        <v>0:</v>
      </c>
      <c r="D494" s="290" t="s">
        <v>955</v>
      </c>
      <c r="E494" s="40"/>
      <c r="F494" s="40"/>
      <c r="G494" s="40"/>
      <c r="H494" s="40"/>
      <c r="I494" s="40"/>
      <c r="J494" s="245"/>
      <c r="K494" s="41"/>
    </row>
    <row r="495" spans="2:11" ht="9.75" customHeight="1" x14ac:dyDescent="0.2">
      <c r="B495" s="38"/>
      <c r="C495" s="280" t="str">
        <f>"1:"</f>
        <v>1:</v>
      </c>
      <c r="D495" s="290" t="s">
        <v>956</v>
      </c>
      <c r="E495" s="40"/>
      <c r="F495" s="40"/>
      <c r="G495" s="40"/>
      <c r="H495" s="40"/>
      <c r="I495" s="40"/>
      <c r="J495" s="245"/>
      <c r="K495" s="41"/>
    </row>
    <row r="496" spans="2:11" ht="9.75" customHeight="1" x14ac:dyDescent="0.2">
      <c r="B496" s="38"/>
      <c r="C496" s="280" t="str">
        <f>"2:"</f>
        <v>2:</v>
      </c>
      <c r="D496" s="290" t="s">
        <v>957</v>
      </c>
      <c r="E496" s="40"/>
      <c r="F496" s="40"/>
      <c r="G496" s="40"/>
      <c r="H496" s="40"/>
      <c r="I496" s="40"/>
      <c r="J496" s="245"/>
      <c r="K496" s="41"/>
    </row>
    <row r="497" spans="2:11" ht="9.75" customHeight="1" x14ac:dyDescent="0.2">
      <c r="B497" s="38"/>
      <c r="C497" s="280" t="str">
        <f>"3:"</f>
        <v>3:</v>
      </c>
      <c r="D497" s="290" t="s">
        <v>958</v>
      </c>
      <c r="E497" s="40"/>
      <c r="F497" s="40"/>
      <c r="G497" s="40"/>
      <c r="H497" s="40"/>
      <c r="I497" s="40"/>
      <c r="J497" s="245"/>
      <c r="K497" s="41"/>
    </row>
    <row r="498" spans="2:11" ht="9.75" customHeight="1" x14ac:dyDescent="0.2">
      <c r="B498" s="38"/>
      <c r="C498" s="280" t="str">
        <f>"4:"</f>
        <v>4:</v>
      </c>
      <c r="D498" s="290" t="s">
        <v>959</v>
      </c>
      <c r="E498" s="40"/>
      <c r="F498" s="40"/>
      <c r="G498" s="40"/>
      <c r="H498" s="40"/>
      <c r="I498" s="40"/>
      <c r="J498" s="247"/>
      <c r="K498" s="41"/>
    </row>
    <row r="499" spans="2:11" x14ac:dyDescent="0.2">
      <c r="B499" s="38"/>
      <c r="C499" s="40" t="s">
        <v>313</v>
      </c>
      <c r="D499" s="40"/>
      <c r="E499" s="40"/>
      <c r="F499" s="40"/>
      <c r="G499" s="40"/>
      <c r="H499" s="40"/>
      <c r="I499" s="40"/>
      <c r="J499" s="266" t="s">
        <v>872</v>
      </c>
      <c r="K499" s="41"/>
    </row>
    <row r="500" spans="2:11" x14ac:dyDescent="0.2">
      <c r="B500" s="38"/>
      <c r="C500" s="40" t="s">
        <v>261</v>
      </c>
      <c r="D500" s="40"/>
      <c r="E500" s="40"/>
      <c r="F500" s="40"/>
      <c r="G500" s="40"/>
      <c r="H500" s="40"/>
      <c r="I500" s="40"/>
      <c r="J500" s="248">
        <f>IF(J499=$B$973,$A$973,IF(J499=$B$974,$A$974,IF(J499=$B$975,$A$975,IF(J499=$B$976,$A$976,IF(J499=$B$977,$A$977,"Not Calculated")))))</f>
        <v>2</v>
      </c>
      <c r="K500" s="41"/>
    </row>
    <row r="501" spans="2:11" x14ac:dyDescent="0.2">
      <c r="B501" s="38"/>
      <c r="C501" s="40" t="s">
        <v>893</v>
      </c>
      <c r="D501" s="40"/>
      <c r="E501" s="40"/>
      <c r="F501" s="40"/>
      <c r="G501" s="40"/>
      <c r="H501" s="40"/>
      <c r="I501" s="40"/>
      <c r="J501" s="40"/>
      <c r="K501" s="41"/>
    </row>
    <row r="502" spans="2:11" ht="45" customHeight="1" x14ac:dyDescent="0.2">
      <c r="B502" s="38"/>
      <c r="C502" s="399" t="s">
        <v>1023</v>
      </c>
      <c r="D502" s="400"/>
      <c r="E502" s="400"/>
      <c r="F502" s="400"/>
      <c r="G502" s="400"/>
      <c r="H502" s="400"/>
      <c r="I502" s="400"/>
      <c r="J502" s="401"/>
      <c r="K502" s="41"/>
    </row>
    <row r="503" spans="2:11" x14ac:dyDescent="0.2">
      <c r="B503" s="38"/>
      <c r="C503" s="40"/>
      <c r="D503" s="40"/>
      <c r="E503" s="40"/>
      <c r="F503" s="40"/>
      <c r="G503" s="40"/>
      <c r="H503" s="40"/>
      <c r="I503" s="40"/>
      <c r="J503" s="40"/>
      <c r="K503" s="41"/>
    </row>
    <row r="504" spans="2:11" x14ac:dyDescent="0.2">
      <c r="B504" s="38"/>
      <c r="C504" s="179" t="s">
        <v>321</v>
      </c>
      <c r="D504" s="40"/>
      <c r="E504" s="40"/>
      <c r="F504" s="40"/>
      <c r="G504" s="40"/>
      <c r="H504" s="40"/>
      <c r="I504" s="40"/>
      <c r="J504" s="245">
        <f>IF(OR(J493="Not Calculated",J500="Not Calculated")=TRUE,"Not Calculated",AVERAGE(J493,J500))</f>
        <v>2</v>
      </c>
      <c r="K504" s="41"/>
    </row>
    <row r="505" spans="2:11" x14ac:dyDescent="0.2">
      <c r="B505" s="38"/>
      <c r="C505" s="40"/>
      <c r="D505" s="40"/>
      <c r="E505" s="40"/>
      <c r="F505" s="40"/>
      <c r="G505" s="40"/>
      <c r="H505" s="40"/>
      <c r="I505" s="40"/>
      <c r="J505" s="40"/>
      <c r="K505" s="41"/>
    </row>
    <row r="506" spans="2:11" x14ac:dyDescent="0.2">
      <c r="B506" s="38"/>
      <c r="C506" s="40"/>
      <c r="D506" s="40"/>
      <c r="E506" s="40"/>
      <c r="F506" s="40"/>
      <c r="G506" s="40"/>
      <c r="H506" s="40"/>
      <c r="I506" s="40"/>
      <c r="J506" s="40"/>
      <c r="K506" s="41"/>
    </row>
    <row r="507" spans="2:11" ht="16" x14ac:dyDescent="0.2">
      <c r="B507" s="38"/>
      <c r="C507" s="45" t="s">
        <v>314</v>
      </c>
      <c r="D507" s="40"/>
      <c r="E507" s="40"/>
      <c r="F507" s="40"/>
      <c r="G507" s="40"/>
      <c r="H507" s="40"/>
      <c r="I507" s="40"/>
      <c r="J507" s="40"/>
      <c r="K507" s="41"/>
    </row>
    <row r="508" spans="2:11" x14ac:dyDescent="0.2">
      <c r="B508" s="38"/>
      <c r="C508" s="40" t="s">
        <v>316</v>
      </c>
      <c r="D508" s="40"/>
      <c r="E508" s="40"/>
      <c r="F508" s="40"/>
      <c r="G508" s="40"/>
      <c r="H508" s="40"/>
      <c r="I508" s="40"/>
      <c r="J508" s="269">
        <v>0</v>
      </c>
      <c r="K508" s="41"/>
    </row>
    <row r="509" spans="2:11" x14ac:dyDescent="0.2">
      <c r="B509" s="38"/>
      <c r="C509" s="40" t="s">
        <v>260</v>
      </c>
      <c r="D509" s="40"/>
      <c r="E509" s="40"/>
      <c r="F509" s="40"/>
      <c r="G509" s="40"/>
      <c r="H509" s="40"/>
      <c r="I509" s="40"/>
      <c r="J509" s="248">
        <f>IF(J508&lt;=0,0,IF(J508&lt;=1000,1,IF(J508&lt;=5000,2,IF(J508&lt;=25000,3,4))))</f>
        <v>0</v>
      </c>
      <c r="K509" s="41"/>
    </row>
    <row r="510" spans="2:11" s="51" customFormat="1" ht="9.75" customHeight="1" x14ac:dyDescent="0.2">
      <c r="B510" s="283"/>
      <c r="C510" s="279" t="str">
        <f>"0:"</f>
        <v>0:</v>
      </c>
      <c r="D510" s="284" t="s">
        <v>960</v>
      </c>
      <c r="E510" s="285"/>
      <c r="F510" s="285"/>
      <c r="G510" s="285"/>
      <c r="H510" s="285"/>
      <c r="I510" s="285"/>
      <c r="J510" s="43"/>
      <c r="K510" s="286"/>
    </row>
    <row r="511" spans="2:11" s="51" customFormat="1" ht="9.75" customHeight="1" x14ac:dyDescent="0.2">
      <c r="B511" s="283"/>
      <c r="C511" s="280" t="str">
        <f>"1:"</f>
        <v>1:</v>
      </c>
      <c r="D511" s="284" t="s">
        <v>961</v>
      </c>
      <c r="E511" s="285"/>
      <c r="F511" s="285"/>
      <c r="G511" s="285"/>
      <c r="H511" s="285"/>
      <c r="I511" s="285"/>
      <c r="J511" s="43"/>
      <c r="K511" s="286"/>
    </row>
    <row r="512" spans="2:11" s="51" customFormat="1" ht="9.75" customHeight="1" x14ac:dyDescent="0.2">
      <c r="B512" s="283"/>
      <c r="C512" s="280" t="str">
        <f>"2:"</f>
        <v>2:</v>
      </c>
      <c r="D512" s="284" t="s">
        <v>962</v>
      </c>
      <c r="E512" s="285"/>
      <c r="F512" s="285"/>
      <c r="G512" s="285"/>
      <c r="H512" s="285"/>
      <c r="I512" s="285"/>
      <c r="J512" s="43"/>
      <c r="K512" s="286"/>
    </row>
    <row r="513" spans="2:11" s="51" customFormat="1" ht="9.75" customHeight="1" x14ac:dyDescent="0.2">
      <c r="B513" s="283"/>
      <c r="C513" s="280" t="str">
        <f>"3:"</f>
        <v>3:</v>
      </c>
      <c r="D513" s="284" t="s">
        <v>963</v>
      </c>
      <c r="E513" s="285"/>
      <c r="F513" s="285"/>
      <c r="G513" s="285"/>
      <c r="H513" s="285"/>
      <c r="I513" s="285"/>
      <c r="J513" s="43"/>
      <c r="K513" s="286"/>
    </row>
    <row r="514" spans="2:11" s="51" customFormat="1" ht="9.75" customHeight="1" x14ac:dyDescent="0.2">
      <c r="B514" s="283"/>
      <c r="C514" s="280" t="str">
        <f>"4:"</f>
        <v>4:</v>
      </c>
      <c r="D514" s="284" t="s">
        <v>964</v>
      </c>
      <c r="E514" s="285"/>
      <c r="F514" s="285"/>
      <c r="G514" s="285"/>
      <c r="H514" s="285"/>
      <c r="I514" s="285"/>
      <c r="J514" s="287"/>
      <c r="K514" s="286"/>
    </row>
    <row r="515" spans="2:11" x14ac:dyDescent="0.2">
      <c r="B515" s="38"/>
      <c r="C515" s="40" t="s">
        <v>315</v>
      </c>
      <c r="D515" s="40"/>
      <c r="E515" s="40"/>
      <c r="F515" s="40"/>
      <c r="G515" s="40"/>
      <c r="H515" s="40"/>
      <c r="I515" s="40"/>
      <c r="J515" s="266" t="s">
        <v>870</v>
      </c>
      <c r="K515" s="41"/>
    </row>
    <row r="516" spans="2:11" x14ac:dyDescent="0.2">
      <c r="B516" s="38"/>
      <c r="C516" s="40" t="s">
        <v>261</v>
      </c>
      <c r="D516" s="40"/>
      <c r="E516" s="40"/>
      <c r="F516" s="40"/>
      <c r="G516" s="40"/>
      <c r="H516" s="40"/>
      <c r="I516" s="40"/>
      <c r="J516" s="248">
        <f>IF(J515=$B$973,$A$973,IF(J515=$B$974,$A$974,IF(J515=$B$975,$A$975,IF(J515=$B$976,$A$976,IF(J515=$B$977,$A$977,"Not Calculated")))))</f>
        <v>0</v>
      </c>
      <c r="K516" s="41"/>
    </row>
    <row r="517" spans="2:11" x14ac:dyDescent="0.2">
      <c r="B517" s="38"/>
      <c r="C517" s="40" t="s">
        <v>893</v>
      </c>
      <c r="D517" s="40"/>
      <c r="E517" s="40"/>
      <c r="F517" s="40"/>
      <c r="G517" s="40"/>
      <c r="H517" s="40"/>
      <c r="I517" s="40"/>
      <c r="J517" s="40"/>
      <c r="K517" s="41"/>
    </row>
    <row r="518" spans="2:11" ht="30" customHeight="1" x14ac:dyDescent="0.2">
      <c r="B518" s="38"/>
      <c r="C518" s="399"/>
      <c r="D518" s="400"/>
      <c r="E518" s="400"/>
      <c r="F518" s="400"/>
      <c r="G518" s="400"/>
      <c r="H518" s="400"/>
      <c r="I518" s="400"/>
      <c r="J518" s="401"/>
      <c r="K518" s="41"/>
    </row>
    <row r="519" spans="2:11" x14ac:dyDescent="0.2">
      <c r="B519" s="38"/>
      <c r="C519" s="40"/>
      <c r="D519" s="40"/>
      <c r="E519" s="40"/>
      <c r="F519" s="40"/>
      <c r="G519" s="40"/>
      <c r="H519" s="40"/>
      <c r="I519" s="40"/>
      <c r="J519" s="40"/>
      <c r="K519" s="41"/>
    </row>
    <row r="520" spans="2:11" x14ac:dyDescent="0.2">
      <c r="B520" s="38"/>
      <c r="C520" s="179" t="s">
        <v>320</v>
      </c>
      <c r="D520" s="40"/>
      <c r="E520" s="40"/>
      <c r="F520" s="40"/>
      <c r="G520" s="40"/>
      <c r="H520" s="40"/>
      <c r="I520" s="40"/>
      <c r="J520" s="245">
        <f>IF(OR(J509="Not Calculated",J516="Not Calculated")=TRUE,"Not Calculated",AVERAGE(J509,J516))</f>
        <v>0</v>
      </c>
      <c r="K520" s="41"/>
    </row>
    <row r="521" spans="2:11" x14ac:dyDescent="0.2">
      <c r="B521" s="38"/>
      <c r="C521" s="40"/>
      <c r="D521" s="40"/>
      <c r="E521" s="40"/>
      <c r="F521" s="40"/>
      <c r="G521" s="40"/>
      <c r="H521" s="40"/>
      <c r="I521" s="40"/>
      <c r="J521" s="40"/>
      <c r="K521" s="41"/>
    </row>
    <row r="522" spans="2:11" x14ac:dyDescent="0.2">
      <c r="B522" s="38"/>
      <c r="C522" s="40"/>
      <c r="D522" s="40"/>
      <c r="E522" s="40"/>
      <c r="F522" s="40"/>
      <c r="G522" s="40"/>
      <c r="H522" s="40"/>
      <c r="I522" s="40"/>
      <c r="J522" s="40"/>
      <c r="K522" s="41"/>
    </row>
    <row r="523" spans="2:11" ht="16" x14ac:dyDescent="0.2">
      <c r="B523" s="38"/>
      <c r="C523" s="45" t="s">
        <v>317</v>
      </c>
      <c r="D523" s="40"/>
      <c r="E523" s="40"/>
      <c r="F523" s="40"/>
      <c r="G523" s="40"/>
      <c r="H523" s="40"/>
      <c r="I523" s="40"/>
      <c r="J523" s="40"/>
      <c r="K523" s="41"/>
    </row>
    <row r="524" spans="2:11" ht="15" customHeight="1" x14ac:dyDescent="0.2">
      <c r="B524" s="38"/>
      <c r="C524" s="380" t="s">
        <v>318</v>
      </c>
      <c r="D524" s="380"/>
      <c r="E524" s="380"/>
      <c r="F524" s="380"/>
      <c r="G524" s="380"/>
      <c r="H524" s="380"/>
      <c r="I524" s="380"/>
      <c r="J524" s="40"/>
      <c r="K524" s="41"/>
    </row>
    <row r="525" spans="2:11" x14ac:dyDescent="0.2">
      <c r="B525" s="38"/>
      <c r="C525" s="380"/>
      <c r="D525" s="380"/>
      <c r="E525" s="380"/>
      <c r="F525" s="380"/>
      <c r="G525" s="380"/>
      <c r="H525" s="380"/>
      <c r="I525" s="380"/>
      <c r="J525" s="274">
        <v>1</v>
      </c>
      <c r="K525" s="41"/>
    </row>
    <row r="526" spans="2:11" x14ac:dyDescent="0.2">
      <c r="B526" s="38"/>
      <c r="C526" s="40" t="s">
        <v>260</v>
      </c>
      <c r="D526" s="40"/>
      <c r="E526" s="40"/>
      <c r="F526" s="40"/>
      <c r="G526" s="40"/>
      <c r="H526" s="40"/>
      <c r="I526" s="40"/>
      <c r="J526" s="248">
        <f>IF(J525&lt;=0,0,IF(J525&lt;=1,1,IF(J525&lt;=5,2,IF(J525&lt;=10,3,4))))</f>
        <v>1</v>
      </c>
      <c r="K526" s="41"/>
    </row>
    <row r="527" spans="2:11" s="51" customFormat="1" ht="9.75" customHeight="1" x14ac:dyDescent="0.2">
      <c r="B527" s="283"/>
      <c r="C527" s="279" t="str">
        <f>"0:"</f>
        <v>0:</v>
      </c>
      <c r="D527" s="284" t="s">
        <v>965</v>
      </c>
      <c r="E527" s="285"/>
      <c r="F527" s="285"/>
      <c r="G527" s="285"/>
      <c r="H527" s="285"/>
      <c r="I527" s="285"/>
      <c r="J527" s="43"/>
      <c r="K527" s="286"/>
    </row>
    <row r="528" spans="2:11" s="51" customFormat="1" ht="9.75" customHeight="1" x14ac:dyDescent="0.2">
      <c r="B528" s="283"/>
      <c r="C528" s="280" t="str">
        <f>"1:"</f>
        <v>1:</v>
      </c>
      <c r="D528" s="284" t="s">
        <v>966</v>
      </c>
      <c r="E528" s="285"/>
      <c r="F528" s="285"/>
      <c r="G528" s="285"/>
      <c r="H528" s="285"/>
      <c r="I528" s="285"/>
      <c r="J528" s="43"/>
      <c r="K528" s="286"/>
    </row>
    <row r="529" spans="2:11" s="51" customFormat="1" ht="9.75" customHeight="1" x14ac:dyDescent="0.2">
      <c r="B529" s="283"/>
      <c r="C529" s="280" t="str">
        <f>"2:"</f>
        <v>2:</v>
      </c>
      <c r="D529" s="284" t="s">
        <v>967</v>
      </c>
      <c r="E529" s="285"/>
      <c r="F529" s="285"/>
      <c r="G529" s="285"/>
      <c r="H529" s="285"/>
      <c r="I529" s="285"/>
      <c r="J529" s="43"/>
      <c r="K529" s="286"/>
    </row>
    <row r="530" spans="2:11" s="51" customFormat="1" ht="9.75" customHeight="1" x14ac:dyDescent="0.2">
      <c r="B530" s="283"/>
      <c r="C530" s="280" t="str">
        <f>"3:"</f>
        <v>3:</v>
      </c>
      <c r="D530" s="284" t="s">
        <v>968</v>
      </c>
      <c r="E530" s="285"/>
      <c r="F530" s="285"/>
      <c r="G530" s="285"/>
      <c r="H530" s="285"/>
      <c r="I530" s="285"/>
      <c r="J530" s="43"/>
      <c r="K530" s="286"/>
    </row>
    <row r="531" spans="2:11" s="51" customFormat="1" ht="9.75" customHeight="1" x14ac:dyDescent="0.2">
      <c r="B531" s="283"/>
      <c r="C531" s="280" t="str">
        <f>"4:"</f>
        <v>4:</v>
      </c>
      <c r="D531" s="284" t="s">
        <v>969</v>
      </c>
      <c r="E531" s="285"/>
      <c r="F531" s="285"/>
      <c r="G531" s="285"/>
      <c r="H531" s="285"/>
      <c r="I531" s="285"/>
      <c r="J531" s="287"/>
      <c r="K531" s="286"/>
    </row>
    <row r="532" spans="2:11" x14ac:dyDescent="0.2">
      <c r="B532" s="38"/>
      <c r="C532" s="40" t="s">
        <v>257</v>
      </c>
      <c r="D532" s="40"/>
      <c r="E532" s="40"/>
      <c r="F532" s="40"/>
      <c r="G532" s="40"/>
      <c r="H532" s="40"/>
      <c r="I532" s="40"/>
      <c r="J532" s="266" t="s">
        <v>872</v>
      </c>
      <c r="K532" s="41"/>
    </row>
    <row r="533" spans="2:11" x14ac:dyDescent="0.2">
      <c r="B533" s="38"/>
      <c r="C533" s="40" t="s">
        <v>261</v>
      </c>
      <c r="D533" s="40"/>
      <c r="E533" s="40"/>
      <c r="F533" s="40"/>
      <c r="G533" s="40"/>
      <c r="H533" s="40"/>
      <c r="I533" s="40"/>
      <c r="J533" s="248">
        <f>IF(J532=$B$973,$A$973,IF(J532=$B$974,$A$974,IF(J532=$B$975,$A$975,IF(J532=$B$976,$A$976,IF(J532=$B$977,$A$977,"Not Calculated")))))</f>
        <v>2</v>
      </c>
      <c r="K533" s="41"/>
    </row>
    <row r="534" spans="2:11" x14ac:dyDescent="0.2">
      <c r="B534" s="38"/>
      <c r="C534" s="40" t="s">
        <v>893</v>
      </c>
      <c r="D534" s="40"/>
      <c r="E534" s="40"/>
      <c r="F534" s="40"/>
      <c r="G534" s="40"/>
      <c r="H534" s="40"/>
      <c r="I534" s="40"/>
      <c r="J534" s="40"/>
      <c r="K534" s="41"/>
    </row>
    <row r="535" spans="2:11" ht="30" customHeight="1" x14ac:dyDescent="0.2">
      <c r="B535" s="38"/>
      <c r="C535" s="399" t="s">
        <v>1024</v>
      </c>
      <c r="D535" s="400"/>
      <c r="E535" s="400"/>
      <c r="F535" s="400"/>
      <c r="G535" s="400"/>
      <c r="H535" s="400"/>
      <c r="I535" s="400"/>
      <c r="J535" s="401"/>
      <c r="K535" s="41"/>
    </row>
    <row r="536" spans="2:11" x14ac:dyDescent="0.2">
      <c r="B536" s="38"/>
      <c r="C536" s="40"/>
      <c r="D536" s="40"/>
      <c r="E536" s="40"/>
      <c r="F536" s="40"/>
      <c r="G536" s="40"/>
      <c r="H536" s="40"/>
      <c r="I536" s="40"/>
      <c r="J536" s="40"/>
      <c r="K536" s="41"/>
    </row>
    <row r="537" spans="2:11" x14ac:dyDescent="0.2">
      <c r="B537" s="38"/>
      <c r="C537" s="179" t="s">
        <v>319</v>
      </c>
      <c r="D537" s="40"/>
      <c r="E537" s="40"/>
      <c r="F537" s="40"/>
      <c r="G537" s="40"/>
      <c r="H537" s="40"/>
      <c r="I537" s="40"/>
      <c r="J537" s="245">
        <f>IF(OR(J526="Not Calculated",J533="Not Calculated")=TRUE,"Not Calculated",AVERAGE(J526,J533))</f>
        <v>1.5</v>
      </c>
      <c r="K537" s="41"/>
    </row>
    <row r="538" spans="2:11" x14ac:dyDescent="0.2">
      <c r="B538" s="38"/>
      <c r="C538" s="40"/>
      <c r="D538" s="40"/>
      <c r="E538" s="40"/>
      <c r="F538" s="40"/>
      <c r="G538" s="40"/>
      <c r="H538" s="40"/>
      <c r="I538" s="40"/>
      <c r="J538" s="40"/>
      <c r="K538" s="41"/>
    </row>
    <row r="539" spans="2:11" ht="18" x14ac:dyDescent="0.2">
      <c r="B539" s="38"/>
      <c r="C539" s="180" t="s">
        <v>302</v>
      </c>
      <c r="D539" s="40"/>
      <c r="E539" s="40"/>
      <c r="F539" s="40"/>
      <c r="G539" s="40"/>
      <c r="H539" s="40"/>
      <c r="I539" s="40"/>
      <c r="J539" s="244">
        <f>IF(OR(J440="Not Calculated",J457="Not Calculated",J473="Not Calculated",J488="Not Calculated",J504="Not Calculated",J520="Not Calculated",J537="Not Calculated")=TRUE,"Not Calculated",AVERAGE(J440,J457,J473,J488,J504,J520,J537))</f>
        <v>0.7857142857142857</v>
      </c>
      <c r="K539" s="41"/>
    </row>
    <row r="540" spans="2:11" ht="16" thickBot="1" x14ac:dyDescent="0.25">
      <c r="B540" s="46"/>
      <c r="C540" s="47"/>
      <c r="D540" s="47"/>
      <c r="E540" s="47"/>
      <c r="F540" s="47"/>
      <c r="G540" s="47"/>
      <c r="H540" s="47"/>
      <c r="I540" s="47"/>
      <c r="J540" s="47"/>
      <c r="K540" s="49"/>
    </row>
    <row r="541" spans="2:11" ht="16" thickBot="1" x14ac:dyDescent="0.25"/>
    <row r="542" spans="2:11" x14ac:dyDescent="0.2">
      <c r="B542" s="33"/>
      <c r="C542" s="34"/>
      <c r="D542" s="34"/>
      <c r="E542" s="34"/>
      <c r="F542" s="34"/>
      <c r="G542" s="34"/>
      <c r="H542" s="34"/>
      <c r="I542" s="34"/>
      <c r="J542" s="34"/>
      <c r="K542" s="37"/>
    </row>
    <row r="543" spans="2:11" ht="21" x14ac:dyDescent="0.25">
      <c r="B543" s="38"/>
      <c r="C543" s="40"/>
      <c r="D543" s="40"/>
      <c r="E543" s="40"/>
      <c r="F543" s="40"/>
      <c r="G543" s="172" t="s">
        <v>29</v>
      </c>
      <c r="H543" s="40"/>
      <c r="I543" s="40"/>
      <c r="J543" s="40"/>
      <c r="K543" s="41"/>
    </row>
    <row r="544" spans="2:11" ht="15" customHeight="1" x14ac:dyDescent="0.2">
      <c r="B544" s="38"/>
      <c r="C544" s="40"/>
      <c r="D544" s="40"/>
      <c r="E544" s="40"/>
      <c r="F544" s="40"/>
      <c r="G544" s="40"/>
      <c r="H544" s="40"/>
      <c r="I544" s="40"/>
      <c r="J544" s="40"/>
      <c r="K544" s="41"/>
    </row>
    <row r="545" spans="2:14" ht="16" x14ac:dyDescent="0.2">
      <c r="B545" s="38"/>
      <c r="C545" s="45" t="s">
        <v>88</v>
      </c>
      <c r="D545" s="40"/>
      <c r="E545" s="40"/>
      <c r="F545" s="40"/>
      <c r="G545" s="40"/>
      <c r="H545" s="40"/>
      <c r="I545" s="40"/>
      <c r="J545" s="40"/>
      <c r="K545" s="41"/>
    </row>
    <row r="546" spans="2:14" x14ac:dyDescent="0.2">
      <c r="B546" s="38"/>
      <c r="C546" s="40" t="s">
        <v>448</v>
      </c>
      <c r="D546" s="40"/>
      <c r="E546" s="40"/>
      <c r="F546" s="40"/>
      <c r="G546" s="40"/>
      <c r="H546" s="40"/>
      <c r="I546" s="40"/>
      <c r="J546" s="252">
        <f>'Baseline Health'!G123</f>
        <v>0</v>
      </c>
      <c r="K546" s="41"/>
    </row>
    <row r="547" spans="2:14" x14ac:dyDescent="0.2">
      <c r="B547" s="38"/>
      <c r="C547" s="40" t="s">
        <v>322</v>
      </c>
      <c r="D547" s="40"/>
      <c r="E547" s="40"/>
      <c r="F547" s="40"/>
      <c r="G547" s="40"/>
      <c r="H547" s="40"/>
      <c r="I547" s="40"/>
      <c r="J547" s="264">
        <f>J546*0.1</f>
        <v>0</v>
      </c>
      <c r="K547" s="41"/>
    </row>
    <row r="548" spans="2:14" x14ac:dyDescent="0.2">
      <c r="B548" s="38"/>
      <c r="C548" s="40" t="s">
        <v>428</v>
      </c>
      <c r="D548" s="40"/>
      <c r="E548" s="40"/>
      <c r="F548" s="40"/>
      <c r="G548" s="40"/>
      <c r="H548" s="40"/>
      <c r="I548" s="40"/>
      <c r="J548" s="264">
        <f>J546*0.1</f>
        <v>0</v>
      </c>
      <c r="K548" s="41"/>
    </row>
    <row r="549" spans="2:14" x14ac:dyDescent="0.2">
      <c r="B549" s="38"/>
      <c r="C549" s="40" t="s">
        <v>260</v>
      </c>
      <c r="D549" s="40"/>
      <c r="E549" s="40"/>
      <c r="F549" s="40"/>
      <c r="G549" s="40"/>
      <c r="H549" s="40"/>
      <c r="I549" s="40"/>
      <c r="J549" s="248" t="str">
        <f>IF(OR(J546=0,J546="Not Calculated")=TRUE,"Not Calculated",IF(J546-J547=0,4,(IF(((J546+J548)/(J546-J547))&lt;=1,0,IF(((J546+J548)/(J546-J547))&lt;=1.05,1,IF(((J546+J548)/(J546-J547))&lt;=1.5, 2,IF(((J546+J548)/(J546-J547))&lt;=2,3,4)))))))</f>
        <v>Not Calculated</v>
      </c>
      <c r="K549" s="41"/>
    </row>
    <row r="550" spans="2:14" ht="9.75" customHeight="1" x14ac:dyDescent="0.2">
      <c r="B550" s="38"/>
      <c r="C550" s="279" t="str">
        <f>"0:"</f>
        <v>0:</v>
      </c>
      <c r="D550" s="278" t="s">
        <v>918</v>
      </c>
      <c r="E550" s="40"/>
      <c r="F550" s="40"/>
      <c r="G550" s="40"/>
      <c r="H550" s="40"/>
      <c r="I550" s="40"/>
      <c r="J550" s="251"/>
      <c r="K550" s="41"/>
    </row>
    <row r="551" spans="2:14" ht="9.75" customHeight="1" x14ac:dyDescent="0.2">
      <c r="B551" s="38"/>
      <c r="C551" s="280" t="str">
        <f>"1:"</f>
        <v>1:</v>
      </c>
      <c r="D551" s="278" t="s">
        <v>923</v>
      </c>
      <c r="E551" s="40"/>
      <c r="F551" s="40"/>
      <c r="G551" s="40"/>
      <c r="H551" s="40"/>
      <c r="I551" s="40"/>
      <c r="J551" s="251"/>
      <c r="K551" s="41"/>
    </row>
    <row r="552" spans="2:14" ht="9.75" customHeight="1" x14ac:dyDescent="0.2">
      <c r="B552" s="38"/>
      <c r="C552" s="280" t="str">
        <f>"2:"</f>
        <v>2:</v>
      </c>
      <c r="D552" s="278" t="s">
        <v>924</v>
      </c>
      <c r="E552" s="40"/>
      <c r="F552" s="40"/>
      <c r="G552" s="40"/>
      <c r="H552" s="40"/>
      <c r="I552" s="40"/>
      <c r="J552" s="251"/>
      <c r="K552" s="41"/>
    </row>
    <row r="553" spans="2:14" ht="9.75" customHeight="1" x14ac:dyDescent="0.2">
      <c r="B553" s="38"/>
      <c r="C553" s="280" t="str">
        <f>"3:"</f>
        <v>3:</v>
      </c>
      <c r="D553" s="278" t="s">
        <v>925</v>
      </c>
      <c r="E553" s="40"/>
      <c r="F553" s="40"/>
      <c r="G553" s="40"/>
      <c r="H553" s="40"/>
      <c r="I553" s="40"/>
      <c r="J553" s="251"/>
      <c r="K553" s="41"/>
    </row>
    <row r="554" spans="2:14" ht="9.75" customHeight="1" x14ac:dyDescent="0.2">
      <c r="B554" s="38"/>
      <c r="C554" s="280" t="str">
        <f>"4:"</f>
        <v>4:</v>
      </c>
      <c r="D554" s="278" t="s">
        <v>926</v>
      </c>
      <c r="E554" s="40"/>
      <c r="F554" s="40"/>
      <c r="G554" s="40"/>
      <c r="H554" s="40"/>
      <c r="I554" s="40"/>
      <c r="J554" s="40"/>
      <c r="K554" s="41"/>
      <c r="N554" s="12" t="s">
        <v>661</v>
      </c>
    </row>
    <row r="555" spans="2:14" x14ac:dyDescent="0.2">
      <c r="B555" s="38"/>
      <c r="C555" s="174" t="s">
        <v>662</v>
      </c>
      <c r="D555" s="40"/>
      <c r="E555" s="40"/>
      <c r="F555" s="40"/>
      <c r="G555" s="40"/>
      <c r="H555" s="40"/>
      <c r="I555" s="40"/>
      <c r="J555" s="265" t="s">
        <v>661</v>
      </c>
      <c r="K555" s="41"/>
      <c r="N555" s="12" t="s">
        <v>894</v>
      </c>
    </row>
    <row r="556" spans="2:14" x14ac:dyDescent="0.2">
      <c r="B556" s="38"/>
      <c r="C556" s="174" t="s">
        <v>660</v>
      </c>
      <c r="D556" s="40"/>
      <c r="E556" s="40"/>
      <c r="F556" s="40"/>
      <c r="G556" s="40"/>
      <c r="H556" s="40"/>
      <c r="I556" s="40"/>
      <c r="J556" s="247" t="str">
        <f>IF(J555=N554,"N/A",IF(J555=N555,0,IF(J555=N556,1,IF(J555=N557,2,IF(J555=N558,3,IF(J555=N559,4,"N/A"))))))</f>
        <v>N/A</v>
      </c>
      <c r="K556" s="41"/>
      <c r="N556" s="12" t="s">
        <v>899</v>
      </c>
    </row>
    <row r="557" spans="2:14" x14ac:dyDescent="0.2">
      <c r="B557" s="38"/>
      <c r="C557" s="40" t="s">
        <v>257</v>
      </c>
      <c r="D557" s="40"/>
      <c r="E557" s="40"/>
      <c r="F557" s="40"/>
      <c r="G557" s="40"/>
      <c r="H557" s="40"/>
      <c r="I557" s="40"/>
      <c r="J557" s="266" t="s">
        <v>872</v>
      </c>
      <c r="K557" s="41"/>
      <c r="N557" s="12" t="s">
        <v>900</v>
      </c>
    </row>
    <row r="558" spans="2:14" x14ac:dyDescent="0.2">
      <c r="B558" s="38"/>
      <c r="C558" s="40" t="s">
        <v>261</v>
      </c>
      <c r="D558" s="40"/>
      <c r="E558" s="40"/>
      <c r="F558" s="40"/>
      <c r="G558" s="40"/>
      <c r="H558" s="40"/>
      <c r="I558" s="40"/>
      <c r="J558" s="248">
        <f>IF(J557=$B$973,$A$973,IF(J557=$B$974,$A$974,IF(J557=$B$975,$A$975,IF(J557=$B$976,$A$976,IF(J557=$B$977,$A$977,"Not Calculated")))))</f>
        <v>2</v>
      </c>
      <c r="K558" s="41"/>
      <c r="N558" s="12" t="s">
        <v>901</v>
      </c>
    </row>
    <row r="559" spans="2:14" x14ac:dyDescent="0.2">
      <c r="B559" s="38"/>
      <c r="C559" s="40" t="s">
        <v>893</v>
      </c>
      <c r="D559" s="40"/>
      <c r="E559" s="40"/>
      <c r="F559" s="40"/>
      <c r="G559" s="40"/>
      <c r="H559" s="40"/>
      <c r="I559" s="40"/>
      <c r="J559" s="40"/>
      <c r="K559" s="41"/>
      <c r="N559" s="12" t="s">
        <v>902</v>
      </c>
    </row>
    <row r="560" spans="2:14" ht="45" customHeight="1" x14ac:dyDescent="0.2">
      <c r="B560" s="38"/>
      <c r="C560" s="399" t="s">
        <v>1195</v>
      </c>
      <c r="D560" s="400"/>
      <c r="E560" s="400"/>
      <c r="F560" s="400"/>
      <c r="G560" s="400"/>
      <c r="H560" s="400"/>
      <c r="I560" s="400"/>
      <c r="J560" s="401"/>
      <c r="K560" s="41"/>
    </row>
    <row r="561" spans="2:11" x14ac:dyDescent="0.2">
      <c r="B561" s="38"/>
      <c r="C561" s="40"/>
      <c r="D561" s="40"/>
      <c r="E561" s="40"/>
      <c r="F561" s="40"/>
      <c r="G561" s="40"/>
      <c r="H561" s="40"/>
      <c r="I561" s="40"/>
      <c r="J561" s="40"/>
      <c r="K561" s="41"/>
    </row>
    <row r="562" spans="2:11" x14ac:dyDescent="0.2">
      <c r="B562" s="38"/>
      <c r="C562" s="179" t="s">
        <v>323</v>
      </c>
      <c r="D562" s="40"/>
      <c r="E562" s="40"/>
      <c r="F562" s="40"/>
      <c r="G562" s="40"/>
      <c r="H562" s="40"/>
      <c r="I562" s="40"/>
      <c r="J562" s="245" t="str">
        <f>IF(J556="N/A",IF(OR(J549="Not Calculated",J558="Not Calculated")=TRUE,"Not Calculated",AVERAGE(J549,J558)),AVERAGE(J556,J558))</f>
        <v>Not Calculated</v>
      </c>
      <c r="K562" s="41"/>
    </row>
    <row r="563" spans="2:11" x14ac:dyDescent="0.2">
      <c r="B563" s="38"/>
      <c r="C563" s="40"/>
      <c r="D563" s="40"/>
      <c r="E563" s="40"/>
      <c r="F563" s="40"/>
      <c r="G563" s="40"/>
      <c r="H563" s="40"/>
      <c r="I563" s="40"/>
      <c r="J563" s="40"/>
      <c r="K563" s="41"/>
    </row>
    <row r="564" spans="2:11" x14ac:dyDescent="0.2">
      <c r="B564" s="38"/>
      <c r="C564" s="40"/>
      <c r="D564" s="40"/>
      <c r="E564" s="40"/>
      <c r="F564" s="40"/>
      <c r="G564" s="40"/>
      <c r="H564" s="40"/>
      <c r="I564" s="40"/>
      <c r="J564" s="40"/>
      <c r="K564" s="41"/>
    </row>
    <row r="565" spans="2:11" ht="16" x14ac:dyDescent="0.2">
      <c r="B565" s="38"/>
      <c r="C565" s="45" t="s">
        <v>89</v>
      </c>
      <c r="D565" s="40"/>
      <c r="E565" s="40"/>
      <c r="F565" s="40"/>
      <c r="G565" s="40"/>
      <c r="H565" s="40"/>
      <c r="I565" s="40"/>
      <c r="J565" s="40"/>
      <c r="K565" s="41"/>
    </row>
    <row r="566" spans="2:11" ht="15" customHeight="1" x14ac:dyDescent="0.2">
      <c r="B566" s="38"/>
      <c r="C566" s="380" t="s">
        <v>333</v>
      </c>
      <c r="D566" s="380"/>
      <c r="E566" s="380"/>
      <c r="F566" s="380"/>
      <c r="G566" s="380"/>
      <c r="H566" s="380"/>
      <c r="I566" s="380"/>
      <c r="J566" s="40"/>
      <c r="K566" s="41"/>
    </row>
    <row r="567" spans="2:11" x14ac:dyDescent="0.2">
      <c r="B567" s="38"/>
      <c r="C567" s="380"/>
      <c r="D567" s="380"/>
      <c r="E567" s="380"/>
      <c r="F567" s="380"/>
      <c r="G567" s="380"/>
      <c r="H567" s="380"/>
      <c r="I567" s="380"/>
      <c r="J567" s="40"/>
      <c r="K567" s="41"/>
    </row>
    <row r="568" spans="2:11" x14ac:dyDescent="0.2">
      <c r="B568" s="38"/>
      <c r="C568" s="380"/>
      <c r="D568" s="380"/>
      <c r="E568" s="380"/>
      <c r="F568" s="380"/>
      <c r="G568" s="380"/>
      <c r="H568" s="380"/>
      <c r="I568" s="380"/>
      <c r="J568" s="251">
        <f>'Baseline Health'!G132</f>
        <v>0</v>
      </c>
      <c r="K568" s="41"/>
    </row>
    <row r="569" spans="2:11" ht="15" customHeight="1" x14ac:dyDescent="0.2">
      <c r="B569" s="38"/>
      <c r="C569" s="380" t="s">
        <v>334</v>
      </c>
      <c r="D569" s="380"/>
      <c r="E569" s="380"/>
      <c r="F569" s="380"/>
      <c r="G569" s="380"/>
      <c r="H569" s="380"/>
      <c r="I569" s="380"/>
      <c r="J569" s="245"/>
      <c r="K569" s="41"/>
    </row>
    <row r="570" spans="2:11" x14ac:dyDescent="0.2">
      <c r="B570" s="38"/>
      <c r="C570" s="380"/>
      <c r="D570" s="380"/>
      <c r="E570" s="380"/>
      <c r="F570" s="380"/>
      <c r="G570" s="380"/>
      <c r="H570" s="380"/>
      <c r="I570" s="380"/>
      <c r="J570" s="245"/>
      <c r="K570" s="41"/>
    </row>
    <row r="571" spans="2:11" x14ac:dyDescent="0.2">
      <c r="B571" s="38"/>
      <c r="C571" s="380"/>
      <c r="D571" s="380"/>
      <c r="E571" s="380"/>
      <c r="F571" s="380"/>
      <c r="G571" s="380"/>
      <c r="H571" s="380"/>
      <c r="I571" s="380"/>
      <c r="J571" s="264">
        <f>J64</f>
        <v>0</v>
      </c>
      <c r="K571" s="41"/>
    </row>
    <row r="572" spans="2:11" x14ac:dyDescent="0.2">
      <c r="B572" s="38"/>
      <c r="C572" s="40" t="s">
        <v>260</v>
      </c>
      <c r="D572" s="40"/>
      <c r="E572" s="40"/>
      <c r="F572" s="40"/>
      <c r="G572" s="40"/>
      <c r="H572" s="40"/>
      <c r="I572" s="40"/>
      <c r="J572" s="248" t="str">
        <f>IF(OR(J568=0,J568="Not Calculated")=TRUE,"Not Calculated",IF(((J568+J571)/J568)&lt;=1,0,IF(((J568+J571)/J568)&lt;=1.05,1,IF(((J568+J571)/J568)&lt;=1.5, 2,IF(((J568+J571)/J568)&lt;=2,3,4)))))</f>
        <v>Not Calculated</v>
      </c>
      <c r="K572" s="41"/>
    </row>
    <row r="573" spans="2:11" ht="9.75" customHeight="1" x14ac:dyDescent="0.2">
      <c r="B573" s="38"/>
      <c r="C573" s="279" t="str">
        <f>"0:"</f>
        <v>0:</v>
      </c>
      <c r="D573" s="281" t="s">
        <v>918</v>
      </c>
      <c r="E573" s="291"/>
      <c r="F573" s="291"/>
      <c r="G573" s="291"/>
      <c r="H573" s="291"/>
      <c r="I573" s="291"/>
      <c r="J573" s="251"/>
      <c r="K573" s="41"/>
    </row>
    <row r="574" spans="2:11" ht="9.75" customHeight="1" x14ac:dyDescent="0.2">
      <c r="B574" s="38"/>
      <c r="C574" s="280" t="str">
        <f>"1:"</f>
        <v>1:</v>
      </c>
      <c r="D574" s="281" t="s">
        <v>919</v>
      </c>
      <c r="E574" s="291"/>
      <c r="F574" s="291"/>
      <c r="G574" s="291"/>
      <c r="H574" s="291"/>
      <c r="I574" s="291"/>
      <c r="J574" s="251"/>
      <c r="K574" s="41"/>
    </row>
    <row r="575" spans="2:11" ht="9.75" customHeight="1" x14ac:dyDescent="0.2">
      <c r="B575" s="38"/>
      <c r="C575" s="280" t="str">
        <f>"2:"</f>
        <v>2:</v>
      </c>
      <c r="D575" s="281" t="s">
        <v>920</v>
      </c>
      <c r="E575" s="291"/>
      <c r="F575" s="291"/>
      <c r="G575" s="291"/>
      <c r="H575" s="291"/>
      <c r="I575" s="291"/>
      <c r="J575" s="251"/>
      <c r="K575" s="41"/>
    </row>
    <row r="576" spans="2:11" ht="9.75" customHeight="1" x14ac:dyDescent="0.2">
      <c r="B576" s="38"/>
      <c r="C576" s="280" t="str">
        <f>"3:"</f>
        <v>3:</v>
      </c>
      <c r="D576" s="281" t="s">
        <v>921</v>
      </c>
      <c r="E576" s="291"/>
      <c r="F576" s="291"/>
      <c r="G576" s="291"/>
      <c r="H576" s="291"/>
      <c r="I576" s="291"/>
      <c r="J576" s="251"/>
      <c r="K576" s="41"/>
    </row>
    <row r="577" spans="2:14" ht="9.75" customHeight="1" x14ac:dyDescent="0.2">
      <c r="B577" s="38"/>
      <c r="C577" s="280" t="str">
        <f>"4:"</f>
        <v>4:</v>
      </c>
      <c r="D577" s="281" t="s">
        <v>922</v>
      </c>
      <c r="E577" s="40"/>
      <c r="F577" s="40"/>
      <c r="G577" s="40"/>
      <c r="H577" s="40"/>
      <c r="I577" s="40"/>
      <c r="J577" s="40"/>
      <c r="K577" s="41"/>
      <c r="N577" s="12" t="s">
        <v>661</v>
      </c>
    </row>
    <row r="578" spans="2:14" ht="15" customHeight="1" x14ac:dyDescent="0.2">
      <c r="B578" s="38"/>
      <c r="C578" s="174" t="s">
        <v>662</v>
      </c>
      <c r="D578" s="40"/>
      <c r="E578" s="40"/>
      <c r="F578" s="40"/>
      <c r="G578" s="40"/>
      <c r="H578" s="40"/>
      <c r="I578" s="40"/>
      <c r="J578" s="265" t="s">
        <v>661</v>
      </c>
      <c r="K578" s="41"/>
      <c r="N578" s="12" t="s">
        <v>894</v>
      </c>
    </row>
    <row r="579" spans="2:14" ht="15" customHeight="1" x14ac:dyDescent="0.2">
      <c r="B579" s="38"/>
      <c r="C579" s="174" t="s">
        <v>660</v>
      </c>
      <c r="D579" s="40"/>
      <c r="E579" s="40"/>
      <c r="F579" s="40"/>
      <c r="G579" s="40"/>
      <c r="H579" s="40"/>
      <c r="I579" s="40"/>
      <c r="J579" s="247" t="str">
        <f>IF(J578=N577,"N/A",IF(J578=N578,0,IF(J578=N579,1,IF(J578=N580,2,IF(J578=N581,3,IF(J578=N582,4,"N/A"))))))</f>
        <v>N/A</v>
      </c>
      <c r="K579" s="41"/>
      <c r="N579" s="12" t="s">
        <v>895</v>
      </c>
    </row>
    <row r="580" spans="2:14" x14ac:dyDescent="0.2">
      <c r="B580" s="38"/>
      <c r="C580" s="40" t="s">
        <v>257</v>
      </c>
      <c r="D580" s="40"/>
      <c r="E580" s="40"/>
      <c r="F580" s="40"/>
      <c r="G580" s="40"/>
      <c r="H580" s="40"/>
      <c r="I580" s="40"/>
      <c r="J580" s="266" t="s">
        <v>874</v>
      </c>
      <c r="K580" s="41"/>
      <c r="N580" s="12" t="s">
        <v>896</v>
      </c>
    </row>
    <row r="581" spans="2:14" x14ac:dyDescent="0.2">
      <c r="B581" s="38"/>
      <c r="C581" s="40" t="s">
        <v>261</v>
      </c>
      <c r="D581" s="40"/>
      <c r="E581" s="40"/>
      <c r="F581" s="40"/>
      <c r="G581" s="40"/>
      <c r="H581" s="40"/>
      <c r="I581" s="40"/>
      <c r="J581" s="248">
        <f>IF(J580=$B$973,$A$973,IF(J580=$B$974,$A$974,IF(J580=$B$975,$A$975,IF(J580=$B$976,$A$976,IF(J580=$B$977,$A$977,"Not Calculated")))))</f>
        <v>4</v>
      </c>
      <c r="K581" s="41"/>
      <c r="N581" s="12" t="s">
        <v>897</v>
      </c>
    </row>
    <row r="582" spans="2:14" x14ac:dyDescent="0.2">
      <c r="B582" s="38"/>
      <c r="C582" s="40" t="s">
        <v>893</v>
      </c>
      <c r="D582" s="40"/>
      <c r="E582" s="40"/>
      <c r="F582" s="40"/>
      <c r="G582" s="40"/>
      <c r="H582" s="40"/>
      <c r="I582" s="40"/>
      <c r="J582" s="40"/>
      <c r="K582" s="41"/>
      <c r="N582" s="12" t="s">
        <v>898</v>
      </c>
    </row>
    <row r="583" spans="2:14" ht="30" customHeight="1" x14ac:dyDescent="0.2">
      <c r="B583" s="38"/>
      <c r="C583" s="399" t="s">
        <v>470</v>
      </c>
      <c r="D583" s="400"/>
      <c r="E583" s="400"/>
      <c r="F583" s="400"/>
      <c r="G583" s="400"/>
      <c r="H583" s="400"/>
      <c r="I583" s="400"/>
      <c r="J583" s="401"/>
      <c r="K583" s="41"/>
    </row>
    <row r="584" spans="2:14" x14ac:dyDescent="0.2">
      <c r="B584" s="38"/>
      <c r="C584" s="40"/>
      <c r="D584" s="40"/>
      <c r="E584" s="40"/>
      <c r="F584" s="40"/>
      <c r="G584" s="40"/>
      <c r="H584" s="40"/>
      <c r="I584" s="40"/>
      <c r="J584" s="40"/>
      <c r="K584" s="41"/>
    </row>
    <row r="585" spans="2:14" x14ac:dyDescent="0.2">
      <c r="B585" s="38"/>
      <c r="C585" s="179" t="s">
        <v>324</v>
      </c>
      <c r="D585" s="40"/>
      <c r="E585" s="40"/>
      <c r="F585" s="40"/>
      <c r="G585" s="40"/>
      <c r="H585" s="40"/>
      <c r="I585" s="40"/>
      <c r="J585" s="245" t="str">
        <f>IF(J579="N/A",IF(OR(J572="Not Calculated",J581="Not Calculated")=TRUE,"Not Calculated",AVERAGE(J572,J581)),AVERAGE(J579,J581))</f>
        <v>Not Calculated</v>
      </c>
      <c r="K585" s="41"/>
    </row>
    <row r="586" spans="2:14" x14ac:dyDescent="0.2">
      <c r="B586" s="38"/>
      <c r="C586" s="40"/>
      <c r="D586" s="40"/>
      <c r="E586" s="40"/>
      <c r="F586" s="40"/>
      <c r="G586" s="40"/>
      <c r="H586" s="40"/>
      <c r="I586" s="40"/>
      <c r="J586" s="40"/>
      <c r="K586" s="41"/>
    </row>
    <row r="587" spans="2:14" x14ac:dyDescent="0.2">
      <c r="B587" s="38"/>
      <c r="C587" s="40"/>
      <c r="D587" s="40"/>
      <c r="E587" s="40"/>
      <c r="F587" s="40"/>
      <c r="G587" s="40"/>
      <c r="H587" s="40"/>
      <c r="I587" s="40"/>
      <c r="J587" s="40"/>
      <c r="K587" s="41"/>
    </row>
    <row r="588" spans="2:14" ht="16" x14ac:dyDescent="0.2">
      <c r="B588" s="38"/>
      <c r="C588" s="45" t="s">
        <v>115</v>
      </c>
      <c r="D588" s="40"/>
      <c r="E588" s="40"/>
      <c r="F588" s="40"/>
      <c r="G588" s="40"/>
      <c r="H588" s="40"/>
      <c r="I588" s="40"/>
      <c r="J588" s="40"/>
      <c r="K588" s="41"/>
    </row>
    <row r="589" spans="2:14" x14ac:dyDescent="0.2">
      <c r="B589" s="38"/>
      <c r="C589" s="40" t="s">
        <v>335</v>
      </c>
      <c r="D589" s="40"/>
      <c r="E589" s="40"/>
      <c r="F589" s="40"/>
      <c r="G589" s="40"/>
      <c r="H589" s="40"/>
      <c r="I589" s="40"/>
      <c r="J589" s="264">
        <v>0</v>
      </c>
      <c r="K589" s="41"/>
    </row>
    <row r="590" spans="2:14" x14ac:dyDescent="0.2">
      <c r="B590" s="38"/>
      <c r="C590" s="40" t="s">
        <v>260</v>
      </c>
      <c r="D590" s="40"/>
      <c r="E590" s="40"/>
      <c r="F590" s="40"/>
      <c r="G590" s="40"/>
      <c r="H590" s="40"/>
      <c r="I590" s="40"/>
      <c r="J590" s="255">
        <f>IF(J589&lt;=0,0,IF(J589&lt;=1000,1,IF(J589&lt;=5000,2,IF(J589&lt;=25000,3,4))))</f>
        <v>0</v>
      </c>
      <c r="K590" s="41"/>
    </row>
    <row r="591" spans="2:14" ht="9.75" customHeight="1" x14ac:dyDescent="0.2">
      <c r="B591" s="38"/>
      <c r="C591" s="279" t="str">
        <f>"0:"</f>
        <v>0:</v>
      </c>
      <c r="D591" s="284" t="s">
        <v>970</v>
      </c>
      <c r="E591" s="40"/>
      <c r="F591" s="40"/>
      <c r="G591" s="40"/>
      <c r="H591" s="40"/>
      <c r="I591" s="40"/>
      <c r="J591" s="251"/>
      <c r="K591" s="41"/>
    </row>
    <row r="592" spans="2:14" ht="9.75" customHeight="1" x14ac:dyDescent="0.2">
      <c r="B592" s="38"/>
      <c r="C592" s="280" t="str">
        <f>"1:"</f>
        <v>1:</v>
      </c>
      <c r="D592" s="284" t="s">
        <v>961</v>
      </c>
      <c r="E592" s="40"/>
      <c r="F592" s="40"/>
      <c r="G592" s="40"/>
      <c r="H592" s="40"/>
      <c r="I592" s="40"/>
      <c r="J592" s="251"/>
      <c r="K592" s="41"/>
    </row>
    <row r="593" spans="2:11" ht="9.75" customHeight="1" x14ac:dyDescent="0.2">
      <c r="B593" s="38"/>
      <c r="C593" s="280" t="str">
        <f>"2:"</f>
        <v>2:</v>
      </c>
      <c r="D593" s="284" t="s">
        <v>971</v>
      </c>
      <c r="E593" s="40"/>
      <c r="F593" s="40"/>
      <c r="G593" s="40"/>
      <c r="H593" s="40"/>
      <c r="I593" s="40"/>
      <c r="J593" s="251"/>
      <c r="K593" s="41"/>
    </row>
    <row r="594" spans="2:11" ht="9.75" customHeight="1" x14ac:dyDescent="0.2">
      <c r="B594" s="38"/>
      <c r="C594" s="280" t="str">
        <f>"3:"</f>
        <v>3:</v>
      </c>
      <c r="D594" s="284" t="s">
        <v>963</v>
      </c>
      <c r="E594" s="40"/>
      <c r="F594" s="40"/>
      <c r="G594" s="40"/>
      <c r="H594" s="40"/>
      <c r="I594" s="40"/>
      <c r="J594" s="251"/>
      <c r="K594" s="41"/>
    </row>
    <row r="595" spans="2:11" ht="9.75" customHeight="1" x14ac:dyDescent="0.2">
      <c r="B595" s="38"/>
      <c r="C595" s="280" t="str">
        <f>"4:"</f>
        <v>4:</v>
      </c>
      <c r="D595" s="284" t="s">
        <v>964</v>
      </c>
      <c r="E595" s="40"/>
      <c r="F595" s="40"/>
      <c r="G595" s="40"/>
      <c r="H595" s="40"/>
      <c r="I595" s="40"/>
      <c r="J595" s="40"/>
      <c r="K595" s="41"/>
    </row>
    <row r="596" spans="2:11" ht="15" customHeight="1" x14ac:dyDescent="0.2">
      <c r="B596" s="38"/>
      <c r="C596" s="40" t="s">
        <v>257</v>
      </c>
      <c r="D596" s="40"/>
      <c r="E596" s="40"/>
      <c r="F596" s="40"/>
      <c r="G596" s="40"/>
      <c r="H596" s="40"/>
      <c r="I596" s="40"/>
      <c r="J596" s="266" t="s">
        <v>870</v>
      </c>
      <c r="K596" s="41"/>
    </row>
    <row r="597" spans="2:11" ht="15" customHeight="1" x14ac:dyDescent="0.2">
      <c r="B597" s="38"/>
      <c r="C597" s="40" t="s">
        <v>261</v>
      </c>
      <c r="D597" s="40"/>
      <c r="E597" s="40"/>
      <c r="F597" s="40"/>
      <c r="G597" s="40"/>
      <c r="H597" s="40"/>
      <c r="I597" s="40"/>
      <c r="J597" s="245">
        <f>IF(J596=$B$973,$A$973,IF(J596=$B$974,$A$974,IF(J596=$B$975,$A$975,IF(J596=$B$976,$A$976,IF(J596=$B$977,$A$977,"Not Calculated")))))</f>
        <v>0</v>
      </c>
      <c r="K597" s="41"/>
    </row>
    <row r="598" spans="2:11" x14ac:dyDescent="0.2">
      <c r="B598" s="38"/>
      <c r="C598" s="40" t="s">
        <v>893</v>
      </c>
      <c r="D598" s="40"/>
      <c r="E598" s="40"/>
      <c r="F598" s="40"/>
      <c r="G598" s="40"/>
      <c r="H598" s="40"/>
      <c r="I598" s="40"/>
      <c r="J598" s="40"/>
      <c r="K598" s="41"/>
    </row>
    <row r="599" spans="2:11" ht="30" customHeight="1" x14ac:dyDescent="0.2">
      <c r="B599" s="38"/>
      <c r="C599" s="399"/>
      <c r="D599" s="400"/>
      <c r="E599" s="400"/>
      <c r="F599" s="400"/>
      <c r="G599" s="400"/>
      <c r="H599" s="400"/>
      <c r="I599" s="400"/>
      <c r="J599" s="401"/>
      <c r="K599" s="41"/>
    </row>
    <row r="600" spans="2:11" x14ac:dyDescent="0.2">
      <c r="B600" s="38"/>
      <c r="C600" s="40"/>
      <c r="D600" s="40"/>
      <c r="E600" s="40"/>
      <c r="F600" s="40"/>
      <c r="G600" s="40"/>
      <c r="H600" s="40"/>
      <c r="I600" s="40"/>
      <c r="J600" s="40"/>
      <c r="K600" s="41"/>
    </row>
    <row r="601" spans="2:11" x14ac:dyDescent="0.2">
      <c r="B601" s="38"/>
      <c r="C601" s="179" t="s">
        <v>325</v>
      </c>
      <c r="D601" s="40"/>
      <c r="E601" s="40"/>
      <c r="F601" s="40"/>
      <c r="G601" s="40"/>
      <c r="H601" s="40"/>
      <c r="I601" s="40"/>
      <c r="J601" s="245">
        <f>IF(J590="Not Calculated","Not Calculated",AVERAGE(J590,J597))</f>
        <v>0</v>
      </c>
      <c r="K601" s="41"/>
    </row>
    <row r="602" spans="2:11" x14ac:dyDescent="0.2">
      <c r="B602" s="38"/>
      <c r="C602" s="40"/>
      <c r="D602" s="40"/>
      <c r="E602" s="40"/>
      <c r="F602" s="40"/>
      <c r="G602" s="40"/>
      <c r="H602" s="40"/>
      <c r="I602" s="40"/>
      <c r="J602" s="40"/>
      <c r="K602" s="41"/>
    </row>
    <row r="603" spans="2:11" x14ac:dyDescent="0.2">
      <c r="B603" s="38"/>
      <c r="C603" s="40"/>
      <c r="D603" s="40"/>
      <c r="E603" s="40"/>
      <c r="F603" s="40"/>
      <c r="G603" s="40"/>
      <c r="H603" s="40"/>
      <c r="I603" s="40"/>
      <c r="J603" s="40"/>
      <c r="K603" s="41"/>
    </row>
    <row r="604" spans="2:11" ht="16" x14ac:dyDescent="0.2">
      <c r="B604" s="38"/>
      <c r="C604" s="45" t="s">
        <v>326</v>
      </c>
      <c r="D604" s="40"/>
      <c r="E604" s="40"/>
      <c r="F604" s="40"/>
      <c r="G604" s="40"/>
      <c r="H604" s="40"/>
      <c r="I604" s="40"/>
      <c r="J604" s="40"/>
      <c r="K604" s="41"/>
    </row>
    <row r="605" spans="2:11" x14ac:dyDescent="0.2">
      <c r="B605" s="38"/>
      <c r="C605" s="40" t="s">
        <v>336</v>
      </c>
      <c r="D605" s="40"/>
      <c r="E605" s="40"/>
      <c r="F605" s="40"/>
      <c r="G605" s="40"/>
      <c r="H605" s="40"/>
      <c r="I605" s="40"/>
      <c r="J605" s="271">
        <v>0</v>
      </c>
      <c r="K605" s="41"/>
    </row>
    <row r="606" spans="2:11" x14ac:dyDescent="0.2">
      <c r="B606" s="38"/>
      <c r="C606" s="40" t="s">
        <v>260</v>
      </c>
      <c r="D606" s="40"/>
      <c r="E606" s="40"/>
      <c r="F606" s="40"/>
      <c r="G606" s="40"/>
      <c r="H606" s="40"/>
      <c r="I606" s="40"/>
      <c r="J606" s="248">
        <f>IF(J605&lt;=0,0,IF(J605&lt;=10,1,IF(J605&lt;=25,2,IF(J605&lt;=50,3,4))))</f>
        <v>0</v>
      </c>
      <c r="K606" s="41"/>
    </row>
    <row r="607" spans="2:11" ht="9.75" customHeight="1" x14ac:dyDescent="0.2">
      <c r="B607" s="38"/>
      <c r="C607" s="279" t="str">
        <f>"0:"</f>
        <v>0:</v>
      </c>
      <c r="D607" s="290" t="s">
        <v>944</v>
      </c>
      <c r="E607" s="40"/>
      <c r="F607" s="40"/>
      <c r="G607" s="40"/>
      <c r="H607" s="40"/>
      <c r="I607" s="40"/>
      <c r="J607" s="244"/>
      <c r="K607" s="41"/>
    </row>
    <row r="608" spans="2:11" ht="9.75" customHeight="1" x14ac:dyDescent="0.2">
      <c r="B608" s="38"/>
      <c r="C608" s="280" t="str">
        <f>"1:"</f>
        <v>1:</v>
      </c>
      <c r="D608" s="290" t="s">
        <v>947</v>
      </c>
      <c r="E608" s="40"/>
      <c r="F608" s="40"/>
      <c r="G608" s="40"/>
      <c r="H608" s="40"/>
      <c r="I608" s="40"/>
      <c r="J608" s="244"/>
      <c r="K608" s="41"/>
    </row>
    <row r="609" spans="2:11" ht="9.75" customHeight="1" x14ac:dyDescent="0.2">
      <c r="B609" s="38"/>
      <c r="C609" s="280" t="str">
        <f>"2:"</f>
        <v>2:</v>
      </c>
      <c r="D609" s="290" t="s">
        <v>972</v>
      </c>
      <c r="E609" s="40"/>
      <c r="F609" s="40"/>
      <c r="G609" s="40"/>
      <c r="H609" s="40"/>
      <c r="I609" s="40"/>
      <c r="J609" s="244"/>
      <c r="K609" s="41"/>
    </row>
    <row r="610" spans="2:11" ht="9.75" customHeight="1" x14ac:dyDescent="0.2">
      <c r="B610" s="38"/>
      <c r="C610" s="280" t="str">
        <f>"3:"</f>
        <v>3:</v>
      </c>
      <c r="D610" s="290" t="s">
        <v>973</v>
      </c>
      <c r="E610" s="40"/>
      <c r="F610" s="40"/>
      <c r="G610" s="40"/>
      <c r="H610" s="40"/>
      <c r="I610" s="40"/>
      <c r="J610" s="244"/>
      <c r="K610" s="41"/>
    </row>
    <row r="611" spans="2:11" ht="9.75" customHeight="1" x14ac:dyDescent="0.2">
      <c r="B611" s="38"/>
      <c r="C611" s="280" t="str">
        <f>"4:"</f>
        <v>4:</v>
      </c>
      <c r="D611" s="290" t="s">
        <v>974</v>
      </c>
      <c r="E611" s="40"/>
      <c r="F611" s="40"/>
      <c r="G611" s="40"/>
      <c r="H611" s="40"/>
      <c r="I611" s="40"/>
      <c r="J611" s="40"/>
      <c r="K611" s="41"/>
    </row>
    <row r="612" spans="2:11" x14ac:dyDescent="0.2">
      <c r="B612" s="38"/>
      <c r="C612" s="40" t="s">
        <v>893</v>
      </c>
      <c r="D612" s="40"/>
      <c r="E612" s="40"/>
      <c r="F612" s="40"/>
      <c r="G612" s="40"/>
      <c r="H612" s="40"/>
      <c r="I612" s="40"/>
      <c r="J612" s="40"/>
      <c r="K612" s="41"/>
    </row>
    <row r="613" spans="2:11" ht="30" customHeight="1" x14ac:dyDescent="0.2">
      <c r="B613" s="38"/>
      <c r="C613" s="399"/>
      <c r="D613" s="400"/>
      <c r="E613" s="400"/>
      <c r="F613" s="400"/>
      <c r="G613" s="400"/>
      <c r="H613" s="400"/>
      <c r="I613" s="400"/>
      <c r="J613" s="401"/>
      <c r="K613" s="41"/>
    </row>
    <row r="614" spans="2:11" x14ac:dyDescent="0.2">
      <c r="B614" s="38"/>
      <c r="C614" s="40"/>
      <c r="D614" s="40"/>
      <c r="E614" s="40"/>
      <c r="F614" s="40"/>
      <c r="G614" s="40"/>
      <c r="H614" s="40"/>
      <c r="I614" s="40"/>
      <c r="J614" s="40"/>
      <c r="K614" s="41"/>
    </row>
    <row r="615" spans="2:11" x14ac:dyDescent="0.2">
      <c r="B615" s="38"/>
      <c r="C615" s="179" t="s">
        <v>327</v>
      </c>
      <c r="D615" s="40"/>
      <c r="E615" s="40"/>
      <c r="F615" s="40"/>
      <c r="G615" s="40"/>
      <c r="H615" s="40"/>
      <c r="I615" s="40"/>
      <c r="J615" s="245">
        <f>J606</f>
        <v>0</v>
      </c>
      <c r="K615" s="41"/>
    </row>
    <row r="616" spans="2:11" x14ac:dyDescent="0.2">
      <c r="B616" s="38"/>
      <c r="C616" s="40"/>
      <c r="D616" s="40"/>
      <c r="E616" s="40"/>
      <c r="F616" s="40"/>
      <c r="G616" s="40"/>
      <c r="H616" s="40"/>
      <c r="I616" s="40"/>
      <c r="J616" s="40"/>
      <c r="K616" s="41"/>
    </row>
    <row r="617" spans="2:11" x14ac:dyDescent="0.2">
      <c r="B617" s="38"/>
      <c r="C617" s="40"/>
      <c r="D617" s="40"/>
      <c r="E617" s="40"/>
      <c r="F617" s="40"/>
      <c r="G617" s="40"/>
      <c r="H617" s="40"/>
      <c r="I617" s="40"/>
      <c r="J617" s="40"/>
      <c r="K617" s="41"/>
    </row>
    <row r="618" spans="2:11" ht="16" x14ac:dyDescent="0.2">
      <c r="B618" s="38"/>
      <c r="C618" s="45" t="s">
        <v>92</v>
      </c>
      <c r="D618" s="40"/>
      <c r="E618" s="40"/>
      <c r="F618" s="40"/>
      <c r="G618" s="40"/>
      <c r="H618" s="40"/>
      <c r="I618" s="40"/>
      <c r="J618" s="40"/>
      <c r="K618" s="41"/>
    </row>
    <row r="619" spans="2:11" x14ac:dyDescent="0.2">
      <c r="B619" s="38"/>
      <c r="C619" s="40" t="s">
        <v>337</v>
      </c>
      <c r="D619" s="40"/>
      <c r="E619" s="40"/>
      <c r="F619" s="40"/>
      <c r="G619" s="40"/>
      <c r="H619" s="40"/>
      <c r="I619" s="40"/>
      <c r="J619" s="251">
        <f>'Baseline Health'!G137</f>
        <v>1</v>
      </c>
      <c r="K619" s="41"/>
    </row>
    <row r="620" spans="2:11" ht="15" customHeight="1" x14ac:dyDescent="0.2">
      <c r="B620" s="38"/>
      <c r="C620" s="380" t="s">
        <v>338</v>
      </c>
      <c r="D620" s="380"/>
      <c r="E620" s="380"/>
      <c r="F620" s="380"/>
      <c r="G620" s="380"/>
      <c r="H620" s="380"/>
      <c r="I620" s="380"/>
      <c r="J620" s="251"/>
      <c r="K620" s="41"/>
    </row>
    <row r="621" spans="2:11" x14ac:dyDescent="0.2">
      <c r="B621" s="38"/>
      <c r="C621" s="380"/>
      <c r="D621" s="380"/>
      <c r="E621" s="380"/>
      <c r="F621" s="380"/>
      <c r="G621" s="380"/>
      <c r="H621" s="380"/>
      <c r="I621" s="380"/>
      <c r="J621" s="264">
        <v>0</v>
      </c>
      <c r="K621" s="41"/>
    </row>
    <row r="622" spans="2:11" x14ac:dyDescent="0.2">
      <c r="B622" s="38"/>
      <c r="C622" s="40" t="s">
        <v>260</v>
      </c>
      <c r="D622" s="40"/>
      <c r="E622" s="40"/>
      <c r="F622" s="40"/>
      <c r="G622" s="40"/>
      <c r="H622" s="40"/>
      <c r="I622" s="40"/>
      <c r="J622" s="248">
        <f>IF(OR(J619=0,J619="Not Calculated")=TRUE,"Not Calculated",IF(((J619+J621)/J619)&lt;=1,0,IF(((J619+J621)/J619)&lt;=1.05,1,IF(((J619+J621)/J619)&lt;=1.5, 2,IF(((J619+J621)/J619)&lt;=2,3,4)))))</f>
        <v>0</v>
      </c>
      <c r="K622" s="41"/>
    </row>
    <row r="623" spans="2:11" ht="9.75" customHeight="1" x14ac:dyDescent="0.2">
      <c r="B623" s="38"/>
      <c r="C623" s="279" t="str">
        <f>"0:"</f>
        <v>0:</v>
      </c>
      <c r="D623" s="281" t="s">
        <v>918</v>
      </c>
      <c r="E623" s="291"/>
      <c r="F623" s="291"/>
      <c r="G623" s="291"/>
      <c r="H623" s="291"/>
      <c r="I623" s="291"/>
      <c r="J623" s="251"/>
      <c r="K623" s="41"/>
    </row>
    <row r="624" spans="2:11" ht="9.75" customHeight="1" x14ac:dyDescent="0.2">
      <c r="B624" s="38"/>
      <c r="C624" s="280" t="str">
        <f>"1:"</f>
        <v>1:</v>
      </c>
      <c r="D624" s="281" t="s">
        <v>919</v>
      </c>
      <c r="E624" s="291"/>
      <c r="F624" s="291"/>
      <c r="G624" s="291"/>
      <c r="H624" s="291"/>
      <c r="I624" s="291"/>
      <c r="J624" s="251"/>
      <c r="K624" s="41"/>
    </row>
    <row r="625" spans="2:14" ht="9.75" customHeight="1" x14ac:dyDescent="0.2">
      <c r="B625" s="38"/>
      <c r="C625" s="280" t="str">
        <f>"2:"</f>
        <v>2:</v>
      </c>
      <c r="D625" s="281" t="s">
        <v>920</v>
      </c>
      <c r="E625" s="291"/>
      <c r="F625" s="291"/>
      <c r="G625" s="291"/>
      <c r="H625" s="291"/>
      <c r="I625" s="291"/>
      <c r="J625" s="251"/>
      <c r="K625" s="41"/>
    </row>
    <row r="626" spans="2:14" ht="9.75" customHeight="1" x14ac:dyDescent="0.2">
      <c r="B626" s="38"/>
      <c r="C626" s="280" t="str">
        <f>"3:"</f>
        <v>3:</v>
      </c>
      <c r="D626" s="281" t="s">
        <v>921</v>
      </c>
      <c r="E626" s="291"/>
      <c r="F626" s="291"/>
      <c r="G626" s="291"/>
      <c r="H626" s="291"/>
      <c r="I626" s="291"/>
      <c r="J626" s="251"/>
      <c r="K626" s="41"/>
    </row>
    <row r="627" spans="2:14" ht="9.75" customHeight="1" x14ac:dyDescent="0.2">
      <c r="B627" s="38"/>
      <c r="C627" s="280" t="str">
        <f>"4:"</f>
        <v>4:</v>
      </c>
      <c r="D627" s="281" t="s">
        <v>922</v>
      </c>
      <c r="E627" s="40"/>
      <c r="F627" s="40"/>
      <c r="G627" s="40"/>
      <c r="H627" s="40"/>
      <c r="I627" s="40"/>
      <c r="J627" s="40"/>
      <c r="K627" s="41"/>
      <c r="N627" s="12" t="s">
        <v>661</v>
      </c>
    </row>
    <row r="628" spans="2:14" x14ac:dyDescent="0.2">
      <c r="B628" s="38"/>
      <c r="C628" s="174" t="s">
        <v>662</v>
      </c>
      <c r="D628" s="40"/>
      <c r="E628" s="40"/>
      <c r="F628" s="40"/>
      <c r="G628" s="40"/>
      <c r="H628" s="40"/>
      <c r="I628" s="40"/>
      <c r="J628" s="265" t="s">
        <v>661</v>
      </c>
      <c r="K628" s="41"/>
      <c r="N628" s="12" t="s">
        <v>894</v>
      </c>
    </row>
    <row r="629" spans="2:14" x14ac:dyDescent="0.2">
      <c r="B629" s="38"/>
      <c r="C629" s="174" t="s">
        <v>660</v>
      </c>
      <c r="D629" s="40"/>
      <c r="E629" s="40"/>
      <c r="F629" s="40"/>
      <c r="G629" s="40"/>
      <c r="H629" s="40"/>
      <c r="I629" s="40"/>
      <c r="J629" s="247" t="str">
        <f>IF(J628=N627,"N/A",IF(J628=N628,0,IF(J628=N629,1,IF(J628=N630,2,IF(J628=N631,3,IF(J628=N632,4,"N/A"))))))</f>
        <v>N/A</v>
      </c>
      <c r="K629" s="41"/>
      <c r="N629" s="12" t="s">
        <v>895</v>
      </c>
    </row>
    <row r="630" spans="2:14" x14ac:dyDescent="0.2">
      <c r="B630" s="38"/>
      <c r="C630" s="40" t="s">
        <v>257</v>
      </c>
      <c r="D630" s="40"/>
      <c r="E630" s="40"/>
      <c r="F630" s="40"/>
      <c r="G630" s="40"/>
      <c r="H630" s="40"/>
      <c r="I630" s="40"/>
      <c r="J630" s="266" t="s">
        <v>870</v>
      </c>
      <c r="K630" s="41"/>
      <c r="N630" s="12" t="s">
        <v>896</v>
      </c>
    </row>
    <row r="631" spans="2:14" x14ac:dyDescent="0.2">
      <c r="B631" s="38"/>
      <c r="C631" s="40" t="s">
        <v>261</v>
      </c>
      <c r="D631" s="40"/>
      <c r="E631" s="40"/>
      <c r="F631" s="40"/>
      <c r="G631" s="40"/>
      <c r="H631" s="40"/>
      <c r="I631" s="40"/>
      <c r="J631" s="248">
        <f>IF(J630=$B$973,$A$973,IF(J630=$B$974,$A$974,IF(J630=$B$975,$A$975,IF(J630=$B$976,$A$976,IF(J630=$B$977,$A$977,"Not Calculated")))))</f>
        <v>0</v>
      </c>
      <c r="K631" s="41"/>
      <c r="N631" s="12" t="s">
        <v>897</v>
      </c>
    </row>
    <row r="632" spans="2:14" x14ac:dyDescent="0.2">
      <c r="B632" s="38"/>
      <c r="C632" s="40" t="s">
        <v>893</v>
      </c>
      <c r="D632" s="40"/>
      <c r="E632" s="40"/>
      <c r="F632" s="40"/>
      <c r="G632" s="40"/>
      <c r="H632" s="40"/>
      <c r="I632" s="40"/>
      <c r="J632" s="40"/>
      <c r="K632" s="41"/>
      <c r="N632" s="12" t="s">
        <v>898</v>
      </c>
    </row>
    <row r="633" spans="2:14" ht="30" customHeight="1" x14ac:dyDescent="0.2">
      <c r="B633" s="38"/>
      <c r="C633" s="399"/>
      <c r="D633" s="400"/>
      <c r="E633" s="400"/>
      <c r="F633" s="400"/>
      <c r="G633" s="400"/>
      <c r="H633" s="400"/>
      <c r="I633" s="400"/>
      <c r="J633" s="401"/>
      <c r="K633" s="41"/>
    </row>
    <row r="634" spans="2:14" x14ac:dyDescent="0.2">
      <c r="B634" s="38"/>
      <c r="C634" s="40"/>
      <c r="D634" s="40"/>
      <c r="E634" s="40"/>
      <c r="F634" s="40"/>
      <c r="G634" s="40"/>
      <c r="H634" s="40"/>
      <c r="I634" s="40"/>
      <c r="J634" s="40"/>
      <c r="K634" s="41"/>
    </row>
    <row r="635" spans="2:14" x14ac:dyDescent="0.2">
      <c r="B635" s="38"/>
      <c r="C635" s="179" t="s">
        <v>328</v>
      </c>
      <c r="D635" s="40"/>
      <c r="E635" s="40"/>
      <c r="F635" s="40"/>
      <c r="G635" s="40"/>
      <c r="H635" s="40"/>
      <c r="I635" s="40"/>
      <c r="J635" s="245">
        <f>IF(J629="N/A",IF(OR(J622="Not Calculated",J631="Not Calculated")=TRUE,"Not Calculated",AVERAGE(J622,J631)),AVERAGE(J629,J631))</f>
        <v>0</v>
      </c>
      <c r="K635" s="41"/>
    </row>
    <row r="636" spans="2:14" x14ac:dyDescent="0.2">
      <c r="B636" s="38"/>
      <c r="C636" s="40"/>
      <c r="D636" s="40"/>
      <c r="E636" s="40"/>
      <c r="F636" s="40"/>
      <c r="G636" s="40"/>
      <c r="H636" s="40"/>
      <c r="I636" s="40"/>
      <c r="J636" s="40"/>
      <c r="K636" s="41"/>
    </row>
    <row r="637" spans="2:14" x14ac:dyDescent="0.2">
      <c r="B637" s="38"/>
      <c r="C637" s="40"/>
      <c r="D637" s="40"/>
      <c r="E637" s="40"/>
      <c r="F637" s="40"/>
      <c r="G637" s="40"/>
      <c r="H637" s="40"/>
      <c r="I637" s="40"/>
      <c r="J637" s="40"/>
      <c r="K637" s="41"/>
    </row>
    <row r="638" spans="2:14" ht="16" x14ac:dyDescent="0.2">
      <c r="B638" s="38"/>
      <c r="C638" s="45" t="s">
        <v>329</v>
      </c>
      <c r="D638" s="40"/>
      <c r="E638" s="40"/>
      <c r="F638" s="40"/>
      <c r="G638" s="40"/>
      <c r="H638" s="40"/>
      <c r="I638" s="40"/>
      <c r="J638" s="40"/>
      <c r="K638" s="41"/>
    </row>
    <row r="639" spans="2:14" ht="15" customHeight="1" x14ac:dyDescent="0.2">
      <c r="B639" s="38"/>
      <c r="C639" s="380" t="s">
        <v>339</v>
      </c>
      <c r="D639" s="380"/>
      <c r="E639" s="380"/>
      <c r="F639" s="380"/>
      <c r="G639" s="380"/>
      <c r="H639" s="380"/>
      <c r="I639" s="380"/>
      <c r="J639" s="40"/>
      <c r="K639" s="41"/>
    </row>
    <row r="640" spans="2:14" x14ac:dyDescent="0.2">
      <c r="B640" s="38"/>
      <c r="C640" s="380"/>
      <c r="D640" s="380"/>
      <c r="E640" s="380"/>
      <c r="F640" s="380"/>
      <c r="G640" s="380"/>
      <c r="H640" s="380"/>
      <c r="I640" s="380"/>
      <c r="J640" s="250">
        <f>'Baseline Health'!G145</f>
        <v>0</v>
      </c>
      <c r="K640" s="41"/>
    </row>
    <row r="641" spans="2:14" ht="15" customHeight="1" x14ac:dyDescent="0.2">
      <c r="B641" s="38"/>
      <c r="C641" s="380" t="s">
        <v>340</v>
      </c>
      <c r="D641" s="380"/>
      <c r="E641" s="380"/>
      <c r="F641" s="380"/>
      <c r="G641" s="380"/>
      <c r="H641" s="380"/>
      <c r="I641" s="380"/>
      <c r="J641" s="245"/>
      <c r="K641" s="41"/>
    </row>
    <row r="642" spans="2:14" x14ac:dyDescent="0.2">
      <c r="B642" s="38"/>
      <c r="C642" s="380"/>
      <c r="D642" s="380"/>
      <c r="E642" s="380"/>
      <c r="F642" s="380"/>
      <c r="G642" s="380"/>
      <c r="H642" s="380"/>
      <c r="I642" s="380"/>
      <c r="J642" s="245"/>
      <c r="K642" s="41"/>
    </row>
    <row r="643" spans="2:14" x14ac:dyDescent="0.2">
      <c r="B643" s="38"/>
      <c r="C643" s="380"/>
      <c r="D643" s="380"/>
      <c r="E643" s="380"/>
      <c r="F643" s="380"/>
      <c r="G643" s="380"/>
      <c r="H643" s="380"/>
      <c r="I643" s="380"/>
      <c r="J643" s="272">
        <v>12</v>
      </c>
      <c r="K643" s="41"/>
    </row>
    <row r="644" spans="2:14" x14ac:dyDescent="0.2">
      <c r="B644" s="38"/>
      <c r="C644" s="40" t="s">
        <v>260</v>
      </c>
      <c r="D644" s="40"/>
      <c r="E644" s="40"/>
      <c r="F644" s="40"/>
      <c r="G644" s="40"/>
      <c r="H644" s="40"/>
      <c r="I644" s="40"/>
      <c r="J644" s="248" t="str">
        <f>IF(OR(J640=0,J640="Not Calculated")=TRUE,"Not Calculated",IF(((J640+J643)/J640)&lt;=1,0,IF(((J640+J643)/J640)&lt;=1.05,1,IF(((J640+J643)/J640)&lt;=1.5, 2,IF(((J640+J643)/J640)&lt;=2,3,4)))))</f>
        <v>Not Calculated</v>
      </c>
      <c r="K644" s="41"/>
    </row>
    <row r="645" spans="2:14" ht="9.75" customHeight="1" x14ac:dyDescent="0.2">
      <c r="B645" s="38"/>
      <c r="C645" s="279" t="str">
        <f>"0:"</f>
        <v>0:</v>
      </c>
      <c r="D645" s="281" t="s">
        <v>918</v>
      </c>
      <c r="E645" s="291"/>
      <c r="F645" s="291"/>
      <c r="G645" s="291"/>
      <c r="H645" s="291"/>
      <c r="I645" s="291"/>
      <c r="J645" s="250"/>
      <c r="K645" s="41"/>
    </row>
    <row r="646" spans="2:14" ht="9.75" customHeight="1" x14ac:dyDescent="0.2">
      <c r="B646" s="38"/>
      <c r="C646" s="280" t="str">
        <f>"1:"</f>
        <v>1:</v>
      </c>
      <c r="D646" s="281" t="s">
        <v>919</v>
      </c>
      <c r="E646" s="291"/>
      <c r="F646" s="291"/>
      <c r="G646" s="291"/>
      <c r="H646" s="291"/>
      <c r="I646" s="291"/>
      <c r="J646" s="250"/>
      <c r="K646" s="41"/>
    </row>
    <row r="647" spans="2:14" ht="9.75" customHeight="1" x14ac:dyDescent="0.2">
      <c r="B647" s="38"/>
      <c r="C647" s="280" t="str">
        <f>"2:"</f>
        <v>2:</v>
      </c>
      <c r="D647" s="281" t="s">
        <v>920</v>
      </c>
      <c r="E647" s="291"/>
      <c r="F647" s="291"/>
      <c r="G647" s="291"/>
      <c r="H647" s="291"/>
      <c r="I647" s="291"/>
      <c r="J647" s="250"/>
      <c r="K647" s="41"/>
    </row>
    <row r="648" spans="2:14" ht="9.75" customHeight="1" x14ac:dyDescent="0.2">
      <c r="B648" s="38"/>
      <c r="C648" s="280" t="str">
        <f>"3:"</f>
        <v>3:</v>
      </c>
      <c r="D648" s="281" t="s">
        <v>921</v>
      </c>
      <c r="E648" s="291"/>
      <c r="F648" s="291"/>
      <c r="G648" s="291"/>
      <c r="H648" s="291"/>
      <c r="I648" s="291"/>
      <c r="J648" s="250"/>
      <c r="K648" s="41"/>
    </row>
    <row r="649" spans="2:14" ht="9.75" customHeight="1" x14ac:dyDescent="0.2">
      <c r="B649" s="38"/>
      <c r="C649" s="280" t="str">
        <f>"4:"</f>
        <v>4:</v>
      </c>
      <c r="D649" s="281" t="s">
        <v>922</v>
      </c>
      <c r="E649" s="40"/>
      <c r="F649" s="40"/>
      <c r="G649" s="40"/>
      <c r="H649" s="40"/>
      <c r="I649" s="40"/>
      <c r="J649" s="40"/>
      <c r="K649" s="41"/>
      <c r="N649" s="12" t="s">
        <v>661</v>
      </c>
    </row>
    <row r="650" spans="2:14" x14ac:dyDescent="0.2">
      <c r="B650" s="38"/>
      <c r="C650" s="174" t="s">
        <v>662</v>
      </c>
      <c r="D650" s="40"/>
      <c r="E650" s="40"/>
      <c r="F650" s="40"/>
      <c r="G650" s="40"/>
      <c r="H650" s="40"/>
      <c r="I650" s="40"/>
      <c r="J650" s="265" t="s">
        <v>661</v>
      </c>
      <c r="K650" s="41"/>
      <c r="N650" s="12" t="s">
        <v>894</v>
      </c>
    </row>
    <row r="651" spans="2:14" x14ac:dyDescent="0.2">
      <c r="B651" s="38"/>
      <c r="C651" s="174" t="s">
        <v>660</v>
      </c>
      <c r="D651" s="40"/>
      <c r="E651" s="40"/>
      <c r="F651" s="40"/>
      <c r="G651" s="40"/>
      <c r="H651" s="40"/>
      <c r="I651" s="40"/>
      <c r="J651" s="247" t="str">
        <f>IF(J650=N649,"N/A",IF(J650=N650,0,IF(J650=N651,1,IF(J650=N652,2,IF(J650=N653,3,IF(J650=N654,4,"N/A"))))))</f>
        <v>N/A</v>
      </c>
      <c r="K651" s="41"/>
      <c r="N651" s="12" t="s">
        <v>895</v>
      </c>
    </row>
    <row r="652" spans="2:14" ht="15" customHeight="1" x14ac:dyDescent="0.2">
      <c r="B652" s="38"/>
      <c r="C652" s="40" t="s">
        <v>257</v>
      </c>
      <c r="D652" s="40"/>
      <c r="E652" s="40"/>
      <c r="F652" s="40"/>
      <c r="G652" s="40"/>
      <c r="H652" s="40"/>
      <c r="I652" s="40"/>
      <c r="J652" s="266" t="s">
        <v>873</v>
      </c>
      <c r="K652" s="41"/>
      <c r="N652" s="12" t="s">
        <v>896</v>
      </c>
    </row>
    <row r="653" spans="2:14" x14ac:dyDescent="0.2">
      <c r="B653" s="38"/>
      <c r="C653" s="40" t="s">
        <v>261</v>
      </c>
      <c r="D653" s="40"/>
      <c r="E653" s="40"/>
      <c r="F653" s="40"/>
      <c r="G653" s="40"/>
      <c r="H653" s="40"/>
      <c r="I653" s="40"/>
      <c r="J653" s="248">
        <f>IF(J652=$B$973,$A$973,IF(J652=$B$974,$A$974,IF(J652=$B$975,$A$975,IF(J652=$B$976,$A$976,IF(J652=$B$977,$A$977,"Not Calculated")))))</f>
        <v>3</v>
      </c>
      <c r="K653" s="41"/>
      <c r="N653" s="12" t="s">
        <v>897</v>
      </c>
    </row>
    <row r="654" spans="2:14" x14ac:dyDescent="0.2">
      <c r="B654" s="38"/>
      <c r="C654" s="40" t="s">
        <v>893</v>
      </c>
      <c r="D654" s="40"/>
      <c r="E654" s="40"/>
      <c r="F654" s="40"/>
      <c r="G654" s="40"/>
      <c r="H654" s="40"/>
      <c r="I654" s="40"/>
      <c r="J654" s="40"/>
      <c r="K654" s="41"/>
      <c r="N654" s="12" t="s">
        <v>898</v>
      </c>
    </row>
    <row r="655" spans="2:14" ht="45" customHeight="1" x14ac:dyDescent="0.2">
      <c r="B655" s="38"/>
      <c r="C655" s="399" t="s">
        <v>471</v>
      </c>
      <c r="D655" s="400"/>
      <c r="E655" s="400"/>
      <c r="F655" s="400"/>
      <c r="G655" s="400"/>
      <c r="H655" s="400"/>
      <c r="I655" s="400"/>
      <c r="J655" s="401"/>
      <c r="K655" s="41"/>
    </row>
    <row r="656" spans="2:14" x14ac:dyDescent="0.2">
      <c r="B656" s="38"/>
      <c r="C656" s="40"/>
      <c r="D656" s="40"/>
      <c r="E656" s="40"/>
      <c r="F656" s="40"/>
      <c r="G656" s="40"/>
      <c r="H656" s="40"/>
      <c r="I656" s="40"/>
      <c r="J656" s="40"/>
      <c r="K656" s="41"/>
    </row>
    <row r="657" spans="2:14" x14ac:dyDescent="0.2">
      <c r="B657" s="38"/>
      <c r="C657" s="179" t="s">
        <v>330</v>
      </c>
      <c r="D657" s="40"/>
      <c r="E657" s="40"/>
      <c r="F657" s="40"/>
      <c r="G657" s="40"/>
      <c r="H657" s="40"/>
      <c r="I657" s="40"/>
      <c r="J657" s="245" t="str">
        <f>IF(J651="N/A",IF(OR(J644="Not Calculated",J653="Not Calculated")=TRUE,"Not Calculated",AVERAGE(J644,J653)),AVERAGE(J651,J653))</f>
        <v>Not Calculated</v>
      </c>
      <c r="K657" s="41"/>
    </row>
    <row r="658" spans="2:14" x14ac:dyDescent="0.2">
      <c r="B658" s="38"/>
      <c r="C658" s="40"/>
      <c r="D658" s="40"/>
      <c r="E658" s="40"/>
      <c r="F658" s="40"/>
      <c r="G658" s="40"/>
      <c r="H658" s="40"/>
      <c r="I658" s="40"/>
      <c r="J658" s="40"/>
      <c r="K658" s="41"/>
    </row>
    <row r="659" spans="2:14" x14ac:dyDescent="0.2">
      <c r="B659" s="38"/>
      <c r="C659" s="40"/>
      <c r="D659" s="40"/>
      <c r="E659" s="40"/>
      <c r="F659" s="40"/>
      <c r="G659" s="40"/>
      <c r="H659" s="40"/>
      <c r="I659" s="40"/>
      <c r="J659" s="40"/>
      <c r="K659" s="41"/>
    </row>
    <row r="660" spans="2:14" ht="16" x14ac:dyDescent="0.2">
      <c r="B660" s="38"/>
      <c r="C660" s="45" t="s">
        <v>97</v>
      </c>
      <c r="D660" s="40"/>
      <c r="E660" s="40"/>
      <c r="F660" s="40"/>
      <c r="G660" s="40"/>
      <c r="H660" s="40"/>
      <c r="I660" s="40"/>
      <c r="J660" s="40"/>
      <c r="K660" s="41"/>
    </row>
    <row r="661" spans="2:14" x14ac:dyDescent="0.2">
      <c r="B661" s="38"/>
      <c r="C661" s="40" t="s">
        <v>449</v>
      </c>
      <c r="D661" s="40"/>
      <c r="E661" s="40"/>
      <c r="F661" s="40"/>
      <c r="G661" s="40"/>
      <c r="H661" s="40"/>
      <c r="I661" s="40"/>
      <c r="J661" s="249">
        <f>'Baseline Health'!G150</f>
        <v>0</v>
      </c>
      <c r="K661" s="41"/>
    </row>
    <row r="662" spans="2:14" x14ac:dyDescent="0.2">
      <c r="B662" s="38"/>
      <c r="C662" s="40" t="s">
        <v>341</v>
      </c>
      <c r="D662" s="40"/>
      <c r="E662" s="40"/>
      <c r="F662" s="40"/>
      <c r="G662" s="40"/>
      <c r="H662" s="40"/>
      <c r="I662" s="40"/>
      <c r="J662" s="273">
        <v>0</v>
      </c>
      <c r="K662" s="41"/>
    </row>
    <row r="663" spans="2:14" x14ac:dyDescent="0.2">
      <c r="B663" s="38"/>
      <c r="C663" s="40" t="s">
        <v>450</v>
      </c>
      <c r="D663" s="40"/>
      <c r="E663" s="40"/>
      <c r="F663" s="40"/>
      <c r="G663" s="40"/>
      <c r="H663" s="40"/>
      <c r="I663" s="40"/>
      <c r="J663" s="243">
        <f>J26</f>
        <v>0</v>
      </c>
      <c r="K663" s="41"/>
    </row>
    <row r="664" spans="2:14" ht="15" customHeight="1" x14ac:dyDescent="0.2">
      <c r="B664" s="38"/>
      <c r="C664" s="291"/>
      <c r="D664" s="380" t="s">
        <v>342</v>
      </c>
      <c r="E664" s="380"/>
      <c r="F664" s="380"/>
      <c r="G664" s="380"/>
      <c r="H664" s="380"/>
      <c r="I664" s="380"/>
      <c r="J664" s="245"/>
      <c r="K664" s="41"/>
    </row>
    <row r="665" spans="2:14" x14ac:dyDescent="0.2">
      <c r="B665" s="38"/>
      <c r="C665" s="291"/>
      <c r="D665" s="380"/>
      <c r="E665" s="380"/>
      <c r="F665" s="380"/>
      <c r="G665" s="380"/>
      <c r="H665" s="380"/>
      <c r="I665" s="380"/>
      <c r="J665" s="245"/>
      <c r="K665" s="41"/>
    </row>
    <row r="666" spans="2:14" x14ac:dyDescent="0.2">
      <c r="B666" s="38"/>
      <c r="C666" s="40" t="s">
        <v>260</v>
      </c>
      <c r="D666" s="40"/>
      <c r="E666" s="40"/>
      <c r="F666" s="40"/>
      <c r="G666" s="40"/>
      <c r="H666" s="40"/>
      <c r="I666" s="40"/>
      <c r="J666" s="245" t="str">
        <f>IF(OR(J661=0,J661="Not Calculated")=TRUE,"Not Calculated",IF(((J661+J663)/(J661-J662))&lt;=1,0,IF(((J661+J663)/(J661-J662))&lt;=1.1,1,IF(((J661+J663)/(J661-J662))&lt;=1.5, 2,IF(((J661+J663)/(J661-J662))&lt;=2,3,4)))))</f>
        <v>Not Calculated</v>
      </c>
      <c r="K666" s="41"/>
    </row>
    <row r="667" spans="2:14" ht="9.75" customHeight="1" x14ac:dyDescent="0.2">
      <c r="B667" s="38"/>
      <c r="C667" s="279" t="str">
        <f>"0:"</f>
        <v>0:</v>
      </c>
      <c r="D667" s="278" t="s">
        <v>918</v>
      </c>
      <c r="E667" s="291"/>
      <c r="F667" s="291"/>
      <c r="G667" s="291"/>
      <c r="H667" s="291"/>
      <c r="I667" s="291"/>
      <c r="J667" s="245"/>
      <c r="K667" s="41"/>
    </row>
    <row r="668" spans="2:14" ht="9.75" customHeight="1" x14ac:dyDescent="0.2">
      <c r="B668" s="38"/>
      <c r="C668" s="280" t="str">
        <f>"1:"</f>
        <v>1:</v>
      </c>
      <c r="D668" s="278" t="s">
        <v>923</v>
      </c>
      <c r="E668" s="291"/>
      <c r="F668" s="291"/>
      <c r="G668" s="291"/>
      <c r="H668" s="291"/>
      <c r="I668" s="291"/>
      <c r="J668" s="245"/>
      <c r="K668" s="41"/>
    </row>
    <row r="669" spans="2:14" ht="9.75" customHeight="1" x14ac:dyDescent="0.2">
      <c r="B669" s="38"/>
      <c r="C669" s="280" t="str">
        <f>"2:"</f>
        <v>2:</v>
      </c>
      <c r="D669" s="278" t="s">
        <v>924</v>
      </c>
      <c r="E669" s="291"/>
      <c r="F669" s="291"/>
      <c r="G669" s="291"/>
      <c r="H669" s="291"/>
      <c r="I669" s="291"/>
      <c r="J669" s="245"/>
      <c r="K669" s="41"/>
    </row>
    <row r="670" spans="2:14" ht="9.75" customHeight="1" x14ac:dyDescent="0.2">
      <c r="B670" s="38"/>
      <c r="C670" s="280" t="str">
        <f>"3:"</f>
        <v>3:</v>
      </c>
      <c r="D670" s="278" t="s">
        <v>925</v>
      </c>
      <c r="E670" s="291"/>
      <c r="F670" s="291"/>
      <c r="G670" s="291"/>
      <c r="H670" s="291"/>
      <c r="I670" s="291"/>
      <c r="J670" s="245"/>
      <c r="K670" s="41"/>
    </row>
    <row r="671" spans="2:14" ht="9.75" customHeight="1" x14ac:dyDescent="0.2">
      <c r="B671" s="38"/>
      <c r="C671" s="280" t="str">
        <f>"4:"</f>
        <v>4:</v>
      </c>
      <c r="D671" s="278" t="s">
        <v>926</v>
      </c>
      <c r="E671" s="40"/>
      <c r="F671" s="40"/>
      <c r="G671" s="40"/>
      <c r="H671" s="40"/>
      <c r="I671" s="40"/>
      <c r="J671" s="40"/>
      <c r="K671" s="41"/>
      <c r="N671" s="12" t="s">
        <v>661</v>
      </c>
    </row>
    <row r="672" spans="2:14" ht="15" customHeight="1" x14ac:dyDescent="0.2">
      <c r="B672" s="38"/>
      <c r="C672" s="174" t="s">
        <v>662</v>
      </c>
      <c r="D672" s="40"/>
      <c r="E672" s="40"/>
      <c r="F672" s="40"/>
      <c r="G672" s="40"/>
      <c r="H672" s="40"/>
      <c r="I672" s="40"/>
      <c r="J672" s="265" t="s">
        <v>661</v>
      </c>
      <c r="K672" s="41"/>
      <c r="N672" s="12" t="s">
        <v>894</v>
      </c>
    </row>
    <row r="673" spans="2:14" ht="15" customHeight="1" x14ac:dyDescent="0.2">
      <c r="B673" s="38"/>
      <c r="C673" s="174" t="s">
        <v>660</v>
      </c>
      <c r="D673" s="40"/>
      <c r="E673" s="40"/>
      <c r="F673" s="40"/>
      <c r="G673" s="40"/>
      <c r="H673" s="40"/>
      <c r="I673" s="40"/>
      <c r="J673" s="246" t="str">
        <f>IF(J672=N671,"N/A",IF(J672=N672,0,IF(J672=N673,1,IF(J672=N674,2,IF(J672=N675,3,IF(J672=N676,4,"N/A"))))))</f>
        <v>N/A</v>
      </c>
      <c r="K673" s="41"/>
      <c r="N673" s="12" t="s">
        <v>908</v>
      </c>
    </row>
    <row r="674" spans="2:14" ht="15" customHeight="1" x14ac:dyDescent="0.2">
      <c r="B674" s="38"/>
      <c r="C674" s="40" t="s">
        <v>257</v>
      </c>
      <c r="D674" s="40"/>
      <c r="E674" s="40"/>
      <c r="F674" s="40"/>
      <c r="G674" s="40"/>
      <c r="H674" s="40"/>
      <c r="I674" s="40"/>
      <c r="J674" s="266" t="s">
        <v>882</v>
      </c>
      <c r="K674" s="41"/>
      <c r="N674" s="12" t="s">
        <v>900</v>
      </c>
    </row>
    <row r="675" spans="2:14" x14ac:dyDescent="0.2">
      <c r="B675" s="38"/>
      <c r="C675" s="40" t="s">
        <v>261</v>
      </c>
      <c r="D675" s="40"/>
      <c r="E675" s="40"/>
      <c r="F675" s="40"/>
      <c r="G675" s="40"/>
      <c r="H675" s="40"/>
      <c r="I675" s="40"/>
      <c r="J675" s="248">
        <f>IF(J674=$B$973,$A$973,IF(J674=$B$974,$A$974,IF(J674=$B$975,$A$975,IF(J674=$B$976,$A$976,IF(J674=$B$977,$A$977,"Not Calculated")))))</f>
        <v>1</v>
      </c>
      <c r="K675" s="41"/>
      <c r="N675" s="12" t="s">
        <v>901</v>
      </c>
    </row>
    <row r="676" spans="2:14" ht="15" customHeight="1" x14ac:dyDescent="0.2">
      <c r="B676" s="38"/>
      <c r="C676" s="40" t="s">
        <v>893</v>
      </c>
      <c r="D676" s="40"/>
      <c r="E676" s="40"/>
      <c r="F676" s="40"/>
      <c r="G676" s="40"/>
      <c r="H676" s="40"/>
      <c r="I676" s="40"/>
      <c r="J676" s="40"/>
      <c r="K676" s="41"/>
      <c r="N676" s="12" t="s">
        <v>909</v>
      </c>
    </row>
    <row r="677" spans="2:14" ht="30" customHeight="1" x14ac:dyDescent="0.2">
      <c r="B677" s="38"/>
      <c r="C677" s="399"/>
      <c r="D677" s="400"/>
      <c r="E677" s="400"/>
      <c r="F677" s="400"/>
      <c r="G677" s="400"/>
      <c r="H677" s="400"/>
      <c r="I677" s="400"/>
      <c r="J677" s="401"/>
      <c r="K677" s="41"/>
    </row>
    <row r="678" spans="2:14" x14ac:dyDescent="0.2">
      <c r="B678" s="38"/>
      <c r="C678" s="40"/>
      <c r="D678" s="40"/>
      <c r="E678" s="40"/>
      <c r="F678" s="40"/>
      <c r="G678" s="40"/>
      <c r="H678" s="40"/>
      <c r="I678" s="40"/>
      <c r="J678" s="40"/>
      <c r="K678" s="41"/>
    </row>
    <row r="679" spans="2:14" x14ac:dyDescent="0.2">
      <c r="B679" s="38"/>
      <c r="C679" s="179" t="s">
        <v>331</v>
      </c>
      <c r="D679" s="40"/>
      <c r="E679" s="40"/>
      <c r="F679" s="40"/>
      <c r="G679" s="40"/>
      <c r="H679" s="40"/>
      <c r="I679" s="40"/>
      <c r="J679" s="245" t="str">
        <f>IF(J673="N/A",IF(OR(J666="Not Calculated",J675="Not Calculated")=TRUE,"Not Calculated",AVERAGE(J666,J675)),AVERAGE(J673,J675))</f>
        <v>Not Calculated</v>
      </c>
      <c r="K679" s="41"/>
    </row>
    <row r="680" spans="2:14" x14ac:dyDescent="0.2">
      <c r="B680" s="38"/>
      <c r="C680" s="40"/>
      <c r="D680" s="40"/>
      <c r="E680" s="40"/>
      <c r="F680" s="40"/>
      <c r="G680" s="40"/>
      <c r="H680" s="40"/>
      <c r="I680" s="40"/>
      <c r="J680" s="40"/>
      <c r="K680" s="41"/>
    </row>
    <row r="681" spans="2:14" ht="18" x14ac:dyDescent="0.2">
      <c r="B681" s="38"/>
      <c r="C681" s="180" t="s">
        <v>332</v>
      </c>
      <c r="D681" s="40"/>
      <c r="E681" s="40"/>
      <c r="F681" s="40"/>
      <c r="G681" s="40"/>
      <c r="H681" s="40"/>
      <c r="I681" s="40"/>
      <c r="J681" s="244" t="str">
        <f>IF(OR(J562="Not Calculated",J585="Not Calculated",J601="Not Calculated",J615="Not Calculated",J635="Not Calculated",J657="Not Calculated",J679="Not Calculated")=TRUE,"Not Calculated",AVERAGE(J562,J585,J601,J615,J635,J657,J679))</f>
        <v>Not Calculated</v>
      </c>
      <c r="K681" s="41"/>
    </row>
    <row r="682" spans="2:14" ht="16" thickBot="1" x14ac:dyDescent="0.25">
      <c r="B682" s="46"/>
      <c r="C682" s="47"/>
      <c r="D682" s="47"/>
      <c r="E682" s="47"/>
      <c r="F682" s="47"/>
      <c r="G682" s="47"/>
      <c r="H682" s="47"/>
      <c r="I682" s="47"/>
      <c r="J682" s="47"/>
      <c r="K682" s="49"/>
    </row>
    <row r="683" spans="2:14" ht="16" thickBot="1" x14ac:dyDescent="0.25"/>
    <row r="684" spans="2:14" x14ac:dyDescent="0.2">
      <c r="B684" s="33"/>
      <c r="C684" s="34"/>
      <c r="D684" s="34"/>
      <c r="E684" s="34"/>
      <c r="F684" s="34"/>
      <c r="G684" s="34"/>
      <c r="H684" s="34"/>
      <c r="I684" s="34"/>
      <c r="J684" s="34"/>
      <c r="K684" s="37"/>
    </row>
    <row r="685" spans="2:14" ht="21" x14ac:dyDescent="0.25">
      <c r="B685" s="38"/>
      <c r="C685" s="40"/>
      <c r="D685" s="40"/>
      <c r="E685" s="40"/>
      <c r="F685" s="40"/>
      <c r="G685" s="172" t="s">
        <v>346</v>
      </c>
      <c r="H685" s="40"/>
      <c r="I685" s="40"/>
      <c r="J685" s="40"/>
      <c r="K685" s="41"/>
    </row>
    <row r="686" spans="2:14" x14ac:dyDescent="0.2">
      <c r="B686" s="38"/>
      <c r="C686" s="40"/>
      <c r="D686" s="40"/>
      <c r="E686" s="40"/>
      <c r="F686" s="40"/>
      <c r="G686" s="40"/>
      <c r="H686" s="40"/>
      <c r="I686" s="40"/>
      <c r="J686" s="40"/>
      <c r="K686" s="41"/>
    </row>
    <row r="687" spans="2:14" ht="16" x14ac:dyDescent="0.2">
      <c r="B687" s="38"/>
      <c r="C687" s="182" t="s">
        <v>986</v>
      </c>
      <c r="D687" s="40"/>
      <c r="E687" s="40"/>
      <c r="F687" s="40"/>
      <c r="G687" s="40"/>
      <c r="H687" s="40"/>
      <c r="I687" s="40"/>
      <c r="J687" s="257" t="str">
        <f>IF(OR($J$133="Not Calculated",$J$261="Not Calculated",$J$421="Not Calculated",$J$539="Not Calculated",$J$681="Not Calculated")=TRUE,"Not Calculated",AVERAGE($J$133,$J$261,$J$421,$J$539,$J$681))</f>
        <v>Not Calculated</v>
      </c>
      <c r="K687" s="41"/>
    </row>
    <row r="688" spans="2:14" x14ac:dyDescent="0.2">
      <c r="B688" s="38"/>
      <c r="C688" s="40"/>
      <c r="D688" s="40" t="s">
        <v>343</v>
      </c>
      <c r="E688" s="40"/>
      <c r="F688" s="40"/>
      <c r="G688" s="40"/>
      <c r="H688" s="40"/>
      <c r="I688" s="40"/>
      <c r="J688" s="40"/>
      <c r="K688" s="41"/>
    </row>
    <row r="689" spans="2:11" ht="15" customHeight="1" x14ac:dyDescent="0.2">
      <c r="B689" s="38"/>
      <c r="C689" s="40"/>
      <c r="D689" s="40"/>
      <c r="E689" s="40"/>
      <c r="F689" s="40"/>
      <c r="G689" s="40"/>
      <c r="H689" s="40"/>
      <c r="I689" s="40"/>
      <c r="J689" s="40"/>
      <c r="K689" s="41"/>
    </row>
    <row r="690" spans="2:11" ht="16" x14ac:dyDescent="0.2">
      <c r="B690" s="38"/>
      <c r="C690" s="182" t="s">
        <v>987</v>
      </c>
      <c r="D690" s="40"/>
      <c r="E690" s="40"/>
      <c r="F690" s="40"/>
      <c r="G690" s="40"/>
      <c r="H690" s="40"/>
      <c r="I690" s="40"/>
      <c r="J690" s="257" t="str">
        <f>IF(OR($J$133="Not Calculated",$J$261="Not Calculated",$J$539="Not Calculated",$J$681="Not Calculated")=TRUE,"Not Calculated",AVERAGE($J$133,$J$261,$J$539,$J$681))</f>
        <v>Not Calculated</v>
      </c>
      <c r="K690" s="41"/>
    </row>
    <row r="691" spans="2:11" ht="15" customHeight="1" x14ac:dyDescent="0.2">
      <c r="B691" s="38"/>
      <c r="C691" s="40"/>
      <c r="D691" s="40" t="s">
        <v>344</v>
      </c>
      <c r="E691" s="40"/>
      <c r="F691" s="40"/>
      <c r="G691" s="40"/>
      <c r="H691" s="40"/>
      <c r="I691" s="40"/>
      <c r="J691" s="40"/>
      <c r="K691" s="41"/>
    </row>
    <row r="692" spans="2:11" x14ac:dyDescent="0.2">
      <c r="B692" s="38"/>
      <c r="C692" s="40"/>
      <c r="D692" s="40"/>
      <c r="E692" s="40"/>
      <c r="F692" s="40"/>
      <c r="G692" s="40"/>
      <c r="H692" s="40"/>
      <c r="I692" s="40"/>
      <c r="J692" s="40"/>
      <c r="K692" s="41"/>
    </row>
    <row r="693" spans="2:11" ht="16" x14ac:dyDescent="0.2">
      <c r="B693" s="38"/>
      <c r="C693" s="182" t="s">
        <v>988</v>
      </c>
      <c r="D693" s="40"/>
      <c r="E693" s="40"/>
      <c r="F693" s="40"/>
      <c r="G693" s="40"/>
      <c r="H693" s="40"/>
      <c r="I693" s="40"/>
      <c r="J693" s="257" t="str">
        <f>IF(OR($J$133="Not Calculated",$J$261="Not Calculated",$J$421="Not Calculated")=TRUE,"Not Calculated",AVERAGE($J$133,$J$261,$J$421))</f>
        <v>Not Calculated</v>
      </c>
      <c r="K693" s="41"/>
    </row>
    <row r="694" spans="2:11" x14ac:dyDescent="0.2">
      <c r="B694" s="38"/>
      <c r="C694" s="40"/>
      <c r="D694" s="40" t="s">
        <v>345</v>
      </c>
      <c r="E694" s="40"/>
      <c r="F694" s="40"/>
      <c r="G694" s="40"/>
      <c r="H694" s="40"/>
      <c r="I694" s="40"/>
      <c r="J694" s="40"/>
      <c r="K694" s="41"/>
    </row>
    <row r="695" spans="2:11" ht="16" thickBot="1" x14ac:dyDescent="0.25">
      <c r="B695" s="46"/>
      <c r="C695" s="47"/>
      <c r="D695" s="47"/>
      <c r="E695" s="47"/>
      <c r="F695" s="47"/>
      <c r="G695" s="47"/>
      <c r="H695" s="47"/>
      <c r="I695" s="47"/>
      <c r="J695" s="47"/>
      <c r="K695" s="49"/>
    </row>
    <row r="696" spans="2:11" ht="16" thickBot="1" x14ac:dyDescent="0.25"/>
    <row r="697" spans="2:11" x14ac:dyDescent="0.2">
      <c r="B697" s="183"/>
      <c r="C697" s="184"/>
      <c r="D697" s="184"/>
      <c r="E697" s="184"/>
      <c r="F697" s="184"/>
      <c r="G697" s="184"/>
      <c r="H697" s="184"/>
      <c r="I697" s="184"/>
      <c r="J697" s="184"/>
      <c r="K697" s="185"/>
    </row>
    <row r="698" spans="2:11" ht="21" x14ac:dyDescent="0.25">
      <c r="B698" s="186"/>
      <c r="C698" s="187"/>
      <c r="D698" s="187"/>
      <c r="E698" s="187"/>
      <c r="F698" s="187"/>
      <c r="G698" s="188" t="s">
        <v>231</v>
      </c>
      <c r="H698" s="187"/>
      <c r="I698" s="187"/>
      <c r="J698" s="187"/>
      <c r="K698" s="189"/>
    </row>
    <row r="699" spans="2:11" x14ac:dyDescent="0.2">
      <c r="B699" s="186"/>
      <c r="C699" s="187"/>
      <c r="D699" s="187"/>
      <c r="E699" s="187"/>
      <c r="F699" s="187"/>
      <c r="G699" s="187"/>
      <c r="H699" s="187"/>
      <c r="I699" s="187"/>
      <c r="J699" s="187"/>
      <c r="K699" s="189"/>
    </row>
    <row r="700" spans="2:11" ht="16" x14ac:dyDescent="0.2">
      <c r="B700" s="186"/>
      <c r="C700" s="190" t="s">
        <v>989</v>
      </c>
      <c r="D700" s="187"/>
      <c r="E700" s="187"/>
      <c r="F700" s="187"/>
      <c r="G700" s="187"/>
      <c r="H700" s="187"/>
      <c r="I700" s="187"/>
      <c r="J700" s="256" t="str">
        <f>IF(OR(J687="Not Calculated",$E$17="Not Calculated")=TRUE,"Not Calculated",(J687*$E$17*100/16))</f>
        <v>Not Calculated</v>
      </c>
      <c r="K700" s="189"/>
    </row>
    <row r="701" spans="2:11" x14ac:dyDescent="0.2">
      <c r="B701" s="186"/>
      <c r="C701" s="187"/>
      <c r="D701" s="187" t="s">
        <v>377</v>
      </c>
      <c r="E701" s="187"/>
      <c r="F701" s="187"/>
      <c r="G701" s="187"/>
      <c r="H701" s="187"/>
      <c r="I701" s="187"/>
      <c r="J701" s="187"/>
      <c r="K701" s="189"/>
    </row>
    <row r="702" spans="2:11" x14ac:dyDescent="0.2">
      <c r="B702" s="186"/>
      <c r="C702" s="187"/>
      <c r="D702" s="187"/>
      <c r="E702" s="187"/>
      <c r="F702" s="187"/>
      <c r="G702" s="187"/>
      <c r="H702" s="187"/>
      <c r="I702" s="187"/>
      <c r="J702" s="187"/>
      <c r="K702" s="189"/>
    </row>
    <row r="703" spans="2:11" ht="16" x14ac:dyDescent="0.2">
      <c r="B703" s="186"/>
      <c r="C703" s="190" t="s">
        <v>990</v>
      </c>
      <c r="D703" s="187"/>
      <c r="E703" s="187"/>
      <c r="F703" s="187"/>
      <c r="G703" s="187"/>
      <c r="H703" s="187"/>
      <c r="I703" s="187"/>
      <c r="J703" s="256" t="str">
        <f>IF(OR(J690="Not Calculated",$E$17="Not Calculated")=TRUE,"Not Calculated",(J690*$E$17*100/16))</f>
        <v>Not Calculated</v>
      </c>
      <c r="K703" s="189"/>
    </row>
    <row r="704" spans="2:11" x14ac:dyDescent="0.2">
      <c r="B704" s="186"/>
      <c r="C704" s="187"/>
      <c r="D704" s="187" t="s">
        <v>378</v>
      </c>
      <c r="E704" s="187"/>
      <c r="F704" s="187"/>
      <c r="G704" s="187"/>
      <c r="H704" s="187"/>
      <c r="I704" s="187"/>
      <c r="J704" s="187"/>
      <c r="K704" s="189"/>
    </row>
    <row r="705" spans="2:11" x14ac:dyDescent="0.2">
      <c r="B705" s="186"/>
      <c r="C705" s="187"/>
      <c r="D705" s="187"/>
      <c r="E705" s="187"/>
      <c r="F705" s="187"/>
      <c r="G705" s="187"/>
      <c r="H705" s="187"/>
      <c r="I705" s="187"/>
      <c r="J705" s="187"/>
      <c r="K705" s="189"/>
    </row>
    <row r="706" spans="2:11" ht="16" x14ac:dyDescent="0.2">
      <c r="B706" s="186"/>
      <c r="C706" s="190" t="s">
        <v>991</v>
      </c>
      <c r="D706" s="187"/>
      <c r="E706" s="187"/>
      <c r="F706" s="187"/>
      <c r="G706" s="187"/>
      <c r="H706" s="187"/>
      <c r="I706" s="187"/>
      <c r="J706" s="256" t="str">
        <f>IF(OR(J693="Not Calculated",$E$17="Not Calculated")=TRUE,"Not Calculated",(J693*$E$17*100/16))</f>
        <v>Not Calculated</v>
      </c>
      <c r="K706" s="189"/>
    </row>
    <row r="707" spans="2:11" x14ac:dyDescent="0.2">
      <c r="B707" s="186"/>
      <c r="C707" s="187"/>
      <c r="D707" s="187" t="s">
        <v>379</v>
      </c>
      <c r="E707" s="187"/>
      <c r="F707" s="187"/>
      <c r="G707" s="187"/>
      <c r="H707" s="187"/>
      <c r="I707" s="187"/>
      <c r="J707" s="187"/>
      <c r="K707" s="189"/>
    </row>
    <row r="708" spans="2:11" ht="16" thickBot="1" x14ac:dyDescent="0.25">
      <c r="B708" s="191"/>
      <c r="C708" s="192"/>
      <c r="D708" s="192"/>
      <c r="E708" s="192"/>
      <c r="F708" s="192"/>
      <c r="G708" s="192"/>
      <c r="H708" s="192"/>
      <c r="I708" s="192"/>
      <c r="J708" s="192"/>
      <c r="K708" s="193"/>
    </row>
    <row r="709" spans="2:11" ht="16" thickBot="1" x14ac:dyDescent="0.25"/>
    <row r="710" spans="2:11" x14ac:dyDescent="0.2">
      <c r="B710" s="53"/>
      <c r="C710" s="54"/>
      <c r="D710" s="54"/>
      <c r="E710" s="54"/>
      <c r="F710" s="54"/>
      <c r="G710" s="54"/>
      <c r="H710" s="54"/>
      <c r="I710" s="54"/>
      <c r="J710" s="54"/>
      <c r="K710" s="56"/>
    </row>
    <row r="711" spans="2:11" ht="21" x14ac:dyDescent="0.25">
      <c r="B711" s="57"/>
      <c r="C711" s="59"/>
      <c r="D711" s="59"/>
      <c r="E711" s="59"/>
      <c r="F711" s="59"/>
      <c r="G711" s="194" t="s">
        <v>232</v>
      </c>
      <c r="H711" s="59"/>
      <c r="I711" s="59"/>
      <c r="J711" s="59"/>
      <c r="K711" s="61"/>
    </row>
    <row r="712" spans="2:11" x14ac:dyDescent="0.2">
      <c r="B712" s="57"/>
      <c r="C712" s="59"/>
      <c r="D712" s="59"/>
      <c r="E712" s="59"/>
      <c r="F712" s="59"/>
      <c r="G712" s="59"/>
      <c r="H712" s="59"/>
      <c r="I712" s="59"/>
      <c r="J712" s="59"/>
      <c r="K712" s="61"/>
    </row>
    <row r="713" spans="2:11" ht="16" x14ac:dyDescent="0.2">
      <c r="B713" s="57"/>
      <c r="C713" s="195" t="s">
        <v>363</v>
      </c>
      <c r="D713" s="59"/>
      <c r="E713" s="59"/>
      <c r="F713" s="59"/>
      <c r="G713" s="59"/>
      <c r="H713" s="59"/>
      <c r="I713" s="59"/>
      <c r="J713" s="59"/>
      <c r="K713" s="61"/>
    </row>
    <row r="714" spans="2:11" ht="15" customHeight="1" x14ac:dyDescent="0.2">
      <c r="B714" s="57"/>
      <c r="C714" s="411" t="s">
        <v>364</v>
      </c>
      <c r="D714" s="411"/>
      <c r="E714" s="411"/>
      <c r="F714" s="411"/>
      <c r="G714" s="411"/>
      <c r="H714" s="411"/>
      <c r="I714" s="411"/>
      <c r="J714" s="411"/>
      <c r="K714" s="61"/>
    </row>
    <row r="715" spans="2:11" x14ac:dyDescent="0.2">
      <c r="B715" s="57"/>
      <c r="C715" s="411"/>
      <c r="D715" s="411"/>
      <c r="E715" s="411"/>
      <c r="F715" s="411"/>
      <c r="G715" s="411"/>
      <c r="H715" s="411"/>
      <c r="I715" s="411"/>
      <c r="J715" s="411"/>
      <c r="K715" s="61"/>
    </row>
    <row r="716" spans="2:11" x14ac:dyDescent="0.2">
      <c r="B716" s="57"/>
      <c r="C716" s="411"/>
      <c r="D716" s="411"/>
      <c r="E716" s="411"/>
      <c r="F716" s="411"/>
      <c r="G716" s="411"/>
      <c r="H716" s="411"/>
      <c r="I716" s="411"/>
      <c r="J716" s="411"/>
      <c r="K716" s="61"/>
    </row>
    <row r="717" spans="2:11" x14ac:dyDescent="0.2">
      <c r="B717" s="57"/>
      <c r="C717" s="196" t="s">
        <v>30</v>
      </c>
      <c r="D717" s="59"/>
      <c r="E717" s="59"/>
      <c r="F717" s="59"/>
      <c r="G717" s="408" t="s">
        <v>190</v>
      </c>
      <c r="H717" s="409"/>
      <c r="I717" s="59"/>
      <c r="J717" s="260">
        <f>IF(G717=$B$994,$A$994,IF(G717=$B$995,$A$995,"Not Calculated"))</f>
        <v>1</v>
      </c>
      <c r="K717" s="61"/>
    </row>
    <row r="718" spans="2:11" x14ac:dyDescent="0.2">
      <c r="B718" s="57"/>
      <c r="C718" s="196" t="s">
        <v>32</v>
      </c>
      <c r="D718" s="59"/>
      <c r="E718" s="59"/>
      <c r="F718" s="59"/>
      <c r="G718" s="408" t="s">
        <v>190</v>
      </c>
      <c r="H718" s="409"/>
      <c r="I718" s="59"/>
      <c r="J718" s="260">
        <f t="shared" ref="J718:J725" si="0">IF(G718=$B$994,$A$994,IF(G718=$B$995,$A$995,"Not Calculated"))</f>
        <v>1</v>
      </c>
      <c r="K718" s="61"/>
    </row>
    <row r="719" spans="2:11" x14ac:dyDescent="0.2">
      <c r="B719" s="57"/>
      <c r="C719" s="196" t="s">
        <v>34</v>
      </c>
      <c r="D719" s="59"/>
      <c r="E719" s="59"/>
      <c r="F719" s="59"/>
      <c r="G719" s="408" t="s">
        <v>190</v>
      </c>
      <c r="H719" s="409"/>
      <c r="I719" s="59"/>
      <c r="J719" s="260">
        <f t="shared" si="0"/>
        <v>1</v>
      </c>
      <c r="K719" s="61"/>
    </row>
    <row r="720" spans="2:11" x14ac:dyDescent="0.2">
      <c r="B720" s="57"/>
      <c r="C720" s="196" t="s">
        <v>35</v>
      </c>
      <c r="D720" s="59"/>
      <c r="E720" s="59"/>
      <c r="F720" s="59"/>
      <c r="G720" s="408" t="s">
        <v>190</v>
      </c>
      <c r="H720" s="409"/>
      <c r="I720" s="59"/>
      <c r="J720" s="260">
        <f t="shared" si="0"/>
        <v>1</v>
      </c>
      <c r="K720" s="61"/>
    </row>
    <row r="721" spans="2:11" x14ac:dyDescent="0.2">
      <c r="B721" s="57"/>
      <c r="C721" s="196" t="s">
        <v>37</v>
      </c>
      <c r="D721" s="59"/>
      <c r="E721" s="59"/>
      <c r="F721" s="59"/>
      <c r="G721" s="408" t="s">
        <v>190</v>
      </c>
      <c r="H721" s="409"/>
      <c r="I721" s="59"/>
      <c r="J721" s="260">
        <f t="shared" si="0"/>
        <v>1</v>
      </c>
      <c r="K721" s="61"/>
    </row>
    <row r="722" spans="2:11" x14ac:dyDescent="0.2">
      <c r="B722" s="57"/>
      <c r="C722" s="196" t="s">
        <v>38</v>
      </c>
      <c r="D722" s="59"/>
      <c r="E722" s="59"/>
      <c r="F722" s="59"/>
      <c r="G722" s="408" t="s">
        <v>190</v>
      </c>
      <c r="H722" s="409"/>
      <c r="I722" s="59"/>
      <c r="J722" s="260">
        <f t="shared" si="0"/>
        <v>1</v>
      </c>
      <c r="K722" s="61"/>
    </row>
    <row r="723" spans="2:11" x14ac:dyDescent="0.2">
      <c r="B723" s="57"/>
      <c r="C723" s="196" t="s">
        <v>40</v>
      </c>
      <c r="D723" s="59"/>
      <c r="E723" s="59"/>
      <c r="F723" s="59"/>
      <c r="G723" s="408" t="s">
        <v>202</v>
      </c>
      <c r="H723" s="409"/>
      <c r="I723" s="59"/>
      <c r="J723" s="260">
        <f t="shared" si="0"/>
        <v>0</v>
      </c>
      <c r="K723" s="61"/>
    </row>
    <row r="724" spans="2:11" x14ac:dyDescent="0.2">
      <c r="B724" s="57"/>
      <c r="C724" s="196" t="s">
        <v>41</v>
      </c>
      <c r="D724" s="59"/>
      <c r="E724" s="59"/>
      <c r="F724" s="59"/>
      <c r="G724" s="408" t="s">
        <v>190</v>
      </c>
      <c r="H724" s="409"/>
      <c r="I724" s="59"/>
      <c r="J724" s="260">
        <f t="shared" si="0"/>
        <v>1</v>
      </c>
      <c r="K724" s="61"/>
    </row>
    <row r="725" spans="2:11" x14ac:dyDescent="0.2">
      <c r="B725" s="57"/>
      <c r="C725" s="196" t="s">
        <v>43</v>
      </c>
      <c r="D725" s="59"/>
      <c r="E725" s="59"/>
      <c r="F725" s="59"/>
      <c r="G725" s="408" t="s">
        <v>202</v>
      </c>
      <c r="H725" s="409"/>
      <c r="I725" s="59"/>
      <c r="J725" s="260">
        <f t="shared" si="0"/>
        <v>0</v>
      </c>
      <c r="K725" s="61"/>
    </row>
    <row r="726" spans="2:11" x14ac:dyDescent="0.2">
      <c r="B726" s="57"/>
      <c r="C726" s="59"/>
      <c r="D726" s="59"/>
      <c r="E726" s="59"/>
      <c r="F726" s="59"/>
      <c r="G726" s="59"/>
      <c r="H726" s="59"/>
      <c r="I726" s="59"/>
      <c r="J726" s="59"/>
      <c r="K726" s="61"/>
    </row>
    <row r="727" spans="2:11" x14ac:dyDescent="0.2">
      <c r="B727" s="57"/>
      <c r="C727" s="59"/>
      <c r="D727" s="59"/>
      <c r="E727" s="59"/>
      <c r="F727" s="59"/>
      <c r="G727" s="59"/>
      <c r="H727" s="59"/>
      <c r="I727" s="59"/>
      <c r="J727" s="59"/>
      <c r="K727" s="61"/>
    </row>
    <row r="728" spans="2:11" ht="16" x14ac:dyDescent="0.2">
      <c r="B728" s="57"/>
      <c r="C728" s="195" t="s">
        <v>115</v>
      </c>
      <c r="D728" s="59"/>
      <c r="E728" s="59"/>
      <c r="F728" s="59"/>
      <c r="G728" s="59"/>
      <c r="H728" s="59"/>
      <c r="I728" s="59"/>
      <c r="J728" s="59"/>
      <c r="K728" s="61"/>
    </row>
    <row r="729" spans="2:11" ht="15" customHeight="1" x14ac:dyDescent="0.2">
      <c r="B729" s="57"/>
      <c r="C729" s="411" t="s">
        <v>365</v>
      </c>
      <c r="D729" s="411"/>
      <c r="E729" s="411"/>
      <c r="F729" s="411"/>
      <c r="G729" s="411"/>
      <c r="H729" s="411"/>
      <c r="I729" s="411"/>
      <c r="J729" s="411"/>
      <c r="K729" s="61"/>
    </row>
    <row r="730" spans="2:11" x14ac:dyDescent="0.2">
      <c r="B730" s="57"/>
      <c r="C730" s="411"/>
      <c r="D730" s="411"/>
      <c r="E730" s="411"/>
      <c r="F730" s="411"/>
      <c r="G730" s="411"/>
      <c r="H730" s="411"/>
      <c r="I730" s="411"/>
      <c r="J730" s="411"/>
      <c r="K730" s="61"/>
    </row>
    <row r="731" spans="2:11" x14ac:dyDescent="0.2">
      <c r="B731" s="57"/>
      <c r="C731" s="411"/>
      <c r="D731" s="411"/>
      <c r="E731" s="411"/>
      <c r="F731" s="411"/>
      <c r="G731" s="411"/>
      <c r="H731" s="411"/>
      <c r="I731" s="411"/>
      <c r="J731" s="411"/>
      <c r="K731" s="61"/>
    </row>
    <row r="732" spans="2:11" x14ac:dyDescent="0.2">
      <c r="B732" s="57"/>
      <c r="C732" s="196" t="s">
        <v>30</v>
      </c>
      <c r="D732" s="59"/>
      <c r="E732" s="59"/>
      <c r="F732" s="59"/>
      <c r="G732" s="408" t="s">
        <v>190</v>
      </c>
      <c r="H732" s="409"/>
      <c r="I732" s="59"/>
      <c r="J732" s="260">
        <f>IF(G732=$B$994,$A$994,IF(G732=$B$995,$A$995,"Not Calculated"))</f>
        <v>1</v>
      </c>
      <c r="K732" s="61"/>
    </row>
    <row r="733" spans="2:11" x14ac:dyDescent="0.2">
      <c r="B733" s="57"/>
      <c r="C733" s="196" t="s">
        <v>32</v>
      </c>
      <c r="D733" s="59"/>
      <c r="E733" s="59"/>
      <c r="F733" s="59"/>
      <c r="G733" s="408" t="s">
        <v>190</v>
      </c>
      <c r="H733" s="409"/>
      <c r="I733" s="59"/>
      <c r="J733" s="260">
        <f t="shared" ref="J733:J740" si="1">IF(G733=$B$994,$A$994,IF(G733=$B$995,$A$995,"Not Calculated"))</f>
        <v>1</v>
      </c>
      <c r="K733" s="61"/>
    </row>
    <row r="734" spans="2:11" ht="15" customHeight="1" x14ac:dyDescent="0.2">
      <c r="B734" s="57"/>
      <c r="C734" s="196" t="s">
        <v>34</v>
      </c>
      <c r="D734" s="59"/>
      <c r="E734" s="59"/>
      <c r="F734" s="59"/>
      <c r="G734" s="408" t="s">
        <v>190</v>
      </c>
      <c r="H734" s="409"/>
      <c r="I734" s="59"/>
      <c r="J734" s="260">
        <f t="shared" si="1"/>
        <v>1</v>
      </c>
      <c r="K734" s="61"/>
    </row>
    <row r="735" spans="2:11" x14ac:dyDescent="0.2">
      <c r="B735" s="57"/>
      <c r="C735" s="196" t="s">
        <v>35</v>
      </c>
      <c r="D735" s="59"/>
      <c r="E735" s="59"/>
      <c r="F735" s="59"/>
      <c r="G735" s="408" t="s">
        <v>190</v>
      </c>
      <c r="H735" s="409"/>
      <c r="I735" s="59"/>
      <c r="J735" s="260">
        <f t="shared" si="1"/>
        <v>1</v>
      </c>
      <c r="K735" s="61"/>
    </row>
    <row r="736" spans="2:11" x14ac:dyDescent="0.2">
      <c r="B736" s="57"/>
      <c r="C736" s="196" t="s">
        <v>37</v>
      </c>
      <c r="D736" s="59"/>
      <c r="E736" s="59"/>
      <c r="F736" s="59"/>
      <c r="G736" s="408" t="s">
        <v>190</v>
      </c>
      <c r="H736" s="409"/>
      <c r="I736" s="59"/>
      <c r="J736" s="260">
        <f t="shared" si="1"/>
        <v>1</v>
      </c>
      <c r="K736" s="61"/>
    </row>
    <row r="737" spans="2:11" x14ac:dyDescent="0.2">
      <c r="B737" s="57"/>
      <c r="C737" s="196" t="s">
        <v>38</v>
      </c>
      <c r="D737" s="59"/>
      <c r="E737" s="59"/>
      <c r="F737" s="59"/>
      <c r="G737" s="408" t="s">
        <v>202</v>
      </c>
      <c r="H737" s="409"/>
      <c r="I737" s="59"/>
      <c r="J737" s="260">
        <f t="shared" si="1"/>
        <v>0</v>
      </c>
      <c r="K737" s="61"/>
    </row>
    <row r="738" spans="2:11" x14ac:dyDescent="0.2">
      <c r="B738" s="57"/>
      <c r="C738" s="196" t="s">
        <v>40</v>
      </c>
      <c r="D738" s="59"/>
      <c r="E738" s="59"/>
      <c r="F738" s="59"/>
      <c r="G738" s="408" t="s">
        <v>190</v>
      </c>
      <c r="H738" s="409"/>
      <c r="I738" s="59"/>
      <c r="J738" s="260">
        <f t="shared" si="1"/>
        <v>1</v>
      </c>
      <c r="K738" s="61"/>
    </row>
    <row r="739" spans="2:11" x14ac:dyDescent="0.2">
      <c r="B739" s="57"/>
      <c r="C739" s="196" t="s">
        <v>41</v>
      </c>
      <c r="D739" s="59"/>
      <c r="E739" s="59"/>
      <c r="F739" s="59"/>
      <c r="G739" s="408" t="s">
        <v>190</v>
      </c>
      <c r="H739" s="409"/>
      <c r="I739" s="59"/>
      <c r="J739" s="260">
        <f t="shared" si="1"/>
        <v>1</v>
      </c>
      <c r="K739" s="61"/>
    </row>
    <row r="740" spans="2:11" x14ac:dyDescent="0.2">
      <c r="B740" s="57"/>
      <c r="C740" s="196" t="s">
        <v>43</v>
      </c>
      <c r="D740" s="59"/>
      <c r="E740" s="59"/>
      <c r="F740" s="59"/>
      <c r="G740" s="408" t="s">
        <v>190</v>
      </c>
      <c r="H740" s="409"/>
      <c r="I740" s="59"/>
      <c r="J740" s="260">
        <f t="shared" si="1"/>
        <v>1</v>
      </c>
      <c r="K740" s="61"/>
    </row>
    <row r="741" spans="2:11" x14ac:dyDescent="0.2">
      <c r="B741" s="57"/>
      <c r="C741" s="59"/>
      <c r="D741" s="59"/>
      <c r="E741" s="59"/>
      <c r="F741" s="59"/>
      <c r="G741" s="59"/>
      <c r="H741" s="59"/>
      <c r="I741" s="59"/>
      <c r="J741" s="59"/>
      <c r="K741" s="61"/>
    </row>
    <row r="742" spans="2:11" x14ac:dyDescent="0.2">
      <c r="B742" s="57"/>
      <c r="C742" s="59"/>
      <c r="D742" s="59"/>
      <c r="E742" s="59"/>
      <c r="F742" s="59"/>
      <c r="G742" s="59"/>
      <c r="H742" s="59"/>
      <c r="I742" s="59"/>
      <c r="J742" s="59"/>
      <c r="K742" s="61"/>
    </row>
    <row r="743" spans="2:11" ht="16" x14ac:dyDescent="0.2">
      <c r="B743" s="57"/>
      <c r="C743" s="195" t="s">
        <v>366</v>
      </c>
      <c r="D743" s="59"/>
      <c r="E743" s="59"/>
      <c r="F743" s="59"/>
      <c r="G743" s="59"/>
      <c r="H743" s="59"/>
      <c r="I743" s="59"/>
      <c r="J743" s="59"/>
      <c r="K743" s="61"/>
    </row>
    <row r="744" spans="2:11" ht="15" customHeight="1" x14ac:dyDescent="0.2">
      <c r="B744" s="57"/>
      <c r="C744" s="411" t="s">
        <v>367</v>
      </c>
      <c r="D744" s="411"/>
      <c r="E744" s="411"/>
      <c r="F744" s="411"/>
      <c r="G744" s="411"/>
      <c r="H744" s="411"/>
      <c r="I744" s="411"/>
      <c r="J744" s="411"/>
      <c r="K744" s="61"/>
    </row>
    <row r="745" spans="2:11" x14ac:dyDescent="0.2">
      <c r="B745" s="57"/>
      <c r="C745" s="411"/>
      <c r="D745" s="411"/>
      <c r="E745" s="411"/>
      <c r="F745" s="411"/>
      <c r="G745" s="411"/>
      <c r="H745" s="411"/>
      <c r="I745" s="411"/>
      <c r="J745" s="411"/>
      <c r="K745" s="61"/>
    </row>
    <row r="746" spans="2:11" x14ac:dyDescent="0.2">
      <c r="B746" s="57"/>
      <c r="C746" s="411"/>
      <c r="D746" s="411"/>
      <c r="E746" s="411"/>
      <c r="F746" s="411"/>
      <c r="G746" s="411"/>
      <c r="H746" s="411"/>
      <c r="I746" s="411"/>
      <c r="J746" s="411"/>
      <c r="K746" s="61"/>
    </row>
    <row r="747" spans="2:11" x14ac:dyDescent="0.2">
      <c r="B747" s="57"/>
      <c r="C747" s="196" t="s">
        <v>30</v>
      </c>
      <c r="D747" s="59"/>
      <c r="E747" s="59"/>
      <c r="F747" s="59"/>
      <c r="G747" s="408" t="s">
        <v>202</v>
      </c>
      <c r="H747" s="409"/>
      <c r="I747" s="59"/>
      <c r="J747" s="260">
        <f>IF(G747=$B$994,$A$994,IF(G747=$B$995,$A$995,"Not Calculated"))</f>
        <v>0</v>
      </c>
      <c r="K747" s="61"/>
    </row>
    <row r="748" spans="2:11" x14ac:dyDescent="0.2">
      <c r="B748" s="57"/>
      <c r="C748" s="196" t="s">
        <v>32</v>
      </c>
      <c r="D748" s="59"/>
      <c r="E748" s="59"/>
      <c r="F748" s="59"/>
      <c r="G748" s="408" t="s">
        <v>190</v>
      </c>
      <c r="H748" s="409"/>
      <c r="I748" s="59"/>
      <c r="J748" s="260">
        <f t="shared" ref="J748:J755" si="2">IF(G748=$B$994,$A$994,IF(G748=$B$995,$A$995,"Not Calculated"))</f>
        <v>1</v>
      </c>
      <c r="K748" s="61"/>
    </row>
    <row r="749" spans="2:11" ht="15" customHeight="1" x14ac:dyDescent="0.2">
      <c r="B749" s="57"/>
      <c r="C749" s="196" t="s">
        <v>34</v>
      </c>
      <c r="D749" s="59"/>
      <c r="E749" s="59"/>
      <c r="F749" s="59"/>
      <c r="G749" s="408" t="s">
        <v>190</v>
      </c>
      <c r="H749" s="409"/>
      <c r="I749" s="59"/>
      <c r="J749" s="260">
        <f t="shared" si="2"/>
        <v>1</v>
      </c>
      <c r="K749" s="61"/>
    </row>
    <row r="750" spans="2:11" x14ac:dyDescent="0.2">
      <c r="B750" s="57"/>
      <c r="C750" s="196" t="s">
        <v>35</v>
      </c>
      <c r="D750" s="59"/>
      <c r="E750" s="59"/>
      <c r="F750" s="59"/>
      <c r="G750" s="408" t="s">
        <v>190</v>
      </c>
      <c r="H750" s="409"/>
      <c r="I750" s="59"/>
      <c r="J750" s="260">
        <f t="shared" si="2"/>
        <v>1</v>
      </c>
      <c r="K750" s="61"/>
    </row>
    <row r="751" spans="2:11" x14ac:dyDescent="0.2">
      <c r="B751" s="57"/>
      <c r="C751" s="196" t="s">
        <v>37</v>
      </c>
      <c r="D751" s="59"/>
      <c r="E751" s="59"/>
      <c r="F751" s="59"/>
      <c r="G751" s="408" t="s">
        <v>202</v>
      </c>
      <c r="H751" s="409"/>
      <c r="I751" s="59"/>
      <c r="J751" s="260">
        <f t="shared" si="2"/>
        <v>0</v>
      </c>
      <c r="K751" s="61"/>
    </row>
    <row r="752" spans="2:11" x14ac:dyDescent="0.2">
      <c r="B752" s="57"/>
      <c r="C752" s="196" t="s">
        <v>38</v>
      </c>
      <c r="D752" s="59"/>
      <c r="E752" s="59"/>
      <c r="F752" s="59"/>
      <c r="G752" s="408" t="s">
        <v>190</v>
      </c>
      <c r="H752" s="409"/>
      <c r="I752" s="59"/>
      <c r="J752" s="260">
        <f t="shared" si="2"/>
        <v>1</v>
      </c>
      <c r="K752" s="61"/>
    </row>
    <row r="753" spans="2:11" x14ac:dyDescent="0.2">
      <c r="B753" s="57"/>
      <c r="C753" s="196" t="s">
        <v>40</v>
      </c>
      <c r="D753" s="59"/>
      <c r="E753" s="59"/>
      <c r="F753" s="59"/>
      <c r="G753" s="408" t="s">
        <v>190</v>
      </c>
      <c r="H753" s="409"/>
      <c r="I753" s="59"/>
      <c r="J753" s="260">
        <f t="shared" si="2"/>
        <v>1</v>
      </c>
      <c r="K753" s="61"/>
    </row>
    <row r="754" spans="2:11" x14ac:dyDescent="0.2">
      <c r="B754" s="57"/>
      <c r="C754" s="196" t="s">
        <v>41</v>
      </c>
      <c r="D754" s="59"/>
      <c r="E754" s="59"/>
      <c r="F754" s="59"/>
      <c r="G754" s="408" t="s">
        <v>190</v>
      </c>
      <c r="H754" s="409"/>
      <c r="I754" s="59"/>
      <c r="J754" s="260">
        <f t="shared" si="2"/>
        <v>1</v>
      </c>
      <c r="K754" s="61"/>
    </row>
    <row r="755" spans="2:11" x14ac:dyDescent="0.2">
      <c r="B755" s="57"/>
      <c r="C755" s="196" t="s">
        <v>43</v>
      </c>
      <c r="D755" s="59"/>
      <c r="E755" s="59"/>
      <c r="F755" s="59"/>
      <c r="G755" s="408" t="s">
        <v>190</v>
      </c>
      <c r="H755" s="409"/>
      <c r="I755" s="59"/>
      <c r="J755" s="260">
        <f t="shared" si="2"/>
        <v>1</v>
      </c>
      <c r="K755" s="61"/>
    </row>
    <row r="756" spans="2:11" x14ac:dyDescent="0.2">
      <c r="B756" s="57"/>
      <c r="C756" s="59"/>
      <c r="D756" s="59"/>
      <c r="E756" s="59"/>
      <c r="F756" s="59"/>
      <c r="G756" s="59"/>
      <c r="H756" s="59"/>
      <c r="I756" s="59"/>
      <c r="J756" s="59"/>
      <c r="K756" s="61"/>
    </row>
    <row r="757" spans="2:11" x14ac:dyDescent="0.2">
      <c r="B757" s="57"/>
      <c r="C757" s="59"/>
      <c r="D757" s="59"/>
      <c r="E757" s="59"/>
      <c r="F757" s="59"/>
      <c r="G757" s="59"/>
      <c r="H757" s="59"/>
      <c r="I757" s="59"/>
      <c r="J757" s="59"/>
      <c r="K757" s="61"/>
    </row>
    <row r="758" spans="2:11" ht="16" x14ac:dyDescent="0.2">
      <c r="B758" s="57"/>
      <c r="C758" s="195" t="s">
        <v>368</v>
      </c>
      <c r="D758" s="59"/>
      <c r="E758" s="59"/>
      <c r="F758" s="59"/>
      <c r="G758" s="59"/>
      <c r="H758" s="59"/>
      <c r="I758" s="59"/>
      <c r="J758" s="59"/>
      <c r="K758" s="61"/>
    </row>
    <row r="759" spans="2:11" ht="15" customHeight="1" x14ac:dyDescent="0.2">
      <c r="B759" s="57"/>
      <c r="C759" s="411" t="s">
        <v>369</v>
      </c>
      <c r="D759" s="411"/>
      <c r="E759" s="411"/>
      <c r="F759" s="411"/>
      <c r="G759" s="411"/>
      <c r="H759" s="411"/>
      <c r="I759" s="411"/>
      <c r="J759" s="411"/>
      <c r="K759" s="61"/>
    </row>
    <row r="760" spans="2:11" x14ac:dyDescent="0.2">
      <c r="B760" s="57"/>
      <c r="C760" s="411"/>
      <c r="D760" s="411"/>
      <c r="E760" s="411"/>
      <c r="F760" s="411"/>
      <c r="G760" s="411"/>
      <c r="H760" s="411"/>
      <c r="I760" s="411"/>
      <c r="J760" s="411"/>
      <c r="K760" s="61"/>
    </row>
    <row r="761" spans="2:11" x14ac:dyDescent="0.2">
      <c r="B761" s="57"/>
      <c r="C761" s="411"/>
      <c r="D761" s="411"/>
      <c r="E761" s="411"/>
      <c r="F761" s="411"/>
      <c r="G761" s="411"/>
      <c r="H761" s="411"/>
      <c r="I761" s="411"/>
      <c r="J761" s="411"/>
      <c r="K761" s="61"/>
    </row>
    <row r="762" spans="2:11" x14ac:dyDescent="0.2">
      <c r="B762" s="57"/>
      <c r="C762" s="196" t="s">
        <v>30</v>
      </c>
      <c r="D762" s="59"/>
      <c r="E762" s="59"/>
      <c r="F762" s="59"/>
      <c r="G762" s="408" t="s">
        <v>190</v>
      </c>
      <c r="H762" s="409"/>
      <c r="I762" s="59"/>
      <c r="J762" s="260">
        <f>IF(G762=$B$994,$A$994,IF(G762=$B$995,$A$995,"Not Calculated"))</f>
        <v>1</v>
      </c>
      <c r="K762" s="61"/>
    </row>
    <row r="763" spans="2:11" x14ac:dyDescent="0.2">
      <c r="B763" s="57"/>
      <c r="C763" s="196" t="s">
        <v>32</v>
      </c>
      <c r="D763" s="59"/>
      <c r="E763" s="59"/>
      <c r="F763" s="59"/>
      <c r="G763" s="408" t="s">
        <v>190</v>
      </c>
      <c r="H763" s="409"/>
      <c r="I763" s="59"/>
      <c r="J763" s="260">
        <f t="shared" ref="J763:J770" si="3">IF(G763=$B$994,$A$994,IF(G763=$B$995,$A$995,"Not Calculated"))</f>
        <v>1</v>
      </c>
      <c r="K763" s="61"/>
    </row>
    <row r="764" spans="2:11" ht="15" customHeight="1" x14ac:dyDescent="0.2">
      <c r="B764" s="57"/>
      <c r="C764" s="196" t="s">
        <v>34</v>
      </c>
      <c r="D764" s="59"/>
      <c r="E764" s="59"/>
      <c r="F764" s="59"/>
      <c r="G764" s="408" t="s">
        <v>190</v>
      </c>
      <c r="H764" s="409"/>
      <c r="I764" s="59"/>
      <c r="J764" s="260">
        <f t="shared" si="3"/>
        <v>1</v>
      </c>
      <c r="K764" s="61"/>
    </row>
    <row r="765" spans="2:11" x14ac:dyDescent="0.2">
      <c r="B765" s="57"/>
      <c r="C765" s="196" t="s">
        <v>35</v>
      </c>
      <c r="D765" s="59"/>
      <c r="E765" s="59"/>
      <c r="F765" s="59"/>
      <c r="G765" s="408" t="s">
        <v>190</v>
      </c>
      <c r="H765" s="409"/>
      <c r="I765" s="59"/>
      <c r="J765" s="260">
        <f t="shared" si="3"/>
        <v>1</v>
      </c>
      <c r="K765" s="61"/>
    </row>
    <row r="766" spans="2:11" x14ac:dyDescent="0.2">
      <c r="B766" s="57"/>
      <c r="C766" s="196" t="s">
        <v>37</v>
      </c>
      <c r="D766" s="59"/>
      <c r="E766" s="59"/>
      <c r="F766" s="59"/>
      <c r="G766" s="408" t="s">
        <v>190</v>
      </c>
      <c r="H766" s="409"/>
      <c r="I766" s="59"/>
      <c r="J766" s="260">
        <f t="shared" si="3"/>
        <v>1</v>
      </c>
      <c r="K766" s="61"/>
    </row>
    <row r="767" spans="2:11" x14ac:dyDescent="0.2">
      <c r="B767" s="57"/>
      <c r="C767" s="196" t="s">
        <v>38</v>
      </c>
      <c r="D767" s="59"/>
      <c r="E767" s="59"/>
      <c r="F767" s="59"/>
      <c r="G767" s="408" t="s">
        <v>190</v>
      </c>
      <c r="H767" s="409"/>
      <c r="I767" s="59"/>
      <c r="J767" s="260">
        <f t="shared" si="3"/>
        <v>1</v>
      </c>
      <c r="K767" s="61"/>
    </row>
    <row r="768" spans="2:11" x14ac:dyDescent="0.2">
      <c r="B768" s="57"/>
      <c r="C768" s="196" t="s">
        <v>40</v>
      </c>
      <c r="D768" s="59"/>
      <c r="E768" s="59"/>
      <c r="F768" s="59"/>
      <c r="G768" s="408" t="s">
        <v>190</v>
      </c>
      <c r="H768" s="409"/>
      <c r="I768" s="59"/>
      <c r="J768" s="260">
        <f t="shared" si="3"/>
        <v>1</v>
      </c>
      <c r="K768" s="61"/>
    </row>
    <row r="769" spans="2:11" x14ac:dyDescent="0.2">
      <c r="B769" s="57"/>
      <c r="C769" s="196" t="s">
        <v>41</v>
      </c>
      <c r="D769" s="59"/>
      <c r="E769" s="59"/>
      <c r="F769" s="59"/>
      <c r="G769" s="408" t="s">
        <v>190</v>
      </c>
      <c r="H769" s="409"/>
      <c r="I769" s="59"/>
      <c r="J769" s="260">
        <f t="shared" si="3"/>
        <v>1</v>
      </c>
      <c r="K769" s="61"/>
    </row>
    <row r="770" spans="2:11" x14ac:dyDescent="0.2">
      <c r="B770" s="57"/>
      <c r="C770" s="196" t="s">
        <v>43</v>
      </c>
      <c r="D770" s="59"/>
      <c r="E770" s="59"/>
      <c r="F770" s="59"/>
      <c r="G770" s="408" t="s">
        <v>190</v>
      </c>
      <c r="H770" s="409"/>
      <c r="I770" s="59"/>
      <c r="J770" s="260">
        <f t="shared" si="3"/>
        <v>1</v>
      </c>
      <c r="K770" s="61"/>
    </row>
    <row r="771" spans="2:11" x14ac:dyDescent="0.2">
      <c r="B771" s="57"/>
      <c r="C771" s="59"/>
      <c r="D771" s="59"/>
      <c r="E771" s="59"/>
      <c r="F771" s="59"/>
      <c r="G771" s="59"/>
      <c r="H771" s="59"/>
      <c r="I771" s="59"/>
      <c r="J771" s="59"/>
      <c r="K771" s="61"/>
    </row>
    <row r="772" spans="2:11" x14ac:dyDescent="0.2">
      <c r="B772" s="57"/>
      <c r="C772" s="59"/>
      <c r="D772" s="59"/>
      <c r="E772" s="59"/>
      <c r="F772" s="59"/>
      <c r="G772" s="59"/>
      <c r="H772" s="59"/>
      <c r="I772" s="59"/>
      <c r="J772" s="59"/>
      <c r="K772" s="61"/>
    </row>
    <row r="773" spans="2:11" ht="16" x14ac:dyDescent="0.2">
      <c r="B773" s="57"/>
      <c r="C773" s="197" t="s">
        <v>30</v>
      </c>
      <c r="D773" s="59"/>
      <c r="E773" s="59"/>
      <c r="F773" s="59"/>
      <c r="G773" s="59"/>
      <c r="H773" s="59"/>
      <c r="I773" s="59"/>
      <c r="J773" s="59"/>
      <c r="K773" s="61"/>
    </row>
    <row r="774" spans="2:11" x14ac:dyDescent="0.2">
      <c r="B774" s="57"/>
      <c r="C774" s="59"/>
      <c r="D774" s="59" t="s">
        <v>370</v>
      </c>
      <c r="E774" s="59"/>
      <c r="F774" s="59"/>
      <c r="G774" s="59"/>
      <c r="H774" s="59"/>
      <c r="I774" s="59"/>
      <c r="J774" s="60">
        <f>'Baseline At-Risk Pops'!H8</f>
        <v>0</v>
      </c>
      <c r="K774" s="61"/>
    </row>
    <row r="775" spans="2:11" x14ac:dyDescent="0.2">
      <c r="B775" s="57"/>
      <c r="C775" s="59"/>
      <c r="D775" s="59" t="s">
        <v>371</v>
      </c>
      <c r="E775" s="59"/>
      <c r="F775" s="59"/>
      <c r="G775" s="59"/>
      <c r="H775" s="59"/>
      <c r="I775" s="59"/>
      <c r="J775" s="60">
        <f>SUM(J717,J732,J747,J762)</f>
        <v>3</v>
      </c>
      <c r="K775" s="61"/>
    </row>
    <row r="776" spans="2:11" x14ac:dyDescent="0.2">
      <c r="B776" s="57"/>
      <c r="C776" s="59"/>
      <c r="D776" s="196" t="s">
        <v>372</v>
      </c>
      <c r="E776" s="59"/>
      <c r="F776" s="59"/>
      <c r="G776" s="59"/>
      <c r="H776" s="59"/>
      <c r="I776" s="59"/>
      <c r="J776" s="60">
        <f>AVERAGE(J774,J775)</f>
        <v>1.5</v>
      </c>
      <c r="K776" s="61"/>
    </row>
    <row r="777" spans="2:11" ht="16" x14ac:dyDescent="0.2">
      <c r="B777" s="57"/>
      <c r="C777" s="197" t="s">
        <v>32</v>
      </c>
      <c r="D777" s="59"/>
      <c r="E777" s="59"/>
      <c r="F777" s="59"/>
      <c r="G777" s="59"/>
      <c r="H777" s="59"/>
      <c r="I777" s="59"/>
      <c r="J777" s="60"/>
      <c r="K777" s="61"/>
    </row>
    <row r="778" spans="2:11" x14ac:dyDescent="0.2">
      <c r="B778" s="57"/>
      <c r="C778" s="59"/>
      <c r="D778" s="59" t="s">
        <v>370</v>
      </c>
      <c r="E778" s="59"/>
      <c r="F778" s="59"/>
      <c r="G778" s="59"/>
      <c r="H778" s="59"/>
      <c r="I778" s="59"/>
      <c r="J778" s="60">
        <f>'Baseline At-Risk Pops'!H14</f>
        <v>0</v>
      </c>
      <c r="K778" s="61"/>
    </row>
    <row r="779" spans="2:11" ht="15" customHeight="1" x14ac:dyDescent="0.2">
      <c r="B779" s="57"/>
      <c r="C779" s="59"/>
      <c r="D779" s="59" t="s">
        <v>371</v>
      </c>
      <c r="E779" s="59"/>
      <c r="F779" s="59"/>
      <c r="G779" s="59"/>
      <c r="H779" s="59"/>
      <c r="I779" s="59"/>
      <c r="J779" s="60">
        <f>SUM(J718,J733,J748,J763)</f>
        <v>4</v>
      </c>
      <c r="K779" s="61"/>
    </row>
    <row r="780" spans="2:11" x14ac:dyDescent="0.2">
      <c r="B780" s="57"/>
      <c r="C780" s="59"/>
      <c r="D780" s="196" t="s">
        <v>372</v>
      </c>
      <c r="E780" s="59"/>
      <c r="F780" s="59"/>
      <c r="G780" s="59"/>
      <c r="H780" s="59"/>
      <c r="I780" s="59"/>
      <c r="J780" s="60">
        <f>AVERAGE(J778,J779)</f>
        <v>2</v>
      </c>
      <c r="K780" s="61"/>
    </row>
    <row r="781" spans="2:11" ht="16" x14ac:dyDescent="0.2">
      <c r="B781" s="57"/>
      <c r="C781" s="197" t="s">
        <v>34</v>
      </c>
      <c r="D781" s="59"/>
      <c r="E781" s="59"/>
      <c r="F781" s="59"/>
      <c r="G781" s="59"/>
      <c r="H781" s="59"/>
      <c r="I781" s="59"/>
      <c r="J781" s="60"/>
      <c r="K781" s="61"/>
    </row>
    <row r="782" spans="2:11" ht="16" x14ac:dyDescent="0.2">
      <c r="B782" s="57"/>
      <c r="C782" s="197"/>
      <c r="D782" s="59" t="s">
        <v>370</v>
      </c>
      <c r="E782" s="59"/>
      <c r="F782" s="59"/>
      <c r="G782" s="59"/>
      <c r="H782" s="59"/>
      <c r="I782" s="59"/>
      <c r="J782" s="60">
        <f>'Baseline At-Risk Pops'!H21</f>
        <v>0</v>
      </c>
      <c r="K782" s="61"/>
    </row>
    <row r="783" spans="2:11" x14ac:dyDescent="0.2">
      <c r="B783" s="57"/>
      <c r="C783" s="59"/>
      <c r="D783" s="59" t="s">
        <v>371</v>
      </c>
      <c r="E783" s="59"/>
      <c r="F783" s="59"/>
      <c r="G783" s="59"/>
      <c r="H783" s="59"/>
      <c r="I783" s="59"/>
      <c r="J783" s="60">
        <f>SUM(J719,J734,J749,J764)</f>
        <v>4</v>
      </c>
      <c r="K783" s="61"/>
    </row>
    <row r="784" spans="2:11" x14ac:dyDescent="0.2">
      <c r="B784" s="57"/>
      <c r="C784" s="59"/>
      <c r="D784" s="196" t="s">
        <v>372</v>
      </c>
      <c r="E784" s="59"/>
      <c r="F784" s="59"/>
      <c r="G784" s="59"/>
      <c r="H784" s="59"/>
      <c r="I784" s="59"/>
      <c r="J784" s="60">
        <f>AVERAGE(J782,J783)</f>
        <v>2</v>
      </c>
      <c r="K784" s="61"/>
    </row>
    <row r="785" spans="2:11" ht="16" x14ac:dyDescent="0.2">
      <c r="B785" s="57"/>
      <c r="C785" s="197" t="s">
        <v>35</v>
      </c>
      <c r="D785" s="59"/>
      <c r="E785" s="59"/>
      <c r="F785" s="59"/>
      <c r="G785" s="59"/>
      <c r="H785" s="59"/>
      <c r="I785" s="59"/>
      <c r="J785" s="60"/>
      <c r="K785" s="61"/>
    </row>
    <row r="786" spans="2:11" x14ac:dyDescent="0.2">
      <c r="B786" s="57"/>
      <c r="C786" s="59"/>
      <c r="D786" s="59" t="s">
        <v>370</v>
      </c>
      <c r="E786" s="59"/>
      <c r="F786" s="59"/>
      <c r="G786" s="59"/>
      <c r="H786" s="59"/>
      <c r="I786" s="59"/>
      <c r="J786" s="60">
        <f>'Baseline At-Risk Pops'!H27</f>
        <v>0</v>
      </c>
      <c r="K786" s="61"/>
    </row>
    <row r="787" spans="2:11" x14ac:dyDescent="0.2">
      <c r="B787" s="57"/>
      <c r="C787" s="59"/>
      <c r="D787" s="59" t="s">
        <v>371</v>
      </c>
      <c r="E787" s="59"/>
      <c r="F787" s="59"/>
      <c r="G787" s="59"/>
      <c r="H787" s="59"/>
      <c r="I787" s="59"/>
      <c r="J787" s="60">
        <f>SUM(J720,J735,J750,J765)</f>
        <v>4</v>
      </c>
      <c r="K787" s="61"/>
    </row>
    <row r="788" spans="2:11" x14ac:dyDescent="0.2">
      <c r="B788" s="57"/>
      <c r="C788" s="59"/>
      <c r="D788" s="196" t="s">
        <v>372</v>
      </c>
      <c r="E788" s="59"/>
      <c r="F788" s="59"/>
      <c r="G788" s="59"/>
      <c r="H788" s="59"/>
      <c r="I788" s="59"/>
      <c r="J788" s="60">
        <f>AVERAGE(J786,J787)</f>
        <v>2</v>
      </c>
      <c r="K788" s="61"/>
    </row>
    <row r="789" spans="2:11" ht="16" x14ac:dyDescent="0.2">
      <c r="B789" s="57"/>
      <c r="C789" s="197" t="s">
        <v>37</v>
      </c>
      <c r="D789" s="59"/>
      <c r="E789" s="59"/>
      <c r="F789" s="59"/>
      <c r="G789" s="59"/>
      <c r="H789" s="59"/>
      <c r="I789" s="59"/>
      <c r="J789" s="60"/>
      <c r="K789" s="61"/>
    </row>
    <row r="790" spans="2:11" x14ac:dyDescent="0.2">
      <c r="B790" s="57"/>
      <c r="C790" s="59"/>
      <c r="D790" s="59" t="s">
        <v>370</v>
      </c>
      <c r="E790" s="59"/>
      <c r="F790" s="59"/>
      <c r="G790" s="59"/>
      <c r="H790" s="59"/>
      <c r="I790" s="59"/>
      <c r="J790" s="60">
        <f>'Baseline At-Risk Pops'!H34</f>
        <v>0</v>
      </c>
      <c r="K790" s="61"/>
    </row>
    <row r="791" spans="2:11" x14ac:dyDescent="0.2">
      <c r="B791" s="57"/>
      <c r="C791" s="59"/>
      <c r="D791" s="59" t="s">
        <v>371</v>
      </c>
      <c r="E791" s="59"/>
      <c r="F791" s="59"/>
      <c r="G791" s="59"/>
      <c r="H791" s="59"/>
      <c r="I791" s="59"/>
      <c r="J791" s="60">
        <f>SUM(J721,J736,J751,J766)</f>
        <v>3</v>
      </c>
      <c r="K791" s="61"/>
    </row>
    <row r="792" spans="2:11" x14ac:dyDescent="0.2">
      <c r="B792" s="57"/>
      <c r="C792" s="59"/>
      <c r="D792" s="196" t="s">
        <v>372</v>
      </c>
      <c r="E792" s="59"/>
      <c r="F792" s="59"/>
      <c r="G792" s="59"/>
      <c r="H792" s="59"/>
      <c r="I792" s="59"/>
      <c r="J792" s="60">
        <f>AVERAGE(J790,J791)</f>
        <v>1.5</v>
      </c>
      <c r="K792" s="61"/>
    </row>
    <row r="793" spans="2:11" ht="16" x14ac:dyDescent="0.2">
      <c r="B793" s="57"/>
      <c r="C793" s="197" t="s">
        <v>38</v>
      </c>
      <c r="D793" s="59"/>
      <c r="E793" s="59"/>
      <c r="F793" s="59"/>
      <c r="G793" s="59"/>
      <c r="H793" s="59"/>
      <c r="I793" s="59"/>
      <c r="J793" s="60"/>
      <c r="K793" s="61"/>
    </row>
    <row r="794" spans="2:11" x14ac:dyDescent="0.2">
      <c r="B794" s="57"/>
      <c r="C794" s="59"/>
      <c r="D794" s="59" t="s">
        <v>370</v>
      </c>
      <c r="E794" s="59"/>
      <c r="F794" s="59"/>
      <c r="G794" s="59"/>
      <c r="H794" s="59"/>
      <c r="I794" s="59"/>
      <c r="J794" s="60">
        <f>'Baseline At-Risk Pops'!H40</f>
        <v>0</v>
      </c>
      <c r="K794" s="61"/>
    </row>
    <row r="795" spans="2:11" x14ac:dyDescent="0.2">
      <c r="B795" s="57"/>
      <c r="C795" s="59"/>
      <c r="D795" s="59" t="s">
        <v>371</v>
      </c>
      <c r="E795" s="59"/>
      <c r="F795" s="59"/>
      <c r="G795" s="59"/>
      <c r="H795" s="59"/>
      <c r="I795" s="59"/>
      <c r="J795" s="60">
        <f>SUM(J722,J737,J752,J767)</f>
        <v>3</v>
      </c>
      <c r="K795" s="61"/>
    </row>
    <row r="796" spans="2:11" x14ac:dyDescent="0.2">
      <c r="B796" s="57"/>
      <c r="C796" s="59"/>
      <c r="D796" s="196" t="s">
        <v>372</v>
      </c>
      <c r="E796" s="59"/>
      <c r="F796" s="59"/>
      <c r="G796" s="59"/>
      <c r="H796" s="59"/>
      <c r="I796" s="59"/>
      <c r="J796" s="60">
        <f>AVERAGE(J794,J795)</f>
        <v>1.5</v>
      </c>
      <c r="K796" s="61"/>
    </row>
    <row r="797" spans="2:11" ht="16" x14ac:dyDescent="0.2">
      <c r="B797" s="57"/>
      <c r="C797" s="197" t="s">
        <v>40</v>
      </c>
      <c r="D797" s="59"/>
      <c r="E797" s="59"/>
      <c r="F797" s="59"/>
      <c r="G797" s="59"/>
      <c r="H797" s="59"/>
      <c r="I797" s="59"/>
      <c r="J797" s="60"/>
      <c r="K797" s="61"/>
    </row>
    <row r="798" spans="2:11" x14ac:dyDescent="0.2">
      <c r="B798" s="57"/>
      <c r="C798" s="59"/>
      <c r="D798" s="59" t="s">
        <v>370</v>
      </c>
      <c r="E798" s="59"/>
      <c r="F798" s="59"/>
      <c r="G798" s="59"/>
      <c r="H798" s="59"/>
      <c r="I798" s="59"/>
      <c r="J798" s="60">
        <f>'Baseline At-Risk Pops'!H46</f>
        <v>0</v>
      </c>
      <c r="K798" s="61"/>
    </row>
    <row r="799" spans="2:11" x14ac:dyDescent="0.2">
      <c r="B799" s="57"/>
      <c r="C799" s="59"/>
      <c r="D799" s="59" t="s">
        <v>371</v>
      </c>
      <c r="E799" s="59"/>
      <c r="F799" s="59"/>
      <c r="G799" s="59"/>
      <c r="H799" s="59"/>
      <c r="I799" s="59"/>
      <c r="J799" s="60">
        <f>SUM(J723,J738,J753,J768)</f>
        <v>3</v>
      </c>
      <c r="K799" s="61"/>
    </row>
    <row r="800" spans="2:11" x14ac:dyDescent="0.2">
      <c r="B800" s="57"/>
      <c r="C800" s="59"/>
      <c r="D800" s="196" t="s">
        <v>372</v>
      </c>
      <c r="E800" s="59"/>
      <c r="F800" s="59"/>
      <c r="G800" s="59"/>
      <c r="H800" s="59"/>
      <c r="I800" s="59"/>
      <c r="J800" s="60">
        <f>AVERAGE(J798,J799)</f>
        <v>1.5</v>
      </c>
      <c r="K800" s="61"/>
    </row>
    <row r="801" spans="2:11" ht="16" x14ac:dyDescent="0.2">
      <c r="B801" s="57"/>
      <c r="C801" s="197" t="s">
        <v>41</v>
      </c>
      <c r="D801" s="59"/>
      <c r="E801" s="59"/>
      <c r="F801" s="59"/>
      <c r="G801" s="59"/>
      <c r="H801" s="59"/>
      <c r="I801" s="59"/>
      <c r="J801" s="60"/>
      <c r="K801" s="61"/>
    </row>
    <row r="802" spans="2:11" ht="16" x14ac:dyDescent="0.2">
      <c r="B802" s="57"/>
      <c r="C802" s="197"/>
      <c r="D802" s="59" t="s">
        <v>370</v>
      </c>
      <c r="E802" s="59"/>
      <c r="F802" s="59"/>
      <c r="G802" s="59"/>
      <c r="H802" s="59"/>
      <c r="I802" s="59"/>
      <c r="J802" s="60">
        <f>'Baseline At-Risk Pops'!H52</f>
        <v>0</v>
      </c>
      <c r="K802" s="61"/>
    </row>
    <row r="803" spans="2:11" x14ac:dyDescent="0.2">
      <c r="B803" s="57"/>
      <c r="C803" s="59"/>
      <c r="D803" s="59" t="s">
        <v>371</v>
      </c>
      <c r="E803" s="59"/>
      <c r="F803" s="59"/>
      <c r="G803" s="59"/>
      <c r="H803" s="59"/>
      <c r="I803" s="59"/>
      <c r="J803" s="60">
        <f>SUM(J724,J739,J754,J769)</f>
        <v>4</v>
      </c>
      <c r="K803" s="61"/>
    </row>
    <row r="804" spans="2:11" x14ac:dyDescent="0.2">
      <c r="B804" s="57"/>
      <c r="C804" s="59"/>
      <c r="D804" s="196" t="s">
        <v>372</v>
      </c>
      <c r="E804" s="59"/>
      <c r="F804" s="59"/>
      <c r="G804" s="59"/>
      <c r="H804" s="59"/>
      <c r="I804" s="59"/>
      <c r="J804" s="60">
        <f>AVERAGE(J802,J803)</f>
        <v>2</v>
      </c>
      <c r="K804" s="61"/>
    </row>
    <row r="805" spans="2:11" ht="16" x14ac:dyDescent="0.2">
      <c r="B805" s="57"/>
      <c r="C805" s="197" t="s">
        <v>43</v>
      </c>
      <c r="D805" s="59"/>
      <c r="E805" s="59"/>
      <c r="F805" s="59"/>
      <c r="G805" s="59"/>
      <c r="H805" s="59"/>
      <c r="I805" s="59"/>
      <c r="J805" s="60"/>
      <c r="K805" s="61"/>
    </row>
    <row r="806" spans="2:11" x14ac:dyDescent="0.2">
      <c r="B806" s="57"/>
      <c r="C806" s="59"/>
      <c r="D806" s="59" t="s">
        <v>370</v>
      </c>
      <c r="E806" s="59"/>
      <c r="F806" s="59"/>
      <c r="G806" s="59"/>
      <c r="H806" s="59"/>
      <c r="I806" s="59"/>
      <c r="J806" s="60">
        <f>'Baseline At-Risk Pops'!H58</f>
        <v>0</v>
      </c>
      <c r="K806" s="61"/>
    </row>
    <row r="807" spans="2:11" x14ac:dyDescent="0.2">
      <c r="B807" s="57"/>
      <c r="C807" s="59"/>
      <c r="D807" s="59" t="s">
        <v>371</v>
      </c>
      <c r="E807" s="59"/>
      <c r="F807" s="59"/>
      <c r="G807" s="59"/>
      <c r="H807" s="59"/>
      <c r="I807" s="59"/>
      <c r="J807" s="60">
        <f>SUM(J725,J740,J755,J770)</f>
        <v>3</v>
      </c>
      <c r="K807" s="61"/>
    </row>
    <row r="808" spans="2:11" x14ac:dyDescent="0.2">
      <c r="B808" s="57"/>
      <c r="C808" s="59"/>
      <c r="D808" s="196" t="s">
        <v>372</v>
      </c>
      <c r="E808" s="59"/>
      <c r="F808" s="59"/>
      <c r="G808" s="59"/>
      <c r="H808" s="59"/>
      <c r="I808" s="59"/>
      <c r="J808" s="60">
        <f>AVERAGE(J806,J807)</f>
        <v>1.5</v>
      </c>
      <c r="K808" s="61"/>
    </row>
    <row r="809" spans="2:11" x14ac:dyDescent="0.2">
      <c r="B809" s="57"/>
      <c r="C809" s="59"/>
      <c r="D809" s="59"/>
      <c r="E809" s="59"/>
      <c r="F809" s="59"/>
      <c r="G809" s="59"/>
      <c r="H809" s="59"/>
      <c r="I809" s="59"/>
      <c r="J809" s="59"/>
      <c r="K809" s="61"/>
    </row>
    <row r="810" spans="2:11" x14ac:dyDescent="0.2">
      <c r="B810" s="57"/>
      <c r="C810" s="59"/>
      <c r="D810" s="59"/>
      <c r="E810" s="59"/>
      <c r="F810" s="59"/>
      <c r="G810" s="59"/>
      <c r="H810" s="59"/>
      <c r="I810" s="59"/>
      <c r="J810" s="59"/>
      <c r="K810" s="61"/>
    </row>
    <row r="811" spans="2:11" ht="16" x14ac:dyDescent="0.2">
      <c r="B811" s="57"/>
      <c r="C811" s="198" t="s">
        <v>373</v>
      </c>
      <c r="D811" s="59"/>
      <c r="E811" s="59"/>
      <c r="F811" s="59"/>
      <c r="G811" s="59"/>
      <c r="H811" s="59"/>
      <c r="I811" s="59"/>
      <c r="J811" s="261">
        <f>AVERAGE(J776,J780,J784,J788,J792,J796,J800,J804,J808)</f>
        <v>1.7222222222222223</v>
      </c>
      <c r="K811" s="61"/>
    </row>
    <row r="812" spans="2:11" ht="16" thickBot="1" x14ac:dyDescent="0.25">
      <c r="B812" s="73"/>
      <c r="C812" s="74"/>
      <c r="D812" s="74"/>
      <c r="E812" s="74"/>
      <c r="F812" s="74"/>
      <c r="G812" s="74"/>
      <c r="H812" s="74"/>
      <c r="I812" s="74"/>
      <c r="J812" s="74"/>
      <c r="K812" s="76"/>
    </row>
    <row r="813" spans="2:11" ht="16" thickBot="1" x14ac:dyDescent="0.25"/>
    <row r="814" spans="2:11" x14ac:dyDescent="0.2">
      <c r="B814" s="199"/>
      <c r="C814" s="200"/>
      <c r="D814" s="200"/>
      <c r="E814" s="200"/>
      <c r="F814" s="200"/>
      <c r="G814" s="200"/>
      <c r="H814" s="200"/>
      <c r="I814" s="200"/>
      <c r="J814" s="200"/>
      <c r="K814" s="201"/>
    </row>
    <row r="815" spans="2:11" ht="21" x14ac:dyDescent="0.25">
      <c r="B815" s="202"/>
      <c r="C815" s="203"/>
      <c r="D815" s="203"/>
      <c r="E815" s="203"/>
      <c r="F815" s="203"/>
      <c r="G815" s="204" t="s">
        <v>233</v>
      </c>
      <c r="H815" s="203"/>
      <c r="I815" s="203"/>
      <c r="J815" s="203"/>
      <c r="K815" s="205"/>
    </row>
    <row r="816" spans="2:11" x14ac:dyDescent="0.2">
      <c r="B816" s="202"/>
      <c r="C816" s="203"/>
      <c r="D816" s="203"/>
      <c r="E816" s="203"/>
      <c r="F816" s="203"/>
      <c r="G816" s="203"/>
      <c r="H816" s="203"/>
      <c r="I816" s="203"/>
      <c r="J816" s="203"/>
      <c r="K816" s="205"/>
    </row>
    <row r="817" spans="2:11" ht="16" x14ac:dyDescent="0.2">
      <c r="B817" s="202"/>
      <c r="C817" s="206" t="s">
        <v>992</v>
      </c>
      <c r="D817" s="203"/>
      <c r="E817" s="203"/>
      <c r="F817" s="203"/>
      <c r="G817" s="203"/>
      <c r="H817" s="203"/>
      <c r="I817" s="203"/>
      <c r="J817" s="262" t="str">
        <f>IF(J700="Not Calculated","Not Calculated",J700*(($J$811/4)+1))</f>
        <v>Not Calculated</v>
      </c>
      <c r="K817" s="205"/>
    </row>
    <row r="818" spans="2:11" x14ac:dyDescent="0.2">
      <c r="B818" s="202"/>
      <c r="C818" s="203"/>
      <c r="D818" s="203" t="s">
        <v>1119</v>
      </c>
      <c r="E818" s="203"/>
      <c r="F818" s="203"/>
      <c r="G818" s="203"/>
      <c r="H818" s="203"/>
      <c r="I818" s="203"/>
      <c r="J818" s="203"/>
      <c r="K818" s="205"/>
    </row>
    <row r="819" spans="2:11" x14ac:dyDescent="0.2">
      <c r="B819" s="202"/>
      <c r="C819" s="203"/>
      <c r="D819" s="203"/>
      <c r="E819" s="203"/>
      <c r="F819" s="203"/>
      <c r="G819" s="203"/>
      <c r="H819" s="203"/>
      <c r="I819" s="203"/>
      <c r="J819" s="203"/>
      <c r="K819" s="205"/>
    </row>
    <row r="820" spans="2:11" ht="16" x14ac:dyDescent="0.2">
      <c r="B820" s="202"/>
      <c r="C820" s="206" t="s">
        <v>993</v>
      </c>
      <c r="D820" s="203"/>
      <c r="E820" s="203"/>
      <c r="F820" s="203"/>
      <c r="G820" s="203"/>
      <c r="H820" s="203"/>
      <c r="I820" s="203"/>
      <c r="J820" s="262" t="str">
        <f>IF(J703="Not Calculated","Not Calculated",J703*(($J$811/4)+1))</f>
        <v>Not Calculated</v>
      </c>
      <c r="K820" s="205"/>
    </row>
    <row r="821" spans="2:11" x14ac:dyDescent="0.2">
      <c r="B821" s="202"/>
      <c r="C821" s="203"/>
      <c r="D821" s="203" t="s">
        <v>1120</v>
      </c>
      <c r="E821" s="203"/>
      <c r="F821" s="203"/>
      <c r="G821" s="203"/>
      <c r="H821" s="203"/>
      <c r="I821" s="203"/>
      <c r="J821" s="203"/>
      <c r="K821" s="205"/>
    </row>
    <row r="822" spans="2:11" x14ac:dyDescent="0.2">
      <c r="B822" s="202"/>
      <c r="C822" s="203"/>
      <c r="D822" s="203"/>
      <c r="E822" s="203"/>
      <c r="F822" s="203"/>
      <c r="G822" s="203"/>
      <c r="H822" s="203"/>
      <c r="I822" s="203"/>
      <c r="J822" s="203"/>
      <c r="K822" s="205"/>
    </row>
    <row r="823" spans="2:11" ht="16" x14ac:dyDescent="0.2">
      <c r="B823" s="202"/>
      <c r="C823" s="206" t="s">
        <v>994</v>
      </c>
      <c r="D823" s="203"/>
      <c r="E823" s="203"/>
      <c r="F823" s="203"/>
      <c r="G823" s="203"/>
      <c r="H823" s="203"/>
      <c r="I823" s="203"/>
      <c r="J823" s="262" t="str">
        <f>IF(J706="Not Calculated","Not Calculated",J706*(($J$811/4)+1))</f>
        <v>Not Calculated</v>
      </c>
      <c r="K823" s="205"/>
    </row>
    <row r="824" spans="2:11" x14ac:dyDescent="0.2">
      <c r="B824" s="202"/>
      <c r="C824" s="203"/>
      <c r="D824" s="203" t="s">
        <v>1121</v>
      </c>
      <c r="E824" s="203"/>
      <c r="F824" s="203"/>
      <c r="G824" s="203"/>
      <c r="H824" s="203"/>
      <c r="I824" s="203"/>
      <c r="J824" s="203"/>
      <c r="K824" s="205"/>
    </row>
    <row r="825" spans="2:11" ht="16" thickBot="1" x14ac:dyDescent="0.25">
      <c r="B825" s="207"/>
      <c r="C825" s="208"/>
      <c r="D825" s="208"/>
      <c r="E825" s="208"/>
      <c r="F825" s="208"/>
      <c r="G825" s="208"/>
      <c r="H825" s="208"/>
      <c r="I825" s="208"/>
      <c r="J825" s="208"/>
      <c r="K825" s="209"/>
    </row>
    <row r="826" spans="2:11" ht="16" thickBot="1" x14ac:dyDescent="0.25"/>
    <row r="827" spans="2:11" x14ac:dyDescent="0.2">
      <c r="B827" s="77"/>
      <c r="C827" s="78"/>
      <c r="D827" s="78"/>
      <c r="E827" s="78"/>
      <c r="F827" s="78"/>
      <c r="G827" s="78"/>
      <c r="H827" s="78"/>
      <c r="I827" s="78"/>
      <c r="J827" s="78"/>
      <c r="K827" s="80"/>
    </row>
    <row r="828" spans="2:11" ht="21" x14ac:dyDescent="0.25">
      <c r="B828" s="81"/>
      <c r="C828" s="85"/>
      <c r="D828" s="85"/>
      <c r="E828" s="85"/>
      <c r="F828" s="85"/>
      <c r="G828" s="210" t="s">
        <v>806</v>
      </c>
      <c r="H828" s="85"/>
      <c r="I828" s="85"/>
      <c r="J828" s="85"/>
      <c r="K828" s="87"/>
    </row>
    <row r="829" spans="2:11" x14ac:dyDescent="0.2">
      <c r="B829" s="81"/>
      <c r="C829" s="85"/>
      <c r="D829" s="85"/>
      <c r="E829" s="85"/>
      <c r="F829" s="85"/>
      <c r="G829" s="85"/>
      <c r="H829" s="85"/>
      <c r="I829" s="85"/>
      <c r="J829" s="85"/>
      <c r="K829" s="87"/>
    </row>
    <row r="830" spans="2:11" ht="15" customHeight="1" x14ac:dyDescent="0.2">
      <c r="B830" s="81"/>
      <c r="C830" s="424" t="s">
        <v>808</v>
      </c>
      <c r="D830" s="424"/>
      <c r="E830" s="424"/>
      <c r="F830" s="424"/>
      <c r="G830" s="424"/>
      <c r="H830" s="424"/>
      <c r="I830" s="424"/>
      <c r="J830" s="424"/>
      <c r="K830" s="87"/>
    </row>
    <row r="831" spans="2:11" x14ac:dyDescent="0.2">
      <c r="B831" s="81"/>
      <c r="C831" s="424"/>
      <c r="D831" s="424"/>
      <c r="E831" s="424"/>
      <c r="F831" s="424"/>
      <c r="G831" s="424"/>
      <c r="H831" s="424"/>
      <c r="I831" s="424"/>
      <c r="J831" s="424"/>
      <c r="K831" s="87"/>
    </row>
    <row r="832" spans="2:11" x14ac:dyDescent="0.2">
      <c r="B832" s="81"/>
      <c r="C832" s="85"/>
      <c r="D832" s="85"/>
      <c r="E832" s="85"/>
      <c r="F832" s="85"/>
      <c r="G832" s="85"/>
      <c r="H832" s="85"/>
      <c r="I832" s="85"/>
      <c r="J832" s="85"/>
      <c r="K832" s="87"/>
    </row>
    <row r="833" spans="2:11" ht="16" x14ac:dyDescent="0.2">
      <c r="B833" s="81"/>
      <c r="C833" s="211" t="s">
        <v>654</v>
      </c>
      <c r="D833" s="85"/>
      <c r="E833" s="85"/>
      <c r="F833" s="85"/>
      <c r="G833" s="85"/>
      <c r="H833" s="85"/>
      <c r="I833" s="85"/>
      <c r="J833" s="85"/>
      <c r="K833" s="87"/>
    </row>
    <row r="834" spans="2:11" x14ac:dyDescent="0.2">
      <c r="B834" s="81"/>
      <c r="C834" s="85" t="s">
        <v>380</v>
      </c>
      <c r="D834" s="85"/>
      <c r="E834" s="85"/>
      <c r="F834" s="85"/>
      <c r="G834" s="406" t="s">
        <v>234</v>
      </c>
      <c r="H834" s="407"/>
      <c r="I834" s="85"/>
      <c r="J834" s="83">
        <f>IF(G834=$B$998,$A$998,IF(G834=$B$999,$A$999,IF(G834=$B$1000,$A$1000,IF(G834=$B$1001,$A$1001,IF(G834=$B$1002,$A$1002,"Not Calculated")))))</f>
        <v>4</v>
      </c>
      <c r="K834" s="87"/>
    </row>
    <row r="835" spans="2:11" x14ac:dyDescent="0.2">
      <c r="B835" s="81"/>
      <c r="C835" s="85" t="s">
        <v>134</v>
      </c>
      <c r="D835" s="85"/>
      <c r="E835" s="85"/>
      <c r="F835" s="85"/>
      <c r="G835" s="85"/>
      <c r="H835" s="85"/>
      <c r="I835" s="85"/>
      <c r="J835" s="240">
        <f>'Baseline PHP'!J16</f>
        <v>0</v>
      </c>
      <c r="K835" s="87"/>
    </row>
    <row r="836" spans="2:11" x14ac:dyDescent="0.2">
      <c r="B836" s="81"/>
      <c r="C836" s="85"/>
      <c r="D836" s="85"/>
      <c r="E836" s="85"/>
      <c r="F836" s="85"/>
      <c r="G836" s="85"/>
      <c r="H836" s="85"/>
      <c r="I836" s="85"/>
      <c r="J836" s="85"/>
      <c r="K836" s="87"/>
    </row>
    <row r="837" spans="2:11" ht="16" x14ac:dyDescent="0.2">
      <c r="B837" s="81"/>
      <c r="C837" s="211" t="s">
        <v>655</v>
      </c>
      <c r="D837" s="85"/>
      <c r="E837" s="85"/>
      <c r="F837" s="85"/>
      <c r="G837" s="85"/>
      <c r="H837" s="85"/>
      <c r="I837" s="85"/>
      <c r="J837" s="85"/>
      <c r="K837" s="87"/>
    </row>
    <row r="838" spans="2:11" x14ac:dyDescent="0.2">
      <c r="B838" s="81"/>
      <c r="C838" s="85" t="s">
        <v>380</v>
      </c>
      <c r="D838" s="85"/>
      <c r="E838" s="85"/>
      <c r="F838" s="85"/>
      <c r="G838" s="406" t="s">
        <v>234</v>
      </c>
      <c r="H838" s="407"/>
      <c r="I838" s="85"/>
      <c r="J838" s="83">
        <f>IF(G838=$B$998,$A$998,IF(G838=$B$999,$A$999,IF(G838=$B$1000,$A$1000,IF(G838=$B$1001,$A$1001,IF(G838=$B$1002,$A$1002,"Not Calculated")))))</f>
        <v>4</v>
      </c>
      <c r="K838" s="87"/>
    </row>
    <row r="839" spans="2:11" x14ac:dyDescent="0.2">
      <c r="B839" s="81"/>
      <c r="C839" s="85" t="s">
        <v>134</v>
      </c>
      <c r="D839" s="85"/>
      <c r="E839" s="85"/>
      <c r="F839" s="85"/>
      <c r="G839" s="85"/>
      <c r="H839" s="85"/>
      <c r="I839" s="85"/>
      <c r="J839" s="240">
        <f>'Baseline PHP'!J28</f>
        <v>0</v>
      </c>
      <c r="K839" s="87"/>
    </row>
    <row r="840" spans="2:11" x14ac:dyDescent="0.2">
      <c r="B840" s="81"/>
      <c r="C840" s="85"/>
      <c r="D840" s="85"/>
      <c r="E840" s="85"/>
      <c r="F840" s="85"/>
      <c r="G840" s="85"/>
      <c r="H840" s="85"/>
      <c r="I840" s="85"/>
      <c r="J840" s="85"/>
      <c r="K840" s="87"/>
    </row>
    <row r="841" spans="2:11" ht="16" x14ac:dyDescent="0.2">
      <c r="B841" s="81"/>
      <c r="C841" s="211" t="s">
        <v>645</v>
      </c>
      <c r="D841" s="85"/>
      <c r="E841" s="85"/>
      <c r="F841" s="85"/>
      <c r="G841" s="85"/>
      <c r="H841" s="85"/>
      <c r="I841" s="85"/>
      <c r="J841" s="85"/>
      <c r="K841" s="87"/>
    </row>
    <row r="842" spans="2:11" x14ac:dyDescent="0.2">
      <c r="B842" s="81"/>
      <c r="C842" s="85" t="s">
        <v>380</v>
      </c>
      <c r="D842" s="85"/>
      <c r="E842" s="85"/>
      <c r="F842" s="85"/>
      <c r="G842" s="406" t="s">
        <v>235</v>
      </c>
      <c r="H842" s="407"/>
      <c r="I842" s="85"/>
      <c r="J842" s="83">
        <f>IF(G842=$B$998,$A$998,IF(G842=$B$999,$A$999,IF(G842=$B$1000,$A$1000,IF(G842=$B$1001,$A$1001,IF(G842=$B$1002,$A$1002,"Not Calculated")))))</f>
        <v>2</v>
      </c>
      <c r="K842" s="87"/>
    </row>
    <row r="843" spans="2:11" x14ac:dyDescent="0.2">
      <c r="B843" s="81"/>
      <c r="C843" s="85" t="s">
        <v>134</v>
      </c>
      <c r="D843" s="85"/>
      <c r="E843" s="85"/>
      <c r="F843" s="85"/>
      <c r="G843" s="85"/>
      <c r="H843" s="85"/>
      <c r="I843" s="85"/>
      <c r="J843" s="240">
        <f>'Baseline PHP'!J44</f>
        <v>0</v>
      </c>
      <c r="K843" s="87"/>
    </row>
    <row r="844" spans="2:11" x14ac:dyDescent="0.2">
      <c r="B844" s="81"/>
      <c r="C844" s="85"/>
      <c r="D844" s="85"/>
      <c r="E844" s="85"/>
      <c r="F844" s="85"/>
      <c r="G844" s="85"/>
      <c r="H844" s="85"/>
      <c r="I844" s="85"/>
      <c r="J844" s="85"/>
      <c r="K844" s="87"/>
    </row>
    <row r="845" spans="2:11" ht="16" x14ac:dyDescent="0.2">
      <c r="B845" s="81"/>
      <c r="C845" s="211" t="s">
        <v>646</v>
      </c>
      <c r="D845" s="85"/>
      <c r="E845" s="85"/>
      <c r="F845" s="85"/>
      <c r="G845" s="85"/>
      <c r="H845" s="85"/>
      <c r="I845" s="85"/>
      <c r="J845" s="85"/>
      <c r="K845" s="87"/>
    </row>
    <row r="846" spans="2:11" x14ac:dyDescent="0.2">
      <c r="B846" s="81"/>
      <c r="C846" s="85" t="s">
        <v>380</v>
      </c>
      <c r="D846" s="85"/>
      <c r="E846" s="85"/>
      <c r="F846" s="85"/>
      <c r="G846" s="406" t="s">
        <v>234</v>
      </c>
      <c r="H846" s="407"/>
      <c r="I846" s="85"/>
      <c r="J846" s="83">
        <f>IF(G846=$B$998,$A$998,IF(G846=$B$999,$A$999,IF(G846=$B$1000,$A$1000,IF(G846=$B$1001,$A$1001,IF(G846=$B$1002,$A$1002,"Not Calculated")))))</f>
        <v>4</v>
      </c>
      <c r="K846" s="87"/>
    </row>
    <row r="847" spans="2:11" x14ac:dyDescent="0.2">
      <c r="B847" s="81"/>
      <c r="C847" s="85" t="s">
        <v>134</v>
      </c>
      <c r="D847" s="85"/>
      <c r="E847" s="85"/>
      <c r="F847" s="85"/>
      <c r="G847" s="85"/>
      <c r="H847" s="85"/>
      <c r="I847" s="85"/>
      <c r="J847" s="240">
        <f>'Baseline PHP'!J60</f>
        <v>0</v>
      </c>
      <c r="K847" s="87"/>
    </row>
    <row r="848" spans="2:11" x14ac:dyDescent="0.2">
      <c r="B848" s="81"/>
      <c r="C848" s="85"/>
      <c r="D848" s="85"/>
      <c r="E848" s="85"/>
      <c r="F848" s="85"/>
      <c r="G848" s="85"/>
      <c r="H848" s="85"/>
      <c r="I848" s="85"/>
      <c r="J848" s="85"/>
      <c r="K848" s="87"/>
    </row>
    <row r="849" spans="2:11" ht="16" x14ac:dyDescent="0.2">
      <c r="B849" s="81"/>
      <c r="C849" s="211" t="s">
        <v>648</v>
      </c>
      <c r="D849" s="85"/>
      <c r="E849" s="85"/>
      <c r="F849" s="85"/>
      <c r="G849" s="85"/>
      <c r="H849" s="85"/>
      <c r="I849" s="85"/>
      <c r="J849" s="85"/>
      <c r="K849" s="87"/>
    </row>
    <row r="850" spans="2:11" ht="15" customHeight="1" x14ac:dyDescent="0.2">
      <c r="B850" s="81"/>
      <c r="C850" s="85" t="s">
        <v>380</v>
      </c>
      <c r="D850" s="85"/>
      <c r="E850" s="85"/>
      <c r="F850" s="85"/>
      <c r="G850" s="406" t="s">
        <v>234</v>
      </c>
      <c r="H850" s="407"/>
      <c r="I850" s="85"/>
      <c r="J850" s="83">
        <f>IF(G850=$B$998,$A$998,IF(G850=$B$999,$A$999,IF(G850=$B$1000,$A$1000,IF(G850=$B$1001,$A$1001,IF(G850=$B$1002,$A$1002,"Not Calculated")))))</f>
        <v>4</v>
      </c>
      <c r="K850" s="87"/>
    </row>
    <row r="851" spans="2:11" x14ac:dyDescent="0.2">
      <c r="B851" s="81"/>
      <c r="C851" s="85" t="s">
        <v>134</v>
      </c>
      <c r="D851" s="85"/>
      <c r="E851" s="85"/>
      <c r="F851" s="85"/>
      <c r="G851" s="85"/>
      <c r="H851" s="85"/>
      <c r="I851" s="85"/>
      <c r="J851" s="240">
        <f>'Baseline PHP'!J76</f>
        <v>0</v>
      </c>
      <c r="K851" s="87"/>
    </row>
    <row r="852" spans="2:11" x14ac:dyDescent="0.2">
      <c r="B852" s="81"/>
      <c r="C852" s="85"/>
      <c r="D852" s="85"/>
      <c r="E852" s="85"/>
      <c r="F852" s="85"/>
      <c r="G852" s="85"/>
      <c r="H852" s="85"/>
      <c r="I852" s="85"/>
      <c r="J852" s="85"/>
      <c r="K852" s="87"/>
    </row>
    <row r="853" spans="2:11" ht="16" x14ac:dyDescent="0.2">
      <c r="B853" s="81"/>
      <c r="C853" s="211" t="s">
        <v>647</v>
      </c>
      <c r="D853" s="85"/>
      <c r="E853" s="85"/>
      <c r="F853" s="85"/>
      <c r="G853" s="85"/>
      <c r="H853" s="85"/>
      <c r="I853" s="85"/>
      <c r="J853" s="85"/>
      <c r="K853" s="87"/>
    </row>
    <row r="854" spans="2:11" x14ac:dyDescent="0.2">
      <c r="B854" s="81"/>
      <c r="C854" s="85" t="s">
        <v>380</v>
      </c>
      <c r="D854" s="85"/>
      <c r="E854" s="85"/>
      <c r="F854" s="85"/>
      <c r="G854" s="406" t="s">
        <v>234</v>
      </c>
      <c r="H854" s="407"/>
      <c r="I854" s="85"/>
      <c r="J854" s="83">
        <f>IF(G854=$B$998,$A$998,IF(G854=$B$999,$A$999,IF(G854=$B$1000,$A$1000,IF(G854=$B$1001,$A$1001,IF(G854=$B$1002,$A$1002,"Not Calculated")))))</f>
        <v>4</v>
      </c>
      <c r="K854" s="87"/>
    </row>
    <row r="855" spans="2:11" x14ac:dyDescent="0.2">
      <c r="B855" s="81"/>
      <c r="C855" s="85" t="s">
        <v>134</v>
      </c>
      <c r="D855" s="85"/>
      <c r="E855" s="85"/>
      <c r="F855" s="85"/>
      <c r="G855" s="85"/>
      <c r="H855" s="85"/>
      <c r="I855" s="85"/>
      <c r="J855" s="240">
        <f>'Baseline PHP'!J88</f>
        <v>0</v>
      </c>
      <c r="K855" s="87"/>
    </row>
    <row r="856" spans="2:11" x14ac:dyDescent="0.2">
      <c r="B856" s="81"/>
      <c r="C856" s="85"/>
      <c r="D856" s="85"/>
      <c r="E856" s="85"/>
      <c r="F856" s="85"/>
      <c r="G856" s="85"/>
      <c r="H856" s="85"/>
      <c r="I856" s="85"/>
      <c r="J856" s="85"/>
      <c r="K856" s="87"/>
    </row>
    <row r="857" spans="2:11" ht="16" x14ac:dyDescent="0.2">
      <c r="B857" s="81"/>
      <c r="C857" s="211" t="s">
        <v>115</v>
      </c>
      <c r="D857" s="85"/>
      <c r="E857" s="85"/>
      <c r="F857" s="85"/>
      <c r="G857" s="85"/>
      <c r="H857" s="85"/>
      <c r="I857" s="85"/>
      <c r="J857" s="85"/>
      <c r="K857" s="87"/>
    </row>
    <row r="858" spans="2:11" x14ac:dyDescent="0.2">
      <c r="B858" s="81"/>
      <c r="C858" s="85" t="s">
        <v>380</v>
      </c>
      <c r="D858" s="85"/>
      <c r="E858" s="85"/>
      <c r="F858" s="85"/>
      <c r="G858" s="406" t="s">
        <v>237</v>
      </c>
      <c r="H858" s="407"/>
      <c r="I858" s="85"/>
      <c r="J858" s="83">
        <f>IF(G858=$B$998,$A$998,IF(G858=$B$999,$A$999,IF(G858=$B$1000,$A$1000,IF(G858=$B$1001,$A$1001,IF(G858=$B$1002,$A$1002,"Not Calculated")))))</f>
        <v>1</v>
      </c>
      <c r="K858" s="87"/>
    </row>
    <row r="859" spans="2:11" x14ac:dyDescent="0.2">
      <c r="B859" s="81"/>
      <c r="C859" s="85" t="s">
        <v>134</v>
      </c>
      <c r="D859" s="85"/>
      <c r="E859" s="85"/>
      <c r="F859" s="85"/>
      <c r="G859" s="85"/>
      <c r="H859" s="85"/>
      <c r="I859" s="85"/>
      <c r="J859" s="240">
        <f>'Baseline PHP'!J102</f>
        <v>0</v>
      </c>
      <c r="K859" s="87"/>
    </row>
    <row r="860" spans="2:11" x14ac:dyDescent="0.2">
      <c r="B860" s="81"/>
      <c r="C860" s="85"/>
      <c r="D860" s="85"/>
      <c r="E860" s="85"/>
      <c r="F860" s="85"/>
      <c r="G860" s="85"/>
      <c r="H860" s="85"/>
      <c r="I860" s="85"/>
      <c r="J860" s="85"/>
      <c r="K860" s="87"/>
    </row>
    <row r="861" spans="2:11" ht="16" x14ac:dyDescent="0.2">
      <c r="B861" s="81"/>
      <c r="C861" s="211" t="s">
        <v>649</v>
      </c>
      <c r="D861" s="85"/>
      <c r="E861" s="85"/>
      <c r="F861" s="85"/>
      <c r="G861" s="85"/>
      <c r="H861" s="85"/>
      <c r="I861" s="85"/>
      <c r="J861" s="85"/>
      <c r="K861" s="87"/>
    </row>
    <row r="862" spans="2:11" x14ac:dyDescent="0.2">
      <c r="B862" s="81"/>
      <c r="C862" s="85" t="s">
        <v>380</v>
      </c>
      <c r="D862" s="85"/>
      <c r="E862" s="85"/>
      <c r="F862" s="85"/>
      <c r="G862" s="406" t="s">
        <v>236</v>
      </c>
      <c r="H862" s="407"/>
      <c r="I862" s="85"/>
      <c r="J862" s="83">
        <f>IF(G862=$B$998,$A$998,IF(G862=$B$999,$A$999,IF(G862=$B$1000,$A$1000,IF(G862=$B$1001,$A$1001,IF(G862=$B$1002,$A$1002,"Not Calculated")))))</f>
        <v>0</v>
      </c>
      <c r="K862" s="87"/>
    </row>
    <row r="863" spans="2:11" x14ac:dyDescent="0.2">
      <c r="B863" s="81"/>
      <c r="C863" s="85" t="s">
        <v>134</v>
      </c>
      <c r="D863" s="85"/>
      <c r="E863" s="85"/>
      <c r="F863" s="85"/>
      <c r="G863" s="85"/>
      <c r="H863" s="85"/>
      <c r="I863" s="85"/>
      <c r="J863" s="240">
        <f>'Baseline PHP'!J118</f>
        <v>0</v>
      </c>
      <c r="K863" s="87"/>
    </row>
    <row r="864" spans="2:11" x14ac:dyDescent="0.2">
      <c r="B864" s="81"/>
      <c r="C864" s="85"/>
      <c r="D864" s="85"/>
      <c r="E864" s="85"/>
      <c r="F864" s="85"/>
      <c r="G864" s="85"/>
      <c r="H864" s="85"/>
      <c r="I864" s="85"/>
      <c r="J864" s="85"/>
      <c r="K864" s="87"/>
    </row>
    <row r="865" spans="2:11" ht="16" x14ac:dyDescent="0.2">
      <c r="B865" s="81"/>
      <c r="C865" s="211" t="s">
        <v>656</v>
      </c>
      <c r="D865" s="85"/>
      <c r="E865" s="85"/>
      <c r="F865" s="85"/>
      <c r="G865" s="85"/>
      <c r="H865" s="85"/>
      <c r="I865" s="85"/>
      <c r="J865" s="85"/>
      <c r="K865" s="87"/>
    </row>
    <row r="866" spans="2:11" x14ac:dyDescent="0.2">
      <c r="B866" s="81"/>
      <c r="C866" s="85" t="s">
        <v>380</v>
      </c>
      <c r="D866" s="85"/>
      <c r="E866" s="85"/>
      <c r="F866" s="85"/>
      <c r="G866" s="406" t="s">
        <v>235</v>
      </c>
      <c r="H866" s="407"/>
      <c r="I866" s="85"/>
      <c r="J866" s="83">
        <f>IF(G866=$B$998,$A$998,IF(G866=$B$999,$A$999,IF(G866=$B$1000,$A$1000,IF(G866=$B$1001,$A$1001,IF(G866=$B$1002,$A$1002,"Not Calculated")))))</f>
        <v>2</v>
      </c>
      <c r="K866" s="87"/>
    </row>
    <row r="867" spans="2:11" x14ac:dyDescent="0.2">
      <c r="B867" s="81"/>
      <c r="C867" s="85" t="s">
        <v>134</v>
      </c>
      <c r="D867" s="85"/>
      <c r="E867" s="85"/>
      <c r="F867" s="85"/>
      <c r="G867" s="85"/>
      <c r="H867" s="85"/>
      <c r="I867" s="85"/>
      <c r="J867" s="240">
        <f>'Baseline PHP'!J136</f>
        <v>0</v>
      </c>
      <c r="K867" s="87"/>
    </row>
    <row r="868" spans="2:11" x14ac:dyDescent="0.2">
      <c r="B868" s="81"/>
      <c r="C868" s="85"/>
      <c r="D868" s="85"/>
      <c r="E868" s="85"/>
      <c r="F868" s="85"/>
      <c r="G868" s="85"/>
      <c r="H868" s="85"/>
      <c r="I868" s="85"/>
      <c r="J868" s="85"/>
      <c r="K868" s="87"/>
    </row>
    <row r="869" spans="2:11" ht="16" x14ac:dyDescent="0.2">
      <c r="B869" s="81"/>
      <c r="C869" s="211" t="s">
        <v>121</v>
      </c>
      <c r="D869" s="85"/>
      <c r="E869" s="85"/>
      <c r="F869" s="85"/>
      <c r="G869" s="85"/>
      <c r="H869" s="85"/>
      <c r="I869" s="85"/>
      <c r="J869" s="85"/>
      <c r="K869" s="87"/>
    </row>
    <row r="870" spans="2:11" x14ac:dyDescent="0.2">
      <c r="B870" s="81"/>
      <c r="C870" s="85" t="s">
        <v>380</v>
      </c>
      <c r="D870" s="85"/>
      <c r="E870" s="85"/>
      <c r="F870" s="85"/>
      <c r="G870" s="406" t="s">
        <v>234</v>
      </c>
      <c r="H870" s="407"/>
      <c r="I870" s="85"/>
      <c r="J870" s="83">
        <f>IF(G870=$B$998,$A$998,IF(G870=$B$999,$A$999,IF(G870=$B$1000,$A$1000,IF(G870=$B$1001,$A$1001,IF(G870=$B$1002,$A$1002,"Not Calculated")))))</f>
        <v>4</v>
      </c>
      <c r="K870" s="87"/>
    </row>
    <row r="871" spans="2:11" x14ac:dyDescent="0.2">
      <c r="B871" s="81"/>
      <c r="C871" s="85" t="s">
        <v>134</v>
      </c>
      <c r="D871" s="85"/>
      <c r="E871" s="85"/>
      <c r="F871" s="85"/>
      <c r="G871" s="85"/>
      <c r="H871" s="85"/>
      <c r="I871" s="85"/>
      <c r="J871" s="240">
        <f>'Baseline PHP'!J150</f>
        <v>0</v>
      </c>
      <c r="K871" s="87"/>
    </row>
    <row r="872" spans="2:11" x14ac:dyDescent="0.2">
      <c r="B872" s="81"/>
      <c r="C872" s="85"/>
      <c r="D872" s="85"/>
      <c r="E872" s="85"/>
      <c r="F872" s="85"/>
      <c r="G872" s="85"/>
      <c r="H872" s="85"/>
      <c r="I872" s="85"/>
      <c r="J872" s="85"/>
      <c r="K872" s="87"/>
    </row>
    <row r="873" spans="2:11" ht="16" x14ac:dyDescent="0.2">
      <c r="B873" s="81"/>
      <c r="C873" s="211" t="s">
        <v>657</v>
      </c>
      <c r="D873" s="85"/>
      <c r="E873" s="85"/>
      <c r="F873" s="85"/>
      <c r="G873" s="85"/>
      <c r="H873" s="85"/>
      <c r="I873" s="85"/>
      <c r="J873" s="85"/>
      <c r="K873" s="87"/>
    </row>
    <row r="874" spans="2:11" x14ac:dyDescent="0.2">
      <c r="B874" s="81"/>
      <c r="C874" s="85" t="s">
        <v>380</v>
      </c>
      <c r="D874" s="85"/>
      <c r="E874" s="85"/>
      <c r="F874" s="85"/>
      <c r="G874" s="406" t="s">
        <v>236</v>
      </c>
      <c r="H874" s="407"/>
      <c r="I874" s="85"/>
      <c r="J874" s="83">
        <f>IF(G874=$B$998,$A$998,IF(G874=$B$999,$A$999,IF(G874=$B$1000,$A$1000,IF(G874=$B$1001,$A$1001,IF(G874=$B$1002,$A$1002,"Not Calculated")))))</f>
        <v>0</v>
      </c>
      <c r="K874" s="87"/>
    </row>
    <row r="875" spans="2:11" x14ac:dyDescent="0.2">
      <c r="B875" s="81"/>
      <c r="C875" s="85" t="s">
        <v>134</v>
      </c>
      <c r="D875" s="85"/>
      <c r="E875" s="85"/>
      <c r="F875" s="85"/>
      <c r="G875" s="85"/>
      <c r="H875" s="85"/>
      <c r="I875" s="85"/>
      <c r="J875" s="240">
        <f>'Baseline PHP'!J164</f>
        <v>0</v>
      </c>
      <c r="K875" s="87"/>
    </row>
    <row r="876" spans="2:11" x14ac:dyDescent="0.2">
      <c r="B876" s="81"/>
      <c r="C876" s="85"/>
      <c r="D876" s="85"/>
      <c r="E876" s="85"/>
      <c r="F876" s="85"/>
      <c r="G876" s="85"/>
      <c r="H876" s="85"/>
      <c r="I876" s="85"/>
      <c r="J876" s="85"/>
      <c r="K876" s="87"/>
    </row>
    <row r="877" spans="2:11" ht="16" x14ac:dyDescent="0.2">
      <c r="B877" s="81"/>
      <c r="C877" s="211" t="s">
        <v>650</v>
      </c>
      <c r="D877" s="85"/>
      <c r="E877" s="85"/>
      <c r="F877" s="85"/>
      <c r="G877" s="85"/>
      <c r="H877" s="85"/>
      <c r="I877" s="85"/>
      <c r="J877" s="85"/>
      <c r="K877" s="87"/>
    </row>
    <row r="878" spans="2:11" x14ac:dyDescent="0.2">
      <c r="B878" s="81"/>
      <c r="C878" s="85" t="s">
        <v>380</v>
      </c>
      <c r="D878" s="85"/>
      <c r="E878" s="85"/>
      <c r="F878" s="85"/>
      <c r="G878" s="406" t="s">
        <v>237</v>
      </c>
      <c r="H878" s="407"/>
      <c r="I878" s="85"/>
      <c r="J878" s="83">
        <f>IF(G878=$B$998,$A$998,IF(G878=$B$999,$A$999,IF(G878=$B$1000,$A$1000,IF(G878=$B$1001,$A$1001,IF(G878=$B$1002,$A$1002,"Not Calculated")))))</f>
        <v>1</v>
      </c>
      <c r="K878" s="87"/>
    </row>
    <row r="879" spans="2:11" x14ac:dyDescent="0.2">
      <c r="B879" s="81"/>
      <c r="C879" s="85" t="s">
        <v>134</v>
      </c>
      <c r="D879" s="85"/>
      <c r="E879" s="85"/>
      <c r="F879" s="85"/>
      <c r="G879" s="85"/>
      <c r="H879" s="85"/>
      <c r="I879" s="85"/>
      <c r="J879" s="240">
        <f>'Baseline PHP'!J180</f>
        <v>0</v>
      </c>
      <c r="K879" s="87"/>
    </row>
    <row r="880" spans="2:11" x14ac:dyDescent="0.2">
      <c r="B880" s="81"/>
      <c r="C880" s="85"/>
      <c r="D880" s="85"/>
      <c r="E880" s="85"/>
      <c r="F880" s="85"/>
      <c r="G880" s="85"/>
      <c r="H880" s="85"/>
      <c r="I880" s="85"/>
      <c r="J880" s="85"/>
      <c r="K880" s="87"/>
    </row>
    <row r="881" spans="2:11" ht="16" x14ac:dyDescent="0.2">
      <c r="B881" s="81"/>
      <c r="C881" s="211" t="s">
        <v>651</v>
      </c>
      <c r="D881" s="85"/>
      <c r="E881" s="85"/>
      <c r="F881" s="85"/>
      <c r="G881" s="85"/>
      <c r="H881" s="85"/>
      <c r="I881" s="85"/>
      <c r="J881" s="85"/>
      <c r="K881" s="87"/>
    </row>
    <row r="882" spans="2:11" x14ac:dyDescent="0.2">
      <c r="B882" s="81"/>
      <c r="C882" s="85" t="s">
        <v>380</v>
      </c>
      <c r="D882" s="85"/>
      <c r="E882" s="85"/>
      <c r="F882" s="85"/>
      <c r="G882" s="406" t="s">
        <v>234</v>
      </c>
      <c r="H882" s="407"/>
      <c r="I882" s="85"/>
      <c r="J882" s="83">
        <f>IF(G882=$B$998,$A$998,IF(G882=$B$999,$A$999,IF(G882=$B$1000,$A$1000,IF(G882=$B$1001,$A$1001,IF(G882=$B$1002,$A$1002,"Not Calculated")))))</f>
        <v>4</v>
      </c>
      <c r="K882" s="87"/>
    </row>
    <row r="883" spans="2:11" x14ac:dyDescent="0.2">
      <c r="B883" s="81"/>
      <c r="C883" s="85" t="s">
        <v>134</v>
      </c>
      <c r="D883" s="85"/>
      <c r="E883" s="85"/>
      <c r="F883" s="85"/>
      <c r="G883" s="85"/>
      <c r="H883" s="85"/>
      <c r="I883" s="85"/>
      <c r="J883" s="240">
        <f>'Baseline PHP'!J194</f>
        <v>0</v>
      </c>
      <c r="K883" s="87"/>
    </row>
    <row r="884" spans="2:11" x14ac:dyDescent="0.2">
      <c r="B884" s="81"/>
      <c r="C884" s="85"/>
      <c r="D884" s="85"/>
      <c r="E884" s="85"/>
      <c r="F884" s="85"/>
      <c r="G884" s="85"/>
      <c r="H884" s="85"/>
      <c r="I884" s="85"/>
      <c r="J884" s="85"/>
      <c r="K884" s="87"/>
    </row>
    <row r="885" spans="2:11" ht="16" x14ac:dyDescent="0.2">
      <c r="B885" s="81"/>
      <c r="C885" s="211" t="s">
        <v>652</v>
      </c>
      <c r="D885" s="85"/>
      <c r="E885" s="85"/>
      <c r="F885" s="85"/>
      <c r="G885" s="85"/>
      <c r="H885" s="85"/>
      <c r="I885" s="85"/>
      <c r="J885" s="85"/>
      <c r="K885" s="87"/>
    </row>
    <row r="886" spans="2:11" x14ac:dyDescent="0.2">
      <c r="B886" s="81"/>
      <c r="C886" s="85" t="s">
        <v>380</v>
      </c>
      <c r="D886" s="85"/>
      <c r="E886" s="85"/>
      <c r="F886" s="85"/>
      <c r="G886" s="406" t="s">
        <v>238</v>
      </c>
      <c r="H886" s="407"/>
      <c r="I886" s="85"/>
      <c r="J886" s="83">
        <f>IF(G886=$B$998,$A$998,IF(G886=$B$999,$A$999,IF(G886=$B$1000,$A$1000,IF(G886=$B$1001,$A$1001,IF(G886=$B$1002,$A$1002,"Not Calculated")))))</f>
        <v>3</v>
      </c>
      <c r="K886" s="87"/>
    </row>
    <row r="887" spans="2:11" x14ac:dyDescent="0.2">
      <c r="B887" s="81"/>
      <c r="C887" s="85" t="s">
        <v>134</v>
      </c>
      <c r="D887" s="85"/>
      <c r="E887" s="85"/>
      <c r="F887" s="85"/>
      <c r="G887" s="85"/>
      <c r="H887" s="85"/>
      <c r="I887" s="85"/>
      <c r="J887" s="240">
        <f>'Baseline PHP'!J208</f>
        <v>0</v>
      </c>
      <c r="K887" s="87"/>
    </row>
    <row r="888" spans="2:11" x14ac:dyDescent="0.2">
      <c r="B888" s="81"/>
      <c r="C888" s="85"/>
      <c r="D888" s="85"/>
      <c r="E888" s="85"/>
      <c r="F888" s="85"/>
      <c r="G888" s="85"/>
      <c r="H888" s="85"/>
      <c r="I888" s="85"/>
      <c r="J888" s="85"/>
      <c r="K888" s="87"/>
    </row>
    <row r="889" spans="2:11" ht="16" x14ac:dyDescent="0.2">
      <c r="B889" s="81"/>
      <c r="C889" s="211" t="s">
        <v>653</v>
      </c>
      <c r="D889" s="85"/>
      <c r="E889" s="85"/>
      <c r="F889" s="85"/>
      <c r="G889" s="85"/>
      <c r="H889" s="85"/>
      <c r="I889" s="85"/>
      <c r="J889" s="85"/>
      <c r="K889" s="87"/>
    </row>
    <row r="890" spans="2:11" x14ac:dyDescent="0.2">
      <c r="B890" s="81"/>
      <c r="C890" s="85" t="s">
        <v>380</v>
      </c>
      <c r="D890" s="85"/>
      <c r="E890" s="85"/>
      <c r="F890" s="85"/>
      <c r="G890" s="406" t="s">
        <v>237</v>
      </c>
      <c r="H890" s="407"/>
      <c r="I890" s="85"/>
      <c r="J890" s="83">
        <f>IF(G890=$B$998,$A$998,IF(G890=$B$999,$A$999,IF(G890=$B$1000,$A$1000,IF(G890=$B$1001,$A$1001,IF(G890=$B$1002,$A$1002,"Not Calculated")))))</f>
        <v>1</v>
      </c>
      <c r="K890" s="87"/>
    </row>
    <row r="891" spans="2:11" x14ac:dyDescent="0.2">
      <c r="B891" s="81"/>
      <c r="C891" s="85" t="s">
        <v>134</v>
      </c>
      <c r="D891" s="85"/>
      <c r="E891" s="85"/>
      <c r="F891" s="85"/>
      <c r="G891" s="85"/>
      <c r="H891" s="85"/>
      <c r="I891" s="85"/>
      <c r="J891" s="240">
        <f>'Baseline PHP'!J222</f>
        <v>0</v>
      </c>
      <c r="K891" s="87"/>
    </row>
    <row r="892" spans="2:11" x14ac:dyDescent="0.2">
      <c r="B892" s="81"/>
      <c r="C892" s="85"/>
      <c r="D892" s="85"/>
      <c r="E892" s="85"/>
      <c r="F892" s="85"/>
      <c r="G892" s="85"/>
      <c r="H892" s="85"/>
      <c r="I892" s="85"/>
      <c r="J892" s="85"/>
      <c r="K892" s="87"/>
    </row>
    <row r="893" spans="2:11" x14ac:dyDescent="0.2">
      <c r="B893" s="81"/>
      <c r="C893" s="85"/>
      <c r="D893" s="85"/>
      <c r="E893" s="85"/>
      <c r="F893" s="85"/>
      <c r="G893" s="85"/>
      <c r="H893" s="85"/>
      <c r="I893" s="85"/>
      <c r="J893" s="85"/>
      <c r="K893" s="87"/>
    </row>
    <row r="894" spans="2:11" ht="16" x14ac:dyDescent="0.2">
      <c r="B894" s="81"/>
      <c r="C894" s="212" t="s">
        <v>813</v>
      </c>
      <c r="D894" s="85"/>
      <c r="E894" s="85"/>
      <c r="F894" s="85"/>
      <c r="G894" s="85"/>
      <c r="H894" s="85"/>
      <c r="I894" s="85"/>
      <c r="J894" s="241">
        <f>IF(OR(J854="Not Calculated",J858="Not Calculated",J862="Not Calculated",J866="Not Calculated",J870="Not Calculated",J874="Not Calculated",J878="Not Calculated",J882="Not Calculated",J886="Not Calculated",J890="Not Calculated",J834="Not Calculated",J838="Not Calculated",J842="Not Calculated",J846="Not Calculated",J850="Not Calculated",J855="Not Calculated",J859="Not Calculated",J863="Not Calculated",J867="Not Calculated",J871="Not Calculated",J875="Not Calculated",J879="Not Calculated",J883="Not Calculated",J887="Not Calculated",J891="Not Calculated",J835="Not Calculated",J839="Not Calculated",J843="Not Calculated",J847="Not Calculated",J851="Not Calculated")=TRUE,"Not Calculated",((J834*J835)+(J838*J839)+(J842*J843)+(J846*J847)+(J850*J851)+(J854*J855)+(J858*J859)+(J862*J863)+(J866*J867)+(J870*J871)+(J874*J875)+(J878*J879)+(J882*J883)+(J886*J887)+(J890*J891))/(J834+J838+J842+J846+J850+J854+J858+J862+J866+J870+J874+J878+J882+J886+J890))</f>
        <v>0</v>
      </c>
      <c r="K894" s="87"/>
    </row>
    <row r="895" spans="2:11" ht="16" thickBot="1" x14ac:dyDescent="0.25">
      <c r="B895" s="213"/>
      <c r="C895" s="94"/>
      <c r="D895" s="94"/>
      <c r="E895" s="94"/>
      <c r="F895" s="94"/>
      <c r="G895" s="94"/>
      <c r="H895" s="94"/>
      <c r="I895" s="94"/>
      <c r="J895" s="94"/>
      <c r="K895" s="96"/>
    </row>
    <row r="896" spans="2:11" ht="16" thickBot="1" x14ac:dyDescent="0.25"/>
    <row r="897" spans="2:11" x14ac:dyDescent="0.2">
      <c r="B897" s="77"/>
      <c r="C897" s="78"/>
      <c r="D897" s="78"/>
      <c r="E897" s="78"/>
      <c r="F897" s="78"/>
      <c r="G897" s="78"/>
      <c r="H897" s="78"/>
      <c r="I897" s="78"/>
      <c r="J897" s="78"/>
      <c r="K897" s="80"/>
    </row>
    <row r="898" spans="2:11" ht="21" x14ac:dyDescent="0.25">
      <c r="B898" s="81"/>
      <c r="C898" s="85"/>
      <c r="D898" s="85"/>
      <c r="E898" s="85"/>
      <c r="F898" s="85"/>
      <c r="G898" s="210" t="s">
        <v>807</v>
      </c>
      <c r="H898" s="85"/>
      <c r="I898" s="85"/>
      <c r="J898" s="85"/>
      <c r="K898" s="87"/>
    </row>
    <row r="899" spans="2:11" x14ac:dyDescent="0.2">
      <c r="B899" s="81"/>
      <c r="C899" s="85"/>
      <c r="D899" s="85"/>
      <c r="E899" s="85"/>
      <c r="F899" s="85"/>
      <c r="G899" s="85"/>
      <c r="H899" s="85"/>
      <c r="I899" s="85"/>
      <c r="J899" s="85"/>
      <c r="K899" s="87"/>
    </row>
    <row r="900" spans="2:11" ht="15" customHeight="1" x14ac:dyDescent="0.2">
      <c r="B900" s="81"/>
      <c r="C900" s="424" t="s">
        <v>809</v>
      </c>
      <c r="D900" s="424"/>
      <c r="E900" s="424"/>
      <c r="F900" s="424"/>
      <c r="G900" s="424"/>
      <c r="H900" s="424"/>
      <c r="I900" s="424"/>
      <c r="J900" s="424"/>
      <c r="K900" s="87"/>
    </row>
    <row r="901" spans="2:11" x14ac:dyDescent="0.2">
      <c r="B901" s="81"/>
      <c r="C901" s="424"/>
      <c r="D901" s="424"/>
      <c r="E901" s="424"/>
      <c r="F901" s="424"/>
      <c r="G901" s="424"/>
      <c r="H901" s="424"/>
      <c r="I901" s="424"/>
      <c r="J901" s="424"/>
      <c r="K901" s="87"/>
    </row>
    <row r="902" spans="2:11" x14ac:dyDescent="0.2">
      <c r="B902" s="81"/>
      <c r="C902" s="85"/>
      <c r="D902" s="85"/>
      <c r="E902" s="85"/>
      <c r="F902" s="85"/>
      <c r="G902" s="85"/>
      <c r="H902" s="85"/>
      <c r="I902" s="85"/>
      <c r="J902" s="85"/>
      <c r="K902" s="87"/>
    </row>
    <row r="903" spans="2:11" ht="16" x14ac:dyDescent="0.2">
      <c r="B903" s="81"/>
      <c r="C903" s="211" t="s">
        <v>810</v>
      </c>
      <c r="D903" s="85"/>
      <c r="E903" s="85"/>
      <c r="F903" s="85"/>
      <c r="G903" s="85"/>
      <c r="H903" s="85"/>
      <c r="I903" s="85"/>
      <c r="J903" s="85"/>
      <c r="K903" s="87"/>
    </row>
    <row r="904" spans="2:11" x14ac:dyDescent="0.2">
      <c r="B904" s="81"/>
      <c r="C904" s="85" t="s">
        <v>380</v>
      </c>
      <c r="D904" s="85"/>
      <c r="E904" s="85"/>
      <c r="F904" s="85"/>
      <c r="G904" s="406" t="s">
        <v>234</v>
      </c>
      <c r="H904" s="407"/>
      <c r="I904" s="85"/>
      <c r="J904" s="83">
        <f>IF(G904=$B$998,$A$998,IF(G904=$B$999,$A$999,IF(G904=$B$1000,$A$1000,IF(G904=$B$1001,$A$1001,IF(G904=$B$1002,$A$1002,"Not Calculated")))))</f>
        <v>4</v>
      </c>
      <c r="K904" s="87"/>
    </row>
    <row r="905" spans="2:11" x14ac:dyDescent="0.2">
      <c r="B905" s="81"/>
      <c r="C905" s="85" t="s">
        <v>134</v>
      </c>
      <c r="D905" s="85"/>
      <c r="E905" s="85"/>
      <c r="F905" s="85"/>
      <c r="G905" s="85"/>
      <c r="H905" s="85"/>
      <c r="I905" s="85"/>
      <c r="J905" s="240">
        <f>'Baseline HP'!J22</f>
        <v>0</v>
      </c>
      <c r="K905" s="87"/>
    </row>
    <row r="906" spans="2:11" x14ac:dyDescent="0.2">
      <c r="B906" s="81"/>
      <c r="C906" s="85"/>
      <c r="D906" s="85"/>
      <c r="E906" s="85"/>
      <c r="F906" s="85"/>
      <c r="G906" s="85"/>
      <c r="H906" s="85"/>
      <c r="I906" s="85"/>
      <c r="J906" s="85"/>
      <c r="K906" s="87"/>
    </row>
    <row r="907" spans="2:11" ht="16" x14ac:dyDescent="0.2">
      <c r="B907" s="81"/>
      <c r="C907" s="211" t="s">
        <v>811</v>
      </c>
      <c r="D907" s="85"/>
      <c r="E907" s="85"/>
      <c r="F907" s="85"/>
      <c r="G907" s="85"/>
      <c r="H907" s="85"/>
      <c r="I907" s="85"/>
      <c r="J907" s="85"/>
      <c r="K907" s="87"/>
    </row>
    <row r="908" spans="2:11" x14ac:dyDescent="0.2">
      <c r="B908" s="81"/>
      <c r="C908" s="85" t="s">
        <v>380</v>
      </c>
      <c r="D908" s="85"/>
      <c r="E908" s="85"/>
      <c r="F908" s="85"/>
      <c r="G908" s="406" t="s">
        <v>234</v>
      </c>
      <c r="H908" s="407"/>
      <c r="I908" s="85"/>
      <c r="J908" s="83">
        <f>IF(G908=$B$998,$A$998,IF(G908=$B$999,$A$999,IF(G908=$B$1000,$A$1000,IF(G908=$B$1001,$A$1001,IF(G908=$B$1002,$A$1002,"Not Calculated")))))</f>
        <v>4</v>
      </c>
      <c r="K908" s="87"/>
    </row>
    <row r="909" spans="2:11" x14ac:dyDescent="0.2">
      <c r="B909" s="81"/>
      <c r="C909" s="85" t="s">
        <v>134</v>
      </c>
      <c r="D909" s="85"/>
      <c r="E909" s="85"/>
      <c r="F909" s="85"/>
      <c r="G909" s="85"/>
      <c r="H909" s="85"/>
      <c r="I909" s="85"/>
      <c r="J909" s="240">
        <f>'Baseline HP'!J32</f>
        <v>0</v>
      </c>
      <c r="K909" s="87"/>
    </row>
    <row r="910" spans="2:11" x14ac:dyDescent="0.2">
      <c r="B910" s="81"/>
      <c r="C910" s="85"/>
      <c r="D910" s="85"/>
      <c r="E910" s="85"/>
      <c r="F910" s="85"/>
      <c r="G910" s="85"/>
      <c r="H910" s="85"/>
      <c r="I910" s="85"/>
      <c r="J910" s="85"/>
      <c r="K910" s="87"/>
    </row>
    <row r="911" spans="2:11" ht="16" x14ac:dyDescent="0.2">
      <c r="B911" s="81"/>
      <c r="C911" s="211" t="s">
        <v>645</v>
      </c>
      <c r="D911" s="85"/>
      <c r="E911" s="85"/>
      <c r="F911" s="85"/>
      <c r="G911" s="85"/>
      <c r="H911" s="85"/>
      <c r="I911" s="85"/>
      <c r="J911" s="85"/>
      <c r="K911" s="87"/>
    </row>
    <row r="912" spans="2:11" x14ac:dyDescent="0.2">
      <c r="B912" s="81"/>
      <c r="C912" s="85" t="s">
        <v>380</v>
      </c>
      <c r="D912" s="85"/>
      <c r="E912" s="85"/>
      <c r="F912" s="85"/>
      <c r="G912" s="406" t="s">
        <v>235</v>
      </c>
      <c r="H912" s="407"/>
      <c r="I912" s="85"/>
      <c r="J912" s="83">
        <f>IF(G912=$B$998,$A$998,IF(G912=$B$999,$A$999,IF(G912=$B$1000,$A$1000,IF(G912=$B$1001,$A$1001,IF(G912=$B$1002,$A$1002,"Not Calculated")))))</f>
        <v>2</v>
      </c>
      <c r="K912" s="87"/>
    </row>
    <row r="913" spans="2:11" x14ac:dyDescent="0.2">
      <c r="B913" s="81"/>
      <c r="C913" s="85" t="s">
        <v>134</v>
      </c>
      <c r="D913" s="85"/>
      <c r="E913" s="85"/>
      <c r="F913" s="85"/>
      <c r="G913" s="85"/>
      <c r="H913" s="85"/>
      <c r="I913" s="85"/>
      <c r="J913" s="240">
        <f>'Baseline HP'!J46</f>
        <v>0</v>
      </c>
      <c r="K913" s="87"/>
    </row>
    <row r="914" spans="2:11" x14ac:dyDescent="0.2">
      <c r="B914" s="81"/>
      <c r="C914" s="85"/>
      <c r="D914" s="85"/>
      <c r="E914" s="85"/>
      <c r="F914" s="85"/>
      <c r="G914" s="85"/>
      <c r="H914" s="85"/>
      <c r="I914" s="85"/>
      <c r="J914" s="85"/>
      <c r="K914" s="87"/>
    </row>
    <row r="915" spans="2:11" ht="16" x14ac:dyDescent="0.2">
      <c r="B915" s="81"/>
      <c r="C915" s="211" t="s">
        <v>648</v>
      </c>
      <c r="D915" s="85"/>
      <c r="E915" s="85"/>
      <c r="F915" s="85"/>
      <c r="G915" s="85"/>
      <c r="H915" s="85"/>
      <c r="I915" s="85"/>
      <c r="J915" s="85"/>
      <c r="K915" s="87"/>
    </row>
    <row r="916" spans="2:11" ht="15" customHeight="1" x14ac:dyDescent="0.2">
      <c r="B916" s="81"/>
      <c r="C916" s="85" t="s">
        <v>380</v>
      </c>
      <c r="D916" s="85"/>
      <c r="E916" s="85"/>
      <c r="F916" s="85"/>
      <c r="G916" s="406" t="s">
        <v>234</v>
      </c>
      <c r="H916" s="407"/>
      <c r="I916" s="85"/>
      <c r="J916" s="83">
        <f>IF(G916=$B$998,$A$998,IF(G916=$B$999,$A$999,IF(G916=$B$1000,$A$1000,IF(G916=$B$1001,$A$1001,IF(G916=$B$1002,$A$1002,"Not Calculated")))))</f>
        <v>4</v>
      </c>
      <c r="K916" s="87"/>
    </row>
    <row r="917" spans="2:11" x14ac:dyDescent="0.2">
      <c r="B917" s="81"/>
      <c r="C917" s="85" t="s">
        <v>134</v>
      </c>
      <c r="D917" s="85"/>
      <c r="E917" s="85"/>
      <c r="F917" s="85"/>
      <c r="G917" s="85"/>
      <c r="H917" s="85"/>
      <c r="I917" s="85"/>
      <c r="J917" s="240">
        <f>'Baseline HP'!J58</f>
        <v>0</v>
      </c>
      <c r="K917" s="87"/>
    </row>
    <row r="918" spans="2:11" x14ac:dyDescent="0.2">
      <c r="B918" s="81"/>
      <c r="C918" s="85"/>
      <c r="D918" s="85"/>
      <c r="E918" s="85"/>
      <c r="F918" s="85"/>
      <c r="G918" s="85"/>
      <c r="H918" s="85"/>
      <c r="I918" s="85"/>
      <c r="J918" s="85"/>
      <c r="K918" s="87"/>
    </row>
    <row r="919" spans="2:11" ht="16" x14ac:dyDescent="0.2">
      <c r="B919" s="81"/>
      <c r="C919" s="211" t="s">
        <v>647</v>
      </c>
      <c r="D919" s="85"/>
      <c r="E919" s="85"/>
      <c r="F919" s="85"/>
      <c r="G919" s="85"/>
      <c r="H919" s="85"/>
      <c r="I919" s="85"/>
      <c r="J919" s="85"/>
      <c r="K919" s="87"/>
    </row>
    <row r="920" spans="2:11" x14ac:dyDescent="0.2">
      <c r="B920" s="81"/>
      <c r="C920" s="85" t="s">
        <v>380</v>
      </c>
      <c r="D920" s="85"/>
      <c r="E920" s="85"/>
      <c r="F920" s="85"/>
      <c r="G920" s="406" t="s">
        <v>234</v>
      </c>
      <c r="H920" s="407"/>
      <c r="I920" s="85"/>
      <c r="J920" s="83">
        <f>IF(G920=$B$998,$A$998,IF(G920=$B$999,$A$999,IF(G920=$B$1000,$A$1000,IF(G920=$B$1001,$A$1001,IF(G920=$B$1002,$A$1002,"Not Calculated")))))</f>
        <v>4</v>
      </c>
      <c r="K920" s="87"/>
    </row>
    <row r="921" spans="2:11" x14ac:dyDescent="0.2">
      <c r="B921" s="81"/>
      <c r="C921" s="85" t="s">
        <v>134</v>
      </c>
      <c r="D921" s="85"/>
      <c r="E921" s="85"/>
      <c r="F921" s="85"/>
      <c r="G921" s="85"/>
      <c r="H921" s="85"/>
      <c r="I921" s="85"/>
      <c r="J921" s="240">
        <f>'Baseline HP'!J68</f>
        <v>0</v>
      </c>
      <c r="K921" s="87"/>
    </row>
    <row r="922" spans="2:11" x14ac:dyDescent="0.2">
      <c r="B922" s="81"/>
      <c r="C922" s="85"/>
      <c r="D922" s="85"/>
      <c r="E922" s="85"/>
      <c r="F922" s="85"/>
      <c r="G922" s="85"/>
      <c r="H922" s="85"/>
      <c r="I922" s="85"/>
      <c r="J922" s="85"/>
      <c r="K922" s="87"/>
    </row>
    <row r="923" spans="2:11" ht="16" x14ac:dyDescent="0.2">
      <c r="B923" s="81"/>
      <c r="C923" s="211" t="s">
        <v>121</v>
      </c>
      <c r="D923" s="85"/>
      <c r="E923" s="85"/>
      <c r="F923" s="85"/>
      <c r="G923" s="85"/>
      <c r="H923" s="85"/>
      <c r="I923" s="85"/>
      <c r="J923" s="85"/>
      <c r="K923" s="87"/>
    </row>
    <row r="924" spans="2:11" x14ac:dyDescent="0.2">
      <c r="B924" s="81"/>
      <c r="C924" s="85" t="s">
        <v>380</v>
      </c>
      <c r="D924" s="85"/>
      <c r="E924" s="85"/>
      <c r="F924" s="85"/>
      <c r="G924" s="406" t="s">
        <v>234</v>
      </c>
      <c r="H924" s="407"/>
      <c r="I924" s="85"/>
      <c r="J924" s="83">
        <f>IF(G924=$B$998,$A$998,IF(G924=$B$999,$A$999,IF(G924=$B$1000,$A$1000,IF(G924=$B$1001,$A$1001,IF(G924=$B$1002,$A$1002,"Not Calculated")))))</f>
        <v>4</v>
      </c>
      <c r="K924" s="87"/>
    </row>
    <row r="925" spans="2:11" x14ac:dyDescent="0.2">
      <c r="B925" s="81"/>
      <c r="C925" s="85" t="s">
        <v>134</v>
      </c>
      <c r="D925" s="85"/>
      <c r="E925" s="85"/>
      <c r="F925" s="85"/>
      <c r="G925" s="85"/>
      <c r="H925" s="85"/>
      <c r="I925" s="85"/>
      <c r="J925" s="240">
        <f>'Baseline HP'!J84</f>
        <v>0</v>
      </c>
      <c r="K925" s="87"/>
    </row>
    <row r="926" spans="2:11" x14ac:dyDescent="0.2">
      <c r="B926" s="81"/>
      <c r="C926" s="85"/>
      <c r="D926" s="85"/>
      <c r="E926" s="85"/>
      <c r="F926" s="85"/>
      <c r="G926" s="85"/>
      <c r="H926" s="85"/>
      <c r="I926" s="85"/>
      <c r="J926" s="85"/>
      <c r="K926" s="87"/>
    </row>
    <row r="927" spans="2:11" ht="16" x14ac:dyDescent="0.2">
      <c r="B927" s="81"/>
      <c r="C927" s="211" t="s">
        <v>652</v>
      </c>
      <c r="D927" s="85"/>
      <c r="E927" s="85"/>
      <c r="F927" s="85"/>
      <c r="G927" s="85"/>
      <c r="H927" s="85"/>
      <c r="I927" s="85"/>
      <c r="J927" s="85"/>
      <c r="K927" s="87"/>
    </row>
    <row r="928" spans="2:11" x14ac:dyDescent="0.2">
      <c r="B928" s="81"/>
      <c r="C928" s="85" t="s">
        <v>380</v>
      </c>
      <c r="D928" s="85"/>
      <c r="E928" s="85"/>
      <c r="F928" s="85"/>
      <c r="G928" s="406" t="s">
        <v>238</v>
      </c>
      <c r="H928" s="407"/>
      <c r="I928" s="85"/>
      <c r="J928" s="83">
        <f>IF(G928=$B$998,$A$998,IF(G928=$B$999,$A$999,IF(G928=$B$1000,$A$1000,IF(G928=$B$1001,$A$1001,IF(G928=$B$1002,$A$1002,"Not Calculated")))))</f>
        <v>3</v>
      </c>
      <c r="K928" s="87"/>
    </row>
    <row r="929" spans="2:11" x14ac:dyDescent="0.2">
      <c r="B929" s="81"/>
      <c r="C929" s="85" t="s">
        <v>134</v>
      </c>
      <c r="D929" s="85"/>
      <c r="E929" s="85"/>
      <c r="F929" s="85"/>
      <c r="G929" s="85"/>
      <c r="H929" s="85"/>
      <c r="I929" s="85"/>
      <c r="J929" s="240">
        <f>'Baseline HP'!J94</f>
        <v>0</v>
      </c>
      <c r="K929" s="87"/>
    </row>
    <row r="930" spans="2:11" x14ac:dyDescent="0.2">
      <c r="B930" s="81"/>
      <c r="C930" s="85"/>
      <c r="D930" s="85"/>
      <c r="E930" s="85"/>
      <c r="F930" s="85"/>
      <c r="G930" s="85"/>
      <c r="H930" s="85"/>
      <c r="I930" s="85"/>
      <c r="J930" s="85"/>
      <c r="K930" s="87"/>
    </row>
    <row r="931" spans="2:11" ht="16" x14ac:dyDescent="0.2">
      <c r="B931" s="81"/>
      <c r="C931" s="211" t="s">
        <v>653</v>
      </c>
      <c r="D931" s="85"/>
      <c r="E931" s="85"/>
      <c r="F931" s="85"/>
      <c r="G931" s="85"/>
      <c r="H931" s="85"/>
      <c r="I931" s="85"/>
      <c r="J931" s="85"/>
      <c r="K931" s="87"/>
    </row>
    <row r="932" spans="2:11" x14ac:dyDescent="0.2">
      <c r="B932" s="81"/>
      <c r="C932" s="85" t="s">
        <v>380</v>
      </c>
      <c r="D932" s="85"/>
      <c r="E932" s="85"/>
      <c r="F932" s="85"/>
      <c r="G932" s="406" t="s">
        <v>237</v>
      </c>
      <c r="H932" s="407"/>
      <c r="I932" s="85"/>
      <c r="J932" s="83">
        <f>IF(G932=$B$998,$A$998,IF(G932=$B$999,$A$999,IF(G932=$B$1000,$A$1000,IF(G932=$B$1001,$A$1001,IF(G932=$B$1002,$A$1002,"Not Calculated")))))</f>
        <v>1</v>
      </c>
      <c r="K932" s="87"/>
    </row>
    <row r="933" spans="2:11" x14ac:dyDescent="0.2">
      <c r="B933" s="81"/>
      <c r="C933" s="85" t="s">
        <v>134</v>
      </c>
      <c r="D933" s="85"/>
      <c r="E933" s="85"/>
      <c r="F933" s="85"/>
      <c r="G933" s="85"/>
      <c r="H933" s="85"/>
      <c r="I933" s="85"/>
      <c r="J933" s="240">
        <f>'Baseline HP'!J108</f>
        <v>0</v>
      </c>
      <c r="K933" s="87"/>
    </row>
    <row r="934" spans="2:11" x14ac:dyDescent="0.2">
      <c r="B934" s="81"/>
      <c r="C934" s="85"/>
      <c r="D934" s="85"/>
      <c r="E934" s="85"/>
      <c r="F934" s="85"/>
      <c r="G934" s="85"/>
      <c r="H934" s="85"/>
      <c r="I934" s="85"/>
      <c r="J934" s="85"/>
      <c r="K934" s="87"/>
    </row>
    <row r="935" spans="2:11" x14ac:dyDescent="0.2">
      <c r="B935" s="81"/>
      <c r="C935" s="85"/>
      <c r="D935" s="85"/>
      <c r="E935" s="85"/>
      <c r="F935" s="85"/>
      <c r="G935" s="85"/>
      <c r="H935" s="85"/>
      <c r="I935" s="85"/>
      <c r="J935" s="85"/>
      <c r="K935" s="87"/>
    </row>
    <row r="936" spans="2:11" ht="16" x14ac:dyDescent="0.2">
      <c r="B936" s="81"/>
      <c r="C936" s="212" t="s">
        <v>812</v>
      </c>
      <c r="D936" s="85"/>
      <c r="E936" s="85"/>
      <c r="F936" s="85"/>
      <c r="G936" s="85"/>
      <c r="H936" s="85"/>
      <c r="I936" s="85"/>
      <c r="J936" s="241">
        <f>IF(OR(J920="Not Calculated",J924="Not Calculated",J928="Not Calculated",J932="Not Calculated",J904="Not Calculated",J908="Not Calculated",J912="Not Calculated",J916="Not Calculated",J921="Not Calculated",J925="Not Calculated",J929="Not Calculated",J933="Not Calculated",J905="Not Calculated",J909="Not Calculated",J913="Not Calculated",J917="Not Calculated")=TRUE,"Not Calculated",((J904*J905)+(J908*J909)+(J912*J913)+(J916*J917)+(J920*J921)+(J924*J925)+(J928*J929)+(J932*J933))/(J904+J908+J912+J916+J920+J924+J928+J932))</f>
        <v>0</v>
      </c>
      <c r="K936" s="87"/>
    </row>
    <row r="937" spans="2:11" ht="16" thickBot="1" x14ac:dyDescent="0.25">
      <c r="B937" s="213"/>
      <c r="C937" s="94"/>
      <c r="D937" s="94"/>
      <c r="E937" s="94"/>
      <c r="F937" s="94"/>
      <c r="G937" s="94"/>
      <c r="H937" s="94"/>
      <c r="I937" s="94"/>
      <c r="J937" s="94"/>
      <c r="K937" s="96"/>
    </row>
    <row r="938" spans="2:11" ht="16" thickBot="1" x14ac:dyDescent="0.25"/>
    <row r="939" spans="2:11" x14ac:dyDescent="0.2">
      <c r="B939" s="77"/>
      <c r="C939" s="78"/>
      <c r="D939" s="78"/>
      <c r="E939" s="78"/>
      <c r="F939" s="78"/>
      <c r="G939" s="78"/>
      <c r="H939" s="78"/>
      <c r="I939" s="78"/>
      <c r="J939" s="78"/>
      <c r="K939" s="80"/>
    </row>
    <row r="940" spans="2:11" ht="21" x14ac:dyDescent="0.25">
      <c r="B940" s="81"/>
      <c r="C940" s="85"/>
      <c r="D940" s="85"/>
      <c r="E940" s="85"/>
      <c r="F940" s="85"/>
      <c r="G940" s="210" t="s">
        <v>815</v>
      </c>
      <c r="H940" s="85"/>
      <c r="I940" s="85"/>
      <c r="J940" s="85"/>
      <c r="K940" s="87"/>
    </row>
    <row r="941" spans="2:11" ht="21" x14ac:dyDescent="0.25">
      <c r="B941" s="81"/>
      <c r="C941" s="85"/>
      <c r="D941" s="85"/>
      <c r="E941" s="85"/>
      <c r="F941" s="85"/>
      <c r="G941" s="210"/>
      <c r="H941" s="85"/>
      <c r="I941" s="85"/>
      <c r="J941" s="85"/>
      <c r="K941" s="87"/>
    </row>
    <row r="942" spans="2:11" ht="16" x14ac:dyDescent="0.2">
      <c r="B942" s="81"/>
      <c r="C942" s="212" t="s">
        <v>995</v>
      </c>
      <c r="D942" s="85"/>
      <c r="E942" s="85"/>
      <c r="F942" s="85"/>
      <c r="G942" s="85"/>
      <c r="H942" s="85"/>
      <c r="I942" s="85"/>
      <c r="J942" s="241">
        <f>IF(OR(J936="Not Calculated",J894="Not Calculated")=TRUE,"Not Calculated",AVERAGE(J936,J894))</f>
        <v>0</v>
      </c>
      <c r="K942" s="87"/>
    </row>
    <row r="943" spans="2:11" ht="16" x14ac:dyDescent="0.2">
      <c r="B943" s="81"/>
      <c r="C943" s="212"/>
      <c r="D943" s="85" t="s">
        <v>814</v>
      </c>
      <c r="E943" s="85"/>
      <c r="F943" s="85"/>
      <c r="G943" s="85"/>
      <c r="H943" s="85"/>
      <c r="I943" s="85"/>
      <c r="J943" s="241"/>
      <c r="K943" s="87"/>
    </row>
    <row r="944" spans="2:11" ht="17" thickBot="1" x14ac:dyDescent="0.25">
      <c r="B944" s="213"/>
      <c r="C944" s="227"/>
      <c r="D944" s="94"/>
      <c r="E944" s="94"/>
      <c r="F944" s="94"/>
      <c r="G944" s="94"/>
      <c r="H944" s="94"/>
      <c r="I944" s="94"/>
      <c r="J944" s="228"/>
      <c r="K944" s="96"/>
    </row>
    <row r="945" spans="2:11" ht="16" thickBot="1" x14ac:dyDescent="0.25"/>
    <row r="946" spans="2:11" x14ac:dyDescent="0.2">
      <c r="B946" s="214"/>
      <c r="C946" s="215"/>
      <c r="D946" s="215"/>
      <c r="E946" s="215"/>
      <c r="F946" s="215"/>
      <c r="G946" s="215"/>
      <c r="H946" s="215"/>
      <c r="I946" s="215"/>
      <c r="J946" s="215"/>
      <c r="K946" s="216"/>
    </row>
    <row r="947" spans="2:11" ht="21" x14ac:dyDescent="0.25">
      <c r="B947" s="217"/>
      <c r="C947" s="218"/>
      <c r="D947" s="218"/>
      <c r="E947" s="218"/>
      <c r="F947" s="218"/>
      <c r="G947" s="219" t="s">
        <v>239</v>
      </c>
      <c r="H947" s="218"/>
      <c r="I947" s="218"/>
      <c r="J947" s="218"/>
      <c r="K947" s="220"/>
    </row>
    <row r="948" spans="2:11" x14ac:dyDescent="0.2">
      <c r="B948" s="217"/>
      <c r="C948" s="218"/>
      <c r="D948" s="218"/>
      <c r="E948" s="218"/>
      <c r="F948" s="218"/>
      <c r="G948" s="218"/>
      <c r="H948" s="218"/>
      <c r="I948" s="218"/>
      <c r="J948" s="218"/>
      <c r="K948" s="220"/>
    </row>
    <row r="949" spans="2:11" ht="16" x14ac:dyDescent="0.2">
      <c r="B949" s="217"/>
      <c r="C949" s="221" t="s">
        <v>393</v>
      </c>
      <c r="D949" s="218"/>
      <c r="E949" s="218"/>
      <c r="F949" s="218"/>
      <c r="G949" s="218"/>
      <c r="H949" s="218"/>
      <c r="I949" s="218"/>
      <c r="J949" s="242" t="str">
        <f>IF(OR(J817="Not Calculated",J942="Not Calculated")=TRUE,"Not Calculated",J817/J942)</f>
        <v>Not Calculated</v>
      </c>
      <c r="K949" s="220"/>
    </row>
    <row r="950" spans="2:11" x14ac:dyDescent="0.2">
      <c r="B950" s="217"/>
      <c r="C950" s="218"/>
      <c r="D950" s="218" t="s">
        <v>816</v>
      </c>
      <c r="E950" s="218"/>
      <c r="F950" s="218"/>
      <c r="G950" s="218"/>
      <c r="H950" s="218"/>
      <c r="I950" s="218"/>
      <c r="J950" s="218"/>
      <c r="K950" s="220"/>
    </row>
    <row r="951" spans="2:11" x14ac:dyDescent="0.2">
      <c r="B951" s="217"/>
      <c r="C951" s="218"/>
      <c r="D951" s="218"/>
      <c r="E951" s="218"/>
      <c r="F951" s="218"/>
      <c r="G951" s="218"/>
      <c r="H951" s="218"/>
      <c r="I951" s="218"/>
      <c r="J951" s="218"/>
      <c r="K951" s="220"/>
    </row>
    <row r="952" spans="2:11" ht="16" x14ac:dyDescent="0.2">
      <c r="B952" s="217"/>
      <c r="C952" s="221" t="s">
        <v>996</v>
      </c>
      <c r="D952" s="218"/>
      <c r="E952" s="218"/>
      <c r="F952" s="218"/>
      <c r="G952" s="218"/>
      <c r="H952" s="218"/>
      <c r="I952" s="218"/>
      <c r="J952" s="242" t="str">
        <f>IF(OR(J820="Not Calculated",J894="Not Calculated")=TRUE,"Not Calculated",J820/J894)</f>
        <v>Not Calculated</v>
      </c>
      <c r="K952" s="220"/>
    </row>
    <row r="953" spans="2:11" x14ac:dyDescent="0.2">
      <c r="B953" s="217"/>
      <c r="C953" s="218"/>
      <c r="D953" s="218" t="s">
        <v>817</v>
      </c>
      <c r="E953" s="218"/>
      <c r="F953" s="218"/>
      <c r="G953" s="218"/>
      <c r="H953" s="218"/>
      <c r="I953" s="218"/>
      <c r="J953" s="218"/>
      <c r="K953" s="220"/>
    </row>
    <row r="954" spans="2:11" x14ac:dyDescent="0.2">
      <c r="B954" s="217"/>
      <c r="C954" s="218"/>
      <c r="D954" s="218"/>
      <c r="E954" s="218"/>
      <c r="F954" s="218"/>
      <c r="G954" s="218"/>
      <c r="H954" s="218"/>
      <c r="I954" s="218"/>
      <c r="J954" s="218"/>
      <c r="K954" s="220"/>
    </row>
    <row r="955" spans="2:11" ht="16" x14ac:dyDescent="0.2">
      <c r="B955" s="217"/>
      <c r="C955" s="221" t="s">
        <v>997</v>
      </c>
      <c r="D955" s="218"/>
      <c r="E955" s="218"/>
      <c r="F955" s="218"/>
      <c r="G955" s="218"/>
      <c r="H955" s="218"/>
      <c r="I955" s="218"/>
      <c r="J955" s="242" t="str">
        <f>IF(OR(J936="Not Calculated",J823="Not Calculated")=TRUE,"Not Calculated",J823/J936)</f>
        <v>Not Calculated</v>
      </c>
      <c r="K955" s="220"/>
    </row>
    <row r="956" spans="2:11" x14ac:dyDescent="0.2">
      <c r="B956" s="217"/>
      <c r="C956" s="218"/>
      <c r="D956" s="218" t="s">
        <v>818</v>
      </c>
      <c r="E956" s="218"/>
      <c r="F956" s="218"/>
      <c r="G956" s="218"/>
      <c r="H956" s="218"/>
      <c r="I956" s="218"/>
      <c r="J956" s="218"/>
      <c r="K956" s="220"/>
    </row>
    <row r="957" spans="2:11" ht="16" thickBot="1" x14ac:dyDescent="0.25">
      <c r="B957" s="222"/>
      <c r="C957" s="223"/>
      <c r="D957" s="223"/>
      <c r="E957" s="223"/>
      <c r="F957" s="223"/>
      <c r="G957" s="223"/>
      <c r="H957" s="223"/>
      <c r="I957" s="223"/>
      <c r="J957" s="223"/>
      <c r="K957" s="224"/>
    </row>
    <row r="959" spans="2:11" ht="15" customHeight="1" x14ac:dyDescent="0.2">
      <c r="F959" s="405"/>
      <c r="G959" s="405"/>
      <c r="H959" s="405"/>
    </row>
    <row r="960" spans="2:11" x14ac:dyDescent="0.2">
      <c r="F960" s="405"/>
      <c r="G960" s="405"/>
      <c r="H960" s="405"/>
    </row>
    <row r="965" spans="1:3" ht="15" hidden="1" customHeight="1" x14ac:dyDescent="0.2">
      <c r="A965" s="12" t="s">
        <v>228</v>
      </c>
    </row>
    <row r="966" spans="1:3" ht="15" hidden="1" customHeight="1" x14ac:dyDescent="0.2">
      <c r="A966" s="12">
        <v>0</v>
      </c>
      <c r="B966" s="12" t="s">
        <v>250</v>
      </c>
      <c r="C966" s="12" t="s">
        <v>240</v>
      </c>
    </row>
    <row r="967" spans="1:3" ht="15" hidden="1" customHeight="1" x14ac:dyDescent="0.2">
      <c r="A967" s="12">
        <v>1</v>
      </c>
      <c r="B967" s="12" t="s">
        <v>251</v>
      </c>
      <c r="C967" s="12" t="s">
        <v>241</v>
      </c>
    </row>
    <row r="968" spans="1:3" ht="15" hidden="1" customHeight="1" x14ac:dyDescent="0.2">
      <c r="A968" s="12">
        <v>2</v>
      </c>
      <c r="B968" s="12" t="s">
        <v>252</v>
      </c>
      <c r="C968" s="12" t="s">
        <v>242</v>
      </c>
    </row>
    <row r="969" spans="1:3" ht="15" hidden="1" customHeight="1" x14ac:dyDescent="0.2">
      <c r="A969" s="12">
        <v>3</v>
      </c>
      <c r="B969" s="12" t="s">
        <v>253</v>
      </c>
      <c r="C969" s="12" t="s">
        <v>227</v>
      </c>
    </row>
    <row r="970" spans="1:3" ht="15" hidden="1" customHeight="1" x14ac:dyDescent="0.2">
      <c r="A970" s="12">
        <v>4</v>
      </c>
      <c r="B970" s="12" t="s">
        <v>254</v>
      </c>
      <c r="C970" s="12" t="s">
        <v>243</v>
      </c>
    </row>
    <row r="971" spans="1:3" ht="15" hidden="1" customHeight="1" x14ac:dyDescent="0.2"/>
    <row r="972" spans="1:3" ht="15" hidden="1" customHeight="1" x14ac:dyDescent="0.2">
      <c r="A972" s="12" t="s">
        <v>259</v>
      </c>
    </row>
    <row r="973" spans="1:3" ht="15" hidden="1" customHeight="1" x14ac:dyDescent="0.2">
      <c r="A973" s="12">
        <v>0</v>
      </c>
      <c r="B973" s="225" t="s">
        <v>870</v>
      </c>
    </row>
    <row r="974" spans="1:3" ht="15" hidden="1" customHeight="1" x14ac:dyDescent="0.2">
      <c r="A974" s="12">
        <v>1</v>
      </c>
      <c r="B974" s="12" t="s">
        <v>880</v>
      </c>
    </row>
    <row r="975" spans="1:3" ht="15" hidden="1" customHeight="1" x14ac:dyDescent="0.2">
      <c r="A975" s="12">
        <v>2</v>
      </c>
      <c r="B975" s="12" t="s">
        <v>872</v>
      </c>
    </row>
    <row r="976" spans="1:3" ht="15" hidden="1" customHeight="1" x14ac:dyDescent="0.2">
      <c r="A976" s="12">
        <v>3</v>
      </c>
      <c r="B976" s="12" t="s">
        <v>873</v>
      </c>
    </row>
    <row r="977" spans="1:2" ht="15" hidden="1" customHeight="1" x14ac:dyDescent="0.2">
      <c r="A977" s="12">
        <v>4</v>
      </c>
      <c r="B977" s="12" t="s">
        <v>874</v>
      </c>
    </row>
    <row r="978" spans="1:2" ht="15" hidden="1" customHeight="1" x14ac:dyDescent="0.2"/>
    <row r="979" spans="1:2" ht="15" hidden="1" customHeight="1" x14ac:dyDescent="0.2">
      <c r="A979" s="12" t="s">
        <v>294</v>
      </c>
    </row>
    <row r="980" spans="1:2" ht="15" hidden="1" customHeight="1" x14ac:dyDescent="0.2">
      <c r="A980" s="12">
        <v>0</v>
      </c>
      <c r="B980" s="225" t="s">
        <v>870</v>
      </c>
    </row>
    <row r="981" spans="1:2" ht="15" hidden="1" customHeight="1" x14ac:dyDescent="0.2">
      <c r="A981" s="12">
        <v>1</v>
      </c>
      <c r="B981" s="12" t="s">
        <v>875</v>
      </c>
    </row>
    <row r="982" spans="1:2" ht="15" hidden="1" customHeight="1" x14ac:dyDescent="0.2">
      <c r="A982" s="12">
        <v>2</v>
      </c>
      <c r="B982" s="12" t="s">
        <v>876</v>
      </c>
    </row>
    <row r="983" spans="1:2" ht="15" hidden="1" customHeight="1" x14ac:dyDescent="0.2">
      <c r="A983" s="12">
        <v>3</v>
      </c>
      <c r="B983" s="12" t="s">
        <v>877</v>
      </c>
    </row>
    <row r="984" spans="1:2" ht="15" hidden="1" customHeight="1" x14ac:dyDescent="0.2">
      <c r="A984" s="12">
        <v>4</v>
      </c>
      <c r="B984" s="12" t="s">
        <v>878</v>
      </c>
    </row>
    <row r="985" spans="1:2" ht="15" hidden="1" customHeight="1" x14ac:dyDescent="0.2"/>
    <row r="986" spans="1:2" ht="15" hidden="1" customHeight="1" x14ac:dyDescent="0.2">
      <c r="A986" s="12" t="s">
        <v>244</v>
      </c>
    </row>
    <row r="987" spans="1:2" ht="15" hidden="1" customHeight="1" x14ac:dyDescent="0.2">
      <c r="A987" s="12">
        <v>0</v>
      </c>
      <c r="B987" s="12" t="s">
        <v>245</v>
      </c>
    </row>
    <row r="988" spans="1:2" ht="15" hidden="1" customHeight="1" x14ac:dyDescent="0.2">
      <c r="A988" s="12">
        <v>1</v>
      </c>
      <c r="B988" s="12" t="s">
        <v>246</v>
      </c>
    </row>
    <row r="989" spans="1:2" ht="15" hidden="1" customHeight="1" x14ac:dyDescent="0.2">
      <c r="A989" s="12">
        <v>2</v>
      </c>
      <c r="B989" s="12" t="s">
        <v>247</v>
      </c>
    </row>
    <row r="990" spans="1:2" ht="15" hidden="1" customHeight="1" x14ac:dyDescent="0.2">
      <c r="A990" s="12">
        <v>3</v>
      </c>
      <c r="B990" s="12" t="s">
        <v>229</v>
      </c>
    </row>
    <row r="991" spans="1:2" ht="15" hidden="1" customHeight="1" x14ac:dyDescent="0.2">
      <c r="A991" s="12">
        <v>4</v>
      </c>
      <c r="B991" s="12" t="s">
        <v>248</v>
      </c>
    </row>
    <row r="992" spans="1:2" ht="15" hidden="1" customHeight="1" x14ac:dyDescent="0.2"/>
    <row r="993" spans="1:11" ht="15" hidden="1" customHeight="1" x14ac:dyDescent="0.2">
      <c r="A993" s="12" t="s">
        <v>381</v>
      </c>
    </row>
    <row r="994" spans="1:11" ht="15" hidden="1" customHeight="1" x14ac:dyDescent="0.2">
      <c r="A994" s="12">
        <v>0</v>
      </c>
      <c r="B994" s="12" t="s">
        <v>202</v>
      </c>
    </row>
    <row r="995" spans="1:11" ht="15" hidden="1" customHeight="1" x14ac:dyDescent="0.2">
      <c r="A995" s="12">
        <v>1</v>
      </c>
      <c r="B995" s="12" t="s">
        <v>190</v>
      </c>
    </row>
    <row r="996" spans="1:11" ht="15" hidden="1" customHeight="1" x14ac:dyDescent="0.2"/>
    <row r="997" spans="1:11" ht="15" hidden="1" customHeight="1" x14ac:dyDescent="0.2">
      <c r="A997" s="12" t="s">
        <v>249</v>
      </c>
    </row>
    <row r="998" spans="1:11" ht="15" hidden="1" customHeight="1" x14ac:dyDescent="0.2">
      <c r="A998" s="12">
        <v>0</v>
      </c>
      <c r="B998" s="12" t="s">
        <v>236</v>
      </c>
    </row>
    <row r="999" spans="1:11" ht="15" hidden="1" customHeight="1" x14ac:dyDescent="0.2">
      <c r="A999" s="12">
        <v>1</v>
      </c>
      <c r="B999" s="12" t="s">
        <v>237</v>
      </c>
    </row>
    <row r="1000" spans="1:11" ht="15" hidden="1" customHeight="1" x14ac:dyDescent="0.2">
      <c r="A1000" s="12">
        <v>2</v>
      </c>
      <c r="B1000" s="12" t="s">
        <v>235</v>
      </c>
    </row>
    <row r="1001" spans="1:11" ht="15" hidden="1" customHeight="1" x14ac:dyDescent="0.2">
      <c r="A1001" s="12">
        <v>3</v>
      </c>
      <c r="B1001" s="12" t="s">
        <v>238</v>
      </c>
    </row>
    <row r="1002" spans="1:11" ht="15" hidden="1" customHeight="1" x14ac:dyDescent="0.2">
      <c r="A1002" s="12">
        <v>4</v>
      </c>
      <c r="B1002" s="12" t="s">
        <v>234</v>
      </c>
    </row>
    <row r="1003" spans="1:11" ht="15" customHeight="1" x14ac:dyDescent="0.2">
      <c r="B1003" s="12" t="s">
        <v>685</v>
      </c>
    </row>
    <row r="1004" spans="1:11" ht="30" customHeight="1" x14ac:dyDescent="0.2">
      <c r="B1004" s="465" t="s">
        <v>1025</v>
      </c>
      <c r="C1004" s="466"/>
      <c r="D1004" s="466"/>
      <c r="E1004" s="466"/>
      <c r="F1004" s="466"/>
      <c r="G1004" s="466"/>
      <c r="H1004" s="466"/>
      <c r="I1004" s="466"/>
      <c r="J1004" s="466"/>
      <c r="K1004" s="467"/>
    </row>
    <row r="1005" spans="1:11" ht="15" customHeight="1" x14ac:dyDescent="0.2">
      <c r="B1005" s="468"/>
      <c r="C1005" s="469"/>
      <c r="D1005" s="469"/>
      <c r="E1005" s="469"/>
      <c r="F1005" s="469"/>
      <c r="G1005" s="469"/>
      <c r="H1005" s="469"/>
      <c r="I1005" s="469"/>
      <c r="J1005" s="469"/>
      <c r="K1005" s="470"/>
    </row>
    <row r="1006" spans="1:11" ht="15" customHeight="1" x14ac:dyDescent="0.2">
      <c r="B1006" s="468" t="s">
        <v>692</v>
      </c>
      <c r="C1006" s="469"/>
      <c r="D1006" s="469"/>
      <c r="E1006" s="469"/>
      <c r="F1006" s="469"/>
      <c r="G1006" s="469"/>
      <c r="H1006" s="469"/>
      <c r="I1006" s="469"/>
      <c r="J1006" s="469"/>
      <c r="K1006" s="470"/>
    </row>
    <row r="1007" spans="1:11" ht="15" customHeight="1" x14ac:dyDescent="0.2">
      <c r="B1007" s="468"/>
      <c r="C1007" s="469"/>
      <c r="D1007" s="469"/>
      <c r="E1007" s="469"/>
      <c r="F1007" s="469"/>
      <c r="G1007" s="469"/>
      <c r="H1007" s="469"/>
      <c r="I1007" s="469"/>
      <c r="J1007" s="469"/>
      <c r="K1007" s="470"/>
    </row>
    <row r="1008" spans="1:11" ht="30" customHeight="1" x14ac:dyDescent="0.2">
      <c r="B1008" s="468" t="s">
        <v>689</v>
      </c>
      <c r="C1008" s="469"/>
      <c r="D1008" s="469"/>
      <c r="E1008" s="469"/>
      <c r="F1008" s="469"/>
      <c r="G1008" s="469"/>
      <c r="H1008" s="469"/>
      <c r="I1008" s="469"/>
      <c r="J1008" s="469"/>
      <c r="K1008" s="470"/>
    </row>
    <row r="1009" spans="2:11" ht="15" customHeight="1" x14ac:dyDescent="0.2">
      <c r="B1009" s="468"/>
      <c r="C1009" s="469"/>
      <c r="D1009" s="469"/>
      <c r="E1009" s="469"/>
      <c r="F1009" s="469"/>
      <c r="G1009" s="469"/>
      <c r="H1009" s="469"/>
      <c r="I1009" s="469"/>
      <c r="J1009" s="469"/>
      <c r="K1009" s="470"/>
    </row>
    <row r="1010" spans="2:11" ht="30" customHeight="1" x14ac:dyDescent="0.2">
      <c r="B1010" s="468" t="s">
        <v>1026</v>
      </c>
      <c r="C1010" s="469"/>
      <c r="D1010" s="469"/>
      <c r="E1010" s="469"/>
      <c r="F1010" s="469"/>
      <c r="G1010" s="469"/>
      <c r="H1010" s="469"/>
      <c r="I1010" s="469"/>
      <c r="J1010" s="469"/>
      <c r="K1010" s="470"/>
    </row>
    <row r="1011" spans="2:11" ht="15" customHeight="1" x14ac:dyDescent="0.2">
      <c r="B1011" s="468"/>
      <c r="C1011" s="469"/>
      <c r="D1011" s="469"/>
      <c r="E1011" s="469"/>
      <c r="F1011" s="469"/>
      <c r="G1011" s="469"/>
      <c r="H1011" s="469"/>
      <c r="I1011" s="469"/>
      <c r="J1011" s="469"/>
      <c r="K1011" s="470"/>
    </row>
    <row r="1012" spans="2:11" ht="30" customHeight="1" x14ac:dyDescent="0.2">
      <c r="B1012" s="468" t="s">
        <v>1027</v>
      </c>
      <c r="C1012" s="469"/>
      <c r="D1012" s="469"/>
      <c r="E1012" s="469"/>
      <c r="F1012" s="469"/>
      <c r="G1012" s="469"/>
      <c r="H1012" s="469"/>
      <c r="I1012" s="469"/>
      <c r="J1012" s="469"/>
      <c r="K1012" s="470"/>
    </row>
    <row r="1013" spans="2:11" ht="15" customHeight="1" x14ac:dyDescent="0.2">
      <c r="B1013" s="468"/>
      <c r="C1013" s="469"/>
      <c r="D1013" s="469"/>
      <c r="E1013" s="469"/>
      <c r="F1013" s="469"/>
      <c r="G1013" s="469"/>
      <c r="H1013" s="469"/>
      <c r="I1013" s="469"/>
      <c r="J1013" s="469"/>
      <c r="K1013" s="470"/>
    </row>
    <row r="1014" spans="2:11" ht="45" customHeight="1" x14ac:dyDescent="0.2">
      <c r="B1014" s="468" t="s">
        <v>1028</v>
      </c>
      <c r="C1014" s="469"/>
      <c r="D1014" s="469"/>
      <c r="E1014" s="469"/>
      <c r="F1014" s="469"/>
      <c r="G1014" s="469"/>
      <c r="H1014" s="469"/>
      <c r="I1014" s="469"/>
      <c r="J1014" s="469"/>
      <c r="K1014" s="470"/>
    </row>
    <row r="1015" spans="2:11" ht="15" customHeight="1" x14ac:dyDescent="0.2">
      <c r="B1015" s="468"/>
      <c r="C1015" s="469"/>
      <c r="D1015" s="469"/>
      <c r="E1015" s="469"/>
      <c r="F1015" s="469"/>
      <c r="G1015" s="469"/>
      <c r="H1015" s="469"/>
      <c r="I1015" s="469"/>
      <c r="J1015" s="469"/>
      <c r="K1015" s="470"/>
    </row>
    <row r="1016" spans="2:11" ht="29.25" customHeight="1" x14ac:dyDescent="0.2">
      <c r="B1016" s="468" t="s">
        <v>1029</v>
      </c>
      <c r="C1016" s="469"/>
      <c r="D1016" s="469"/>
      <c r="E1016" s="469"/>
      <c r="F1016" s="469"/>
      <c r="G1016" s="469"/>
      <c r="H1016" s="469"/>
      <c r="I1016" s="469"/>
      <c r="J1016" s="469"/>
      <c r="K1016" s="470"/>
    </row>
    <row r="1017" spans="2:11" ht="15" customHeight="1" x14ac:dyDescent="0.2">
      <c r="B1017" s="468"/>
      <c r="C1017" s="469"/>
      <c r="D1017" s="469"/>
      <c r="E1017" s="469"/>
      <c r="F1017" s="469"/>
      <c r="G1017" s="469"/>
      <c r="H1017" s="469"/>
      <c r="I1017" s="469"/>
      <c r="J1017" s="469"/>
      <c r="K1017" s="470"/>
    </row>
    <row r="1018" spans="2:11" ht="15" customHeight="1" x14ac:dyDescent="0.2">
      <c r="B1018" s="468" t="s">
        <v>1030</v>
      </c>
      <c r="C1018" s="469"/>
      <c r="D1018" s="469"/>
      <c r="E1018" s="469"/>
      <c r="F1018" s="469"/>
      <c r="G1018" s="469"/>
      <c r="H1018" s="469"/>
      <c r="I1018" s="469"/>
      <c r="J1018" s="469"/>
      <c r="K1018" s="470"/>
    </row>
    <row r="1019" spans="2:11" ht="15" customHeight="1" x14ac:dyDescent="0.2">
      <c r="B1019" s="468"/>
      <c r="C1019" s="469"/>
      <c r="D1019" s="469"/>
      <c r="E1019" s="469"/>
      <c r="F1019" s="469"/>
      <c r="G1019" s="469"/>
      <c r="H1019" s="469"/>
      <c r="I1019" s="469"/>
      <c r="J1019" s="469"/>
      <c r="K1019" s="470"/>
    </row>
    <row r="1020" spans="2:11" ht="15" customHeight="1" x14ac:dyDescent="0.2">
      <c r="B1020" s="468"/>
      <c r="C1020" s="469"/>
      <c r="D1020" s="469"/>
      <c r="E1020" s="469"/>
      <c r="F1020" s="469"/>
      <c r="G1020" s="469"/>
      <c r="H1020" s="469"/>
      <c r="I1020" s="469"/>
      <c r="J1020" s="469"/>
      <c r="K1020" s="470"/>
    </row>
    <row r="1021" spans="2:11" ht="15" customHeight="1" x14ac:dyDescent="0.2">
      <c r="B1021" s="468"/>
      <c r="C1021" s="469"/>
      <c r="D1021" s="469"/>
      <c r="E1021" s="469"/>
      <c r="F1021" s="469"/>
      <c r="G1021" s="469"/>
      <c r="H1021" s="469"/>
      <c r="I1021" s="469"/>
      <c r="J1021" s="469"/>
      <c r="K1021" s="470"/>
    </row>
    <row r="1022" spans="2:11" ht="15" customHeight="1" x14ac:dyDescent="0.2">
      <c r="B1022" s="468"/>
      <c r="C1022" s="469"/>
      <c r="D1022" s="469"/>
      <c r="E1022" s="469"/>
      <c r="F1022" s="469"/>
      <c r="G1022" s="469"/>
      <c r="H1022" s="469"/>
      <c r="I1022" s="469"/>
      <c r="J1022" s="469"/>
      <c r="K1022" s="470"/>
    </row>
    <row r="1023" spans="2:11" ht="15" customHeight="1" x14ac:dyDescent="0.2">
      <c r="B1023" s="468"/>
      <c r="C1023" s="469"/>
      <c r="D1023" s="469"/>
      <c r="E1023" s="469"/>
      <c r="F1023" s="469"/>
      <c r="G1023" s="469"/>
      <c r="H1023" s="469"/>
      <c r="I1023" s="469"/>
      <c r="J1023" s="469"/>
      <c r="K1023" s="470"/>
    </row>
    <row r="1024" spans="2:11" ht="15" customHeight="1" x14ac:dyDescent="0.2">
      <c r="B1024" s="468"/>
      <c r="C1024" s="469"/>
      <c r="D1024" s="469"/>
      <c r="E1024" s="469"/>
      <c r="F1024" s="469"/>
      <c r="G1024" s="469"/>
      <c r="H1024" s="469"/>
      <c r="I1024" s="469"/>
      <c r="J1024" s="469"/>
      <c r="K1024" s="470"/>
    </row>
    <row r="1025" spans="2:11" ht="15" customHeight="1" x14ac:dyDescent="0.2">
      <c r="B1025" s="468"/>
      <c r="C1025" s="469"/>
      <c r="D1025" s="469"/>
      <c r="E1025" s="469"/>
      <c r="F1025" s="469"/>
      <c r="G1025" s="469"/>
      <c r="H1025" s="469"/>
      <c r="I1025" s="469"/>
      <c r="J1025" s="469"/>
      <c r="K1025" s="470"/>
    </row>
    <row r="1026" spans="2:11" ht="15" customHeight="1" x14ac:dyDescent="0.2">
      <c r="B1026" s="468"/>
      <c r="C1026" s="469"/>
      <c r="D1026" s="469"/>
      <c r="E1026" s="469"/>
      <c r="F1026" s="469"/>
      <c r="G1026" s="469"/>
      <c r="H1026" s="469"/>
      <c r="I1026" s="469"/>
      <c r="J1026" s="469"/>
      <c r="K1026" s="470"/>
    </row>
    <row r="1027" spans="2:11" ht="15" customHeight="1" x14ac:dyDescent="0.2">
      <c r="B1027" s="468"/>
      <c r="C1027" s="469"/>
      <c r="D1027" s="469"/>
      <c r="E1027" s="469"/>
      <c r="F1027" s="469"/>
      <c r="G1027" s="469"/>
      <c r="H1027" s="469"/>
      <c r="I1027" s="469"/>
      <c r="J1027" s="469"/>
      <c r="K1027" s="470"/>
    </row>
    <row r="1028" spans="2:11" ht="15" customHeight="1" x14ac:dyDescent="0.2">
      <c r="B1028" s="468"/>
      <c r="C1028" s="469"/>
      <c r="D1028" s="469"/>
      <c r="E1028" s="469"/>
      <c r="F1028" s="469"/>
      <c r="G1028" s="469"/>
      <c r="H1028" s="469"/>
      <c r="I1028" s="469"/>
      <c r="J1028" s="469"/>
      <c r="K1028" s="470"/>
    </row>
    <row r="1029" spans="2:11" ht="15" customHeight="1" x14ac:dyDescent="0.2">
      <c r="B1029" s="471"/>
      <c r="C1029" s="472"/>
      <c r="D1029" s="472"/>
      <c r="E1029" s="472"/>
      <c r="F1029" s="472"/>
      <c r="G1029" s="472"/>
      <c r="H1029" s="472"/>
      <c r="I1029" s="472"/>
      <c r="J1029" s="472"/>
      <c r="K1029" s="473"/>
    </row>
  </sheetData>
  <sheetProtection formatCells="0" formatColumns="0" formatRows="0" selectLockedCells="1"/>
  <mergeCells count="152">
    <mergeCell ref="E15:J15"/>
    <mergeCell ref="C38:J38"/>
    <mergeCell ref="C57:J57"/>
    <mergeCell ref="B5:K5"/>
    <mergeCell ref="B6:K6"/>
    <mergeCell ref="B7:K7"/>
    <mergeCell ref="B8:K8"/>
    <mergeCell ref="B9:K9"/>
    <mergeCell ref="B10:K10"/>
    <mergeCell ref="C176:J176"/>
    <mergeCell ref="C196:J196"/>
    <mergeCell ref="C155:J155"/>
    <mergeCell ref="C120:J122"/>
    <mergeCell ref="C123:J124"/>
    <mergeCell ref="C129:J129"/>
    <mergeCell ref="C95:J95"/>
    <mergeCell ref="C114:J114"/>
    <mergeCell ref="C76:J76"/>
    <mergeCell ref="C455:J455"/>
    <mergeCell ref="C402:J402"/>
    <mergeCell ref="C416:J416"/>
    <mergeCell ref="C438:J438"/>
    <mergeCell ref="C444:I445"/>
    <mergeCell ref="C391:I392"/>
    <mergeCell ref="C257:J257"/>
    <mergeCell ref="C237:J237"/>
    <mergeCell ref="C216:J216"/>
    <mergeCell ref="C292:I293"/>
    <mergeCell ref="C311:I312"/>
    <mergeCell ref="C340:I341"/>
    <mergeCell ref="C305:J305"/>
    <mergeCell ref="C324:J324"/>
    <mergeCell ref="C330:I331"/>
    <mergeCell ref="C420:I421"/>
    <mergeCell ref="C385:J385"/>
    <mergeCell ref="D343:I344"/>
    <mergeCell ref="C347:J347"/>
    <mergeCell ref="C365:J365"/>
    <mergeCell ref="C371:I372"/>
    <mergeCell ref="C286:J286"/>
    <mergeCell ref="C613:J613"/>
    <mergeCell ref="C560:J560"/>
    <mergeCell ref="C566:I568"/>
    <mergeCell ref="C569:I571"/>
    <mergeCell ref="C583:J583"/>
    <mergeCell ref="C524:I525"/>
    <mergeCell ref="C535:J535"/>
    <mergeCell ref="C518:J518"/>
    <mergeCell ref="C471:J471"/>
    <mergeCell ref="C477:I478"/>
    <mergeCell ref="C486:J486"/>
    <mergeCell ref="C502:J502"/>
    <mergeCell ref="C599:J599"/>
    <mergeCell ref="G719:H719"/>
    <mergeCell ref="G720:H720"/>
    <mergeCell ref="G721:H721"/>
    <mergeCell ref="G717:H717"/>
    <mergeCell ref="G718:H718"/>
    <mergeCell ref="C729:J731"/>
    <mergeCell ref="G732:H732"/>
    <mergeCell ref="G733:H733"/>
    <mergeCell ref="C620:I621"/>
    <mergeCell ref="C633:J633"/>
    <mergeCell ref="C639:I640"/>
    <mergeCell ref="C641:I643"/>
    <mergeCell ref="C714:J716"/>
    <mergeCell ref="C655:J655"/>
    <mergeCell ref="D664:I665"/>
    <mergeCell ref="C677:J677"/>
    <mergeCell ref="G754:H754"/>
    <mergeCell ref="G755:H755"/>
    <mergeCell ref="G752:H752"/>
    <mergeCell ref="G753:H753"/>
    <mergeCell ref="C759:J761"/>
    <mergeCell ref="G762:H762"/>
    <mergeCell ref="G763:H763"/>
    <mergeCell ref="G764:H764"/>
    <mergeCell ref="G765:H765"/>
    <mergeCell ref="G750:H750"/>
    <mergeCell ref="G751:H751"/>
    <mergeCell ref="G739:H739"/>
    <mergeCell ref="G722:H722"/>
    <mergeCell ref="G723:H723"/>
    <mergeCell ref="G916:H916"/>
    <mergeCell ref="G920:H920"/>
    <mergeCell ref="C900:J901"/>
    <mergeCell ref="G904:H904"/>
    <mergeCell ref="G908:H908"/>
    <mergeCell ref="G912:H912"/>
    <mergeCell ref="G734:H734"/>
    <mergeCell ref="G735:H735"/>
    <mergeCell ref="G724:H724"/>
    <mergeCell ref="G725:H725"/>
    <mergeCell ref="G858:H858"/>
    <mergeCell ref="G862:H862"/>
    <mergeCell ref="G866:H866"/>
    <mergeCell ref="C830:J831"/>
    <mergeCell ref="G769:H769"/>
    <mergeCell ref="G770:H770"/>
    <mergeCell ref="G767:H767"/>
    <mergeCell ref="G768:H768"/>
    <mergeCell ref="G766:H766"/>
    <mergeCell ref="F959:H960"/>
    <mergeCell ref="G736:H736"/>
    <mergeCell ref="C744:J746"/>
    <mergeCell ref="G747:H747"/>
    <mergeCell ref="G748:H748"/>
    <mergeCell ref="G749:H749"/>
    <mergeCell ref="G928:H928"/>
    <mergeCell ref="G932:H932"/>
    <mergeCell ref="G924:H924"/>
    <mergeCell ref="G740:H740"/>
    <mergeCell ref="G737:H737"/>
    <mergeCell ref="G738:H738"/>
    <mergeCell ref="G846:H846"/>
    <mergeCell ref="G850:H850"/>
    <mergeCell ref="G854:H854"/>
    <mergeCell ref="G834:H834"/>
    <mergeCell ref="G838:H838"/>
    <mergeCell ref="G842:H842"/>
    <mergeCell ref="G882:H882"/>
    <mergeCell ref="G886:H886"/>
    <mergeCell ref="G890:H890"/>
    <mergeCell ref="G870:H870"/>
    <mergeCell ref="G874:H874"/>
    <mergeCell ref="G878:H878"/>
    <mergeCell ref="B1025:K1025"/>
    <mergeCell ref="B1026:K1026"/>
    <mergeCell ref="B1027:K1027"/>
    <mergeCell ref="B1028:K1028"/>
    <mergeCell ref="B1029:K1029"/>
    <mergeCell ref="B1013:K1013"/>
    <mergeCell ref="B1014:K1014"/>
    <mergeCell ref="B1015:K1015"/>
    <mergeCell ref="B1016:K1016"/>
    <mergeCell ref="B1017:K1017"/>
    <mergeCell ref="B1018:K1018"/>
    <mergeCell ref="B1019:K1019"/>
    <mergeCell ref="B1020:K1020"/>
    <mergeCell ref="B1021:K1021"/>
    <mergeCell ref="B1022:K1022"/>
    <mergeCell ref="B1023:K1023"/>
    <mergeCell ref="B1024:K1024"/>
    <mergeCell ref="B1004:K1004"/>
    <mergeCell ref="B1005:K1005"/>
    <mergeCell ref="B1006:K1006"/>
    <mergeCell ref="B1007:K1007"/>
    <mergeCell ref="B1008:K1008"/>
    <mergeCell ref="B1009:K1009"/>
    <mergeCell ref="B1010:K1010"/>
    <mergeCell ref="B1011:K1011"/>
    <mergeCell ref="B1012:K1012"/>
  </mergeCells>
  <dataValidations count="23">
    <dataValidation type="list" allowBlank="1" showInputMessage="1" showErrorMessage="1" sqref="E15:J15" xr:uid="{00000000-0002-0000-0E00-000000000000}">
      <formula1>$C$966:$C$970</formula1>
    </dataValidation>
    <dataValidation type="list" allowBlank="1" showInputMessage="1" showErrorMessage="1" sqref="G904:H904 G932:H932 G928:H928 G924:H924 G920:H920 G916:H916 G912:H912 G908:H908 G834:H834 G890:H890 G886:H886 G882:H882 G878:H878 G874:H874 G870:H870 G866:H866 G862:H862 G858:H858 G854:H854 G850:H850 G846:H846 G842:H842 G838:H838" xr:uid="{00000000-0002-0000-0E00-000001000000}">
      <formula1>$B$998:$B$1002</formula1>
    </dataValidation>
    <dataValidation type="list" allowBlank="1" showInputMessage="1" showErrorMessage="1" sqref="G717:H725 G762:H770 G732:H740 G747:H755" xr:uid="{00000000-0002-0000-0E00-000002000000}">
      <formula1>$B$994:$B$995</formula1>
    </dataValidation>
    <dataValidation type="list" allowBlank="1" showInputMessage="1" showErrorMessage="1" sqref="J302 J362" xr:uid="{00000000-0002-0000-0E00-000003000000}">
      <formula1>$B$980:$B$984</formula1>
    </dataValidation>
    <dataValidation type="list" allowBlank="1" showInputMessage="1" showErrorMessage="1" sqref="C123:J124" xr:uid="{00000000-0002-0000-0E00-000004000000}">
      <formula1>$B$987:$B$991</formula1>
    </dataValidation>
    <dataValidation type="list" allowBlank="1" showInputMessage="1" showErrorMessage="1" sqref="J35 J213 J283 J652 J234 J54 J193 J173 J152 J126 J111 J92 J73 J254 J435 J452 J468 J499 J515 J532 J557 J580 J596 J674 J630" xr:uid="{00000000-0002-0000-0E00-000005000000}">
      <formula1>$B$973:$B$977</formula1>
    </dataValidation>
    <dataValidation type="list" allowBlank="1" showInputMessage="1" showErrorMessage="1" sqref="J33" xr:uid="{00000000-0002-0000-0E00-000006000000}">
      <formula1>$N$32:$N$37</formula1>
    </dataValidation>
    <dataValidation type="list" allowBlank="1" showInputMessage="1" showErrorMessage="1" sqref="J52" xr:uid="{00000000-0002-0000-0E00-000007000000}">
      <formula1>$N$51:$N$56</formula1>
    </dataValidation>
    <dataValidation type="list" allowBlank="1" showInputMessage="1" showErrorMessage="1" sqref="J71" xr:uid="{00000000-0002-0000-0E00-000008000000}">
      <formula1>$N$70:$N$75</formula1>
    </dataValidation>
    <dataValidation type="list" allowBlank="1" showInputMessage="1" showErrorMessage="1" sqref="J90" xr:uid="{00000000-0002-0000-0E00-000009000000}">
      <formula1>$N$89:$N$94</formula1>
    </dataValidation>
    <dataValidation type="list" allowBlank="1" showInputMessage="1" showErrorMessage="1" sqref="J109" xr:uid="{00000000-0002-0000-0E00-00000A000000}">
      <formula1>$N$108:$N$113</formula1>
    </dataValidation>
    <dataValidation type="list" allowBlank="1" showInputMessage="1" showErrorMessage="1" sqref="J150" xr:uid="{00000000-0002-0000-0E00-00000B000000}">
      <formula1>$N$149:$N$154</formula1>
    </dataValidation>
    <dataValidation type="list" allowBlank="1" showInputMessage="1" showErrorMessage="1" sqref="J171" xr:uid="{00000000-0002-0000-0E00-00000C000000}">
      <formula1>$N$170:$N$175</formula1>
    </dataValidation>
    <dataValidation type="list" allowBlank="1" showInputMessage="1" showErrorMessage="1" sqref="J191" xr:uid="{00000000-0002-0000-0E00-00000D000000}">
      <formula1>$N$190:$N$195</formula1>
    </dataValidation>
    <dataValidation type="list" allowBlank="1" showInputMessage="1" showErrorMessage="1" sqref="J211" xr:uid="{00000000-0002-0000-0E00-00000E000000}">
      <formula1>$N$210:$N$215</formula1>
    </dataValidation>
    <dataValidation type="list" allowBlank="1" showInputMessage="1" showErrorMessage="1" sqref="J232" xr:uid="{00000000-0002-0000-0E00-00000F000000}">
      <formula1>$N$231:$N$236</formula1>
    </dataValidation>
    <dataValidation type="list" allowBlank="1" showInputMessage="1" showErrorMessage="1" sqref="J252" xr:uid="{00000000-0002-0000-0E00-000010000000}">
      <formula1>$N$251:$N$256</formula1>
    </dataValidation>
    <dataValidation type="list" allowBlank="1" showInputMessage="1" showErrorMessage="1" sqref="J281" xr:uid="{00000000-0002-0000-0E00-000011000000}">
      <formula1>$N$280:$N$285</formula1>
    </dataValidation>
    <dataValidation type="list" allowBlank="1" showInputMessage="1" showErrorMessage="1" sqref="J555" xr:uid="{00000000-0002-0000-0E00-000012000000}">
      <formula1>$N$554:$N$559</formula1>
    </dataValidation>
    <dataValidation type="list" allowBlank="1" showInputMessage="1" showErrorMessage="1" sqref="J578" xr:uid="{00000000-0002-0000-0E00-000013000000}">
      <formula1>$N$577:$N$582</formula1>
    </dataValidation>
    <dataValidation type="list" allowBlank="1" showInputMessage="1" showErrorMessage="1" sqref="J628" xr:uid="{00000000-0002-0000-0E00-000014000000}">
      <formula1>$N$627:$N$632</formula1>
    </dataValidation>
    <dataValidation type="list" allowBlank="1" showInputMessage="1" showErrorMessage="1" sqref="J650" xr:uid="{00000000-0002-0000-0E00-000015000000}">
      <formula1>$N$649:$N$654</formula1>
    </dataValidation>
    <dataValidation type="list" allowBlank="1" showInputMessage="1" showErrorMessage="1" sqref="J672" xr:uid="{00000000-0002-0000-0E00-000016000000}">
      <formula1>$N$671:$N$676</formula1>
    </dataValidation>
  </dataValidations>
  <pageMargins left="0.7" right="0.7" top="0.75" bottom="0.75" header="0.3" footer="0.3"/>
  <pageSetup scale="70"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dimension ref="A1:N1029"/>
  <sheetViews>
    <sheetView showGridLines="0" showRowColHeaders="0" zoomScaleNormal="100" workbookViewId="0">
      <selection activeCell="T683" sqref="T683"/>
    </sheetView>
  </sheetViews>
  <sheetFormatPr baseColWidth="10" defaultColWidth="9.1640625" defaultRowHeight="15" x14ac:dyDescent="0.2"/>
  <cols>
    <col min="1" max="1" width="9.1640625" style="12"/>
    <col min="2" max="3" width="9.1640625" style="12" customWidth="1"/>
    <col min="4" max="4" width="9.1640625" style="12"/>
    <col min="5" max="5" width="9.1640625" style="12" customWidth="1"/>
    <col min="6" max="9" width="9.1640625" style="12"/>
    <col min="10" max="10" width="25.6640625" style="12" customWidth="1"/>
    <col min="11" max="13" width="9.1640625" style="12"/>
    <col min="14" max="14" width="9.1640625" style="12" hidden="1" customWidth="1"/>
    <col min="15" max="16384" width="9.1640625" style="12"/>
  </cols>
  <sheetData>
    <row r="1" spans="2:13" x14ac:dyDescent="0.2">
      <c r="I1" s="29"/>
    </row>
    <row r="2" spans="2:13" ht="33" x14ac:dyDescent="0.2">
      <c r="G2" s="16" t="s">
        <v>1038</v>
      </c>
      <c r="I2" s="29"/>
    </row>
    <row r="3" spans="2:13" ht="23" x14ac:dyDescent="0.25">
      <c r="G3" s="30" t="s">
        <v>382</v>
      </c>
      <c r="I3" s="29"/>
      <c r="L3" s="157"/>
      <c r="M3" s="157"/>
    </row>
    <row r="4" spans="2:13" x14ac:dyDescent="0.2">
      <c r="G4" s="98"/>
      <c r="I4" s="29"/>
      <c r="L4" s="158"/>
      <c r="M4" s="157"/>
    </row>
    <row r="5" spans="2:13" ht="90" customHeight="1" x14ac:dyDescent="0.2">
      <c r="B5" s="426" t="s">
        <v>681</v>
      </c>
      <c r="C5" s="427"/>
      <c r="D5" s="427"/>
      <c r="E5" s="427"/>
      <c r="F5" s="427"/>
      <c r="G5" s="427"/>
      <c r="H5" s="427"/>
      <c r="I5" s="427"/>
      <c r="J5" s="427"/>
      <c r="K5" s="427"/>
      <c r="L5" s="158"/>
      <c r="M5" s="157"/>
    </row>
    <row r="6" spans="2:13" x14ac:dyDescent="0.2">
      <c r="B6" s="426"/>
      <c r="C6" s="426"/>
      <c r="D6" s="426"/>
      <c r="E6" s="426"/>
      <c r="F6" s="426"/>
      <c r="G6" s="426"/>
      <c r="H6" s="426"/>
      <c r="I6" s="426"/>
      <c r="J6" s="426"/>
      <c r="K6" s="426"/>
      <c r="L6" s="158"/>
    </row>
    <row r="7" spans="2:13" ht="60" customHeight="1" x14ac:dyDescent="0.2">
      <c r="B7" s="425" t="s">
        <v>664</v>
      </c>
      <c r="C7" s="341"/>
      <c r="D7" s="341"/>
      <c r="E7" s="341"/>
      <c r="F7" s="341"/>
      <c r="G7" s="341"/>
      <c r="H7" s="341"/>
      <c r="I7" s="341"/>
      <c r="J7" s="341"/>
      <c r="K7" s="341"/>
    </row>
    <row r="8" spans="2:13" x14ac:dyDescent="0.2">
      <c r="B8" s="426"/>
      <c r="C8" s="426"/>
      <c r="D8" s="426"/>
      <c r="E8" s="426"/>
      <c r="F8" s="426"/>
      <c r="G8" s="426"/>
      <c r="H8" s="426"/>
      <c r="I8" s="426"/>
      <c r="J8" s="426"/>
      <c r="K8" s="426"/>
    </row>
    <row r="9" spans="2:13" ht="30" customHeight="1" x14ac:dyDescent="0.2">
      <c r="B9" s="445" t="s">
        <v>665</v>
      </c>
      <c r="C9" s="446"/>
      <c r="D9" s="446"/>
      <c r="E9" s="446"/>
      <c r="F9" s="446"/>
      <c r="G9" s="446"/>
      <c r="H9" s="446"/>
      <c r="I9" s="446"/>
      <c r="J9" s="446"/>
      <c r="K9" s="446"/>
    </row>
    <row r="10" spans="2:13" ht="60" customHeight="1" x14ac:dyDescent="0.2">
      <c r="B10" s="399" t="s">
        <v>1319</v>
      </c>
      <c r="C10" s="400"/>
      <c r="D10" s="400"/>
      <c r="E10" s="400"/>
      <c r="F10" s="400"/>
      <c r="G10" s="400"/>
      <c r="H10" s="400"/>
      <c r="I10" s="400"/>
      <c r="J10" s="400"/>
      <c r="K10" s="401"/>
      <c r="L10" s="12" t="s">
        <v>1206</v>
      </c>
    </row>
    <row r="11" spans="2:13" ht="16" thickBot="1" x14ac:dyDescent="0.25"/>
    <row r="12" spans="2:13" x14ac:dyDescent="0.2">
      <c r="B12" s="159"/>
      <c r="C12" s="160"/>
      <c r="D12" s="160"/>
      <c r="E12" s="160"/>
      <c r="F12" s="160"/>
      <c r="G12" s="160"/>
      <c r="H12" s="160"/>
      <c r="I12" s="160"/>
      <c r="J12" s="160"/>
      <c r="K12" s="161"/>
    </row>
    <row r="13" spans="2:13" ht="21" x14ac:dyDescent="0.25">
      <c r="B13" s="162"/>
      <c r="C13" s="163"/>
      <c r="D13" s="163"/>
      <c r="E13" s="163"/>
      <c r="F13" s="163"/>
      <c r="G13" s="164" t="s">
        <v>226</v>
      </c>
      <c r="H13" s="163"/>
      <c r="I13" s="163"/>
      <c r="J13" s="163"/>
      <c r="K13" s="165"/>
    </row>
    <row r="14" spans="2:13" ht="21" x14ac:dyDescent="0.25">
      <c r="B14" s="162"/>
      <c r="C14" s="163"/>
      <c r="D14" s="163"/>
      <c r="E14" s="163"/>
      <c r="F14" s="163"/>
      <c r="G14" s="164"/>
      <c r="H14" s="163"/>
      <c r="I14" s="163"/>
      <c r="J14" s="163"/>
      <c r="K14" s="165"/>
    </row>
    <row r="15" spans="2:13" ht="26.25" customHeight="1" x14ac:dyDescent="0.2">
      <c r="B15" s="162"/>
      <c r="C15" s="163" t="s">
        <v>255</v>
      </c>
      <c r="D15" s="163"/>
      <c r="E15" s="412" t="s">
        <v>241</v>
      </c>
      <c r="F15" s="413"/>
      <c r="G15" s="413"/>
      <c r="H15" s="413"/>
      <c r="I15" s="413"/>
      <c r="J15" s="414"/>
      <c r="K15" s="165"/>
    </row>
    <row r="16" spans="2:13" x14ac:dyDescent="0.2">
      <c r="B16" s="162"/>
      <c r="C16" s="163"/>
      <c r="D16" s="163"/>
      <c r="E16" s="163"/>
      <c r="F16" s="163"/>
      <c r="G16" s="163"/>
      <c r="H16" s="163"/>
      <c r="I16" s="163"/>
      <c r="J16" s="163"/>
      <c r="K16" s="165"/>
    </row>
    <row r="17" spans="2:14" x14ac:dyDescent="0.2">
      <c r="B17" s="162"/>
      <c r="C17" s="166" t="s">
        <v>256</v>
      </c>
      <c r="D17" s="163"/>
      <c r="E17" s="167">
        <f>IF(E15=$C$966,$A$966,IF(E15=$C$967,$A$967,IF(E15=$C$968,$A$968,IF(E15=$C$969,$A$969,IF(E15=$C$970,$A$970,"Not Calculated")))))</f>
        <v>1</v>
      </c>
      <c r="F17" s="163"/>
      <c r="G17" s="163"/>
      <c r="H17" s="163"/>
      <c r="I17" s="163"/>
      <c r="J17" s="163"/>
      <c r="K17" s="165"/>
    </row>
    <row r="18" spans="2:14" x14ac:dyDescent="0.2">
      <c r="B18" s="162"/>
      <c r="C18" s="163"/>
      <c r="D18" s="163"/>
      <c r="E18" s="167" t="str">
        <f>IF(E15=$C$966,$B$966,IF(E15=$C$967,$B$967,IF(E15=$C$968,$B$968,IF(E15=$C$969,$B$969,IF(E15=$C$970,$B$970,"Not Calculated")))))</f>
        <v>Remote</v>
      </c>
      <c r="F18" s="163"/>
      <c r="G18" s="163"/>
      <c r="H18" s="163"/>
      <c r="I18" s="163"/>
      <c r="J18" s="163"/>
      <c r="K18" s="165"/>
    </row>
    <row r="19" spans="2:14" ht="16" thickBot="1" x14ac:dyDescent="0.25">
      <c r="B19" s="168"/>
      <c r="C19" s="169"/>
      <c r="D19" s="169"/>
      <c r="E19" s="169"/>
      <c r="F19" s="169"/>
      <c r="G19" s="169"/>
      <c r="H19" s="169"/>
      <c r="I19" s="169"/>
      <c r="J19" s="169"/>
      <c r="K19" s="170"/>
    </row>
    <row r="20" spans="2:14" ht="16" thickBot="1" x14ac:dyDescent="0.25"/>
    <row r="21" spans="2:14" x14ac:dyDescent="0.2">
      <c r="B21" s="33"/>
      <c r="C21" s="34"/>
      <c r="D21" s="34"/>
      <c r="E21" s="34"/>
      <c r="F21" s="34"/>
      <c r="G21" s="34"/>
      <c r="H21" s="34"/>
      <c r="I21" s="34"/>
      <c r="J21" s="34"/>
      <c r="K21" s="37"/>
    </row>
    <row r="22" spans="2:14" ht="21" x14ac:dyDescent="0.25">
      <c r="B22" s="38"/>
      <c r="C22" s="171"/>
      <c r="D22" s="40"/>
      <c r="E22" s="40"/>
      <c r="F22" s="40"/>
      <c r="G22" s="172" t="s">
        <v>26</v>
      </c>
      <c r="H22" s="40"/>
      <c r="I22" s="40"/>
      <c r="J22" s="40"/>
      <c r="K22" s="41"/>
    </row>
    <row r="23" spans="2:14" x14ac:dyDescent="0.2">
      <c r="B23" s="38"/>
      <c r="C23" s="40"/>
      <c r="D23" s="40"/>
      <c r="E23" s="40"/>
      <c r="F23" s="40"/>
      <c r="G23" s="40"/>
      <c r="H23" s="40"/>
      <c r="I23" s="40"/>
      <c r="J23" s="40"/>
      <c r="K23" s="41"/>
    </row>
    <row r="24" spans="2:14" ht="16" x14ac:dyDescent="0.2">
      <c r="B24" s="38"/>
      <c r="C24" s="45" t="s">
        <v>61</v>
      </c>
      <c r="D24" s="40"/>
      <c r="E24" s="40"/>
      <c r="F24" s="40"/>
      <c r="G24" s="40"/>
      <c r="H24" s="40"/>
      <c r="I24" s="40"/>
      <c r="J24" s="40"/>
      <c r="K24" s="41"/>
    </row>
    <row r="25" spans="2:14" x14ac:dyDescent="0.2">
      <c r="B25" s="38"/>
      <c r="C25" s="40" t="s">
        <v>434</v>
      </c>
      <c r="D25" s="40"/>
      <c r="E25" s="40"/>
      <c r="F25" s="40"/>
      <c r="G25" s="40"/>
      <c r="H25" s="40"/>
      <c r="I25" s="40"/>
      <c r="J25" s="252">
        <f>'Baseline Health'!G11</f>
        <v>0</v>
      </c>
      <c r="K25" s="41"/>
    </row>
    <row r="26" spans="2:14" x14ac:dyDescent="0.2">
      <c r="B26" s="38"/>
      <c r="C26" s="40" t="s">
        <v>288</v>
      </c>
      <c r="D26" s="40"/>
      <c r="E26" s="40"/>
      <c r="F26" s="40"/>
      <c r="G26" s="40"/>
      <c r="H26" s="40"/>
      <c r="I26" s="40"/>
      <c r="J26" s="264">
        <v>0</v>
      </c>
      <c r="K26" s="41"/>
    </row>
    <row r="27" spans="2:14" x14ac:dyDescent="0.2">
      <c r="B27" s="38"/>
      <c r="C27" s="40" t="s">
        <v>260</v>
      </c>
      <c r="D27" s="40"/>
      <c r="E27" s="40"/>
      <c r="F27" s="40"/>
      <c r="G27" s="40"/>
      <c r="H27" s="40"/>
      <c r="I27" s="40"/>
      <c r="J27" s="248" t="str">
        <f>IF(OR(J25=0,J25="Not Calculated")=TRUE,"Not Calculated",(IF(((J26+J25)/J25)&lt;=1,0,IF(((J26+J25)/J25)&lt;=1.05,1,IF(((J26+J25)/J25)&lt;=1.5, 2,IF(((J26+J25)/J25)&lt;=2,3,4))))))</f>
        <v>Not Calculated</v>
      </c>
      <c r="K27" s="41"/>
    </row>
    <row r="28" spans="2:14" ht="9.75" customHeight="1" x14ac:dyDescent="0.2">
      <c r="B28" s="38"/>
      <c r="C28" s="279" t="str">
        <f>"0:"</f>
        <v>0:</v>
      </c>
      <c r="D28" s="281" t="s">
        <v>918</v>
      </c>
      <c r="E28" s="40"/>
      <c r="F28" s="40"/>
      <c r="G28" s="40"/>
      <c r="H28" s="40"/>
      <c r="I28" s="40"/>
      <c r="J28" s="40"/>
      <c r="K28" s="41"/>
    </row>
    <row r="29" spans="2:14" ht="9.75" customHeight="1" x14ac:dyDescent="0.2">
      <c r="B29" s="38"/>
      <c r="C29" s="280" t="str">
        <f>"1:"</f>
        <v>1:</v>
      </c>
      <c r="D29" s="281" t="s">
        <v>919</v>
      </c>
      <c r="E29" s="40"/>
      <c r="F29" s="40"/>
      <c r="G29" s="40"/>
      <c r="H29" s="40"/>
      <c r="I29" s="40"/>
      <c r="J29" s="40"/>
      <c r="K29" s="41"/>
    </row>
    <row r="30" spans="2:14" ht="9.75" customHeight="1" x14ac:dyDescent="0.2">
      <c r="B30" s="38"/>
      <c r="C30" s="280" t="str">
        <f>"2:"</f>
        <v>2:</v>
      </c>
      <c r="D30" s="281" t="s">
        <v>920</v>
      </c>
      <c r="E30" s="40"/>
      <c r="F30" s="40"/>
      <c r="G30" s="40"/>
      <c r="H30" s="40"/>
      <c r="I30" s="40"/>
      <c r="J30" s="40"/>
      <c r="K30" s="41"/>
    </row>
    <row r="31" spans="2:14" ht="9.75" customHeight="1" x14ac:dyDescent="0.2">
      <c r="B31" s="38"/>
      <c r="C31" s="280" t="str">
        <f>"3:"</f>
        <v>3:</v>
      </c>
      <c r="D31" s="281" t="s">
        <v>921</v>
      </c>
      <c r="E31" s="40"/>
      <c r="F31" s="40"/>
      <c r="G31" s="40"/>
      <c r="H31" s="40"/>
      <c r="I31" s="40"/>
      <c r="J31" s="40"/>
      <c r="K31" s="41"/>
    </row>
    <row r="32" spans="2:14" ht="9.75" customHeight="1" x14ac:dyDescent="0.2">
      <c r="B32" s="38"/>
      <c r="C32" s="280" t="str">
        <f>"4:"</f>
        <v>4:</v>
      </c>
      <c r="D32" s="281" t="s">
        <v>922</v>
      </c>
      <c r="E32" s="40"/>
      <c r="F32" s="40"/>
      <c r="G32" s="40"/>
      <c r="H32" s="40"/>
      <c r="I32" s="40"/>
      <c r="J32" s="40"/>
      <c r="K32" s="41"/>
      <c r="N32" s="12" t="s">
        <v>661</v>
      </c>
    </row>
    <row r="33" spans="2:14" x14ac:dyDescent="0.2">
      <c r="B33" s="38"/>
      <c r="C33" s="174" t="s">
        <v>662</v>
      </c>
      <c r="D33" s="40"/>
      <c r="E33" s="40"/>
      <c r="F33" s="40"/>
      <c r="G33" s="40"/>
      <c r="H33" s="40"/>
      <c r="I33" s="40"/>
      <c r="J33" s="265" t="s">
        <v>661</v>
      </c>
      <c r="K33" s="41"/>
      <c r="N33" s="12" t="s">
        <v>894</v>
      </c>
    </row>
    <row r="34" spans="2:14" x14ac:dyDescent="0.2">
      <c r="B34" s="38"/>
      <c r="C34" s="174" t="s">
        <v>660</v>
      </c>
      <c r="D34" s="40"/>
      <c r="E34" s="40"/>
      <c r="F34" s="40"/>
      <c r="G34" s="40"/>
      <c r="H34" s="40"/>
      <c r="I34" s="40"/>
      <c r="J34" s="246" t="str">
        <f>IF(J33=N32,"N/A",IF(J33=N33,0,IF(J33=N34,1,IF(J33=N35,2,IF(J33=N36,3,IF(J33=N37,4,"N/A"))))))</f>
        <v>N/A</v>
      </c>
      <c r="K34" s="41"/>
      <c r="N34" s="12" t="s">
        <v>895</v>
      </c>
    </row>
    <row r="35" spans="2:14" x14ac:dyDescent="0.2">
      <c r="B35" s="38"/>
      <c r="C35" s="40" t="s">
        <v>257</v>
      </c>
      <c r="D35" s="40"/>
      <c r="E35" s="40"/>
      <c r="F35" s="40"/>
      <c r="G35" s="40"/>
      <c r="H35" s="40"/>
      <c r="I35" s="40"/>
      <c r="J35" s="266" t="s">
        <v>870</v>
      </c>
      <c r="K35" s="41"/>
      <c r="N35" s="12" t="s">
        <v>896</v>
      </c>
    </row>
    <row r="36" spans="2:14" x14ac:dyDescent="0.2">
      <c r="B36" s="38"/>
      <c r="C36" s="40" t="s">
        <v>261</v>
      </c>
      <c r="D36" s="40"/>
      <c r="E36" s="40"/>
      <c r="F36" s="40"/>
      <c r="G36" s="40"/>
      <c r="H36" s="40"/>
      <c r="I36" s="40"/>
      <c r="J36" s="248">
        <f>IF(J35=$B$973,$A$973,IF(J35=$B$974,$A$974,IF(J35=$B$975,$A$975,IF(J35=$B$976,$A$976,IF(J35=$B$977,$A$977,"Not Calculated")))))</f>
        <v>0</v>
      </c>
      <c r="K36" s="41"/>
      <c r="N36" s="12" t="s">
        <v>897</v>
      </c>
    </row>
    <row r="37" spans="2:14" x14ac:dyDescent="0.2">
      <c r="B37" s="38"/>
      <c r="C37" s="40" t="s">
        <v>893</v>
      </c>
      <c r="D37" s="40"/>
      <c r="E37" s="40"/>
      <c r="F37" s="40"/>
      <c r="G37" s="40"/>
      <c r="H37" s="40"/>
      <c r="I37" s="40"/>
      <c r="J37" s="175"/>
      <c r="K37" s="41"/>
      <c r="N37" s="12" t="s">
        <v>898</v>
      </c>
    </row>
    <row r="38" spans="2:14" s="178" customFormat="1" ht="30" customHeight="1" x14ac:dyDescent="0.2">
      <c r="B38" s="176"/>
      <c r="C38" s="415"/>
      <c r="D38" s="400"/>
      <c r="E38" s="400"/>
      <c r="F38" s="400"/>
      <c r="G38" s="400"/>
      <c r="H38" s="400"/>
      <c r="I38" s="400"/>
      <c r="J38" s="401"/>
      <c r="K38" s="177"/>
    </row>
    <row r="39" spans="2:14" x14ac:dyDescent="0.2">
      <c r="B39" s="38"/>
      <c r="C39" s="40"/>
      <c r="D39" s="40"/>
      <c r="E39" s="40"/>
      <c r="F39" s="40"/>
      <c r="G39" s="40"/>
      <c r="H39" s="40"/>
      <c r="I39" s="40"/>
      <c r="J39" s="40"/>
      <c r="K39" s="41"/>
    </row>
    <row r="40" spans="2:14" x14ac:dyDescent="0.2">
      <c r="B40" s="38"/>
      <c r="C40" s="179" t="s">
        <v>258</v>
      </c>
      <c r="D40" s="40"/>
      <c r="E40" s="40"/>
      <c r="F40" s="40"/>
      <c r="G40" s="40"/>
      <c r="H40" s="40"/>
      <c r="I40" s="40"/>
      <c r="J40" s="245" t="str">
        <f>IF(J34="N/A",IF(OR(J27="Not Calculated",J36="Not Calculated")=TRUE,"Not Calculated",AVERAGE(J27,J36)),AVERAGE(J34,J36))</f>
        <v>Not Calculated</v>
      </c>
      <c r="K40" s="41"/>
    </row>
    <row r="41" spans="2:14" x14ac:dyDescent="0.2">
      <c r="B41" s="38"/>
      <c r="C41" s="179"/>
      <c r="D41" s="40"/>
      <c r="E41" s="40"/>
      <c r="F41" s="40"/>
      <c r="G41" s="40"/>
      <c r="H41" s="40"/>
      <c r="I41" s="40"/>
      <c r="J41" s="245"/>
      <c r="K41" s="41"/>
    </row>
    <row r="42" spans="2:14" x14ac:dyDescent="0.2">
      <c r="B42" s="38"/>
      <c r="C42" s="40"/>
      <c r="D42" s="40"/>
      <c r="E42" s="40"/>
      <c r="F42" s="40"/>
      <c r="G42" s="40"/>
      <c r="H42" s="40"/>
      <c r="I42" s="40"/>
      <c r="J42" s="40"/>
      <c r="K42" s="41"/>
    </row>
    <row r="43" spans="2:14" ht="16" x14ac:dyDescent="0.2">
      <c r="B43" s="38"/>
      <c r="C43" s="45" t="s">
        <v>51</v>
      </c>
      <c r="D43" s="40"/>
      <c r="E43" s="40"/>
      <c r="F43" s="40"/>
      <c r="G43" s="40"/>
      <c r="H43" s="40"/>
      <c r="I43" s="40"/>
      <c r="J43" s="40"/>
      <c r="K43" s="41"/>
    </row>
    <row r="44" spans="2:14" x14ac:dyDescent="0.2">
      <c r="B44" s="38"/>
      <c r="C44" s="40" t="s">
        <v>435</v>
      </c>
      <c r="D44" s="40"/>
      <c r="E44" s="40"/>
      <c r="F44" s="40"/>
      <c r="G44" s="40"/>
      <c r="H44" s="40"/>
      <c r="I44" s="40"/>
      <c r="J44" s="252">
        <f>'Baseline Health'!G17</f>
        <v>0</v>
      </c>
      <c r="K44" s="41"/>
    </row>
    <row r="45" spans="2:14" x14ac:dyDescent="0.2">
      <c r="B45" s="38"/>
      <c r="C45" s="40" t="s">
        <v>287</v>
      </c>
      <c r="D45" s="40"/>
      <c r="E45" s="40"/>
      <c r="F45" s="40"/>
      <c r="G45" s="40"/>
      <c r="H45" s="40"/>
      <c r="I45" s="40"/>
      <c r="J45" s="264">
        <v>0</v>
      </c>
      <c r="K45" s="41"/>
    </row>
    <row r="46" spans="2:14" x14ac:dyDescent="0.2">
      <c r="B46" s="38"/>
      <c r="C46" s="40" t="s">
        <v>260</v>
      </c>
      <c r="D46" s="40"/>
      <c r="E46" s="40"/>
      <c r="F46" s="40"/>
      <c r="G46" s="40"/>
      <c r="H46" s="40"/>
      <c r="I46" s="40"/>
      <c r="J46" s="248" t="str">
        <f>IF(OR(J44=0,J44="Not Calculated")=TRUE,"Not Calculated",(IF(((J45+J44)/J44)&lt;=1,0,IF(((J45+J44)/J44)&lt;=1.05,1,IF(((J45+J44)/J44)&lt;=1.5, 2,IF(((J45+J44)/J44)&lt;=2,3,4))))))</f>
        <v>Not Calculated</v>
      </c>
      <c r="K46" s="41"/>
    </row>
    <row r="47" spans="2:14" ht="9.75" customHeight="1" x14ac:dyDescent="0.2">
      <c r="B47" s="38"/>
      <c r="C47" s="279" t="str">
        <f>"0:"</f>
        <v>0:</v>
      </c>
      <c r="D47" s="281" t="s">
        <v>918</v>
      </c>
      <c r="E47" s="40"/>
      <c r="F47" s="40"/>
      <c r="G47" s="40"/>
      <c r="H47" s="40"/>
      <c r="I47" s="40"/>
      <c r="J47" s="40"/>
      <c r="K47" s="41"/>
    </row>
    <row r="48" spans="2:14" ht="9.75" customHeight="1" x14ac:dyDescent="0.2">
      <c r="B48" s="38"/>
      <c r="C48" s="280" t="str">
        <f>"1:"</f>
        <v>1:</v>
      </c>
      <c r="D48" s="281" t="s">
        <v>919</v>
      </c>
      <c r="E48" s="40"/>
      <c r="F48" s="40"/>
      <c r="G48" s="40"/>
      <c r="H48" s="40"/>
      <c r="I48" s="40"/>
      <c r="J48" s="40"/>
      <c r="K48" s="41"/>
    </row>
    <row r="49" spans="2:14" ht="9.75" customHeight="1" x14ac:dyDescent="0.2">
      <c r="B49" s="38"/>
      <c r="C49" s="280" t="str">
        <f>"2:"</f>
        <v>2:</v>
      </c>
      <c r="D49" s="281" t="s">
        <v>920</v>
      </c>
      <c r="E49" s="40"/>
      <c r="F49" s="40"/>
      <c r="G49" s="40"/>
      <c r="H49" s="40"/>
      <c r="I49" s="40"/>
      <c r="J49" s="40"/>
      <c r="K49" s="41"/>
    </row>
    <row r="50" spans="2:14" ht="9.75" customHeight="1" x14ac:dyDescent="0.2">
      <c r="B50" s="38"/>
      <c r="C50" s="280" t="str">
        <f>"3:"</f>
        <v>3:</v>
      </c>
      <c r="D50" s="281" t="s">
        <v>921</v>
      </c>
      <c r="E50" s="40"/>
      <c r="F50" s="40"/>
      <c r="G50" s="40"/>
      <c r="H50" s="40"/>
      <c r="I50" s="40"/>
      <c r="J50" s="40"/>
      <c r="K50" s="41"/>
    </row>
    <row r="51" spans="2:14" ht="9.75" customHeight="1" x14ac:dyDescent="0.2">
      <c r="B51" s="38"/>
      <c r="C51" s="280" t="str">
        <f>"4:"</f>
        <v>4:</v>
      </c>
      <c r="D51" s="281" t="s">
        <v>922</v>
      </c>
      <c r="E51" s="40"/>
      <c r="F51" s="40"/>
      <c r="G51" s="40"/>
      <c r="H51" s="40"/>
      <c r="I51" s="40"/>
      <c r="J51" s="40"/>
      <c r="K51" s="41"/>
      <c r="N51" s="12" t="s">
        <v>661</v>
      </c>
    </row>
    <row r="52" spans="2:14" x14ac:dyDescent="0.2">
      <c r="B52" s="38"/>
      <c r="C52" s="174" t="s">
        <v>662</v>
      </c>
      <c r="D52" s="40"/>
      <c r="E52" s="40"/>
      <c r="F52" s="40"/>
      <c r="G52" s="40"/>
      <c r="H52" s="40"/>
      <c r="I52" s="40"/>
      <c r="J52" s="265" t="s">
        <v>661</v>
      </c>
      <c r="K52" s="41"/>
      <c r="N52" s="12" t="s">
        <v>894</v>
      </c>
    </row>
    <row r="53" spans="2:14" x14ac:dyDescent="0.2">
      <c r="B53" s="38"/>
      <c r="C53" s="174" t="s">
        <v>660</v>
      </c>
      <c r="D53" s="40"/>
      <c r="E53" s="40"/>
      <c r="F53" s="40"/>
      <c r="G53" s="40"/>
      <c r="H53" s="40"/>
      <c r="I53" s="40"/>
      <c r="J53" s="246" t="str">
        <f>IF(J52=N51,"N/A",IF(J52=N52,0,IF(J52=N53,1,IF(J52=N54,2,IF(J52=N55,3,IF(J52=N56,4,"N/A"))))))</f>
        <v>N/A</v>
      </c>
      <c r="K53" s="41"/>
      <c r="N53" s="12" t="s">
        <v>895</v>
      </c>
    </row>
    <row r="54" spans="2:14" x14ac:dyDescent="0.2">
      <c r="B54" s="38"/>
      <c r="C54" s="40" t="s">
        <v>257</v>
      </c>
      <c r="D54" s="40"/>
      <c r="E54" s="40"/>
      <c r="F54" s="40"/>
      <c r="G54" s="40"/>
      <c r="H54" s="40"/>
      <c r="I54" s="40"/>
      <c r="J54" s="266" t="s">
        <v>870</v>
      </c>
      <c r="K54" s="41"/>
      <c r="N54" s="12" t="s">
        <v>896</v>
      </c>
    </row>
    <row r="55" spans="2:14" x14ac:dyDescent="0.2">
      <c r="B55" s="38"/>
      <c r="C55" s="40" t="s">
        <v>261</v>
      </c>
      <c r="D55" s="40"/>
      <c r="E55" s="40"/>
      <c r="F55" s="40"/>
      <c r="G55" s="40"/>
      <c r="H55" s="40"/>
      <c r="I55" s="40"/>
      <c r="J55" s="248">
        <f>IF(J54=$B$973,$A$973,IF(J54=$B$974,$A$974,IF(J54=$B$975,$A$975,IF(J54=$B$976,$A$976,IF(J54=$B$977,$A$977,"Not Calculated")))))</f>
        <v>0</v>
      </c>
      <c r="K55" s="41"/>
      <c r="N55" s="12" t="s">
        <v>897</v>
      </c>
    </row>
    <row r="56" spans="2:14" x14ac:dyDescent="0.2">
      <c r="B56" s="38"/>
      <c r="C56" s="40" t="s">
        <v>893</v>
      </c>
      <c r="D56" s="40"/>
      <c r="E56" s="40"/>
      <c r="F56" s="40"/>
      <c r="G56" s="40"/>
      <c r="H56" s="40"/>
      <c r="I56" s="40"/>
      <c r="J56" s="175"/>
      <c r="K56" s="41"/>
      <c r="N56" s="12" t="s">
        <v>898</v>
      </c>
    </row>
    <row r="57" spans="2:14" s="178" customFormat="1" ht="30" customHeight="1" x14ac:dyDescent="0.2">
      <c r="B57" s="176"/>
      <c r="C57" s="415"/>
      <c r="D57" s="400"/>
      <c r="E57" s="400"/>
      <c r="F57" s="400"/>
      <c r="G57" s="400"/>
      <c r="H57" s="400"/>
      <c r="I57" s="400"/>
      <c r="J57" s="401"/>
      <c r="K57" s="177"/>
    </row>
    <row r="58" spans="2:14" x14ac:dyDescent="0.2">
      <c r="B58" s="38"/>
      <c r="C58" s="40"/>
      <c r="D58" s="40"/>
      <c r="E58" s="40"/>
      <c r="F58" s="40"/>
      <c r="G58" s="40"/>
      <c r="H58" s="40"/>
      <c r="I58" s="40"/>
      <c r="J58" s="40"/>
      <c r="K58" s="41"/>
    </row>
    <row r="59" spans="2:14" x14ac:dyDescent="0.2">
      <c r="B59" s="38"/>
      <c r="C59" s="179" t="s">
        <v>263</v>
      </c>
      <c r="D59" s="40"/>
      <c r="E59" s="40"/>
      <c r="F59" s="40"/>
      <c r="G59" s="40"/>
      <c r="H59" s="40"/>
      <c r="I59" s="40"/>
      <c r="J59" s="245" t="str">
        <f>IF(J53="N/A",IF(OR(J46="Not Calculated",J55="Not Calculated")=TRUE,"Not Calculated",AVERAGE(J46,J55)),AVERAGE(J53,J55))</f>
        <v>Not Calculated</v>
      </c>
      <c r="K59" s="41"/>
    </row>
    <row r="60" spans="2:14" x14ac:dyDescent="0.2">
      <c r="B60" s="38"/>
      <c r="C60" s="40"/>
      <c r="D60" s="40"/>
      <c r="E60" s="40"/>
      <c r="F60" s="40"/>
      <c r="G60" s="40"/>
      <c r="H60" s="40"/>
      <c r="I60" s="40"/>
      <c r="J60" s="40"/>
      <c r="K60" s="41"/>
    </row>
    <row r="61" spans="2:14" x14ac:dyDescent="0.2">
      <c r="B61" s="38"/>
      <c r="C61" s="40"/>
      <c r="D61" s="40"/>
      <c r="E61" s="40"/>
      <c r="F61" s="40"/>
      <c r="G61" s="40"/>
      <c r="H61" s="40"/>
      <c r="I61" s="40"/>
      <c r="J61" s="40"/>
      <c r="K61" s="41"/>
    </row>
    <row r="62" spans="2:14" ht="16" x14ac:dyDescent="0.2">
      <c r="B62" s="38"/>
      <c r="C62" s="45" t="s">
        <v>54</v>
      </c>
      <c r="D62" s="40"/>
      <c r="E62" s="40"/>
      <c r="F62" s="40"/>
      <c r="G62" s="40"/>
      <c r="H62" s="40"/>
      <c r="I62" s="40"/>
      <c r="J62" s="40"/>
      <c r="K62" s="41"/>
    </row>
    <row r="63" spans="2:14" x14ac:dyDescent="0.2">
      <c r="B63" s="38"/>
      <c r="C63" s="40" t="s">
        <v>436</v>
      </c>
      <c r="D63" s="40"/>
      <c r="E63" s="40"/>
      <c r="F63" s="40"/>
      <c r="G63" s="40"/>
      <c r="H63" s="40"/>
      <c r="I63" s="40"/>
      <c r="J63" s="252">
        <f>'Baseline Health'!G23</f>
        <v>0</v>
      </c>
      <c r="K63" s="41"/>
    </row>
    <row r="64" spans="2:14" x14ac:dyDescent="0.2">
      <c r="B64" s="38"/>
      <c r="C64" s="40" t="s">
        <v>289</v>
      </c>
      <c r="D64" s="40"/>
      <c r="E64" s="40"/>
      <c r="F64" s="40"/>
      <c r="G64" s="40"/>
      <c r="H64" s="40"/>
      <c r="I64" s="40"/>
      <c r="J64" s="264">
        <v>0</v>
      </c>
      <c r="K64" s="41"/>
    </row>
    <row r="65" spans="2:14" x14ac:dyDescent="0.2">
      <c r="B65" s="38"/>
      <c r="C65" s="40" t="s">
        <v>260</v>
      </c>
      <c r="D65" s="40"/>
      <c r="E65" s="40"/>
      <c r="F65" s="40"/>
      <c r="G65" s="40"/>
      <c r="H65" s="40"/>
      <c r="I65" s="40"/>
      <c r="J65" s="248" t="str">
        <f>IF(OR(J63=0,J63="Not Calculated")=TRUE,"Not Calculated",(IF(((J64+J63)/J63)&lt;=1,0,IF(((J64+J63)/J63)&lt;=1.05,1,IF(((J64+J63)/J63)&lt;=1.5, 2,IF(((J64+J63)/J63)&lt;=2,3,4))))))</f>
        <v>Not Calculated</v>
      </c>
      <c r="K65" s="41"/>
    </row>
    <row r="66" spans="2:14" ht="9.75" customHeight="1" x14ac:dyDescent="0.2">
      <c r="B66" s="38"/>
      <c r="C66" s="279" t="str">
        <f>"0:"</f>
        <v>0:</v>
      </c>
      <c r="D66" s="281" t="s">
        <v>918</v>
      </c>
      <c r="E66" s="40"/>
      <c r="F66" s="40"/>
      <c r="G66" s="40"/>
      <c r="H66" s="40"/>
      <c r="I66" s="40"/>
      <c r="J66" s="40"/>
      <c r="K66" s="41"/>
    </row>
    <row r="67" spans="2:14" ht="9.75" customHeight="1" x14ac:dyDescent="0.2">
      <c r="B67" s="38"/>
      <c r="C67" s="280" t="str">
        <f>"1:"</f>
        <v>1:</v>
      </c>
      <c r="D67" s="281" t="s">
        <v>919</v>
      </c>
      <c r="E67" s="40"/>
      <c r="F67" s="40"/>
      <c r="G67" s="40"/>
      <c r="H67" s="40"/>
      <c r="I67" s="40"/>
      <c r="J67" s="40"/>
      <c r="K67" s="41"/>
    </row>
    <row r="68" spans="2:14" ht="9.75" customHeight="1" x14ac:dyDescent="0.2">
      <c r="B68" s="38"/>
      <c r="C68" s="280" t="str">
        <f>"2:"</f>
        <v>2:</v>
      </c>
      <c r="D68" s="281" t="s">
        <v>920</v>
      </c>
      <c r="E68" s="40"/>
      <c r="F68" s="40"/>
      <c r="G68" s="40"/>
      <c r="H68" s="40"/>
      <c r="I68" s="40"/>
      <c r="J68" s="40"/>
      <c r="K68" s="41"/>
    </row>
    <row r="69" spans="2:14" ht="9.75" customHeight="1" x14ac:dyDescent="0.2">
      <c r="B69" s="38"/>
      <c r="C69" s="280" t="str">
        <f>"3:"</f>
        <v>3:</v>
      </c>
      <c r="D69" s="281" t="s">
        <v>921</v>
      </c>
      <c r="E69" s="40"/>
      <c r="F69" s="40"/>
      <c r="G69" s="40"/>
      <c r="H69" s="40"/>
      <c r="I69" s="40"/>
      <c r="J69" s="40"/>
      <c r="K69" s="41"/>
    </row>
    <row r="70" spans="2:14" ht="9.75" customHeight="1" x14ac:dyDescent="0.2">
      <c r="B70" s="38"/>
      <c r="C70" s="280" t="str">
        <f>"4:"</f>
        <v>4:</v>
      </c>
      <c r="D70" s="281" t="s">
        <v>922</v>
      </c>
      <c r="E70" s="40"/>
      <c r="F70" s="40"/>
      <c r="G70" s="40"/>
      <c r="H70" s="40"/>
      <c r="I70" s="40"/>
      <c r="J70" s="40"/>
      <c r="K70" s="41"/>
      <c r="N70" s="12" t="s">
        <v>661</v>
      </c>
    </row>
    <row r="71" spans="2:14" x14ac:dyDescent="0.2">
      <c r="B71" s="38"/>
      <c r="C71" s="174" t="s">
        <v>662</v>
      </c>
      <c r="D71" s="40"/>
      <c r="E71" s="40"/>
      <c r="F71" s="40"/>
      <c r="G71" s="40"/>
      <c r="H71" s="40"/>
      <c r="I71" s="40"/>
      <c r="J71" s="265" t="s">
        <v>661</v>
      </c>
      <c r="K71" s="41"/>
      <c r="N71" s="12" t="s">
        <v>894</v>
      </c>
    </row>
    <row r="72" spans="2:14" x14ac:dyDescent="0.2">
      <c r="B72" s="38"/>
      <c r="C72" s="174" t="s">
        <v>660</v>
      </c>
      <c r="D72" s="40"/>
      <c r="E72" s="40"/>
      <c r="F72" s="40"/>
      <c r="G72" s="40"/>
      <c r="H72" s="40"/>
      <c r="I72" s="40"/>
      <c r="J72" s="246" t="str">
        <f>IF(J71=N70,"N/A",IF(J71=N71,0,IF(J71=N72,1,IF(J71=N73,2,IF(J71=N74,3,IF(J71=N75,4,"N/A"))))))</f>
        <v>N/A</v>
      </c>
      <c r="K72" s="41"/>
      <c r="N72" s="12" t="s">
        <v>895</v>
      </c>
    </row>
    <row r="73" spans="2:14" x14ac:dyDescent="0.2">
      <c r="B73" s="38"/>
      <c r="C73" s="40" t="s">
        <v>257</v>
      </c>
      <c r="D73" s="40"/>
      <c r="E73" s="40"/>
      <c r="F73" s="40"/>
      <c r="G73" s="40"/>
      <c r="H73" s="40"/>
      <c r="I73" s="40"/>
      <c r="J73" s="266" t="s">
        <v>870</v>
      </c>
      <c r="K73" s="41"/>
      <c r="N73" s="12" t="s">
        <v>896</v>
      </c>
    </row>
    <row r="74" spans="2:14" x14ac:dyDescent="0.2">
      <c r="B74" s="38"/>
      <c r="C74" s="40" t="s">
        <v>261</v>
      </c>
      <c r="D74" s="40"/>
      <c r="E74" s="40"/>
      <c r="F74" s="40"/>
      <c r="G74" s="40"/>
      <c r="H74" s="40"/>
      <c r="I74" s="40"/>
      <c r="J74" s="248">
        <f>IF(J73=$B$973,$A$973,IF(J73=$B$974,$A$974,IF(J73=$B$975,$A$975,IF(J73=$B$976,$A$976,IF(J73=$B$977,$A$977,"Not Calculated")))))</f>
        <v>0</v>
      </c>
      <c r="K74" s="41"/>
      <c r="N74" s="12" t="s">
        <v>897</v>
      </c>
    </row>
    <row r="75" spans="2:14" x14ac:dyDescent="0.2">
      <c r="B75" s="38"/>
      <c r="C75" s="40" t="s">
        <v>893</v>
      </c>
      <c r="D75" s="40"/>
      <c r="E75" s="40"/>
      <c r="F75" s="40"/>
      <c r="G75" s="40"/>
      <c r="H75" s="40"/>
      <c r="I75" s="40"/>
      <c r="J75" s="175"/>
      <c r="K75" s="41"/>
      <c r="N75" s="12" t="s">
        <v>898</v>
      </c>
    </row>
    <row r="76" spans="2:14" s="178" customFormat="1" ht="30" customHeight="1" x14ac:dyDescent="0.2">
      <c r="B76" s="176"/>
      <c r="C76" s="415"/>
      <c r="D76" s="400"/>
      <c r="E76" s="400"/>
      <c r="F76" s="400"/>
      <c r="G76" s="400"/>
      <c r="H76" s="400"/>
      <c r="I76" s="400"/>
      <c r="J76" s="401"/>
      <c r="K76" s="177"/>
    </row>
    <row r="77" spans="2:14" x14ac:dyDescent="0.2">
      <c r="B77" s="38"/>
      <c r="C77" s="40"/>
      <c r="D77" s="40"/>
      <c r="E77" s="40"/>
      <c r="F77" s="40"/>
      <c r="G77" s="40"/>
      <c r="H77" s="40"/>
      <c r="I77" s="40"/>
      <c r="J77" s="40"/>
      <c r="K77" s="41"/>
    </row>
    <row r="78" spans="2:14" x14ac:dyDescent="0.2">
      <c r="B78" s="38"/>
      <c r="C78" s="179" t="s">
        <v>264</v>
      </c>
      <c r="D78" s="40"/>
      <c r="E78" s="40"/>
      <c r="F78" s="40"/>
      <c r="G78" s="40"/>
      <c r="H78" s="40"/>
      <c r="I78" s="40"/>
      <c r="J78" s="245" t="str">
        <f>IF(J72="N/A",IF(OR(J65="Not Calculated",J74="Not Calculated")=TRUE,"Not Calculated",AVERAGE(J65,J74)),AVERAGE(J72,J74))</f>
        <v>Not Calculated</v>
      </c>
      <c r="K78" s="41"/>
    </row>
    <row r="79" spans="2:14" x14ac:dyDescent="0.2">
      <c r="B79" s="38"/>
      <c r="C79" s="40"/>
      <c r="D79" s="40"/>
      <c r="E79" s="40"/>
      <c r="F79" s="40"/>
      <c r="G79" s="40"/>
      <c r="H79" s="40"/>
      <c r="I79" s="40"/>
      <c r="J79" s="40"/>
      <c r="K79" s="41"/>
    </row>
    <row r="80" spans="2:14" x14ac:dyDescent="0.2">
      <c r="B80" s="38"/>
      <c r="C80" s="40"/>
      <c r="D80" s="40"/>
      <c r="E80" s="40"/>
      <c r="F80" s="40"/>
      <c r="G80" s="40"/>
      <c r="H80" s="40"/>
      <c r="I80" s="40"/>
      <c r="J80" s="40"/>
      <c r="K80" s="41"/>
    </row>
    <row r="81" spans="2:14" ht="16" x14ac:dyDescent="0.2">
      <c r="B81" s="38"/>
      <c r="C81" s="45" t="s">
        <v>57</v>
      </c>
      <c r="D81" s="40"/>
      <c r="E81" s="40"/>
      <c r="F81" s="40"/>
      <c r="G81" s="40"/>
      <c r="H81" s="40"/>
      <c r="I81" s="40"/>
      <c r="J81" s="40"/>
      <c r="K81" s="41"/>
    </row>
    <row r="82" spans="2:14" x14ac:dyDescent="0.2">
      <c r="B82" s="38"/>
      <c r="C82" s="40" t="s">
        <v>437</v>
      </c>
      <c r="D82" s="40"/>
      <c r="E82" s="40"/>
      <c r="F82" s="40"/>
      <c r="G82" s="40"/>
      <c r="H82" s="40"/>
      <c r="I82" s="40"/>
      <c r="J82" s="252">
        <f>'Baseline Health'!G29</f>
        <v>0</v>
      </c>
      <c r="K82" s="41"/>
    </row>
    <row r="83" spans="2:14" x14ac:dyDescent="0.2">
      <c r="B83" s="38"/>
      <c r="C83" s="40" t="s">
        <v>290</v>
      </c>
      <c r="D83" s="40"/>
      <c r="E83" s="40"/>
      <c r="F83" s="40"/>
      <c r="G83" s="40"/>
      <c r="H83" s="40"/>
      <c r="I83" s="40"/>
      <c r="J83" s="264">
        <v>0</v>
      </c>
      <c r="K83" s="41"/>
    </row>
    <row r="84" spans="2:14" x14ac:dyDescent="0.2">
      <c r="B84" s="38"/>
      <c r="C84" s="40" t="s">
        <v>260</v>
      </c>
      <c r="D84" s="40"/>
      <c r="E84" s="40"/>
      <c r="F84" s="40"/>
      <c r="G84" s="40"/>
      <c r="H84" s="40"/>
      <c r="I84" s="40"/>
      <c r="J84" s="248" t="str">
        <f>IF(OR(J82=0,J82="Not Calculated")=TRUE,"Not Calculated",(IF(((J83+J82)/J82)&lt;=1,0,IF(((J83+J82)/J82)&lt;=1.05,1,IF(((J83+J82)/J82)&lt;=1.5, 2,IF(((J83+J82)/J82)&lt;=2,3,4))))))</f>
        <v>Not Calculated</v>
      </c>
      <c r="K84" s="41"/>
    </row>
    <row r="85" spans="2:14" ht="9.75" customHeight="1" x14ac:dyDescent="0.2">
      <c r="B85" s="38"/>
      <c r="C85" s="279" t="str">
        <f>"0:"</f>
        <v>0:</v>
      </c>
      <c r="D85" s="281" t="s">
        <v>918</v>
      </c>
      <c r="E85" s="40"/>
      <c r="F85" s="40"/>
      <c r="G85" s="40"/>
      <c r="H85" s="40"/>
      <c r="I85" s="40"/>
      <c r="J85" s="40"/>
      <c r="K85" s="41"/>
    </row>
    <row r="86" spans="2:14" ht="9.75" customHeight="1" x14ac:dyDescent="0.2">
      <c r="B86" s="38"/>
      <c r="C86" s="280" t="str">
        <f>"1:"</f>
        <v>1:</v>
      </c>
      <c r="D86" s="281" t="s">
        <v>919</v>
      </c>
      <c r="E86" s="40"/>
      <c r="F86" s="40"/>
      <c r="G86" s="40"/>
      <c r="H86" s="40"/>
      <c r="I86" s="40"/>
      <c r="J86" s="40"/>
      <c r="K86" s="41"/>
    </row>
    <row r="87" spans="2:14" ht="9.75" customHeight="1" x14ac:dyDescent="0.2">
      <c r="B87" s="38"/>
      <c r="C87" s="280" t="str">
        <f>"2:"</f>
        <v>2:</v>
      </c>
      <c r="D87" s="281" t="s">
        <v>920</v>
      </c>
      <c r="E87" s="40"/>
      <c r="F87" s="40"/>
      <c r="G87" s="40"/>
      <c r="H87" s="40"/>
      <c r="I87" s="40"/>
      <c r="J87" s="40"/>
      <c r="K87" s="41"/>
    </row>
    <row r="88" spans="2:14" ht="9.75" customHeight="1" x14ac:dyDescent="0.2">
      <c r="B88" s="38"/>
      <c r="C88" s="280" t="str">
        <f>"3:"</f>
        <v>3:</v>
      </c>
      <c r="D88" s="281" t="s">
        <v>921</v>
      </c>
      <c r="E88" s="40"/>
      <c r="F88" s="40"/>
      <c r="G88" s="40"/>
      <c r="H88" s="40"/>
      <c r="I88" s="40"/>
      <c r="J88" s="40"/>
      <c r="K88" s="41"/>
    </row>
    <row r="89" spans="2:14" ht="9.75" customHeight="1" x14ac:dyDescent="0.2">
      <c r="B89" s="38"/>
      <c r="C89" s="280" t="str">
        <f>"4:"</f>
        <v>4:</v>
      </c>
      <c r="D89" s="281" t="s">
        <v>922</v>
      </c>
      <c r="E89" s="40"/>
      <c r="F89" s="40"/>
      <c r="G89" s="40"/>
      <c r="H89" s="40"/>
      <c r="I89" s="40"/>
      <c r="J89" s="40"/>
      <c r="K89" s="41"/>
      <c r="N89" s="12" t="s">
        <v>661</v>
      </c>
    </row>
    <row r="90" spans="2:14" x14ac:dyDescent="0.2">
      <c r="B90" s="38"/>
      <c r="C90" s="174" t="s">
        <v>662</v>
      </c>
      <c r="D90" s="40"/>
      <c r="E90" s="40"/>
      <c r="F90" s="40"/>
      <c r="G90" s="40"/>
      <c r="H90" s="40"/>
      <c r="I90" s="40"/>
      <c r="J90" s="265" t="s">
        <v>661</v>
      </c>
      <c r="K90" s="41"/>
      <c r="N90" s="12" t="s">
        <v>894</v>
      </c>
    </row>
    <row r="91" spans="2:14" x14ac:dyDescent="0.2">
      <c r="B91" s="38"/>
      <c r="C91" s="174" t="s">
        <v>660</v>
      </c>
      <c r="D91" s="40"/>
      <c r="E91" s="40"/>
      <c r="F91" s="40"/>
      <c r="G91" s="40"/>
      <c r="H91" s="40"/>
      <c r="I91" s="40"/>
      <c r="J91" s="246" t="str">
        <f>IF(J90=N89,"N/A",IF(J90=N90,0,IF(J90=N91,1,IF(J90=N92,2,IF(J90=N93,3,IF(J90=N94,4,"N/A"))))))</f>
        <v>N/A</v>
      </c>
      <c r="K91" s="41"/>
      <c r="N91" s="12" t="s">
        <v>895</v>
      </c>
    </row>
    <row r="92" spans="2:14" x14ac:dyDescent="0.2">
      <c r="B92" s="38"/>
      <c r="C92" s="40" t="s">
        <v>257</v>
      </c>
      <c r="D92" s="40"/>
      <c r="E92" s="40"/>
      <c r="F92" s="40"/>
      <c r="G92" s="40"/>
      <c r="H92" s="40"/>
      <c r="I92" s="40"/>
      <c r="J92" s="266" t="s">
        <v>870</v>
      </c>
      <c r="K92" s="41"/>
      <c r="N92" s="12" t="s">
        <v>896</v>
      </c>
    </row>
    <row r="93" spans="2:14" x14ac:dyDescent="0.2">
      <c r="B93" s="38"/>
      <c r="C93" s="40" t="s">
        <v>261</v>
      </c>
      <c r="D93" s="40"/>
      <c r="E93" s="40"/>
      <c r="F93" s="40"/>
      <c r="G93" s="40"/>
      <c r="H93" s="40"/>
      <c r="I93" s="40"/>
      <c r="J93" s="248">
        <f>IF(J92=$B$973,$A$973,IF(J92=$B$974,$A$974,IF(J92=$B$975,$A$975,IF(J92=$B$976,$A$976,IF(J92=$B$977,$A$977,"Not Calculated")))))</f>
        <v>0</v>
      </c>
      <c r="K93" s="41"/>
      <c r="N93" s="12" t="s">
        <v>897</v>
      </c>
    </row>
    <row r="94" spans="2:14" x14ac:dyDescent="0.2">
      <c r="B94" s="38"/>
      <c r="C94" s="40" t="s">
        <v>893</v>
      </c>
      <c r="D94" s="40"/>
      <c r="E94" s="40"/>
      <c r="F94" s="40"/>
      <c r="G94" s="40"/>
      <c r="H94" s="40"/>
      <c r="I94" s="40"/>
      <c r="J94" s="175"/>
      <c r="K94" s="41"/>
      <c r="N94" s="12" t="s">
        <v>898</v>
      </c>
    </row>
    <row r="95" spans="2:14" s="178" customFormat="1" ht="30" customHeight="1" x14ac:dyDescent="0.2">
      <c r="B95" s="176"/>
      <c r="C95" s="415"/>
      <c r="D95" s="400"/>
      <c r="E95" s="400"/>
      <c r="F95" s="400"/>
      <c r="G95" s="400"/>
      <c r="H95" s="400"/>
      <c r="I95" s="400"/>
      <c r="J95" s="401"/>
      <c r="K95" s="177"/>
    </row>
    <row r="96" spans="2:14" x14ac:dyDescent="0.2">
      <c r="B96" s="38"/>
      <c r="C96" s="40"/>
      <c r="D96" s="40"/>
      <c r="E96" s="40"/>
      <c r="F96" s="40"/>
      <c r="G96" s="40"/>
      <c r="H96" s="40"/>
      <c r="I96" s="40"/>
      <c r="J96" s="40"/>
      <c r="K96" s="41"/>
    </row>
    <row r="97" spans="2:14" x14ac:dyDescent="0.2">
      <c r="B97" s="38"/>
      <c r="C97" s="179" t="s">
        <v>265</v>
      </c>
      <c r="D97" s="40"/>
      <c r="E97" s="40"/>
      <c r="F97" s="40"/>
      <c r="G97" s="40"/>
      <c r="H97" s="40"/>
      <c r="I97" s="40"/>
      <c r="J97" s="245" t="str">
        <f>IF(J91="N/A",IF(OR(J84="Not Calculated",J93="Not Calculated")=TRUE,"Not Calculated",AVERAGE(J84,J93)),AVERAGE(J91,J93))</f>
        <v>Not Calculated</v>
      </c>
      <c r="K97" s="41"/>
    </row>
    <row r="98" spans="2:14" x14ac:dyDescent="0.2">
      <c r="B98" s="38"/>
      <c r="C98" s="40"/>
      <c r="D98" s="40"/>
      <c r="E98" s="40"/>
      <c r="F98" s="40"/>
      <c r="G98" s="40"/>
      <c r="H98" s="40"/>
      <c r="I98" s="40"/>
      <c r="J98" s="40"/>
      <c r="K98" s="41"/>
    </row>
    <row r="99" spans="2:14" x14ac:dyDescent="0.2">
      <c r="B99" s="38"/>
      <c r="C99" s="40"/>
      <c r="D99" s="40"/>
      <c r="E99" s="40"/>
      <c r="F99" s="40"/>
      <c r="G99" s="40"/>
      <c r="H99" s="40"/>
      <c r="I99" s="40"/>
      <c r="J99" s="40"/>
      <c r="K99" s="41"/>
    </row>
    <row r="100" spans="2:14" ht="16" x14ac:dyDescent="0.2">
      <c r="B100" s="38"/>
      <c r="C100" s="45" t="s">
        <v>60</v>
      </c>
      <c r="D100" s="40"/>
      <c r="E100" s="40"/>
      <c r="F100" s="40"/>
      <c r="G100" s="40"/>
      <c r="H100" s="40"/>
      <c r="I100" s="40"/>
      <c r="J100" s="40"/>
      <c r="K100" s="41"/>
    </row>
    <row r="101" spans="2:14" x14ac:dyDescent="0.2">
      <c r="B101" s="38"/>
      <c r="C101" s="40" t="s">
        <v>438</v>
      </c>
      <c r="D101" s="40"/>
      <c r="E101" s="40"/>
      <c r="F101" s="40"/>
      <c r="G101" s="40"/>
      <c r="H101" s="40"/>
      <c r="I101" s="40"/>
      <c r="J101" s="252">
        <f>'Baseline Health'!G35</f>
        <v>0</v>
      </c>
      <c r="K101" s="41"/>
    </row>
    <row r="102" spans="2:14" x14ac:dyDescent="0.2">
      <c r="B102" s="38"/>
      <c r="C102" s="40" t="s">
        <v>291</v>
      </c>
      <c r="D102" s="40"/>
      <c r="E102" s="40"/>
      <c r="F102" s="40"/>
      <c r="G102" s="40"/>
      <c r="H102" s="40"/>
      <c r="I102" s="40"/>
      <c r="J102" s="264">
        <v>0</v>
      </c>
      <c r="K102" s="41"/>
    </row>
    <row r="103" spans="2:14" x14ac:dyDescent="0.2">
      <c r="B103" s="38"/>
      <c r="C103" s="40" t="s">
        <v>260</v>
      </c>
      <c r="D103" s="40"/>
      <c r="E103" s="40"/>
      <c r="F103" s="40"/>
      <c r="G103" s="40"/>
      <c r="H103" s="40"/>
      <c r="I103" s="40"/>
      <c r="J103" s="248" t="str">
        <f>IF(OR(J101=0,J101="Not Calculated")=TRUE,"Not Calculated",(IF(((J102+J101)/J101)&lt;=1,0,IF(((J102+J101)/J101)&lt;=1.05,1,IF(((J102+J101)/J101)&lt;=1.5, 2,IF(((J102+J101)/J101)&lt;=2,3,4))))))</f>
        <v>Not Calculated</v>
      </c>
      <c r="K103" s="41"/>
    </row>
    <row r="104" spans="2:14" ht="9.75" customHeight="1" x14ac:dyDescent="0.2">
      <c r="B104" s="38"/>
      <c r="C104" s="279" t="str">
        <f>"0:"</f>
        <v>0:</v>
      </c>
      <c r="D104" s="281" t="s">
        <v>918</v>
      </c>
      <c r="E104" s="40"/>
      <c r="F104" s="40"/>
      <c r="G104" s="40"/>
      <c r="H104" s="40"/>
      <c r="I104" s="40"/>
      <c r="J104" s="40"/>
      <c r="K104" s="41"/>
    </row>
    <row r="105" spans="2:14" ht="9.75" customHeight="1" x14ac:dyDescent="0.2">
      <c r="B105" s="38"/>
      <c r="C105" s="280" t="str">
        <f>"1:"</f>
        <v>1:</v>
      </c>
      <c r="D105" s="281" t="s">
        <v>919</v>
      </c>
      <c r="E105" s="40"/>
      <c r="F105" s="40"/>
      <c r="G105" s="40"/>
      <c r="H105" s="40"/>
      <c r="I105" s="40"/>
      <c r="J105" s="40"/>
      <c r="K105" s="41"/>
    </row>
    <row r="106" spans="2:14" ht="9.75" customHeight="1" x14ac:dyDescent="0.2">
      <c r="B106" s="38"/>
      <c r="C106" s="280" t="str">
        <f>"2:"</f>
        <v>2:</v>
      </c>
      <c r="D106" s="281" t="s">
        <v>920</v>
      </c>
      <c r="E106" s="40"/>
      <c r="F106" s="40"/>
      <c r="G106" s="40"/>
      <c r="H106" s="40"/>
      <c r="I106" s="40"/>
      <c r="J106" s="40"/>
      <c r="K106" s="41"/>
    </row>
    <row r="107" spans="2:14" ht="9.75" customHeight="1" x14ac:dyDescent="0.2">
      <c r="B107" s="38"/>
      <c r="C107" s="280" t="str">
        <f>"3:"</f>
        <v>3:</v>
      </c>
      <c r="D107" s="281" t="s">
        <v>921</v>
      </c>
      <c r="E107" s="40"/>
      <c r="F107" s="40"/>
      <c r="G107" s="40"/>
      <c r="H107" s="40"/>
      <c r="I107" s="40"/>
      <c r="J107" s="40"/>
      <c r="K107" s="41"/>
    </row>
    <row r="108" spans="2:14" ht="9.75" customHeight="1" x14ac:dyDescent="0.2">
      <c r="B108" s="38"/>
      <c r="C108" s="280" t="str">
        <f>"4:"</f>
        <v>4:</v>
      </c>
      <c r="D108" s="281" t="s">
        <v>922</v>
      </c>
      <c r="E108" s="40"/>
      <c r="F108" s="40"/>
      <c r="G108" s="40"/>
      <c r="H108" s="40"/>
      <c r="I108" s="40"/>
      <c r="J108" s="40"/>
      <c r="K108" s="41"/>
      <c r="N108" s="12" t="s">
        <v>661</v>
      </c>
    </row>
    <row r="109" spans="2:14" x14ac:dyDescent="0.2">
      <c r="B109" s="38"/>
      <c r="C109" s="174" t="s">
        <v>662</v>
      </c>
      <c r="D109" s="40"/>
      <c r="E109" s="40"/>
      <c r="F109" s="40"/>
      <c r="G109" s="40"/>
      <c r="H109" s="40"/>
      <c r="I109" s="40"/>
      <c r="J109" s="265" t="s">
        <v>661</v>
      </c>
      <c r="K109" s="41"/>
      <c r="N109" s="12" t="s">
        <v>894</v>
      </c>
    </row>
    <row r="110" spans="2:14" x14ac:dyDescent="0.2">
      <c r="B110" s="38"/>
      <c r="C110" s="174" t="s">
        <v>660</v>
      </c>
      <c r="D110" s="40"/>
      <c r="E110" s="40"/>
      <c r="F110" s="40"/>
      <c r="G110" s="40"/>
      <c r="H110" s="40"/>
      <c r="I110" s="40"/>
      <c r="J110" s="246" t="str">
        <f>IF(J109=N108,"N/A",IF(J109=N109,0,IF(J109=N110,1,IF(J109=N111,2,IF(J109=N112,3,IF(J109=N113,4,"N/A"))))))</f>
        <v>N/A</v>
      </c>
      <c r="K110" s="41"/>
      <c r="N110" s="12" t="s">
        <v>895</v>
      </c>
    </row>
    <row r="111" spans="2:14" x14ac:dyDescent="0.2">
      <c r="B111" s="38"/>
      <c r="C111" s="40" t="s">
        <v>257</v>
      </c>
      <c r="D111" s="40"/>
      <c r="E111" s="40"/>
      <c r="F111" s="40"/>
      <c r="G111" s="40"/>
      <c r="H111" s="40"/>
      <c r="I111" s="40"/>
      <c r="J111" s="266" t="s">
        <v>870</v>
      </c>
      <c r="K111" s="41"/>
      <c r="N111" s="12" t="s">
        <v>896</v>
      </c>
    </row>
    <row r="112" spans="2:14" x14ac:dyDescent="0.2">
      <c r="B112" s="38"/>
      <c r="C112" s="40" t="s">
        <v>261</v>
      </c>
      <c r="D112" s="40"/>
      <c r="E112" s="40"/>
      <c r="F112" s="40"/>
      <c r="G112" s="40"/>
      <c r="H112" s="40"/>
      <c r="I112" s="40"/>
      <c r="J112" s="248">
        <f>IF(J111=$B$973,$A$973,IF(J111=$B$974,$A$974,IF(J111=$B$975,$A$975,IF(J111=$B$976,$A$976,IF(J111=$B$977,$A$977,"Not Calculated")))))</f>
        <v>0</v>
      </c>
      <c r="K112" s="41"/>
      <c r="N112" s="12" t="s">
        <v>897</v>
      </c>
    </row>
    <row r="113" spans="2:14" x14ac:dyDescent="0.2">
      <c r="B113" s="38"/>
      <c r="C113" s="40" t="s">
        <v>893</v>
      </c>
      <c r="D113" s="40"/>
      <c r="E113" s="40"/>
      <c r="F113" s="40"/>
      <c r="G113" s="40"/>
      <c r="H113" s="40"/>
      <c r="I113" s="40"/>
      <c r="J113" s="175"/>
      <c r="K113" s="41"/>
      <c r="N113" s="12" t="s">
        <v>898</v>
      </c>
    </row>
    <row r="114" spans="2:14" s="178" customFormat="1" ht="30" customHeight="1" x14ac:dyDescent="0.2">
      <c r="B114" s="176"/>
      <c r="C114" s="415"/>
      <c r="D114" s="400"/>
      <c r="E114" s="400"/>
      <c r="F114" s="400"/>
      <c r="G114" s="400"/>
      <c r="H114" s="400"/>
      <c r="I114" s="400"/>
      <c r="J114" s="400"/>
      <c r="K114" s="177"/>
    </row>
    <row r="115" spans="2:14" x14ac:dyDescent="0.2">
      <c r="B115" s="38"/>
      <c r="C115" s="40"/>
      <c r="D115" s="40"/>
      <c r="E115" s="40"/>
      <c r="F115" s="40"/>
      <c r="G115" s="40"/>
      <c r="H115" s="40"/>
      <c r="I115" s="40"/>
      <c r="J115" s="40"/>
      <c r="K115" s="41"/>
    </row>
    <row r="116" spans="2:14" x14ac:dyDescent="0.2">
      <c r="B116" s="38"/>
      <c r="C116" s="179" t="s">
        <v>266</v>
      </c>
      <c r="D116" s="40"/>
      <c r="E116" s="40"/>
      <c r="F116" s="40"/>
      <c r="G116" s="40"/>
      <c r="H116" s="40"/>
      <c r="I116" s="40"/>
      <c r="J116" s="245" t="str">
        <f>IF(J110="N/A",IF(OR(J103="Not Calculated",J112="Not Calculated")=TRUE,"Not Calculated",AVERAGE(J103,J112)),AVERAGE(J110,J112))</f>
        <v>Not Calculated</v>
      </c>
      <c r="K116" s="41"/>
    </row>
    <row r="117" spans="2:14" x14ac:dyDescent="0.2">
      <c r="B117" s="38"/>
      <c r="C117" s="40"/>
      <c r="D117" s="40"/>
      <c r="E117" s="40"/>
      <c r="F117" s="40"/>
      <c r="G117" s="40"/>
      <c r="H117" s="40"/>
      <c r="I117" s="40"/>
      <c r="J117" s="40"/>
      <c r="K117" s="41"/>
    </row>
    <row r="118" spans="2:14" x14ac:dyDescent="0.2">
      <c r="B118" s="38"/>
      <c r="C118" s="40"/>
      <c r="D118" s="40"/>
      <c r="E118" s="40"/>
      <c r="F118" s="40"/>
      <c r="G118" s="40"/>
      <c r="H118" s="40"/>
      <c r="I118" s="40"/>
      <c r="J118" s="40"/>
      <c r="K118" s="41"/>
    </row>
    <row r="119" spans="2:14" ht="16" x14ac:dyDescent="0.2">
      <c r="B119" s="38"/>
      <c r="C119" s="45" t="s">
        <v>262</v>
      </c>
      <c r="D119" s="40"/>
      <c r="E119" s="40"/>
      <c r="F119" s="40"/>
      <c r="G119" s="40"/>
      <c r="H119" s="40"/>
      <c r="I119" s="40"/>
      <c r="J119" s="40"/>
      <c r="K119" s="41"/>
    </row>
    <row r="120" spans="2:14" ht="15" customHeight="1" x14ac:dyDescent="0.2">
      <c r="B120" s="38"/>
      <c r="C120" s="422" t="s">
        <v>268</v>
      </c>
      <c r="D120" s="422"/>
      <c r="E120" s="422"/>
      <c r="F120" s="422"/>
      <c r="G120" s="422"/>
      <c r="H120" s="422"/>
      <c r="I120" s="422"/>
      <c r="J120" s="422"/>
      <c r="K120" s="41"/>
    </row>
    <row r="121" spans="2:14" x14ac:dyDescent="0.2">
      <c r="B121" s="38"/>
      <c r="C121" s="422"/>
      <c r="D121" s="422"/>
      <c r="E121" s="422"/>
      <c r="F121" s="422"/>
      <c r="G121" s="422"/>
      <c r="H121" s="422"/>
      <c r="I121" s="422"/>
      <c r="J121" s="422"/>
      <c r="K121" s="41"/>
    </row>
    <row r="122" spans="2:14" x14ac:dyDescent="0.2">
      <c r="B122" s="38"/>
      <c r="C122" s="423"/>
      <c r="D122" s="423"/>
      <c r="E122" s="423"/>
      <c r="F122" s="423"/>
      <c r="G122" s="423"/>
      <c r="H122" s="423"/>
      <c r="I122" s="423"/>
      <c r="J122" s="423"/>
      <c r="K122" s="41"/>
    </row>
    <row r="123" spans="2:14" ht="15" customHeight="1" x14ac:dyDescent="0.2">
      <c r="B123" s="38"/>
      <c r="C123" s="416" t="s">
        <v>247</v>
      </c>
      <c r="D123" s="417"/>
      <c r="E123" s="417"/>
      <c r="F123" s="417"/>
      <c r="G123" s="417"/>
      <c r="H123" s="417"/>
      <c r="I123" s="417"/>
      <c r="J123" s="418"/>
      <c r="K123" s="41"/>
    </row>
    <row r="124" spans="2:14" x14ac:dyDescent="0.2">
      <c r="B124" s="38"/>
      <c r="C124" s="419"/>
      <c r="D124" s="420"/>
      <c r="E124" s="420"/>
      <c r="F124" s="420"/>
      <c r="G124" s="420"/>
      <c r="H124" s="420"/>
      <c r="I124" s="420"/>
      <c r="J124" s="421"/>
      <c r="K124" s="41"/>
    </row>
    <row r="125" spans="2:14" ht="15" customHeight="1" x14ac:dyDescent="0.2">
      <c r="B125" s="38"/>
      <c r="C125" s="40" t="s">
        <v>260</v>
      </c>
      <c r="D125" s="40"/>
      <c r="E125" s="40"/>
      <c r="F125" s="40"/>
      <c r="G125" s="40"/>
      <c r="H125" s="40"/>
      <c r="I125" s="40"/>
      <c r="J125" s="246">
        <f>IF(C123=B987,A987,IF(C123=B988,A988,IF(C123=B989,A989,IF(C123=B990,A990,IF(C123=B991,A991,"Not Calculated")))))</f>
        <v>2</v>
      </c>
      <c r="K125" s="41"/>
    </row>
    <row r="126" spans="2:14" ht="15" customHeight="1" x14ac:dyDescent="0.2">
      <c r="B126" s="38"/>
      <c r="C126" s="40" t="s">
        <v>257</v>
      </c>
      <c r="D126" s="40"/>
      <c r="E126" s="40"/>
      <c r="F126" s="40"/>
      <c r="G126" s="40"/>
      <c r="H126" s="40"/>
      <c r="I126" s="40"/>
      <c r="J126" s="266" t="s">
        <v>874</v>
      </c>
      <c r="K126" s="41"/>
    </row>
    <row r="127" spans="2:14" x14ac:dyDescent="0.2">
      <c r="B127" s="38"/>
      <c r="C127" s="40" t="s">
        <v>261</v>
      </c>
      <c r="D127" s="40"/>
      <c r="E127" s="40"/>
      <c r="F127" s="40"/>
      <c r="G127" s="40"/>
      <c r="H127" s="40"/>
      <c r="I127" s="40"/>
      <c r="J127" s="248">
        <f>IF(J126=$B$973,$A$973,IF(J126=$B$974,$A$974,IF(J126=$B$975,$A$975,IF(J126=$B$976,$A$976,IF(J126=$B$977,$A$977,"Not Calculated")))))</f>
        <v>4</v>
      </c>
      <c r="K127" s="41"/>
    </row>
    <row r="128" spans="2:14" ht="15" customHeight="1" x14ac:dyDescent="0.2">
      <c r="B128" s="38"/>
      <c r="C128" s="40" t="s">
        <v>893</v>
      </c>
      <c r="D128" s="40"/>
      <c r="E128" s="40"/>
      <c r="F128" s="40"/>
      <c r="G128" s="40"/>
      <c r="H128" s="40"/>
      <c r="I128" s="40"/>
      <c r="J128" s="175"/>
      <c r="K128" s="41"/>
    </row>
    <row r="129" spans="2:11" s="178" customFormat="1" ht="30" customHeight="1" x14ac:dyDescent="0.2">
      <c r="B129" s="176"/>
      <c r="C129" s="415" t="s">
        <v>472</v>
      </c>
      <c r="D129" s="400"/>
      <c r="E129" s="400"/>
      <c r="F129" s="400"/>
      <c r="G129" s="400"/>
      <c r="H129" s="400"/>
      <c r="I129" s="400"/>
      <c r="J129" s="401"/>
      <c r="K129" s="177"/>
    </row>
    <row r="130" spans="2:11" x14ac:dyDescent="0.2">
      <c r="B130" s="38"/>
      <c r="C130" s="40"/>
      <c r="D130" s="40"/>
      <c r="E130" s="40"/>
      <c r="F130" s="40"/>
      <c r="G130" s="40"/>
      <c r="H130" s="40"/>
      <c r="I130" s="40"/>
      <c r="J130" s="40"/>
      <c r="K130" s="41"/>
    </row>
    <row r="131" spans="2:11" x14ac:dyDescent="0.2">
      <c r="B131" s="38"/>
      <c r="C131" s="179" t="s">
        <v>267</v>
      </c>
      <c r="D131" s="40"/>
      <c r="E131" s="40"/>
      <c r="F131" s="40"/>
      <c r="G131" s="40"/>
      <c r="H131" s="40"/>
      <c r="I131" s="40"/>
      <c r="J131" s="245">
        <f>IF(OR(J125="Not Calculated",J127="Not Calculated")=TRUE,"Not Calculated",AVERAGE(J125,J127))</f>
        <v>3</v>
      </c>
      <c r="K131" s="41"/>
    </row>
    <row r="132" spans="2:11" x14ac:dyDescent="0.2">
      <c r="B132" s="38"/>
      <c r="C132" s="179"/>
      <c r="D132" s="40"/>
      <c r="E132" s="40"/>
      <c r="F132" s="40"/>
      <c r="G132" s="40"/>
      <c r="H132" s="40"/>
      <c r="I132" s="40"/>
      <c r="J132" s="245"/>
      <c r="K132" s="41"/>
    </row>
    <row r="133" spans="2:11" ht="18" x14ac:dyDescent="0.2">
      <c r="B133" s="38"/>
      <c r="C133" s="180" t="s">
        <v>269</v>
      </c>
      <c r="D133" s="40"/>
      <c r="E133" s="40"/>
      <c r="F133" s="40"/>
      <c r="G133" s="40"/>
      <c r="H133" s="40"/>
      <c r="I133" s="40"/>
      <c r="J133" s="244" t="str">
        <f>IF(OR(J40="Not Calculated",J59="Not Calculated",J78="Not Calculated",J97="Not Calculated",J116="Not Calculated",J131="Not Calculated",)=TRUE,"Not Calculated",AVERAGE(J40,J59,J78,J97,J116,J131))</f>
        <v>Not Calculated</v>
      </c>
      <c r="K133" s="41"/>
    </row>
    <row r="134" spans="2:11" ht="16" thickBot="1" x14ac:dyDescent="0.25">
      <c r="B134" s="46"/>
      <c r="C134" s="47"/>
      <c r="D134" s="47"/>
      <c r="E134" s="47"/>
      <c r="F134" s="47"/>
      <c r="G134" s="47"/>
      <c r="H134" s="47"/>
      <c r="I134" s="47"/>
      <c r="J134" s="47"/>
      <c r="K134" s="49"/>
    </row>
    <row r="135" spans="2:11" ht="16" thickBot="1" x14ac:dyDescent="0.25"/>
    <row r="136" spans="2:11" x14ac:dyDescent="0.2">
      <c r="B136" s="33"/>
      <c r="C136" s="34"/>
      <c r="D136" s="34"/>
      <c r="E136" s="34"/>
      <c r="F136" s="34"/>
      <c r="G136" s="34"/>
      <c r="H136" s="34"/>
      <c r="I136" s="34"/>
      <c r="J136" s="34"/>
      <c r="K136" s="37"/>
    </row>
    <row r="137" spans="2:11" ht="21" x14ac:dyDescent="0.25">
      <c r="B137" s="38"/>
      <c r="C137" s="171"/>
      <c r="D137" s="40"/>
      <c r="E137" s="40"/>
      <c r="F137" s="40"/>
      <c r="G137" s="172" t="s">
        <v>27</v>
      </c>
      <c r="H137" s="40"/>
      <c r="I137" s="40"/>
      <c r="J137" s="40"/>
      <c r="K137" s="41"/>
    </row>
    <row r="138" spans="2:11" x14ac:dyDescent="0.2">
      <c r="B138" s="38"/>
      <c r="C138" s="40"/>
      <c r="D138" s="40"/>
      <c r="E138" s="40"/>
      <c r="F138" s="40"/>
      <c r="G138" s="40"/>
      <c r="H138" s="40"/>
      <c r="I138" s="40"/>
      <c r="J138" s="40"/>
      <c r="K138" s="41"/>
    </row>
    <row r="139" spans="2:11" ht="16" x14ac:dyDescent="0.2">
      <c r="B139" s="38"/>
      <c r="C139" s="45" t="s">
        <v>72</v>
      </c>
      <c r="D139" s="40"/>
      <c r="E139" s="40"/>
      <c r="F139" s="40"/>
      <c r="G139" s="40"/>
      <c r="H139" s="40"/>
      <c r="I139" s="40"/>
      <c r="J139" s="40"/>
      <c r="K139" s="41"/>
    </row>
    <row r="140" spans="2:11" x14ac:dyDescent="0.2">
      <c r="B140" s="38"/>
      <c r="C140" s="40" t="s">
        <v>440</v>
      </c>
      <c r="D140" s="40"/>
      <c r="E140" s="40"/>
      <c r="F140" s="40"/>
      <c r="G140" s="40"/>
      <c r="H140" s="40"/>
      <c r="I140" s="40"/>
      <c r="J140" s="252">
        <f>'Baseline Health'!G45</f>
        <v>0</v>
      </c>
      <c r="K140" s="41"/>
    </row>
    <row r="141" spans="2:11" x14ac:dyDescent="0.2">
      <c r="B141" s="38"/>
      <c r="C141" s="40" t="s">
        <v>270</v>
      </c>
      <c r="D141" s="40"/>
      <c r="E141" s="40"/>
      <c r="F141" s="40"/>
      <c r="G141" s="40"/>
      <c r="H141" s="40"/>
      <c r="I141" s="40"/>
      <c r="J141" s="264">
        <v>0</v>
      </c>
      <c r="K141" s="41"/>
    </row>
    <row r="142" spans="2:11" x14ac:dyDescent="0.2">
      <c r="B142" s="38"/>
      <c r="C142" s="40" t="s">
        <v>439</v>
      </c>
      <c r="D142" s="40"/>
      <c r="E142" s="40"/>
      <c r="F142" s="40"/>
      <c r="G142" s="40"/>
      <c r="H142" s="40"/>
      <c r="I142" s="40"/>
      <c r="J142" s="255">
        <f>J83/20</f>
        <v>0</v>
      </c>
      <c r="K142" s="41"/>
    </row>
    <row r="143" spans="2:11" x14ac:dyDescent="0.2">
      <c r="B143" s="38"/>
      <c r="C143" s="40"/>
      <c r="D143" s="40" t="s">
        <v>351</v>
      </c>
      <c r="E143" s="40"/>
      <c r="F143" s="40"/>
      <c r="G143" s="40"/>
      <c r="H143" s="40"/>
      <c r="I143" s="40"/>
      <c r="J143" s="40"/>
      <c r="K143" s="41"/>
    </row>
    <row r="144" spans="2:11" x14ac:dyDescent="0.2">
      <c r="B144" s="38"/>
      <c r="C144" s="40" t="s">
        <v>260</v>
      </c>
      <c r="D144" s="40"/>
      <c r="E144" s="40"/>
      <c r="F144" s="40"/>
      <c r="G144" s="40"/>
      <c r="H144" s="40"/>
      <c r="I144" s="40"/>
      <c r="J144" s="245" t="str">
        <f>IF(OR(J140=0,J140="Not Calculated")=TRUE,"Not Calculated",IF((J140-J141)&lt;=0,4,IF(((J140+J142)/(J140-J141))&lt;=1,0,IF(((J140+J142)/(J140-J141))&lt;=1.05,1,IF(((J140+J142)/(J140-J141))&lt;=1.5, 2,IF(((J140+J142)/(J140-J141))&lt;=2,3,4))))))</f>
        <v>Not Calculated</v>
      </c>
      <c r="K144" s="41"/>
    </row>
    <row r="145" spans="2:14" ht="9.75" customHeight="1" x14ac:dyDescent="0.2">
      <c r="B145" s="38"/>
      <c r="C145" s="279" t="str">
        <f>"0:"</f>
        <v>0:</v>
      </c>
      <c r="D145" s="278" t="s">
        <v>918</v>
      </c>
      <c r="E145" s="40"/>
      <c r="F145" s="40"/>
      <c r="G145" s="40"/>
      <c r="H145" s="40"/>
      <c r="I145" s="40"/>
      <c r="J145" s="40"/>
      <c r="K145" s="41"/>
    </row>
    <row r="146" spans="2:14" ht="9.75" customHeight="1" x14ac:dyDescent="0.2">
      <c r="B146" s="38"/>
      <c r="C146" s="280" t="str">
        <f>"1:"</f>
        <v>1:</v>
      </c>
      <c r="D146" s="278" t="s">
        <v>923</v>
      </c>
      <c r="E146" s="40"/>
      <c r="F146" s="40"/>
      <c r="G146" s="40"/>
      <c r="H146" s="40"/>
      <c r="I146" s="40"/>
      <c r="J146" s="40"/>
      <c r="K146" s="41"/>
    </row>
    <row r="147" spans="2:14" ht="9.75" customHeight="1" x14ac:dyDescent="0.2">
      <c r="B147" s="38"/>
      <c r="C147" s="280" t="str">
        <f>"2:"</f>
        <v>2:</v>
      </c>
      <c r="D147" s="278" t="s">
        <v>924</v>
      </c>
      <c r="E147" s="40"/>
      <c r="F147" s="40"/>
      <c r="G147" s="40"/>
      <c r="H147" s="40"/>
      <c r="I147" s="40"/>
      <c r="J147" s="40"/>
      <c r="K147" s="41"/>
    </row>
    <row r="148" spans="2:14" ht="9.75" customHeight="1" x14ac:dyDescent="0.2">
      <c r="B148" s="38"/>
      <c r="C148" s="280" t="str">
        <f>"3:"</f>
        <v>3:</v>
      </c>
      <c r="D148" s="278" t="s">
        <v>925</v>
      </c>
      <c r="E148" s="40"/>
      <c r="F148" s="40"/>
      <c r="G148" s="40"/>
      <c r="H148" s="40"/>
      <c r="I148" s="40"/>
      <c r="J148" s="40"/>
      <c r="K148" s="41"/>
    </row>
    <row r="149" spans="2:14" ht="9.75" customHeight="1" x14ac:dyDescent="0.2">
      <c r="B149" s="38"/>
      <c r="C149" s="280" t="str">
        <f>"4:"</f>
        <v>4:</v>
      </c>
      <c r="D149" s="278" t="s">
        <v>926</v>
      </c>
      <c r="E149" s="40"/>
      <c r="F149" s="40"/>
      <c r="G149" s="40"/>
      <c r="H149" s="40"/>
      <c r="I149" s="40"/>
      <c r="J149" s="40"/>
      <c r="K149" s="41"/>
      <c r="N149" s="12" t="s">
        <v>661</v>
      </c>
    </row>
    <row r="150" spans="2:14" x14ac:dyDescent="0.2">
      <c r="B150" s="38"/>
      <c r="C150" s="174" t="s">
        <v>662</v>
      </c>
      <c r="D150" s="40"/>
      <c r="E150" s="40"/>
      <c r="F150" s="40"/>
      <c r="G150" s="40"/>
      <c r="H150" s="40"/>
      <c r="I150" s="40"/>
      <c r="J150" s="265" t="s">
        <v>661</v>
      </c>
      <c r="K150" s="41"/>
      <c r="N150" s="12" t="s">
        <v>894</v>
      </c>
    </row>
    <row r="151" spans="2:14" x14ac:dyDescent="0.2">
      <c r="B151" s="38"/>
      <c r="C151" s="174" t="s">
        <v>660</v>
      </c>
      <c r="D151" s="40"/>
      <c r="E151" s="40"/>
      <c r="F151" s="40"/>
      <c r="G151" s="40"/>
      <c r="H151" s="40"/>
      <c r="I151" s="40"/>
      <c r="J151" s="246" t="str">
        <f>IF(J150=N149,"N/A",IF(J150=N150,0,IF(J150=N151,1,IF(J150=N152,2,IF(J150=N153,3,IF(J150=N154,4,"N/A"))))))</f>
        <v>N/A</v>
      </c>
      <c r="K151" s="41"/>
      <c r="N151" s="12" t="s">
        <v>899</v>
      </c>
    </row>
    <row r="152" spans="2:14" x14ac:dyDescent="0.2">
      <c r="B152" s="38"/>
      <c r="C152" s="40" t="s">
        <v>257</v>
      </c>
      <c r="D152" s="40"/>
      <c r="E152" s="40"/>
      <c r="F152" s="40"/>
      <c r="G152" s="40"/>
      <c r="H152" s="40"/>
      <c r="I152" s="40"/>
      <c r="J152" s="266" t="s">
        <v>870</v>
      </c>
      <c r="K152" s="41"/>
      <c r="N152" s="12" t="s">
        <v>900</v>
      </c>
    </row>
    <row r="153" spans="2:14" x14ac:dyDescent="0.2">
      <c r="B153" s="38"/>
      <c r="C153" s="40" t="s">
        <v>261</v>
      </c>
      <c r="D153" s="40"/>
      <c r="E153" s="40"/>
      <c r="F153" s="40"/>
      <c r="G153" s="40"/>
      <c r="H153" s="40"/>
      <c r="I153" s="40"/>
      <c r="J153" s="248">
        <f>IF(J152=$B$973,$A$973,IF(J152=$B$974,$A$974,IF(J152=$B$975,$A$975,IF(J152=$B$976,$A$976,IF(J152=$B$977,$A$977,"Not Calculated")))))</f>
        <v>0</v>
      </c>
      <c r="K153" s="41"/>
      <c r="N153" s="12" t="s">
        <v>901</v>
      </c>
    </row>
    <row r="154" spans="2:14" x14ac:dyDescent="0.2">
      <c r="B154" s="38"/>
      <c r="C154" s="40" t="s">
        <v>893</v>
      </c>
      <c r="D154" s="40"/>
      <c r="E154" s="40"/>
      <c r="F154" s="40"/>
      <c r="G154" s="40"/>
      <c r="H154" s="40"/>
      <c r="I154" s="40"/>
      <c r="J154" s="40"/>
      <c r="K154" s="41"/>
      <c r="N154" s="12" t="s">
        <v>902</v>
      </c>
    </row>
    <row r="155" spans="2:14" ht="30" customHeight="1" x14ac:dyDescent="0.2">
      <c r="B155" s="38"/>
      <c r="C155" s="399"/>
      <c r="D155" s="400"/>
      <c r="E155" s="400"/>
      <c r="F155" s="400"/>
      <c r="G155" s="400"/>
      <c r="H155" s="400"/>
      <c r="I155" s="400"/>
      <c r="J155" s="401"/>
      <c r="K155" s="41"/>
    </row>
    <row r="156" spans="2:14" x14ac:dyDescent="0.2">
      <c r="B156" s="38"/>
      <c r="C156" s="40"/>
      <c r="D156" s="40"/>
      <c r="E156" s="40"/>
      <c r="F156" s="40"/>
      <c r="G156" s="40"/>
      <c r="H156" s="40"/>
      <c r="I156" s="40"/>
      <c r="J156" s="40"/>
      <c r="K156" s="41"/>
    </row>
    <row r="157" spans="2:14" x14ac:dyDescent="0.2">
      <c r="B157" s="38"/>
      <c r="C157" s="179" t="s">
        <v>271</v>
      </c>
      <c r="D157" s="40"/>
      <c r="E157" s="40"/>
      <c r="F157" s="40"/>
      <c r="G157" s="40"/>
      <c r="H157" s="40"/>
      <c r="I157" s="40"/>
      <c r="J157" s="245" t="str">
        <f>IF(J151="N/A",IF(OR(J144="Not Calculated",J153="Not Calculated")=TRUE,"Not Calculated",AVERAGE(J144,J153)),AVERAGE(J151,J153))</f>
        <v>Not Calculated</v>
      </c>
      <c r="K157" s="41"/>
    </row>
    <row r="158" spans="2:14" x14ac:dyDescent="0.2">
      <c r="B158" s="38"/>
      <c r="C158" s="40"/>
      <c r="D158" s="40"/>
      <c r="E158" s="40"/>
      <c r="F158" s="40"/>
      <c r="G158" s="40"/>
      <c r="H158" s="40"/>
      <c r="I158" s="40"/>
      <c r="J158" s="40"/>
      <c r="K158" s="41"/>
    </row>
    <row r="159" spans="2:14" x14ac:dyDescent="0.2">
      <c r="B159" s="38"/>
      <c r="C159" s="40"/>
      <c r="D159" s="40"/>
      <c r="E159" s="40"/>
      <c r="F159" s="40"/>
      <c r="G159" s="40"/>
      <c r="H159" s="40"/>
      <c r="I159" s="40"/>
      <c r="J159" s="40"/>
      <c r="K159" s="41"/>
    </row>
    <row r="160" spans="2:14" ht="16" x14ac:dyDescent="0.2">
      <c r="B160" s="38"/>
      <c r="C160" s="45" t="s">
        <v>273</v>
      </c>
      <c r="D160" s="40"/>
      <c r="E160" s="40"/>
      <c r="F160" s="40"/>
      <c r="G160" s="40"/>
      <c r="H160" s="40"/>
      <c r="I160" s="40"/>
      <c r="J160" s="40"/>
      <c r="K160" s="41"/>
    </row>
    <row r="161" spans="2:14" x14ac:dyDescent="0.2">
      <c r="B161" s="38"/>
      <c r="C161" s="40" t="s">
        <v>441</v>
      </c>
      <c r="D161" s="40"/>
      <c r="E161" s="40"/>
      <c r="F161" s="40"/>
      <c r="G161" s="40"/>
      <c r="H161" s="40"/>
      <c r="I161" s="40"/>
      <c r="J161" s="252">
        <f>'Baseline Health'!G51</f>
        <v>0</v>
      </c>
      <c r="K161" s="41"/>
    </row>
    <row r="162" spans="2:14" x14ac:dyDescent="0.2">
      <c r="B162" s="38"/>
      <c r="C162" s="40" t="s">
        <v>280</v>
      </c>
      <c r="D162" s="40"/>
      <c r="E162" s="40"/>
      <c r="F162" s="40"/>
      <c r="G162" s="40"/>
      <c r="H162" s="40"/>
      <c r="I162" s="40"/>
      <c r="J162" s="264">
        <f>J161*0.2</f>
        <v>0</v>
      </c>
      <c r="K162" s="41"/>
    </row>
    <row r="163" spans="2:14" x14ac:dyDescent="0.2">
      <c r="B163" s="38"/>
      <c r="C163" s="40" t="s">
        <v>442</v>
      </c>
      <c r="D163" s="40"/>
      <c r="E163" s="40"/>
      <c r="F163" s="40"/>
      <c r="G163" s="40"/>
      <c r="H163" s="40"/>
      <c r="I163" s="40"/>
      <c r="J163" s="255">
        <f>(J64)/4.5</f>
        <v>0</v>
      </c>
      <c r="K163" s="41"/>
    </row>
    <row r="164" spans="2:14" x14ac:dyDescent="0.2">
      <c r="B164" s="38"/>
      <c r="C164" s="40"/>
      <c r="D164" s="40" t="s">
        <v>353</v>
      </c>
      <c r="E164" s="40"/>
      <c r="F164" s="40"/>
      <c r="G164" s="40"/>
      <c r="H164" s="40"/>
      <c r="I164" s="40"/>
      <c r="J164" s="40"/>
      <c r="K164" s="41"/>
    </row>
    <row r="165" spans="2:14" x14ac:dyDescent="0.2">
      <c r="B165" s="38"/>
      <c r="C165" s="40" t="s">
        <v>260</v>
      </c>
      <c r="D165" s="40"/>
      <c r="E165" s="40"/>
      <c r="F165" s="40"/>
      <c r="G165" s="40"/>
      <c r="H165" s="40"/>
      <c r="I165" s="40"/>
      <c r="J165" s="245" t="str">
        <f>IF(OR(J161=0,J161="Not Calculated")=TRUE,"Not Calculated",IF((J161-J162)&lt;=0,4,IF(((J161+J163)/(J161-J162))&lt;=1,0,IF(((J161+J163)/(J161-J162))&lt;=1.05,1,IF(((J161+J163)/(J161-J162))&lt;=1.5, 2,IF(((J161+J163)/(J161-J162))&lt;=2,3,4))))))</f>
        <v>Not Calculated</v>
      </c>
      <c r="K165" s="41"/>
    </row>
    <row r="166" spans="2:14" ht="9.75" customHeight="1" x14ac:dyDescent="0.2">
      <c r="B166" s="38"/>
      <c r="C166" s="279" t="str">
        <f>"0:"</f>
        <v>0:</v>
      </c>
      <c r="D166" s="278" t="s">
        <v>918</v>
      </c>
      <c r="E166" s="40"/>
      <c r="F166" s="40"/>
      <c r="G166" s="40"/>
      <c r="H166" s="40"/>
      <c r="I166" s="40"/>
      <c r="J166" s="40"/>
      <c r="K166" s="41"/>
    </row>
    <row r="167" spans="2:14" ht="9.75" customHeight="1" x14ac:dyDescent="0.2">
      <c r="B167" s="38"/>
      <c r="C167" s="280" t="str">
        <f>"1:"</f>
        <v>1:</v>
      </c>
      <c r="D167" s="278" t="s">
        <v>923</v>
      </c>
      <c r="E167" s="40"/>
      <c r="F167" s="40"/>
      <c r="G167" s="40"/>
      <c r="H167" s="40"/>
      <c r="I167" s="40"/>
      <c r="J167" s="40"/>
      <c r="K167" s="41"/>
    </row>
    <row r="168" spans="2:14" ht="9.75" customHeight="1" x14ac:dyDescent="0.2">
      <c r="B168" s="38"/>
      <c r="C168" s="280" t="str">
        <f>"2:"</f>
        <v>2:</v>
      </c>
      <c r="D168" s="278" t="s">
        <v>924</v>
      </c>
      <c r="E168" s="40"/>
      <c r="F168" s="40"/>
      <c r="G168" s="40"/>
      <c r="H168" s="40"/>
      <c r="I168" s="40"/>
      <c r="J168" s="40"/>
      <c r="K168" s="41"/>
    </row>
    <row r="169" spans="2:14" ht="9.75" customHeight="1" x14ac:dyDescent="0.2">
      <c r="B169" s="38"/>
      <c r="C169" s="280" t="str">
        <f>"3:"</f>
        <v>3:</v>
      </c>
      <c r="D169" s="278" t="s">
        <v>925</v>
      </c>
      <c r="E169" s="40"/>
      <c r="F169" s="40"/>
      <c r="G169" s="40"/>
      <c r="H169" s="40"/>
      <c r="I169" s="40"/>
      <c r="J169" s="40"/>
      <c r="K169" s="41"/>
    </row>
    <row r="170" spans="2:14" ht="9.75" customHeight="1" x14ac:dyDescent="0.2">
      <c r="B170" s="38"/>
      <c r="C170" s="280" t="str">
        <f>"4:"</f>
        <v>4:</v>
      </c>
      <c r="D170" s="278" t="s">
        <v>926</v>
      </c>
      <c r="E170" s="40"/>
      <c r="F170" s="40"/>
      <c r="G170" s="40"/>
      <c r="H170" s="40"/>
      <c r="I170" s="40"/>
      <c r="J170" s="40"/>
      <c r="K170" s="41"/>
      <c r="N170" s="12" t="s">
        <v>661</v>
      </c>
    </row>
    <row r="171" spans="2:14" x14ac:dyDescent="0.2">
      <c r="B171" s="38"/>
      <c r="C171" s="174" t="s">
        <v>662</v>
      </c>
      <c r="D171" s="40"/>
      <c r="E171" s="40"/>
      <c r="F171" s="40"/>
      <c r="G171" s="40"/>
      <c r="H171" s="40"/>
      <c r="I171" s="40"/>
      <c r="J171" s="265" t="s">
        <v>661</v>
      </c>
      <c r="K171" s="41"/>
      <c r="N171" s="12" t="s">
        <v>894</v>
      </c>
    </row>
    <row r="172" spans="2:14" x14ac:dyDescent="0.2">
      <c r="B172" s="38"/>
      <c r="C172" s="174" t="s">
        <v>660</v>
      </c>
      <c r="D172" s="40"/>
      <c r="E172" s="40"/>
      <c r="F172" s="40"/>
      <c r="G172" s="40"/>
      <c r="H172" s="40"/>
      <c r="I172" s="40"/>
      <c r="J172" s="246" t="str">
        <f>IF(J171=N170,"N/A",IF(J171=N171,0,IF(J171=N172,1,IF(J171=N173,2,IF(J171=N174,3,IF(J171=N175,4,"N/A"))))))</f>
        <v>N/A</v>
      </c>
      <c r="K172" s="41"/>
      <c r="N172" s="12" t="s">
        <v>899</v>
      </c>
    </row>
    <row r="173" spans="2:14" x14ac:dyDescent="0.2">
      <c r="B173" s="38"/>
      <c r="C173" s="40" t="s">
        <v>257</v>
      </c>
      <c r="D173" s="40"/>
      <c r="E173" s="40"/>
      <c r="F173" s="40"/>
      <c r="G173" s="40"/>
      <c r="H173" s="40"/>
      <c r="I173" s="40"/>
      <c r="J173" s="266" t="s">
        <v>874</v>
      </c>
      <c r="K173" s="41"/>
      <c r="N173" s="12" t="s">
        <v>900</v>
      </c>
    </row>
    <row r="174" spans="2:14" x14ac:dyDescent="0.2">
      <c r="B174" s="38"/>
      <c r="C174" s="40" t="s">
        <v>261</v>
      </c>
      <c r="D174" s="40"/>
      <c r="E174" s="40"/>
      <c r="F174" s="40"/>
      <c r="G174" s="40"/>
      <c r="H174" s="40"/>
      <c r="I174" s="40"/>
      <c r="J174" s="248">
        <f>IF(J173=$B$973,$A$973,IF(J173=$B$974,$A$974,IF(J173=$B$975,$A$975,IF(J173=$B$976,$A$976,IF(J173=$B$977,$A$977,"Not Calculated")))))</f>
        <v>4</v>
      </c>
      <c r="K174" s="41"/>
      <c r="N174" s="12" t="s">
        <v>901</v>
      </c>
    </row>
    <row r="175" spans="2:14" x14ac:dyDescent="0.2">
      <c r="B175" s="38"/>
      <c r="C175" s="40" t="s">
        <v>893</v>
      </c>
      <c r="D175" s="40"/>
      <c r="E175" s="40"/>
      <c r="F175" s="40"/>
      <c r="G175" s="40"/>
      <c r="H175" s="40"/>
      <c r="I175" s="40"/>
      <c r="J175" s="40"/>
      <c r="K175" s="41"/>
      <c r="N175" s="12" t="s">
        <v>902</v>
      </c>
    </row>
    <row r="176" spans="2:14" ht="75" customHeight="1" x14ac:dyDescent="0.2">
      <c r="B176" s="38"/>
      <c r="C176" s="399" t="s">
        <v>473</v>
      </c>
      <c r="D176" s="400"/>
      <c r="E176" s="400"/>
      <c r="F176" s="400"/>
      <c r="G176" s="400"/>
      <c r="H176" s="400"/>
      <c r="I176" s="400"/>
      <c r="J176" s="401"/>
      <c r="K176" s="41"/>
    </row>
    <row r="177" spans="2:14" x14ac:dyDescent="0.2">
      <c r="B177" s="38"/>
      <c r="C177" s="40"/>
      <c r="D177" s="40"/>
      <c r="E177" s="40"/>
      <c r="F177" s="40"/>
      <c r="G177" s="40"/>
      <c r="H177" s="40"/>
      <c r="I177" s="40"/>
      <c r="J177" s="40"/>
      <c r="K177" s="41"/>
    </row>
    <row r="178" spans="2:14" x14ac:dyDescent="0.2">
      <c r="B178" s="38"/>
      <c r="C178" s="179" t="s">
        <v>274</v>
      </c>
      <c r="D178" s="40"/>
      <c r="E178" s="40"/>
      <c r="F178" s="40"/>
      <c r="G178" s="40"/>
      <c r="H178" s="40"/>
      <c r="I178" s="40"/>
      <c r="J178" s="245" t="str">
        <f>IF(J172="N/A",IF(OR(J165="Not Calculated",J174="Not Calculated")=TRUE,"Not Calculated",AVERAGE(J165,J174)),AVERAGE(J172,J174))</f>
        <v>Not Calculated</v>
      </c>
      <c r="K178" s="41"/>
    </row>
    <row r="179" spans="2:14" x14ac:dyDescent="0.2">
      <c r="B179" s="38"/>
      <c r="C179" s="40"/>
      <c r="D179" s="40"/>
      <c r="E179" s="40"/>
      <c r="F179" s="40"/>
      <c r="G179" s="40"/>
      <c r="H179" s="40"/>
      <c r="I179" s="40"/>
      <c r="J179" s="40"/>
      <c r="K179" s="41"/>
    </row>
    <row r="180" spans="2:14" x14ac:dyDescent="0.2">
      <c r="B180" s="38"/>
      <c r="C180" s="40"/>
      <c r="D180" s="40"/>
      <c r="E180" s="40"/>
      <c r="F180" s="40"/>
      <c r="G180" s="40"/>
      <c r="H180" s="40"/>
      <c r="I180" s="40"/>
      <c r="J180" s="40"/>
      <c r="K180" s="41"/>
    </row>
    <row r="181" spans="2:14" ht="16" x14ac:dyDescent="0.2">
      <c r="B181" s="38"/>
      <c r="C181" s="45" t="s">
        <v>74</v>
      </c>
      <c r="D181" s="40"/>
      <c r="E181" s="40"/>
      <c r="F181" s="40"/>
      <c r="G181" s="40"/>
      <c r="H181" s="40"/>
      <c r="I181" s="40"/>
      <c r="J181" s="40"/>
      <c r="K181" s="41"/>
    </row>
    <row r="182" spans="2:14" x14ac:dyDescent="0.2">
      <c r="B182" s="38"/>
      <c r="C182" s="40" t="s">
        <v>443</v>
      </c>
      <c r="D182" s="40"/>
      <c r="E182" s="40"/>
      <c r="F182" s="40"/>
      <c r="G182" s="40"/>
      <c r="H182" s="40"/>
      <c r="I182" s="40"/>
      <c r="J182" s="252">
        <f>'Baseline Health'!G59</f>
        <v>0</v>
      </c>
      <c r="K182" s="41"/>
    </row>
    <row r="183" spans="2:14" x14ac:dyDescent="0.2">
      <c r="B183" s="38"/>
      <c r="C183" s="40" t="s">
        <v>281</v>
      </c>
      <c r="D183" s="40"/>
      <c r="E183" s="40"/>
      <c r="F183" s="40"/>
      <c r="G183" s="40"/>
      <c r="H183" s="40"/>
      <c r="I183" s="40"/>
      <c r="J183" s="264">
        <v>0</v>
      </c>
      <c r="K183" s="41"/>
    </row>
    <row r="184" spans="2:14" x14ac:dyDescent="0.2">
      <c r="B184" s="38"/>
      <c r="C184" s="40" t="s">
        <v>354</v>
      </c>
      <c r="D184" s="40"/>
      <c r="E184" s="40"/>
      <c r="F184" s="40"/>
      <c r="G184" s="40"/>
      <c r="H184" s="40"/>
      <c r="I184" s="40"/>
      <c r="J184" s="264">
        <f>J182*0.2</f>
        <v>0</v>
      </c>
      <c r="K184" s="41"/>
    </row>
    <row r="185" spans="2:14" x14ac:dyDescent="0.2">
      <c r="B185" s="38"/>
      <c r="C185" s="40" t="s">
        <v>260</v>
      </c>
      <c r="D185" s="40"/>
      <c r="E185" s="40"/>
      <c r="F185" s="40"/>
      <c r="G185" s="40"/>
      <c r="H185" s="40"/>
      <c r="I185" s="40"/>
      <c r="J185" s="248" t="str">
        <f>IF(OR(J182=0,J182="Not Calculated")=TRUE,"Not Calculated",IF(J182-J183=0,4,IF(((J182+J184)/(J182-J183))&lt;=1,0,IF(((J182+J184)/(J182-J183))&lt;=1.05,1,IF(((J182+J184)/(J182-J183))&lt;=1.5, 2,IF(((J182+J184)/(J182-J183))&lt;=2,3,4))))))</f>
        <v>Not Calculated</v>
      </c>
      <c r="K185" s="41"/>
    </row>
    <row r="186" spans="2:14" ht="9.75" customHeight="1" x14ac:dyDescent="0.2">
      <c r="B186" s="38"/>
      <c r="C186" s="279" t="str">
        <f>"0:"</f>
        <v>0:</v>
      </c>
      <c r="D186" s="278" t="s">
        <v>918</v>
      </c>
      <c r="E186" s="40"/>
      <c r="F186" s="40"/>
      <c r="G186" s="40"/>
      <c r="H186" s="40"/>
      <c r="I186" s="40"/>
      <c r="J186" s="40"/>
      <c r="K186" s="41"/>
    </row>
    <row r="187" spans="2:14" ht="9.75" customHeight="1" x14ac:dyDescent="0.2">
      <c r="B187" s="38"/>
      <c r="C187" s="280" t="str">
        <f>"1:"</f>
        <v>1:</v>
      </c>
      <c r="D187" s="278" t="s">
        <v>923</v>
      </c>
      <c r="E187" s="40"/>
      <c r="F187" s="40"/>
      <c r="G187" s="40"/>
      <c r="H187" s="40"/>
      <c r="I187" s="40"/>
      <c r="J187" s="40"/>
      <c r="K187" s="41"/>
    </row>
    <row r="188" spans="2:14" ht="9.75" customHeight="1" x14ac:dyDescent="0.2">
      <c r="B188" s="38"/>
      <c r="C188" s="280" t="str">
        <f>"2:"</f>
        <v>2:</v>
      </c>
      <c r="D188" s="278" t="s">
        <v>924</v>
      </c>
      <c r="E188" s="40"/>
      <c r="F188" s="40"/>
      <c r="G188" s="40"/>
      <c r="H188" s="40"/>
      <c r="I188" s="40"/>
      <c r="J188" s="40"/>
      <c r="K188" s="41"/>
    </row>
    <row r="189" spans="2:14" ht="9.75" customHeight="1" x14ac:dyDescent="0.2">
      <c r="B189" s="38"/>
      <c r="C189" s="280" t="str">
        <f>"3:"</f>
        <v>3:</v>
      </c>
      <c r="D189" s="278" t="s">
        <v>925</v>
      </c>
      <c r="E189" s="40"/>
      <c r="F189" s="40"/>
      <c r="G189" s="40"/>
      <c r="H189" s="40"/>
      <c r="I189" s="40"/>
      <c r="J189" s="40"/>
      <c r="K189" s="41"/>
    </row>
    <row r="190" spans="2:14" ht="9.75" customHeight="1" x14ac:dyDescent="0.2">
      <c r="B190" s="38"/>
      <c r="C190" s="280" t="str">
        <f>"4:"</f>
        <v>4:</v>
      </c>
      <c r="D190" s="278" t="s">
        <v>926</v>
      </c>
      <c r="E190" s="40"/>
      <c r="F190" s="40"/>
      <c r="G190" s="40"/>
      <c r="H190" s="40"/>
      <c r="I190" s="40"/>
      <c r="J190" s="40"/>
      <c r="K190" s="41"/>
      <c r="N190" s="12" t="s">
        <v>661</v>
      </c>
    </row>
    <row r="191" spans="2:14" x14ac:dyDescent="0.2">
      <c r="B191" s="38"/>
      <c r="C191" s="174" t="s">
        <v>662</v>
      </c>
      <c r="D191" s="40"/>
      <c r="E191" s="40"/>
      <c r="F191" s="40"/>
      <c r="G191" s="40"/>
      <c r="H191" s="40"/>
      <c r="I191" s="40"/>
      <c r="J191" s="265" t="s">
        <v>661</v>
      </c>
      <c r="K191" s="41"/>
      <c r="N191" s="12" t="s">
        <v>894</v>
      </c>
    </row>
    <row r="192" spans="2:14" x14ac:dyDescent="0.2">
      <c r="B192" s="38"/>
      <c r="C192" s="174" t="s">
        <v>660</v>
      </c>
      <c r="D192" s="40"/>
      <c r="E192" s="40"/>
      <c r="F192" s="40"/>
      <c r="G192" s="40"/>
      <c r="H192" s="40"/>
      <c r="I192" s="40"/>
      <c r="J192" s="246" t="str">
        <f>IF(J191=N190,"N/A",IF(J191=N191,0,IF(J191=N192,1,IF(J191=N193,2,IF(J191=N194,3,IF(J191=N195,4,"N/A"))))))</f>
        <v>N/A</v>
      </c>
      <c r="K192" s="41"/>
      <c r="N192" s="12" t="s">
        <v>899</v>
      </c>
    </row>
    <row r="193" spans="2:14" x14ac:dyDescent="0.2">
      <c r="B193" s="38"/>
      <c r="C193" s="40" t="s">
        <v>257</v>
      </c>
      <c r="D193" s="40"/>
      <c r="E193" s="40"/>
      <c r="F193" s="40"/>
      <c r="G193" s="40"/>
      <c r="H193" s="40"/>
      <c r="I193" s="40"/>
      <c r="J193" s="266" t="s">
        <v>874</v>
      </c>
      <c r="K193" s="41"/>
      <c r="N193" s="12" t="s">
        <v>900</v>
      </c>
    </row>
    <row r="194" spans="2:14" x14ac:dyDescent="0.2">
      <c r="B194" s="38"/>
      <c r="C194" s="40" t="s">
        <v>261</v>
      </c>
      <c r="D194" s="40"/>
      <c r="E194" s="40"/>
      <c r="F194" s="40"/>
      <c r="G194" s="40"/>
      <c r="H194" s="40"/>
      <c r="I194" s="40"/>
      <c r="J194" s="248">
        <f>IF(J193=$B$973,$A$973,IF(J193=$B$974,$A$974,IF(J193=$B$975,$A$975,IF(J193=$B$976,$A$976,IF(J193=$B$977,$A$977,"Not Calculated")))))</f>
        <v>4</v>
      </c>
      <c r="K194" s="41"/>
      <c r="N194" s="12" t="s">
        <v>901</v>
      </c>
    </row>
    <row r="195" spans="2:14" x14ac:dyDescent="0.2">
      <c r="B195" s="38"/>
      <c r="C195" s="40" t="s">
        <v>893</v>
      </c>
      <c r="D195" s="40"/>
      <c r="E195" s="40"/>
      <c r="F195" s="40"/>
      <c r="G195" s="40"/>
      <c r="H195" s="40"/>
      <c r="I195" s="40"/>
      <c r="J195" s="40"/>
      <c r="K195" s="41"/>
      <c r="N195" s="12" t="s">
        <v>902</v>
      </c>
    </row>
    <row r="196" spans="2:14" ht="75" customHeight="1" x14ac:dyDescent="0.2">
      <c r="B196" s="38"/>
      <c r="C196" s="399" t="s">
        <v>473</v>
      </c>
      <c r="D196" s="400"/>
      <c r="E196" s="400"/>
      <c r="F196" s="400"/>
      <c r="G196" s="400"/>
      <c r="H196" s="400"/>
      <c r="I196" s="400"/>
      <c r="J196" s="401"/>
      <c r="K196" s="41"/>
    </row>
    <row r="197" spans="2:14" x14ac:dyDescent="0.2">
      <c r="B197" s="38"/>
      <c r="C197" s="40"/>
      <c r="D197" s="40"/>
      <c r="E197" s="40"/>
      <c r="F197" s="40"/>
      <c r="G197" s="40"/>
      <c r="H197" s="40"/>
      <c r="I197" s="40"/>
      <c r="J197" s="40"/>
      <c r="K197" s="41"/>
    </row>
    <row r="198" spans="2:14" x14ac:dyDescent="0.2">
      <c r="B198" s="38"/>
      <c r="C198" s="179" t="s">
        <v>275</v>
      </c>
      <c r="D198" s="40"/>
      <c r="E198" s="40"/>
      <c r="F198" s="40"/>
      <c r="G198" s="40"/>
      <c r="H198" s="40"/>
      <c r="I198" s="40"/>
      <c r="J198" s="245" t="str">
        <f>IF(J192="N/A",IF(OR(J185="Not Calculated",J194="Not Calculated")=TRUE,"Not Calculated",AVERAGE(J185,J194)),AVERAGE(J192,J194))</f>
        <v>Not Calculated</v>
      </c>
      <c r="K198" s="41"/>
    </row>
    <row r="199" spans="2:14" x14ac:dyDescent="0.2">
      <c r="B199" s="38"/>
      <c r="C199" s="40"/>
      <c r="D199" s="40"/>
      <c r="E199" s="40"/>
      <c r="F199" s="40"/>
      <c r="G199" s="40"/>
      <c r="H199" s="40"/>
      <c r="I199" s="40"/>
      <c r="J199" s="40"/>
      <c r="K199" s="41"/>
    </row>
    <row r="200" spans="2:14" x14ac:dyDescent="0.2">
      <c r="B200" s="38"/>
      <c r="C200" s="40"/>
      <c r="D200" s="40"/>
      <c r="E200" s="40"/>
      <c r="F200" s="40"/>
      <c r="G200" s="40"/>
      <c r="H200" s="40"/>
      <c r="I200" s="40"/>
      <c r="J200" s="40"/>
      <c r="K200" s="41"/>
    </row>
    <row r="201" spans="2:14" ht="16" x14ac:dyDescent="0.2">
      <c r="B201" s="38"/>
      <c r="C201" s="45" t="s">
        <v>75</v>
      </c>
      <c r="D201" s="40"/>
      <c r="E201" s="40"/>
      <c r="F201" s="40"/>
      <c r="G201" s="40"/>
      <c r="H201" s="40"/>
      <c r="I201" s="40"/>
      <c r="J201" s="40"/>
      <c r="K201" s="41"/>
    </row>
    <row r="202" spans="2:14" x14ac:dyDescent="0.2">
      <c r="B202" s="38"/>
      <c r="C202" s="40" t="s">
        <v>444</v>
      </c>
      <c r="D202" s="40"/>
      <c r="E202" s="40"/>
      <c r="F202" s="40"/>
      <c r="G202" s="40"/>
      <c r="H202" s="40"/>
      <c r="I202" s="40"/>
      <c r="J202" s="252">
        <f>'Baseline Health'!G65</f>
        <v>0</v>
      </c>
      <c r="K202" s="41"/>
    </row>
    <row r="203" spans="2:14" x14ac:dyDescent="0.2">
      <c r="B203" s="38"/>
      <c r="C203" s="40" t="s">
        <v>282</v>
      </c>
      <c r="D203" s="40"/>
      <c r="E203" s="40"/>
      <c r="F203" s="40"/>
      <c r="G203" s="40"/>
      <c r="H203" s="40"/>
      <c r="I203" s="40"/>
      <c r="J203" s="264">
        <v>0</v>
      </c>
      <c r="K203" s="41"/>
    </row>
    <row r="204" spans="2:14" x14ac:dyDescent="0.2">
      <c r="B204" s="38"/>
      <c r="C204" s="40" t="s">
        <v>355</v>
      </c>
      <c r="D204" s="40"/>
      <c r="E204" s="40"/>
      <c r="F204" s="40"/>
      <c r="G204" s="40"/>
      <c r="H204" s="40"/>
      <c r="I204" s="40"/>
      <c r="J204" s="264">
        <f>J202*0.2</f>
        <v>0</v>
      </c>
      <c r="K204" s="41"/>
    </row>
    <row r="205" spans="2:14" x14ac:dyDescent="0.2">
      <c r="B205" s="38"/>
      <c r="C205" s="40" t="s">
        <v>260</v>
      </c>
      <c r="D205" s="40"/>
      <c r="E205" s="40"/>
      <c r="F205" s="40"/>
      <c r="G205" s="40"/>
      <c r="H205" s="40"/>
      <c r="I205" s="40"/>
      <c r="J205" s="248" t="str">
        <f>IF(OR(J202=0,J202="Not Calculated")=TRUE,"Not Calculated",IF(J202-J203=0,4,IF(((J202+J204)/(J202-J203))&lt;=1,0,IF(((J202+J204)/(J202-J203))&lt;=1.05,1,IF(((J202+J204)/(J202-J203))&lt;=1.5, 2,IF(((J202+J204)/(J202-J203))&lt;=2,3,4))))))</f>
        <v>Not Calculated</v>
      </c>
      <c r="K205" s="41"/>
    </row>
    <row r="206" spans="2:14" ht="9.75" customHeight="1" x14ac:dyDescent="0.2">
      <c r="B206" s="38"/>
      <c r="C206" s="279" t="str">
        <f>"0:"</f>
        <v>0:</v>
      </c>
      <c r="D206" s="278" t="s">
        <v>918</v>
      </c>
      <c r="E206" s="40"/>
      <c r="F206" s="40"/>
      <c r="G206" s="40"/>
      <c r="H206" s="40"/>
      <c r="I206" s="40"/>
      <c r="J206" s="40"/>
      <c r="K206" s="41"/>
    </row>
    <row r="207" spans="2:14" ht="9.75" customHeight="1" x14ac:dyDescent="0.2">
      <c r="B207" s="38"/>
      <c r="C207" s="280" t="str">
        <f>"1:"</f>
        <v>1:</v>
      </c>
      <c r="D207" s="278" t="s">
        <v>923</v>
      </c>
      <c r="E207" s="40"/>
      <c r="F207" s="40"/>
      <c r="G207" s="40"/>
      <c r="H207" s="40"/>
      <c r="I207" s="40"/>
      <c r="J207" s="40"/>
      <c r="K207" s="41"/>
    </row>
    <row r="208" spans="2:14" ht="9.75" customHeight="1" x14ac:dyDescent="0.2">
      <c r="B208" s="38"/>
      <c r="C208" s="280" t="str">
        <f>"2:"</f>
        <v>2:</v>
      </c>
      <c r="D208" s="278" t="s">
        <v>924</v>
      </c>
      <c r="E208" s="40"/>
      <c r="F208" s="40"/>
      <c r="G208" s="40"/>
      <c r="H208" s="40"/>
      <c r="I208" s="40"/>
      <c r="J208" s="40"/>
      <c r="K208" s="41"/>
    </row>
    <row r="209" spans="2:14" ht="9.75" customHeight="1" x14ac:dyDescent="0.2">
      <c r="B209" s="38"/>
      <c r="C209" s="280" t="str">
        <f>"3:"</f>
        <v>3:</v>
      </c>
      <c r="D209" s="278" t="s">
        <v>925</v>
      </c>
      <c r="E209" s="40"/>
      <c r="F209" s="40"/>
      <c r="G209" s="40"/>
      <c r="H209" s="40"/>
      <c r="I209" s="40"/>
      <c r="J209" s="40"/>
      <c r="K209" s="41"/>
    </row>
    <row r="210" spans="2:14" ht="9.75" customHeight="1" x14ac:dyDescent="0.2">
      <c r="B210" s="38"/>
      <c r="C210" s="280" t="str">
        <f>"4:"</f>
        <v>4:</v>
      </c>
      <c r="D210" s="278" t="s">
        <v>926</v>
      </c>
      <c r="E210" s="40"/>
      <c r="F210" s="40"/>
      <c r="G210" s="40"/>
      <c r="H210" s="40"/>
      <c r="I210" s="40"/>
      <c r="J210" s="40"/>
      <c r="K210" s="41"/>
      <c r="N210" s="12" t="s">
        <v>661</v>
      </c>
    </row>
    <row r="211" spans="2:14" x14ac:dyDescent="0.2">
      <c r="B211" s="38"/>
      <c r="C211" s="174" t="s">
        <v>662</v>
      </c>
      <c r="D211" s="40"/>
      <c r="E211" s="40"/>
      <c r="F211" s="40"/>
      <c r="G211" s="40"/>
      <c r="H211" s="40"/>
      <c r="I211" s="40"/>
      <c r="J211" s="265" t="s">
        <v>661</v>
      </c>
      <c r="K211" s="41"/>
      <c r="N211" s="12" t="s">
        <v>894</v>
      </c>
    </row>
    <row r="212" spans="2:14" x14ac:dyDescent="0.2">
      <c r="B212" s="38"/>
      <c r="C212" s="174" t="s">
        <v>660</v>
      </c>
      <c r="D212" s="40"/>
      <c r="E212" s="40"/>
      <c r="F212" s="40"/>
      <c r="G212" s="40"/>
      <c r="H212" s="40"/>
      <c r="I212" s="40"/>
      <c r="J212" s="246" t="str">
        <f>IF(J211=N210,"N/A",IF(J211=N211,0,IF(J211=N212,1,IF(J211=N213,2,IF(J211=N214,3,IF(J211=N215,4,"N/A"))))))</f>
        <v>N/A</v>
      </c>
      <c r="K212" s="41"/>
      <c r="N212" s="12" t="s">
        <v>899</v>
      </c>
    </row>
    <row r="213" spans="2:14" x14ac:dyDescent="0.2">
      <c r="B213" s="38"/>
      <c r="C213" s="40" t="s">
        <v>257</v>
      </c>
      <c r="D213" s="40"/>
      <c r="E213" s="40"/>
      <c r="F213" s="40"/>
      <c r="G213" s="40"/>
      <c r="H213" s="40"/>
      <c r="I213" s="40"/>
      <c r="J213" s="266" t="s">
        <v>874</v>
      </c>
      <c r="K213" s="41"/>
      <c r="N213" s="12" t="s">
        <v>900</v>
      </c>
    </row>
    <row r="214" spans="2:14" x14ac:dyDescent="0.2">
      <c r="B214" s="38"/>
      <c r="C214" s="40" t="s">
        <v>261</v>
      </c>
      <c r="D214" s="40"/>
      <c r="E214" s="40"/>
      <c r="F214" s="40"/>
      <c r="G214" s="40"/>
      <c r="H214" s="40"/>
      <c r="I214" s="40"/>
      <c r="J214" s="248">
        <f>IF(J213=$B$973,$A$973,IF(J213=$B$974,$A$974,IF(J213=$B$975,$A$975,IF(J213=$B$976,$A$976,IF(J213=$B$977,$A$977,"Not Calculated")))))</f>
        <v>4</v>
      </c>
      <c r="K214" s="41"/>
      <c r="N214" s="12" t="s">
        <v>901</v>
      </c>
    </row>
    <row r="215" spans="2:14" x14ac:dyDescent="0.2">
      <c r="B215" s="38"/>
      <c r="C215" s="40" t="s">
        <v>893</v>
      </c>
      <c r="D215" s="40"/>
      <c r="E215" s="40"/>
      <c r="F215" s="40"/>
      <c r="G215" s="40"/>
      <c r="H215" s="40"/>
      <c r="I215" s="40"/>
      <c r="J215" s="40"/>
      <c r="K215" s="41"/>
      <c r="N215" s="12" t="s">
        <v>902</v>
      </c>
    </row>
    <row r="216" spans="2:14" ht="75" customHeight="1" x14ac:dyDescent="0.2">
      <c r="B216" s="38"/>
      <c r="C216" s="399" t="s">
        <v>474</v>
      </c>
      <c r="D216" s="400"/>
      <c r="E216" s="400"/>
      <c r="F216" s="400"/>
      <c r="G216" s="400"/>
      <c r="H216" s="400"/>
      <c r="I216" s="400"/>
      <c r="J216" s="401"/>
      <c r="K216" s="41"/>
    </row>
    <row r="217" spans="2:14" x14ac:dyDescent="0.2">
      <c r="B217" s="38"/>
      <c r="C217" s="40"/>
      <c r="D217" s="40"/>
      <c r="E217" s="40"/>
      <c r="F217" s="40"/>
      <c r="G217" s="40"/>
      <c r="H217" s="40"/>
      <c r="I217" s="40"/>
      <c r="J217" s="40"/>
      <c r="K217" s="41"/>
    </row>
    <row r="218" spans="2:14" x14ac:dyDescent="0.2">
      <c r="B218" s="38"/>
      <c r="C218" s="179" t="s">
        <v>276</v>
      </c>
      <c r="D218" s="40"/>
      <c r="E218" s="40"/>
      <c r="F218" s="40"/>
      <c r="G218" s="40"/>
      <c r="H218" s="40"/>
      <c r="I218" s="40"/>
      <c r="J218" s="245" t="str">
        <f>IF(J212="N/A",IF(OR(J205="Not Calculated",J214="Not Calculated")=TRUE,"Not Calculated",AVERAGE(J205,J214)),AVERAGE(J212,J214))</f>
        <v>Not Calculated</v>
      </c>
      <c r="K218" s="41"/>
    </row>
    <row r="219" spans="2:14" x14ac:dyDescent="0.2">
      <c r="B219" s="38"/>
      <c r="C219" s="40"/>
      <c r="D219" s="40"/>
      <c r="E219" s="40"/>
      <c r="F219" s="40"/>
      <c r="G219" s="40"/>
      <c r="H219" s="40"/>
      <c r="I219" s="40"/>
      <c r="J219" s="40"/>
      <c r="K219" s="41"/>
    </row>
    <row r="220" spans="2:14" x14ac:dyDescent="0.2">
      <c r="B220" s="38"/>
      <c r="C220" s="40"/>
      <c r="D220" s="40"/>
      <c r="E220" s="40"/>
      <c r="F220" s="40"/>
      <c r="G220" s="40"/>
      <c r="H220" s="40"/>
      <c r="I220" s="40"/>
      <c r="J220" s="40"/>
      <c r="K220" s="41"/>
    </row>
    <row r="221" spans="2:14" ht="16" x14ac:dyDescent="0.2">
      <c r="B221" s="38"/>
      <c r="C221" s="45" t="s">
        <v>76</v>
      </c>
      <c r="D221" s="40"/>
      <c r="E221" s="40"/>
      <c r="F221" s="40"/>
      <c r="G221" s="40"/>
      <c r="H221" s="40"/>
      <c r="I221" s="40"/>
      <c r="J221" s="40"/>
      <c r="K221" s="41"/>
    </row>
    <row r="222" spans="2:14" ht="15" customHeight="1" x14ac:dyDescent="0.2">
      <c r="B222" s="38"/>
      <c r="C222" s="40" t="s">
        <v>356</v>
      </c>
      <c r="D222" s="40"/>
      <c r="E222" s="40"/>
      <c r="F222" s="40"/>
      <c r="G222" s="40"/>
      <c r="H222" s="40"/>
      <c r="I222" s="40"/>
      <c r="J222" s="252">
        <f>'Baseline Health'!G71</f>
        <v>0</v>
      </c>
      <c r="K222" s="41"/>
    </row>
    <row r="223" spans="2:14" x14ac:dyDescent="0.2">
      <c r="B223" s="38"/>
      <c r="C223" s="40" t="s">
        <v>357</v>
      </c>
      <c r="D223" s="40"/>
      <c r="E223" s="40"/>
      <c r="F223" s="40"/>
      <c r="G223" s="40"/>
      <c r="H223" s="40"/>
      <c r="I223" s="40"/>
      <c r="J223" s="264">
        <v>0</v>
      </c>
      <c r="K223" s="41"/>
    </row>
    <row r="224" spans="2:14" x14ac:dyDescent="0.2">
      <c r="B224" s="38"/>
      <c r="C224" s="40" t="s">
        <v>445</v>
      </c>
      <c r="D224" s="40"/>
      <c r="E224" s="40"/>
      <c r="F224" s="40"/>
      <c r="G224" s="40"/>
      <c r="H224" s="40"/>
      <c r="I224" s="40"/>
      <c r="J224" s="255">
        <f>J102</f>
        <v>0</v>
      </c>
      <c r="K224" s="41"/>
    </row>
    <row r="225" spans="2:14" x14ac:dyDescent="0.2">
      <c r="B225" s="38"/>
      <c r="C225" s="40"/>
      <c r="D225" s="40" t="s">
        <v>446</v>
      </c>
      <c r="E225" s="40"/>
      <c r="F225" s="40"/>
      <c r="G225" s="40"/>
      <c r="H225" s="40"/>
      <c r="I225" s="40"/>
      <c r="J225" s="40"/>
      <c r="K225" s="41"/>
    </row>
    <row r="226" spans="2:14" x14ac:dyDescent="0.2">
      <c r="B226" s="38"/>
      <c r="C226" s="40" t="s">
        <v>260</v>
      </c>
      <c r="D226" s="40"/>
      <c r="E226" s="40"/>
      <c r="F226" s="40"/>
      <c r="G226" s="40"/>
      <c r="H226" s="40"/>
      <c r="I226" s="40"/>
      <c r="J226" s="245" t="str">
        <f>IF(OR(J222=0,J222="Not Calculated")=TRUE,"Not Calculated",IF(J222-J223=0,4,IF(((J222+J224)/(J222-J223))&lt;=1,0,IF(((J222+J224)/(J222-J223))&lt;=1.05,1,IF(((J222+J224)/(J222-J223))&lt;=1.5, 2,IF(((J222+J224)/(J222-J223))&lt;=2,3,4))))))</f>
        <v>Not Calculated</v>
      </c>
      <c r="K226" s="41"/>
    </row>
    <row r="227" spans="2:14" ht="9.75" customHeight="1" x14ac:dyDescent="0.2">
      <c r="B227" s="38"/>
      <c r="C227" s="279" t="str">
        <f>"0:"</f>
        <v>0:</v>
      </c>
      <c r="D227" s="278" t="s">
        <v>918</v>
      </c>
      <c r="E227" s="40"/>
      <c r="F227" s="40"/>
      <c r="G227" s="40"/>
      <c r="H227" s="40"/>
      <c r="I227" s="40"/>
      <c r="J227" s="40"/>
      <c r="K227" s="41"/>
    </row>
    <row r="228" spans="2:14" ht="9.75" customHeight="1" x14ac:dyDescent="0.2">
      <c r="B228" s="38"/>
      <c r="C228" s="280" t="str">
        <f>"1:"</f>
        <v>1:</v>
      </c>
      <c r="D228" s="278" t="s">
        <v>923</v>
      </c>
      <c r="E228" s="40"/>
      <c r="F228" s="40"/>
      <c r="G228" s="40"/>
      <c r="H228" s="40"/>
      <c r="I228" s="40"/>
      <c r="J228" s="40"/>
      <c r="K228" s="41"/>
    </row>
    <row r="229" spans="2:14" ht="9.75" customHeight="1" x14ac:dyDescent="0.2">
      <c r="B229" s="38"/>
      <c r="C229" s="280" t="str">
        <f>"2:"</f>
        <v>2:</v>
      </c>
      <c r="D229" s="278" t="s">
        <v>924</v>
      </c>
      <c r="E229" s="40"/>
      <c r="F229" s="40"/>
      <c r="G229" s="40"/>
      <c r="H229" s="40"/>
      <c r="I229" s="40"/>
      <c r="J229" s="40"/>
      <c r="K229" s="41"/>
    </row>
    <row r="230" spans="2:14" ht="9.75" customHeight="1" x14ac:dyDescent="0.2">
      <c r="B230" s="38"/>
      <c r="C230" s="280" t="str">
        <f>"3:"</f>
        <v>3:</v>
      </c>
      <c r="D230" s="278" t="s">
        <v>925</v>
      </c>
      <c r="E230" s="40"/>
      <c r="F230" s="40"/>
      <c r="G230" s="40"/>
      <c r="H230" s="40"/>
      <c r="I230" s="40"/>
      <c r="J230" s="40"/>
      <c r="K230" s="41"/>
    </row>
    <row r="231" spans="2:14" ht="9.75" customHeight="1" x14ac:dyDescent="0.2">
      <c r="B231" s="38"/>
      <c r="C231" s="280" t="str">
        <f>"4:"</f>
        <v>4:</v>
      </c>
      <c r="D231" s="278" t="s">
        <v>926</v>
      </c>
      <c r="E231" s="40"/>
      <c r="F231" s="40"/>
      <c r="G231" s="40"/>
      <c r="H231" s="40"/>
      <c r="I231" s="40"/>
      <c r="J231" s="40"/>
      <c r="K231" s="41"/>
      <c r="N231" s="12" t="s">
        <v>661</v>
      </c>
    </row>
    <row r="232" spans="2:14" x14ac:dyDescent="0.2">
      <c r="B232" s="38"/>
      <c r="C232" s="174" t="s">
        <v>662</v>
      </c>
      <c r="D232" s="40"/>
      <c r="E232" s="40"/>
      <c r="F232" s="40"/>
      <c r="G232" s="40"/>
      <c r="H232" s="40"/>
      <c r="I232" s="40"/>
      <c r="J232" s="265" t="s">
        <v>661</v>
      </c>
      <c r="K232" s="41"/>
      <c r="N232" s="12" t="s">
        <v>894</v>
      </c>
    </row>
    <row r="233" spans="2:14" x14ac:dyDescent="0.2">
      <c r="B233" s="38"/>
      <c r="C233" s="174" t="s">
        <v>660</v>
      </c>
      <c r="D233" s="40"/>
      <c r="E233" s="40"/>
      <c r="F233" s="40"/>
      <c r="G233" s="40"/>
      <c r="H233" s="40"/>
      <c r="I233" s="40"/>
      <c r="J233" s="246" t="str">
        <f>IF(J232=N231,"N/A",IF(J232=N232,0,IF(J232=N233,1,IF(J232=N234,2,IF(J232=N235,3,IF(J232=N236,4,"N/A"))))))</f>
        <v>N/A</v>
      </c>
      <c r="K233" s="41"/>
      <c r="N233" s="12" t="s">
        <v>899</v>
      </c>
    </row>
    <row r="234" spans="2:14" x14ac:dyDescent="0.2">
      <c r="B234" s="38"/>
      <c r="C234" s="40" t="s">
        <v>257</v>
      </c>
      <c r="D234" s="40"/>
      <c r="E234" s="40"/>
      <c r="F234" s="40"/>
      <c r="G234" s="40"/>
      <c r="H234" s="40"/>
      <c r="I234" s="40"/>
      <c r="J234" s="266" t="s">
        <v>870</v>
      </c>
      <c r="K234" s="41"/>
      <c r="N234" s="12" t="s">
        <v>900</v>
      </c>
    </row>
    <row r="235" spans="2:14" x14ac:dyDescent="0.2">
      <c r="B235" s="38"/>
      <c r="C235" s="40" t="s">
        <v>261</v>
      </c>
      <c r="D235" s="40"/>
      <c r="E235" s="40"/>
      <c r="F235" s="40"/>
      <c r="G235" s="40"/>
      <c r="H235" s="40"/>
      <c r="I235" s="40"/>
      <c r="J235" s="248">
        <f>IF(J234=$B$973,$A$973,IF(J234=$B$974,$A$974,IF(J234=$B$975,$A$975,IF(J234=$B$976,$A$976,IF(J234=$B$977,$A$977,"Not Calculated")))))</f>
        <v>0</v>
      </c>
      <c r="K235" s="41"/>
      <c r="N235" s="12" t="s">
        <v>901</v>
      </c>
    </row>
    <row r="236" spans="2:14" x14ac:dyDescent="0.2">
      <c r="B236" s="38"/>
      <c r="C236" s="40" t="s">
        <v>893</v>
      </c>
      <c r="D236" s="40"/>
      <c r="E236" s="40"/>
      <c r="F236" s="40"/>
      <c r="G236" s="40"/>
      <c r="H236" s="40"/>
      <c r="I236" s="40"/>
      <c r="J236" s="40"/>
      <c r="K236" s="41"/>
      <c r="N236" s="12" t="s">
        <v>902</v>
      </c>
    </row>
    <row r="237" spans="2:14" ht="30" customHeight="1" x14ac:dyDescent="0.2">
      <c r="B237" s="38"/>
      <c r="C237" s="399"/>
      <c r="D237" s="400"/>
      <c r="E237" s="400"/>
      <c r="F237" s="400"/>
      <c r="G237" s="400"/>
      <c r="H237" s="400"/>
      <c r="I237" s="400"/>
      <c r="J237" s="401"/>
      <c r="K237" s="41"/>
    </row>
    <row r="238" spans="2:14" x14ac:dyDescent="0.2">
      <c r="B238" s="38"/>
      <c r="C238" s="40"/>
      <c r="D238" s="40"/>
      <c r="E238" s="40"/>
      <c r="F238" s="40"/>
      <c r="G238" s="40"/>
      <c r="H238" s="40"/>
      <c r="I238" s="40"/>
      <c r="J238" s="40"/>
      <c r="K238" s="41"/>
    </row>
    <row r="239" spans="2:14" x14ac:dyDescent="0.2">
      <c r="B239" s="38"/>
      <c r="C239" s="179" t="s">
        <v>277</v>
      </c>
      <c r="D239" s="40"/>
      <c r="E239" s="40"/>
      <c r="F239" s="40"/>
      <c r="G239" s="40"/>
      <c r="H239" s="40"/>
      <c r="I239" s="40"/>
      <c r="J239" s="245" t="str">
        <f>IF(J233="N/A",IF(OR(J226="Not Calculated",J235="Not Calculated")=TRUE,"Not Calculated",AVERAGE(J226,J235)),AVERAGE(J233,J235))</f>
        <v>Not Calculated</v>
      </c>
      <c r="K239" s="41"/>
    </row>
    <row r="240" spans="2:14" x14ac:dyDescent="0.2">
      <c r="B240" s="38"/>
      <c r="C240" s="40"/>
      <c r="D240" s="40"/>
      <c r="E240" s="40"/>
      <c r="F240" s="40"/>
      <c r="G240" s="40"/>
      <c r="H240" s="40"/>
      <c r="I240" s="40"/>
      <c r="J240" s="40"/>
      <c r="K240" s="41"/>
    </row>
    <row r="241" spans="2:14" x14ac:dyDescent="0.2">
      <c r="B241" s="38"/>
      <c r="C241" s="40"/>
      <c r="D241" s="40"/>
      <c r="E241" s="40"/>
      <c r="F241" s="40"/>
      <c r="G241" s="40"/>
      <c r="H241" s="40"/>
      <c r="I241" s="40"/>
      <c r="J241" s="40"/>
      <c r="K241" s="41"/>
    </row>
    <row r="242" spans="2:14" ht="16" x14ac:dyDescent="0.2">
      <c r="B242" s="38"/>
      <c r="C242" s="45" t="s">
        <v>278</v>
      </c>
      <c r="D242" s="40"/>
      <c r="E242" s="40"/>
      <c r="F242" s="40"/>
      <c r="G242" s="40"/>
      <c r="H242" s="40"/>
      <c r="I242" s="40"/>
      <c r="J242" s="40"/>
      <c r="K242" s="41"/>
    </row>
    <row r="243" spans="2:14" ht="15" customHeight="1" x14ac:dyDescent="0.2">
      <c r="B243" s="38"/>
      <c r="C243" s="40" t="s">
        <v>447</v>
      </c>
      <c r="D243" s="40"/>
      <c r="E243" s="40"/>
      <c r="F243" s="40"/>
      <c r="G243" s="40"/>
      <c r="H243" s="40"/>
      <c r="I243" s="40"/>
      <c r="J243" s="254">
        <f>'Baseline Health'!G77</f>
        <v>0</v>
      </c>
      <c r="K243" s="41"/>
    </row>
    <row r="244" spans="2:14" x14ac:dyDescent="0.2">
      <c r="B244" s="38"/>
      <c r="C244" s="40" t="s">
        <v>358</v>
      </c>
      <c r="D244" s="40"/>
      <c r="E244" s="40"/>
      <c r="F244" s="40"/>
      <c r="G244" s="40"/>
      <c r="H244" s="40"/>
      <c r="I244" s="40"/>
      <c r="J244" s="264">
        <v>0</v>
      </c>
      <c r="K244" s="41"/>
    </row>
    <row r="245" spans="2:14" x14ac:dyDescent="0.2">
      <c r="B245" s="38"/>
      <c r="C245" s="40" t="s">
        <v>360</v>
      </c>
      <c r="D245" s="291"/>
      <c r="E245" s="291"/>
      <c r="F245" s="291"/>
      <c r="G245" s="291"/>
      <c r="H245" s="291"/>
      <c r="I245" s="291"/>
      <c r="J245" s="264">
        <f>J243*0.1</f>
        <v>0</v>
      </c>
      <c r="K245" s="41"/>
    </row>
    <row r="246" spans="2:14" x14ac:dyDescent="0.2">
      <c r="B246" s="38"/>
      <c r="C246" s="40" t="s">
        <v>260</v>
      </c>
      <c r="D246" s="40"/>
      <c r="E246" s="40"/>
      <c r="F246" s="40"/>
      <c r="G246" s="40"/>
      <c r="H246" s="40"/>
      <c r="I246" s="40"/>
      <c r="J246" s="248" t="str">
        <f>IF(OR(J243=0,J243="Not Calculated")=TRUE,"Not Calculated",IF(J243-J244=0,4,(IF(((J243+J245)/(J243-J244))&lt;=1,0,IF(((J243+J245)/(J243-J244))&lt;=1.05,1,IF(((J243+J245)/(J243-J244))&lt;=1.5,2,IF(((J243+J245)/(J243-J244))&lt;=2,3,4)))))))</f>
        <v>Not Calculated</v>
      </c>
      <c r="K246" s="41"/>
    </row>
    <row r="247" spans="2:14" ht="9.75" customHeight="1" x14ac:dyDescent="0.2">
      <c r="B247" s="38"/>
      <c r="C247" s="279" t="str">
        <f>"0:"</f>
        <v>0:</v>
      </c>
      <c r="D247" s="278" t="s">
        <v>918</v>
      </c>
      <c r="E247" s="40"/>
      <c r="F247" s="40"/>
      <c r="G247" s="40"/>
      <c r="H247" s="40"/>
      <c r="I247" s="40"/>
      <c r="J247" s="40"/>
      <c r="K247" s="41"/>
    </row>
    <row r="248" spans="2:14" ht="9.75" customHeight="1" x14ac:dyDescent="0.2">
      <c r="B248" s="38"/>
      <c r="C248" s="280" t="str">
        <f>"1:"</f>
        <v>1:</v>
      </c>
      <c r="D248" s="278" t="s">
        <v>923</v>
      </c>
      <c r="E248" s="40"/>
      <c r="F248" s="40"/>
      <c r="G248" s="40"/>
      <c r="H248" s="40"/>
      <c r="I248" s="40"/>
      <c r="J248" s="40"/>
      <c r="K248" s="41"/>
    </row>
    <row r="249" spans="2:14" ht="9.75" customHeight="1" x14ac:dyDescent="0.2">
      <c r="B249" s="38"/>
      <c r="C249" s="280" t="str">
        <f>"2:"</f>
        <v>2:</v>
      </c>
      <c r="D249" s="278" t="s">
        <v>924</v>
      </c>
      <c r="E249" s="40"/>
      <c r="F249" s="40"/>
      <c r="G249" s="40"/>
      <c r="H249" s="40"/>
      <c r="I249" s="40"/>
      <c r="J249" s="40"/>
      <c r="K249" s="41"/>
    </row>
    <row r="250" spans="2:14" ht="9.75" customHeight="1" x14ac:dyDescent="0.2">
      <c r="B250" s="38"/>
      <c r="C250" s="280" t="str">
        <f>"3:"</f>
        <v>3:</v>
      </c>
      <c r="D250" s="278" t="s">
        <v>925</v>
      </c>
      <c r="E250" s="40"/>
      <c r="F250" s="40"/>
      <c r="G250" s="40"/>
      <c r="H250" s="40"/>
      <c r="I250" s="40"/>
      <c r="J250" s="40"/>
      <c r="K250" s="41"/>
    </row>
    <row r="251" spans="2:14" ht="9.75" customHeight="1" x14ac:dyDescent="0.2">
      <c r="B251" s="38"/>
      <c r="C251" s="280" t="str">
        <f>"4:"</f>
        <v>4:</v>
      </c>
      <c r="D251" s="278" t="s">
        <v>926</v>
      </c>
      <c r="E251" s="40"/>
      <c r="F251" s="40"/>
      <c r="G251" s="40"/>
      <c r="H251" s="40"/>
      <c r="I251" s="40"/>
      <c r="J251" s="40"/>
      <c r="K251" s="41"/>
      <c r="N251" s="12" t="s">
        <v>661</v>
      </c>
    </row>
    <row r="252" spans="2:14" x14ac:dyDescent="0.2">
      <c r="B252" s="38"/>
      <c r="C252" s="174" t="s">
        <v>662</v>
      </c>
      <c r="D252" s="40"/>
      <c r="E252" s="40"/>
      <c r="F252" s="40"/>
      <c r="G252" s="40"/>
      <c r="H252" s="40"/>
      <c r="I252" s="40"/>
      <c r="J252" s="265" t="s">
        <v>661</v>
      </c>
      <c r="K252" s="41"/>
      <c r="N252" s="12" t="s">
        <v>894</v>
      </c>
    </row>
    <row r="253" spans="2:14" x14ac:dyDescent="0.2">
      <c r="B253" s="38"/>
      <c r="C253" s="174" t="s">
        <v>660</v>
      </c>
      <c r="D253" s="40"/>
      <c r="E253" s="40"/>
      <c r="F253" s="40"/>
      <c r="G253" s="40"/>
      <c r="H253" s="40"/>
      <c r="I253" s="40"/>
      <c r="J253" s="246" t="str">
        <f>IF(J252=N251,"N/A",IF(J252=N252,0,IF(J252=N253,1,IF(J252=N254,2,IF(J252=N255,3,IF(J252=N256,4,"N/A"))))))</f>
        <v>N/A</v>
      </c>
      <c r="K253" s="41"/>
      <c r="N253" s="12" t="s">
        <v>899</v>
      </c>
    </row>
    <row r="254" spans="2:14" x14ac:dyDescent="0.2">
      <c r="B254" s="38"/>
      <c r="C254" s="40" t="s">
        <v>257</v>
      </c>
      <c r="D254" s="40"/>
      <c r="E254" s="40"/>
      <c r="F254" s="40"/>
      <c r="G254" s="40"/>
      <c r="H254" s="40"/>
      <c r="I254" s="40"/>
      <c r="J254" s="266" t="s">
        <v>874</v>
      </c>
      <c r="K254" s="41"/>
      <c r="N254" s="12" t="s">
        <v>900</v>
      </c>
    </row>
    <row r="255" spans="2:14" x14ac:dyDescent="0.2">
      <c r="B255" s="38"/>
      <c r="C255" s="40" t="s">
        <v>261</v>
      </c>
      <c r="D255" s="40"/>
      <c r="E255" s="40"/>
      <c r="F255" s="40"/>
      <c r="G255" s="40"/>
      <c r="H255" s="40"/>
      <c r="I255" s="40"/>
      <c r="J255" s="248">
        <f>IF(J254=$B$973,$A$973,IF(J254=$B$974,$A$974,IF(J254=$B$975,$A$975,IF(J254=$B$976,$A$976,IF(J254=$B$977,$A$977,"Not Calculated")))))</f>
        <v>4</v>
      </c>
      <c r="K255" s="41"/>
      <c r="N255" s="12" t="s">
        <v>901</v>
      </c>
    </row>
    <row r="256" spans="2:14" x14ac:dyDescent="0.2">
      <c r="B256" s="38"/>
      <c r="C256" s="40" t="s">
        <v>893</v>
      </c>
      <c r="D256" s="40"/>
      <c r="E256" s="40"/>
      <c r="F256" s="40"/>
      <c r="G256" s="40"/>
      <c r="H256" s="40"/>
      <c r="I256" s="40"/>
      <c r="J256" s="40"/>
      <c r="K256" s="41"/>
      <c r="N256" s="12" t="s">
        <v>902</v>
      </c>
    </row>
    <row r="257" spans="2:11" ht="30" customHeight="1" x14ac:dyDescent="0.2">
      <c r="B257" s="38"/>
      <c r="C257" s="399" t="s">
        <v>475</v>
      </c>
      <c r="D257" s="400"/>
      <c r="E257" s="400"/>
      <c r="F257" s="400"/>
      <c r="G257" s="400"/>
      <c r="H257" s="400"/>
      <c r="I257" s="400"/>
      <c r="J257" s="401"/>
      <c r="K257" s="41"/>
    </row>
    <row r="258" spans="2:11" x14ac:dyDescent="0.2">
      <c r="B258" s="38"/>
      <c r="C258" s="40"/>
      <c r="D258" s="40"/>
      <c r="E258" s="40"/>
      <c r="F258" s="40"/>
      <c r="G258" s="40"/>
      <c r="H258" s="40"/>
      <c r="I258" s="40"/>
      <c r="J258" s="40"/>
      <c r="K258" s="41"/>
    </row>
    <row r="259" spans="2:11" x14ac:dyDescent="0.2">
      <c r="B259" s="38"/>
      <c r="C259" s="179" t="s">
        <v>279</v>
      </c>
      <c r="D259" s="40"/>
      <c r="E259" s="40"/>
      <c r="F259" s="40"/>
      <c r="G259" s="40"/>
      <c r="H259" s="40"/>
      <c r="I259" s="40"/>
      <c r="J259" s="245" t="str">
        <f>IF(J253="N/A",IF(OR(J246="Not Calculated",J255="Not Calculated")=TRUE,"Not Calculated",AVERAGE(J246,J255)),AVERAGE(J253,J255))</f>
        <v>Not Calculated</v>
      </c>
      <c r="K259" s="41"/>
    </row>
    <row r="260" spans="2:11" x14ac:dyDescent="0.2">
      <c r="B260" s="38"/>
      <c r="C260" s="40"/>
      <c r="D260" s="40"/>
      <c r="E260" s="40"/>
      <c r="F260" s="40"/>
      <c r="G260" s="40"/>
      <c r="H260" s="40"/>
      <c r="I260" s="40"/>
      <c r="J260" s="40"/>
      <c r="K260" s="41"/>
    </row>
    <row r="261" spans="2:11" ht="18" x14ac:dyDescent="0.2">
      <c r="B261" s="38"/>
      <c r="C261" s="180" t="s">
        <v>272</v>
      </c>
      <c r="D261" s="40"/>
      <c r="E261" s="40"/>
      <c r="F261" s="40"/>
      <c r="G261" s="40"/>
      <c r="H261" s="40"/>
      <c r="I261" s="40"/>
      <c r="J261" s="244" t="str">
        <f>IF(OR(J157="Not Calculated",J178="Not Calculated",J198="Not Calculated",J218="Not Calculated",J239="Not Calculated",J259="Not Calculated",)=TRUE,"Not Calculated",AVERAGE(J157,J178,J198,J218,J239,J259))</f>
        <v>Not Calculated</v>
      </c>
      <c r="K261" s="41"/>
    </row>
    <row r="262" spans="2:11" ht="16" thickBot="1" x14ac:dyDescent="0.25">
      <c r="B262" s="46"/>
      <c r="C262" s="47"/>
      <c r="D262" s="47"/>
      <c r="E262" s="47"/>
      <c r="F262" s="47"/>
      <c r="G262" s="47"/>
      <c r="H262" s="47"/>
      <c r="I262" s="47"/>
      <c r="J262" s="47"/>
      <c r="K262" s="49"/>
    </row>
    <row r="263" spans="2:11" ht="16" thickBot="1" x14ac:dyDescent="0.25"/>
    <row r="264" spans="2:11" x14ac:dyDescent="0.2">
      <c r="B264" s="33"/>
      <c r="C264" s="34"/>
      <c r="D264" s="34"/>
      <c r="E264" s="34"/>
      <c r="F264" s="34"/>
      <c r="G264" s="34"/>
      <c r="H264" s="34"/>
      <c r="I264" s="34"/>
      <c r="J264" s="34"/>
      <c r="K264" s="37"/>
    </row>
    <row r="265" spans="2:11" ht="21" x14ac:dyDescent="0.25">
      <c r="B265" s="38"/>
      <c r="C265" s="40"/>
      <c r="D265" s="40"/>
      <c r="E265" s="40"/>
      <c r="F265" s="40"/>
      <c r="G265" s="172" t="s">
        <v>864</v>
      </c>
      <c r="H265" s="40"/>
      <c r="I265" s="40"/>
      <c r="J265" s="40"/>
      <c r="K265" s="41"/>
    </row>
    <row r="266" spans="2:11" ht="15" customHeight="1" x14ac:dyDescent="0.2">
      <c r="B266" s="38"/>
      <c r="C266" s="40"/>
      <c r="D266" s="40"/>
      <c r="E266" s="40"/>
      <c r="F266" s="40"/>
      <c r="G266" s="40"/>
      <c r="H266" s="40"/>
      <c r="I266" s="40"/>
      <c r="J266" s="40"/>
      <c r="K266" s="41"/>
    </row>
    <row r="267" spans="2:11" ht="16" x14ac:dyDescent="0.2">
      <c r="B267" s="38"/>
      <c r="C267" s="45" t="s">
        <v>80</v>
      </c>
      <c r="D267" s="40"/>
      <c r="E267" s="40"/>
      <c r="F267" s="40"/>
      <c r="G267" s="40"/>
      <c r="H267" s="40"/>
      <c r="I267" s="40"/>
      <c r="J267" s="40"/>
      <c r="K267" s="41"/>
    </row>
    <row r="268" spans="2:11" x14ac:dyDescent="0.2">
      <c r="B268" s="38"/>
      <c r="C268" s="40" t="s">
        <v>283</v>
      </c>
      <c r="D268" s="40"/>
      <c r="E268" s="40"/>
      <c r="F268" s="40"/>
      <c r="G268" s="40"/>
      <c r="H268" s="40"/>
      <c r="I268" s="40"/>
      <c r="J268" s="254">
        <f>'Baseline Health'!G88</f>
        <v>0</v>
      </c>
      <c r="K268" s="41"/>
    </row>
    <row r="269" spans="2:11" x14ac:dyDescent="0.2">
      <c r="B269" s="38"/>
      <c r="C269" s="40" t="s">
        <v>284</v>
      </c>
      <c r="D269" s="40"/>
      <c r="E269" s="40"/>
      <c r="F269" s="40"/>
      <c r="G269" s="40"/>
      <c r="H269" s="40"/>
      <c r="I269" s="40"/>
      <c r="J269" s="264">
        <v>0</v>
      </c>
      <c r="K269" s="41"/>
    </row>
    <row r="270" spans="2:11" x14ac:dyDescent="0.2">
      <c r="B270" s="38"/>
      <c r="C270" s="40" t="s">
        <v>285</v>
      </c>
      <c r="D270" s="40"/>
      <c r="E270" s="40"/>
      <c r="F270" s="40"/>
      <c r="G270" s="40"/>
      <c r="H270" s="40"/>
      <c r="I270" s="40"/>
      <c r="J270" s="259">
        <f>'Baseline Health'!G93</f>
        <v>0</v>
      </c>
      <c r="K270" s="41"/>
    </row>
    <row r="271" spans="2:11" x14ac:dyDescent="0.2">
      <c r="B271" s="38"/>
      <c r="C271" s="40" t="s">
        <v>286</v>
      </c>
      <c r="D271" s="40"/>
      <c r="E271" s="40"/>
      <c r="F271" s="40"/>
      <c r="G271" s="40"/>
      <c r="H271" s="40"/>
      <c r="I271" s="40"/>
      <c r="J271" s="250">
        <f>J184</f>
        <v>0</v>
      </c>
      <c r="K271" s="41"/>
    </row>
    <row r="272" spans="2:11" x14ac:dyDescent="0.2">
      <c r="B272" s="38"/>
      <c r="C272" s="40"/>
      <c r="D272" s="40" t="s">
        <v>432</v>
      </c>
      <c r="E272" s="40"/>
      <c r="F272" s="40"/>
      <c r="G272" s="40"/>
      <c r="H272" s="40"/>
      <c r="I272" s="40"/>
      <c r="J272" s="40"/>
      <c r="K272" s="41"/>
    </row>
    <row r="273" spans="2:14" x14ac:dyDescent="0.2">
      <c r="B273" s="38"/>
      <c r="C273" s="40" t="s">
        <v>292</v>
      </c>
      <c r="D273" s="40"/>
      <c r="E273" s="40"/>
      <c r="F273" s="40"/>
      <c r="G273" s="40"/>
      <c r="H273" s="40"/>
      <c r="I273" s="40"/>
      <c r="J273" s="258" t="str">
        <f>'Baseline Health'!G97</f>
        <v>N/A</v>
      </c>
      <c r="K273" s="41"/>
    </row>
    <row r="274" spans="2:14" x14ac:dyDescent="0.2">
      <c r="B274" s="38"/>
      <c r="C274" s="40" t="s">
        <v>293</v>
      </c>
      <c r="D274" s="40"/>
      <c r="E274" s="40"/>
      <c r="F274" s="40"/>
      <c r="G274" s="40"/>
      <c r="H274" s="40"/>
      <c r="I274" s="40"/>
      <c r="J274" s="258" t="str">
        <f>IF(J273="N/A","N/A",IF(J268-J269=0,"No Nurses",((J270+J271)/(J268-J269))))</f>
        <v>N/A</v>
      </c>
      <c r="K274" s="41"/>
    </row>
    <row r="275" spans="2:14" x14ac:dyDescent="0.2">
      <c r="B275" s="38"/>
      <c r="C275" s="40" t="s">
        <v>260</v>
      </c>
      <c r="D275" s="40"/>
      <c r="E275" s="40"/>
      <c r="F275" s="40"/>
      <c r="G275" s="40"/>
      <c r="H275" s="40"/>
      <c r="I275" s="40"/>
      <c r="J275" s="245">
        <f>IF(J273=0,"Not Calculated",IF(J274="N/A",0,IF(J274="No Nurses",4,IF((J274/J273)&lt;=1,0,IF((J274/J273)&lt;=1.1,1,IF((J274/J273)&lt;=1=1.25,2,IF((J274/J273)&lt;=1.5,3,4)))))))</f>
        <v>0</v>
      </c>
      <c r="K275" s="41"/>
    </row>
    <row r="276" spans="2:14" ht="9.75" customHeight="1" x14ac:dyDescent="0.2">
      <c r="B276" s="38"/>
      <c r="C276" s="279" t="str">
        <f>"0:"</f>
        <v>0:</v>
      </c>
      <c r="D276" s="278" t="s">
        <v>927</v>
      </c>
      <c r="E276" s="40"/>
      <c r="F276" s="40"/>
      <c r="G276" s="40"/>
      <c r="H276" s="40"/>
      <c r="I276" s="40"/>
      <c r="J276" s="258"/>
      <c r="K276" s="41"/>
    </row>
    <row r="277" spans="2:14" ht="9.75" customHeight="1" x14ac:dyDescent="0.2">
      <c r="B277" s="38"/>
      <c r="C277" s="280" t="str">
        <f>"1:"</f>
        <v>1:</v>
      </c>
      <c r="D277" s="278" t="s">
        <v>928</v>
      </c>
      <c r="E277" s="40"/>
      <c r="F277" s="40"/>
      <c r="G277" s="40"/>
      <c r="H277" s="40"/>
      <c r="I277" s="40"/>
      <c r="J277" s="258"/>
      <c r="K277" s="41"/>
    </row>
    <row r="278" spans="2:14" ht="9.75" customHeight="1" x14ac:dyDescent="0.2">
      <c r="B278" s="38"/>
      <c r="C278" s="280" t="str">
        <f>"2:"</f>
        <v>2:</v>
      </c>
      <c r="D278" s="278" t="s">
        <v>929</v>
      </c>
      <c r="E278" s="40"/>
      <c r="F278" s="40"/>
      <c r="G278" s="40"/>
      <c r="H278" s="40"/>
      <c r="I278" s="40"/>
      <c r="J278" s="258"/>
      <c r="K278" s="41"/>
    </row>
    <row r="279" spans="2:14" ht="9.75" customHeight="1" x14ac:dyDescent="0.2">
      <c r="B279" s="38"/>
      <c r="C279" s="280" t="str">
        <f>"3:"</f>
        <v>3:</v>
      </c>
      <c r="D279" s="278" t="s">
        <v>930</v>
      </c>
      <c r="E279" s="40"/>
      <c r="F279" s="40"/>
      <c r="G279" s="40"/>
      <c r="H279" s="40"/>
      <c r="I279" s="40"/>
      <c r="J279" s="258"/>
      <c r="K279" s="41"/>
    </row>
    <row r="280" spans="2:14" ht="9.75" customHeight="1" x14ac:dyDescent="0.2">
      <c r="B280" s="38"/>
      <c r="C280" s="280" t="str">
        <f>"4:"</f>
        <v>4:</v>
      </c>
      <c r="D280" s="278" t="s">
        <v>931</v>
      </c>
      <c r="E280" s="40"/>
      <c r="F280" s="40"/>
      <c r="G280" s="40"/>
      <c r="H280" s="40"/>
      <c r="I280" s="40"/>
      <c r="J280" s="40"/>
      <c r="K280" s="41"/>
      <c r="N280" s="12" t="s">
        <v>661</v>
      </c>
    </row>
    <row r="281" spans="2:14" x14ac:dyDescent="0.2">
      <c r="B281" s="38"/>
      <c r="C281" s="174" t="s">
        <v>662</v>
      </c>
      <c r="D281" s="40"/>
      <c r="E281" s="40"/>
      <c r="F281" s="40"/>
      <c r="G281" s="40"/>
      <c r="H281" s="40"/>
      <c r="I281" s="40"/>
      <c r="J281" s="265" t="s">
        <v>661</v>
      </c>
      <c r="K281" s="41"/>
      <c r="N281" s="12" t="s">
        <v>903</v>
      </c>
    </row>
    <row r="282" spans="2:14" x14ac:dyDescent="0.2">
      <c r="B282" s="38"/>
      <c r="C282" s="174" t="s">
        <v>660</v>
      </c>
      <c r="D282" s="40"/>
      <c r="E282" s="40"/>
      <c r="F282" s="40"/>
      <c r="G282" s="40"/>
      <c r="H282" s="40"/>
      <c r="I282" s="40"/>
      <c r="J282" s="246" t="str">
        <f>IF(J281=N280,"N/A",IF(J281=N281,0,IF(J281=N282,1,IF(J281=N283,2,IF(J281=N284,3,IF(J281=N285,4,"N/A"))))))</f>
        <v>N/A</v>
      </c>
      <c r="K282" s="41"/>
      <c r="N282" s="12" t="s">
        <v>904</v>
      </c>
    </row>
    <row r="283" spans="2:14" x14ac:dyDescent="0.2">
      <c r="B283" s="38"/>
      <c r="C283" s="40" t="s">
        <v>257</v>
      </c>
      <c r="D283" s="40"/>
      <c r="E283" s="40"/>
      <c r="F283" s="40"/>
      <c r="G283" s="40"/>
      <c r="H283" s="40"/>
      <c r="I283" s="40"/>
      <c r="J283" s="266" t="s">
        <v>870</v>
      </c>
      <c r="K283" s="41"/>
      <c r="N283" s="12" t="s">
        <v>905</v>
      </c>
    </row>
    <row r="284" spans="2:14" x14ac:dyDescent="0.2">
      <c r="B284" s="38"/>
      <c r="C284" s="40" t="s">
        <v>261</v>
      </c>
      <c r="D284" s="40"/>
      <c r="E284" s="40"/>
      <c r="F284" s="40"/>
      <c r="G284" s="40"/>
      <c r="H284" s="40"/>
      <c r="I284" s="40"/>
      <c r="J284" s="248">
        <f>IF(J283=$B$973,$A$973,IF(J283=$B$974,$A$974,IF(J283=$B$975,$A$975,IF(J283=$B$976,$A$976,IF(J283=$B$977,$A$977,"Not Calculated")))))</f>
        <v>0</v>
      </c>
      <c r="K284" s="41"/>
      <c r="N284" s="12" t="s">
        <v>906</v>
      </c>
    </row>
    <row r="285" spans="2:14" x14ac:dyDescent="0.2">
      <c r="B285" s="38"/>
      <c r="C285" s="40" t="s">
        <v>893</v>
      </c>
      <c r="D285" s="40"/>
      <c r="E285" s="40"/>
      <c r="F285" s="40"/>
      <c r="G285" s="40"/>
      <c r="H285" s="40"/>
      <c r="I285" s="40"/>
      <c r="J285" s="40"/>
      <c r="K285" s="41"/>
      <c r="N285" s="12" t="s">
        <v>907</v>
      </c>
    </row>
    <row r="286" spans="2:14" ht="30" customHeight="1" x14ac:dyDescent="0.2">
      <c r="B286" s="38"/>
      <c r="C286" s="399"/>
      <c r="D286" s="400"/>
      <c r="E286" s="400"/>
      <c r="F286" s="400"/>
      <c r="G286" s="400"/>
      <c r="H286" s="400"/>
      <c r="I286" s="400"/>
      <c r="J286" s="401"/>
      <c r="K286" s="41"/>
    </row>
    <row r="287" spans="2:14" x14ac:dyDescent="0.2">
      <c r="B287" s="38"/>
      <c r="C287" s="40"/>
      <c r="D287" s="40"/>
      <c r="E287" s="40"/>
      <c r="F287" s="40"/>
      <c r="G287" s="40"/>
      <c r="H287" s="40"/>
      <c r="I287" s="40"/>
      <c r="J287" s="40"/>
      <c r="K287" s="41"/>
    </row>
    <row r="288" spans="2:14" x14ac:dyDescent="0.2">
      <c r="B288" s="38"/>
      <c r="C288" s="179" t="s">
        <v>295</v>
      </c>
      <c r="D288" s="40"/>
      <c r="E288" s="40"/>
      <c r="F288" s="40"/>
      <c r="G288" s="40"/>
      <c r="H288" s="40"/>
      <c r="I288" s="40"/>
      <c r="J288" s="245">
        <f>IF(J282="N/A",IF(OR(J275="Not Calculated",J284="Not Calculated")=TRUE,"Not Calculated",AVERAGE(J275,J284)),AVERAGE(J282,J284))</f>
        <v>0</v>
      </c>
      <c r="K288" s="41"/>
    </row>
    <row r="289" spans="2:11" x14ac:dyDescent="0.2">
      <c r="B289" s="38"/>
      <c r="C289" s="40"/>
      <c r="D289" s="40"/>
      <c r="E289" s="40"/>
      <c r="F289" s="40"/>
      <c r="G289" s="40"/>
      <c r="H289" s="40"/>
      <c r="I289" s="40"/>
      <c r="J289" s="245"/>
      <c r="K289" s="41"/>
    </row>
    <row r="290" spans="2:11" x14ac:dyDescent="0.2">
      <c r="B290" s="38"/>
      <c r="C290" s="40"/>
      <c r="D290" s="40"/>
      <c r="E290" s="40"/>
      <c r="F290" s="40"/>
      <c r="G290" s="40"/>
      <c r="H290" s="40"/>
      <c r="I290" s="40"/>
      <c r="J290" s="40"/>
      <c r="K290" s="41"/>
    </row>
    <row r="291" spans="2:11" ht="16" x14ac:dyDescent="0.2">
      <c r="B291" s="38"/>
      <c r="C291" s="45" t="s">
        <v>856</v>
      </c>
      <c r="D291" s="40"/>
      <c r="E291" s="40"/>
      <c r="F291" s="40"/>
      <c r="G291" s="40"/>
      <c r="H291" s="40"/>
      <c r="I291" s="40"/>
      <c r="J291" s="40"/>
      <c r="K291" s="41"/>
    </row>
    <row r="292" spans="2:11" x14ac:dyDescent="0.2">
      <c r="B292" s="38"/>
      <c r="C292" s="380" t="s">
        <v>855</v>
      </c>
      <c r="D292" s="380"/>
      <c r="E292" s="380"/>
      <c r="F292" s="380"/>
      <c r="G292" s="380"/>
      <c r="H292" s="380"/>
      <c r="I292" s="380"/>
      <c r="J292" s="40"/>
      <c r="K292" s="41"/>
    </row>
    <row r="293" spans="2:11" x14ac:dyDescent="0.2">
      <c r="B293" s="38"/>
      <c r="C293" s="380"/>
      <c r="D293" s="380"/>
      <c r="E293" s="380"/>
      <c r="F293" s="380"/>
      <c r="G293" s="380"/>
      <c r="H293" s="380"/>
      <c r="I293" s="380"/>
      <c r="J293" s="264">
        <v>0</v>
      </c>
      <c r="K293" s="41"/>
    </row>
    <row r="294" spans="2:11" x14ac:dyDescent="0.2">
      <c r="B294" s="38"/>
      <c r="C294" s="40" t="s">
        <v>853</v>
      </c>
      <c r="D294" s="291"/>
      <c r="E294" s="291"/>
      <c r="F294" s="291"/>
      <c r="G294" s="291"/>
      <c r="H294" s="291"/>
      <c r="I294" s="291"/>
      <c r="J294" s="255">
        <f>'Baseline Health'!$G$102</f>
        <v>0</v>
      </c>
      <c r="K294" s="41"/>
    </row>
    <row r="295" spans="2:11" x14ac:dyDescent="0.2">
      <c r="B295" s="38"/>
      <c r="C295" s="40" t="s">
        <v>842</v>
      </c>
      <c r="D295" s="40"/>
      <c r="E295" s="40"/>
      <c r="F295" s="40"/>
      <c r="G295" s="40"/>
      <c r="H295" s="40"/>
      <c r="I295" s="40"/>
      <c r="J295" s="244" t="str">
        <f>IF('Baseline Health'!$G$102=0,"Not Calculated",100*J293/'Baseline Health'!$G$102)</f>
        <v>Not Calculated</v>
      </c>
      <c r="K295" s="41"/>
    </row>
    <row r="296" spans="2:11" x14ac:dyDescent="0.2">
      <c r="B296" s="38"/>
      <c r="C296" s="40" t="s">
        <v>260</v>
      </c>
      <c r="D296" s="40"/>
      <c r="E296" s="40"/>
      <c r="F296" s="40"/>
      <c r="G296" s="40"/>
      <c r="H296" s="40"/>
      <c r="I296" s="40"/>
      <c r="J296" s="245">
        <f>IF(J295&lt;=0,0,IF(J295&lt;=1,1,IF(J295&lt;=5,2,IF(J295&lt;=10,3,4))))</f>
        <v>4</v>
      </c>
      <c r="K296" s="41"/>
    </row>
    <row r="297" spans="2:11" ht="9.75" customHeight="1" x14ac:dyDescent="0.2">
      <c r="B297" s="38"/>
      <c r="C297" s="279" t="str">
        <f>"0:"</f>
        <v>0:</v>
      </c>
      <c r="D297" s="278" t="s">
        <v>932</v>
      </c>
      <c r="E297" s="40"/>
      <c r="F297" s="40"/>
      <c r="G297" s="40"/>
      <c r="H297" s="40"/>
      <c r="I297" s="40"/>
      <c r="J297" s="244"/>
      <c r="K297" s="41"/>
    </row>
    <row r="298" spans="2:11" ht="9.75" customHeight="1" x14ac:dyDescent="0.2">
      <c r="B298" s="38"/>
      <c r="C298" s="280" t="str">
        <f>"1:"</f>
        <v>1:</v>
      </c>
      <c r="D298" s="278" t="s">
        <v>934</v>
      </c>
      <c r="E298" s="40"/>
      <c r="F298" s="40"/>
      <c r="G298" s="40"/>
      <c r="H298" s="40"/>
      <c r="I298" s="40"/>
      <c r="J298" s="244"/>
      <c r="K298" s="41"/>
    </row>
    <row r="299" spans="2:11" ht="9.75" customHeight="1" x14ac:dyDescent="0.2">
      <c r="B299" s="38"/>
      <c r="C299" s="280" t="str">
        <f>"2:"</f>
        <v>2:</v>
      </c>
      <c r="D299" s="278" t="s">
        <v>933</v>
      </c>
      <c r="E299" s="40"/>
      <c r="F299" s="40"/>
      <c r="G299" s="40"/>
      <c r="H299" s="40"/>
      <c r="I299" s="40"/>
      <c r="J299" s="244"/>
      <c r="K299" s="41"/>
    </row>
    <row r="300" spans="2:11" ht="9.75" customHeight="1" x14ac:dyDescent="0.2">
      <c r="B300" s="38"/>
      <c r="C300" s="280" t="str">
        <f>"3:"</f>
        <v>3:</v>
      </c>
      <c r="D300" s="278" t="s">
        <v>935</v>
      </c>
      <c r="E300" s="40"/>
      <c r="F300" s="40"/>
      <c r="G300" s="40"/>
      <c r="H300" s="40"/>
      <c r="I300" s="40"/>
      <c r="J300" s="244"/>
      <c r="K300" s="41"/>
    </row>
    <row r="301" spans="2:11" ht="9.75" customHeight="1" x14ac:dyDescent="0.2">
      <c r="B301" s="38"/>
      <c r="C301" s="280" t="str">
        <f>"4:"</f>
        <v>4:</v>
      </c>
      <c r="D301" s="278" t="s">
        <v>936</v>
      </c>
      <c r="E301" s="40"/>
      <c r="F301" s="40"/>
      <c r="G301" s="40"/>
      <c r="H301" s="40"/>
      <c r="I301" s="40"/>
      <c r="J301" s="40"/>
      <c r="K301" s="41"/>
    </row>
    <row r="302" spans="2:11" x14ac:dyDescent="0.2">
      <c r="B302" s="38"/>
      <c r="C302" s="40" t="s">
        <v>257</v>
      </c>
      <c r="D302" s="40"/>
      <c r="E302" s="40"/>
      <c r="F302" s="40"/>
      <c r="G302" s="40"/>
      <c r="H302" s="40"/>
      <c r="I302" s="40"/>
      <c r="J302" s="266" t="s">
        <v>870</v>
      </c>
      <c r="K302" s="41"/>
    </row>
    <row r="303" spans="2:11" x14ac:dyDescent="0.2">
      <c r="B303" s="38"/>
      <c r="C303" s="40" t="s">
        <v>261</v>
      </c>
      <c r="D303" s="40"/>
      <c r="E303" s="40"/>
      <c r="F303" s="40"/>
      <c r="G303" s="40"/>
      <c r="H303" s="40"/>
      <c r="I303" s="40"/>
      <c r="J303" s="245">
        <f>IF(J302=$B$980,$A$980,IF(J302=$B$981,$A$981,IF(J302=$B$982,$A$982,IF(J302=$B$983,$A$983,IF(J302=$B$984,$A$984,"Not Calculated")))))</f>
        <v>0</v>
      </c>
      <c r="K303" s="41"/>
    </row>
    <row r="304" spans="2:11" x14ac:dyDescent="0.2">
      <c r="B304" s="38"/>
      <c r="C304" s="40" t="s">
        <v>893</v>
      </c>
      <c r="D304" s="40"/>
      <c r="E304" s="40"/>
      <c r="F304" s="40"/>
      <c r="G304" s="40"/>
      <c r="H304" s="40"/>
      <c r="I304" s="40"/>
      <c r="J304" s="40"/>
      <c r="K304" s="41"/>
    </row>
    <row r="305" spans="2:11" ht="30" customHeight="1" x14ac:dyDescent="0.2">
      <c r="B305" s="38"/>
      <c r="C305" s="399"/>
      <c r="D305" s="400"/>
      <c r="E305" s="400"/>
      <c r="F305" s="400"/>
      <c r="G305" s="400"/>
      <c r="H305" s="400"/>
      <c r="I305" s="400"/>
      <c r="J305" s="401"/>
      <c r="K305" s="41"/>
    </row>
    <row r="306" spans="2:11" x14ac:dyDescent="0.2">
      <c r="B306" s="38"/>
      <c r="C306" s="40"/>
      <c r="D306" s="40"/>
      <c r="E306" s="40"/>
      <c r="F306" s="40"/>
      <c r="G306" s="40"/>
      <c r="H306" s="40"/>
      <c r="I306" s="40"/>
      <c r="J306" s="40"/>
      <c r="K306" s="41"/>
    </row>
    <row r="307" spans="2:11" x14ac:dyDescent="0.2">
      <c r="B307" s="38"/>
      <c r="C307" s="179" t="s">
        <v>885</v>
      </c>
      <c r="D307" s="40"/>
      <c r="E307" s="40"/>
      <c r="F307" s="40"/>
      <c r="G307" s="40"/>
      <c r="H307" s="40"/>
      <c r="I307" s="40"/>
      <c r="J307" s="245">
        <f>IF(OR(J296="Not Calculated",J303="Not Calculated")=TRUE,"Not Calculated",AVERAGE(J296,J303))</f>
        <v>2</v>
      </c>
      <c r="K307" s="41"/>
    </row>
    <row r="308" spans="2:11" x14ac:dyDescent="0.2">
      <c r="B308" s="38"/>
      <c r="C308" s="40"/>
      <c r="D308" s="40"/>
      <c r="E308" s="40"/>
      <c r="F308" s="40"/>
      <c r="G308" s="40"/>
      <c r="H308" s="40"/>
      <c r="I308" s="40"/>
      <c r="J308" s="40"/>
      <c r="K308" s="41"/>
    </row>
    <row r="309" spans="2:11" x14ac:dyDescent="0.2">
      <c r="B309" s="38"/>
      <c r="C309" s="40"/>
      <c r="D309" s="40"/>
      <c r="E309" s="40"/>
      <c r="F309" s="40"/>
      <c r="G309" s="40"/>
      <c r="H309" s="40"/>
      <c r="I309" s="40"/>
      <c r="J309" s="40"/>
      <c r="K309" s="41"/>
    </row>
    <row r="310" spans="2:11" ht="16" x14ac:dyDescent="0.2">
      <c r="B310" s="38"/>
      <c r="C310" s="45" t="s">
        <v>857</v>
      </c>
      <c r="D310" s="40"/>
      <c r="E310" s="40"/>
      <c r="F310" s="40"/>
      <c r="G310" s="40"/>
      <c r="H310" s="40"/>
      <c r="I310" s="40"/>
      <c r="J310" s="40"/>
      <c r="K310" s="41"/>
    </row>
    <row r="311" spans="2:11" x14ac:dyDescent="0.2">
      <c r="B311" s="38"/>
      <c r="C311" s="380" t="s">
        <v>843</v>
      </c>
      <c r="D311" s="380"/>
      <c r="E311" s="380"/>
      <c r="F311" s="380"/>
      <c r="G311" s="380"/>
      <c r="H311" s="380"/>
      <c r="I311" s="380"/>
      <c r="J311" s="40"/>
      <c r="K311" s="41"/>
    </row>
    <row r="312" spans="2:11" x14ac:dyDescent="0.2">
      <c r="B312" s="38"/>
      <c r="C312" s="380"/>
      <c r="D312" s="380"/>
      <c r="E312" s="380"/>
      <c r="F312" s="380"/>
      <c r="G312" s="380"/>
      <c r="H312" s="380"/>
      <c r="I312" s="380"/>
      <c r="J312" s="264">
        <v>0</v>
      </c>
      <c r="K312" s="41"/>
    </row>
    <row r="313" spans="2:11" x14ac:dyDescent="0.2">
      <c r="B313" s="38"/>
      <c r="C313" s="40" t="s">
        <v>853</v>
      </c>
      <c r="D313" s="291"/>
      <c r="E313" s="291"/>
      <c r="F313" s="291"/>
      <c r="G313" s="291"/>
      <c r="H313" s="291"/>
      <c r="I313" s="291"/>
      <c r="J313" s="255">
        <f>'Baseline Health'!$G$102</f>
        <v>0</v>
      </c>
      <c r="K313" s="41"/>
    </row>
    <row r="314" spans="2:11" x14ac:dyDescent="0.2">
      <c r="B314" s="38"/>
      <c r="C314" s="40" t="s">
        <v>842</v>
      </c>
      <c r="D314" s="40"/>
      <c r="E314" s="40"/>
      <c r="F314" s="40"/>
      <c r="G314" s="40"/>
      <c r="H314" s="40"/>
      <c r="I314" s="40"/>
      <c r="J314" s="244" t="str">
        <f>IF('Baseline Health'!$G$102=0,"Not Calculated",100*J312/'Baseline Health'!$G$102)</f>
        <v>Not Calculated</v>
      </c>
      <c r="K314" s="41"/>
    </row>
    <row r="315" spans="2:11" x14ac:dyDescent="0.2">
      <c r="B315" s="38"/>
      <c r="C315" s="40" t="s">
        <v>260</v>
      </c>
      <c r="D315" s="40"/>
      <c r="E315" s="40"/>
      <c r="F315" s="40"/>
      <c r="G315" s="40"/>
      <c r="H315" s="40"/>
      <c r="I315" s="40"/>
      <c r="J315" s="245">
        <f>IF(J314&lt;=0,0,IF(J314&lt;=1,1,IF(J314&lt;=5,2,IF(J314&lt;=10,3,4))))</f>
        <v>4</v>
      </c>
      <c r="K315" s="41"/>
    </row>
    <row r="316" spans="2:11" ht="9.75" customHeight="1" x14ac:dyDescent="0.2">
      <c r="B316" s="38"/>
      <c r="C316" s="279" t="str">
        <f>"0:"</f>
        <v>0:</v>
      </c>
      <c r="D316" s="278" t="s">
        <v>932</v>
      </c>
      <c r="E316" s="40"/>
      <c r="F316" s="40"/>
      <c r="G316" s="40"/>
      <c r="H316" s="40"/>
      <c r="I316" s="40"/>
      <c r="J316" s="244"/>
      <c r="K316" s="41"/>
    </row>
    <row r="317" spans="2:11" ht="9.75" customHeight="1" x14ac:dyDescent="0.2">
      <c r="B317" s="38"/>
      <c r="C317" s="280" t="str">
        <f>"1:"</f>
        <v>1:</v>
      </c>
      <c r="D317" s="278" t="s">
        <v>934</v>
      </c>
      <c r="E317" s="40"/>
      <c r="F317" s="40"/>
      <c r="G317" s="40"/>
      <c r="H317" s="40"/>
      <c r="I317" s="40"/>
      <c r="J317" s="244"/>
      <c r="K317" s="41"/>
    </row>
    <row r="318" spans="2:11" ht="9.75" customHeight="1" x14ac:dyDescent="0.2">
      <c r="B318" s="38"/>
      <c r="C318" s="280" t="str">
        <f>"2:"</f>
        <v>2:</v>
      </c>
      <c r="D318" s="278" t="s">
        <v>933</v>
      </c>
      <c r="E318" s="40"/>
      <c r="F318" s="40"/>
      <c r="G318" s="40"/>
      <c r="H318" s="40"/>
      <c r="I318" s="40"/>
      <c r="J318" s="244"/>
      <c r="K318" s="41"/>
    </row>
    <row r="319" spans="2:11" ht="9.75" customHeight="1" x14ac:dyDescent="0.2">
      <c r="B319" s="38"/>
      <c r="C319" s="280" t="str">
        <f>"3:"</f>
        <v>3:</v>
      </c>
      <c r="D319" s="278" t="s">
        <v>935</v>
      </c>
      <c r="E319" s="40"/>
      <c r="F319" s="40"/>
      <c r="G319" s="40"/>
      <c r="H319" s="40"/>
      <c r="I319" s="40"/>
      <c r="J319" s="244"/>
      <c r="K319" s="41"/>
    </row>
    <row r="320" spans="2:11" ht="9.75" customHeight="1" x14ac:dyDescent="0.2">
      <c r="B320" s="38"/>
      <c r="C320" s="280" t="str">
        <f>"4:"</f>
        <v>4:</v>
      </c>
      <c r="D320" s="278" t="s">
        <v>936</v>
      </c>
      <c r="E320" s="40"/>
      <c r="F320" s="40"/>
      <c r="G320" s="40"/>
      <c r="H320" s="40"/>
      <c r="I320" s="40"/>
      <c r="J320" s="40"/>
      <c r="K320" s="41"/>
    </row>
    <row r="321" spans="2:11" x14ac:dyDescent="0.2">
      <c r="B321" s="38"/>
      <c r="C321" s="40" t="s">
        <v>296</v>
      </c>
      <c r="D321" s="40"/>
      <c r="E321" s="40"/>
      <c r="F321" s="40"/>
      <c r="G321" s="40"/>
      <c r="H321" s="40"/>
      <c r="I321" s="40"/>
      <c r="J321" s="266">
        <v>0</v>
      </c>
      <c r="K321" s="41"/>
    </row>
    <row r="322" spans="2:11" x14ac:dyDescent="0.2">
      <c r="B322" s="38"/>
      <c r="C322" s="40" t="s">
        <v>261</v>
      </c>
      <c r="D322" s="40"/>
      <c r="E322" s="40"/>
      <c r="F322" s="40"/>
      <c r="G322" s="40"/>
      <c r="H322" s="40"/>
      <c r="I322" s="40"/>
      <c r="J322" s="245">
        <f>IF(J321&lt;=0,0,IF(J321&lt;=2,1,IF(J321&lt;=6,2,IF(J321&lt;=12,3,4))))</f>
        <v>0</v>
      </c>
      <c r="K322" s="41"/>
    </row>
    <row r="323" spans="2:11" x14ac:dyDescent="0.2">
      <c r="B323" s="38"/>
      <c r="C323" s="40" t="s">
        <v>893</v>
      </c>
      <c r="D323" s="40"/>
      <c r="E323" s="40"/>
      <c r="F323" s="40"/>
      <c r="G323" s="40"/>
      <c r="H323" s="40"/>
      <c r="I323" s="40"/>
      <c r="J323" s="40"/>
      <c r="K323" s="41"/>
    </row>
    <row r="324" spans="2:11" ht="30" customHeight="1" x14ac:dyDescent="0.2">
      <c r="B324" s="38"/>
      <c r="C324" s="399"/>
      <c r="D324" s="400"/>
      <c r="E324" s="400"/>
      <c r="F324" s="400"/>
      <c r="G324" s="400"/>
      <c r="H324" s="400"/>
      <c r="I324" s="400"/>
      <c r="J324" s="401"/>
      <c r="K324" s="41"/>
    </row>
    <row r="325" spans="2:11" x14ac:dyDescent="0.2">
      <c r="B325" s="38"/>
      <c r="C325" s="40"/>
      <c r="D325" s="40"/>
      <c r="E325" s="40"/>
      <c r="F325" s="40"/>
      <c r="G325" s="40"/>
      <c r="H325" s="40"/>
      <c r="I325" s="40"/>
      <c r="J325" s="40"/>
      <c r="K325" s="41"/>
    </row>
    <row r="326" spans="2:11" x14ac:dyDescent="0.2">
      <c r="B326" s="38"/>
      <c r="C326" s="179" t="s">
        <v>886</v>
      </c>
      <c r="D326" s="40"/>
      <c r="E326" s="40"/>
      <c r="F326" s="40"/>
      <c r="G326" s="40"/>
      <c r="H326" s="40"/>
      <c r="I326" s="40"/>
      <c r="J326" s="245">
        <f>IF(OR(J315="Not Calculated",J322="Not Calculated")=TRUE,"Not Calculated",AVERAGE(J315,J322))</f>
        <v>2</v>
      </c>
      <c r="K326" s="41"/>
    </row>
    <row r="327" spans="2:11" x14ac:dyDescent="0.2">
      <c r="B327" s="38"/>
      <c r="C327" s="40"/>
      <c r="D327" s="40"/>
      <c r="E327" s="40"/>
      <c r="F327" s="40"/>
      <c r="G327" s="40"/>
      <c r="H327" s="40"/>
      <c r="I327" s="40"/>
      <c r="J327" s="40"/>
      <c r="K327" s="41"/>
    </row>
    <row r="328" spans="2:11" x14ac:dyDescent="0.2">
      <c r="B328" s="38"/>
      <c r="C328" s="40"/>
      <c r="D328" s="40"/>
      <c r="E328" s="40"/>
      <c r="F328" s="40"/>
      <c r="G328" s="40"/>
      <c r="H328" s="40"/>
      <c r="I328" s="40"/>
      <c r="J328" s="40"/>
      <c r="K328" s="41"/>
    </row>
    <row r="329" spans="2:11" ht="16" x14ac:dyDescent="0.2">
      <c r="B329" s="38"/>
      <c r="C329" s="45" t="s">
        <v>858</v>
      </c>
      <c r="D329" s="40"/>
      <c r="E329" s="40"/>
      <c r="F329" s="40"/>
      <c r="G329" s="40"/>
      <c r="H329" s="40"/>
      <c r="I329" s="40"/>
      <c r="J329" s="40"/>
      <c r="K329" s="41"/>
    </row>
    <row r="330" spans="2:11" ht="15" customHeight="1" x14ac:dyDescent="0.2">
      <c r="B330" s="38"/>
      <c r="C330" s="380" t="s">
        <v>844</v>
      </c>
      <c r="D330" s="380"/>
      <c r="E330" s="380"/>
      <c r="F330" s="380"/>
      <c r="G330" s="380"/>
      <c r="H330" s="380"/>
      <c r="I330" s="380"/>
      <c r="J330" s="40"/>
      <c r="K330" s="41"/>
    </row>
    <row r="331" spans="2:11" x14ac:dyDescent="0.2">
      <c r="B331" s="38"/>
      <c r="C331" s="380"/>
      <c r="D331" s="380"/>
      <c r="E331" s="380"/>
      <c r="F331" s="380"/>
      <c r="G331" s="380"/>
      <c r="H331" s="380"/>
      <c r="I331" s="380"/>
      <c r="J331" s="264">
        <v>0</v>
      </c>
      <c r="K331" s="41"/>
    </row>
    <row r="332" spans="2:11" x14ac:dyDescent="0.2">
      <c r="B332" s="38"/>
      <c r="C332" s="40" t="s">
        <v>853</v>
      </c>
      <c r="D332" s="291"/>
      <c r="E332" s="291"/>
      <c r="F332" s="291"/>
      <c r="G332" s="291"/>
      <c r="H332" s="291"/>
      <c r="I332" s="291"/>
      <c r="J332" s="255">
        <f>'Baseline Health'!$G$102</f>
        <v>0</v>
      </c>
      <c r="K332" s="41"/>
    </row>
    <row r="333" spans="2:11" x14ac:dyDescent="0.2">
      <c r="B333" s="38"/>
      <c r="C333" s="40" t="s">
        <v>845</v>
      </c>
      <c r="D333" s="40"/>
      <c r="E333" s="40"/>
      <c r="F333" s="40"/>
      <c r="G333" s="40"/>
      <c r="H333" s="40"/>
      <c r="I333" s="40"/>
      <c r="J333" s="244" t="str">
        <f>IF('Baseline Health'!$G$102=0,"Not Calculated",100*J331/'Baseline Health'!$G$102)</f>
        <v>Not Calculated</v>
      </c>
      <c r="K333" s="41"/>
    </row>
    <row r="334" spans="2:11" x14ac:dyDescent="0.2">
      <c r="B334" s="38"/>
      <c r="C334" s="40" t="s">
        <v>260</v>
      </c>
      <c r="D334" s="40"/>
      <c r="E334" s="40"/>
      <c r="F334" s="40"/>
      <c r="G334" s="40"/>
      <c r="H334" s="40"/>
      <c r="I334" s="40"/>
      <c r="J334" s="245">
        <f>IF(J333&lt;=0,0,IF(J333&lt;=1,1,IF(J333&lt;=5,2,IF(J333&lt;=10,3,4))))</f>
        <v>4</v>
      </c>
      <c r="K334" s="41"/>
    </row>
    <row r="335" spans="2:11" ht="9.75" customHeight="1" x14ac:dyDescent="0.2">
      <c r="B335" s="38"/>
      <c r="C335" s="279" t="str">
        <f>"0:"</f>
        <v>0:</v>
      </c>
      <c r="D335" s="278" t="s">
        <v>932</v>
      </c>
      <c r="E335" s="40"/>
      <c r="F335" s="40"/>
      <c r="G335" s="40"/>
      <c r="H335" s="40"/>
      <c r="I335" s="40"/>
      <c r="J335" s="244"/>
      <c r="K335" s="41"/>
    </row>
    <row r="336" spans="2:11" ht="9.75" customHeight="1" x14ac:dyDescent="0.2">
      <c r="B336" s="38"/>
      <c r="C336" s="280" t="str">
        <f>"1:"</f>
        <v>1:</v>
      </c>
      <c r="D336" s="278" t="s">
        <v>934</v>
      </c>
      <c r="E336" s="40"/>
      <c r="F336" s="40"/>
      <c r="G336" s="40"/>
      <c r="H336" s="40"/>
      <c r="I336" s="40"/>
      <c r="J336" s="244"/>
      <c r="K336" s="41"/>
    </row>
    <row r="337" spans="2:11" ht="9.75" customHeight="1" x14ac:dyDescent="0.2">
      <c r="B337" s="38"/>
      <c r="C337" s="280" t="str">
        <f>"2:"</f>
        <v>2:</v>
      </c>
      <c r="D337" s="278" t="s">
        <v>933</v>
      </c>
      <c r="E337" s="40"/>
      <c r="F337" s="40"/>
      <c r="G337" s="40"/>
      <c r="H337" s="40"/>
      <c r="I337" s="40"/>
      <c r="J337" s="244"/>
      <c r="K337" s="41"/>
    </row>
    <row r="338" spans="2:11" ht="9.75" customHeight="1" x14ac:dyDescent="0.2">
      <c r="B338" s="38"/>
      <c r="C338" s="280" t="str">
        <f>"3:"</f>
        <v>3:</v>
      </c>
      <c r="D338" s="278" t="s">
        <v>935</v>
      </c>
      <c r="E338" s="40"/>
      <c r="F338" s="40"/>
      <c r="G338" s="40"/>
      <c r="H338" s="40"/>
      <c r="I338" s="40"/>
      <c r="J338" s="244"/>
      <c r="K338" s="41"/>
    </row>
    <row r="339" spans="2:11" ht="9.75" customHeight="1" x14ac:dyDescent="0.2">
      <c r="B339" s="38"/>
      <c r="C339" s="280" t="str">
        <f>"4:"</f>
        <v>4:</v>
      </c>
      <c r="D339" s="278" t="s">
        <v>936</v>
      </c>
      <c r="E339" s="40"/>
      <c r="F339" s="40"/>
      <c r="G339" s="40"/>
      <c r="H339" s="40"/>
      <c r="I339" s="40"/>
      <c r="J339" s="40"/>
      <c r="K339" s="41"/>
    </row>
    <row r="340" spans="2:11" x14ac:dyDescent="0.2">
      <c r="B340" s="38"/>
      <c r="C340" s="380" t="s">
        <v>84</v>
      </c>
      <c r="D340" s="380"/>
      <c r="E340" s="380"/>
      <c r="F340" s="380"/>
      <c r="G340" s="380"/>
      <c r="H340" s="380"/>
      <c r="I340" s="380"/>
      <c r="J340" s="245"/>
      <c r="K340" s="41"/>
    </row>
    <row r="341" spans="2:11" x14ac:dyDescent="0.2">
      <c r="B341" s="38"/>
      <c r="C341" s="380"/>
      <c r="D341" s="380"/>
      <c r="E341" s="380"/>
      <c r="F341" s="380"/>
      <c r="G341" s="380"/>
      <c r="H341" s="380"/>
      <c r="I341" s="380"/>
      <c r="J341" s="245">
        <f>'Baseline Health'!G108</f>
        <v>40</v>
      </c>
      <c r="K341" s="41"/>
    </row>
    <row r="342" spans="2:11" ht="15" customHeight="1" x14ac:dyDescent="0.2">
      <c r="B342" s="38"/>
      <c r="C342" s="40" t="s">
        <v>833</v>
      </c>
      <c r="D342" s="40"/>
      <c r="E342" s="40"/>
      <c r="F342" s="40"/>
      <c r="G342" s="40"/>
      <c r="H342" s="40"/>
      <c r="I342" s="40"/>
      <c r="J342" s="245">
        <f>IF(J341&gt;J321,0,J321-J341)</f>
        <v>0</v>
      </c>
      <c r="K342" s="41"/>
    </row>
    <row r="343" spans="2:11" x14ac:dyDescent="0.2">
      <c r="B343" s="38"/>
      <c r="C343" s="40"/>
      <c r="D343" s="380" t="s">
        <v>834</v>
      </c>
      <c r="E343" s="380"/>
      <c r="F343" s="380"/>
      <c r="G343" s="380"/>
      <c r="H343" s="380"/>
      <c r="I343" s="380"/>
      <c r="J343" s="40"/>
      <c r="K343" s="41"/>
    </row>
    <row r="344" spans="2:11" x14ac:dyDescent="0.2">
      <c r="B344" s="38"/>
      <c r="C344" s="40"/>
      <c r="D344" s="380"/>
      <c r="E344" s="380"/>
      <c r="F344" s="380"/>
      <c r="G344" s="380"/>
      <c r="H344" s="380"/>
      <c r="I344" s="380"/>
      <c r="J344" s="40"/>
      <c r="K344" s="41"/>
    </row>
    <row r="345" spans="2:11" x14ac:dyDescent="0.2">
      <c r="B345" s="38"/>
      <c r="C345" s="40" t="s">
        <v>261</v>
      </c>
      <c r="D345" s="40"/>
      <c r="E345" s="40"/>
      <c r="F345" s="40"/>
      <c r="G345" s="40"/>
      <c r="H345" s="40"/>
      <c r="I345" s="40"/>
      <c r="J345" s="245">
        <f>IF(J342&lt;=0,0,IF(J342&lt;=2,1,IF(J342&lt;=6,2,IF(J342&lt;=12,3,4))))</f>
        <v>0</v>
      </c>
      <c r="K345" s="41"/>
    </row>
    <row r="346" spans="2:11" x14ac:dyDescent="0.2">
      <c r="B346" s="38"/>
      <c r="C346" s="40" t="s">
        <v>893</v>
      </c>
      <c r="D346" s="40"/>
      <c r="E346" s="40"/>
      <c r="F346" s="40"/>
      <c r="G346" s="40"/>
      <c r="H346" s="40"/>
      <c r="I346" s="40"/>
      <c r="J346" s="40"/>
      <c r="K346" s="41"/>
    </row>
    <row r="347" spans="2:11" ht="30" customHeight="1" x14ac:dyDescent="0.2">
      <c r="B347" s="38"/>
      <c r="C347" s="399"/>
      <c r="D347" s="400"/>
      <c r="E347" s="400"/>
      <c r="F347" s="400"/>
      <c r="G347" s="400"/>
      <c r="H347" s="400"/>
      <c r="I347" s="400"/>
      <c r="J347" s="401"/>
      <c r="K347" s="41"/>
    </row>
    <row r="348" spans="2:11" x14ac:dyDescent="0.2">
      <c r="B348" s="38"/>
      <c r="C348" s="40"/>
      <c r="D348" s="40"/>
      <c r="E348" s="40"/>
      <c r="F348" s="40"/>
      <c r="G348" s="40"/>
      <c r="H348" s="40"/>
      <c r="I348" s="40"/>
      <c r="J348" s="40"/>
      <c r="K348" s="41"/>
    </row>
    <row r="349" spans="2:11" x14ac:dyDescent="0.2">
      <c r="B349" s="38"/>
      <c r="C349" s="179" t="s">
        <v>887</v>
      </c>
      <c r="D349" s="40"/>
      <c r="E349" s="40"/>
      <c r="F349" s="40"/>
      <c r="G349" s="40"/>
      <c r="H349" s="40"/>
      <c r="I349" s="40"/>
      <c r="J349" s="245">
        <f>IF(OR(J334="Not Calculated",J345="Not Calculated")=TRUE,"Not Calculated",AVERAGE(J334,J345))</f>
        <v>2</v>
      </c>
      <c r="K349" s="41"/>
    </row>
    <row r="350" spans="2:11" x14ac:dyDescent="0.2">
      <c r="B350" s="38"/>
      <c r="C350" s="40"/>
      <c r="D350" s="40"/>
      <c r="E350" s="40"/>
      <c r="F350" s="40"/>
      <c r="G350" s="40"/>
      <c r="H350" s="40"/>
      <c r="I350" s="40"/>
      <c r="J350" s="40"/>
      <c r="K350" s="41"/>
    </row>
    <row r="351" spans="2:11" x14ac:dyDescent="0.2">
      <c r="B351" s="38"/>
      <c r="C351" s="40"/>
      <c r="D351" s="40"/>
      <c r="E351" s="40"/>
      <c r="F351" s="40"/>
      <c r="G351" s="40"/>
      <c r="H351" s="40"/>
      <c r="I351" s="40"/>
      <c r="J351" s="40"/>
      <c r="K351" s="41"/>
    </row>
    <row r="352" spans="2:11" ht="15" customHeight="1" x14ac:dyDescent="0.2">
      <c r="B352" s="38"/>
      <c r="C352" s="45" t="s">
        <v>859</v>
      </c>
      <c r="D352" s="40"/>
      <c r="E352" s="40"/>
      <c r="F352" s="40"/>
      <c r="G352" s="40"/>
      <c r="H352" s="40"/>
      <c r="I352" s="40"/>
      <c r="J352" s="40"/>
      <c r="K352" s="41"/>
    </row>
    <row r="353" spans="2:12" x14ac:dyDescent="0.2">
      <c r="B353" s="38"/>
      <c r="C353" s="40" t="s">
        <v>846</v>
      </c>
      <c r="D353" s="40"/>
      <c r="E353" s="40"/>
      <c r="F353" s="40"/>
      <c r="G353" s="40"/>
      <c r="H353" s="40"/>
      <c r="I353" s="40"/>
      <c r="J353" s="264">
        <f>'Community Characteristics'!H30</f>
        <v>0</v>
      </c>
      <c r="K353" s="41"/>
      <c r="L353" s="239"/>
    </row>
    <row r="354" spans="2:12" x14ac:dyDescent="0.2">
      <c r="B354" s="38"/>
      <c r="C354" s="40" t="s">
        <v>854</v>
      </c>
      <c r="D354" s="40"/>
      <c r="E354" s="40"/>
      <c r="F354" s="40"/>
      <c r="G354" s="40"/>
      <c r="H354" s="40"/>
      <c r="I354" s="40"/>
      <c r="J354" s="255">
        <f>'Baseline Health'!$G$59</f>
        <v>0</v>
      </c>
      <c r="K354" s="41"/>
      <c r="L354" s="239"/>
    </row>
    <row r="355" spans="2:12" x14ac:dyDescent="0.2">
      <c r="B355" s="38"/>
      <c r="C355" s="40" t="s">
        <v>847</v>
      </c>
      <c r="D355" s="40"/>
      <c r="E355" s="40"/>
      <c r="F355" s="40"/>
      <c r="G355" s="40"/>
      <c r="H355" s="40"/>
      <c r="I355" s="40"/>
      <c r="J355" s="244">
        <f>IF(J353=0,0,IF('Baseline Health'!G$59=0,"Not Calculated",100*J353/'Baseline Health'!$G$59))</f>
        <v>0</v>
      </c>
      <c r="K355" s="41"/>
    </row>
    <row r="356" spans="2:12" x14ac:dyDescent="0.2">
      <c r="B356" s="38"/>
      <c r="C356" s="40" t="s">
        <v>260</v>
      </c>
      <c r="D356" s="40"/>
      <c r="E356" s="40"/>
      <c r="F356" s="40"/>
      <c r="G356" s="40"/>
      <c r="H356" s="40"/>
      <c r="I356" s="40"/>
      <c r="J356" s="245">
        <f>IF(J355&lt;=0,0,IF(J355&lt;=5,1,IF(J355&lt;=10,2,IF(J355&lt;=25,3,4))))</f>
        <v>0</v>
      </c>
      <c r="K356" s="41"/>
    </row>
    <row r="357" spans="2:12" ht="9.75" customHeight="1" x14ac:dyDescent="0.2">
      <c r="B357" s="38"/>
      <c r="C357" s="279" t="str">
        <f>"0:"</f>
        <v>0:</v>
      </c>
      <c r="D357" s="278" t="s">
        <v>932</v>
      </c>
      <c r="E357" s="40"/>
      <c r="F357" s="40"/>
      <c r="G357" s="40"/>
      <c r="H357" s="40"/>
      <c r="I357" s="40"/>
      <c r="J357" s="244"/>
      <c r="K357" s="41"/>
    </row>
    <row r="358" spans="2:12" ht="9.75" customHeight="1" x14ac:dyDescent="0.2">
      <c r="B358" s="38"/>
      <c r="C358" s="280" t="str">
        <f>"1:"</f>
        <v>1:</v>
      </c>
      <c r="D358" s="278" t="s">
        <v>933</v>
      </c>
      <c r="E358" s="40"/>
      <c r="F358" s="40"/>
      <c r="G358" s="40"/>
      <c r="H358" s="40"/>
      <c r="I358" s="40"/>
      <c r="J358" s="244"/>
      <c r="K358" s="41"/>
    </row>
    <row r="359" spans="2:12" ht="9.75" customHeight="1" x14ac:dyDescent="0.2">
      <c r="B359" s="38"/>
      <c r="C359" s="280" t="str">
        <f>"2:"</f>
        <v>2:</v>
      </c>
      <c r="D359" s="278" t="s">
        <v>935</v>
      </c>
      <c r="E359" s="40"/>
      <c r="F359" s="40"/>
      <c r="G359" s="40"/>
      <c r="H359" s="40"/>
      <c r="I359" s="40"/>
      <c r="J359" s="244"/>
      <c r="K359" s="41"/>
    </row>
    <row r="360" spans="2:12" ht="9.75" customHeight="1" x14ac:dyDescent="0.2">
      <c r="B360" s="38"/>
      <c r="C360" s="280" t="str">
        <f>"3:"</f>
        <v>3:</v>
      </c>
      <c r="D360" s="278" t="s">
        <v>937</v>
      </c>
      <c r="E360" s="40"/>
      <c r="F360" s="40"/>
      <c r="G360" s="40"/>
      <c r="H360" s="40"/>
      <c r="I360" s="40"/>
      <c r="J360" s="244"/>
      <c r="K360" s="41"/>
    </row>
    <row r="361" spans="2:12" ht="9.75" customHeight="1" x14ac:dyDescent="0.2">
      <c r="B361" s="38"/>
      <c r="C361" s="280" t="str">
        <f>"4:"</f>
        <v>4:</v>
      </c>
      <c r="D361" s="278" t="s">
        <v>938</v>
      </c>
      <c r="E361" s="40"/>
      <c r="F361" s="40"/>
      <c r="G361" s="40"/>
      <c r="H361" s="40"/>
      <c r="I361" s="40"/>
      <c r="J361" s="40"/>
      <c r="K361" s="41"/>
    </row>
    <row r="362" spans="2:12" x14ac:dyDescent="0.2">
      <c r="B362" s="38"/>
      <c r="C362" s="40" t="s">
        <v>257</v>
      </c>
      <c r="D362" s="40"/>
      <c r="E362" s="40"/>
      <c r="F362" s="40"/>
      <c r="G362" s="40"/>
      <c r="H362" s="40"/>
      <c r="I362" s="40"/>
      <c r="J362" s="266" t="s">
        <v>878</v>
      </c>
      <c r="K362" s="41"/>
    </row>
    <row r="363" spans="2:12" x14ac:dyDescent="0.2">
      <c r="B363" s="38"/>
      <c r="C363" s="40" t="s">
        <v>261</v>
      </c>
      <c r="D363" s="40"/>
      <c r="E363" s="40"/>
      <c r="F363" s="40"/>
      <c r="G363" s="40"/>
      <c r="H363" s="40"/>
      <c r="I363" s="40"/>
      <c r="J363" s="245">
        <f>IF(J362=$B$980,$A$980,IF(J362=$B$981,$A$981,IF(J362=$B$982,$A$982,IF(J362=$B$983,$A$983,IF(J362=$B$984,$A$984,"Not Calculated")))))</f>
        <v>4</v>
      </c>
      <c r="K363" s="41"/>
    </row>
    <row r="364" spans="2:12" x14ac:dyDescent="0.2">
      <c r="B364" s="38"/>
      <c r="C364" s="40" t="s">
        <v>893</v>
      </c>
      <c r="D364" s="40"/>
      <c r="E364" s="40"/>
      <c r="F364" s="40"/>
      <c r="G364" s="40"/>
      <c r="H364" s="40"/>
      <c r="I364" s="40"/>
      <c r="J364" s="40"/>
      <c r="K364" s="41"/>
    </row>
    <row r="365" spans="2:12" ht="30" customHeight="1" x14ac:dyDescent="0.2">
      <c r="B365" s="38"/>
      <c r="C365" s="399" t="s">
        <v>476</v>
      </c>
      <c r="D365" s="400"/>
      <c r="E365" s="400"/>
      <c r="F365" s="400"/>
      <c r="G365" s="400"/>
      <c r="H365" s="400"/>
      <c r="I365" s="400"/>
      <c r="J365" s="401"/>
      <c r="K365" s="41"/>
    </row>
    <row r="366" spans="2:12" x14ac:dyDescent="0.2">
      <c r="B366" s="38"/>
      <c r="C366" s="40"/>
      <c r="D366" s="40"/>
      <c r="E366" s="40"/>
      <c r="F366" s="40"/>
      <c r="G366" s="40"/>
      <c r="H366" s="40"/>
      <c r="I366" s="40"/>
      <c r="J366" s="40"/>
      <c r="K366" s="41"/>
    </row>
    <row r="367" spans="2:12" x14ac:dyDescent="0.2">
      <c r="B367" s="38"/>
      <c r="C367" s="179" t="s">
        <v>888</v>
      </c>
      <c r="D367" s="40"/>
      <c r="E367" s="40"/>
      <c r="F367" s="40"/>
      <c r="G367" s="40"/>
      <c r="H367" s="40"/>
      <c r="I367" s="40"/>
      <c r="J367" s="245">
        <f>IF(OR(J356="Not Calculated",J363="Not Calculated")=TRUE,"Not Calculated",AVERAGE(J356,J363))</f>
        <v>2</v>
      </c>
      <c r="K367" s="41"/>
    </row>
    <row r="368" spans="2:12" x14ac:dyDescent="0.2">
      <c r="B368" s="38"/>
      <c r="C368" s="40"/>
      <c r="D368" s="40"/>
      <c r="E368" s="40"/>
      <c r="F368" s="40"/>
      <c r="G368" s="40"/>
      <c r="H368" s="40"/>
      <c r="I368" s="40"/>
      <c r="J368" s="40"/>
      <c r="K368" s="41"/>
    </row>
    <row r="369" spans="2:11" x14ac:dyDescent="0.2">
      <c r="B369" s="38"/>
      <c r="C369" s="40"/>
      <c r="D369" s="40"/>
      <c r="E369" s="40"/>
      <c r="F369" s="40"/>
      <c r="G369" s="40"/>
      <c r="H369" s="40"/>
      <c r="I369" s="40"/>
      <c r="J369" s="40"/>
      <c r="K369" s="41"/>
    </row>
    <row r="370" spans="2:11" ht="16" x14ac:dyDescent="0.2">
      <c r="B370" s="38"/>
      <c r="C370" s="45" t="s">
        <v>863</v>
      </c>
      <c r="D370" s="40"/>
      <c r="E370" s="40"/>
      <c r="F370" s="40"/>
      <c r="G370" s="40"/>
      <c r="H370" s="40"/>
      <c r="I370" s="40"/>
      <c r="J370" s="40"/>
      <c r="K370" s="41"/>
    </row>
    <row r="371" spans="2:11" ht="15" customHeight="1" x14ac:dyDescent="0.2">
      <c r="B371" s="38"/>
      <c r="C371" s="380" t="s">
        <v>848</v>
      </c>
      <c r="D371" s="380"/>
      <c r="E371" s="380"/>
      <c r="F371" s="380"/>
      <c r="G371" s="380"/>
      <c r="H371" s="380"/>
      <c r="I371" s="380"/>
      <c r="J371" s="181"/>
      <c r="K371" s="41"/>
    </row>
    <row r="372" spans="2:11" x14ac:dyDescent="0.2">
      <c r="B372" s="38"/>
      <c r="C372" s="380"/>
      <c r="D372" s="380"/>
      <c r="E372" s="380"/>
      <c r="F372" s="380"/>
      <c r="G372" s="380"/>
      <c r="H372" s="380"/>
      <c r="I372" s="380"/>
      <c r="J372" s="264">
        <v>0</v>
      </c>
      <c r="K372" s="41"/>
    </row>
    <row r="373" spans="2:11" x14ac:dyDescent="0.2">
      <c r="B373" s="38"/>
      <c r="C373" s="40" t="s">
        <v>853</v>
      </c>
      <c r="D373" s="291"/>
      <c r="E373" s="291"/>
      <c r="F373" s="291"/>
      <c r="G373" s="291"/>
      <c r="H373" s="291"/>
      <c r="I373" s="291"/>
      <c r="J373" s="255">
        <f>'Baseline Health'!$G$102</f>
        <v>0</v>
      </c>
      <c r="K373" s="41"/>
    </row>
    <row r="374" spans="2:11" x14ac:dyDescent="0.2">
      <c r="B374" s="38"/>
      <c r="C374" s="40" t="s">
        <v>842</v>
      </c>
      <c r="D374" s="291"/>
      <c r="E374" s="291"/>
      <c r="F374" s="291"/>
      <c r="G374" s="291"/>
      <c r="H374" s="291"/>
      <c r="I374" s="291"/>
      <c r="J374" s="244" t="str">
        <f>IF('Baseline Health'!$G$102=0,"Not Calculated",100*J372/'Baseline Health'!$G$102)</f>
        <v>Not Calculated</v>
      </c>
      <c r="K374" s="41"/>
    </row>
    <row r="375" spans="2:11" x14ac:dyDescent="0.2">
      <c r="B375" s="38"/>
      <c r="C375" s="40" t="s">
        <v>260</v>
      </c>
      <c r="D375" s="40"/>
      <c r="E375" s="40"/>
      <c r="F375" s="40"/>
      <c r="G375" s="40"/>
      <c r="H375" s="40"/>
      <c r="I375" s="40"/>
      <c r="J375" s="251">
        <f>IF(J374&lt;=0,0,IF(J374&lt;=1,1,IF(J374&lt;=5,2,IF(J374&lt;=10,3,4))))</f>
        <v>4</v>
      </c>
      <c r="K375" s="41"/>
    </row>
    <row r="376" spans="2:11" ht="9.75" customHeight="1" x14ac:dyDescent="0.2">
      <c r="B376" s="38"/>
      <c r="C376" s="279" t="str">
        <f>"0:"</f>
        <v>0:</v>
      </c>
      <c r="D376" s="278" t="s">
        <v>932</v>
      </c>
      <c r="E376" s="291"/>
      <c r="F376" s="291"/>
      <c r="G376" s="291"/>
      <c r="H376" s="291"/>
      <c r="I376" s="291"/>
      <c r="J376" s="244"/>
      <c r="K376" s="41"/>
    </row>
    <row r="377" spans="2:11" ht="9.75" customHeight="1" x14ac:dyDescent="0.2">
      <c r="B377" s="38"/>
      <c r="C377" s="280" t="str">
        <f>"1:"</f>
        <v>1:</v>
      </c>
      <c r="D377" s="278" t="s">
        <v>934</v>
      </c>
      <c r="E377" s="291"/>
      <c r="F377" s="291"/>
      <c r="G377" s="291"/>
      <c r="H377" s="291"/>
      <c r="I377" s="291"/>
      <c r="J377" s="244"/>
      <c r="K377" s="41"/>
    </row>
    <row r="378" spans="2:11" ht="9.75" customHeight="1" x14ac:dyDescent="0.2">
      <c r="B378" s="38"/>
      <c r="C378" s="280" t="str">
        <f>"2:"</f>
        <v>2:</v>
      </c>
      <c r="D378" s="278" t="s">
        <v>933</v>
      </c>
      <c r="E378" s="291"/>
      <c r="F378" s="291"/>
      <c r="G378" s="291"/>
      <c r="H378" s="291"/>
      <c r="I378" s="291"/>
      <c r="J378" s="244"/>
      <c r="K378" s="41"/>
    </row>
    <row r="379" spans="2:11" ht="9.75" customHeight="1" x14ac:dyDescent="0.2">
      <c r="B379" s="38"/>
      <c r="C379" s="280" t="str">
        <f>"3:"</f>
        <v>3:</v>
      </c>
      <c r="D379" s="278" t="s">
        <v>935</v>
      </c>
      <c r="E379" s="291"/>
      <c r="F379" s="291"/>
      <c r="G379" s="291"/>
      <c r="H379" s="291"/>
      <c r="I379" s="291"/>
      <c r="J379" s="244"/>
      <c r="K379" s="41"/>
    </row>
    <row r="380" spans="2:11" ht="9.75" customHeight="1" x14ac:dyDescent="0.2">
      <c r="B380" s="38"/>
      <c r="C380" s="280" t="str">
        <f>"4:"</f>
        <v>4:</v>
      </c>
      <c r="D380" s="278" t="s">
        <v>936</v>
      </c>
      <c r="E380" s="40"/>
      <c r="F380" s="40"/>
      <c r="G380" s="40"/>
      <c r="H380" s="40"/>
      <c r="I380" s="40"/>
      <c r="J380" s="40"/>
      <c r="K380" s="41"/>
    </row>
    <row r="381" spans="2:11" x14ac:dyDescent="0.2">
      <c r="B381" s="38"/>
      <c r="C381" s="40" t="s">
        <v>85</v>
      </c>
      <c r="D381" s="40"/>
      <c r="E381" s="40"/>
      <c r="F381" s="40"/>
      <c r="G381" s="40"/>
      <c r="H381" s="40"/>
      <c r="I381" s="40"/>
      <c r="J381" s="254">
        <f>'Baseline Health'!G114</f>
        <v>7</v>
      </c>
      <c r="K381" s="41"/>
    </row>
    <row r="382" spans="2:11" x14ac:dyDescent="0.2">
      <c r="B382" s="38"/>
      <c r="C382" s="40" t="s">
        <v>297</v>
      </c>
      <c r="D382" s="40"/>
      <c r="E382" s="40"/>
      <c r="F382" s="40"/>
      <c r="G382" s="40"/>
      <c r="H382" s="40"/>
      <c r="I382" s="40"/>
      <c r="J382" s="266">
        <v>0</v>
      </c>
      <c r="K382" s="41"/>
    </row>
    <row r="383" spans="2:11" x14ac:dyDescent="0.2">
      <c r="B383" s="38"/>
      <c r="C383" s="40" t="s">
        <v>261</v>
      </c>
      <c r="D383" s="40"/>
      <c r="E383" s="40"/>
      <c r="F383" s="40"/>
      <c r="G383" s="40"/>
      <c r="H383" s="40"/>
      <c r="I383" s="40"/>
      <c r="J383" s="248">
        <f>IF((J382-J381)&lt;1,0,IF((J382-J381)&lt;3,1,IF((J382-J381)&lt;5,2,IF((J382-J381)&lt;7,3,4))))</f>
        <v>0</v>
      </c>
      <c r="K383" s="41"/>
    </row>
    <row r="384" spans="2:11" x14ac:dyDescent="0.2">
      <c r="B384" s="38"/>
      <c r="C384" s="40" t="s">
        <v>893</v>
      </c>
      <c r="D384" s="40"/>
      <c r="E384" s="40"/>
      <c r="F384" s="40"/>
      <c r="G384" s="40"/>
      <c r="H384" s="40"/>
      <c r="I384" s="40"/>
      <c r="J384" s="40"/>
      <c r="K384" s="41"/>
    </row>
    <row r="385" spans="2:11" ht="30" customHeight="1" x14ac:dyDescent="0.2">
      <c r="B385" s="38"/>
      <c r="C385" s="399"/>
      <c r="D385" s="400"/>
      <c r="E385" s="400"/>
      <c r="F385" s="400"/>
      <c r="G385" s="400"/>
      <c r="H385" s="400"/>
      <c r="I385" s="400"/>
      <c r="J385" s="401"/>
      <c r="K385" s="41"/>
    </row>
    <row r="386" spans="2:11" x14ac:dyDescent="0.2">
      <c r="B386" s="38"/>
      <c r="C386" s="40"/>
      <c r="D386" s="40"/>
      <c r="E386" s="40"/>
      <c r="F386" s="40"/>
      <c r="G386" s="40"/>
      <c r="H386" s="40"/>
      <c r="I386" s="40"/>
      <c r="J386" s="40"/>
      <c r="K386" s="41"/>
    </row>
    <row r="387" spans="2:11" x14ac:dyDescent="0.2">
      <c r="B387" s="38"/>
      <c r="C387" s="179" t="s">
        <v>889</v>
      </c>
      <c r="D387" s="40"/>
      <c r="E387" s="40"/>
      <c r="F387" s="40"/>
      <c r="G387" s="40"/>
      <c r="H387" s="40"/>
      <c r="I387" s="40"/>
      <c r="J387" s="245">
        <f>IF(OR(J375="Not Calculated",J383="Not Calculated")=TRUE,"Not Calculated",AVERAGE(J375,J383))</f>
        <v>2</v>
      </c>
      <c r="K387" s="41"/>
    </row>
    <row r="388" spans="2:11" x14ac:dyDescent="0.2">
      <c r="B388" s="38"/>
      <c r="C388" s="40"/>
      <c r="D388" s="40"/>
      <c r="E388" s="40"/>
      <c r="F388" s="40"/>
      <c r="G388" s="40"/>
      <c r="H388" s="40"/>
      <c r="I388" s="40"/>
      <c r="J388" s="40"/>
      <c r="K388" s="41"/>
    </row>
    <row r="389" spans="2:11" x14ac:dyDescent="0.2">
      <c r="B389" s="38"/>
      <c r="C389" s="40"/>
      <c r="D389" s="40"/>
      <c r="E389" s="40"/>
      <c r="F389" s="40"/>
      <c r="G389" s="40"/>
      <c r="H389" s="40"/>
      <c r="I389" s="40"/>
      <c r="J389" s="40"/>
      <c r="K389" s="41"/>
    </row>
    <row r="390" spans="2:11" ht="16" x14ac:dyDescent="0.2">
      <c r="B390" s="38"/>
      <c r="C390" s="45" t="s">
        <v>860</v>
      </c>
      <c r="D390" s="40"/>
      <c r="E390" s="40"/>
      <c r="F390" s="40"/>
      <c r="G390" s="40"/>
      <c r="H390" s="40"/>
      <c r="I390" s="40"/>
      <c r="J390" s="40"/>
      <c r="K390" s="41"/>
    </row>
    <row r="391" spans="2:11" x14ac:dyDescent="0.2">
      <c r="B391" s="38"/>
      <c r="C391" s="380" t="s">
        <v>849</v>
      </c>
      <c r="D391" s="380"/>
      <c r="E391" s="380"/>
      <c r="F391" s="380"/>
      <c r="G391" s="380"/>
      <c r="H391" s="380"/>
      <c r="I391" s="380"/>
      <c r="J391" s="181"/>
      <c r="K391" s="41"/>
    </row>
    <row r="392" spans="2:11" x14ac:dyDescent="0.2">
      <c r="B392" s="38"/>
      <c r="C392" s="380"/>
      <c r="D392" s="380"/>
      <c r="E392" s="380"/>
      <c r="F392" s="380"/>
      <c r="G392" s="380"/>
      <c r="H392" s="380"/>
      <c r="I392" s="380"/>
      <c r="J392" s="264">
        <v>0</v>
      </c>
      <c r="K392" s="41"/>
    </row>
    <row r="393" spans="2:11" x14ac:dyDescent="0.2">
      <c r="B393" s="38"/>
      <c r="C393" s="40" t="s">
        <v>853</v>
      </c>
      <c r="D393" s="291"/>
      <c r="E393" s="291"/>
      <c r="F393" s="291"/>
      <c r="G393" s="291"/>
      <c r="H393" s="291"/>
      <c r="I393" s="291"/>
      <c r="J393" s="255">
        <f>'Baseline Health'!$G$102</f>
        <v>0</v>
      </c>
      <c r="K393" s="41"/>
    </row>
    <row r="394" spans="2:11" ht="15" customHeight="1" x14ac:dyDescent="0.2">
      <c r="B394" s="38"/>
      <c r="C394" s="40" t="s">
        <v>850</v>
      </c>
      <c r="D394" s="291"/>
      <c r="E394" s="291"/>
      <c r="F394" s="291"/>
      <c r="G394" s="291"/>
      <c r="H394" s="291"/>
      <c r="I394" s="291"/>
      <c r="J394" s="244" t="str">
        <f>IF('Baseline Health'!$G$102=0,"Not Calculated",100*J392/'Baseline Health'!$G$102)</f>
        <v>Not Calculated</v>
      </c>
      <c r="K394" s="41"/>
    </row>
    <row r="395" spans="2:11" ht="15" customHeight="1" x14ac:dyDescent="0.2">
      <c r="B395" s="38"/>
      <c r="C395" s="40" t="s">
        <v>260</v>
      </c>
      <c r="D395" s="40"/>
      <c r="E395" s="40"/>
      <c r="F395" s="40"/>
      <c r="G395" s="40"/>
      <c r="H395" s="40"/>
      <c r="I395" s="40"/>
      <c r="J395" s="43">
        <f>IF(J394&lt;=0,0,IF(J394&lt;=1,1,IF(J394&lt;=5,2,IF(J394&lt;=10,3,4))))</f>
        <v>4</v>
      </c>
      <c r="K395" s="41"/>
    </row>
    <row r="396" spans="2:11" ht="9.75" customHeight="1" x14ac:dyDescent="0.2">
      <c r="B396" s="38"/>
      <c r="C396" s="279" t="str">
        <f>"0:"</f>
        <v>0:</v>
      </c>
      <c r="D396" s="278" t="s">
        <v>932</v>
      </c>
      <c r="E396" s="291"/>
      <c r="F396" s="291"/>
      <c r="G396" s="291"/>
      <c r="H396" s="291"/>
      <c r="I396" s="291"/>
      <c r="J396" s="244"/>
      <c r="K396" s="41"/>
    </row>
    <row r="397" spans="2:11" ht="9.75" customHeight="1" x14ac:dyDescent="0.2">
      <c r="B397" s="38"/>
      <c r="C397" s="280" t="str">
        <f>"1:"</f>
        <v>1:</v>
      </c>
      <c r="D397" s="278" t="s">
        <v>934</v>
      </c>
      <c r="E397" s="291"/>
      <c r="F397" s="291"/>
      <c r="G397" s="291"/>
      <c r="H397" s="291"/>
      <c r="I397" s="291"/>
      <c r="J397" s="244"/>
      <c r="K397" s="41"/>
    </row>
    <row r="398" spans="2:11" ht="9.75" customHeight="1" x14ac:dyDescent="0.2">
      <c r="B398" s="38"/>
      <c r="C398" s="280" t="str">
        <f>"2:"</f>
        <v>2:</v>
      </c>
      <c r="D398" s="278" t="s">
        <v>933</v>
      </c>
      <c r="E398" s="291"/>
      <c r="F398" s="291"/>
      <c r="G398" s="291"/>
      <c r="H398" s="291"/>
      <c r="I398" s="291"/>
      <c r="J398" s="244"/>
      <c r="K398" s="41"/>
    </row>
    <row r="399" spans="2:11" ht="9.75" customHeight="1" x14ac:dyDescent="0.2">
      <c r="B399" s="38"/>
      <c r="C399" s="280" t="str">
        <f>"3:"</f>
        <v>3:</v>
      </c>
      <c r="D399" s="278" t="s">
        <v>935</v>
      </c>
      <c r="E399" s="291"/>
      <c r="F399" s="291"/>
      <c r="G399" s="291"/>
      <c r="H399" s="291"/>
      <c r="I399" s="291"/>
      <c r="J399" s="244"/>
      <c r="K399" s="41"/>
    </row>
    <row r="400" spans="2:11" ht="9.75" customHeight="1" x14ac:dyDescent="0.2">
      <c r="B400" s="38"/>
      <c r="C400" s="280" t="str">
        <f>"4:"</f>
        <v>4:</v>
      </c>
      <c r="D400" s="278" t="s">
        <v>936</v>
      </c>
      <c r="E400" s="40"/>
      <c r="F400" s="40"/>
      <c r="G400" s="40"/>
      <c r="H400" s="40"/>
      <c r="I400" s="40"/>
      <c r="J400" s="40"/>
      <c r="K400" s="41"/>
    </row>
    <row r="401" spans="2:11" x14ac:dyDescent="0.2">
      <c r="B401" s="38"/>
      <c r="C401" s="40" t="s">
        <v>893</v>
      </c>
      <c r="D401" s="40"/>
      <c r="E401" s="40"/>
      <c r="F401" s="40"/>
      <c r="G401" s="40"/>
      <c r="H401" s="40"/>
      <c r="I401" s="40"/>
      <c r="J401" s="40"/>
      <c r="K401" s="41"/>
    </row>
    <row r="402" spans="2:11" ht="30" customHeight="1" x14ac:dyDescent="0.2">
      <c r="B402" s="38"/>
      <c r="C402" s="399"/>
      <c r="D402" s="400"/>
      <c r="E402" s="400"/>
      <c r="F402" s="400"/>
      <c r="G402" s="400"/>
      <c r="H402" s="400"/>
      <c r="I402" s="400"/>
      <c r="J402" s="401"/>
      <c r="K402" s="41"/>
    </row>
    <row r="403" spans="2:11" x14ac:dyDescent="0.2">
      <c r="B403" s="38"/>
      <c r="C403" s="40"/>
      <c r="D403" s="40"/>
      <c r="E403" s="40"/>
      <c r="F403" s="40"/>
      <c r="G403" s="40"/>
      <c r="H403" s="40"/>
      <c r="I403" s="40"/>
      <c r="J403" s="40"/>
      <c r="K403" s="41"/>
    </row>
    <row r="404" spans="2:11" x14ac:dyDescent="0.2">
      <c r="B404" s="38"/>
      <c r="C404" s="179" t="s">
        <v>890</v>
      </c>
      <c r="D404" s="40"/>
      <c r="E404" s="40"/>
      <c r="F404" s="40"/>
      <c r="G404" s="40"/>
      <c r="H404" s="40"/>
      <c r="I404" s="40"/>
      <c r="J404" s="245">
        <f>J395</f>
        <v>4</v>
      </c>
      <c r="K404" s="41"/>
    </row>
    <row r="405" spans="2:11" x14ac:dyDescent="0.2">
      <c r="B405" s="38"/>
      <c r="C405" s="40"/>
      <c r="D405" s="40"/>
      <c r="E405" s="40"/>
      <c r="F405" s="40"/>
      <c r="G405" s="40"/>
      <c r="H405" s="40"/>
      <c r="I405" s="40"/>
      <c r="J405" s="40"/>
      <c r="K405" s="41"/>
    </row>
    <row r="406" spans="2:11" x14ac:dyDescent="0.2">
      <c r="B406" s="38"/>
      <c r="C406" s="40"/>
      <c r="D406" s="40"/>
      <c r="E406" s="40"/>
      <c r="F406" s="40"/>
      <c r="G406" s="40"/>
      <c r="H406" s="40"/>
      <c r="I406" s="40"/>
      <c r="J406" s="40"/>
      <c r="K406" s="41"/>
    </row>
    <row r="407" spans="2:11" ht="16" x14ac:dyDescent="0.2">
      <c r="B407" s="38"/>
      <c r="C407" s="45" t="s">
        <v>861</v>
      </c>
      <c r="D407" s="40"/>
      <c r="E407" s="40"/>
      <c r="F407" s="40"/>
      <c r="G407" s="40"/>
      <c r="H407" s="40"/>
      <c r="I407" s="40"/>
      <c r="J407" s="40"/>
      <c r="K407" s="41"/>
    </row>
    <row r="408" spans="2:11" x14ac:dyDescent="0.2">
      <c r="B408" s="38"/>
      <c r="C408" s="40" t="s">
        <v>298</v>
      </c>
      <c r="D408" s="40"/>
      <c r="E408" s="40"/>
      <c r="F408" s="40"/>
      <c r="G408" s="40"/>
      <c r="H408" s="40"/>
      <c r="I408" s="40"/>
      <c r="J408" s="269">
        <v>0</v>
      </c>
      <c r="K408" s="41"/>
    </row>
    <row r="409" spans="2:11" x14ac:dyDescent="0.2">
      <c r="B409" s="38"/>
      <c r="C409" s="40" t="s">
        <v>260</v>
      </c>
      <c r="D409" s="40"/>
      <c r="E409" s="40"/>
      <c r="F409" s="40"/>
      <c r="G409" s="40"/>
      <c r="H409" s="40"/>
      <c r="I409" s="40"/>
      <c r="J409" s="253">
        <f>IF(J408&lt;=0,0,IF(J408&lt;=(J161*0.01),1,IF(J408&lt;=(J161*0.05),2,IF(J408&lt;=(J161*0.1),3,4))))</f>
        <v>0</v>
      </c>
      <c r="K409" s="41"/>
    </row>
    <row r="410" spans="2:11" ht="9.75" customHeight="1" x14ac:dyDescent="0.2">
      <c r="B410" s="38"/>
      <c r="C410" s="279" t="str">
        <f>"0:"</f>
        <v>0:</v>
      </c>
      <c r="D410" s="278" t="s">
        <v>939</v>
      </c>
      <c r="E410" s="40"/>
      <c r="F410" s="40"/>
      <c r="G410" s="40"/>
      <c r="H410" s="40"/>
      <c r="I410" s="40"/>
      <c r="J410" s="282"/>
      <c r="K410" s="41"/>
    </row>
    <row r="411" spans="2:11" ht="9.75" customHeight="1" x14ac:dyDescent="0.2">
      <c r="B411" s="38"/>
      <c r="C411" s="280" t="str">
        <f>"1:"</f>
        <v>1:</v>
      </c>
      <c r="D411" s="278" t="s">
        <v>940</v>
      </c>
      <c r="E411" s="40"/>
      <c r="F411" s="40"/>
      <c r="G411" s="40"/>
      <c r="H411" s="40"/>
      <c r="I411" s="40"/>
      <c r="J411" s="282"/>
      <c r="K411" s="41"/>
    </row>
    <row r="412" spans="2:11" ht="9.75" customHeight="1" x14ac:dyDescent="0.2">
      <c r="B412" s="38"/>
      <c r="C412" s="280" t="str">
        <f>"2:"</f>
        <v>2:</v>
      </c>
      <c r="D412" s="278" t="s">
        <v>941</v>
      </c>
      <c r="E412" s="40"/>
      <c r="F412" s="40"/>
      <c r="G412" s="40"/>
      <c r="H412" s="40"/>
      <c r="I412" s="40"/>
      <c r="J412" s="282"/>
      <c r="K412" s="41"/>
    </row>
    <row r="413" spans="2:11" ht="9.75" customHeight="1" x14ac:dyDescent="0.2">
      <c r="B413" s="38"/>
      <c r="C413" s="280" t="str">
        <f>"3:"</f>
        <v>3:</v>
      </c>
      <c r="D413" s="278" t="s">
        <v>942</v>
      </c>
      <c r="E413" s="40"/>
      <c r="F413" s="40"/>
      <c r="G413" s="40"/>
      <c r="H413" s="40"/>
      <c r="I413" s="40"/>
      <c r="J413" s="282"/>
      <c r="K413" s="41"/>
    </row>
    <row r="414" spans="2:11" ht="9.75" customHeight="1" x14ac:dyDescent="0.2">
      <c r="B414" s="38"/>
      <c r="C414" s="280" t="str">
        <f>"4:"</f>
        <v>4:</v>
      </c>
      <c r="D414" s="278" t="s">
        <v>943</v>
      </c>
      <c r="E414" s="40"/>
      <c r="F414" s="40"/>
      <c r="G414" s="40"/>
      <c r="H414" s="40"/>
      <c r="I414" s="40"/>
      <c r="J414" s="40"/>
      <c r="K414" s="41"/>
    </row>
    <row r="415" spans="2:11" x14ac:dyDescent="0.2">
      <c r="B415" s="38"/>
      <c r="C415" s="40" t="s">
        <v>893</v>
      </c>
      <c r="D415" s="40"/>
      <c r="E415" s="40"/>
      <c r="F415" s="40"/>
      <c r="G415" s="40"/>
      <c r="H415" s="40"/>
      <c r="I415" s="40"/>
      <c r="J415" s="40"/>
      <c r="K415" s="41"/>
    </row>
    <row r="416" spans="2:11" ht="30" customHeight="1" x14ac:dyDescent="0.2">
      <c r="B416" s="38"/>
      <c r="C416" s="399"/>
      <c r="D416" s="400"/>
      <c r="E416" s="400"/>
      <c r="F416" s="400"/>
      <c r="G416" s="400"/>
      <c r="H416" s="400"/>
      <c r="I416" s="400"/>
      <c r="J416" s="401"/>
      <c r="K416" s="41"/>
    </row>
    <row r="417" spans="2:11" x14ac:dyDescent="0.2">
      <c r="B417" s="38"/>
      <c r="C417" s="40"/>
      <c r="D417" s="40"/>
      <c r="E417" s="40"/>
      <c r="F417" s="40"/>
      <c r="G417" s="40"/>
      <c r="H417" s="40"/>
      <c r="I417" s="40"/>
      <c r="J417" s="40"/>
      <c r="K417" s="41"/>
    </row>
    <row r="418" spans="2:11" x14ac:dyDescent="0.2">
      <c r="B418" s="38"/>
      <c r="C418" s="179" t="s">
        <v>891</v>
      </c>
      <c r="D418" s="40"/>
      <c r="E418" s="40"/>
      <c r="F418" s="40"/>
      <c r="G418" s="40"/>
      <c r="H418" s="40"/>
      <c r="I418" s="40"/>
      <c r="J418" s="245">
        <f>J409</f>
        <v>0</v>
      </c>
      <c r="K418" s="41"/>
    </row>
    <row r="419" spans="2:11" x14ac:dyDescent="0.2">
      <c r="B419" s="38"/>
      <c r="C419" s="40"/>
      <c r="D419" s="40"/>
      <c r="E419" s="40"/>
      <c r="F419" s="40"/>
      <c r="G419" s="40"/>
      <c r="H419" s="40"/>
      <c r="I419" s="40"/>
      <c r="J419" s="40"/>
      <c r="K419" s="41"/>
    </row>
    <row r="420" spans="2:11" x14ac:dyDescent="0.2">
      <c r="B420" s="38"/>
      <c r="C420" s="410" t="s">
        <v>881</v>
      </c>
      <c r="D420" s="410"/>
      <c r="E420" s="410"/>
      <c r="F420" s="410"/>
      <c r="G420" s="410"/>
      <c r="H420" s="410"/>
      <c r="I420" s="410"/>
      <c r="J420" s="40"/>
      <c r="K420" s="41"/>
    </row>
    <row r="421" spans="2:11" x14ac:dyDescent="0.2">
      <c r="B421" s="38"/>
      <c r="C421" s="410"/>
      <c r="D421" s="410"/>
      <c r="E421" s="410"/>
      <c r="F421" s="410"/>
      <c r="G421" s="410"/>
      <c r="H421" s="410"/>
      <c r="I421" s="410"/>
      <c r="J421" s="244">
        <f>IF(OR(J288="Not Calculated",J307="Not Calculated",J326="Not Calculated",J349="Not Calculated",J367="Not Calculated",J387="Not Calculated",J404="Not Calculated",J418="Not Calculated")=TRUE,"Not Calculated",AVERAGE(J288,J307,J326,J349,J367,J387,J404,J418))</f>
        <v>1.75</v>
      </c>
      <c r="K421" s="41"/>
    </row>
    <row r="422" spans="2:11" ht="16" thickBot="1" x14ac:dyDescent="0.25">
      <c r="B422" s="46"/>
      <c r="C422" s="47"/>
      <c r="D422" s="47"/>
      <c r="E422" s="47"/>
      <c r="F422" s="47"/>
      <c r="G422" s="47"/>
      <c r="H422" s="47"/>
      <c r="I422" s="47"/>
      <c r="J422" s="47"/>
      <c r="K422" s="49"/>
    </row>
    <row r="423" spans="2:11" ht="16" thickBot="1" x14ac:dyDescent="0.25"/>
    <row r="424" spans="2:11" x14ac:dyDescent="0.2">
      <c r="B424" s="33"/>
      <c r="C424" s="34"/>
      <c r="D424" s="34"/>
      <c r="E424" s="34"/>
      <c r="F424" s="34"/>
      <c r="G424" s="34"/>
      <c r="H424" s="34"/>
      <c r="I424" s="34"/>
      <c r="J424" s="34"/>
      <c r="K424" s="37"/>
    </row>
    <row r="425" spans="2:11" ht="21" x14ac:dyDescent="0.25">
      <c r="B425" s="38"/>
      <c r="C425" s="40"/>
      <c r="D425" s="40"/>
      <c r="E425" s="40"/>
      <c r="F425" s="40"/>
      <c r="G425" s="172" t="s">
        <v>230</v>
      </c>
      <c r="H425" s="40"/>
      <c r="I425" s="40"/>
      <c r="J425" s="40"/>
      <c r="K425" s="41"/>
    </row>
    <row r="426" spans="2:11" x14ac:dyDescent="0.2">
      <c r="B426" s="38"/>
      <c r="C426" s="40"/>
      <c r="D426" s="40"/>
      <c r="E426" s="40"/>
      <c r="F426" s="40"/>
      <c r="G426" s="40"/>
      <c r="H426" s="40"/>
      <c r="I426" s="40"/>
      <c r="J426" s="40"/>
      <c r="K426" s="41"/>
    </row>
    <row r="427" spans="2:11" ht="16" x14ac:dyDescent="0.2">
      <c r="B427" s="38"/>
      <c r="C427" s="45" t="s">
        <v>299</v>
      </c>
      <c r="D427" s="40"/>
      <c r="E427" s="40"/>
      <c r="F427" s="40"/>
      <c r="G427" s="40"/>
      <c r="H427" s="40"/>
      <c r="I427" s="40"/>
      <c r="J427" s="40"/>
      <c r="K427" s="41"/>
    </row>
    <row r="428" spans="2:11" x14ac:dyDescent="0.2">
      <c r="B428" s="38"/>
      <c r="C428" s="40" t="s">
        <v>300</v>
      </c>
      <c r="D428" s="40"/>
      <c r="E428" s="40"/>
      <c r="F428" s="40"/>
      <c r="G428" s="40"/>
      <c r="H428" s="40"/>
      <c r="I428" s="40"/>
      <c r="J428" s="270">
        <v>0</v>
      </c>
      <c r="K428" s="41"/>
    </row>
    <row r="429" spans="2:11" x14ac:dyDescent="0.2">
      <c r="B429" s="38"/>
      <c r="C429" s="40" t="s">
        <v>260</v>
      </c>
      <c r="D429" s="40"/>
      <c r="E429" s="40"/>
      <c r="F429" s="40"/>
      <c r="G429" s="40"/>
      <c r="H429" s="40"/>
      <c r="I429" s="40"/>
      <c r="J429" s="248">
        <f>IF(J428&lt;=0,0,IF(J428&lt;=1,1,IF(J428&lt;=5,2,IF(J428&lt;=10,3,4))))</f>
        <v>0</v>
      </c>
      <c r="K429" s="41"/>
    </row>
    <row r="430" spans="2:11" s="98" customFormat="1" ht="9.75" customHeight="1" x14ac:dyDescent="0.2">
      <c r="B430" s="288"/>
      <c r="C430" s="279" t="str">
        <f>"0:"</f>
        <v>0:</v>
      </c>
      <c r="D430" s="290" t="s">
        <v>944</v>
      </c>
      <c r="E430" s="245"/>
      <c r="F430" s="245"/>
      <c r="G430" s="245"/>
      <c r="H430" s="245"/>
      <c r="I430" s="245"/>
      <c r="J430" s="245"/>
      <c r="K430" s="289"/>
    </row>
    <row r="431" spans="2:11" s="98" customFormat="1" ht="9.75" customHeight="1" x14ac:dyDescent="0.2">
      <c r="B431" s="288"/>
      <c r="C431" s="280" t="str">
        <f>"1:"</f>
        <v>1:</v>
      </c>
      <c r="D431" s="290" t="s">
        <v>945</v>
      </c>
      <c r="E431" s="245"/>
      <c r="F431" s="245"/>
      <c r="G431" s="245"/>
      <c r="H431" s="245"/>
      <c r="I431" s="245"/>
      <c r="J431" s="245"/>
      <c r="K431" s="289"/>
    </row>
    <row r="432" spans="2:11" s="98" customFormat="1" ht="9.75" customHeight="1" x14ac:dyDescent="0.2">
      <c r="B432" s="288"/>
      <c r="C432" s="280" t="str">
        <f>"2:"</f>
        <v>2:</v>
      </c>
      <c r="D432" s="290" t="s">
        <v>946</v>
      </c>
      <c r="E432" s="245"/>
      <c r="F432" s="245"/>
      <c r="G432" s="245"/>
      <c r="H432" s="245"/>
      <c r="I432" s="245"/>
      <c r="J432" s="245"/>
      <c r="K432" s="289"/>
    </row>
    <row r="433" spans="2:11" s="98" customFormat="1" ht="9.75" customHeight="1" x14ac:dyDescent="0.2">
      <c r="B433" s="288"/>
      <c r="C433" s="280" t="str">
        <f>"3:"</f>
        <v>3:</v>
      </c>
      <c r="D433" s="290" t="s">
        <v>947</v>
      </c>
      <c r="E433" s="245"/>
      <c r="F433" s="245"/>
      <c r="G433" s="245"/>
      <c r="H433" s="245"/>
      <c r="I433" s="245"/>
      <c r="J433" s="245"/>
      <c r="K433" s="289"/>
    </row>
    <row r="434" spans="2:11" s="98" customFormat="1" ht="9.75" customHeight="1" x14ac:dyDescent="0.2">
      <c r="B434" s="288"/>
      <c r="C434" s="280" t="str">
        <f>"4:"</f>
        <v>4:</v>
      </c>
      <c r="D434" s="290" t="s">
        <v>948</v>
      </c>
      <c r="E434" s="245"/>
      <c r="F434" s="245"/>
      <c r="G434" s="245"/>
      <c r="H434" s="245"/>
      <c r="I434" s="245"/>
      <c r="J434" s="247"/>
      <c r="K434" s="289"/>
    </row>
    <row r="435" spans="2:11" x14ac:dyDescent="0.2">
      <c r="B435" s="38"/>
      <c r="C435" s="40" t="s">
        <v>257</v>
      </c>
      <c r="D435" s="40"/>
      <c r="E435" s="40"/>
      <c r="F435" s="40"/>
      <c r="G435" s="40"/>
      <c r="H435" s="40"/>
      <c r="I435" s="40"/>
      <c r="J435" s="266" t="s">
        <v>870</v>
      </c>
      <c r="K435" s="41"/>
    </row>
    <row r="436" spans="2:11" x14ac:dyDescent="0.2">
      <c r="B436" s="38"/>
      <c r="C436" s="40" t="s">
        <v>261</v>
      </c>
      <c r="D436" s="40"/>
      <c r="E436" s="40"/>
      <c r="F436" s="40"/>
      <c r="G436" s="40"/>
      <c r="H436" s="40"/>
      <c r="I436" s="40"/>
      <c r="J436" s="248">
        <f>IF(J435=$B$973,$A$973,IF(J435=$B$974,$A$974,IF(J435=$B$975,$A$975,IF(J435=$B$976,$A$976,IF(J435=$B$977,$A$977,"Not Calculated")))))</f>
        <v>0</v>
      </c>
      <c r="K436" s="41"/>
    </row>
    <row r="437" spans="2:11" x14ac:dyDescent="0.2">
      <c r="B437" s="38"/>
      <c r="C437" s="40" t="s">
        <v>893</v>
      </c>
      <c r="D437" s="40"/>
      <c r="E437" s="40"/>
      <c r="F437" s="40"/>
      <c r="G437" s="40"/>
      <c r="H437" s="40"/>
      <c r="I437" s="40"/>
      <c r="J437" s="40"/>
      <c r="K437" s="41"/>
    </row>
    <row r="438" spans="2:11" ht="30" customHeight="1" x14ac:dyDescent="0.2">
      <c r="B438" s="38"/>
      <c r="C438" s="399"/>
      <c r="D438" s="400"/>
      <c r="E438" s="400"/>
      <c r="F438" s="400"/>
      <c r="G438" s="400"/>
      <c r="H438" s="400"/>
      <c r="I438" s="400"/>
      <c r="J438" s="401"/>
      <c r="K438" s="41"/>
    </row>
    <row r="439" spans="2:11" x14ac:dyDescent="0.2">
      <c r="B439" s="38"/>
      <c r="C439" s="40"/>
      <c r="D439" s="40"/>
      <c r="E439" s="40"/>
      <c r="F439" s="40"/>
      <c r="G439" s="40"/>
      <c r="H439" s="40"/>
      <c r="I439" s="40"/>
      <c r="J439" s="40"/>
      <c r="K439" s="41"/>
    </row>
    <row r="440" spans="2:11" x14ac:dyDescent="0.2">
      <c r="B440" s="38"/>
      <c r="C440" s="179" t="s">
        <v>301</v>
      </c>
      <c r="D440" s="40"/>
      <c r="E440" s="40"/>
      <c r="F440" s="40"/>
      <c r="G440" s="40"/>
      <c r="H440" s="40"/>
      <c r="I440" s="40"/>
      <c r="J440" s="245">
        <f>IF(OR(J429="Not Calculated",J436="Not Calculated")=TRUE,"Not Calculated",AVERAGE(J429,J436))</f>
        <v>0</v>
      </c>
      <c r="K440" s="41"/>
    </row>
    <row r="441" spans="2:11" x14ac:dyDescent="0.2">
      <c r="B441" s="38"/>
      <c r="C441" s="40"/>
      <c r="D441" s="40"/>
      <c r="E441" s="40"/>
      <c r="F441" s="40"/>
      <c r="G441" s="40"/>
      <c r="H441" s="40"/>
      <c r="I441" s="40"/>
      <c r="J441" s="40"/>
      <c r="K441" s="41"/>
    </row>
    <row r="442" spans="2:11" x14ac:dyDescent="0.2">
      <c r="B442" s="38"/>
      <c r="C442" s="40"/>
      <c r="D442" s="40"/>
      <c r="E442" s="40"/>
      <c r="F442" s="40"/>
      <c r="G442" s="40"/>
      <c r="H442" s="40"/>
      <c r="I442" s="40"/>
      <c r="J442" s="40"/>
      <c r="K442" s="41"/>
    </row>
    <row r="443" spans="2:11" ht="16" x14ac:dyDescent="0.2">
      <c r="B443" s="38"/>
      <c r="C443" s="45" t="s">
        <v>303</v>
      </c>
      <c r="D443" s="40"/>
      <c r="E443" s="40"/>
      <c r="F443" s="40"/>
      <c r="G443" s="40"/>
      <c r="H443" s="40"/>
      <c r="I443" s="40"/>
      <c r="J443" s="40"/>
      <c r="K443" s="41"/>
    </row>
    <row r="444" spans="2:11" ht="15" customHeight="1" x14ac:dyDescent="0.2">
      <c r="B444" s="38"/>
      <c r="C444" s="380" t="s">
        <v>305</v>
      </c>
      <c r="D444" s="380"/>
      <c r="E444" s="380"/>
      <c r="F444" s="380"/>
      <c r="G444" s="380"/>
      <c r="H444" s="380"/>
      <c r="I444" s="380"/>
      <c r="J444" s="40"/>
      <c r="K444" s="41"/>
    </row>
    <row r="445" spans="2:11" x14ac:dyDescent="0.2">
      <c r="B445" s="38"/>
      <c r="C445" s="380"/>
      <c r="D445" s="380"/>
      <c r="E445" s="380"/>
      <c r="F445" s="380"/>
      <c r="G445" s="380"/>
      <c r="H445" s="380"/>
      <c r="I445" s="380"/>
      <c r="J445" s="270">
        <v>0</v>
      </c>
      <c r="K445" s="41"/>
    </row>
    <row r="446" spans="2:11" x14ac:dyDescent="0.2">
      <c r="B446" s="38"/>
      <c r="C446" s="40" t="s">
        <v>260</v>
      </c>
      <c r="D446" s="40"/>
      <c r="E446" s="40"/>
      <c r="F446" s="40"/>
      <c r="G446" s="40"/>
      <c r="H446" s="40"/>
      <c r="I446" s="40"/>
      <c r="J446" s="248">
        <f>IF(J445&lt;=0,0,IF(J445&lt;=1,1,IF(J445&lt;=5,2,IF(J445&lt;=10,3,4))))</f>
        <v>0</v>
      </c>
      <c r="K446" s="41"/>
    </row>
    <row r="447" spans="2:11" ht="9.75" customHeight="1" x14ac:dyDescent="0.2">
      <c r="B447" s="38"/>
      <c r="C447" s="279" t="str">
        <f>"0:"</f>
        <v>0:</v>
      </c>
      <c r="D447" s="278" t="s">
        <v>944</v>
      </c>
      <c r="E447" s="40"/>
      <c r="F447" s="40"/>
      <c r="G447" s="40"/>
      <c r="H447" s="40"/>
      <c r="I447" s="40"/>
      <c r="J447" s="245"/>
      <c r="K447" s="41"/>
    </row>
    <row r="448" spans="2:11" ht="9.75" customHeight="1" x14ac:dyDescent="0.2">
      <c r="B448" s="38"/>
      <c r="C448" s="280" t="str">
        <f>"1:"</f>
        <v>1:</v>
      </c>
      <c r="D448" s="278" t="s">
        <v>945</v>
      </c>
      <c r="E448" s="40"/>
      <c r="F448" s="40"/>
      <c r="G448" s="40"/>
      <c r="H448" s="40"/>
      <c r="I448" s="40"/>
      <c r="J448" s="245"/>
      <c r="K448" s="41"/>
    </row>
    <row r="449" spans="2:11" ht="9.75" customHeight="1" x14ac:dyDescent="0.2">
      <c r="B449" s="38"/>
      <c r="C449" s="280" t="str">
        <f>"2:"</f>
        <v>2:</v>
      </c>
      <c r="D449" s="278" t="s">
        <v>946</v>
      </c>
      <c r="E449" s="40"/>
      <c r="F449" s="40"/>
      <c r="G449" s="40"/>
      <c r="H449" s="40"/>
      <c r="I449" s="40"/>
      <c r="J449" s="245"/>
      <c r="K449" s="41"/>
    </row>
    <row r="450" spans="2:11" ht="9.75" customHeight="1" x14ac:dyDescent="0.2">
      <c r="B450" s="38"/>
      <c r="C450" s="280" t="str">
        <f>"3:"</f>
        <v>3:</v>
      </c>
      <c r="D450" s="278" t="s">
        <v>947</v>
      </c>
      <c r="E450" s="40"/>
      <c r="F450" s="40"/>
      <c r="G450" s="40"/>
      <c r="H450" s="40"/>
      <c r="I450" s="40"/>
      <c r="J450" s="245"/>
      <c r="K450" s="41"/>
    </row>
    <row r="451" spans="2:11" ht="9.75" customHeight="1" x14ac:dyDescent="0.2">
      <c r="B451" s="38"/>
      <c r="C451" s="280" t="str">
        <f>"4:"</f>
        <v>4:</v>
      </c>
      <c r="D451" s="278" t="s">
        <v>948</v>
      </c>
      <c r="E451" s="40"/>
      <c r="F451" s="40"/>
      <c r="G451" s="40"/>
      <c r="H451" s="40"/>
      <c r="I451" s="40"/>
      <c r="J451" s="247"/>
      <c r="K451" s="41"/>
    </row>
    <row r="452" spans="2:11" x14ac:dyDescent="0.2">
      <c r="B452" s="38"/>
      <c r="C452" s="40" t="s">
        <v>257</v>
      </c>
      <c r="D452" s="40"/>
      <c r="E452" s="40"/>
      <c r="F452" s="40"/>
      <c r="G452" s="40"/>
      <c r="H452" s="40"/>
      <c r="I452" s="40"/>
      <c r="J452" s="266" t="s">
        <v>870</v>
      </c>
      <c r="K452" s="41"/>
    </row>
    <row r="453" spans="2:11" x14ac:dyDescent="0.2">
      <c r="B453" s="38"/>
      <c r="C453" s="40" t="s">
        <v>261</v>
      </c>
      <c r="D453" s="40"/>
      <c r="E453" s="40"/>
      <c r="F453" s="40"/>
      <c r="G453" s="40"/>
      <c r="H453" s="40"/>
      <c r="I453" s="40"/>
      <c r="J453" s="248">
        <f>IF(J452=$B$973,$A$973,IF(J452=$B$974,$A$974,IF(J452=$B$975,$A$975,IF(J452=$B$976,$A$976,IF(J452=$B$977,$A$977,"Not Calculated")))))</f>
        <v>0</v>
      </c>
      <c r="K453" s="41"/>
    </row>
    <row r="454" spans="2:11" x14ac:dyDescent="0.2">
      <c r="B454" s="38"/>
      <c r="C454" s="40" t="s">
        <v>893</v>
      </c>
      <c r="D454" s="40"/>
      <c r="E454" s="40"/>
      <c r="F454" s="40"/>
      <c r="G454" s="40"/>
      <c r="H454" s="40"/>
      <c r="I454" s="40"/>
      <c r="J454" s="40"/>
      <c r="K454" s="41"/>
    </row>
    <row r="455" spans="2:11" ht="30" customHeight="1" x14ac:dyDescent="0.2">
      <c r="B455" s="38"/>
      <c r="C455" s="399"/>
      <c r="D455" s="400"/>
      <c r="E455" s="400"/>
      <c r="F455" s="400"/>
      <c r="G455" s="400"/>
      <c r="H455" s="400"/>
      <c r="I455" s="400"/>
      <c r="J455" s="401"/>
      <c r="K455" s="41"/>
    </row>
    <row r="456" spans="2:11" x14ac:dyDescent="0.2">
      <c r="B456" s="38"/>
      <c r="C456" s="40"/>
      <c r="D456" s="40"/>
      <c r="E456" s="40"/>
      <c r="F456" s="40"/>
      <c r="G456" s="40"/>
      <c r="H456" s="40"/>
      <c r="I456" s="40"/>
      <c r="J456" s="40"/>
      <c r="K456" s="41"/>
    </row>
    <row r="457" spans="2:11" x14ac:dyDescent="0.2">
      <c r="B457" s="38"/>
      <c r="C457" s="179" t="s">
        <v>304</v>
      </c>
      <c r="D457" s="40"/>
      <c r="E457" s="40"/>
      <c r="F457" s="40"/>
      <c r="G457" s="40"/>
      <c r="H457" s="40"/>
      <c r="I457" s="40"/>
      <c r="J457" s="245">
        <f>IF(OR(J446="Not Calculated",J453="Not Calculated")=TRUE,"Not Calculated",AVERAGE(J446,J453))</f>
        <v>0</v>
      </c>
      <c r="K457" s="41"/>
    </row>
    <row r="458" spans="2:11" x14ac:dyDescent="0.2">
      <c r="B458" s="38"/>
      <c r="C458" s="40"/>
      <c r="D458" s="40"/>
      <c r="E458" s="40"/>
      <c r="F458" s="40"/>
      <c r="G458" s="40"/>
      <c r="H458" s="40"/>
      <c r="I458" s="40"/>
      <c r="J458" s="40"/>
      <c r="K458" s="41"/>
    </row>
    <row r="459" spans="2:11" x14ac:dyDescent="0.2">
      <c r="B459" s="38"/>
      <c r="C459" s="40"/>
      <c r="D459" s="40"/>
      <c r="E459" s="40"/>
      <c r="F459" s="40"/>
      <c r="G459" s="40"/>
      <c r="H459" s="40"/>
      <c r="I459" s="40"/>
      <c r="J459" s="40"/>
      <c r="K459" s="41"/>
    </row>
    <row r="460" spans="2:11" ht="16" x14ac:dyDescent="0.2">
      <c r="B460" s="38"/>
      <c r="C460" s="45" t="s">
        <v>306</v>
      </c>
      <c r="D460" s="40"/>
      <c r="E460" s="40"/>
      <c r="F460" s="40"/>
      <c r="G460" s="40"/>
      <c r="H460" s="40"/>
      <c r="I460" s="40"/>
      <c r="J460" s="40"/>
      <c r="K460" s="41"/>
    </row>
    <row r="461" spans="2:11" x14ac:dyDescent="0.2">
      <c r="B461" s="38"/>
      <c r="C461" s="40" t="s">
        <v>949</v>
      </c>
      <c r="D461" s="40"/>
      <c r="E461" s="40"/>
      <c r="F461" s="40"/>
      <c r="G461" s="40"/>
      <c r="H461" s="40"/>
      <c r="I461" s="40"/>
      <c r="J461" s="270">
        <v>0</v>
      </c>
      <c r="K461" s="41"/>
    </row>
    <row r="462" spans="2:11" x14ac:dyDescent="0.2">
      <c r="B462" s="38"/>
      <c r="C462" s="40" t="s">
        <v>260</v>
      </c>
      <c r="D462" s="40"/>
      <c r="E462" s="40"/>
      <c r="F462" s="40"/>
      <c r="G462" s="40"/>
      <c r="H462" s="40"/>
      <c r="I462" s="40"/>
      <c r="J462" s="248">
        <f>IF(J461&lt;=0,0,IF(J461&lt;=1,1,IF(J461&lt;=5,2,IF(J461&lt;=10,3,4))))</f>
        <v>0</v>
      </c>
      <c r="K462" s="41"/>
    </row>
    <row r="463" spans="2:11" ht="9.75" customHeight="1" x14ac:dyDescent="0.2">
      <c r="B463" s="38"/>
      <c r="C463" s="279" t="str">
        <f>"0:"</f>
        <v>0:</v>
      </c>
      <c r="D463" s="290" t="s">
        <v>944</v>
      </c>
      <c r="E463" s="40"/>
      <c r="F463" s="40"/>
      <c r="G463" s="40"/>
      <c r="H463" s="40"/>
      <c r="I463" s="40"/>
      <c r="J463" s="245"/>
      <c r="K463" s="41"/>
    </row>
    <row r="464" spans="2:11" ht="9.75" customHeight="1" x14ac:dyDescent="0.2">
      <c r="B464" s="38"/>
      <c r="C464" s="280" t="str">
        <f>"1:"</f>
        <v>1:</v>
      </c>
      <c r="D464" s="290" t="s">
        <v>945</v>
      </c>
      <c r="E464" s="40"/>
      <c r="F464" s="40"/>
      <c r="G464" s="40"/>
      <c r="H464" s="40"/>
      <c r="I464" s="40"/>
      <c r="J464" s="245"/>
      <c r="K464" s="41"/>
    </row>
    <row r="465" spans="2:11" ht="9.75" customHeight="1" x14ac:dyDescent="0.2">
      <c r="B465" s="38"/>
      <c r="C465" s="280" t="str">
        <f>"2:"</f>
        <v>2:</v>
      </c>
      <c r="D465" s="290" t="s">
        <v>946</v>
      </c>
      <c r="E465" s="40"/>
      <c r="F465" s="40"/>
      <c r="G465" s="40"/>
      <c r="H465" s="40"/>
      <c r="I465" s="40"/>
      <c r="J465" s="245"/>
      <c r="K465" s="41"/>
    </row>
    <row r="466" spans="2:11" ht="9.75" customHeight="1" x14ac:dyDescent="0.2">
      <c r="B466" s="38"/>
      <c r="C466" s="280" t="str">
        <f>"3:"</f>
        <v>3:</v>
      </c>
      <c r="D466" s="290" t="s">
        <v>947</v>
      </c>
      <c r="E466" s="40"/>
      <c r="F466" s="40"/>
      <c r="G466" s="40"/>
      <c r="H466" s="40"/>
      <c r="I466" s="40"/>
      <c r="J466" s="245"/>
      <c r="K466" s="41"/>
    </row>
    <row r="467" spans="2:11" ht="9.75" customHeight="1" x14ac:dyDescent="0.2">
      <c r="B467" s="38"/>
      <c r="C467" s="280" t="str">
        <f>"4:"</f>
        <v>4:</v>
      </c>
      <c r="D467" s="290" t="s">
        <v>948</v>
      </c>
      <c r="E467" s="40"/>
      <c r="F467" s="40"/>
      <c r="G467" s="40"/>
      <c r="H467" s="40"/>
      <c r="I467" s="40"/>
      <c r="J467" s="247"/>
      <c r="K467" s="41"/>
    </row>
    <row r="468" spans="2:11" x14ac:dyDescent="0.2">
      <c r="B468" s="38"/>
      <c r="C468" s="40" t="s">
        <v>257</v>
      </c>
      <c r="D468" s="40"/>
      <c r="E468" s="40"/>
      <c r="F468" s="40"/>
      <c r="G468" s="40"/>
      <c r="H468" s="40"/>
      <c r="I468" s="40"/>
      <c r="J468" s="266" t="s">
        <v>870</v>
      </c>
      <c r="K468" s="41"/>
    </row>
    <row r="469" spans="2:11" ht="15" customHeight="1" x14ac:dyDescent="0.2">
      <c r="B469" s="38"/>
      <c r="C469" s="40" t="s">
        <v>261</v>
      </c>
      <c r="D469" s="40"/>
      <c r="E469" s="40"/>
      <c r="F469" s="40"/>
      <c r="G469" s="40"/>
      <c r="H469" s="40"/>
      <c r="I469" s="40"/>
      <c r="J469" s="248">
        <f>IF(J468=$B$973,$A$973,IF(J468=$B$974,$A$974,IF(J468=$B$975,$A$975,IF(J468=$B$976,$A$976,IF(J468=$B$977,$A$977,"Not Calculated")))))</f>
        <v>0</v>
      </c>
      <c r="K469" s="41"/>
    </row>
    <row r="470" spans="2:11" x14ac:dyDescent="0.2">
      <c r="B470" s="38"/>
      <c r="C470" s="40" t="s">
        <v>893</v>
      </c>
      <c r="D470" s="40"/>
      <c r="E470" s="40"/>
      <c r="F470" s="40"/>
      <c r="G470" s="40"/>
      <c r="H470" s="40"/>
      <c r="I470" s="40"/>
      <c r="J470" s="40"/>
      <c r="K470" s="41"/>
    </row>
    <row r="471" spans="2:11" ht="30" customHeight="1" x14ac:dyDescent="0.2">
      <c r="B471" s="38"/>
      <c r="C471" s="399"/>
      <c r="D471" s="400"/>
      <c r="E471" s="400"/>
      <c r="F471" s="400"/>
      <c r="G471" s="400"/>
      <c r="H471" s="400"/>
      <c r="I471" s="400"/>
      <c r="J471" s="401"/>
      <c r="K471" s="41"/>
    </row>
    <row r="472" spans="2:11" x14ac:dyDescent="0.2">
      <c r="B472" s="38"/>
      <c r="C472" s="40"/>
      <c r="D472" s="40"/>
      <c r="E472" s="40"/>
      <c r="F472" s="40"/>
      <c r="G472" s="40"/>
      <c r="H472" s="40"/>
      <c r="I472" s="40"/>
      <c r="J472" s="40"/>
      <c r="K472" s="41"/>
    </row>
    <row r="473" spans="2:11" x14ac:dyDescent="0.2">
      <c r="B473" s="38"/>
      <c r="C473" s="179" t="s">
        <v>307</v>
      </c>
      <c r="D473" s="40"/>
      <c r="E473" s="40"/>
      <c r="F473" s="40"/>
      <c r="G473" s="40"/>
      <c r="H473" s="40"/>
      <c r="I473" s="40"/>
      <c r="J473" s="245">
        <f>IF(OR(J462="Not Calculated",J469="Not Calculated")=TRUE,"Not Calculated",AVERAGE(J462,J469))</f>
        <v>0</v>
      </c>
      <c r="K473" s="41"/>
    </row>
    <row r="474" spans="2:11" x14ac:dyDescent="0.2">
      <c r="B474" s="38"/>
      <c r="C474" s="40"/>
      <c r="D474" s="40"/>
      <c r="E474" s="40"/>
      <c r="F474" s="40"/>
      <c r="G474" s="40"/>
      <c r="H474" s="40"/>
      <c r="I474" s="40"/>
      <c r="J474" s="40"/>
      <c r="K474" s="41"/>
    </row>
    <row r="475" spans="2:11" x14ac:dyDescent="0.2">
      <c r="B475" s="38"/>
      <c r="C475" s="40"/>
      <c r="D475" s="40"/>
      <c r="E475" s="40"/>
      <c r="F475" s="40"/>
      <c r="G475" s="40"/>
      <c r="H475" s="40"/>
      <c r="I475" s="40"/>
      <c r="J475" s="40"/>
      <c r="K475" s="41"/>
    </row>
    <row r="476" spans="2:11" ht="16" x14ac:dyDescent="0.2">
      <c r="B476" s="38"/>
      <c r="C476" s="45" t="s">
        <v>308</v>
      </c>
      <c r="D476" s="40"/>
      <c r="E476" s="40"/>
      <c r="F476" s="40"/>
      <c r="G476" s="40"/>
      <c r="H476" s="40"/>
      <c r="I476" s="40"/>
      <c r="J476" s="40"/>
      <c r="K476" s="41"/>
    </row>
    <row r="477" spans="2:11" ht="15" customHeight="1" x14ac:dyDescent="0.2">
      <c r="B477" s="38"/>
      <c r="C477" s="380" t="s">
        <v>310</v>
      </c>
      <c r="D477" s="380"/>
      <c r="E477" s="380"/>
      <c r="F477" s="380"/>
      <c r="G477" s="380"/>
      <c r="H477" s="380"/>
      <c r="I477" s="380"/>
      <c r="J477" s="40"/>
      <c r="K477" s="41"/>
    </row>
    <row r="478" spans="2:11" x14ac:dyDescent="0.2">
      <c r="B478" s="38"/>
      <c r="C478" s="380"/>
      <c r="D478" s="380"/>
      <c r="E478" s="380"/>
      <c r="F478" s="380"/>
      <c r="G478" s="380"/>
      <c r="H478" s="380"/>
      <c r="I478" s="380"/>
      <c r="J478" s="131">
        <v>0</v>
      </c>
      <c r="K478" s="41"/>
    </row>
    <row r="479" spans="2:11" x14ac:dyDescent="0.2">
      <c r="B479" s="38"/>
      <c r="C479" s="40" t="s">
        <v>261</v>
      </c>
      <c r="D479" s="40"/>
      <c r="E479" s="40"/>
      <c r="F479" s="40"/>
      <c r="G479" s="40"/>
      <c r="H479" s="40"/>
      <c r="I479" s="40"/>
      <c r="J479" s="248">
        <f>IF(J478&lt;=0,0,IF(J478&lt;=1,1,IF(J478&lt;=7,2,IF(J478&lt;=14,3,4))))</f>
        <v>0</v>
      </c>
      <c r="K479" s="41"/>
    </row>
    <row r="480" spans="2:11" s="51" customFormat="1" ht="9.75" customHeight="1" x14ac:dyDescent="0.2">
      <c r="B480" s="283"/>
      <c r="C480" s="279" t="str">
        <f>"0:"</f>
        <v>0:</v>
      </c>
      <c r="D480" s="284" t="s">
        <v>950</v>
      </c>
      <c r="E480" s="285"/>
      <c r="F480" s="285"/>
      <c r="G480" s="285"/>
      <c r="H480" s="285"/>
      <c r="I480" s="285"/>
      <c r="J480" s="43"/>
      <c r="K480" s="286"/>
    </row>
    <row r="481" spans="2:11" s="51" customFormat="1" ht="9.75" customHeight="1" x14ac:dyDescent="0.2">
      <c r="B481" s="283"/>
      <c r="C481" s="280" t="str">
        <f>"1:"</f>
        <v>1:</v>
      </c>
      <c r="D481" s="284" t="s">
        <v>951</v>
      </c>
      <c r="E481" s="285"/>
      <c r="F481" s="285"/>
      <c r="G481" s="285"/>
      <c r="H481" s="285"/>
      <c r="I481" s="285"/>
      <c r="J481" s="43"/>
      <c r="K481" s="286"/>
    </row>
    <row r="482" spans="2:11" s="51" customFormat="1" ht="9.75" customHeight="1" x14ac:dyDescent="0.2">
      <c r="B482" s="283"/>
      <c r="C482" s="280" t="str">
        <f>"2:"</f>
        <v>2:</v>
      </c>
      <c r="D482" s="284" t="s">
        <v>952</v>
      </c>
      <c r="E482" s="285"/>
      <c r="F482" s="285"/>
      <c r="G482" s="285"/>
      <c r="H482" s="285"/>
      <c r="I482" s="285"/>
      <c r="J482" s="43"/>
      <c r="K482" s="286"/>
    </row>
    <row r="483" spans="2:11" s="51" customFormat="1" ht="9.75" customHeight="1" x14ac:dyDescent="0.2">
      <c r="B483" s="283"/>
      <c r="C483" s="280" t="str">
        <f>"3:"</f>
        <v>3:</v>
      </c>
      <c r="D483" s="284" t="s">
        <v>953</v>
      </c>
      <c r="E483" s="285"/>
      <c r="F483" s="285"/>
      <c r="G483" s="285"/>
      <c r="H483" s="285"/>
      <c r="I483" s="285"/>
      <c r="J483" s="43"/>
      <c r="K483" s="286"/>
    </row>
    <row r="484" spans="2:11" s="51" customFormat="1" ht="9.75" customHeight="1" x14ac:dyDescent="0.2">
      <c r="B484" s="283"/>
      <c r="C484" s="280" t="str">
        <f>"4:"</f>
        <v>4:</v>
      </c>
      <c r="D484" s="284" t="s">
        <v>954</v>
      </c>
      <c r="E484" s="285"/>
      <c r="F484" s="285"/>
      <c r="G484" s="285"/>
      <c r="H484" s="285"/>
      <c r="I484" s="285"/>
      <c r="J484" s="43"/>
      <c r="K484" s="286"/>
    </row>
    <row r="485" spans="2:11" x14ac:dyDescent="0.2">
      <c r="B485" s="38"/>
      <c r="C485" s="40" t="s">
        <v>893</v>
      </c>
      <c r="D485" s="40"/>
      <c r="E485" s="40"/>
      <c r="F485" s="40"/>
      <c r="G485" s="40"/>
      <c r="H485" s="40"/>
      <c r="I485" s="40"/>
      <c r="J485" s="40"/>
      <c r="K485" s="41"/>
    </row>
    <row r="486" spans="2:11" ht="30" customHeight="1" x14ac:dyDescent="0.2">
      <c r="B486" s="38"/>
      <c r="C486" s="399"/>
      <c r="D486" s="400"/>
      <c r="E486" s="400"/>
      <c r="F486" s="400"/>
      <c r="G486" s="400"/>
      <c r="H486" s="400"/>
      <c r="I486" s="400"/>
      <c r="J486" s="401"/>
      <c r="K486" s="41"/>
    </row>
    <row r="487" spans="2:11" x14ac:dyDescent="0.2">
      <c r="B487" s="38"/>
      <c r="C487" s="40"/>
      <c r="D487" s="40"/>
      <c r="E487" s="40"/>
      <c r="F487" s="40"/>
      <c r="G487" s="40"/>
      <c r="H487" s="40"/>
      <c r="I487" s="40"/>
      <c r="J487" s="40"/>
      <c r="K487" s="41"/>
    </row>
    <row r="488" spans="2:11" x14ac:dyDescent="0.2">
      <c r="B488" s="38"/>
      <c r="C488" s="179" t="s">
        <v>309</v>
      </c>
      <c r="D488" s="40"/>
      <c r="E488" s="40"/>
      <c r="F488" s="40"/>
      <c r="G488" s="40"/>
      <c r="H488" s="40"/>
      <c r="I488" s="40"/>
      <c r="J488" s="245">
        <f>J479</f>
        <v>0</v>
      </c>
      <c r="K488" s="41"/>
    </row>
    <row r="489" spans="2:11" x14ac:dyDescent="0.2">
      <c r="B489" s="38"/>
      <c r="C489" s="40"/>
      <c r="D489" s="40"/>
      <c r="E489" s="40"/>
      <c r="F489" s="40"/>
      <c r="G489" s="40"/>
      <c r="H489" s="40"/>
      <c r="I489" s="40"/>
      <c r="J489" s="40"/>
      <c r="K489" s="41"/>
    </row>
    <row r="490" spans="2:11" x14ac:dyDescent="0.2">
      <c r="B490" s="38"/>
      <c r="C490" s="40"/>
      <c r="D490" s="40"/>
      <c r="E490" s="40"/>
      <c r="F490" s="40"/>
      <c r="G490" s="40"/>
      <c r="H490" s="40"/>
      <c r="I490" s="40"/>
      <c r="J490" s="40"/>
      <c r="K490" s="41"/>
    </row>
    <row r="491" spans="2:11" ht="16" x14ac:dyDescent="0.2">
      <c r="B491" s="38"/>
      <c r="C491" s="45" t="s">
        <v>311</v>
      </c>
      <c r="D491" s="40"/>
      <c r="E491" s="40"/>
      <c r="F491" s="40"/>
      <c r="G491" s="40"/>
      <c r="H491" s="40"/>
      <c r="I491" s="40"/>
      <c r="J491" s="40"/>
      <c r="K491" s="41"/>
    </row>
    <row r="492" spans="2:11" x14ac:dyDescent="0.2">
      <c r="B492" s="38"/>
      <c r="C492" s="40" t="s">
        <v>312</v>
      </c>
      <c r="D492" s="40"/>
      <c r="E492" s="40"/>
      <c r="F492" s="40"/>
      <c r="G492" s="40"/>
      <c r="H492" s="40"/>
      <c r="I492" s="40"/>
      <c r="J492" s="270">
        <v>0</v>
      </c>
      <c r="K492" s="41"/>
    </row>
    <row r="493" spans="2:11" x14ac:dyDescent="0.2">
      <c r="B493" s="38"/>
      <c r="C493" s="40" t="s">
        <v>260</v>
      </c>
      <c r="D493" s="40"/>
      <c r="E493" s="40"/>
      <c r="F493" s="40"/>
      <c r="G493" s="40"/>
      <c r="H493" s="40"/>
      <c r="I493" s="40"/>
      <c r="J493" s="248">
        <f>IF(J492&lt;=0,0,IF(J492&lt;=1,1,IF(J492&lt;=5,2,IF(J492&lt;=10,3,4))))</f>
        <v>0</v>
      </c>
      <c r="K493" s="41"/>
    </row>
    <row r="494" spans="2:11" ht="9.75" customHeight="1" x14ac:dyDescent="0.2">
      <c r="B494" s="38"/>
      <c r="C494" s="279" t="str">
        <f>"0:"</f>
        <v>0:</v>
      </c>
      <c r="D494" s="290" t="s">
        <v>955</v>
      </c>
      <c r="E494" s="40"/>
      <c r="F494" s="40"/>
      <c r="G494" s="40"/>
      <c r="H494" s="40"/>
      <c r="I494" s="40"/>
      <c r="J494" s="245"/>
      <c r="K494" s="41"/>
    </row>
    <row r="495" spans="2:11" ht="9.75" customHeight="1" x14ac:dyDescent="0.2">
      <c r="B495" s="38"/>
      <c r="C495" s="280" t="str">
        <f>"1:"</f>
        <v>1:</v>
      </c>
      <c r="D495" s="290" t="s">
        <v>956</v>
      </c>
      <c r="E495" s="40"/>
      <c r="F495" s="40"/>
      <c r="G495" s="40"/>
      <c r="H495" s="40"/>
      <c r="I495" s="40"/>
      <c r="J495" s="245"/>
      <c r="K495" s="41"/>
    </row>
    <row r="496" spans="2:11" ht="9.75" customHeight="1" x14ac:dyDescent="0.2">
      <c r="B496" s="38"/>
      <c r="C496" s="280" t="str">
        <f>"2:"</f>
        <v>2:</v>
      </c>
      <c r="D496" s="290" t="s">
        <v>957</v>
      </c>
      <c r="E496" s="40"/>
      <c r="F496" s="40"/>
      <c r="G496" s="40"/>
      <c r="H496" s="40"/>
      <c r="I496" s="40"/>
      <c r="J496" s="245"/>
      <c r="K496" s="41"/>
    </row>
    <row r="497" spans="2:11" ht="9.75" customHeight="1" x14ac:dyDescent="0.2">
      <c r="B497" s="38"/>
      <c r="C497" s="280" t="str">
        <f>"3:"</f>
        <v>3:</v>
      </c>
      <c r="D497" s="290" t="s">
        <v>958</v>
      </c>
      <c r="E497" s="40"/>
      <c r="F497" s="40"/>
      <c r="G497" s="40"/>
      <c r="H497" s="40"/>
      <c r="I497" s="40"/>
      <c r="J497" s="245"/>
      <c r="K497" s="41"/>
    </row>
    <row r="498" spans="2:11" ht="9.75" customHeight="1" x14ac:dyDescent="0.2">
      <c r="B498" s="38"/>
      <c r="C498" s="280" t="str">
        <f>"4:"</f>
        <v>4:</v>
      </c>
      <c r="D498" s="290" t="s">
        <v>959</v>
      </c>
      <c r="E498" s="40"/>
      <c r="F498" s="40"/>
      <c r="G498" s="40"/>
      <c r="H498" s="40"/>
      <c r="I498" s="40"/>
      <c r="J498" s="247"/>
      <c r="K498" s="41"/>
    </row>
    <row r="499" spans="2:11" x14ac:dyDescent="0.2">
      <c r="B499" s="38"/>
      <c r="C499" s="40" t="s">
        <v>313</v>
      </c>
      <c r="D499" s="40"/>
      <c r="E499" s="40"/>
      <c r="F499" s="40"/>
      <c r="G499" s="40"/>
      <c r="H499" s="40"/>
      <c r="I499" s="40"/>
      <c r="J499" s="266" t="s">
        <v>870</v>
      </c>
      <c r="K499" s="41"/>
    </row>
    <row r="500" spans="2:11" x14ac:dyDescent="0.2">
      <c r="B500" s="38"/>
      <c r="C500" s="40" t="s">
        <v>261</v>
      </c>
      <c r="D500" s="40"/>
      <c r="E500" s="40"/>
      <c r="F500" s="40"/>
      <c r="G500" s="40"/>
      <c r="H500" s="40"/>
      <c r="I500" s="40"/>
      <c r="J500" s="248">
        <f>IF(J499=$B$973,$A$973,IF(J499=$B$974,$A$974,IF(J499=$B$975,$A$975,IF(J499=$B$976,$A$976,IF(J499=$B$977,$A$977,"Not Calculated")))))</f>
        <v>0</v>
      </c>
      <c r="K500" s="41"/>
    </row>
    <row r="501" spans="2:11" x14ac:dyDescent="0.2">
      <c r="B501" s="38"/>
      <c r="C501" s="40" t="s">
        <v>893</v>
      </c>
      <c r="D501" s="40"/>
      <c r="E501" s="40"/>
      <c r="F501" s="40"/>
      <c r="G501" s="40"/>
      <c r="H501" s="40"/>
      <c r="I501" s="40"/>
      <c r="J501" s="40"/>
      <c r="K501" s="41"/>
    </row>
    <row r="502" spans="2:11" ht="30" customHeight="1" x14ac:dyDescent="0.2">
      <c r="B502" s="38"/>
      <c r="C502" s="399"/>
      <c r="D502" s="400"/>
      <c r="E502" s="400"/>
      <c r="F502" s="400"/>
      <c r="G502" s="400"/>
      <c r="H502" s="400"/>
      <c r="I502" s="400"/>
      <c r="J502" s="401"/>
      <c r="K502" s="41"/>
    </row>
    <row r="503" spans="2:11" x14ac:dyDescent="0.2">
      <c r="B503" s="38"/>
      <c r="C503" s="40"/>
      <c r="D503" s="40"/>
      <c r="E503" s="40"/>
      <c r="F503" s="40"/>
      <c r="G503" s="40"/>
      <c r="H503" s="40"/>
      <c r="I503" s="40"/>
      <c r="J503" s="40"/>
      <c r="K503" s="41"/>
    </row>
    <row r="504" spans="2:11" x14ac:dyDescent="0.2">
      <c r="B504" s="38"/>
      <c r="C504" s="179" t="s">
        <v>321</v>
      </c>
      <c r="D504" s="40"/>
      <c r="E504" s="40"/>
      <c r="F504" s="40"/>
      <c r="G504" s="40"/>
      <c r="H504" s="40"/>
      <c r="I504" s="40"/>
      <c r="J504" s="245">
        <f>IF(OR(J493="Not Calculated",J500="Not Calculated")=TRUE,"Not Calculated",AVERAGE(J493,J500))</f>
        <v>0</v>
      </c>
      <c r="K504" s="41"/>
    </row>
    <row r="505" spans="2:11" x14ac:dyDescent="0.2">
      <c r="B505" s="38"/>
      <c r="C505" s="40"/>
      <c r="D505" s="40"/>
      <c r="E505" s="40"/>
      <c r="F505" s="40"/>
      <c r="G505" s="40"/>
      <c r="H505" s="40"/>
      <c r="I505" s="40"/>
      <c r="J505" s="40"/>
      <c r="K505" s="41"/>
    </row>
    <row r="506" spans="2:11" x14ac:dyDescent="0.2">
      <c r="B506" s="38"/>
      <c r="C506" s="40"/>
      <c r="D506" s="40"/>
      <c r="E506" s="40"/>
      <c r="F506" s="40"/>
      <c r="G506" s="40"/>
      <c r="H506" s="40"/>
      <c r="I506" s="40"/>
      <c r="J506" s="40"/>
      <c r="K506" s="41"/>
    </row>
    <row r="507" spans="2:11" ht="16" x14ac:dyDescent="0.2">
      <c r="B507" s="38"/>
      <c r="C507" s="45" t="s">
        <v>314</v>
      </c>
      <c r="D507" s="40"/>
      <c r="E507" s="40"/>
      <c r="F507" s="40"/>
      <c r="G507" s="40"/>
      <c r="H507" s="40"/>
      <c r="I507" s="40"/>
      <c r="J507" s="40"/>
      <c r="K507" s="41"/>
    </row>
    <row r="508" spans="2:11" x14ac:dyDescent="0.2">
      <c r="B508" s="38"/>
      <c r="C508" s="40" t="s">
        <v>316</v>
      </c>
      <c r="D508" s="40"/>
      <c r="E508" s="40"/>
      <c r="F508" s="40"/>
      <c r="G508" s="40"/>
      <c r="H508" s="40"/>
      <c r="I508" s="40"/>
      <c r="J508" s="269">
        <v>0</v>
      </c>
      <c r="K508" s="41"/>
    </row>
    <row r="509" spans="2:11" x14ac:dyDescent="0.2">
      <c r="B509" s="38"/>
      <c r="C509" s="40" t="s">
        <v>260</v>
      </c>
      <c r="D509" s="40"/>
      <c r="E509" s="40"/>
      <c r="F509" s="40"/>
      <c r="G509" s="40"/>
      <c r="H509" s="40"/>
      <c r="I509" s="40"/>
      <c r="J509" s="248">
        <f>IF(J508&lt;=0,0,IF(J508&lt;=1000,1,IF(J508&lt;=5000,2,IF(J508&lt;=25000,3,4))))</f>
        <v>0</v>
      </c>
      <c r="K509" s="41"/>
    </row>
    <row r="510" spans="2:11" s="51" customFormat="1" ht="9.75" customHeight="1" x14ac:dyDescent="0.2">
      <c r="B510" s="283"/>
      <c r="C510" s="279" t="str">
        <f>"0:"</f>
        <v>0:</v>
      </c>
      <c r="D510" s="284" t="s">
        <v>960</v>
      </c>
      <c r="E510" s="285"/>
      <c r="F510" s="285"/>
      <c r="G510" s="285"/>
      <c r="H510" s="285"/>
      <c r="I510" s="285"/>
      <c r="J510" s="43"/>
      <c r="K510" s="286"/>
    </row>
    <row r="511" spans="2:11" s="51" customFormat="1" ht="9.75" customHeight="1" x14ac:dyDescent="0.2">
      <c r="B511" s="283"/>
      <c r="C511" s="280" t="str">
        <f>"1:"</f>
        <v>1:</v>
      </c>
      <c r="D511" s="284" t="s">
        <v>961</v>
      </c>
      <c r="E511" s="285"/>
      <c r="F511" s="285"/>
      <c r="G511" s="285"/>
      <c r="H511" s="285"/>
      <c r="I511" s="285"/>
      <c r="J511" s="43"/>
      <c r="K511" s="286"/>
    </row>
    <row r="512" spans="2:11" s="51" customFormat="1" ht="9.75" customHeight="1" x14ac:dyDescent="0.2">
      <c r="B512" s="283"/>
      <c r="C512" s="280" t="str">
        <f>"2:"</f>
        <v>2:</v>
      </c>
      <c r="D512" s="284" t="s">
        <v>962</v>
      </c>
      <c r="E512" s="285"/>
      <c r="F512" s="285"/>
      <c r="G512" s="285"/>
      <c r="H512" s="285"/>
      <c r="I512" s="285"/>
      <c r="J512" s="43"/>
      <c r="K512" s="286"/>
    </row>
    <row r="513" spans="2:11" s="51" customFormat="1" ht="9.75" customHeight="1" x14ac:dyDescent="0.2">
      <c r="B513" s="283"/>
      <c r="C513" s="280" t="str">
        <f>"3:"</f>
        <v>3:</v>
      </c>
      <c r="D513" s="284" t="s">
        <v>963</v>
      </c>
      <c r="E513" s="285"/>
      <c r="F513" s="285"/>
      <c r="G513" s="285"/>
      <c r="H513" s="285"/>
      <c r="I513" s="285"/>
      <c r="J513" s="43"/>
      <c r="K513" s="286"/>
    </row>
    <row r="514" spans="2:11" s="51" customFormat="1" ht="9.75" customHeight="1" x14ac:dyDescent="0.2">
      <c r="B514" s="283"/>
      <c r="C514" s="280" t="str">
        <f>"4:"</f>
        <v>4:</v>
      </c>
      <c r="D514" s="284" t="s">
        <v>964</v>
      </c>
      <c r="E514" s="285"/>
      <c r="F514" s="285"/>
      <c r="G514" s="285"/>
      <c r="H514" s="285"/>
      <c r="I514" s="285"/>
      <c r="J514" s="287"/>
      <c r="K514" s="286"/>
    </row>
    <row r="515" spans="2:11" x14ac:dyDescent="0.2">
      <c r="B515" s="38"/>
      <c r="C515" s="40" t="s">
        <v>315</v>
      </c>
      <c r="D515" s="40"/>
      <c r="E515" s="40"/>
      <c r="F515" s="40"/>
      <c r="G515" s="40"/>
      <c r="H515" s="40"/>
      <c r="I515" s="40"/>
      <c r="J515" s="266" t="s">
        <v>870</v>
      </c>
      <c r="K515" s="41"/>
    </row>
    <row r="516" spans="2:11" x14ac:dyDescent="0.2">
      <c r="B516" s="38"/>
      <c r="C516" s="40" t="s">
        <v>261</v>
      </c>
      <c r="D516" s="40"/>
      <c r="E516" s="40"/>
      <c r="F516" s="40"/>
      <c r="G516" s="40"/>
      <c r="H516" s="40"/>
      <c r="I516" s="40"/>
      <c r="J516" s="248">
        <f>IF(J515=$B$973,$A$973,IF(J515=$B$974,$A$974,IF(J515=$B$975,$A$975,IF(J515=$B$976,$A$976,IF(J515=$B$977,$A$977,"Not Calculated")))))</f>
        <v>0</v>
      </c>
      <c r="K516" s="41"/>
    </row>
    <row r="517" spans="2:11" x14ac:dyDescent="0.2">
      <c r="B517" s="38"/>
      <c r="C517" s="40" t="s">
        <v>893</v>
      </c>
      <c r="D517" s="40"/>
      <c r="E517" s="40"/>
      <c r="F517" s="40"/>
      <c r="G517" s="40"/>
      <c r="H517" s="40"/>
      <c r="I517" s="40"/>
      <c r="J517" s="40"/>
      <c r="K517" s="41"/>
    </row>
    <row r="518" spans="2:11" ht="30" customHeight="1" x14ac:dyDescent="0.2">
      <c r="B518" s="38"/>
      <c r="C518" s="399"/>
      <c r="D518" s="400"/>
      <c r="E518" s="400"/>
      <c r="F518" s="400"/>
      <c r="G518" s="400"/>
      <c r="H518" s="400"/>
      <c r="I518" s="400"/>
      <c r="J518" s="401"/>
      <c r="K518" s="41"/>
    </row>
    <row r="519" spans="2:11" x14ac:dyDescent="0.2">
      <c r="B519" s="38"/>
      <c r="C519" s="40"/>
      <c r="D519" s="40"/>
      <c r="E519" s="40"/>
      <c r="F519" s="40"/>
      <c r="G519" s="40"/>
      <c r="H519" s="40"/>
      <c r="I519" s="40"/>
      <c r="J519" s="40"/>
      <c r="K519" s="41"/>
    </row>
    <row r="520" spans="2:11" x14ac:dyDescent="0.2">
      <c r="B520" s="38"/>
      <c r="C520" s="179" t="s">
        <v>320</v>
      </c>
      <c r="D520" s="40"/>
      <c r="E520" s="40"/>
      <c r="F520" s="40"/>
      <c r="G520" s="40"/>
      <c r="H520" s="40"/>
      <c r="I520" s="40"/>
      <c r="J520" s="245">
        <f>IF(OR(J509="Not Calculated",J516="Not Calculated")=TRUE,"Not Calculated",AVERAGE(J509,J516))</f>
        <v>0</v>
      </c>
      <c r="K520" s="41"/>
    </row>
    <row r="521" spans="2:11" x14ac:dyDescent="0.2">
      <c r="B521" s="38"/>
      <c r="C521" s="40"/>
      <c r="D521" s="40"/>
      <c r="E521" s="40"/>
      <c r="F521" s="40"/>
      <c r="G521" s="40"/>
      <c r="H521" s="40"/>
      <c r="I521" s="40"/>
      <c r="J521" s="40"/>
      <c r="K521" s="41"/>
    </row>
    <row r="522" spans="2:11" x14ac:dyDescent="0.2">
      <c r="B522" s="38"/>
      <c r="C522" s="40"/>
      <c r="D522" s="40"/>
      <c r="E522" s="40"/>
      <c r="F522" s="40"/>
      <c r="G522" s="40"/>
      <c r="H522" s="40"/>
      <c r="I522" s="40"/>
      <c r="J522" s="40"/>
      <c r="K522" s="41"/>
    </row>
    <row r="523" spans="2:11" ht="16" x14ac:dyDescent="0.2">
      <c r="B523" s="38"/>
      <c r="C523" s="45" t="s">
        <v>317</v>
      </c>
      <c r="D523" s="40"/>
      <c r="E523" s="40"/>
      <c r="F523" s="40"/>
      <c r="G523" s="40"/>
      <c r="H523" s="40"/>
      <c r="I523" s="40"/>
      <c r="J523" s="40"/>
      <c r="K523" s="41"/>
    </row>
    <row r="524" spans="2:11" ht="15" customHeight="1" x14ac:dyDescent="0.2">
      <c r="B524" s="38"/>
      <c r="C524" s="380" t="s">
        <v>318</v>
      </c>
      <c r="D524" s="380"/>
      <c r="E524" s="380"/>
      <c r="F524" s="380"/>
      <c r="G524" s="380"/>
      <c r="H524" s="380"/>
      <c r="I524" s="380"/>
      <c r="J524" s="40"/>
      <c r="K524" s="41"/>
    </row>
    <row r="525" spans="2:11" x14ac:dyDescent="0.2">
      <c r="B525" s="38"/>
      <c r="C525" s="380"/>
      <c r="D525" s="380"/>
      <c r="E525" s="380"/>
      <c r="F525" s="380"/>
      <c r="G525" s="380"/>
      <c r="H525" s="380"/>
      <c r="I525" s="380"/>
      <c r="J525" s="274">
        <v>0</v>
      </c>
      <c r="K525" s="41"/>
    </row>
    <row r="526" spans="2:11" x14ac:dyDescent="0.2">
      <c r="B526" s="38"/>
      <c r="C526" s="40" t="s">
        <v>260</v>
      </c>
      <c r="D526" s="40"/>
      <c r="E526" s="40"/>
      <c r="F526" s="40"/>
      <c r="G526" s="40"/>
      <c r="H526" s="40"/>
      <c r="I526" s="40"/>
      <c r="J526" s="248">
        <f>IF(J525&lt;=0,0,IF(J525&lt;=1,1,IF(J525&lt;=5,2,IF(J525&lt;=10,3,4))))</f>
        <v>0</v>
      </c>
      <c r="K526" s="41"/>
    </row>
    <row r="527" spans="2:11" s="51" customFormat="1" ht="9.75" customHeight="1" x14ac:dyDescent="0.2">
      <c r="B527" s="283"/>
      <c r="C527" s="279" t="str">
        <f>"0:"</f>
        <v>0:</v>
      </c>
      <c r="D527" s="284" t="s">
        <v>965</v>
      </c>
      <c r="E527" s="285"/>
      <c r="F527" s="285"/>
      <c r="G527" s="285"/>
      <c r="H527" s="285"/>
      <c r="I527" s="285"/>
      <c r="J527" s="43"/>
      <c r="K527" s="286"/>
    </row>
    <row r="528" spans="2:11" s="51" customFormat="1" ht="9.75" customHeight="1" x14ac:dyDescent="0.2">
      <c r="B528" s="283"/>
      <c r="C528" s="280" t="str">
        <f>"1:"</f>
        <v>1:</v>
      </c>
      <c r="D528" s="284" t="s">
        <v>966</v>
      </c>
      <c r="E528" s="285"/>
      <c r="F528" s="285"/>
      <c r="G528" s="285"/>
      <c r="H528" s="285"/>
      <c r="I528" s="285"/>
      <c r="J528" s="43"/>
      <c r="K528" s="286"/>
    </row>
    <row r="529" spans="2:11" s="51" customFormat="1" ht="9.75" customHeight="1" x14ac:dyDescent="0.2">
      <c r="B529" s="283"/>
      <c r="C529" s="280" t="str">
        <f>"2:"</f>
        <v>2:</v>
      </c>
      <c r="D529" s="284" t="s">
        <v>967</v>
      </c>
      <c r="E529" s="285"/>
      <c r="F529" s="285"/>
      <c r="G529" s="285"/>
      <c r="H529" s="285"/>
      <c r="I529" s="285"/>
      <c r="J529" s="43"/>
      <c r="K529" s="286"/>
    </row>
    <row r="530" spans="2:11" s="51" customFormat="1" ht="9.75" customHeight="1" x14ac:dyDescent="0.2">
      <c r="B530" s="283"/>
      <c r="C530" s="280" t="str">
        <f>"3:"</f>
        <v>3:</v>
      </c>
      <c r="D530" s="284" t="s">
        <v>968</v>
      </c>
      <c r="E530" s="285"/>
      <c r="F530" s="285"/>
      <c r="G530" s="285"/>
      <c r="H530" s="285"/>
      <c r="I530" s="285"/>
      <c r="J530" s="43"/>
      <c r="K530" s="286"/>
    </row>
    <row r="531" spans="2:11" s="51" customFormat="1" ht="9.75" customHeight="1" x14ac:dyDescent="0.2">
      <c r="B531" s="283"/>
      <c r="C531" s="280" t="str">
        <f>"4:"</f>
        <v>4:</v>
      </c>
      <c r="D531" s="284" t="s">
        <v>969</v>
      </c>
      <c r="E531" s="285"/>
      <c r="F531" s="285"/>
      <c r="G531" s="285"/>
      <c r="H531" s="285"/>
      <c r="I531" s="285"/>
      <c r="J531" s="287"/>
      <c r="K531" s="286"/>
    </row>
    <row r="532" spans="2:11" x14ac:dyDescent="0.2">
      <c r="B532" s="38"/>
      <c r="C532" s="40" t="s">
        <v>257</v>
      </c>
      <c r="D532" s="40"/>
      <c r="E532" s="40"/>
      <c r="F532" s="40"/>
      <c r="G532" s="40"/>
      <c r="H532" s="40"/>
      <c r="I532" s="40"/>
      <c r="J532" s="266" t="s">
        <v>870</v>
      </c>
      <c r="K532" s="41"/>
    </row>
    <row r="533" spans="2:11" x14ac:dyDescent="0.2">
      <c r="B533" s="38"/>
      <c r="C533" s="40" t="s">
        <v>261</v>
      </c>
      <c r="D533" s="40"/>
      <c r="E533" s="40"/>
      <c r="F533" s="40"/>
      <c r="G533" s="40"/>
      <c r="H533" s="40"/>
      <c r="I533" s="40"/>
      <c r="J533" s="248">
        <f>IF(J532=$B$973,$A$973,IF(J532=$B$974,$A$974,IF(J532=$B$975,$A$975,IF(J532=$B$976,$A$976,IF(J532=$B$977,$A$977,"Not Calculated")))))</f>
        <v>0</v>
      </c>
      <c r="K533" s="41"/>
    </row>
    <row r="534" spans="2:11" x14ac:dyDescent="0.2">
      <c r="B534" s="38"/>
      <c r="C534" s="40" t="s">
        <v>893</v>
      </c>
      <c r="D534" s="40"/>
      <c r="E534" s="40"/>
      <c r="F534" s="40"/>
      <c r="G534" s="40"/>
      <c r="H534" s="40"/>
      <c r="I534" s="40"/>
      <c r="J534" s="40"/>
      <c r="K534" s="41"/>
    </row>
    <row r="535" spans="2:11" ht="30" customHeight="1" x14ac:dyDescent="0.2">
      <c r="B535" s="38"/>
      <c r="C535" s="399"/>
      <c r="D535" s="400"/>
      <c r="E535" s="400"/>
      <c r="F535" s="400"/>
      <c r="G535" s="400"/>
      <c r="H535" s="400"/>
      <c r="I535" s="400"/>
      <c r="J535" s="401"/>
      <c r="K535" s="41"/>
    </row>
    <row r="536" spans="2:11" x14ac:dyDescent="0.2">
      <c r="B536" s="38"/>
      <c r="C536" s="40"/>
      <c r="D536" s="40"/>
      <c r="E536" s="40"/>
      <c r="F536" s="40"/>
      <c r="G536" s="40"/>
      <c r="H536" s="40"/>
      <c r="I536" s="40"/>
      <c r="J536" s="40"/>
      <c r="K536" s="41"/>
    </row>
    <row r="537" spans="2:11" x14ac:dyDescent="0.2">
      <c r="B537" s="38"/>
      <c r="C537" s="179" t="s">
        <v>319</v>
      </c>
      <c r="D537" s="40"/>
      <c r="E537" s="40"/>
      <c r="F537" s="40"/>
      <c r="G537" s="40"/>
      <c r="H537" s="40"/>
      <c r="I537" s="40"/>
      <c r="J537" s="245">
        <f>IF(OR(J526="Not Calculated",J533="Not Calculated")=TRUE,"Not Calculated",AVERAGE(J526,J533))</f>
        <v>0</v>
      </c>
      <c r="K537" s="41"/>
    </row>
    <row r="538" spans="2:11" x14ac:dyDescent="0.2">
      <c r="B538" s="38"/>
      <c r="C538" s="40"/>
      <c r="D538" s="40"/>
      <c r="E538" s="40"/>
      <c r="F538" s="40"/>
      <c r="G538" s="40"/>
      <c r="H538" s="40"/>
      <c r="I538" s="40"/>
      <c r="J538" s="40"/>
      <c r="K538" s="41"/>
    </row>
    <row r="539" spans="2:11" ht="18" x14ac:dyDescent="0.2">
      <c r="B539" s="38"/>
      <c r="C539" s="180" t="s">
        <v>302</v>
      </c>
      <c r="D539" s="40"/>
      <c r="E539" s="40"/>
      <c r="F539" s="40"/>
      <c r="G539" s="40"/>
      <c r="H539" s="40"/>
      <c r="I539" s="40"/>
      <c r="J539" s="244">
        <f>IF(OR(J440="Not Calculated",J457="Not Calculated",J473="Not Calculated",J488="Not Calculated",J504="Not Calculated",J520="Not Calculated",J537="Not Calculated")=TRUE,"Not Calculated",AVERAGE(J440,J457,J473,J488,J504,J520,J537))</f>
        <v>0</v>
      </c>
      <c r="K539" s="41"/>
    </row>
    <row r="540" spans="2:11" ht="16" thickBot="1" x14ac:dyDescent="0.25">
      <c r="B540" s="46"/>
      <c r="C540" s="47"/>
      <c r="D540" s="47"/>
      <c r="E540" s="47"/>
      <c r="F540" s="47"/>
      <c r="G540" s="47"/>
      <c r="H540" s="47"/>
      <c r="I540" s="47"/>
      <c r="J540" s="47"/>
      <c r="K540" s="49"/>
    </row>
    <row r="541" spans="2:11" ht="16" thickBot="1" x14ac:dyDescent="0.25"/>
    <row r="542" spans="2:11" x14ac:dyDescent="0.2">
      <c r="B542" s="33"/>
      <c r="C542" s="34"/>
      <c r="D542" s="34"/>
      <c r="E542" s="34"/>
      <c r="F542" s="34"/>
      <c r="G542" s="34"/>
      <c r="H542" s="34"/>
      <c r="I542" s="34"/>
      <c r="J542" s="34"/>
      <c r="K542" s="37"/>
    </row>
    <row r="543" spans="2:11" ht="21" x14ac:dyDescent="0.25">
      <c r="B543" s="38"/>
      <c r="C543" s="40"/>
      <c r="D543" s="40"/>
      <c r="E543" s="40"/>
      <c r="F543" s="40"/>
      <c r="G543" s="172" t="s">
        <v>29</v>
      </c>
      <c r="H543" s="40"/>
      <c r="I543" s="40"/>
      <c r="J543" s="40"/>
      <c r="K543" s="41"/>
    </row>
    <row r="544" spans="2:11" ht="15" customHeight="1" x14ac:dyDescent="0.2">
      <c r="B544" s="38"/>
      <c r="C544" s="40"/>
      <c r="D544" s="40"/>
      <c r="E544" s="40"/>
      <c r="F544" s="40"/>
      <c r="G544" s="40"/>
      <c r="H544" s="40"/>
      <c r="I544" s="40"/>
      <c r="J544" s="40"/>
      <c r="K544" s="41"/>
    </row>
    <row r="545" spans="2:14" ht="16" x14ac:dyDescent="0.2">
      <c r="B545" s="38"/>
      <c r="C545" s="45" t="s">
        <v>88</v>
      </c>
      <c r="D545" s="40"/>
      <c r="E545" s="40"/>
      <c r="F545" s="40"/>
      <c r="G545" s="40"/>
      <c r="H545" s="40"/>
      <c r="I545" s="40"/>
      <c r="J545" s="40"/>
      <c r="K545" s="41"/>
    </row>
    <row r="546" spans="2:14" x14ac:dyDescent="0.2">
      <c r="B546" s="38"/>
      <c r="C546" s="40" t="s">
        <v>448</v>
      </c>
      <c r="D546" s="40"/>
      <c r="E546" s="40"/>
      <c r="F546" s="40"/>
      <c r="G546" s="40"/>
      <c r="H546" s="40"/>
      <c r="I546" s="40"/>
      <c r="J546" s="252">
        <f>'Baseline Health'!G123</f>
        <v>0</v>
      </c>
      <c r="K546" s="41"/>
    </row>
    <row r="547" spans="2:14" x14ac:dyDescent="0.2">
      <c r="B547" s="38"/>
      <c r="C547" s="40" t="s">
        <v>322</v>
      </c>
      <c r="D547" s="40"/>
      <c r="E547" s="40"/>
      <c r="F547" s="40"/>
      <c r="G547" s="40"/>
      <c r="H547" s="40"/>
      <c r="I547" s="40"/>
      <c r="J547" s="264">
        <v>0</v>
      </c>
      <c r="K547" s="41"/>
    </row>
    <row r="548" spans="2:14" x14ac:dyDescent="0.2">
      <c r="B548" s="38"/>
      <c r="C548" s="40" t="s">
        <v>428</v>
      </c>
      <c r="D548" s="40"/>
      <c r="E548" s="40"/>
      <c r="F548" s="40"/>
      <c r="G548" s="40"/>
      <c r="H548" s="40"/>
      <c r="I548" s="40"/>
      <c r="J548" s="264">
        <v>0</v>
      </c>
      <c r="K548" s="41"/>
    </row>
    <row r="549" spans="2:14" x14ac:dyDescent="0.2">
      <c r="B549" s="38"/>
      <c r="C549" s="40" t="s">
        <v>260</v>
      </c>
      <c r="D549" s="40"/>
      <c r="E549" s="40"/>
      <c r="F549" s="40"/>
      <c r="G549" s="40"/>
      <c r="H549" s="40"/>
      <c r="I549" s="40"/>
      <c r="J549" s="248" t="str">
        <f>IF(OR(J546=0,J546="Not Calculated")=TRUE,"Not Calculated",IF(J546-J547=0,4,(IF(((J546+J548)/(J546-J547))&lt;=1,0,IF(((J546+J548)/(J546-J547))&lt;=1.05,1,IF(((J546+J548)/(J546-J547))&lt;=1.5, 2,IF(((J546+J548)/(J546-J547))&lt;=2,3,4)))))))</f>
        <v>Not Calculated</v>
      </c>
      <c r="K549" s="41"/>
    </row>
    <row r="550" spans="2:14" ht="9.75" customHeight="1" x14ac:dyDescent="0.2">
      <c r="B550" s="38"/>
      <c r="C550" s="279" t="str">
        <f>"0:"</f>
        <v>0:</v>
      </c>
      <c r="D550" s="278" t="s">
        <v>918</v>
      </c>
      <c r="E550" s="40"/>
      <c r="F550" s="40"/>
      <c r="G550" s="40"/>
      <c r="H550" s="40"/>
      <c r="I550" s="40"/>
      <c r="J550" s="251"/>
      <c r="K550" s="41"/>
    </row>
    <row r="551" spans="2:14" ht="9.75" customHeight="1" x14ac:dyDescent="0.2">
      <c r="B551" s="38"/>
      <c r="C551" s="280" t="str">
        <f>"1:"</f>
        <v>1:</v>
      </c>
      <c r="D551" s="278" t="s">
        <v>923</v>
      </c>
      <c r="E551" s="40"/>
      <c r="F551" s="40"/>
      <c r="G551" s="40"/>
      <c r="H551" s="40"/>
      <c r="I551" s="40"/>
      <c r="J551" s="251"/>
      <c r="K551" s="41"/>
    </row>
    <row r="552" spans="2:14" ht="9.75" customHeight="1" x14ac:dyDescent="0.2">
      <c r="B552" s="38"/>
      <c r="C552" s="280" t="str">
        <f>"2:"</f>
        <v>2:</v>
      </c>
      <c r="D552" s="278" t="s">
        <v>924</v>
      </c>
      <c r="E552" s="40"/>
      <c r="F552" s="40"/>
      <c r="G552" s="40"/>
      <c r="H552" s="40"/>
      <c r="I552" s="40"/>
      <c r="J552" s="251"/>
      <c r="K552" s="41"/>
    </row>
    <row r="553" spans="2:14" ht="9.75" customHeight="1" x14ac:dyDescent="0.2">
      <c r="B553" s="38"/>
      <c r="C553" s="280" t="str">
        <f>"3:"</f>
        <v>3:</v>
      </c>
      <c r="D553" s="278" t="s">
        <v>925</v>
      </c>
      <c r="E553" s="40"/>
      <c r="F553" s="40"/>
      <c r="G553" s="40"/>
      <c r="H553" s="40"/>
      <c r="I553" s="40"/>
      <c r="J553" s="251"/>
      <c r="K553" s="41"/>
    </row>
    <row r="554" spans="2:14" ht="9.75" customHeight="1" x14ac:dyDescent="0.2">
      <c r="B554" s="38"/>
      <c r="C554" s="280" t="str">
        <f>"4:"</f>
        <v>4:</v>
      </c>
      <c r="D554" s="278" t="s">
        <v>926</v>
      </c>
      <c r="E554" s="40"/>
      <c r="F554" s="40"/>
      <c r="G554" s="40"/>
      <c r="H554" s="40"/>
      <c r="I554" s="40"/>
      <c r="J554" s="40"/>
      <c r="K554" s="41"/>
      <c r="N554" s="12" t="s">
        <v>661</v>
      </c>
    </row>
    <row r="555" spans="2:14" x14ac:dyDescent="0.2">
      <c r="B555" s="38"/>
      <c r="C555" s="174" t="s">
        <v>662</v>
      </c>
      <c r="D555" s="40"/>
      <c r="E555" s="40"/>
      <c r="F555" s="40"/>
      <c r="G555" s="40"/>
      <c r="H555" s="40"/>
      <c r="I555" s="40"/>
      <c r="J555" s="265" t="s">
        <v>661</v>
      </c>
      <c r="K555" s="41"/>
      <c r="N555" s="12" t="s">
        <v>894</v>
      </c>
    </row>
    <row r="556" spans="2:14" x14ac:dyDescent="0.2">
      <c r="B556" s="38"/>
      <c r="C556" s="174" t="s">
        <v>660</v>
      </c>
      <c r="D556" s="40"/>
      <c r="E556" s="40"/>
      <c r="F556" s="40"/>
      <c r="G556" s="40"/>
      <c r="H556" s="40"/>
      <c r="I556" s="40"/>
      <c r="J556" s="247" t="str">
        <f>IF(J555=N554,"N/A",IF(J555=N555,0,IF(J555=N556,1,IF(J555=N557,2,IF(J555=N558,3,IF(J555=N559,4,"N/A"))))))</f>
        <v>N/A</v>
      </c>
      <c r="K556" s="41"/>
      <c r="N556" s="12" t="s">
        <v>899</v>
      </c>
    </row>
    <row r="557" spans="2:14" x14ac:dyDescent="0.2">
      <c r="B557" s="38"/>
      <c r="C557" s="40" t="s">
        <v>257</v>
      </c>
      <c r="D557" s="40"/>
      <c r="E557" s="40"/>
      <c r="F557" s="40"/>
      <c r="G557" s="40"/>
      <c r="H557" s="40"/>
      <c r="I557" s="40"/>
      <c r="J557" s="266" t="s">
        <v>870</v>
      </c>
      <c r="K557" s="41"/>
      <c r="N557" s="12" t="s">
        <v>900</v>
      </c>
    </row>
    <row r="558" spans="2:14" x14ac:dyDescent="0.2">
      <c r="B558" s="38"/>
      <c r="C558" s="40" t="s">
        <v>261</v>
      </c>
      <c r="D558" s="40"/>
      <c r="E558" s="40"/>
      <c r="F558" s="40"/>
      <c r="G558" s="40"/>
      <c r="H558" s="40"/>
      <c r="I558" s="40"/>
      <c r="J558" s="248">
        <f>IF(J557=$B$973,$A$973,IF(J557=$B$974,$A$974,IF(J557=$B$975,$A$975,IF(J557=$B$976,$A$976,IF(J557=$B$977,$A$977,"Not Calculated")))))</f>
        <v>0</v>
      </c>
      <c r="K558" s="41"/>
      <c r="N558" s="12" t="s">
        <v>901</v>
      </c>
    </row>
    <row r="559" spans="2:14" x14ac:dyDescent="0.2">
      <c r="B559" s="38"/>
      <c r="C559" s="40" t="s">
        <v>893</v>
      </c>
      <c r="D559" s="40"/>
      <c r="E559" s="40"/>
      <c r="F559" s="40"/>
      <c r="G559" s="40"/>
      <c r="H559" s="40"/>
      <c r="I559" s="40"/>
      <c r="J559" s="40"/>
      <c r="K559" s="41"/>
      <c r="N559" s="12" t="s">
        <v>902</v>
      </c>
    </row>
    <row r="560" spans="2:14" ht="30" customHeight="1" x14ac:dyDescent="0.2">
      <c r="B560" s="38"/>
      <c r="C560" s="399"/>
      <c r="D560" s="400"/>
      <c r="E560" s="400"/>
      <c r="F560" s="400"/>
      <c r="G560" s="400"/>
      <c r="H560" s="400"/>
      <c r="I560" s="400"/>
      <c r="J560" s="401"/>
      <c r="K560" s="41"/>
    </row>
    <row r="561" spans="2:11" x14ac:dyDescent="0.2">
      <c r="B561" s="38"/>
      <c r="C561" s="40"/>
      <c r="D561" s="40"/>
      <c r="E561" s="40"/>
      <c r="F561" s="40"/>
      <c r="G561" s="40"/>
      <c r="H561" s="40"/>
      <c r="I561" s="40"/>
      <c r="J561" s="40"/>
      <c r="K561" s="41"/>
    </row>
    <row r="562" spans="2:11" x14ac:dyDescent="0.2">
      <c r="B562" s="38"/>
      <c r="C562" s="179" t="s">
        <v>323</v>
      </c>
      <c r="D562" s="40"/>
      <c r="E562" s="40"/>
      <c r="F562" s="40"/>
      <c r="G562" s="40"/>
      <c r="H562" s="40"/>
      <c r="I562" s="40"/>
      <c r="J562" s="245" t="str">
        <f>IF(J556="N/A",IF(OR(J549="Not Calculated",J558="Not Calculated")=TRUE,"Not Calculated",AVERAGE(J549,J558)),AVERAGE(J556,J558))</f>
        <v>Not Calculated</v>
      </c>
      <c r="K562" s="41"/>
    </row>
    <row r="563" spans="2:11" x14ac:dyDescent="0.2">
      <c r="B563" s="38"/>
      <c r="C563" s="40"/>
      <c r="D563" s="40"/>
      <c r="E563" s="40"/>
      <c r="F563" s="40"/>
      <c r="G563" s="40"/>
      <c r="H563" s="40"/>
      <c r="I563" s="40"/>
      <c r="J563" s="40"/>
      <c r="K563" s="41"/>
    </row>
    <row r="564" spans="2:11" x14ac:dyDescent="0.2">
      <c r="B564" s="38"/>
      <c r="C564" s="40"/>
      <c r="D564" s="40"/>
      <c r="E564" s="40"/>
      <c r="F564" s="40"/>
      <c r="G564" s="40"/>
      <c r="H564" s="40"/>
      <c r="I564" s="40"/>
      <c r="J564" s="40"/>
      <c r="K564" s="41"/>
    </row>
    <row r="565" spans="2:11" ht="16" x14ac:dyDescent="0.2">
      <c r="B565" s="38"/>
      <c r="C565" s="45" t="s">
        <v>89</v>
      </c>
      <c r="D565" s="40"/>
      <c r="E565" s="40"/>
      <c r="F565" s="40"/>
      <c r="G565" s="40"/>
      <c r="H565" s="40"/>
      <c r="I565" s="40"/>
      <c r="J565" s="40"/>
      <c r="K565" s="41"/>
    </row>
    <row r="566" spans="2:11" ht="15" customHeight="1" x14ac:dyDescent="0.2">
      <c r="B566" s="38"/>
      <c r="C566" s="380" t="s">
        <v>333</v>
      </c>
      <c r="D566" s="380"/>
      <c r="E566" s="380"/>
      <c r="F566" s="380"/>
      <c r="G566" s="380"/>
      <c r="H566" s="380"/>
      <c r="I566" s="380"/>
      <c r="J566" s="40"/>
      <c r="K566" s="41"/>
    </row>
    <row r="567" spans="2:11" x14ac:dyDescent="0.2">
      <c r="B567" s="38"/>
      <c r="C567" s="380"/>
      <c r="D567" s="380"/>
      <c r="E567" s="380"/>
      <c r="F567" s="380"/>
      <c r="G567" s="380"/>
      <c r="H567" s="380"/>
      <c r="I567" s="380"/>
      <c r="J567" s="40"/>
      <c r="K567" s="41"/>
    </row>
    <row r="568" spans="2:11" x14ac:dyDescent="0.2">
      <c r="B568" s="38"/>
      <c r="C568" s="380"/>
      <c r="D568" s="380"/>
      <c r="E568" s="380"/>
      <c r="F568" s="380"/>
      <c r="G568" s="380"/>
      <c r="H568" s="380"/>
      <c r="I568" s="380"/>
      <c r="J568" s="251">
        <f>'Baseline Health'!G132</f>
        <v>0</v>
      </c>
      <c r="K568" s="41"/>
    </row>
    <row r="569" spans="2:11" ht="15" customHeight="1" x14ac:dyDescent="0.2">
      <c r="B569" s="38"/>
      <c r="C569" s="380" t="s">
        <v>334</v>
      </c>
      <c r="D569" s="380"/>
      <c r="E569" s="380"/>
      <c r="F569" s="380"/>
      <c r="G569" s="380"/>
      <c r="H569" s="380"/>
      <c r="I569" s="380"/>
      <c r="J569" s="245"/>
      <c r="K569" s="41"/>
    </row>
    <row r="570" spans="2:11" x14ac:dyDescent="0.2">
      <c r="B570" s="38"/>
      <c r="C570" s="380"/>
      <c r="D570" s="380"/>
      <c r="E570" s="380"/>
      <c r="F570" s="380"/>
      <c r="G570" s="380"/>
      <c r="H570" s="380"/>
      <c r="I570" s="380"/>
      <c r="J570" s="245"/>
      <c r="K570" s="41"/>
    </row>
    <row r="571" spans="2:11" x14ac:dyDescent="0.2">
      <c r="B571" s="38"/>
      <c r="C571" s="380"/>
      <c r="D571" s="380"/>
      <c r="E571" s="380"/>
      <c r="F571" s="380"/>
      <c r="G571" s="380"/>
      <c r="H571" s="380"/>
      <c r="I571" s="380"/>
      <c r="J571" s="264">
        <v>0</v>
      </c>
      <c r="K571" s="41"/>
    </row>
    <row r="572" spans="2:11" x14ac:dyDescent="0.2">
      <c r="B572" s="38"/>
      <c r="C572" s="40" t="s">
        <v>260</v>
      </c>
      <c r="D572" s="40"/>
      <c r="E572" s="40"/>
      <c r="F572" s="40"/>
      <c r="G572" s="40"/>
      <c r="H572" s="40"/>
      <c r="I572" s="40"/>
      <c r="J572" s="248" t="str">
        <f>IF(OR(J568=0,J568="Not Calculated")=TRUE,"Not Calculated",IF(((J568+J571)/J568)&lt;=1,0,IF(((J568+J571)/J568)&lt;=1.05,1,IF(((J568+J571)/J568)&lt;=1.5, 2,IF(((J568+J571)/J568)&lt;=2,3,4)))))</f>
        <v>Not Calculated</v>
      </c>
      <c r="K572" s="41"/>
    </row>
    <row r="573" spans="2:11" ht="9.75" customHeight="1" x14ac:dyDescent="0.2">
      <c r="B573" s="38"/>
      <c r="C573" s="279" t="str">
        <f>"0:"</f>
        <v>0:</v>
      </c>
      <c r="D573" s="281" t="s">
        <v>918</v>
      </c>
      <c r="E573" s="291"/>
      <c r="F573" s="291"/>
      <c r="G573" s="291"/>
      <c r="H573" s="291"/>
      <c r="I573" s="291"/>
      <c r="J573" s="251"/>
      <c r="K573" s="41"/>
    </row>
    <row r="574" spans="2:11" ht="9.75" customHeight="1" x14ac:dyDescent="0.2">
      <c r="B574" s="38"/>
      <c r="C574" s="280" t="str">
        <f>"1:"</f>
        <v>1:</v>
      </c>
      <c r="D574" s="281" t="s">
        <v>919</v>
      </c>
      <c r="E574" s="291"/>
      <c r="F574" s="291"/>
      <c r="G574" s="291"/>
      <c r="H574" s="291"/>
      <c r="I574" s="291"/>
      <c r="J574" s="251"/>
      <c r="K574" s="41"/>
    </row>
    <row r="575" spans="2:11" ht="9.75" customHeight="1" x14ac:dyDescent="0.2">
      <c r="B575" s="38"/>
      <c r="C575" s="280" t="str">
        <f>"2:"</f>
        <v>2:</v>
      </c>
      <c r="D575" s="281" t="s">
        <v>920</v>
      </c>
      <c r="E575" s="291"/>
      <c r="F575" s="291"/>
      <c r="G575" s="291"/>
      <c r="H575" s="291"/>
      <c r="I575" s="291"/>
      <c r="J575" s="251"/>
      <c r="K575" s="41"/>
    </row>
    <row r="576" spans="2:11" ht="9.75" customHeight="1" x14ac:dyDescent="0.2">
      <c r="B576" s="38"/>
      <c r="C576" s="280" t="str">
        <f>"3:"</f>
        <v>3:</v>
      </c>
      <c r="D576" s="281" t="s">
        <v>921</v>
      </c>
      <c r="E576" s="291"/>
      <c r="F576" s="291"/>
      <c r="G576" s="291"/>
      <c r="H576" s="291"/>
      <c r="I576" s="291"/>
      <c r="J576" s="251"/>
      <c r="K576" s="41"/>
    </row>
    <row r="577" spans="2:14" ht="9.75" customHeight="1" x14ac:dyDescent="0.2">
      <c r="B577" s="38"/>
      <c r="C577" s="280" t="str">
        <f>"4:"</f>
        <v>4:</v>
      </c>
      <c r="D577" s="281" t="s">
        <v>922</v>
      </c>
      <c r="E577" s="40"/>
      <c r="F577" s="40"/>
      <c r="G577" s="40"/>
      <c r="H577" s="40"/>
      <c r="I577" s="40"/>
      <c r="J577" s="40"/>
      <c r="K577" s="41"/>
      <c r="N577" s="12" t="s">
        <v>661</v>
      </c>
    </row>
    <row r="578" spans="2:14" ht="15" customHeight="1" x14ac:dyDescent="0.2">
      <c r="B578" s="38"/>
      <c r="C578" s="174" t="s">
        <v>662</v>
      </c>
      <c r="D578" s="40"/>
      <c r="E578" s="40"/>
      <c r="F578" s="40"/>
      <c r="G578" s="40"/>
      <c r="H578" s="40"/>
      <c r="I578" s="40"/>
      <c r="J578" s="265" t="s">
        <v>661</v>
      </c>
      <c r="K578" s="41"/>
      <c r="N578" s="12" t="s">
        <v>894</v>
      </c>
    </row>
    <row r="579" spans="2:14" ht="15" customHeight="1" x14ac:dyDescent="0.2">
      <c r="B579" s="38"/>
      <c r="C579" s="174" t="s">
        <v>660</v>
      </c>
      <c r="D579" s="40"/>
      <c r="E579" s="40"/>
      <c r="F579" s="40"/>
      <c r="G579" s="40"/>
      <c r="H579" s="40"/>
      <c r="I579" s="40"/>
      <c r="J579" s="247" t="str">
        <f>IF(J578=N577,"N/A",IF(J578=N578,0,IF(J578=N579,1,IF(J578=N580,2,IF(J578=N581,3,IF(J578=N582,4,"N/A"))))))</f>
        <v>N/A</v>
      </c>
      <c r="K579" s="41"/>
      <c r="N579" s="12" t="s">
        <v>895</v>
      </c>
    </row>
    <row r="580" spans="2:14" x14ac:dyDescent="0.2">
      <c r="B580" s="38"/>
      <c r="C580" s="40" t="s">
        <v>257</v>
      </c>
      <c r="D580" s="40"/>
      <c r="E580" s="40"/>
      <c r="F580" s="40"/>
      <c r="G580" s="40"/>
      <c r="H580" s="40"/>
      <c r="I580" s="40"/>
      <c r="J580" s="266" t="s">
        <v>870</v>
      </c>
      <c r="K580" s="41"/>
      <c r="N580" s="12" t="s">
        <v>896</v>
      </c>
    </row>
    <row r="581" spans="2:14" x14ac:dyDescent="0.2">
      <c r="B581" s="38"/>
      <c r="C581" s="40" t="s">
        <v>261</v>
      </c>
      <c r="D581" s="40"/>
      <c r="E581" s="40"/>
      <c r="F581" s="40"/>
      <c r="G581" s="40"/>
      <c r="H581" s="40"/>
      <c r="I581" s="40"/>
      <c r="J581" s="248">
        <f>IF(J580=$B$973,$A$973,IF(J580=$B$974,$A$974,IF(J580=$B$975,$A$975,IF(J580=$B$976,$A$976,IF(J580=$B$977,$A$977,"Not Calculated")))))</f>
        <v>0</v>
      </c>
      <c r="K581" s="41"/>
      <c r="N581" s="12" t="s">
        <v>897</v>
      </c>
    </row>
    <row r="582" spans="2:14" x14ac:dyDescent="0.2">
      <c r="B582" s="38"/>
      <c r="C582" s="40" t="s">
        <v>893</v>
      </c>
      <c r="D582" s="40"/>
      <c r="E582" s="40"/>
      <c r="F582" s="40"/>
      <c r="G582" s="40"/>
      <c r="H582" s="40"/>
      <c r="I582" s="40"/>
      <c r="J582" s="40"/>
      <c r="K582" s="41"/>
      <c r="N582" s="12" t="s">
        <v>898</v>
      </c>
    </row>
    <row r="583" spans="2:14" ht="30" customHeight="1" x14ac:dyDescent="0.2">
      <c r="B583" s="38"/>
      <c r="C583" s="399"/>
      <c r="D583" s="400"/>
      <c r="E583" s="400"/>
      <c r="F583" s="400"/>
      <c r="G583" s="400"/>
      <c r="H583" s="400"/>
      <c r="I583" s="400"/>
      <c r="J583" s="401"/>
      <c r="K583" s="41"/>
    </row>
    <row r="584" spans="2:14" x14ac:dyDescent="0.2">
      <c r="B584" s="38"/>
      <c r="C584" s="40"/>
      <c r="D584" s="40"/>
      <c r="E584" s="40"/>
      <c r="F584" s="40"/>
      <c r="G584" s="40"/>
      <c r="H584" s="40"/>
      <c r="I584" s="40"/>
      <c r="J584" s="40"/>
      <c r="K584" s="41"/>
    </row>
    <row r="585" spans="2:14" x14ac:dyDescent="0.2">
      <c r="B585" s="38"/>
      <c r="C585" s="179" t="s">
        <v>324</v>
      </c>
      <c r="D585" s="40"/>
      <c r="E585" s="40"/>
      <c r="F585" s="40"/>
      <c r="G585" s="40"/>
      <c r="H585" s="40"/>
      <c r="I585" s="40"/>
      <c r="J585" s="245" t="str">
        <f>IF(J579="N/A",IF(OR(J572="Not Calculated",J581="Not Calculated")=TRUE,"Not Calculated",AVERAGE(J572,J581)),AVERAGE(J579,J581))</f>
        <v>Not Calculated</v>
      </c>
      <c r="K585" s="41"/>
    </row>
    <row r="586" spans="2:14" x14ac:dyDescent="0.2">
      <c r="B586" s="38"/>
      <c r="C586" s="40"/>
      <c r="D586" s="40"/>
      <c r="E586" s="40"/>
      <c r="F586" s="40"/>
      <c r="G586" s="40"/>
      <c r="H586" s="40"/>
      <c r="I586" s="40"/>
      <c r="J586" s="40"/>
      <c r="K586" s="41"/>
    </row>
    <row r="587" spans="2:14" x14ac:dyDescent="0.2">
      <c r="B587" s="38"/>
      <c r="C587" s="40"/>
      <c r="D587" s="40"/>
      <c r="E587" s="40"/>
      <c r="F587" s="40"/>
      <c r="G587" s="40"/>
      <c r="H587" s="40"/>
      <c r="I587" s="40"/>
      <c r="J587" s="40"/>
      <c r="K587" s="41"/>
    </row>
    <row r="588" spans="2:14" ht="16" x14ac:dyDescent="0.2">
      <c r="B588" s="38"/>
      <c r="C588" s="45" t="s">
        <v>115</v>
      </c>
      <c r="D588" s="40"/>
      <c r="E588" s="40"/>
      <c r="F588" s="40"/>
      <c r="G588" s="40"/>
      <c r="H588" s="40"/>
      <c r="I588" s="40"/>
      <c r="J588" s="40"/>
      <c r="K588" s="41"/>
    </row>
    <row r="589" spans="2:14" x14ac:dyDescent="0.2">
      <c r="B589" s="38"/>
      <c r="C589" s="40" t="s">
        <v>335</v>
      </c>
      <c r="D589" s="40"/>
      <c r="E589" s="40"/>
      <c r="F589" s="40"/>
      <c r="G589" s="40"/>
      <c r="H589" s="40"/>
      <c r="I589" s="40"/>
      <c r="J589" s="264">
        <v>0</v>
      </c>
      <c r="K589" s="41"/>
    </row>
    <row r="590" spans="2:14" x14ac:dyDescent="0.2">
      <c r="B590" s="38"/>
      <c r="C590" s="40" t="s">
        <v>260</v>
      </c>
      <c r="D590" s="40"/>
      <c r="E590" s="40"/>
      <c r="F590" s="40"/>
      <c r="G590" s="40"/>
      <c r="H590" s="40"/>
      <c r="I590" s="40"/>
      <c r="J590" s="255">
        <f>IF(J589&lt;=0,0,IF(J589&lt;=1000,1,IF(J589&lt;=5000,2,IF(J589&lt;=25000,3,4))))</f>
        <v>0</v>
      </c>
      <c r="K590" s="41"/>
    </row>
    <row r="591" spans="2:14" ht="9.75" customHeight="1" x14ac:dyDescent="0.2">
      <c r="B591" s="38"/>
      <c r="C591" s="279" t="str">
        <f>"0:"</f>
        <v>0:</v>
      </c>
      <c r="D591" s="284" t="s">
        <v>970</v>
      </c>
      <c r="E591" s="40"/>
      <c r="F591" s="40"/>
      <c r="G591" s="40"/>
      <c r="H591" s="40"/>
      <c r="I591" s="40"/>
      <c r="J591" s="251"/>
      <c r="K591" s="41"/>
    </row>
    <row r="592" spans="2:14" ht="9.75" customHeight="1" x14ac:dyDescent="0.2">
      <c r="B592" s="38"/>
      <c r="C592" s="280" t="str">
        <f>"1:"</f>
        <v>1:</v>
      </c>
      <c r="D592" s="284" t="s">
        <v>961</v>
      </c>
      <c r="E592" s="40"/>
      <c r="F592" s="40"/>
      <c r="G592" s="40"/>
      <c r="H592" s="40"/>
      <c r="I592" s="40"/>
      <c r="J592" s="251"/>
      <c r="K592" s="41"/>
    </row>
    <row r="593" spans="2:11" ht="9.75" customHeight="1" x14ac:dyDescent="0.2">
      <c r="B593" s="38"/>
      <c r="C593" s="280" t="str">
        <f>"2:"</f>
        <v>2:</v>
      </c>
      <c r="D593" s="284" t="s">
        <v>971</v>
      </c>
      <c r="E593" s="40"/>
      <c r="F593" s="40"/>
      <c r="G593" s="40"/>
      <c r="H593" s="40"/>
      <c r="I593" s="40"/>
      <c r="J593" s="251"/>
      <c r="K593" s="41"/>
    </row>
    <row r="594" spans="2:11" ht="9.75" customHeight="1" x14ac:dyDescent="0.2">
      <c r="B594" s="38"/>
      <c r="C594" s="280" t="str">
        <f>"3:"</f>
        <v>3:</v>
      </c>
      <c r="D594" s="284" t="s">
        <v>963</v>
      </c>
      <c r="E594" s="40"/>
      <c r="F594" s="40"/>
      <c r="G594" s="40"/>
      <c r="H594" s="40"/>
      <c r="I594" s="40"/>
      <c r="J594" s="251"/>
      <c r="K594" s="41"/>
    </row>
    <row r="595" spans="2:11" ht="9.75" customHeight="1" x14ac:dyDescent="0.2">
      <c r="B595" s="38"/>
      <c r="C595" s="280" t="str">
        <f>"4:"</f>
        <v>4:</v>
      </c>
      <c r="D595" s="284" t="s">
        <v>964</v>
      </c>
      <c r="E595" s="40"/>
      <c r="F595" s="40"/>
      <c r="G595" s="40"/>
      <c r="H595" s="40"/>
      <c r="I595" s="40"/>
      <c r="J595" s="40"/>
      <c r="K595" s="41"/>
    </row>
    <row r="596" spans="2:11" ht="15" customHeight="1" x14ac:dyDescent="0.2">
      <c r="B596" s="38"/>
      <c r="C596" s="40" t="s">
        <v>257</v>
      </c>
      <c r="D596" s="40"/>
      <c r="E596" s="40"/>
      <c r="F596" s="40"/>
      <c r="G596" s="40"/>
      <c r="H596" s="40"/>
      <c r="I596" s="40"/>
      <c r="J596" s="266" t="s">
        <v>870</v>
      </c>
      <c r="K596" s="41"/>
    </row>
    <row r="597" spans="2:11" ht="15" customHeight="1" x14ac:dyDescent="0.2">
      <c r="B597" s="38"/>
      <c r="C597" s="40" t="s">
        <v>261</v>
      </c>
      <c r="D597" s="40"/>
      <c r="E597" s="40"/>
      <c r="F597" s="40"/>
      <c r="G597" s="40"/>
      <c r="H597" s="40"/>
      <c r="I597" s="40"/>
      <c r="J597" s="245">
        <f>IF(J596=$B$973,$A$973,IF(J596=$B$974,$A$974,IF(J596=$B$975,$A$975,IF(J596=$B$976,$A$976,IF(J596=$B$977,$A$977,"Not Calculated")))))</f>
        <v>0</v>
      </c>
      <c r="K597" s="41"/>
    </row>
    <row r="598" spans="2:11" x14ac:dyDescent="0.2">
      <c r="B598" s="38"/>
      <c r="C598" s="40" t="s">
        <v>893</v>
      </c>
      <c r="D598" s="40"/>
      <c r="E598" s="40"/>
      <c r="F598" s="40"/>
      <c r="G598" s="40"/>
      <c r="H598" s="40"/>
      <c r="I598" s="40"/>
      <c r="J598" s="40"/>
      <c r="K598" s="41"/>
    </row>
    <row r="599" spans="2:11" ht="30" customHeight="1" x14ac:dyDescent="0.2">
      <c r="B599" s="38"/>
      <c r="C599" s="399"/>
      <c r="D599" s="400"/>
      <c r="E599" s="400"/>
      <c r="F599" s="400"/>
      <c r="G599" s="400"/>
      <c r="H599" s="400"/>
      <c r="I599" s="400"/>
      <c r="J599" s="401"/>
      <c r="K599" s="41"/>
    </row>
    <row r="600" spans="2:11" x14ac:dyDescent="0.2">
      <c r="B600" s="38"/>
      <c r="C600" s="40"/>
      <c r="D600" s="40"/>
      <c r="E600" s="40"/>
      <c r="F600" s="40"/>
      <c r="G600" s="40"/>
      <c r="H600" s="40"/>
      <c r="I600" s="40"/>
      <c r="J600" s="40"/>
      <c r="K600" s="41"/>
    </row>
    <row r="601" spans="2:11" x14ac:dyDescent="0.2">
      <c r="B601" s="38"/>
      <c r="C601" s="179" t="s">
        <v>325</v>
      </c>
      <c r="D601" s="40"/>
      <c r="E601" s="40"/>
      <c r="F601" s="40"/>
      <c r="G601" s="40"/>
      <c r="H601" s="40"/>
      <c r="I601" s="40"/>
      <c r="J601" s="245">
        <f>IF(J590="Not Calculated","Not Calculated",AVERAGE(J590,J597))</f>
        <v>0</v>
      </c>
      <c r="K601" s="41"/>
    </row>
    <row r="602" spans="2:11" x14ac:dyDescent="0.2">
      <c r="B602" s="38"/>
      <c r="C602" s="40"/>
      <c r="D602" s="40"/>
      <c r="E602" s="40"/>
      <c r="F602" s="40"/>
      <c r="G602" s="40"/>
      <c r="H602" s="40"/>
      <c r="I602" s="40"/>
      <c r="J602" s="40"/>
      <c r="K602" s="41"/>
    </row>
    <row r="603" spans="2:11" x14ac:dyDescent="0.2">
      <c r="B603" s="38"/>
      <c r="C603" s="40"/>
      <c r="D603" s="40"/>
      <c r="E603" s="40"/>
      <c r="F603" s="40"/>
      <c r="G603" s="40"/>
      <c r="H603" s="40"/>
      <c r="I603" s="40"/>
      <c r="J603" s="40"/>
      <c r="K603" s="41"/>
    </row>
    <row r="604" spans="2:11" ht="16" x14ac:dyDescent="0.2">
      <c r="B604" s="38"/>
      <c r="C604" s="45" t="s">
        <v>326</v>
      </c>
      <c r="D604" s="40"/>
      <c r="E604" s="40"/>
      <c r="F604" s="40"/>
      <c r="G604" s="40"/>
      <c r="H604" s="40"/>
      <c r="I604" s="40"/>
      <c r="J604" s="40"/>
      <c r="K604" s="41"/>
    </row>
    <row r="605" spans="2:11" x14ac:dyDescent="0.2">
      <c r="B605" s="38"/>
      <c r="C605" s="40" t="s">
        <v>336</v>
      </c>
      <c r="D605" s="40"/>
      <c r="E605" s="40"/>
      <c r="F605" s="40"/>
      <c r="G605" s="40"/>
      <c r="H605" s="40"/>
      <c r="I605" s="40"/>
      <c r="J605" s="271">
        <v>0</v>
      </c>
      <c r="K605" s="41"/>
    </row>
    <row r="606" spans="2:11" x14ac:dyDescent="0.2">
      <c r="B606" s="38"/>
      <c r="C606" s="40" t="s">
        <v>260</v>
      </c>
      <c r="D606" s="40"/>
      <c r="E606" s="40"/>
      <c r="F606" s="40"/>
      <c r="G606" s="40"/>
      <c r="H606" s="40"/>
      <c r="I606" s="40"/>
      <c r="J606" s="248">
        <f>IF(J605&lt;=0,0,IF(J605&lt;=10,1,IF(J605&lt;=25,2,IF(J605&lt;=50,3,4))))</f>
        <v>0</v>
      </c>
      <c r="K606" s="41"/>
    </row>
    <row r="607" spans="2:11" ht="9.75" customHeight="1" x14ac:dyDescent="0.2">
      <c r="B607" s="38"/>
      <c r="C607" s="279" t="str">
        <f>"0:"</f>
        <v>0:</v>
      </c>
      <c r="D607" s="290" t="s">
        <v>944</v>
      </c>
      <c r="E607" s="40"/>
      <c r="F607" s="40"/>
      <c r="G607" s="40"/>
      <c r="H607" s="40"/>
      <c r="I607" s="40"/>
      <c r="J607" s="244"/>
      <c r="K607" s="41"/>
    </row>
    <row r="608" spans="2:11" ht="9.75" customHeight="1" x14ac:dyDescent="0.2">
      <c r="B608" s="38"/>
      <c r="C608" s="280" t="str">
        <f>"1:"</f>
        <v>1:</v>
      </c>
      <c r="D608" s="290" t="s">
        <v>947</v>
      </c>
      <c r="E608" s="40"/>
      <c r="F608" s="40"/>
      <c r="G608" s="40"/>
      <c r="H608" s="40"/>
      <c r="I608" s="40"/>
      <c r="J608" s="244"/>
      <c r="K608" s="41"/>
    </row>
    <row r="609" spans="2:11" ht="9.75" customHeight="1" x14ac:dyDescent="0.2">
      <c r="B609" s="38"/>
      <c r="C609" s="280" t="str">
        <f>"2:"</f>
        <v>2:</v>
      </c>
      <c r="D609" s="290" t="s">
        <v>972</v>
      </c>
      <c r="E609" s="40"/>
      <c r="F609" s="40"/>
      <c r="G609" s="40"/>
      <c r="H609" s="40"/>
      <c r="I609" s="40"/>
      <c r="J609" s="244"/>
      <c r="K609" s="41"/>
    </row>
    <row r="610" spans="2:11" ht="9.75" customHeight="1" x14ac:dyDescent="0.2">
      <c r="B610" s="38"/>
      <c r="C610" s="280" t="str">
        <f>"3:"</f>
        <v>3:</v>
      </c>
      <c r="D610" s="290" t="s">
        <v>973</v>
      </c>
      <c r="E610" s="40"/>
      <c r="F610" s="40"/>
      <c r="G610" s="40"/>
      <c r="H610" s="40"/>
      <c r="I610" s="40"/>
      <c r="J610" s="244"/>
      <c r="K610" s="41"/>
    </row>
    <row r="611" spans="2:11" ht="9.75" customHeight="1" x14ac:dyDescent="0.2">
      <c r="B611" s="38"/>
      <c r="C611" s="280" t="str">
        <f>"4:"</f>
        <v>4:</v>
      </c>
      <c r="D611" s="290" t="s">
        <v>974</v>
      </c>
      <c r="E611" s="40"/>
      <c r="F611" s="40"/>
      <c r="G611" s="40"/>
      <c r="H611" s="40"/>
      <c r="I611" s="40"/>
      <c r="J611" s="40"/>
      <c r="K611" s="41"/>
    </row>
    <row r="612" spans="2:11" x14ac:dyDescent="0.2">
      <c r="B612" s="38"/>
      <c r="C612" s="40" t="s">
        <v>893</v>
      </c>
      <c r="D612" s="40"/>
      <c r="E612" s="40"/>
      <c r="F612" s="40"/>
      <c r="G612" s="40"/>
      <c r="H612" s="40"/>
      <c r="I612" s="40"/>
      <c r="J612" s="40"/>
      <c r="K612" s="41"/>
    </row>
    <row r="613" spans="2:11" ht="30" customHeight="1" x14ac:dyDescent="0.2">
      <c r="B613" s="38"/>
      <c r="C613" s="399"/>
      <c r="D613" s="400"/>
      <c r="E613" s="400"/>
      <c r="F613" s="400"/>
      <c r="G613" s="400"/>
      <c r="H613" s="400"/>
      <c r="I613" s="400"/>
      <c r="J613" s="401"/>
      <c r="K613" s="41"/>
    </row>
    <row r="614" spans="2:11" x14ac:dyDescent="0.2">
      <c r="B614" s="38"/>
      <c r="C614" s="40"/>
      <c r="D614" s="40"/>
      <c r="E614" s="40"/>
      <c r="F614" s="40"/>
      <c r="G614" s="40"/>
      <c r="H614" s="40"/>
      <c r="I614" s="40"/>
      <c r="J614" s="40"/>
      <c r="K614" s="41"/>
    </row>
    <row r="615" spans="2:11" x14ac:dyDescent="0.2">
      <c r="B615" s="38"/>
      <c r="C615" s="179" t="s">
        <v>327</v>
      </c>
      <c r="D615" s="40"/>
      <c r="E615" s="40"/>
      <c r="F615" s="40"/>
      <c r="G615" s="40"/>
      <c r="H615" s="40"/>
      <c r="I615" s="40"/>
      <c r="J615" s="245">
        <f>J606</f>
        <v>0</v>
      </c>
      <c r="K615" s="41"/>
    </row>
    <row r="616" spans="2:11" x14ac:dyDescent="0.2">
      <c r="B616" s="38"/>
      <c r="C616" s="40"/>
      <c r="D616" s="40"/>
      <c r="E616" s="40"/>
      <c r="F616" s="40"/>
      <c r="G616" s="40"/>
      <c r="H616" s="40"/>
      <c r="I616" s="40"/>
      <c r="J616" s="40"/>
      <c r="K616" s="41"/>
    </row>
    <row r="617" spans="2:11" x14ac:dyDescent="0.2">
      <c r="B617" s="38"/>
      <c r="C617" s="40"/>
      <c r="D617" s="40"/>
      <c r="E617" s="40"/>
      <c r="F617" s="40"/>
      <c r="G617" s="40"/>
      <c r="H617" s="40"/>
      <c r="I617" s="40"/>
      <c r="J617" s="40"/>
      <c r="K617" s="41"/>
    </row>
    <row r="618" spans="2:11" ht="16" x14ac:dyDescent="0.2">
      <c r="B618" s="38"/>
      <c r="C618" s="45" t="s">
        <v>92</v>
      </c>
      <c r="D618" s="40"/>
      <c r="E618" s="40"/>
      <c r="F618" s="40"/>
      <c r="G618" s="40"/>
      <c r="H618" s="40"/>
      <c r="I618" s="40"/>
      <c r="J618" s="40"/>
      <c r="K618" s="41"/>
    </row>
    <row r="619" spans="2:11" x14ac:dyDescent="0.2">
      <c r="B619" s="38"/>
      <c r="C619" s="40" t="s">
        <v>337</v>
      </c>
      <c r="D619" s="40"/>
      <c r="E619" s="40"/>
      <c r="F619" s="40"/>
      <c r="G619" s="40"/>
      <c r="H619" s="40"/>
      <c r="I619" s="40"/>
      <c r="J619" s="251">
        <f>'Baseline Health'!G137</f>
        <v>1</v>
      </c>
      <c r="K619" s="41"/>
    </row>
    <row r="620" spans="2:11" ht="15" customHeight="1" x14ac:dyDescent="0.2">
      <c r="B620" s="38"/>
      <c r="C620" s="380" t="s">
        <v>338</v>
      </c>
      <c r="D620" s="380"/>
      <c r="E620" s="380"/>
      <c r="F620" s="380"/>
      <c r="G620" s="380"/>
      <c r="H620" s="380"/>
      <c r="I620" s="380"/>
      <c r="J620" s="251"/>
      <c r="K620" s="41"/>
    </row>
    <row r="621" spans="2:11" x14ac:dyDescent="0.2">
      <c r="B621" s="38"/>
      <c r="C621" s="380"/>
      <c r="D621" s="380"/>
      <c r="E621" s="380"/>
      <c r="F621" s="380"/>
      <c r="G621" s="380"/>
      <c r="H621" s="380"/>
      <c r="I621" s="380"/>
      <c r="J621" s="264">
        <v>0</v>
      </c>
      <c r="K621" s="41"/>
    </row>
    <row r="622" spans="2:11" x14ac:dyDescent="0.2">
      <c r="B622" s="38"/>
      <c r="C622" s="40" t="s">
        <v>260</v>
      </c>
      <c r="D622" s="40"/>
      <c r="E622" s="40"/>
      <c r="F622" s="40"/>
      <c r="G622" s="40"/>
      <c r="H622" s="40"/>
      <c r="I622" s="40"/>
      <c r="J622" s="248">
        <f>IF(OR(J619=0,J619="Not Calculated")=TRUE,"Not Calculated",IF(((J619+J621)/J619)&lt;=1,0,IF(((J619+J621)/J619)&lt;=1.05,1,IF(((J619+J621)/J619)&lt;=1.5, 2,IF(((J619+J621)/J619)&lt;=2,3,4)))))</f>
        <v>0</v>
      </c>
      <c r="K622" s="41"/>
    </row>
    <row r="623" spans="2:11" ht="9.75" customHeight="1" x14ac:dyDescent="0.2">
      <c r="B623" s="38"/>
      <c r="C623" s="279" t="str">
        <f>"0:"</f>
        <v>0:</v>
      </c>
      <c r="D623" s="281" t="s">
        <v>918</v>
      </c>
      <c r="E623" s="291"/>
      <c r="F623" s="291"/>
      <c r="G623" s="291"/>
      <c r="H623" s="291"/>
      <c r="I623" s="291"/>
      <c r="J623" s="251"/>
      <c r="K623" s="41"/>
    </row>
    <row r="624" spans="2:11" ht="9.75" customHeight="1" x14ac:dyDescent="0.2">
      <c r="B624" s="38"/>
      <c r="C624" s="280" t="str">
        <f>"1:"</f>
        <v>1:</v>
      </c>
      <c r="D624" s="281" t="s">
        <v>919</v>
      </c>
      <c r="E624" s="291"/>
      <c r="F624" s="291"/>
      <c r="G624" s="291"/>
      <c r="H624" s="291"/>
      <c r="I624" s="291"/>
      <c r="J624" s="251"/>
      <c r="K624" s="41"/>
    </row>
    <row r="625" spans="2:14" ht="9.75" customHeight="1" x14ac:dyDescent="0.2">
      <c r="B625" s="38"/>
      <c r="C625" s="280" t="str">
        <f>"2:"</f>
        <v>2:</v>
      </c>
      <c r="D625" s="281" t="s">
        <v>920</v>
      </c>
      <c r="E625" s="291"/>
      <c r="F625" s="291"/>
      <c r="G625" s="291"/>
      <c r="H625" s="291"/>
      <c r="I625" s="291"/>
      <c r="J625" s="251"/>
      <c r="K625" s="41"/>
    </row>
    <row r="626" spans="2:14" ht="9.75" customHeight="1" x14ac:dyDescent="0.2">
      <c r="B626" s="38"/>
      <c r="C626" s="280" t="str">
        <f>"3:"</f>
        <v>3:</v>
      </c>
      <c r="D626" s="281" t="s">
        <v>921</v>
      </c>
      <c r="E626" s="291"/>
      <c r="F626" s="291"/>
      <c r="G626" s="291"/>
      <c r="H626" s="291"/>
      <c r="I626" s="291"/>
      <c r="J626" s="251"/>
      <c r="K626" s="41"/>
    </row>
    <row r="627" spans="2:14" ht="9.75" customHeight="1" x14ac:dyDescent="0.2">
      <c r="B627" s="38"/>
      <c r="C627" s="280" t="str">
        <f>"4:"</f>
        <v>4:</v>
      </c>
      <c r="D627" s="281" t="s">
        <v>922</v>
      </c>
      <c r="E627" s="40"/>
      <c r="F627" s="40"/>
      <c r="G627" s="40"/>
      <c r="H627" s="40"/>
      <c r="I627" s="40"/>
      <c r="J627" s="40"/>
      <c r="K627" s="41"/>
      <c r="N627" s="12" t="s">
        <v>661</v>
      </c>
    </row>
    <row r="628" spans="2:14" x14ac:dyDescent="0.2">
      <c r="B628" s="38"/>
      <c r="C628" s="174" t="s">
        <v>662</v>
      </c>
      <c r="D628" s="40"/>
      <c r="E628" s="40"/>
      <c r="F628" s="40"/>
      <c r="G628" s="40"/>
      <c r="H628" s="40"/>
      <c r="I628" s="40"/>
      <c r="J628" s="265" t="s">
        <v>661</v>
      </c>
      <c r="K628" s="41"/>
      <c r="N628" s="12" t="s">
        <v>894</v>
      </c>
    </row>
    <row r="629" spans="2:14" x14ac:dyDescent="0.2">
      <c r="B629" s="38"/>
      <c r="C629" s="174" t="s">
        <v>660</v>
      </c>
      <c r="D629" s="40"/>
      <c r="E629" s="40"/>
      <c r="F629" s="40"/>
      <c r="G629" s="40"/>
      <c r="H629" s="40"/>
      <c r="I629" s="40"/>
      <c r="J629" s="247" t="str">
        <f>IF(J628=N627,"N/A",IF(J628=N628,0,IF(J628=N629,1,IF(J628=N630,2,IF(J628=N631,3,IF(J628=N632,4,"N/A"))))))</f>
        <v>N/A</v>
      </c>
      <c r="K629" s="41"/>
      <c r="N629" s="12" t="s">
        <v>895</v>
      </c>
    </row>
    <row r="630" spans="2:14" x14ac:dyDescent="0.2">
      <c r="B630" s="38"/>
      <c r="C630" s="40" t="s">
        <v>257</v>
      </c>
      <c r="D630" s="40"/>
      <c r="E630" s="40"/>
      <c r="F630" s="40"/>
      <c r="G630" s="40"/>
      <c r="H630" s="40"/>
      <c r="I630" s="40"/>
      <c r="J630" s="266" t="s">
        <v>870</v>
      </c>
      <c r="K630" s="41"/>
      <c r="N630" s="12" t="s">
        <v>896</v>
      </c>
    </row>
    <row r="631" spans="2:14" x14ac:dyDescent="0.2">
      <c r="B631" s="38"/>
      <c r="C631" s="40" t="s">
        <v>261</v>
      </c>
      <c r="D631" s="40"/>
      <c r="E631" s="40"/>
      <c r="F631" s="40"/>
      <c r="G631" s="40"/>
      <c r="H631" s="40"/>
      <c r="I631" s="40"/>
      <c r="J631" s="248">
        <f>IF(J630=$B$973,$A$973,IF(J630=$B$974,$A$974,IF(J630=$B$975,$A$975,IF(J630=$B$976,$A$976,IF(J630=$B$977,$A$977,"Not Calculated")))))</f>
        <v>0</v>
      </c>
      <c r="K631" s="41"/>
      <c r="N631" s="12" t="s">
        <v>897</v>
      </c>
    </row>
    <row r="632" spans="2:14" x14ac:dyDescent="0.2">
      <c r="B632" s="38"/>
      <c r="C632" s="40" t="s">
        <v>893</v>
      </c>
      <c r="D632" s="40"/>
      <c r="E632" s="40"/>
      <c r="F632" s="40"/>
      <c r="G632" s="40"/>
      <c r="H632" s="40"/>
      <c r="I632" s="40"/>
      <c r="J632" s="40"/>
      <c r="K632" s="41"/>
      <c r="N632" s="12" t="s">
        <v>898</v>
      </c>
    </row>
    <row r="633" spans="2:14" ht="30" customHeight="1" x14ac:dyDescent="0.2">
      <c r="B633" s="38"/>
      <c r="C633" s="399"/>
      <c r="D633" s="400"/>
      <c r="E633" s="400"/>
      <c r="F633" s="400"/>
      <c r="G633" s="400"/>
      <c r="H633" s="400"/>
      <c r="I633" s="400"/>
      <c r="J633" s="401"/>
      <c r="K633" s="41"/>
    </row>
    <row r="634" spans="2:14" x14ac:dyDescent="0.2">
      <c r="B634" s="38"/>
      <c r="C634" s="40"/>
      <c r="D634" s="40"/>
      <c r="E634" s="40"/>
      <c r="F634" s="40"/>
      <c r="G634" s="40"/>
      <c r="H634" s="40"/>
      <c r="I634" s="40"/>
      <c r="J634" s="40"/>
      <c r="K634" s="41"/>
    </row>
    <row r="635" spans="2:14" x14ac:dyDescent="0.2">
      <c r="B635" s="38"/>
      <c r="C635" s="179" t="s">
        <v>328</v>
      </c>
      <c r="D635" s="40"/>
      <c r="E635" s="40"/>
      <c r="F635" s="40"/>
      <c r="G635" s="40"/>
      <c r="H635" s="40"/>
      <c r="I635" s="40"/>
      <c r="J635" s="245">
        <f>IF(J629="N/A",IF(OR(J622="Not Calculated",J631="Not Calculated")=TRUE,"Not Calculated",AVERAGE(J622,J631)),AVERAGE(J629,J631))</f>
        <v>0</v>
      </c>
      <c r="K635" s="41"/>
    </row>
    <row r="636" spans="2:14" x14ac:dyDescent="0.2">
      <c r="B636" s="38"/>
      <c r="C636" s="40"/>
      <c r="D636" s="40"/>
      <c r="E636" s="40"/>
      <c r="F636" s="40"/>
      <c r="G636" s="40"/>
      <c r="H636" s="40"/>
      <c r="I636" s="40"/>
      <c r="J636" s="40"/>
      <c r="K636" s="41"/>
    </row>
    <row r="637" spans="2:14" x14ac:dyDescent="0.2">
      <c r="B637" s="38"/>
      <c r="C637" s="40"/>
      <c r="D637" s="40"/>
      <c r="E637" s="40"/>
      <c r="F637" s="40"/>
      <c r="G637" s="40"/>
      <c r="H637" s="40"/>
      <c r="I637" s="40"/>
      <c r="J637" s="40"/>
      <c r="K637" s="41"/>
    </row>
    <row r="638" spans="2:14" ht="16" x14ac:dyDescent="0.2">
      <c r="B638" s="38"/>
      <c r="C638" s="45" t="s">
        <v>329</v>
      </c>
      <c r="D638" s="40"/>
      <c r="E638" s="40"/>
      <c r="F638" s="40"/>
      <c r="G638" s="40"/>
      <c r="H638" s="40"/>
      <c r="I638" s="40"/>
      <c r="J638" s="40"/>
      <c r="K638" s="41"/>
    </row>
    <row r="639" spans="2:14" ht="15" customHeight="1" x14ac:dyDescent="0.2">
      <c r="B639" s="38"/>
      <c r="C639" s="380" t="s">
        <v>339</v>
      </c>
      <c r="D639" s="380"/>
      <c r="E639" s="380"/>
      <c r="F639" s="380"/>
      <c r="G639" s="380"/>
      <c r="H639" s="380"/>
      <c r="I639" s="380"/>
      <c r="J639" s="40"/>
      <c r="K639" s="41"/>
    </row>
    <row r="640" spans="2:14" x14ac:dyDescent="0.2">
      <c r="B640" s="38"/>
      <c r="C640" s="380"/>
      <c r="D640" s="380"/>
      <c r="E640" s="380"/>
      <c r="F640" s="380"/>
      <c r="G640" s="380"/>
      <c r="H640" s="380"/>
      <c r="I640" s="380"/>
      <c r="J640" s="250">
        <f>'Baseline Health'!G145</f>
        <v>0</v>
      </c>
      <c r="K640" s="41"/>
    </row>
    <row r="641" spans="2:14" ht="15" customHeight="1" x14ac:dyDescent="0.2">
      <c r="B641" s="38"/>
      <c r="C641" s="380" t="s">
        <v>340</v>
      </c>
      <c r="D641" s="380"/>
      <c r="E641" s="380"/>
      <c r="F641" s="380"/>
      <c r="G641" s="380"/>
      <c r="H641" s="380"/>
      <c r="I641" s="380"/>
      <c r="J641" s="245"/>
      <c r="K641" s="41"/>
    </row>
    <row r="642" spans="2:14" x14ac:dyDescent="0.2">
      <c r="B642" s="38"/>
      <c r="C642" s="380"/>
      <c r="D642" s="380"/>
      <c r="E642" s="380"/>
      <c r="F642" s="380"/>
      <c r="G642" s="380"/>
      <c r="H642" s="380"/>
      <c r="I642" s="380"/>
      <c r="J642" s="245"/>
      <c r="K642" s="41"/>
    </row>
    <row r="643" spans="2:14" x14ac:dyDescent="0.2">
      <c r="B643" s="38"/>
      <c r="C643" s="380"/>
      <c r="D643" s="380"/>
      <c r="E643" s="380"/>
      <c r="F643" s="380"/>
      <c r="G643" s="380"/>
      <c r="H643" s="380"/>
      <c r="I643" s="380"/>
      <c r="J643" s="272">
        <v>75</v>
      </c>
      <c r="K643" s="41"/>
    </row>
    <row r="644" spans="2:14" x14ac:dyDescent="0.2">
      <c r="B644" s="38"/>
      <c r="C644" s="40" t="s">
        <v>260</v>
      </c>
      <c r="D644" s="40"/>
      <c r="E644" s="40"/>
      <c r="F644" s="40"/>
      <c r="G644" s="40"/>
      <c r="H644" s="40"/>
      <c r="I644" s="40"/>
      <c r="J644" s="248" t="str">
        <f>IF(OR(J640=0,J640="Not Calculated")=TRUE,"Not Calculated",IF(((J640+J643)/J640)&lt;=1,0,IF(((J640+J643)/J640)&lt;=1.05,1,IF(((J640+J643)/J640)&lt;=1.5, 2,IF(((J640+J643)/J640)&lt;=2,3,4)))))</f>
        <v>Not Calculated</v>
      </c>
      <c r="K644" s="41"/>
    </row>
    <row r="645" spans="2:14" ht="9.75" customHeight="1" x14ac:dyDescent="0.2">
      <c r="B645" s="38"/>
      <c r="C645" s="279" t="str">
        <f>"0:"</f>
        <v>0:</v>
      </c>
      <c r="D645" s="281" t="s">
        <v>918</v>
      </c>
      <c r="E645" s="291"/>
      <c r="F645" s="291"/>
      <c r="G645" s="291"/>
      <c r="H645" s="291"/>
      <c r="I645" s="291"/>
      <c r="J645" s="250"/>
      <c r="K645" s="41"/>
    </row>
    <row r="646" spans="2:14" ht="9.75" customHeight="1" x14ac:dyDescent="0.2">
      <c r="B646" s="38"/>
      <c r="C646" s="280" t="str">
        <f>"1:"</f>
        <v>1:</v>
      </c>
      <c r="D646" s="281" t="s">
        <v>919</v>
      </c>
      <c r="E646" s="291"/>
      <c r="F646" s="291"/>
      <c r="G646" s="291"/>
      <c r="H646" s="291"/>
      <c r="I646" s="291"/>
      <c r="J646" s="250"/>
      <c r="K646" s="41"/>
    </row>
    <row r="647" spans="2:14" ht="9.75" customHeight="1" x14ac:dyDescent="0.2">
      <c r="B647" s="38"/>
      <c r="C647" s="280" t="str">
        <f>"2:"</f>
        <v>2:</v>
      </c>
      <c r="D647" s="281" t="s">
        <v>920</v>
      </c>
      <c r="E647" s="291"/>
      <c r="F647" s="291"/>
      <c r="G647" s="291"/>
      <c r="H647" s="291"/>
      <c r="I647" s="291"/>
      <c r="J647" s="250"/>
      <c r="K647" s="41"/>
    </row>
    <row r="648" spans="2:14" ht="9.75" customHeight="1" x14ac:dyDescent="0.2">
      <c r="B648" s="38"/>
      <c r="C648" s="280" t="str">
        <f>"3:"</f>
        <v>3:</v>
      </c>
      <c r="D648" s="281" t="s">
        <v>921</v>
      </c>
      <c r="E648" s="291"/>
      <c r="F648" s="291"/>
      <c r="G648" s="291"/>
      <c r="H648" s="291"/>
      <c r="I648" s="291"/>
      <c r="J648" s="250"/>
      <c r="K648" s="41"/>
    </row>
    <row r="649" spans="2:14" ht="9.75" customHeight="1" x14ac:dyDescent="0.2">
      <c r="B649" s="38"/>
      <c r="C649" s="280" t="str">
        <f>"4:"</f>
        <v>4:</v>
      </c>
      <c r="D649" s="281" t="s">
        <v>922</v>
      </c>
      <c r="E649" s="40"/>
      <c r="F649" s="40"/>
      <c r="G649" s="40"/>
      <c r="H649" s="40"/>
      <c r="I649" s="40"/>
      <c r="J649" s="40"/>
      <c r="K649" s="41"/>
      <c r="N649" s="12" t="s">
        <v>661</v>
      </c>
    </row>
    <row r="650" spans="2:14" x14ac:dyDescent="0.2">
      <c r="B650" s="38"/>
      <c r="C650" s="174" t="s">
        <v>662</v>
      </c>
      <c r="D650" s="40"/>
      <c r="E650" s="40"/>
      <c r="F650" s="40"/>
      <c r="G650" s="40"/>
      <c r="H650" s="40"/>
      <c r="I650" s="40"/>
      <c r="J650" s="265" t="s">
        <v>661</v>
      </c>
      <c r="K650" s="41"/>
      <c r="N650" s="12" t="s">
        <v>894</v>
      </c>
    </row>
    <row r="651" spans="2:14" x14ac:dyDescent="0.2">
      <c r="B651" s="38"/>
      <c r="C651" s="174" t="s">
        <v>660</v>
      </c>
      <c r="D651" s="40"/>
      <c r="E651" s="40"/>
      <c r="F651" s="40"/>
      <c r="G651" s="40"/>
      <c r="H651" s="40"/>
      <c r="I651" s="40"/>
      <c r="J651" s="247" t="str">
        <f>IF(J650=N649,"N/A",IF(J650=N650,0,IF(J650=N651,1,IF(J650=N652,2,IF(J650=N653,3,IF(J650=N654,4,"N/A"))))))</f>
        <v>N/A</v>
      </c>
      <c r="K651" s="41"/>
      <c r="N651" s="12" t="s">
        <v>895</v>
      </c>
    </row>
    <row r="652" spans="2:14" ht="15" customHeight="1" x14ac:dyDescent="0.2">
      <c r="B652" s="38"/>
      <c r="C652" s="40" t="s">
        <v>257</v>
      </c>
      <c r="D652" s="40"/>
      <c r="E652" s="40"/>
      <c r="F652" s="40"/>
      <c r="G652" s="40"/>
      <c r="H652" s="40"/>
      <c r="I652" s="40"/>
      <c r="J652" s="266" t="s">
        <v>874</v>
      </c>
      <c r="K652" s="41"/>
      <c r="N652" s="12" t="s">
        <v>896</v>
      </c>
    </row>
    <row r="653" spans="2:14" x14ac:dyDescent="0.2">
      <c r="B653" s="38"/>
      <c r="C653" s="40" t="s">
        <v>261</v>
      </c>
      <c r="D653" s="40"/>
      <c r="E653" s="40"/>
      <c r="F653" s="40"/>
      <c r="G653" s="40"/>
      <c r="H653" s="40"/>
      <c r="I653" s="40"/>
      <c r="J653" s="248">
        <f>IF(J652=$B$973,$A$973,IF(J652=$B$974,$A$974,IF(J652=$B$975,$A$975,IF(J652=$B$976,$A$976,IF(J652=$B$977,$A$977,"Not Calculated")))))</f>
        <v>4</v>
      </c>
      <c r="K653" s="41"/>
      <c r="N653" s="12" t="s">
        <v>897</v>
      </c>
    </row>
    <row r="654" spans="2:14" x14ac:dyDescent="0.2">
      <c r="B654" s="38"/>
      <c r="C654" s="40" t="s">
        <v>893</v>
      </c>
      <c r="D654" s="40"/>
      <c r="E654" s="40"/>
      <c r="F654" s="40"/>
      <c r="G654" s="40"/>
      <c r="H654" s="40"/>
      <c r="I654" s="40"/>
      <c r="J654" s="40"/>
      <c r="K654" s="41"/>
      <c r="N654" s="12" t="s">
        <v>898</v>
      </c>
    </row>
    <row r="655" spans="2:14" ht="30" customHeight="1" x14ac:dyDescent="0.2">
      <c r="B655" s="38"/>
      <c r="C655" s="399" t="s">
        <v>477</v>
      </c>
      <c r="D655" s="400"/>
      <c r="E655" s="400"/>
      <c r="F655" s="400"/>
      <c r="G655" s="400"/>
      <c r="H655" s="400"/>
      <c r="I655" s="400"/>
      <c r="J655" s="401"/>
      <c r="K655" s="41"/>
    </row>
    <row r="656" spans="2:14" x14ac:dyDescent="0.2">
      <c r="B656" s="38"/>
      <c r="C656" s="40"/>
      <c r="D656" s="40"/>
      <c r="E656" s="40"/>
      <c r="F656" s="40"/>
      <c r="G656" s="40"/>
      <c r="H656" s="40"/>
      <c r="I656" s="40"/>
      <c r="J656" s="40"/>
      <c r="K656" s="41"/>
    </row>
    <row r="657" spans="2:14" x14ac:dyDescent="0.2">
      <c r="B657" s="38"/>
      <c r="C657" s="179" t="s">
        <v>330</v>
      </c>
      <c r="D657" s="40"/>
      <c r="E657" s="40"/>
      <c r="F657" s="40"/>
      <c r="G657" s="40"/>
      <c r="H657" s="40"/>
      <c r="I657" s="40"/>
      <c r="J657" s="245" t="str">
        <f>IF(J651="N/A",IF(OR(J644="Not Calculated",J653="Not Calculated")=TRUE,"Not Calculated",AVERAGE(J644,J653)),AVERAGE(J651,J653))</f>
        <v>Not Calculated</v>
      </c>
      <c r="K657" s="41"/>
    </row>
    <row r="658" spans="2:14" x14ac:dyDescent="0.2">
      <c r="B658" s="38"/>
      <c r="C658" s="40"/>
      <c r="D658" s="40"/>
      <c r="E658" s="40"/>
      <c r="F658" s="40"/>
      <c r="G658" s="40"/>
      <c r="H658" s="40"/>
      <c r="I658" s="40"/>
      <c r="J658" s="40"/>
      <c r="K658" s="41"/>
    </row>
    <row r="659" spans="2:14" x14ac:dyDescent="0.2">
      <c r="B659" s="38"/>
      <c r="C659" s="40"/>
      <c r="D659" s="40"/>
      <c r="E659" s="40"/>
      <c r="F659" s="40"/>
      <c r="G659" s="40"/>
      <c r="H659" s="40"/>
      <c r="I659" s="40"/>
      <c r="J659" s="40"/>
      <c r="K659" s="41"/>
    </row>
    <row r="660" spans="2:14" ht="16" x14ac:dyDescent="0.2">
      <c r="B660" s="38"/>
      <c r="C660" s="45" t="s">
        <v>97</v>
      </c>
      <c r="D660" s="40"/>
      <c r="E660" s="40"/>
      <c r="F660" s="40"/>
      <c r="G660" s="40"/>
      <c r="H660" s="40"/>
      <c r="I660" s="40"/>
      <c r="J660" s="40"/>
      <c r="K660" s="41"/>
    </row>
    <row r="661" spans="2:14" x14ac:dyDescent="0.2">
      <c r="B661" s="38"/>
      <c r="C661" s="40" t="s">
        <v>449</v>
      </c>
      <c r="D661" s="40"/>
      <c r="E661" s="40"/>
      <c r="F661" s="40"/>
      <c r="G661" s="40"/>
      <c r="H661" s="40"/>
      <c r="I661" s="40"/>
      <c r="J661" s="249">
        <f>'Baseline Health'!G150</f>
        <v>0</v>
      </c>
      <c r="K661" s="41"/>
    </row>
    <row r="662" spans="2:14" x14ac:dyDescent="0.2">
      <c r="B662" s="38"/>
      <c r="C662" s="40" t="s">
        <v>341</v>
      </c>
      <c r="D662" s="40"/>
      <c r="E662" s="40"/>
      <c r="F662" s="40"/>
      <c r="G662" s="40"/>
      <c r="H662" s="40"/>
      <c r="I662" s="40"/>
      <c r="J662" s="273">
        <v>0</v>
      </c>
      <c r="K662" s="41"/>
    </row>
    <row r="663" spans="2:14" x14ac:dyDescent="0.2">
      <c r="B663" s="38"/>
      <c r="C663" s="40" t="s">
        <v>450</v>
      </c>
      <c r="D663" s="40"/>
      <c r="E663" s="40"/>
      <c r="F663" s="40"/>
      <c r="G663" s="40"/>
      <c r="H663" s="40"/>
      <c r="I663" s="40"/>
      <c r="J663" s="243">
        <f>J26</f>
        <v>0</v>
      </c>
      <c r="K663" s="41"/>
    </row>
    <row r="664" spans="2:14" ht="15" customHeight="1" x14ac:dyDescent="0.2">
      <c r="B664" s="38"/>
      <c r="C664" s="291"/>
      <c r="D664" s="380" t="s">
        <v>342</v>
      </c>
      <c r="E664" s="380"/>
      <c r="F664" s="380"/>
      <c r="G664" s="380"/>
      <c r="H664" s="380"/>
      <c r="I664" s="380"/>
      <c r="J664" s="245"/>
      <c r="K664" s="41"/>
    </row>
    <row r="665" spans="2:14" x14ac:dyDescent="0.2">
      <c r="B665" s="38"/>
      <c r="C665" s="291"/>
      <c r="D665" s="380"/>
      <c r="E665" s="380"/>
      <c r="F665" s="380"/>
      <c r="G665" s="380"/>
      <c r="H665" s="380"/>
      <c r="I665" s="380"/>
      <c r="J665" s="245"/>
      <c r="K665" s="41"/>
    </row>
    <row r="666" spans="2:14" x14ac:dyDescent="0.2">
      <c r="B666" s="38"/>
      <c r="C666" s="40" t="s">
        <v>260</v>
      </c>
      <c r="D666" s="40"/>
      <c r="E666" s="40"/>
      <c r="F666" s="40"/>
      <c r="G666" s="40"/>
      <c r="H666" s="40"/>
      <c r="I666" s="40"/>
      <c r="J666" s="245" t="str">
        <f>IF(OR(J661=0,J661="Not Calculated")=TRUE,"Not Calculated",IF(((J661+J663)/(J661-J662))&lt;=1,0,IF(((J661+J663)/(J661-J662))&lt;=1.1,1,IF(((J661+J663)/(J661-J662))&lt;=1.5, 2,IF(((J661+J663)/(J661-J662))&lt;=2,3,4)))))</f>
        <v>Not Calculated</v>
      </c>
      <c r="K666" s="41"/>
    </row>
    <row r="667" spans="2:14" ht="9.75" customHeight="1" x14ac:dyDescent="0.2">
      <c r="B667" s="38"/>
      <c r="C667" s="279" t="str">
        <f>"0:"</f>
        <v>0:</v>
      </c>
      <c r="D667" s="278" t="s">
        <v>918</v>
      </c>
      <c r="E667" s="291"/>
      <c r="F667" s="291"/>
      <c r="G667" s="291"/>
      <c r="H667" s="291"/>
      <c r="I667" s="291"/>
      <c r="J667" s="245"/>
      <c r="K667" s="41"/>
    </row>
    <row r="668" spans="2:14" ht="9.75" customHeight="1" x14ac:dyDescent="0.2">
      <c r="B668" s="38"/>
      <c r="C668" s="280" t="str">
        <f>"1:"</f>
        <v>1:</v>
      </c>
      <c r="D668" s="278" t="s">
        <v>923</v>
      </c>
      <c r="E668" s="291"/>
      <c r="F668" s="291"/>
      <c r="G668" s="291"/>
      <c r="H668" s="291"/>
      <c r="I668" s="291"/>
      <c r="J668" s="245"/>
      <c r="K668" s="41"/>
    </row>
    <row r="669" spans="2:14" ht="9.75" customHeight="1" x14ac:dyDescent="0.2">
      <c r="B669" s="38"/>
      <c r="C669" s="280" t="str">
        <f>"2:"</f>
        <v>2:</v>
      </c>
      <c r="D669" s="278" t="s">
        <v>924</v>
      </c>
      <c r="E669" s="291"/>
      <c r="F669" s="291"/>
      <c r="G669" s="291"/>
      <c r="H669" s="291"/>
      <c r="I669" s="291"/>
      <c r="J669" s="245"/>
      <c r="K669" s="41"/>
    </row>
    <row r="670" spans="2:14" ht="9.75" customHeight="1" x14ac:dyDescent="0.2">
      <c r="B670" s="38"/>
      <c r="C670" s="280" t="str">
        <f>"3:"</f>
        <v>3:</v>
      </c>
      <c r="D670" s="278" t="s">
        <v>925</v>
      </c>
      <c r="E670" s="291"/>
      <c r="F670" s="291"/>
      <c r="G670" s="291"/>
      <c r="H670" s="291"/>
      <c r="I670" s="291"/>
      <c r="J670" s="245"/>
      <c r="K670" s="41"/>
    </row>
    <row r="671" spans="2:14" ht="9.75" customHeight="1" x14ac:dyDescent="0.2">
      <c r="B671" s="38"/>
      <c r="C671" s="280" t="str">
        <f>"4:"</f>
        <v>4:</v>
      </c>
      <c r="D671" s="278" t="s">
        <v>926</v>
      </c>
      <c r="E671" s="40"/>
      <c r="F671" s="40"/>
      <c r="G671" s="40"/>
      <c r="H671" s="40"/>
      <c r="I671" s="40"/>
      <c r="J671" s="40"/>
      <c r="K671" s="41"/>
      <c r="N671" s="12" t="s">
        <v>661</v>
      </c>
    </row>
    <row r="672" spans="2:14" ht="15" customHeight="1" x14ac:dyDescent="0.2">
      <c r="B672" s="38"/>
      <c r="C672" s="174" t="s">
        <v>662</v>
      </c>
      <c r="D672" s="40"/>
      <c r="E672" s="40"/>
      <c r="F672" s="40"/>
      <c r="G672" s="40"/>
      <c r="H672" s="40"/>
      <c r="I672" s="40"/>
      <c r="J672" s="265" t="s">
        <v>661</v>
      </c>
      <c r="K672" s="41"/>
      <c r="N672" s="12" t="s">
        <v>894</v>
      </c>
    </row>
    <row r="673" spans="2:14" ht="15" customHeight="1" x14ac:dyDescent="0.2">
      <c r="B673" s="38"/>
      <c r="C673" s="174" t="s">
        <v>660</v>
      </c>
      <c r="D673" s="40"/>
      <c r="E673" s="40"/>
      <c r="F673" s="40"/>
      <c r="G673" s="40"/>
      <c r="H673" s="40"/>
      <c r="I673" s="40"/>
      <c r="J673" s="246" t="str">
        <f>IF(J672=N671,"N/A",IF(J672=N672,0,IF(J672=N673,1,IF(J672=N674,2,IF(J672=N675,3,IF(J672=N676,4,"N/A"))))))</f>
        <v>N/A</v>
      </c>
      <c r="K673" s="41"/>
      <c r="N673" s="12" t="s">
        <v>908</v>
      </c>
    </row>
    <row r="674" spans="2:14" ht="15" customHeight="1" x14ac:dyDescent="0.2">
      <c r="B674" s="38"/>
      <c r="C674" s="40" t="s">
        <v>257</v>
      </c>
      <c r="D674" s="40"/>
      <c r="E674" s="40"/>
      <c r="F674" s="40"/>
      <c r="G674" s="40"/>
      <c r="H674" s="40"/>
      <c r="I674" s="40"/>
      <c r="J674" s="266" t="s">
        <v>870</v>
      </c>
      <c r="K674" s="41"/>
      <c r="N674" s="12" t="s">
        <v>900</v>
      </c>
    </row>
    <row r="675" spans="2:14" x14ac:dyDescent="0.2">
      <c r="B675" s="38"/>
      <c r="C675" s="40" t="s">
        <v>261</v>
      </c>
      <c r="D675" s="40"/>
      <c r="E675" s="40"/>
      <c r="F675" s="40"/>
      <c r="G675" s="40"/>
      <c r="H675" s="40"/>
      <c r="I675" s="40"/>
      <c r="J675" s="248">
        <f>IF(J674=$B$973,$A$973,IF(J674=$B$974,$A$974,IF(J674=$B$975,$A$975,IF(J674=$B$976,$A$976,IF(J674=$B$977,$A$977,"Not Calculated")))))</f>
        <v>0</v>
      </c>
      <c r="K675" s="41"/>
      <c r="N675" s="12" t="s">
        <v>901</v>
      </c>
    </row>
    <row r="676" spans="2:14" ht="15" customHeight="1" x14ac:dyDescent="0.2">
      <c r="B676" s="38"/>
      <c r="C676" s="40" t="s">
        <v>893</v>
      </c>
      <c r="D676" s="40"/>
      <c r="E676" s="40"/>
      <c r="F676" s="40"/>
      <c r="G676" s="40"/>
      <c r="H676" s="40"/>
      <c r="I676" s="40"/>
      <c r="J676" s="40"/>
      <c r="K676" s="41"/>
      <c r="N676" s="12" t="s">
        <v>909</v>
      </c>
    </row>
    <row r="677" spans="2:14" ht="30" customHeight="1" x14ac:dyDescent="0.2">
      <c r="B677" s="38"/>
      <c r="C677" s="399"/>
      <c r="D677" s="400"/>
      <c r="E677" s="400"/>
      <c r="F677" s="400"/>
      <c r="G677" s="400"/>
      <c r="H677" s="400"/>
      <c r="I677" s="400"/>
      <c r="J677" s="401"/>
      <c r="K677" s="41"/>
    </row>
    <row r="678" spans="2:14" x14ac:dyDescent="0.2">
      <c r="B678" s="38"/>
      <c r="C678" s="40"/>
      <c r="D678" s="40"/>
      <c r="E678" s="40"/>
      <c r="F678" s="40"/>
      <c r="G678" s="40"/>
      <c r="H678" s="40"/>
      <c r="I678" s="40"/>
      <c r="J678" s="40"/>
      <c r="K678" s="41"/>
    </row>
    <row r="679" spans="2:14" x14ac:dyDescent="0.2">
      <c r="B679" s="38"/>
      <c r="C679" s="179" t="s">
        <v>331</v>
      </c>
      <c r="D679" s="40"/>
      <c r="E679" s="40"/>
      <c r="F679" s="40"/>
      <c r="G679" s="40"/>
      <c r="H679" s="40"/>
      <c r="I679" s="40"/>
      <c r="J679" s="245" t="str">
        <f>IF(J673="N/A",IF(OR(J666="Not Calculated",J675="Not Calculated")=TRUE,"Not Calculated",AVERAGE(J666,J675)),AVERAGE(J673,J675))</f>
        <v>Not Calculated</v>
      </c>
      <c r="K679" s="41"/>
    </row>
    <row r="680" spans="2:14" x14ac:dyDescent="0.2">
      <c r="B680" s="38"/>
      <c r="C680" s="40"/>
      <c r="D680" s="40"/>
      <c r="E680" s="40"/>
      <c r="F680" s="40"/>
      <c r="G680" s="40"/>
      <c r="H680" s="40"/>
      <c r="I680" s="40"/>
      <c r="J680" s="40"/>
      <c r="K680" s="41"/>
    </row>
    <row r="681" spans="2:14" ht="18" x14ac:dyDescent="0.2">
      <c r="B681" s="38"/>
      <c r="C681" s="180" t="s">
        <v>332</v>
      </c>
      <c r="D681" s="40"/>
      <c r="E681" s="40"/>
      <c r="F681" s="40"/>
      <c r="G681" s="40"/>
      <c r="H681" s="40"/>
      <c r="I681" s="40"/>
      <c r="J681" s="244" t="str">
        <f>IF(OR(J562="Not Calculated",J585="Not Calculated",J601="Not Calculated",J615="Not Calculated",J635="Not Calculated",J657="Not Calculated",J679="Not Calculated")=TRUE,"Not Calculated",AVERAGE(J562,J585,J601,J615,J635,J657,J679))</f>
        <v>Not Calculated</v>
      </c>
      <c r="K681" s="41"/>
    </row>
    <row r="682" spans="2:14" ht="16" thickBot="1" x14ac:dyDescent="0.25">
      <c r="B682" s="46"/>
      <c r="C682" s="47"/>
      <c r="D682" s="47"/>
      <c r="E682" s="47"/>
      <c r="F682" s="47"/>
      <c r="G682" s="47"/>
      <c r="H682" s="47"/>
      <c r="I682" s="47"/>
      <c r="J682" s="47"/>
      <c r="K682" s="49"/>
    </row>
    <row r="683" spans="2:14" ht="16" thickBot="1" x14ac:dyDescent="0.25"/>
    <row r="684" spans="2:14" x14ac:dyDescent="0.2">
      <c r="B684" s="33"/>
      <c r="C684" s="34"/>
      <c r="D684" s="34"/>
      <c r="E684" s="34"/>
      <c r="F684" s="34"/>
      <c r="G684" s="34"/>
      <c r="H684" s="34"/>
      <c r="I684" s="34"/>
      <c r="J684" s="34"/>
      <c r="K684" s="37"/>
    </row>
    <row r="685" spans="2:14" ht="21" x14ac:dyDescent="0.25">
      <c r="B685" s="38"/>
      <c r="C685" s="40"/>
      <c r="D685" s="40"/>
      <c r="E685" s="40"/>
      <c r="F685" s="40"/>
      <c r="G685" s="172" t="s">
        <v>346</v>
      </c>
      <c r="H685" s="40"/>
      <c r="I685" s="40"/>
      <c r="J685" s="40"/>
      <c r="K685" s="41"/>
    </row>
    <row r="686" spans="2:14" x14ac:dyDescent="0.2">
      <c r="B686" s="38"/>
      <c r="C686" s="40"/>
      <c r="D686" s="40"/>
      <c r="E686" s="40"/>
      <c r="F686" s="40"/>
      <c r="G686" s="40"/>
      <c r="H686" s="40"/>
      <c r="I686" s="40"/>
      <c r="J686" s="40"/>
      <c r="K686" s="41"/>
    </row>
    <row r="687" spans="2:14" ht="16" x14ac:dyDescent="0.2">
      <c r="B687" s="38"/>
      <c r="C687" s="182" t="s">
        <v>986</v>
      </c>
      <c r="D687" s="40"/>
      <c r="E687" s="40"/>
      <c r="F687" s="40"/>
      <c r="G687" s="40"/>
      <c r="H687" s="40"/>
      <c r="I687" s="40"/>
      <c r="J687" s="257" t="str">
        <f>IF(OR($J$133="Not Calculated",$J$261="Not Calculated",$J$421="Not Calculated",$J$539="Not Calculated",$J$681="Not Calculated")=TRUE,"Not Calculated",AVERAGE($J$133,$J$261,$J$421,$J$539,$J$681))</f>
        <v>Not Calculated</v>
      </c>
      <c r="K687" s="41"/>
    </row>
    <row r="688" spans="2:14" x14ac:dyDescent="0.2">
      <c r="B688" s="38"/>
      <c r="C688" s="40"/>
      <c r="D688" s="40" t="s">
        <v>343</v>
      </c>
      <c r="E688" s="40"/>
      <c r="F688" s="40"/>
      <c r="G688" s="40"/>
      <c r="H688" s="40"/>
      <c r="I688" s="40"/>
      <c r="J688" s="40"/>
      <c r="K688" s="41"/>
    </row>
    <row r="689" spans="2:11" ht="15" customHeight="1" x14ac:dyDescent="0.2">
      <c r="B689" s="38"/>
      <c r="C689" s="40"/>
      <c r="D689" s="40"/>
      <c r="E689" s="40"/>
      <c r="F689" s="40"/>
      <c r="G689" s="40"/>
      <c r="H689" s="40"/>
      <c r="I689" s="40"/>
      <c r="J689" s="40"/>
      <c r="K689" s="41"/>
    </row>
    <row r="690" spans="2:11" ht="16" x14ac:dyDescent="0.2">
      <c r="B690" s="38"/>
      <c r="C690" s="182" t="s">
        <v>987</v>
      </c>
      <c r="D690" s="40"/>
      <c r="E690" s="40"/>
      <c r="F690" s="40"/>
      <c r="G690" s="40"/>
      <c r="H690" s="40"/>
      <c r="I690" s="40"/>
      <c r="J690" s="257" t="str">
        <f>IF(OR($J$133="Not Calculated",$J$261="Not Calculated",$J$539="Not Calculated",$J$681="Not Calculated")=TRUE,"Not Calculated",AVERAGE($J$133,$J$261,$J$539,$J$681))</f>
        <v>Not Calculated</v>
      </c>
      <c r="K690" s="41"/>
    </row>
    <row r="691" spans="2:11" ht="15" customHeight="1" x14ac:dyDescent="0.2">
      <c r="B691" s="38"/>
      <c r="C691" s="40"/>
      <c r="D691" s="40" t="s">
        <v>344</v>
      </c>
      <c r="E691" s="40"/>
      <c r="F691" s="40"/>
      <c r="G691" s="40"/>
      <c r="H691" s="40"/>
      <c r="I691" s="40"/>
      <c r="J691" s="40"/>
      <c r="K691" s="41"/>
    </row>
    <row r="692" spans="2:11" x14ac:dyDescent="0.2">
      <c r="B692" s="38"/>
      <c r="C692" s="40"/>
      <c r="D692" s="40"/>
      <c r="E692" s="40"/>
      <c r="F692" s="40"/>
      <c r="G692" s="40"/>
      <c r="H692" s="40"/>
      <c r="I692" s="40"/>
      <c r="J692" s="40"/>
      <c r="K692" s="41"/>
    </row>
    <row r="693" spans="2:11" ht="16" x14ac:dyDescent="0.2">
      <c r="B693" s="38"/>
      <c r="C693" s="182" t="s">
        <v>988</v>
      </c>
      <c r="D693" s="40"/>
      <c r="E693" s="40"/>
      <c r="F693" s="40"/>
      <c r="G693" s="40"/>
      <c r="H693" s="40"/>
      <c r="I693" s="40"/>
      <c r="J693" s="257" t="str">
        <f>IF(OR($J$133="Not Calculated",$J$261="Not Calculated",$J$421="Not Calculated")=TRUE,"Not Calculated",AVERAGE($J$133,$J$261,$J$421))</f>
        <v>Not Calculated</v>
      </c>
      <c r="K693" s="41"/>
    </row>
    <row r="694" spans="2:11" x14ac:dyDescent="0.2">
      <c r="B694" s="38"/>
      <c r="C694" s="40"/>
      <c r="D694" s="40" t="s">
        <v>345</v>
      </c>
      <c r="E694" s="40"/>
      <c r="F694" s="40"/>
      <c r="G694" s="40"/>
      <c r="H694" s="40"/>
      <c r="I694" s="40"/>
      <c r="J694" s="40"/>
      <c r="K694" s="41"/>
    </row>
    <row r="695" spans="2:11" ht="16" thickBot="1" x14ac:dyDescent="0.25">
      <c r="B695" s="46"/>
      <c r="C695" s="47"/>
      <c r="D695" s="47"/>
      <c r="E695" s="47"/>
      <c r="F695" s="47"/>
      <c r="G695" s="47"/>
      <c r="H695" s="47"/>
      <c r="I695" s="47"/>
      <c r="J695" s="47"/>
      <c r="K695" s="49"/>
    </row>
    <row r="696" spans="2:11" ht="16" thickBot="1" x14ac:dyDescent="0.25"/>
    <row r="697" spans="2:11" x14ac:dyDescent="0.2">
      <c r="B697" s="183"/>
      <c r="C697" s="184"/>
      <c r="D697" s="184"/>
      <c r="E697" s="184"/>
      <c r="F697" s="184"/>
      <c r="G697" s="184"/>
      <c r="H697" s="184"/>
      <c r="I697" s="184"/>
      <c r="J697" s="184"/>
      <c r="K697" s="185"/>
    </row>
    <row r="698" spans="2:11" ht="21" x14ac:dyDescent="0.25">
      <c r="B698" s="186"/>
      <c r="C698" s="187"/>
      <c r="D698" s="187"/>
      <c r="E698" s="187"/>
      <c r="F698" s="187"/>
      <c r="G698" s="188" t="s">
        <v>231</v>
      </c>
      <c r="H698" s="187"/>
      <c r="I698" s="187"/>
      <c r="J698" s="187"/>
      <c r="K698" s="189"/>
    </row>
    <row r="699" spans="2:11" x14ac:dyDescent="0.2">
      <c r="B699" s="186"/>
      <c r="C699" s="187"/>
      <c r="D699" s="187"/>
      <c r="E699" s="187"/>
      <c r="F699" s="187"/>
      <c r="G699" s="187"/>
      <c r="H699" s="187"/>
      <c r="I699" s="187"/>
      <c r="J699" s="187"/>
      <c r="K699" s="189"/>
    </row>
    <row r="700" spans="2:11" ht="16" x14ac:dyDescent="0.2">
      <c r="B700" s="186"/>
      <c r="C700" s="190" t="s">
        <v>989</v>
      </c>
      <c r="D700" s="187"/>
      <c r="E700" s="187"/>
      <c r="F700" s="187"/>
      <c r="G700" s="187"/>
      <c r="H700" s="187"/>
      <c r="I700" s="187"/>
      <c r="J700" s="256" t="str">
        <f>IF(OR(J687="Not Calculated",$E$17="Not Calculated")=TRUE,"Not Calculated",(J687*$E$17*100/16))</f>
        <v>Not Calculated</v>
      </c>
      <c r="K700" s="189"/>
    </row>
    <row r="701" spans="2:11" x14ac:dyDescent="0.2">
      <c r="B701" s="186"/>
      <c r="C701" s="187"/>
      <c r="D701" s="187" t="s">
        <v>377</v>
      </c>
      <c r="E701" s="187"/>
      <c r="F701" s="187"/>
      <c r="G701" s="187"/>
      <c r="H701" s="187"/>
      <c r="I701" s="187"/>
      <c r="J701" s="187"/>
      <c r="K701" s="189"/>
    </row>
    <row r="702" spans="2:11" x14ac:dyDescent="0.2">
      <c r="B702" s="186"/>
      <c r="C702" s="187"/>
      <c r="D702" s="187"/>
      <c r="E702" s="187"/>
      <c r="F702" s="187"/>
      <c r="G702" s="187"/>
      <c r="H702" s="187"/>
      <c r="I702" s="187"/>
      <c r="J702" s="187"/>
      <c r="K702" s="189"/>
    </row>
    <row r="703" spans="2:11" ht="16" x14ac:dyDescent="0.2">
      <c r="B703" s="186"/>
      <c r="C703" s="190" t="s">
        <v>990</v>
      </c>
      <c r="D703" s="187"/>
      <c r="E703" s="187"/>
      <c r="F703" s="187"/>
      <c r="G703" s="187"/>
      <c r="H703" s="187"/>
      <c r="I703" s="187"/>
      <c r="J703" s="256" t="str">
        <f>IF(OR(J690="Not Calculated",$E$17="Not Calculated")=TRUE,"Not Calculated",(J690*$E$17*100/16))</f>
        <v>Not Calculated</v>
      </c>
      <c r="K703" s="189"/>
    </row>
    <row r="704" spans="2:11" x14ac:dyDescent="0.2">
      <c r="B704" s="186"/>
      <c r="C704" s="187"/>
      <c r="D704" s="187" t="s">
        <v>378</v>
      </c>
      <c r="E704" s="187"/>
      <c r="F704" s="187"/>
      <c r="G704" s="187"/>
      <c r="H704" s="187"/>
      <c r="I704" s="187"/>
      <c r="J704" s="187"/>
      <c r="K704" s="189"/>
    </row>
    <row r="705" spans="2:11" x14ac:dyDescent="0.2">
      <c r="B705" s="186"/>
      <c r="C705" s="187"/>
      <c r="D705" s="187"/>
      <c r="E705" s="187"/>
      <c r="F705" s="187"/>
      <c r="G705" s="187"/>
      <c r="H705" s="187"/>
      <c r="I705" s="187"/>
      <c r="J705" s="187"/>
      <c r="K705" s="189"/>
    </row>
    <row r="706" spans="2:11" ht="16" x14ac:dyDescent="0.2">
      <c r="B706" s="186"/>
      <c r="C706" s="190" t="s">
        <v>991</v>
      </c>
      <c r="D706" s="187"/>
      <c r="E706" s="187"/>
      <c r="F706" s="187"/>
      <c r="G706" s="187"/>
      <c r="H706" s="187"/>
      <c r="I706" s="187"/>
      <c r="J706" s="256" t="str">
        <f>IF(OR(J693="Not Calculated",$E$17="Not Calculated")=TRUE,"Not Calculated",(J693*$E$17*100/16))</f>
        <v>Not Calculated</v>
      </c>
      <c r="K706" s="189"/>
    </row>
    <row r="707" spans="2:11" x14ac:dyDescent="0.2">
      <c r="B707" s="186"/>
      <c r="C707" s="187"/>
      <c r="D707" s="187" t="s">
        <v>379</v>
      </c>
      <c r="E707" s="187"/>
      <c r="F707" s="187"/>
      <c r="G707" s="187"/>
      <c r="H707" s="187"/>
      <c r="I707" s="187"/>
      <c r="J707" s="187"/>
      <c r="K707" s="189"/>
    </row>
    <row r="708" spans="2:11" ht="16" thickBot="1" x14ac:dyDescent="0.25">
      <c r="B708" s="191"/>
      <c r="C708" s="192"/>
      <c r="D708" s="192"/>
      <c r="E708" s="192"/>
      <c r="F708" s="192"/>
      <c r="G708" s="192"/>
      <c r="H708" s="192"/>
      <c r="I708" s="192"/>
      <c r="J708" s="192"/>
      <c r="K708" s="193"/>
    </row>
    <row r="709" spans="2:11" ht="16" thickBot="1" x14ac:dyDescent="0.25"/>
    <row r="710" spans="2:11" x14ac:dyDescent="0.2">
      <c r="B710" s="53"/>
      <c r="C710" s="54"/>
      <c r="D710" s="54"/>
      <c r="E710" s="54"/>
      <c r="F710" s="54"/>
      <c r="G710" s="54"/>
      <c r="H710" s="54"/>
      <c r="I710" s="54"/>
      <c r="J710" s="54"/>
      <c r="K710" s="56"/>
    </row>
    <row r="711" spans="2:11" ht="21" x14ac:dyDescent="0.25">
      <c r="B711" s="57"/>
      <c r="C711" s="59"/>
      <c r="D711" s="59"/>
      <c r="E711" s="59"/>
      <c r="F711" s="59"/>
      <c r="G711" s="194" t="s">
        <v>232</v>
      </c>
      <c r="H711" s="59"/>
      <c r="I711" s="59"/>
      <c r="J711" s="59"/>
      <c r="K711" s="61"/>
    </row>
    <row r="712" spans="2:11" x14ac:dyDescent="0.2">
      <c r="B712" s="57"/>
      <c r="C712" s="59"/>
      <c r="D712" s="59"/>
      <c r="E712" s="59"/>
      <c r="F712" s="59"/>
      <c r="G712" s="59"/>
      <c r="H712" s="59"/>
      <c r="I712" s="59"/>
      <c r="J712" s="59"/>
      <c r="K712" s="61"/>
    </row>
    <row r="713" spans="2:11" ht="16" x14ac:dyDescent="0.2">
      <c r="B713" s="57"/>
      <c r="C713" s="195" t="s">
        <v>363</v>
      </c>
      <c r="D713" s="59"/>
      <c r="E713" s="59"/>
      <c r="F713" s="59"/>
      <c r="G713" s="59"/>
      <c r="H713" s="59"/>
      <c r="I713" s="59"/>
      <c r="J713" s="59"/>
      <c r="K713" s="61"/>
    </row>
    <row r="714" spans="2:11" ht="15" customHeight="1" x14ac:dyDescent="0.2">
      <c r="B714" s="57"/>
      <c r="C714" s="411" t="s">
        <v>364</v>
      </c>
      <c r="D714" s="411"/>
      <c r="E714" s="411"/>
      <c r="F714" s="411"/>
      <c r="G714" s="411"/>
      <c r="H714" s="411"/>
      <c r="I714" s="411"/>
      <c r="J714" s="411"/>
      <c r="K714" s="61"/>
    </row>
    <row r="715" spans="2:11" x14ac:dyDescent="0.2">
      <c r="B715" s="57"/>
      <c r="C715" s="411"/>
      <c r="D715" s="411"/>
      <c r="E715" s="411"/>
      <c r="F715" s="411"/>
      <c r="G715" s="411"/>
      <c r="H715" s="411"/>
      <c r="I715" s="411"/>
      <c r="J715" s="411"/>
      <c r="K715" s="61"/>
    </row>
    <row r="716" spans="2:11" x14ac:dyDescent="0.2">
      <c r="B716" s="57"/>
      <c r="C716" s="411"/>
      <c r="D716" s="411"/>
      <c r="E716" s="411"/>
      <c r="F716" s="411"/>
      <c r="G716" s="411"/>
      <c r="H716" s="411"/>
      <c r="I716" s="411"/>
      <c r="J716" s="411"/>
      <c r="K716" s="61"/>
    </row>
    <row r="717" spans="2:11" x14ac:dyDescent="0.2">
      <c r="B717" s="57"/>
      <c r="C717" s="196" t="s">
        <v>30</v>
      </c>
      <c r="D717" s="59"/>
      <c r="E717" s="59"/>
      <c r="F717" s="59"/>
      <c r="G717" s="408" t="s">
        <v>190</v>
      </c>
      <c r="H717" s="409"/>
      <c r="I717" s="59"/>
      <c r="J717" s="260">
        <f>IF(G717=$B$994,$A$994,IF(G717=$B$995,$A$995,"Not Calculated"))</f>
        <v>1</v>
      </c>
      <c r="K717" s="61"/>
    </row>
    <row r="718" spans="2:11" x14ac:dyDescent="0.2">
      <c r="B718" s="57"/>
      <c r="C718" s="196" t="s">
        <v>32</v>
      </c>
      <c r="D718" s="59"/>
      <c r="E718" s="59"/>
      <c r="F718" s="59"/>
      <c r="G718" s="408" t="s">
        <v>190</v>
      </c>
      <c r="H718" s="409"/>
      <c r="I718" s="59"/>
      <c r="J718" s="260">
        <f t="shared" ref="J718:J725" si="0">IF(G718=$B$994,$A$994,IF(G718=$B$995,$A$995,"Not Calculated"))</f>
        <v>1</v>
      </c>
      <c r="K718" s="61"/>
    </row>
    <row r="719" spans="2:11" x14ac:dyDescent="0.2">
      <c r="B719" s="57"/>
      <c r="C719" s="196" t="s">
        <v>34</v>
      </c>
      <c r="D719" s="59"/>
      <c r="E719" s="59"/>
      <c r="F719" s="59"/>
      <c r="G719" s="408" t="s">
        <v>202</v>
      </c>
      <c r="H719" s="409"/>
      <c r="I719" s="59"/>
      <c r="J719" s="260">
        <f t="shared" si="0"/>
        <v>0</v>
      </c>
      <c r="K719" s="61"/>
    </row>
    <row r="720" spans="2:11" x14ac:dyDescent="0.2">
      <c r="B720" s="57"/>
      <c r="C720" s="196" t="s">
        <v>35</v>
      </c>
      <c r="D720" s="59"/>
      <c r="E720" s="59"/>
      <c r="F720" s="59"/>
      <c r="G720" s="408" t="s">
        <v>190</v>
      </c>
      <c r="H720" s="409"/>
      <c r="I720" s="59"/>
      <c r="J720" s="260">
        <f t="shared" si="0"/>
        <v>1</v>
      </c>
      <c r="K720" s="61"/>
    </row>
    <row r="721" spans="2:11" x14ac:dyDescent="0.2">
      <c r="B721" s="57"/>
      <c r="C721" s="196" t="s">
        <v>37</v>
      </c>
      <c r="D721" s="59"/>
      <c r="E721" s="59"/>
      <c r="F721" s="59"/>
      <c r="G721" s="408" t="s">
        <v>190</v>
      </c>
      <c r="H721" s="409"/>
      <c r="I721" s="59"/>
      <c r="J721" s="260">
        <f t="shared" si="0"/>
        <v>1</v>
      </c>
      <c r="K721" s="61"/>
    </row>
    <row r="722" spans="2:11" x14ac:dyDescent="0.2">
      <c r="B722" s="57"/>
      <c r="C722" s="196" t="s">
        <v>38</v>
      </c>
      <c r="D722" s="59"/>
      <c r="E722" s="59"/>
      <c r="F722" s="59"/>
      <c r="G722" s="408" t="s">
        <v>190</v>
      </c>
      <c r="H722" s="409"/>
      <c r="I722" s="59"/>
      <c r="J722" s="260">
        <f t="shared" si="0"/>
        <v>1</v>
      </c>
      <c r="K722" s="61"/>
    </row>
    <row r="723" spans="2:11" x14ac:dyDescent="0.2">
      <c r="B723" s="57"/>
      <c r="C723" s="196" t="s">
        <v>40</v>
      </c>
      <c r="D723" s="59"/>
      <c r="E723" s="59"/>
      <c r="F723" s="59"/>
      <c r="G723" s="408" t="s">
        <v>202</v>
      </c>
      <c r="H723" s="409"/>
      <c r="I723" s="59"/>
      <c r="J723" s="260">
        <f t="shared" si="0"/>
        <v>0</v>
      </c>
      <c r="K723" s="61"/>
    </row>
    <row r="724" spans="2:11" x14ac:dyDescent="0.2">
      <c r="B724" s="57"/>
      <c r="C724" s="196" t="s">
        <v>41</v>
      </c>
      <c r="D724" s="59"/>
      <c r="E724" s="59"/>
      <c r="F724" s="59"/>
      <c r="G724" s="408" t="s">
        <v>190</v>
      </c>
      <c r="H724" s="409"/>
      <c r="I724" s="59"/>
      <c r="J724" s="260">
        <f t="shared" si="0"/>
        <v>1</v>
      </c>
      <c r="K724" s="61"/>
    </row>
    <row r="725" spans="2:11" x14ac:dyDescent="0.2">
      <c r="B725" s="57"/>
      <c r="C725" s="196" t="s">
        <v>43</v>
      </c>
      <c r="D725" s="59"/>
      <c r="E725" s="59"/>
      <c r="F725" s="59"/>
      <c r="G725" s="408" t="s">
        <v>202</v>
      </c>
      <c r="H725" s="409"/>
      <c r="I725" s="59"/>
      <c r="J725" s="260">
        <f t="shared" si="0"/>
        <v>0</v>
      </c>
      <c r="K725" s="61"/>
    </row>
    <row r="726" spans="2:11" x14ac:dyDescent="0.2">
      <c r="B726" s="57"/>
      <c r="C726" s="59"/>
      <c r="D726" s="59"/>
      <c r="E726" s="59"/>
      <c r="F726" s="59"/>
      <c r="G726" s="59"/>
      <c r="H726" s="59"/>
      <c r="I726" s="59"/>
      <c r="J726" s="59"/>
      <c r="K726" s="61"/>
    </row>
    <row r="727" spans="2:11" x14ac:dyDescent="0.2">
      <c r="B727" s="57"/>
      <c r="C727" s="59"/>
      <c r="D727" s="59"/>
      <c r="E727" s="59"/>
      <c r="F727" s="59"/>
      <c r="G727" s="59"/>
      <c r="H727" s="59"/>
      <c r="I727" s="59"/>
      <c r="J727" s="59"/>
      <c r="K727" s="61"/>
    </row>
    <row r="728" spans="2:11" ht="16" x14ac:dyDescent="0.2">
      <c r="B728" s="57"/>
      <c r="C728" s="195" t="s">
        <v>115</v>
      </c>
      <c r="D728" s="59"/>
      <c r="E728" s="59"/>
      <c r="F728" s="59"/>
      <c r="G728" s="59"/>
      <c r="H728" s="59"/>
      <c r="I728" s="59"/>
      <c r="J728" s="59"/>
      <c r="K728" s="61"/>
    </row>
    <row r="729" spans="2:11" ht="15" customHeight="1" x14ac:dyDescent="0.2">
      <c r="B729" s="57"/>
      <c r="C729" s="411" t="s">
        <v>365</v>
      </c>
      <c r="D729" s="411"/>
      <c r="E729" s="411"/>
      <c r="F729" s="411"/>
      <c r="G729" s="411"/>
      <c r="H729" s="411"/>
      <c r="I729" s="411"/>
      <c r="J729" s="411"/>
      <c r="K729" s="61"/>
    </row>
    <row r="730" spans="2:11" x14ac:dyDescent="0.2">
      <c r="B730" s="57"/>
      <c r="C730" s="411"/>
      <c r="D730" s="411"/>
      <c r="E730" s="411"/>
      <c r="F730" s="411"/>
      <c r="G730" s="411"/>
      <c r="H730" s="411"/>
      <c r="I730" s="411"/>
      <c r="J730" s="411"/>
      <c r="K730" s="61"/>
    </row>
    <row r="731" spans="2:11" x14ac:dyDescent="0.2">
      <c r="B731" s="57"/>
      <c r="C731" s="411"/>
      <c r="D731" s="411"/>
      <c r="E731" s="411"/>
      <c r="F731" s="411"/>
      <c r="G731" s="411"/>
      <c r="H731" s="411"/>
      <c r="I731" s="411"/>
      <c r="J731" s="411"/>
      <c r="K731" s="61"/>
    </row>
    <row r="732" spans="2:11" x14ac:dyDescent="0.2">
      <c r="B732" s="57"/>
      <c r="C732" s="196" t="s">
        <v>30</v>
      </c>
      <c r="D732" s="59"/>
      <c r="E732" s="59"/>
      <c r="F732" s="59"/>
      <c r="G732" s="408" t="s">
        <v>202</v>
      </c>
      <c r="H732" s="409"/>
      <c r="I732" s="59"/>
      <c r="J732" s="260">
        <f>IF(G732=$B$994,$A$994,IF(G732=$B$995,$A$995,"Not Calculated"))</f>
        <v>0</v>
      </c>
      <c r="K732" s="61"/>
    </row>
    <row r="733" spans="2:11" x14ac:dyDescent="0.2">
      <c r="B733" s="57"/>
      <c r="C733" s="196" t="s">
        <v>32</v>
      </c>
      <c r="D733" s="59"/>
      <c r="E733" s="59"/>
      <c r="F733" s="59"/>
      <c r="G733" s="408" t="s">
        <v>202</v>
      </c>
      <c r="H733" s="409"/>
      <c r="I733" s="59"/>
      <c r="J733" s="260">
        <f t="shared" ref="J733:J740" si="1">IF(G733=$B$994,$A$994,IF(G733=$B$995,$A$995,"Not Calculated"))</f>
        <v>0</v>
      </c>
      <c r="K733" s="61"/>
    </row>
    <row r="734" spans="2:11" ht="15" customHeight="1" x14ac:dyDescent="0.2">
      <c r="B734" s="57"/>
      <c r="C734" s="196" t="s">
        <v>34</v>
      </c>
      <c r="D734" s="59"/>
      <c r="E734" s="59"/>
      <c r="F734" s="59"/>
      <c r="G734" s="408" t="s">
        <v>202</v>
      </c>
      <c r="H734" s="409"/>
      <c r="I734" s="59"/>
      <c r="J734" s="260">
        <f t="shared" si="1"/>
        <v>0</v>
      </c>
      <c r="K734" s="61"/>
    </row>
    <row r="735" spans="2:11" x14ac:dyDescent="0.2">
      <c r="B735" s="57"/>
      <c r="C735" s="196" t="s">
        <v>35</v>
      </c>
      <c r="D735" s="59"/>
      <c r="E735" s="59"/>
      <c r="F735" s="59"/>
      <c r="G735" s="408" t="s">
        <v>202</v>
      </c>
      <c r="H735" s="409"/>
      <c r="I735" s="59"/>
      <c r="J735" s="260">
        <f t="shared" si="1"/>
        <v>0</v>
      </c>
      <c r="K735" s="61"/>
    </row>
    <row r="736" spans="2:11" x14ac:dyDescent="0.2">
      <c r="B736" s="57"/>
      <c r="C736" s="196" t="s">
        <v>37</v>
      </c>
      <c r="D736" s="59"/>
      <c r="E736" s="59"/>
      <c r="F736" s="59"/>
      <c r="G736" s="408" t="s">
        <v>202</v>
      </c>
      <c r="H736" s="409"/>
      <c r="I736" s="59"/>
      <c r="J736" s="260">
        <f t="shared" si="1"/>
        <v>0</v>
      </c>
      <c r="K736" s="61"/>
    </row>
    <row r="737" spans="2:11" x14ac:dyDescent="0.2">
      <c r="B737" s="57"/>
      <c r="C737" s="196" t="s">
        <v>38</v>
      </c>
      <c r="D737" s="59"/>
      <c r="E737" s="59"/>
      <c r="F737" s="59"/>
      <c r="G737" s="408" t="s">
        <v>202</v>
      </c>
      <c r="H737" s="409"/>
      <c r="I737" s="59"/>
      <c r="J737" s="260">
        <f t="shared" si="1"/>
        <v>0</v>
      </c>
      <c r="K737" s="61"/>
    </row>
    <row r="738" spans="2:11" x14ac:dyDescent="0.2">
      <c r="B738" s="57"/>
      <c r="C738" s="196" t="s">
        <v>40</v>
      </c>
      <c r="D738" s="59"/>
      <c r="E738" s="59"/>
      <c r="F738" s="59"/>
      <c r="G738" s="408" t="s">
        <v>202</v>
      </c>
      <c r="H738" s="409"/>
      <c r="I738" s="59"/>
      <c r="J738" s="260">
        <f t="shared" si="1"/>
        <v>0</v>
      </c>
      <c r="K738" s="61"/>
    </row>
    <row r="739" spans="2:11" x14ac:dyDescent="0.2">
      <c r="B739" s="57"/>
      <c r="C739" s="196" t="s">
        <v>41</v>
      </c>
      <c r="D739" s="59"/>
      <c r="E739" s="59"/>
      <c r="F739" s="59"/>
      <c r="G739" s="408" t="s">
        <v>202</v>
      </c>
      <c r="H739" s="409"/>
      <c r="I739" s="59"/>
      <c r="J739" s="260">
        <f t="shared" si="1"/>
        <v>0</v>
      </c>
      <c r="K739" s="61"/>
    </row>
    <row r="740" spans="2:11" x14ac:dyDescent="0.2">
      <c r="B740" s="57"/>
      <c r="C740" s="196" t="s">
        <v>43</v>
      </c>
      <c r="D740" s="59"/>
      <c r="E740" s="59"/>
      <c r="F740" s="59"/>
      <c r="G740" s="408" t="s">
        <v>202</v>
      </c>
      <c r="H740" s="409"/>
      <c r="I740" s="59"/>
      <c r="J740" s="260">
        <f t="shared" si="1"/>
        <v>0</v>
      </c>
      <c r="K740" s="61"/>
    </row>
    <row r="741" spans="2:11" x14ac:dyDescent="0.2">
      <c r="B741" s="57"/>
      <c r="C741" s="59"/>
      <c r="D741" s="59"/>
      <c r="E741" s="59"/>
      <c r="F741" s="59"/>
      <c r="G741" s="59"/>
      <c r="H741" s="59"/>
      <c r="I741" s="59"/>
      <c r="J741" s="59"/>
      <c r="K741" s="61"/>
    </row>
    <row r="742" spans="2:11" x14ac:dyDescent="0.2">
      <c r="B742" s="57"/>
      <c r="C742" s="59"/>
      <c r="D742" s="59"/>
      <c r="E742" s="59"/>
      <c r="F742" s="59"/>
      <c r="G742" s="59"/>
      <c r="H742" s="59"/>
      <c r="I742" s="59"/>
      <c r="J742" s="59"/>
      <c r="K742" s="61"/>
    </row>
    <row r="743" spans="2:11" ht="16" x14ac:dyDescent="0.2">
      <c r="B743" s="57"/>
      <c r="C743" s="195" t="s">
        <v>366</v>
      </c>
      <c r="D743" s="59"/>
      <c r="E743" s="59"/>
      <c r="F743" s="59"/>
      <c r="G743" s="59"/>
      <c r="H743" s="59"/>
      <c r="I743" s="59"/>
      <c r="J743" s="59"/>
      <c r="K743" s="61"/>
    </row>
    <row r="744" spans="2:11" ht="15" customHeight="1" x14ac:dyDescent="0.2">
      <c r="B744" s="57"/>
      <c r="C744" s="411" t="s">
        <v>367</v>
      </c>
      <c r="D744" s="411"/>
      <c r="E744" s="411"/>
      <c r="F744" s="411"/>
      <c r="G744" s="411"/>
      <c r="H744" s="411"/>
      <c r="I744" s="411"/>
      <c r="J744" s="411"/>
      <c r="K744" s="61"/>
    </row>
    <row r="745" spans="2:11" x14ac:dyDescent="0.2">
      <c r="B745" s="57"/>
      <c r="C745" s="411"/>
      <c r="D745" s="411"/>
      <c r="E745" s="411"/>
      <c r="F745" s="411"/>
      <c r="G745" s="411"/>
      <c r="H745" s="411"/>
      <c r="I745" s="411"/>
      <c r="J745" s="411"/>
      <c r="K745" s="61"/>
    </row>
    <row r="746" spans="2:11" x14ac:dyDescent="0.2">
      <c r="B746" s="57"/>
      <c r="C746" s="411"/>
      <c r="D746" s="411"/>
      <c r="E746" s="411"/>
      <c r="F746" s="411"/>
      <c r="G746" s="411"/>
      <c r="H746" s="411"/>
      <c r="I746" s="411"/>
      <c r="J746" s="411"/>
      <c r="K746" s="61"/>
    </row>
    <row r="747" spans="2:11" x14ac:dyDescent="0.2">
      <c r="B747" s="57"/>
      <c r="C747" s="196" t="s">
        <v>30</v>
      </c>
      <c r="D747" s="59"/>
      <c r="E747" s="59"/>
      <c r="F747" s="59"/>
      <c r="G747" s="408" t="s">
        <v>202</v>
      </c>
      <c r="H747" s="409"/>
      <c r="I747" s="59"/>
      <c r="J747" s="260">
        <f>IF(G747=$B$994,$A$994,IF(G747=$B$995,$A$995,"Not Calculated"))</f>
        <v>0</v>
      </c>
      <c r="K747" s="61"/>
    </row>
    <row r="748" spans="2:11" x14ac:dyDescent="0.2">
      <c r="B748" s="57"/>
      <c r="C748" s="196" t="s">
        <v>32</v>
      </c>
      <c r="D748" s="59"/>
      <c r="E748" s="59"/>
      <c r="F748" s="59"/>
      <c r="G748" s="408" t="s">
        <v>202</v>
      </c>
      <c r="H748" s="409"/>
      <c r="I748" s="59"/>
      <c r="J748" s="260">
        <f t="shared" ref="J748:J755" si="2">IF(G748=$B$994,$A$994,IF(G748=$B$995,$A$995,"Not Calculated"))</f>
        <v>0</v>
      </c>
      <c r="K748" s="61"/>
    </row>
    <row r="749" spans="2:11" ht="15" customHeight="1" x14ac:dyDescent="0.2">
      <c r="B749" s="57"/>
      <c r="C749" s="196" t="s">
        <v>34</v>
      </c>
      <c r="D749" s="59"/>
      <c r="E749" s="59"/>
      <c r="F749" s="59"/>
      <c r="G749" s="408" t="s">
        <v>202</v>
      </c>
      <c r="H749" s="409"/>
      <c r="I749" s="59"/>
      <c r="J749" s="260">
        <f t="shared" si="2"/>
        <v>0</v>
      </c>
      <c r="K749" s="61"/>
    </row>
    <row r="750" spans="2:11" x14ac:dyDescent="0.2">
      <c r="B750" s="57"/>
      <c r="C750" s="196" t="s">
        <v>35</v>
      </c>
      <c r="D750" s="59"/>
      <c r="E750" s="59"/>
      <c r="F750" s="59"/>
      <c r="G750" s="408" t="s">
        <v>202</v>
      </c>
      <c r="H750" s="409"/>
      <c r="I750" s="59"/>
      <c r="J750" s="260">
        <f t="shared" si="2"/>
        <v>0</v>
      </c>
      <c r="K750" s="61"/>
    </row>
    <row r="751" spans="2:11" x14ac:dyDescent="0.2">
      <c r="B751" s="57"/>
      <c r="C751" s="196" t="s">
        <v>37</v>
      </c>
      <c r="D751" s="59"/>
      <c r="E751" s="59"/>
      <c r="F751" s="59"/>
      <c r="G751" s="408" t="s">
        <v>202</v>
      </c>
      <c r="H751" s="409"/>
      <c r="I751" s="59"/>
      <c r="J751" s="260">
        <f t="shared" si="2"/>
        <v>0</v>
      </c>
      <c r="K751" s="61"/>
    </row>
    <row r="752" spans="2:11" x14ac:dyDescent="0.2">
      <c r="B752" s="57"/>
      <c r="C752" s="196" t="s">
        <v>38</v>
      </c>
      <c r="D752" s="59"/>
      <c r="E752" s="59"/>
      <c r="F752" s="59"/>
      <c r="G752" s="408" t="s">
        <v>202</v>
      </c>
      <c r="H752" s="409"/>
      <c r="I752" s="59"/>
      <c r="J752" s="260">
        <f t="shared" si="2"/>
        <v>0</v>
      </c>
      <c r="K752" s="61"/>
    </row>
    <row r="753" spans="2:11" x14ac:dyDescent="0.2">
      <c r="B753" s="57"/>
      <c r="C753" s="196" t="s">
        <v>40</v>
      </c>
      <c r="D753" s="59"/>
      <c r="E753" s="59"/>
      <c r="F753" s="59"/>
      <c r="G753" s="408" t="s">
        <v>202</v>
      </c>
      <c r="H753" s="409"/>
      <c r="I753" s="59"/>
      <c r="J753" s="260">
        <f t="shared" si="2"/>
        <v>0</v>
      </c>
      <c r="K753" s="61"/>
    </row>
    <row r="754" spans="2:11" x14ac:dyDescent="0.2">
      <c r="B754" s="57"/>
      <c r="C754" s="196" t="s">
        <v>41</v>
      </c>
      <c r="D754" s="59"/>
      <c r="E754" s="59"/>
      <c r="F754" s="59"/>
      <c r="G754" s="408" t="s">
        <v>202</v>
      </c>
      <c r="H754" s="409"/>
      <c r="I754" s="59"/>
      <c r="J754" s="260">
        <f t="shared" si="2"/>
        <v>0</v>
      </c>
      <c r="K754" s="61"/>
    </row>
    <row r="755" spans="2:11" x14ac:dyDescent="0.2">
      <c r="B755" s="57"/>
      <c r="C755" s="196" t="s">
        <v>43</v>
      </c>
      <c r="D755" s="59"/>
      <c r="E755" s="59"/>
      <c r="F755" s="59"/>
      <c r="G755" s="408" t="s">
        <v>202</v>
      </c>
      <c r="H755" s="409"/>
      <c r="I755" s="59"/>
      <c r="J755" s="260">
        <f t="shared" si="2"/>
        <v>0</v>
      </c>
      <c r="K755" s="61"/>
    </row>
    <row r="756" spans="2:11" x14ac:dyDescent="0.2">
      <c r="B756" s="57"/>
      <c r="C756" s="59"/>
      <c r="D756" s="59"/>
      <c r="E756" s="59"/>
      <c r="F756" s="59"/>
      <c r="G756" s="59"/>
      <c r="H756" s="59"/>
      <c r="I756" s="59"/>
      <c r="J756" s="59"/>
      <c r="K756" s="61"/>
    </row>
    <row r="757" spans="2:11" x14ac:dyDescent="0.2">
      <c r="B757" s="57"/>
      <c r="C757" s="59"/>
      <c r="D757" s="59"/>
      <c r="E757" s="59"/>
      <c r="F757" s="59"/>
      <c r="G757" s="59"/>
      <c r="H757" s="59"/>
      <c r="I757" s="59"/>
      <c r="J757" s="59"/>
      <c r="K757" s="61"/>
    </row>
    <row r="758" spans="2:11" ht="16" x14ac:dyDescent="0.2">
      <c r="B758" s="57"/>
      <c r="C758" s="195" t="s">
        <v>368</v>
      </c>
      <c r="D758" s="59"/>
      <c r="E758" s="59"/>
      <c r="F758" s="59"/>
      <c r="G758" s="59"/>
      <c r="H758" s="59"/>
      <c r="I758" s="59"/>
      <c r="J758" s="59"/>
      <c r="K758" s="61"/>
    </row>
    <row r="759" spans="2:11" ht="15" customHeight="1" x14ac:dyDescent="0.2">
      <c r="B759" s="57"/>
      <c r="C759" s="411" t="s">
        <v>369</v>
      </c>
      <c r="D759" s="411"/>
      <c r="E759" s="411"/>
      <c r="F759" s="411"/>
      <c r="G759" s="411"/>
      <c r="H759" s="411"/>
      <c r="I759" s="411"/>
      <c r="J759" s="411"/>
      <c r="K759" s="61"/>
    </row>
    <row r="760" spans="2:11" x14ac:dyDescent="0.2">
      <c r="B760" s="57"/>
      <c r="C760" s="411"/>
      <c r="D760" s="411"/>
      <c r="E760" s="411"/>
      <c r="F760" s="411"/>
      <c r="G760" s="411"/>
      <c r="H760" s="411"/>
      <c r="I760" s="411"/>
      <c r="J760" s="411"/>
      <c r="K760" s="61"/>
    </row>
    <row r="761" spans="2:11" x14ac:dyDescent="0.2">
      <c r="B761" s="57"/>
      <c r="C761" s="411"/>
      <c r="D761" s="411"/>
      <c r="E761" s="411"/>
      <c r="F761" s="411"/>
      <c r="G761" s="411"/>
      <c r="H761" s="411"/>
      <c r="I761" s="411"/>
      <c r="J761" s="411"/>
      <c r="K761" s="61"/>
    </row>
    <row r="762" spans="2:11" x14ac:dyDescent="0.2">
      <c r="B762" s="57"/>
      <c r="C762" s="196" t="s">
        <v>30</v>
      </c>
      <c r="D762" s="59"/>
      <c r="E762" s="59"/>
      <c r="F762" s="59"/>
      <c r="G762" s="408" t="s">
        <v>202</v>
      </c>
      <c r="H762" s="409"/>
      <c r="I762" s="59"/>
      <c r="J762" s="260">
        <f>IF(G762=$B$994,$A$994,IF(G762=$B$995,$A$995,"Not Calculated"))</f>
        <v>0</v>
      </c>
      <c r="K762" s="61"/>
    </row>
    <row r="763" spans="2:11" x14ac:dyDescent="0.2">
      <c r="B763" s="57"/>
      <c r="C763" s="196" t="s">
        <v>32</v>
      </c>
      <c r="D763" s="59"/>
      <c r="E763" s="59"/>
      <c r="F763" s="59"/>
      <c r="G763" s="408" t="s">
        <v>202</v>
      </c>
      <c r="H763" s="409"/>
      <c r="I763" s="59"/>
      <c r="J763" s="260">
        <f t="shared" ref="J763:J770" si="3">IF(G763=$B$994,$A$994,IF(G763=$B$995,$A$995,"Not Calculated"))</f>
        <v>0</v>
      </c>
      <c r="K763" s="61"/>
    </row>
    <row r="764" spans="2:11" ht="15" customHeight="1" x14ac:dyDescent="0.2">
      <c r="B764" s="57"/>
      <c r="C764" s="196" t="s">
        <v>34</v>
      </c>
      <c r="D764" s="59"/>
      <c r="E764" s="59"/>
      <c r="F764" s="59"/>
      <c r="G764" s="408" t="s">
        <v>202</v>
      </c>
      <c r="H764" s="409"/>
      <c r="I764" s="59"/>
      <c r="J764" s="260">
        <f t="shared" si="3"/>
        <v>0</v>
      </c>
      <c r="K764" s="61"/>
    </row>
    <row r="765" spans="2:11" x14ac:dyDescent="0.2">
      <c r="B765" s="57"/>
      <c r="C765" s="196" t="s">
        <v>35</v>
      </c>
      <c r="D765" s="59"/>
      <c r="E765" s="59"/>
      <c r="F765" s="59"/>
      <c r="G765" s="408" t="s">
        <v>202</v>
      </c>
      <c r="H765" s="409"/>
      <c r="I765" s="59"/>
      <c r="J765" s="260">
        <f t="shared" si="3"/>
        <v>0</v>
      </c>
      <c r="K765" s="61"/>
    </row>
    <row r="766" spans="2:11" x14ac:dyDescent="0.2">
      <c r="B766" s="57"/>
      <c r="C766" s="196" t="s">
        <v>37</v>
      </c>
      <c r="D766" s="59"/>
      <c r="E766" s="59"/>
      <c r="F766" s="59"/>
      <c r="G766" s="408" t="s">
        <v>202</v>
      </c>
      <c r="H766" s="409"/>
      <c r="I766" s="59"/>
      <c r="J766" s="260">
        <f t="shared" si="3"/>
        <v>0</v>
      </c>
      <c r="K766" s="61"/>
    </row>
    <row r="767" spans="2:11" x14ac:dyDescent="0.2">
      <c r="B767" s="57"/>
      <c r="C767" s="196" t="s">
        <v>38</v>
      </c>
      <c r="D767" s="59"/>
      <c r="E767" s="59"/>
      <c r="F767" s="59"/>
      <c r="G767" s="408" t="s">
        <v>202</v>
      </c>
      <c r="H767" s="409"/>
      <c r="I767" s="59"/>
      <c r="J767" s="260">
        <f t="shared" si="3"/>
        <v>0</v>
      </c>
      <c r="K767" s="61"/>
    </row>
    <row r="768" spans="2:11" x14ac:dyDescent="0.2">
      <c r="B768" s="57"/>
      <c r="C768" s="196" t="s">
        <v>40</v>
      </c>
      <c r="D768" s="59"/>
      <c r="E768" s="59"/>
      <c r="F768" s="59"/>
      <c r="G768" s="408" t="s">
        <v>202</v>
      </c>
      <c r="H768" s="409"/>
      <c r="I768" s="59"/>
      <c r="J768" s="260">
        <f t="shared" si="3"/>
        <v>0</v>
      </c>
      <c r="K768" s="61"/>
    </row>
    <row r="769" spans="2:11" x14ac:dyDescent="0.2">
      <c r="B769" s="57"/>
      <c r="C769" s="196" t="s">
        <v>41</v>
      </c>
      <c r="D769" s="59"/>
      <c r="E769" s="59"/>
      <c r="F769" s="59"/>
      <c r="G769" s="408" t="s">
        <v>202</v>
      </c>
      <c r="H769" s="409"/>
      <c r="I769" s="59"/>
      <c r="J769" s="260">
        <f t="shared" si="3"/>
        <v>0</v>
      </c>
      <c r="K769" s="61"/>
    </row>
    <row r="770" spans="2:11" x14ac:dyDescent="0.2">
      <c r="B770" s="57"/>
      <c r="C770" s="196" t="s">
        <v>43</v>
      </c>
      <c r="D770" s="59"/>
      <c r="E770" s="59"/>
      <c r="F770" s="59"/>
      <c r="G770" s="408" t="s">
        <v>202</v>
      </c>
      <c r="H770" s="409"/>
      <c r="I770" s="59"/>
      <c r="J770" s="260">
        <f t="shared" si="3"/>
        <v>0</v>
      </c>
      <c r="K770" s="61"/>
    </row>
    <row r="771" spans="2:11" x14ac:dyDescent="0.2">
      <c r="B771" s="57"/>
      <c r="C771" s="59"/>
      <c r="D771" s="59"/>
      <c r="E771" s="59"/>
      <c r="F771" s="59"/>
      <c r="G771" s="59"/>
      <c r="H771" s="59"/>
      <c r="I771" s="59"/>
      <c r="J771" s="59"/>
      <c r="K771" s="61"/>
    </row>
    <row r="772" spans="2:11" x14ac:dyDescent="0.2">
      <c r="B772" s="57"/>
      <c r="C772" s="59"/>
      <c r="D772" s="59"/>
      <c r="E772" s="59"/>
      <c r="F772" s="59"/>
      <c r="G772" s="59"/>
      <c r="H772" s="59"/>
      <c r="I772" s="59"/>
      <c r="J772" s="59"/>
      <c r="K772" s="61"/>
    </row>
    <row r="773" spans="2:11" ht="16" x14ac:dyDescent="0.2">
      <c r="B773" s="57"/>
      <c r="C773" s="197" t="s">
        <v>30</v>
      </c>
      <c r="D773" s="59"/>
      <c r="E773" s="59"/>
      <c r="F773" s="59"/>
      <c r="G773" s="59"/>
      <c r="H773" s="59"/>
      <c r="I773" s="59"/>
      <c r="J773" s="59"/>
      <c r="K773" s="61"/>
    </row>
    <row r="774" spans="2:11" x14ac:dyDescent="0.2">
      <c r="B774" s="57"/>
      <c r="C774" s="59"/>
      <c r="D774" s="59" t="s">
        <v>370</v>
      </c>
      <c r="E774" s="59"/>
      <c r="F774" s="59"/>
      <c r="G774" s="59"/>
      <c r="H774" s="59"/>
      <c r="I774" s="59"/>
      <c r="J774" s="60">
        <f>'Baseline At-Risk Pops'!H8</f>
        <v>0</v>
      </c>
      <c r="K774" s="61"/>
    </row>
    <row r="775" spans="2:11" x14ac:dyDescent="0.2">
      <c r="B775" s="57"/>
      <c r="C775" s="59"/>
      <c r="D775" s="59" t="s">
        <v>371</v>
      </c>
      <c r="E775" s="59"/>
      <c r="F775" s="59"/>
      <c r="G775" s="59"/>
      <c r="H775" s="59"/>
      <c r="I775" s="59"/>
      <c r="J775" s="60">
        <f>SUM(J717,J732,J747,J762)</f>
        <v>1</v>
      </c>
      <c r="K775" s="61"/>
    </row>
    <row r="776" spans="2:11" x14ac:dyDescent="0.2">
      <c r="B776" s="57"/>
      <c r="C776" s="59"/>
      <c r="D776" s="196" t="s">
        <v>372</v>
      </c>
      <c r="E776" s="59"/>
      <c r="F776" s="59"/>
      <c r="G776" s="59"/>
      <c r="H776" s="59"/>
      <c r="I776" s="59"/>
      <c r="J776" s="60">
        <f>AVERAGE(J774,J775)</f>
        <v>0.5</v>
      </c>
      <c r="K776" s="61"/>
    </row>
    <row r="777" spans="2:11" ht="16" x14ac:dyDescent="0.2">
      <c r="B777" s="57"/>
      <c r="C777" s="197" t="s">
        <v>32</v>
      </c>
      <c r="D777" s="59"/>
      <c r="E777" s="59"/>
      <c r="F777" s="59"/>
      <c r="G777" s="59"/>
      <c r="H777" s="59"/>
      <c r="I777" s="59"/>
      <c r="J777" s="60"/>
      <c r="K777" s="61"/>
    </row>
    <row r="778" spans="2:11" x14ac:dyDescent="0.2">
      <c r="B778" s="57"/>
      <c r="C778" s="59"/>
      <c r="D778" s="59" t="s">
        <v>370</v>
      </c>
      <c r="E778" s="59"/>
      <c r="F778" s="59"/>
      <c r="G778" s="59"/>
      <c r="H778" s="59"/>
      <c r="I778" s="59"/>
      <c r="J778" s="60">
        <f>'Baseline At-Risk Pops'!H14</f>
        <v>0</v>
      </c>
      <c r="K778" s="61"/>
    </row>
    <row r="779" spans="2:11" ht="15" customHeight="1" x14ac:dyDescent="0.2">
      <c r="B779" s="57"/>
      <c r="C779" s="59"/>
      <c r="D779" s="59" t="s">
        <v>371</v>
      </c>
      <c r="E779" s="59"/>
      <c r="F779" s="59"/>
      <c r="G779" s="59"/>
      <c r="H779" s="59"/>
      <c r="I779" s="59"/>
      <c r="J779" s="60">
        <f>SUM(J718,J733,J748,J763)</f>
        <v>1</v>
      </c>
      <c r="K779" s="61"/>
    </row>
    <row r="780" spans="2:11" x14ac:dyDescent="0.2">
      <c r="B780" s="57"/>
      <c r="C780" s="59"/>
      <c r="D780" s="196" t="s">
        <v>372</v>
      </c>
      <c r="E780" s="59"/>
      <c r="F780" s="59"/>
      <c r="G780" s="59"/>
      <c r="H780" s="59"/>
      <c r="I780" s="59"/>
      <c r="J780" s="60">
        <f>AVERAGE(J778,J779)</f>
        <v>0.5</v>
      </c>
      <c r="K780" s="61"/>
    </row>
    <row r="781" spans="2:11" ht="16" x14ac:dyDescent="0.2">
      <c r="B781" s="57"/>
      <c r="C781" s="197" t="s">
        <v>34</v>
      </c>
      <c r="D781" s="59"/>
      <c r="E781" s="59"/>
      <c r="F781" s="59"/>
      <c r="G781" s="59"/>
      <c r="H781" s="59"/>
      <c r="I781" s="59"/>
      <c r="J781" s="60"/>
      <c r="K781" s="61"/>
    </row>
    <row r="782" spans="2:11" ht="16" x14ac:dyDescent="0.2">
      <c r="B782" s="57"/>
      <c r="C782" s="197"/>
      <c r="D782" s="59" t="s">
        <v>370</v>
      </c>
      <c r="E782" s="59"/>
      <c r="F782" s="59"/>
      <c r="G782" s="59"/>
      <c r="H782" s="59"/>
      <c r="I782" s="59"/>
      <c r="J782" s="60">
        <f>'Baseline At-Risk Pops'!H21</f>
        <v>0</v>
      </c>
      <c r="K782" s="61"/>
    </row>
    <row r="783" spans="2:11" x14ac:dyDescent="0.2">
      <c r="B783" s="57"/>
      <c r="C783" s="59"/>
      <c r="D783" s="59" t="s">
        <v>371</v>
      </c>
      <c r="E783" s="59"/>
      <c r="F783" s="59"/>
      <c r="G783" s="59"/>
      <c r="H783" s="59"/>
      <c r="I783" s="59"/>
      <c r="J783" s="60">
        <f>SUM(J719,J734,J749,J764)</f>
        <v>0</v>
      </c>
      <c r="K783" s="61"/>
    </row>
    <row r="784" spans="2:11" x14ac:dyDescent="0.2">
      <c r="B784" s="57"/>
      <c r="C784" s="59"/>
      <c r="D784" s="196" t="s">
        <v>372</v>
      </c>
      <c r="E784" s="59"/>
      <c r="F784" s="59"/>
      <c r="G784" s="59"/>
      <c r="H784" s="59"/>
      <c r="I784" s="59"/>
      <c r="J784" s="60">
        <f>AVERAGE(J782,J783)</f>
        <v>0</v>
      </c>
      <c r="K784" s="61"/>
    </row>
    <row r="785" spans="2:11" ht="16" x14ac:dyDescent="0.2">
      <c r="B785" s="57"/>
      <c r="C785" s="197" t="s">
        <v>35</v>
      </c>
      <c r="D785" s="59"/>
      <c r="E785" s="59"/>
      <c r="F785" s="59"/>
      <c r="G785" s="59"/>
      <c r="H785" s="59"/>
      <c r="I785" s="59"/>
      <c r="J785" s="60"/>
      <c r="K785" s="61"/>
    </row>
    <row r="786" spans="2:11" x14ac:dyDescent="0.2">
      <c r="B786" s="57"/>
      <c r="C786" s="59"/>
      <c r="D786" s="59" t="s">
        <v>370</v>
      </c>
      <c r="E786" s="59"/>
      <c r="F786" s="59"/>
      <c r="G786" s="59"/>
      <c r="H786" s="59"/>
      <c r="I786" s="59"/>
      <c r="J786" s="60">
        <f>'Baseline At-Risk Pops'!H27</f>
        <v>0</v>
      </c>
      <c r="K786" s="61"/>
    </row>
    <row r="787" spans="2:11" x14ac:dyDescent="0.2">
      <c r="B787" s="57"/>
      <c r="C787" s="59"/>
      <c r="D787" s="59" t="s">
        <v>371</v>
      </c>
      <c r="E787" s="59"/>
      <c r="F787" s="59"/>
      <c r="G787" s="59"/>
      <c r="H787" s="59"/>
      <c r="I787" s="59"/>
      <c r="J787" s="60">
        <f>SUM(J720,J735,J750,J765)</f>
        <v>1</v>
      </c>
      <c r="K787" s="61"/>
    </row>
    <row r="788" spans="2:11" x14ac:dyDescent="0.2">
      <c r="B788" s="57"/>
      <c r="C788" s="59"/>
      <c r="D788" s="196" t="s">
        <v>372</v>
      </c>
      <c r="E788" s="59"/>
      <c r="F788" s="59"/>
      <c r="G788" s="59"/>
      <c r="H788" s="59"/>
      <c r="I788" s="59"/>
      <c r="J788" s="60">
        <f>AVERAGE(J786,J787)</f>
        <v>0.5</v>
      </c>
      <c r="K788" s="61"/>
    </row>
    <row r="789" spans="2:11" ht="16" x14ac:dyDescent="0.2">
      <c r="B789" s="57"/>
      <c r="C789" s="197" t="s">
        <v>37</v>
      </c>
      <c r="D789" s="59"/>
      <c r="E789" s="59"/>
      <c r="F789" s="59"/>
      <c r="G789" s="59"/>
      <c r="H789" s="59"/>
      <c r="I789" s="59"/>
      <c r="J789" s="60"/>
      <c r="K789" s="61"/>
    </row>
    <row r="790" spans="2:11" x14ac:dyDescent="0.2">
      <c r="B790" s="57"/>
      <c r="C790" s="59"/>
      <c r="D790" s="59" t="s">
        <v>370</v>
      </c>
      <c r="E790" s="59"/>
      <c r="F790" s="59"/>
      <c r="G790" s="59"/>
      <c r="H790" s="59"/>
      <c r="I790" s="59"/>
      <c r="J790" s="60">
        <f>'Baseline At-Risk Pops'!H34</f>
        <v>0</v>
      </c>
      <c r="K790" s="61"/>
    </row>
    <row r="791" spans="2:11" x14ac:dyDescent="0.2">
      <c r="B791" s="57"/>
      <c r="C791" s="59"/>
      <c r="D791" s="59" t="s">
        <v>371</v>
      </c>
      <c r="E791" s="59"/>
      <c r="F791" s="59"/>
      <c r="G791" s="59"/>
      <c r="H791" s="59"/>
      <c r="I791" s="59"/>
      <c r="J791" s="60">
        <f>SUM(J721,J736,J751,J766)</f>
        <v>1</v>
      </c>
      <c r="K791" s="61"/>
    </row>
    <row r="792" spans="2:11" x14ac:dyDescent="0.2">
      <c r="B792" s="57"/>
      <c r="C792" s="59"/>
      <c r="D792" s="196" t="s">
        <v>372</v>
      </c>
      <c r="E792" s="59"/>
      <c r="F792" s="59"/>
      <c r="G792" s="59"/>
      <c r="H792" s="59"/>
      <c r="I792" s="59"/>
      <c r="J792" s="60">
        <f>AVERAGE(J790,J791)</f>
        <v>0.5</v>
      </c>
      <c r="K792" s="61"/>
    </row>
    <row r="793" spans="2:11" ht="16" x14ac:dyDescent="0.2">
      <c r="B793" s="57"/>
      <c r="C793" s="197" t="s">
        <v>38</v>
      </c>
      <c r="D793" s="59"/>
      <c r="E793" s="59"/>
      <c r="F793" s="59"/>
      <c r="G793" s="59"/>
      <c r="H793" s="59"/>
      <c r="I793" s="59"/>
      <c r="J793" s="60"/>
      <c r="K793" s="61"/>
    </row>
    <row r="794" spans="2:11" x14ac:dyDescent="0.2">
      <c r="B794" s="57"/>
      <c r="C794" s="59"/>
      <c r="D794" s="59" t="s">
        <v>370</v>
      </c>
      <c r="E794" s="59"/>
      <c r="F794" s="59"/>
      <c r="G794" s="59"/>
      <c r="H794" s="59"/>
      <c r="I794" s="59"/>
      <c r="J794" s="60">
        <f>'Baseline At-Risk Pops'!H40</f>
        <v>0</v>
      </c>
      <c r="K794" s="61"/>
    </row>
    <row r="795" spans="2:11" x14ac:dyDescent="0.2">
      <c r="B795" s="57"/>
      <c r="C795" s="59"/>
      <c r="D795" s="59" t="s">
        <v>371</v>
      </c>
      <c r="E795" s="59"/>
      <c r="F795" s="59"/>
      <c r="G795" s="59"/>
      <c r="H795" s="59"/>
      <c r="I795" s="59"/>
      <c r="J795" s="60">
        <f>SUM(J722,J737,J752,J767)</f>
        <v>1</v>
      </c>
      <c r="K795" s="61"/>
    </row>
    <row r="796" spans="2:11" x14ac:dyDescent="0.2">
      <c r="B796" s="57"/>
      <c r="C796" s="59"/>
      <c r="D796" s="196" t="s">
        <v>372</v>
      </c>
      <c r="E796" s="59"/>
      <c r="F796" s="59"/>
      <c r="G796" s="59"/>
      <c r="H796" s="59"/>
      <c r="I796" s="59"/>
      <c r="J796" s="60">
        <f>AVERAGE(J794,J795)</f>
        <v>0.5</v>
      </c>
      <c r="K796" s="61"/>
    </row>
    <row r="797" spans="2:11" ht="16" x14ac:dyDescent="0.2">
      <c r="B797" s="57"/>
      <c r="C797" s="197" t="s">
        <v>40</v>
      </c>
      <c r="D797" s="59"/>
      <c r="E797" s="59"/>
      <c r="F797" s="59"/>
      <c r="G797" s="59"/>
      <c r="H797" s="59"/>
      <c r="I797" s="59"/>
      <c r="J797" s="60"/>
      <c r="K797" s="61"/>
    </row>
    <row r="798" spans="2:11" x14ac:dyDescent="0.2">
      <c r="B798" s="57"/>
      <c r="C798" s="59"/>
      <c r="D798" s="59" t="s">
        <v>370</v>
      </c>
      <c r="E798" s="59"/>
      <c r="F798" s="59"/>
      <c r="G798" s="59"/>
      <c r="H798" s="59"/>
      <c r="I798" s="59"/>
      <c r="J798" s="60">
        <f>'Baseline At-Risk Pops'!H46</f>
        <v>0</v>
      </c>
      <c r="K798" s="61"/>
    </row>
    <row r="799" spans="2:11" x14ac:dyDescent="0.2">
      <c r="B799" s="57"/>
      <c r="C799" s="59"/>
      <c r="D799" s="59" t="s">
        <v>371</v>
      </c>
      <c r="E799" s="59"/>
      <c r="F799" s="59"/>
      <c r="G799" s="59"/>
      <c r="H799" s="59"/>
      <c r="I799" s="59"/>
      <c r="J799" s="60">
        <f>SUM(J723,J738,J753,J768)</f>
        <v>0</v>
      </c>
      <c r="K799" s="61"/>
    </row>
    <row r="800" spans="2:11" x14ac:dyDescent="0.2">
      <c r="B800" s="57"/>
      <c r="C800" s="59"/>
      <c r="D800" s="196" t="s">
        <v>372</v>
      </c>
      <c r="E800" s="59"/>
      <c r="F800" s="59"/>
      <c r="G800" s="59"/>
      <c r="H800" s="59"/>
      <c r="I800" s="59"/>
      <c r="J800" s="60">
        <f>AVERAGE(J798,J799)</f>
        <v>0</v>
      </c>
      <c r="K800" s="61"/>
    </row>
    <row r="801" spans="2:11" ht="16" x14ac:dyDescent="0.2">
      <c r="B801" s="57"/>
      <c r="C801" s="197" t="s">
        <v>41</v>
      </c>
      <c r="D801" s="59"/>
      <c r="E801" s="59"/>
      <c r="F801" s="59"/>
      <c r="G801" s="59"/>
      <c r="H801" s="59"/>
      <c r="I801" s="59"/>
      <c r="J801" s="60"/>
      <c r="K801" s="61"/>
    </row>
    <row r="802" spans="2:11" ht="16" x14ac:dyDescent="0.2">
      <c r="B802" s="57"/>
      <c r="C802" s="197"/>
      <c r="D802" s="59" t="s">
        <v>370</v>
      </c>
      <c r="E802" s="59"/>
      <c r="F802" s="59"/>
      <c r="G802" s="59"/>
      <c r="H802" s="59"/>
      <c r="I802" s="59"/>
      <c r="J802" s="60">
        <f>'Baseline At-Risk Pops'!H52</f>
        <v>0</v>
      </c>
      <c r="K802" s="61"/>
    </row>
    <row r="803" spans="2:11" x14ac:dyDescent="0.2">
      <c r="B803" s="57"/>
      <c r="C803" s="59"/>
      <c r="D803" s="59" t="s">
        <v>371</v>
      </c>
      <c r="E803" s="59"/>
      <c r="F803" s="59"/>
      <c r="G803" s="59"/>
      <c r="H803" s="59"/>
      <c r="I803" s="59"/>
      <c r="J803" s="60">
        <f>SUM(J724,J739,J754,J769)</f>
        <v>1</v>
      </c>
      <c r="K803" s="61"/>
    </row>
    <row r="804" spans="2:11" x14ac:dyDescent="0.2">
      <c r="B804" s="57"/>
      <c r="C804" s="59"/>
      <c r="D804" s="196" t="s">
        <v>372</v>
      </c>
      <c r="E804" s="59"/>
      <c r="F804" s="59"/>
      <c r="G804" s="59"/>
      <c r="H804" s="59"/>
      <c r="I804" s="59"/>
      <c r="J804" s="60">
        <f>AVERAGE(J802,J803)</f>
        <v>0.5</v>
      </c>
      <c r="K804" s="61"/>
    </row>
    <row r="805" spans="2:11" ht="16" x14ac:dyDescent="0.2">
      <c r="B805" s="57"/>
      <c r="C805" s="197" t="s">
        <v>43</v>
      </c>
      <c r="D805" s="59"/>
      <c r="E805" s="59"/>
      <c r="F805" s="59"/>
      <c r="G805" s="59"/>
      <c r="H805" s="59"/>
      <c r="I805" s="59"/>
      <c r="J805" s="60"/>
      <c r="K805" s="61"/>
    </row>
    <row r="806" spans="2:11" x14ac:dyDescent="0.2">
      <c r="B806" s="57"/>
      <c r="C806" s="59"/>
      <c r="D806" s="59" t="s">
        <v>370</v>
      </c>
      <c r="E806" s="59"/>
      <c r="F806" s="59"/>
      <c r="G806" s="59"/>
      <c r="H806" s="59"/>
      <c r="I806" s="59"/>
      <c r="J806" s="60">
        <f>'Baseline At-Risk Pops'!H58</f>
        <v>0</v>
      </c>
      <c r="K806" s="61"/>
    </row>
    <row r="807" spans="2:11" x14ac:dyDescent="0.2">
      <c r="B807" s="57"/>
      <c r="C807" s="59"/>
      <c r="D807" s="59" t="s">
        <v>371</v>
      </c>
      <c r="E807" s="59"/>
      <c r="F807" s="59"/>
      <c r="G807" s="59"/>
      <c r="H807" s="59"/>
      <c r="I807" s="59"/>
      <c r="J807" s="60">
        <f>SUM(J725,J740,J755,J770)</f>
        <v>0</v>
      </c>
      <c r="K807" s="61"/>
    </row>
    <row r="808" spans="2:11" x14ac:dyDescent="0.2">
      <c r="B808" s="57"/>
      <c r="C808" s="59"/>
      <c r="D808" s="196" t="s">
        <v>372</v>
      </c>
      <c r="E808" s="59"/>
      <c r="F808" s="59"/>
      <c r="G808" s="59"/>
      <c r="H808" s="59"/>
      <c r="I808" s="59"/>
      <c r="J808" s="60">
        <f>AVERAGE(J806,J807)</f>
        <v>0</v>
      </c>
      <c r="K808" s="61"/>
    </row>
    <row r="809" spans="2:11" x14ac:dyDescent="0.2">
      <c r="B809" s="57"/>
      <c r="C809" s="59"/>
      <c r="D809" s="59"/>
      <c r="E809" s="59"/>
      <c r="F809" s="59"/>
      <c r="G809" s="59"/>
      <c r="H809" s="59"/>
      <c r="I809" s="59"/>
      <c r="J809" s="59"/>
      <c r="K809" s="61"/>
    </row>
    <row r="810" spans="2:11" x14ac:dyDescent="0.2">
      <c r="B810" s="57"/>
      <c r="C810" s="59"/>
      <c r="D810" s="59"/>
      <c r="E810" s="59"/>
      <c r="F810" s="59"/>
      <c r="G810" s="59"/>
      <c r="H810" s="59"/>
      <c r="I810" s="59"/>
      <c r="J810" s="59"/>
      <c r="K810" s="61"/>
    </row>
    <row r="811" spans="2:11" ht="16" x14ac:dyDescent="0.2">
      <c r="B811" s="57"/>
      <c r="C811" s="198" t="s">
        <v>373</v>
      </c>
      <c r="D811" s="59"/>
      <c r="E811" s="59"/>
      <c r="F811" s="59"/>
      <c r="G811" s="59"/>
      <c r="H811" s="59"/>
      <c r="I811" s="59"/>
      <c r="J811" s="261">
        <f>AVERAGE(J776,J780,J784,J788,J792,J796,J800,J804,J808)</f>
        <v>0.33333333333333331</v>
      </c>
      <c r="K811" s="61"/>
    </row>
    <row r="812" spans="2:11" ht="16" thickBot="1" x14ac:dyDescent="0.25">
      <c r="B812" s="73"/>
      <c r="C812" s="74"/>
      <c r="D812" s="74"/>
      <c r="E812" s="74"/>
      <c r="F812" s="74"/>
      <c r="G812" s="74"/>
      <c r="H812" s="74"/>
      <c r="I812" s="74"/>
      <c r="J812" s="74"/>
      <c r="K812" s="76"/>
    </row>
    <row r="813" spans="2:11" ht="16" thickBot="1" x14ac:dyDescent="0.25"/>
    <row r="814" spans="2:11" x14ac:dyDescent="0.2">
      <c r="B814" s="199"/>
      <c r="C814" s="200"/>
      <c r="D814" s="200"/>
      <c r="E814" s="200"/>
      <c r="F814" s="200"/>
      <c r="G814" s="200"/>
      <c r="H814" s="200"/>
      <c r="I814" s="200"/>
      <c r="J814" s="200"/>
      <c r="K814" s="201"/>
    </row>
    <row r="815" spans="2:11" ht="21" x14ac:dyDescent="0.25">
      <c r="B815" s="202"/>
      <c r="C815" s="203"/>
      <c r="D815" s="203"/>
      <c r="E815" s="203"/>
      <c r="F815" s="203"/>
      <c r="G815" s="204" t="s">
        <v>233</v>
      </c>
      <c r="H815" s="203"/>
      <c r="I815" s="203"/>
      <c r="J815" s="203"/>
      <c r="K815" s="205"/>
    </row>
    <row r="816" spans="2:11" x14ac:dyDescent="0.2">
      <c r="B816" s="202"/>
      <c r="C816" s="203"/>
      <c r="D816" s="203"/>
      <c r="E816" s="203"/>
      <c r="F816" s="203"/>
      <c r="G816" s="203"/>
      <c r="H816" s="203"/>
      <c r="I816" s="203"/>
      <c r="J816" s="203"/>
      <c r="K816" s="205"/>
    </row>
    <row r="817" spans="2:11" ht="16" x14ac:dyDescent="0.2">
      <c r="B817" s="202"/>
      <c r="C817" s="206" t="s">
        <v>992</v>
      </c>
      <c r="D817" s="203"/>
      <c r="E817" s="203"/>
      <c r="F817" s="203"/>
      <c r="G817" s="203"/>
      <c r="H817" s="203"/>
      <c r="I817" s="203"/>
      <c r="J817" s="262" t="str">
        <f>IF(J700="Not Calculated","Not Calculated",J700*(($J$811/4)+1))</f>
        <v>Not Calculated</v>
      </c>
      <c r="K817" s="205"/>
    </row>
    <row r="818" spans="2:11" x14ac:dyDescent="0.2">
      <c r="B818" s="202"/>
      <c r="C818" s="203"/>
      <c r="D818" s="203" t="s">
        <v>1119</v>
      </c>
      <c r="E818" s="203"/>
      <c r="F818" s="203"/>
      <c r="G818" s="203"/>
      <c r="H818" s="203"/>
      <c r="I818" s="203"/>
      <c r="J818" s="203"/>
      <c r="K818" s="205"/>
    </row>
    <row r="819" spans="2:11" x14ac:dyDescent="0.2">
      <c r="B819" s="202"/>
      <c r="C819" s="203"/>
      <c r="D819" s="203"/>
      <c r="E819" s="203"/>
      <c r="F819" s="203"/>
      <c r="G819" s="203"/>
      <c r="H819" s="203"/>
      <c r="I819" s="203"/>
      <c r="J819" s="203"/>
      <c r="K819" s="205"/>
    </row>
    <row r="820" spans="2:11" ht="16" x14ac:dyDescent="0.2">
      <c r="B820" s="202"/>
      <c r="C820" s="206" t="s">
        <v>993</v>
      </c>
      <c r="D820" s="203"/>
      <c r="E820" s="203"/>
      <c r="F820" s="203"/>
      <c r="G820" s="203"/>
      <c r="H820" s="203"/>
      <c r="I820" s="203"/>
      <c r="J820" s="262" t="str">
        <f>IF(J703="Not Calculated","Not Calculated",J703*(($J$811/4)+1))</f>
        <v>Not Calculated</v>
      </c>
      <c r="K820" s="205"/>
    </row>
    <row r="821" spans="2:11" x14ac:dyDescent="0.2">
      <c r="B821" s="202"/>
      <c r="C821" s="203"/>
      <c r="D821" s="203" t="s">
        <v>1120</v>
      </c>
      <c r="E821" s="203"/>
      <c r="F821" s="203"/>
      <c r="G821" s="203"/>
      <c r="H821" s="203"/>
      <c r="I821" s="203"/>
      <c r="J821" s="203"/>
      <c r="K821" s="205"/>
    </row>
    <row r="822" spans="2:11" x14ac:dyDescent="0.2">
      <c r="B822" s="202"/>
      <c r="C822" s="203"/>
      <c r="D822" s="203"/>
      <c r="E822" s="203"/>
      <c r="F822" s="203"/>
      <c r="G822" s="203"/>
      <c r="H822" s="203"/>
      <c r="I822" s="203"/>
      <c r="J822" s="203"/>
      <c r="K822" s="205"/>
    </row>
    <row r="823" spans="2:11" ht="16" x14ac:dyDescent="0.2">
      <c r="B823" s="202"/>
      <c r="C823" s="206" t="s">
        <v>994</v>
      </c>
      <c r="D823" s="203"/>
      <c r="E823" s="203"/>
      <c r="F823" s="203"/>
      <c r="G823" s="203"/>
      <c r="H823" s="203"/>
      <c r="I823" s="203"/>
      <c r="J823" s="262" t="str">
        <f>IF(J706="Not Calculated","Not Calculated",J706*(($J$811/4)+1))</f>
        <v>Not Calculated</v>
      </c>
      <c r="K823" s="205"/>
    </row>
    <row r="824" spans="2:11" x14ac:dyDescent="0.2">
      <c r="B824" s="202"/>
      <c r="C824" s="203"/>
      <c r="D824" s="203" t="s">
        <v>1121</v>
      </c>
      <c r="E824" s="203"/>
      <c r="F824" s="203"/>
      <c r="G824" s="203"/>
      <c r="H824" s="203"/>
      <c r="I824" s="203"/>
      <c r="J824" s="203"/>
      <c r="K824" s="205"/>
    </row>
    <row r="825" spans="2:11" ht="16" thickBot="1" x14ac:dyDescent="0.25">
      <c r="B825" s="207"/>
      <c r="C825" s="208"/>
      <c r="D825" s="208"/>
      <c r="E825" s="208"/>
      <c r="F825" s="208"/>
      <c r="G825" s="208"/>
      <c r="H825" s="208"/>
      <c r="I825" s="208"/>
      <c r="J825" s="208"/>
      <c r="K825" s="209"/>
    </row>
    <row r="826" spans="2:11" ht="16" thickBot="1" x14ac:dyDescent="0.25"/>
    <row r="827" spans="2:11" x14ac:dyDescent="0.2">
      <c r="B827" s="77"/>
      <c r="C827" s="78"/>
      <c r="D827" s="78"/>
      <c r="E827" s="78"/>
      <c r="F827" s="78"/>
      <c r="G827" s="78"/>
      <c r="H827" s="78"/>
      <c r="I827" s="78"/>
      <c r="J827" s="78"/>
      <c r="K827" s="80"/>
    </row>
    <row r="828" spans="2:11" ht="21" x14ac:dyDescent="0.25">
      <c r="B828" s="81"/>
      <c r="C828" s="85"/>
      <c r="D828" s="85"/>
      <c r="E828" s="85"/>
      <c r="F828" s="85"/>
      <c r="G828" s="210" t="s">
        <v>806</v>
      </c>
      <c r="H828" s="85"/>
      <c r="I828" s="85"/>
      <c r="J828" s="85"/>
      <c r="K828" s="87"/>
    </row>
    <row r="829" spans="2:11" x14ac:dyDescent="0.2">
      <c r="B829" s="81"/>
      <c r="C829" s="85"/>
      <c r="D829" s="85"/>
      <c r="E829" s="85"/>
      <c r="F829" s="85"/>
      <c r="G829" s="85"/>
      <c r="H829" s="85"/>
      <c r="I829" s="85"/>
      <c r="J829" s="85"/>
      <c r="K829" s="87"/>
    </row>
    <row r="830" spans="2:11" ht="15" customHeight="1" x14ac:dyDescent="0.2">
      <c r="B830" s="81"/>
      <c r="C830" s="424" t="s">
        <v>808</v>
      </c>
      <c r="D830" s="424"/>
      <c r="E830" s="424"/>
      <c r="F830" s="424"/>
      <c r="G830" s="424"/>
      <c r="H830" s="424"/>
      <c r="I830" s="424"/>
      <c r="J830" s="424"/>
      <c r="K830" s="87"/>
    </row>
    <row r="831" spans="2:11" x14ac:dyDescent="0.2">
      <c r="B831" s="81"/>
      <c r="C831" s="424"/>
      <c r="D831" s="424"/>
      <c r="E831" s="424"/>
      <c r="F831" s="424"/>
      <c r="G831" s="424"/>
      <c r="H831" s="424"/>
      <c r="I831" s="424"/>
      <c r="J831" s="424"/>
      <c r="K831" s="87"/>
    </row>
    <row r="832" spans="2:11" x14ac:dyDescent="0.2">
      <c r="B832" s="81"/>
      <c r="C832" s="85"/>
      <c r="D832" s="85"/>
      <c r="E832" s="85"/>
      <c r="F832" s="85"/>
      <c r="G832" s="85"/>
      <c r="H832" s="85"/>
      <c r="I832" s="85"/>
      <c r="J832" s="85"/>
      <c r="K832" s="87"/>
    </row>
    <row r="833" spans="2:11" ht="16" x14ac:dyDescent="0.2">
      <c r="B833" s="81"/>
      <c r="C833" s="211" t="s">
        <v>654</v>
      </c>
      <c r="D833" s="85"/>
      <c r="E833" s="85"/>
      <c r="F833" s="85"/>
      <c r="G833" s="85"/>
      <c r="H833" s="85"/>
      <c r="I833" s="85"/>
      <c r="J833" s="85"/>
      <c r="K833" s="87"/>
    </row>
    <row r="834" spans="2:11" x14ac:dyDescent="0.2">
      <c r="B834" s="81"/>
      <c r="C834" s="85" t="s">
        <v>380</v>
      </c>
      <c r="D834" s="85"/>
      <c r="E834" s="85"/>
      <c r="F834" s="85"/>
      <c r="G834" s="406" t="s">
        <v>234</v>
      </c>
      <c r="H834" s="407"/>
      <c r="I834" s="85"/>
      <c r="J834" s="83">
        <f>IF(G834=$B$998,$A$998,IF(G834=$B$999,$A$999,IF(G834=$B$1000,$A$1000,IF(G834=$B$1001,$A$1001,IF(G834=$B$1002,$A$1002,"Not Calculated")))))</f>
        <v>4</v>
      </c>
      <c r="K834" s="87"/>
    </row>
    <row r="835" spans="2:11" x14ac:dyDescent="0.2">
      <c r="B835" s="81"/>
      <c r="C835" s="85" t="s">
        <v>134</v>
      </c>
      <c r="D835" s="85"/>
      <c r="E835" s="85"/>
      <c r="F835" s="85"/>
      <c r="G835" s="85"/>
      <c r="H835" s="85"/>
      <c r="I835" s="85"/>
      <c r="J835" s="240">
        <f>'Baseline PHP'!J16</f>
        <v>0</v>
      </c>
      <c r="K835" s="87"/>
    </row>
    <row r="836" spans="2:11" x14ac:dyDescent="0.2">
      <c r="B836" s="81"/>
      <c r="C836" s="85"/>
      <c r="D836" s="85"/>
      <c r="E836" s="85"/>
      <c r="F836" s="85"/>
      <c r="G836" s="85"/>
      <c r="H836" s="85"/>
      <c r="I836" s="85"/>
      <c r="J836" s="85"/>
      <c r="K836" s="87"/>
    </row>
    <row r="837" spans="2:11" ht="16" x14ac:dyDescent="0.2">
      <c r="B837" s="81"/>
      <c r="C837" s="211" t="s">
        <v>655</v>
      </c>
      <c r="D837" s="85"/>
      <c r="E837" s="85"/>
      <c r="F837" s="85"/>
      <c r="G837" s="85"/>
      <c r="H837" s="85"/>
      <c r="I837" s="85"/>
      <c r="J837" s="85"/>
      <c r="K837" s="87"/>
    </row>
    <row r="838" spans="2:11" x14ac:dyDescent="0.2">
      <c r="B838" s="81"/>
      <c r="C838" s="85" t="s">
        <v>380</v>
      </c>
      <c r="D838" s="85"/>
      <c r="E838" s="85"/>
      <c r="F838" s="85"/>
      <c r="G838" s="406" t="s">
        <v>234</v>
      </c>
      <c r="H838" s="407"/>
      <c r="I838" s="85"/>
      <c r="J838" s="83">
        <f>IF(G838=$B$998,$A$998,IF(G838=$B$999,$A$999,IF(G838=$B$1000,$A$1000,IF(G838=$B$1001,$A$1001,IF(G838=$B$1002,$A$1002,"Not Calculated")))))</f>
        <v>4</v>
      </c>
      <c r="K838" s="87"/>
    </row>
    <row r="839" spans="2:11" x14ac:dyDescent="0.2">
      <c r="B839" s="81"/>
      <c r="C839" s="85" t="s">
        <v>134</v>
      </c>
      <c r="D839" s="85"/>
      <c r="E839" s="85"/>
      <c r="F839" s="85"/>
      <c r="G839" s="85"/>
      <c r="H839" s="85"/>
      <c r="I839" s="85"/>
      <c r="J839" s="240">
        <f>'Baseline PHP'!J28</f>
        <v>0</v>
      </c>
      <c r="K839" s="87"/>
    </row>
    <row r="840" spans="2:11" x14ac:dyDescent="0.2">
      <c r="B840" s="81"/>
      <c r="C840" s="85"/>
      <c r="D840" s="85"/>
      <c r="E840" s="85"/>
      <c r="F840" s="85"/>
      <c r="G840" s="85"/>
      <c r="H840" s="85"/>
      <c r="I840" s="85"/>
      <c r="J840" s="85"/>
      <c r="K840" s="87"/>
    </row>
    <row r="841" spans="2:11" ht="16" x14ac:dyDescent="0.2">
      <c r="B841" s="81"/>
      <c r="C841" s="211" t="s">
        <v>645</v>
      </c>
      <c r="D841" s="85"/>
      <c r="E841" s="85"/>
      <c r="F841" s="85"/>
      <c r="G841" s="85"/>
      <c r="H841" s="85"/>
      <c r="I841" s="85"/>
      <c r="J841" s="85"/>
      <c r="K841" s="87"/>
    </row>
    <row r="842" spans="2:11" x14ac:dyDescent="0.2">
      <c r="B842" s="81"/>
      <c r="C842" s="85" t="s">
        <v>380</v>
      </c>
      <c r="D842" s="85"/>
      <c r="E842" s="85"/>
      <c r="F842" s="85"/>
      <c r="G842" s="406" t="s">
        <v>238</v>
      </c>
      <c r="H842" s="407"/>
      <c r="I842" s="85"/>
      <c r="J842" s="83">
        <f>IF(G842=$B$998,$A$998,IF(G842=$B$999,$A$999,IF(G842=$B$1000,$A$1000,IF(G842=$B$1001,$A$1001,IF(G842=$B$1002,$A$1002,"Not Calculated")))))</f>
        <v>3</v>
      </c>
      <c r="K842" s="87"/>
    </row>
    <row r="843" spans="2:11" x14ac:dyDescent="0.2">
      <c r="B843" s="81"/>
      <c r="C843" s="85" t="s">
        <v>134</v>
      </c>
      <c r="D843" s="85"/>
      <c r="E843" s="85"/>
      <c r="F843" s="85"/>
      <c r="G843" s="85"/>
      <c r="H843" s="85"/>
      <c r="I843" s="85"/>
      <c r="J843" s="240">
        <f>'Baseline PHP'!J44</f>
        <v>0</v>
      </c>
      <c r="K843" s="87"/>
    </row>
    <row r="844" spans="2:11" x14ac:dyDescent="0.2">
      <c r="B844" s="81"/>
      <c r="C844" s="85"/>
      <c r="D844" s="85"/>
      <c r="E844" s="85"/>
      <c r="F844" s="85"/>
      <c r="G844" s="85"/>
      <c r="H844" s="85"/>
      <c r="I844" s="85"/>
      <c r="J844" s="85"/>
      <c r="K844" s="87"/>
    </row>
    <row r="845" spans="2:11" ht="16" x14ac:dyDescent="0.2">
      <c r="B845" s="81"/>
      <c r="C845" s="211" t="s">
        <v>646</v>
      </c>
      <c r="D845" s="85"/>
      <c r="E845" s="85"/>
      <c r="F845" s="85"/>
      <c r="G845" s="85"/>
      <c r="H845" s="85"/>
      <c r="I845" s="85"/>
      <c r="J845" s="85"/>
      <c r="K845" s="87"/>
    </row>
    <row r="846" spans="2:11" x14ac:dyDescent="0.2">
      <c r="B846" s="81"/>
      <c r="C846" s="85" t="s">
        <v>380</v>
      </c>
      <c r="D846" s="85"/>
      <c r="E846" s="85"/>
      <c r="F846" s="85"/>
      <c r="G846" s="406" t="s">
        <v>234</v>
      </c>
      <c r="H846" s="407"/>
      <c r="I846" s="85"/>
      <c r="J846" s="83">
        <f>IF(G846=$B$998,$A$998,IF(G846=$B$999,$A$999,IF(G846=$B$1000,$A$1000,IF(G846=$B$1001,$A$1001,IF(G846=$B$1002,$A$1002,"Not Calculated")))))</f>
        <v>4</v>
      </c>
      <c r="K846" s="87"/>
    </row>
    <row r="847" spans="2:11" x14ac:dyDescent="0.2">
      <c r="B847" s="81"/>
      <c r="C847" s="85" t="s">
        <v>134</v>
      </c>
      <c r="D847" s="85"/>
      <c r="E847" s="85"/>
      <c r="F847" s="85"/>
      <c r="G847" s="85"/>
      <c r="H847" s="85"/>
      <c r="I847" s="85"/>
      <c r="J847" s="240">
        <f>'Baseline PHP'!J60</f>
        <v>0</v>
      </c>
      <c r="K847" s="87"/>
    </row>
    <row r="848" spans="2:11" x14ac:dyDescent="0.2">
      <c r="B848" s="81"/>
      <c r="C848" s="85"/>
      <c r="D848" s="85"/>
      <c r="E848" s="85"/>
      <c r="F848" s="85"/>
      <c r="G848" s="85"/>
      <c r="H848" s="85"/>
      <c r="I848" s="85"/>
      <c r="J848" s="85"/>
      <c r="K848" s="87"/>
    </row>
    <row r="849" spans="2:11" ht="16" x14ac:dyDescent="0.2">
      <c r="B849" s="81"/>
      <c r="C849" s="211" t="s">
        <v>648</v>
      </c>
      <c r="D849" s="85"/>
      <c r="E849" s="85"/>
      <c r="F849" s="85"/>
      <c r="G849" s="85"/>
      <c r="H849" s="85"/>
      <c r="I849" s="85"/>
      <c r="J849" s="85"/>
      <c r="K849" s="87"/>
    </row>
    <row r="850" spans="2:11" ht="15" customHeight="1" x14ac:dyDescent="0.2">
      <c r="B850" s="81"/>
      <c r="C850" s="85" t="s">
        <v>380</v>
      </c>
      <c r="D850" s="85"/>
      <c r="E850" s="85"/>
      <c r="F850" s="85"/>
      <c r="G850" s="406" t="s">
        <v>236</v>
      </c>
      <c r="H850" s="407"/>
      <c r="I850" s="85"/>
      <c r="J850" s="83">
        <f>IF(G850=$B$998,$A$998,IF(G850=$B$999,$A$999,IF(G850=$B$1000,$A$1000,IF(G850=$B$1001,$A$1001,IF(G850=$B$1002,$A$1002,"Not Calculated")))))</f>
        <v>0</v>
      </c>
      <c r="K850" s="87"/>
    </row>
    <row r="851" spans="2:11" x14ac:dyDescent="0.2">
      <c r="B851" s="81"/>
      <c r="C851" s="85" t="s">
        <v>134</v>
      </c>
      <c r="D851" s="85"/>
      <c r="E851" s="85"/>
      <c r="F851" s="85"/>
      <c r="G851" s="85"/>
      <c r="H851" s="85"/>
      <c r="I851" s="85"/>
      <c r="J851" s="240">
        <f>'Baseline PHP'!J76</f>
        <v>0</v>
      </c>
      <c r="K851" s="87"/>
    </row>
    <row r="852" spans="2:11" x14ac:dyDescent="0.2">
      <c r="B852" s="81"/>
      <c r="C852" s="85"/>
      <c r="D852" s="85"/>
      <c r="E852" s="85"/>
      <c r="F852" s="85"/>
      <c r="G852" s="85"/>
      <c r="H852" s="85"/>
      <c r="I852" s="85"/>
      <c r="J852" s="85"/>
      <c r="K852" s="87"/>
    </row>
    <row r="853" spans="2:11" ht="16" x14ac:dyDescent="0.2">
      <c r="B853" s="81"/>
      <c r="C853" s="211" t="s">
        <v>647</v>
      </c>
      <c r="D853" s="85"/>
      <c r="E853" s="85"/>
      <c r="F853" s="85"/>
      <c r="G853" s="85"/>
      <c r="H853" s="85"/>
      <c r="I853" s="85"/>
      <c r="J853" s="85"/>
      <c r="K853" s="87"/>
    </row>
    <row r="854" spans="2:11" x14ac:dyDescent="0.2">
      <c r="B854" s="81"/>
      <c r="C854" s="85" t="s">
        <v>380</v>
      </c>
      <c r="D854" s="85"/>
      <c r="E854" s="85"/>
      <c r="F854" s="85"/>
      <c r="G854" s="406" t="s">
        <v>234</v>
      </c>
      <c r="H854" s="407"/>
      <c r="I854" s="85"/>
      <c r="J854" s="83">
        <f>IF(G854=$B$998,$A$998,IF(G854=$B$999,$A$999,IF(G854=$B$1000,$A$1000,IF(G854=$B$1001,$A$1001,IF(G854=$B$1002,$A$1002,"Not Calculated")))))</f>
        <v>4</v>
      </c>
      <c r="K854" s="87"/>
    </row>
    <row r="855" spans="2:11" x14ac:dyDescent="0.2">
      <c r="B855" s="81"/>
      <c r="C855" s="85" t="s">
        <v>134</v>
      </c>
      <c r="D855" s="85"/>
      <c r="E855" s="85"/>
      <c r="F855" s="85"/>
      <c r="G855" s="85"/>
      <c r="H855" s="85"/>
      <c r="I855" s="85"/>
      <c r="J855" s="240">
        <f>'Baseline PHP'!J88</f>
        <v>0</v>
      </c>
      <c r="K855" s="87"/>
    </row>
    <row r="856" spans="2:11" x14ac:dyDescent="0.2">
      <c r="B856" s="81"/>
      <c r="C856" s="85"/>
      <c r="D856" s="85"/>
      <c r="E856" s="85"/>
      <c r="F856" s="85"/>
      <c r="G856" s="85"/>
      <c r="H856" s="85"/>
      <c r="I856" s="85"/>
      <c r="J856" s="85"/>
      <c r="K856" s="87"/>
    </row>
    <row r="857" spans="2:11" ht="16" x14ac:dyDescent="0.2">
      <c r="B857" s="81"/>
      <c r="C857" s="211" t="s">
        <v>115</v>
      </c>
      <c r="D857" s="85"/>
      <c r="E857" s="85"/>
      <c r="F857" s="85"/>
      <c r="G857" s="85"/>
      <c r="H857" s="85"/>
      <c r="I857" s="85"/>
      <c r="J857" s="85"/>
      <c r="K857" s="87"/>
    </row>
    <row r="858" spans="2:11" x14ac:dyDescent="0.2">
      <c r="B858" s="81"/>
      <c r="C858" s="85" t="s">
        <v>380</v>
      </c>
      <c r="D858" s="85"/>
      <c r="E858" s="85"/>
      <c r="F858" s="85"/>
      <c r="G858" s="406" t="s">
        <v>236</v>
      </c>
      <c r="H858" s="407"/>
      <c r="I858" s="85"/>
      <c r="J858" s="83">
        <f>IF(G858=$B$998,$A$998,IF(G858=$B$999,$A$999,IF(G858=$B$1000,$A$1000,IF(G858=$B$1001,$A$1001,IF(G858=$B$1002,$A$1002,"Not Calculated")))))</f>
        <v>0</v>
      </c>
      <c r="K858" s="87"/>
    </row>
    <row r="859" spans="2:11" x14ac:dyDescent="0.2">
      <c r="B859" s="81"/>
      <c r="C859" s="85" t="s">
        <v>134</v>
      </c>
      <c r="D859" s="85"/>
      <c r="E859" s="85"/>
      <c r="F859" s="85"/>
      <c r="G859" s="85"/>
      <c r="H859" s="85"/>
      <c r="I859" s="85"/>
      <c r="J859" s="240">
        <f>'Baseline PHP'!J102</f>
        <v>0</v>
      </c>
      <c r="K859" s="87"/>
    </row>
    <row r="860" spans="2:11" x14ac:dyDescent="0.2">
      <c r="B860" s="81"/>
      <c r="C860" s="85"/>
      <c r="D860" s="85"/>
      <c r="E860" s="85"/>
      <c r="F860" s="85"/>
      <c r="G860" s="85"/>
      <c r="H860" s="85"/>
      <c r="I860" s="85"/>
      <c r="J860" s="85"/>
      <c r="K860" s="87"/>
    </row>
    <row r="861" spans="2:11" ht="16" x14ac:dyDescent="0.2">
      <c r="B861" s="81"/>
      <c r="C861" s="211" t="s">
        <v>649</v>
      </c>
      <c r="D861" s="85"/>
      <c r="E861" s="85"/>
      <c r="F861" s="85"/>
      <c r="G861" s="85"/>
      <c r="H861" s="85"/>
      <c r="I861" s="85"/>
      <c r="J861" s="85"/>
      <c r="K861" s="87"/>
    </row>
    <row r="862" spans="2:11" x14ac:dyDescent="0.2">
      <c r="B862" s="81"/>
      <c r="C862" s="85" t="s">
        <v>380</v>
      </c>
      <c r="D862" s="85"/>
      <c r="E862" s="85"/>
      <c r="F862" s="85"/>
      <c r="G862" s="406" t="s">
        <v>236</v>
      </c>
      <c r="H862" s="407"/>
      <c r="I862" s="85"/>
      <c r="J862" s="83">
        <f>IF(G862=$B$998,$A$998,IF(G862=$B$999,$A$999,IF(G862=$B$1000,$A$1000,IF(G862=$B$1001,$A$1001,IF(G862=$B$1002,$A$1002,"Not Calculated")))))</f>
        <v>0</v>
      </c>
      <c r="K862" s="87"/>
    </row>
    <row r="863" spans="2:11" x14ac:dyDescent="0.2">
      <c r="B863" s="81"/>
      <c r="C863" s="85" t="s">
        <v>134</v>
      </c>
      <c r="D863" s="85"/>
      <c r="E863" s="85"/>
      <c r="F863" s="85"/>
      <c r="G863" s="85"/>
      <c r="H863" s="85"/>
      <c r="I863" s="85"/>
      <c r="J863" s="240">
        <f>'Baseline PHP'!J118</f>
        <v>0</v>
      </c>
      <c r="K863" s="87"/>
    </row>
    <row r="864" spans="2:11" x14ac:dyDescent="0.2">
      <c r="B864" s="81"/>
      <c r="C864" s="85"/>
      <c r="D864" s="85"/>
      <c r="E864" s="85"/>
      <c r="F864" s="85"/>
      <c r="G864" s="85"/>
      <c r="H864" s="85"/>
      <c r="I864" s="85"/>
      <c r="J864" s="85"/>
      <c r="K864" s="87"/>
    </row>
    <row r="865" spans="2:11" ht="16" x14ac:dyDescent="0.2">
      <c r="B865" s="81"/>
      <c r="C865" s="211" t="s">
        <v>656</v>
      </c>
      <c r="D865" s="85"/>
      <c r="E865" s="85"/>
      <c r="F865" s="85"/>
      <c r="G865" s="85"/>
      <c r="H865" s="85"/>
      <c r="I865" s="85"/>
      <c r="J865" s="85"/>
      <c r="K865" s="87"/>
    </row>
    <row r="866" spans="2:11" x14ac:dyDescent="0.2">
      <c r="B866" s="81"/>
      <c r="C866" s="85" t="s">
        <v>380</v>
      </c>
      <c r="D866" s="85"/>
      <c r="E866" s="85"/>
      <c r="F866" s="85"/>
      <c r="G866" s="406" t="s">
        <v>236</v>
      </c>
      <c r="H866" s="407"/>
      <c r="I866" s="85"/>
      <c r="J866" s="83">
        <f>IF(G866=$B$998,$A$998,IF(G866=$B$999,$A$999,IF(G866=$B$1000,$A$1000,IF(G866=$B$1001,$A$1001,IF(G866=$B$1002,$A$1002,"Not Calculated")))))</f>
        <v>0</v>
      </c>
      <c r="K866" s="87"/>
    </row>
    <row r="867" spans="2:11" x14ac:dyDescent="0.2">
      <c r="B867" s="81"/>
      <c r="C867" s="85" t="s">
        <v>134</v>
      </c>
      <c r="D867" s="85"/>
      <c r="E867" s="85"/>
      <c r="F867" s="85"/>
      <c r="G867" s="85"/>
      <c r="H867" s="85"/>
      <c r="I867" s="85"/>
      <c r="J867" s="240">
        <f>'Baseline PHP'!J136</f>
        <v>0</v>
      </c>
      <c r="K867" s="87"/>
    </row>
    <row r="868" spans="2:11" x14ac:dyDescent="0.2">
      <c r="B868" s="81"/>
      <c r="C868" s="85"/>
      <c r="D868" s="85"/>
      <c r="E868" s="85"/>
      <c r="F868" s="85"/>
      <c r="G868" s="85"/>
      <c r="H868" s="85"/>
      <c r="I868" s="85"/>
      <c r="J868" s="85"/>
      <c r="K868" s="87"/>
    </row>
    <row r="869" spans="2:11" ht="16" x14ac:dyDescent="0.2">
      <c r="B869" s="81"/>
      <c r="C869" s="211" t="s">
        <v>121</v>
      </c>
      <c r="D869" s="85"/>
      <c r="E869" s="85"/>
      <c r="F869" s="85"/>
      <c r="G869" s="85"/>
      <c r="H869" s="85"/>
      <c r="I869" s="85"/>
      <c r="J869" s="85"/>
      <c r="K869" s="87"/>
    </row>
    <row r="870" spans="2:11" x14ac:dyDescent="0.2">
      <c r="B870" s="81"/>
      <c r="C870" s="85" t="s">
        <v>380</v>
      </c>
      <c r="D870" s="85"/>
      <c r="E870" s="85"/>
      <c r="F870" s="85"/>
      <c r="G870" s="406" t="s">
        <v>236</v>
      </c>
      <c r="H870" s="407"/>
      <c r="I870" s="85"/>
      <c r="J870" s="83">
        <f>IF(G870=$B$998,$A$998,IF(G870=$B$999,$A$999,IF(G870=$B$1000,$A$1000,IF(G870=$B$1001,$A$1001,IF(G870=$B$1002,$A$1002,"Not Calculated")))))</f>
        <v>0</v>
      </c>
      <c r="K870" s="87"/>
    </row>
    <row r="871" spans="2:11" x14ac:dyDescent="0.2">
      <c r="B871" s="81"/>
      <c r="C871" s="85" t="s">
        <v>134</v>
      </c>
      <c r="D871" s="85"/>
      <c r="E871" s="85"/>
      <c r="F871" s="85"/>
      <c r="G871" s="85"/>
      <c r="H871" s="85"/>
      <c r="I871" s="85"/>
      <c r="J871" s="240">
        <f>'Baseline PHP'!J150</f>
        <v>0</v>
      </c>
      <c r="K871" s="87"/>
    </row>
    <row r="872" spans="2:11" x14ac:dyDescent="0.2">
      <c r="B872" s="81"/>
      <c r="C872" s="85"/>
      <c r="D872" s="85"/>
      <c r="E872" s="85"/>
      <c r="F872" s="85"/>
      <c r="G872" s="85"/>
      <c r="H872" s="85"/>
      <c r="I872" s="85"/>
      <c r="J872" s="85"/>
      <c r="K872" s="87"/>
    </row>
    <row r="873" spans="2:11" ht="16" x14ac:dyDescent="0.2">
      <c r="B873" s="81"/>
      <c r="C873" s="211" t="s">
        <v>657</v>
      </c>
      <c r="D873" s="85"/>
      <c r="E873" s="85"/>
      <c r="F873" s="85"/>
      <c r="G873" s="85"/>
      <c r="H873" s="85"/>
      <c r="I873" s="85"/>
      <c r="J873" s="85"/>
      <c r="K873" s="87"/>
    </row>
    <row r="874" spans="2:11" x14ac:dyDescent="0.2">
      <c r="B874" s="81"/>
      <c r="C874" s="85" t="s">
        <v>380</v>
      </c>
      <c r="D874" s="85"/>
      <c r="E874" s="85"/>
      <c r="F874" s="85"/>
      <c r="G874" s="406" t="s">
        <v>236</v>
      </c>
      <c r="H874" s="407"/>
      <c r="I874" s="85"/>
      <c r="J874" s="83">
        <f>IF(G874=$B$998,$A$998,IF(G874=$B$999,$A$999,IF(G874=$B$1000,$A$1000,IF(G874=$B$1001,$A$1001,IF(G874=$B$1002,$A$1002,"Not Calculated")))))</f>
        <v>0</v>
      </c>
      <c r="K874" s="87"/>
    </row>
    <row r="875" spans="2:11" x14ac:dyDescent="0.2">
      <c r="B875" s="81"/>
      <c r="C875" s="85" t="s">
        <v>134</v>
      </c>
      <c r="D875" s="85"/>
      <c r="E875" s="85"/>
      <c r="F875" s="85"/>
      <c r="G875" s="85"/>
      <c r="H875" s="85"/>
      <c r="I875" s="85"/>
      <c r="J875" s="240">
        <f>'Baseline PHP'!J164</f>
        <v>0</v>
      </c>
      <c r="K875" s="87"/>
    </row>
    <row r="876" spans="2:11" x14ac:dyDescent="0.2">
      <c r="B876" s="81"/>
      <c r="C876" s="85"/>
      <c r="D876" s="85"/>
      <c r="E876" s="85"/>
      <c r="F876" s="85"/>
      <c r="G876" s="85"/>
      <c r="H876" s="85"/>
      <c r="I876" s="85"/>
      <c r="J876" s="85"/>
      <c r="K876" s="87"/>
    </row>
    <row r="877" spans="2:11" ht="16" x14ac:dyDescent="0.2">
      <c r="B877" s="81"/>
      <c r="C877" s="211" t="s">
        <v>650</v>
      </c>
      <c r="D877" s="85"/>
      <c r="E877" s="85"/>
      <c r="F877" s="85"/>
      <c r="G877" s="85"/>
      <c r="H877" s="85"/>
      <c r="I877" s="85"/>
      <c r="J877" s="85"/>
      <c r="K877" s="87"/>
    </row>
    <row r="878" spans="2:11" x14ac:dyDescent="0.2">
      <c r="B878" s="81"/>
      <c r="C878" s="85" t="s">
        <v>380</v>
      </c>
      <c r="D878" s="85"/>
      <c r="E878" s="85"/>
      <c r="F878" s="85"/>
      <c r="G878" s="406" t="s">
        <v>236</v>
      </c>
      <c r="H878" s="407"/>
      <c r="I878" s="85"/>
      <c r="J878" s="83">
        <f>IF(G878=$B$998,$A$998,IF(G878=$B$999,$A$999,IF(G878=$B$1000,$A$1000,IF(G878=$B$1001,$A$1001,IF(G878=$B$1002,$A$1002,"Not Calculated")))))</f>
        <v>0</v>
      </c>
      <c r="K878" s="87"/>
    </row>
    <row r="879" spans="2:11" x14ac:dyDescent="0.2">
      <c r="B879" s="81"/>
      <c r="C879" s="85" t="s">
        <v>134</v>
      </c>
      <c r="D879" s="85"/>
      <c r="E879" s="85"/>
      <c r="F879" s="85"/>
      <c r="G879" s="85"/>
      <c r="H879" s="85"/>
      <c r="I879" s="85"/>
      <c r="J879" s="240">
        <f>'Baseline PHP'!J180</f>
        <v>0</v>
      </c>
      <c r="K879" s="87"/>
    </row>
    <row r="880" spans="2:11" x14ac:dyDescent="0.2">
      <c r="B880" s="81"/>
      <c r="C880" s="85"/>
      <c r="D880" s="85"/>
      <c r="E880" s="85"/>
      <c r="F880" s="85"/>
      <c r="G880" s="85"/>
      <c r="H880" s="85"/>
      <c r="I880" s="85"/>
      <c r="J880" s="85"/>
      <c r="K880" s="87"/>
    </row>
    <row r="881" spans="2:11" ht="16" x14ac:dyDescent="0.2">
      <c r="B881" s="81"/>
      <c r="C881" s="211" t="s">
        <v>651</v>
      </c>
      <c r="D881" s="85"/>
      <c r="E881" s="85"/>
      <c r="F881" s="85"/>
      <c r="G881" s="85"/>
      <c r="H881" s="85"/>
      <c r="I881" s="85"/>
      <c r="J881" s="85"/>
      <c r="K881" s="87"/>
    </row>
    <row r="882" spans="2:11" x14ac:dyDescent="0.2">
      <c r="B882" s="81"/>
      <c r="C882" s="85" t="s">
        <v>380</v>
      </c>
      <c r="D882" s="85"/>
      <c r="E882" s="85"/>
      <c r="F882" s="85"/>
      <c r="G882" s="406" t="s">
        <v>238</v>
      </c>
      <c r="H882" s="407"/>
      <c r="I882" s="85"/>
      <c r="J882" s="83">
        <f>IF(G882=$B$998,$A$998,IF(G882=$B$999,$A$999,IF(G882=$B$1000,$A$1000,IF(G882=$B$1001,$A$1001,IF(G882=$B$1002,$A$1002,"Not Calculated")))))</f>
        <v>3</v>
      </c>
      <c r="K882" s="87"/>
    </row>
    <row r="883" spans="2:11" x14ac:dyDescent="0.2">
      <c r="B883" s="81"/>
      <c r="C883" s="85" t="s">
        <v>134</v>
      </c>
      <c r="D883" s="85"/>
      <c r="E883" s="85"/>
      <c r="F883" s="85"/>
      <c r="G883" s="85"/>
      <c r="H883" s="85"/>
      <c r="I883" s="85"/>
      <c r="J883" s="240">
        <f>'Baseline PHP'!J194</f>
        <v>0</v>
      </c>
      <c r="K883" s="87"/>
    </row>
    <row r="884" spans="2:11" x14ac:dyDescent="0.2">
      <c r="B884" s="81"/>
      <c r="C884" s="85"/>
      <c r="D884" s="85"/>
      <c r="E884" s="85"/>
      <c r="F884" s="85"/>
      <c r="G884" s="85"/>
      <c r="H884" s="85"/>
      <c r="I884" s="85"/>
      <c r="J884" s="85"/>
      <c r="K884" s="87"/>
    </row>
    <row r="885" spans="2:11" ht="16" x14ac:dyDescent="0.2">
      <c r="B885" s="81"/>
      <c r="C885" s="211" t="s">
        <v>652</v>
      </c>
      <c r="D885" s="85"/>
      <c r="E885" s="85"/>
      <c r="F885" s="85"/>
      <c r="G885" s="85"/>
      <c r="H885" s="85"/>
      <c r="I885" s="85"/>
      <c r="J885" s="85"/>
      <c r="K885" s="87"/>
    </row>
    <row r="886" spans="2:11" x14ac:dyDescent="0.2">
      <c r="B886" s="81"/>
      <c r="C886" s="85" t="s">
        <v>380</v>
      </c>
      <c r="D886" s="85"/>
      <c r="E886" s="85"/>
      <c r="F886" s="85"/>
      <c r="G886" s="406" t="s">
        <v>236</v>
      </c>
      <c r="H886" s="407"/>
      <c r="I886" s="85"/>
      <c r="J886" s="83">
        <f>IF(G886=$B$998,$A$998,IF(G886=$B$999,$A$999,IF(G886=$B$1000,$A$1000,IF(G886=$B$1001,$A$1001,IF(G886=$B$1002,$A$1002,"Not Calculated")))))</f>
        <v>0</v>
      </c>
      <c r="K886" s="87"/>
    </row>
    <row r="887" spans="2:11" x14ac:dyDescent="0.2">
      <c r="B887" s="81"/>
      <c r="C887" s="85" t="s">
        <v>134</v>
      </c>
      <c r="D887" s="85"/>
      <c r="E887" s="85"/>
      <c r="F887" s="85"/>
      <c r="G887" s="85"/>
      <c r="H887" s="85"/>
      <c r="I887" s="85"/>
      <c r="J887" s="240">
        <f>'Baseline PHP'!J208</f>
        <v>0</v>
      </c>
      <c r="K887" s="87"/>
    </row>
    <row r="888" spans="2:11" x14ac:dyDescent="0.2">
      <c r="B888" s="81"/>
      <c r="C888" s="85"/>
      <c r="D888" s="85"/>
      <c r="E888" s="85"/>
      <c r="F888" s="85"/>
      <c r="G888" s="85"/>
      <c r="H888" s="85"/>
      <c r="I888" s="85"/>
      <c r="J888" s="85"/>
      <c r="K888" s="87"/>
    </row>
    <row r="889" spans="2:11" ht="16" x14ac:dyDescent="0.2">
      <c r="B889" s="81"/>
      <c r="C889" s="211" t="s">
        <v>653</v>
      </c>
      <c r="D889" s="85"/>
      <c r="E889" s="85"/>
      <c r="F889" s="85"/>
      <c r="G889" s="85"/>
      <c r="H889" s="85"/>
      <c r="I889" s="85"/>
      <c r="J889" s="85"/>
      <c r="K889" s="87"/>
    </row>
    <row r="890" spans="2:11" x14ac:dyDescent="0.2">
      <c r="B890" s="81"/>
      <c r="C890" s="85" t="s">
        <v>380</v>
      </c>
      <c r="D890" s="85"/>
      <c r="E890" s="85"/>
      <c r="F890" s="85"/>
      <c r="G890" s="406" t="s">
        <v>235</v>
      </c>
      <c r="H890" s="407"/>
      <c r="I890" s="85"/>
      <c r="J890" s="83">
        <f>IF(G890=$B$998,$A$998,IF(G890=$B$999,$A$999,IF(G890=$B$1000,$A$1000,IF(G890=$B$1001,$A$1001,IF(G890=$B$1002,$A$1002,"Not Calculated")))))</f>
        <v>2</v>
      </c>
      <c r="K890" s="87"/>
    </row>
    <row r="891" spans="2:11" x14ac:dyDescent="0.2">
      <c r="B891" s="81"/>
      <c r="C891" s="85" t="s">
        <v>134</v>
      </c>
      <c r="D891" s="85"/>
      <c r="E891" s="85"/>
      <c r="F891" s="85"/>
      <c r="G891" s="85"/>
      <c r="H891" s="85"/>
      <c r="I891" s="85"/>
      <c r="J891" s="240">
        <f>'Baseline PHP'!J222</f>
        <v>0</v>
      </c>
      <c r="K891" s="87"/>
    </row>
    <row r="892" spans="2:11" x14ac:dyDescent="0.2">
      <c r="B892" s="81"/>
      <c r="C892" s="85"/>
      <c r="D892" s="85"/>
      <c r="E892" s="85"/>
      <c r="F892" s="85"/>
      <c r="G892" s="85"/>
      <c r="H892" s="85"/>
      <c r="I892" s="85"/>
      <c r="J892" s="85"/>
      <c r="K892" s="87"/>
    </row>
    <row r="893" spans="2:11" x14ac:dyDescent="0.2">
      <c r="B893" s="81"/>
      <c r="C893" s="85"/>
      <c r="D893" s="85"/>
      <c r="E893" s="85"/>
      <c r="F893" s="85"/>
      <c r="G893" s="85"/>
      <c r="H893" s="85"/>
      <c r="I893" s="85"/>
      <c r="J893" s="85"/>
      <c r="K893" s="87"/>
    </row>
    <row r="894" spans="2:11" ht="16" x14ac:dyDescent="0.2">
      <c r="B894" s="81"/>
      <c r="C894" s="212" t="s">
        <v>813</v>
      </c>
      <c r="D894" s="85"/>
      <c r="E894" s="85"/>
      <c r="F894" s="85"/>
      <c r="G894" s="85"/>
      <c r="H894" s="85"/>
      <c r="I894" s="85"/>
      <c r="J894" s="241">
        <f>IF(OR(J854="Not Calculated",J858="Not Calculated",J862="Not Calculated",J866="Not Calculated",J870="Not Calculated",J874="Not Calculated",J878="Not Calculated",J882="Not Calculated",J886="Not Calculated",J890="Not Calculated",J834="Not Calculated",J838="Not Calculated",J842="Not Calculated",J846="Not Calculated",J850="Not Calculated",J855="Not Calculated",J859="Not Calculated",J863="Not Calculated",J867="Not Calculated",J871="Not Calculated",J875="Not Calculated",J879="Not Calculated",J883="Not Calculated",J887="Not Calculated",J891="Not Calculated",J835="Not Calculated",J839="Not Calculated",J843="Not Calculated",J847="Not Calculated",J851="Not Calculated")=TRUE,"Not Calculated",((J834*J835)+(J838*J839)+(J842*J843)+(J846*J847)+(J850*J851)+(J854*J855)+(J858*J859)+(J862*J863)+(J866*J867)+(J870*J871)+(J874*J875)+(J878*J879)+(J882*J883)+(J886*J887)+(J890*J891))/(J834+J838+J842+J846+J850+J854+J858+J862+J866+J870+J874+J878+J882+J886+J890))</f>
        <v>0</v>
      </c>
      <c r="K894" s="87"/>
    </row>
    <row r="895" spans="2:11" ht="16" thickBot="1" x14ac:dyDescent="0.25">
      <c r="B895" s="213"/>
      <c r="C895" s="94"/>
      <c r="D895" s="94"/>
      <c r="E895" s="94"/>
      <c r="F895" s="94"/>
      <c r="G895" s="94"/>
      <c r="H895" s="94"/>
      <c r="I895" s="94"/>
      <c r="J895" s="94"/>
      <c r="K895" s="96"/>
    </row>
    <row r="896" spans="2:11" ht="16" thickBot="1" x14ac:dyDescent="0.25"/>
    <row r="897" spans="2:11" x14ac:dyDescent="0.2">
      <c r="B897" s="77"/>
      <c r="C897" s="78"/>
      <c r="D897" s="78"/>
      <c r="E897" s="78"/>
      <c r="F897" s="78"/>
      <c r="G897" s="78"/>
      <c r="H897" s="78"/>
      <c r="I897" s="78"/>
      <c r="J897" s="78"/>
      <c r="K897" s="80"/>
    </row>
    <row r="898" spans="2:11" ht="21" x14ac:dyDescent="0.25">
      <c r="B898" s="81"/>
      <c r="C898" s="85"/>
      <c r="D898" s="85"/>
      <c r="E898" s="85"/>
      <c r="F898" s="85"/>
      <c r="G898" s="210" t="s">
        <v>807</v>
      </c>
      <c r="H898" s="85"/>
      <c r="I898" s="85"/>
      <c r="J898" s="85"/>
      <c r="K898" s="87"/>
    </row>
    <row r="899" spans="2:11" x14ac:dyDescent="0.2">
      <c r="B899" s="81"/>
      <c r="C899" s="85"/>
      <c r="D899" s="85"/>
      <c r="E899" s="85"/>
      <c r="F899" s="85"/>
      <c r="G899" s="85"/>
      <c r="H899" s="85"/>
      <c r="I899" s="85"/>
      <c r="J899" s="85"/>
      <c r="K899" s="87"/>
    </row>
    <row r="900" spans="2:11" ht="15" customHeight="1" x14ac:dyDescent="0.2">
      <c r="B900" s="81"/>
      <c r="C900" s="424" t="s">
        <v>809</v>
      </c>
      <c r="D900" s="424"/>
      <c r="E900" s="424"/>
      <c r="F900" s="424"/>
      <c r="G900" s="424"/>
      <c r="H900" s="424"/>
      <c r="I900" s="424"/>
      <c r="J900" s="424"/>
      <c r="K900" s="87"/>
    </row>
    <row r="901" spans="2:11" x14ac:dyDescent="0.2">
      <c r="B901" s="81"/>
      <c r="C901" s="424"/>
      <c r="D901" s="424"/>
      <c r="E901" s="424"/>
      <c r="F901" s="424"/>
      <c r="G901" s="424"/>
      <c r="H901" s="424"/>
      <c r="I901" s="424"/>
      <c r="J901" s="424"/>
      <c r="K901" s="87"/>
    </row>
    <row r="902" spans="2:11" x14ac:dyDescent="0.2">
      <c r="B902" s="81"/>
      <c r="C902" s="85"/>
      <c r="D902" s="85"/>
      <c r="E902" s="85"/>
      <c r="F902" s="85"/>
      <c r="G902" s="85"/>
      <c r="H902" s="85"/>
      <c r="I902" s="85"/>
      <c r="J902" s="85"/>
      <c r="K902" s="87"/>
    </row>
    <row r="903" spans="2:11" ht="16" x14ac:dyDescent="0.2">
      <c r="B903" s="81"/>
      <c r="C903" s="211" t="s">
        <v>810</v>
      </c>
      <c r="D903" s="85"/>
      <c r="E903" s="85"/>
      <c r="F903" s="85"/>
      <c r="G903" s="85"/>
      <c r="H903" s="85"/>
      <c r="I903" s="85"/>
      <c r="J903" s="85"/>
      <c r="K903" s="87"/>
    </row>
    <row r="904" spans="2:11" x14ac:dyDescent="0.2">
      <c r="B904" s="81"/>
      <c r="C904" s="85" t="s">
        <v>380</v>
      </c>
      <c r="D904" s="85"/>
      <c r="E904" s="85"/>
      <c r="F904" s="85"/>
      <c r="G904" s="406" t="s">
        <v>234</v>
      </c>
      <c r="H904" s="407"/>
      <c r="I904" s="85"/>
      <c r="J904" s="83">
        <f>IF(G904=$B$998,$A$998,IF(G904=$B$999,$A$999,IF(G904=$B$1000,$A$1000,IF(G904=$B$1001,$A$1001,IF(G904=$B$1002,$A$1002,"Not Calculated")))))</f>
        <v>4</v>
      </c>
      <c r="K904" s="87"/>
    </row>
    <row r="905" spans="2:11" x14ac:dyDescent="0.2">
      <c r="B905" s="81"/>
      <c r="C905" s="85" t="s">
        <v>134</v>
      </c>
      <c r="D905" s="85"/>
      <c r="E905" s="85"/>
      <c r="F905" s="85"/>
      <c r="G905" s="85"/>
      <c r="H905" s="85"/>
      <c r="I905" s="85"/>
      <c r="J905" s="240">
        <f>'Baseline HP'!J22</f>
        <v>0</v>
      </c>
      <c r="K905" s="87"/>
    </row>
    <row r="906" spans="2:11" x14ac:dyDescent="0.2">
      <c r="B906" s="81"/>
      <c r="C906" s="85"/>
      <c r="D906" s="85"/>
      <c r="E906" s="85"/>
      <c r="F906" s="85"/>
      <c r="G906" s="85"/>
      <c r="H906" s="85"/>
      <c r="I906" s="85"/>
      <c r="J906" s="85"/>
      <c r="K906" s="87"/>
    </row>
    <row r="907" spans="2:11" ht="16" x14ac:dyDescent="0.2">
      <c r="B907" s="81"/>
      <c r="C907" s="211" t="s">
        <v>811</v>
      </c>
      <c r="D907" s="85"/>
      <c r="E907" s="85"/>
      <c r="F907" s="85"/>
      <c r="G907" s="85"/>
      <c r="H907" s="85"/>
      <c r="I907" s="85"/>
      <c r="J907" s="85"/>
      <c r="K907" s="87"/>
    </row>
    <row r="908" spans="2:11" x14ac:dyDescent="0.2">
      <c r="B908" s="81"/>
      <c r="C908" s="85" t="s">
        <v>380</v>
      </c>
      <c r="D908" s="85"/>
      <c r="E908" s="85"/>
      <c r="F908" s="85"/>
      <c r="G908" s="406" t="s">
        <v>234</v>
      </c>
      <c r="H908" s="407"/>
      <c r="I908" s="85"/>
      <c r="J908" s="83">
        <f>IF(G908=$B$998,$A$998,IF(G908=$B$999,$A$999,IF(G908=$B$1000,$A$1000,IF(G908=$B$1001,$A$1001,IF(G908=$B$1002,$A$1002,"Not Calculated")))))</f>
        <v>4</v>
      </c>
      <c r="K908" s="87"/>
    </row>
    <row r="909" spans="2:11" x14ac:dyDescent="0.2">
      <c r="B909" s="81"/>
      <c r="C909" s="85" t="s">
        <v>134</v>
      </c>
      <c r="D909" s="85"/>
      <c r="E909" s="85"/>
      <c r="F909" s="85"/>
      <c r="G909" s="85"/>
      <c r="H909" s="85"/>
      <c r="I909" s="85"/>
      <c r="J909" s="240">
        <f>'Baseline HP'!J32</f>
        <v>0</v>
      </c>
      <c r="K909" s="87"/>
    </row>
    <row r="910" spans="2:11" x14ac:dyDescent="0.2">
      <c r="B910" s="81"/>
      <c r="C910" s="85"/>
      <c r="D910" s="85"/>
      <c r="E910" s="85"/>
      <c r="F910" s="85"/>
      <c r="G910" s="85"/>
      <c r="H910" s="85"/>
      <c r="I910" s="85"/>
      <c r="J910" s="85"/>
      <c r="K910" s="87"/>
    </row>
    <row r="911" spans="2:11" ht="16" x14ac:dyDescent="0.2">
      <c r="B911" s="81"/>
      <c r="C911" s="211" t="s">
        <v>645</v>
      </c>
      <c r="D911" s="85"/>
      <c r="E911" s="85"/>
      <c r="F911" s="85"/>
      <c r="G911" s="85"/>
      <c r="H911" s="85"/>
      <c r="I911" s="85"/>
      <c r="J911" s="85"/>
      <c r="K911" s="87"/>
    </row>
    <row r="912" spans="2:11" x14ac:dyDescent="0.2">
      <c r="B912" s="81"/>
      <c r="C912" s="85" t="s">
        <v>380</v>
      </c>
      <c r="D912" s="85"/>
      <c r="E912" s="85"/>
      <c r="F912" s="85"/>
      <c r="G912" s="406" t="s">
        <v>238</v>
      </c>
      <c r="H912" s="407"/>
      <c r="I912" s="85"/>
      <c r="J912" s="83">
        <f>IF(G912=$B$998,$A$998,IF(G912=$B$999,$A$999,IF(G912=$B$1000,$A$1000,IF(G912=$B$1001,$A$1001,IF(G912=$B$1002,$A$1002,"Not Calculated")))))</f>
        <v>3</v>
      </c>
      <c r="K912" s="87"/>
    </row>
    <row r="913" spans="2:11" x14ac:dyDescent="0.2">
      <c r="B913" s="81"/>
      <c r="C913" s="85" t="s">
        <v>134</v>
      </c>
      <c r="D913" s="85"/>
      <c r="E913" s="85"/>
      <c r="F913" s="85"/>
      <c r="G913" s="85"/>
      <c r="H913" s="85"/>
      <c r="I913" s="85"/>
      <c r="J913" s="240">
        <f>'Baseline HP'!J46</f>
        <v>0</v>
      </c>
      <c r="K913" s="87"/>
    </row>
    <row r="914" spans="2:11" x14ac:dyDescent="0.2">
      <c r="B914" s="81"/>
      <c r="C914" s="85"/>
      <c r="D914" s="85"/>
      <c r="E914" s="85"/>
      <c r="F914" s="85"/>
      <c r="G914" s="85"/>
      <c r="H914" s="85"/>
      <c r="I914" s="85"/>
      <c r="J914" s="85"/>
      <c r="K914" s="87"/>
    </row>
    <row r="915" spans="2:11" ht="16" x14ac:dyDescent="0.2">
      <c r="B915" s="81"/>
      <c r="C915" s="211" t="s">
        <v>648</v>
      </c>
      <c r="D915" s="85"/>
      <c r="E915" s="85"/>
      <c r="F915" s="85"/>
      <c r="G915" s="85"/>
      <c r="H915" s="85"/>
      <c r="I915" s="85"/>
      <c r="J915" s="85"/>
      <c r="K915" s="87"/>
    </row>
    <row r="916" spans="2:11" ht="15" customHeight="1" x14ac:dyDescent="0.2">
      <c r="B916" s="81"/>
      <c r="C916" s="85" t="s">
        <v>380</v>
      </c>
      <c r="D916" s="85"/>
      <c r="E916" s="85"/>
      <c r="F916" s="85"/>
      <c r="G916" s="406" t="s">
        <v>236</v>
      </c>
      <c r="H916" s="407"/>
      <c r="I916" s="85"/>
      <c r="J916" s="83">
        <f>IF(G916=$B$998,$A$998,IF(G916=$B$999,$A$999,IF(G916=$B$1000,$A$1000,IF(G916=$B$1001,$A$1001,IF(G916=$B$1002,$A$1002,"Not Calculated")))))</f>
        <v>0</v>
      </c>
      <c r="K916" s="87"/>
    </row>
    <row r="917" spans="2:11" x14ac:dyDescent="0.2">
      <c r="B917" s="81"/>
      <c r="C917" s="85" t="s">
        <v>134</v>
      </c>
      <c r="D917" s="85"/>
      <c r="E917" s="85"/>
      <c r="F917" s="85"/>
      <c r="G917" s="85"/>
      <c r="H917" s="85"/>
      <c r="I917" s="85"/>
      <c r="J917" s="240">
        <f>'Baseline HP'!J58</f>
        <v>0</v>
      </c>
      <c r="K917" s="87"/>
    </row>
    <row r="918" spans="2:11" x14ac:dyDescent="0.2">
      <c r="B918" s="81"/>
      <c r="C918" s="85"/>
      <c r="D918" s="85"/>
      <c r="E918" s="85"/>
      <c r="F918" s="85"/>
      <c r="G918" s="85"/>
      <c r="H918" s="85"/>
      <c r="I918" s="85"/>
      <c r="J918" s="85"/>
      <c r="K918" s="87"/>
    </row>
    <row r="919" spans="2:11" ht="16" x14ac:dyDescent="0.2">
      <c r="B919" s="81"/>
      <c r="C919" s="211" t="s">
        <v>647</v>
      </c>
      <c r="D919" s="85"/>
      <c r="E919" s="85"/>
      <c r="F919" s="85"/>
      <c r="G919" s="85"/>
      <c r="H919" s="85"/>
      <c r="I919" s="85"/>
      <c r="J919" s="85"/>
      <c r="K919" s="87"/>
    </row>
    <row r="920" spans="2:11" x14ac:dyDescent="0.2">
      <c r="B920" s="81"/>
      <c r="C920" s="85" t="s">
        <v>380</v>
      </c>
      <c r="D920" s="85"/>
      <c r="E920" s="85"/>
      <c r="F920" s="85"/>
      <c r="G920" s="406" t="s">
        <v>234</v>
      </c>
      <c r="H920" s="407"/>
      <c r="I920" s="85"/>
      <c r="J920" s="83">
        <f>IF(G920=$B$998,$A$998,IF(G920=$B$999,$A$999,IF(G920=$B$1000,$A$1000,IF(G920=$B$1001,$A$1001,IF(G920=$B$1002,$A$1002,"Not Calculated")))))</f>
        <v>4</v>
      </c>
      <c r="K920" s="87"/>
    </row>
    <row r="921" spans="2:11" x14ac:dyDescent="0.2">
      <c r="B921" s="81"/>
      <c r="C921" s="85" t="s">
        <v>134</v>
      </c>
      <c r="D921" s="85"/>
      <c r="E921" s="85"/>
      <c r="F921" s="85"/>
      <c r="G921" s="85"/>
      <c r="H921" s="85"/>
      <c r="I921" s="85"/>
      <c r="J921" s="240">
        <f>'Baseline HP'!J68</f>
        <v>0</v>
      </c>
      <c r="K921" s="87"/>
    </row>
    <row r="922" spans="2:11" x14ac:dyDescent="0.2">
      <c r="B922" s="81"/>
      <c r="C922" s="85"/>
      <c r="D922" s="85"/>
      <c r="E922" s="85"/>
      <c r="F922" s="85"/>
      <c r="G922" s="85"/>
      <c r="H922" s="85"/>
      <c r="I922" s="85"/>
      <c r="J922" s="85"/>
      <c r="K922" s="87"/>
    </row>
    <row r="923" spans="2:11" ht="16" x14ac:dyDescent="0.2">
      <c r="B923" s="81"/>
      <c r="C923" s="211" t="s">
        <v>121</v>
      </c>
      <c r="D923" s="85"/>
      <c r="E923" s="85"/>
      <c r="F923" s="85"/>
      <c r="G923" s="85"/>
      <c r="H923" s="85"/>
      <c r="I923" s="85"/>
      <c r="J923" s="85"/>
      <c r="K923" s="87"/>
    </row>
    <row r="924" spans="2:11" x14ac:dyDescent="0.2">
      <c r="B924" s="81"/>
      <c r="C924" s="85" t="s">
        <v>380</v>
      </c>
      <c r="D924" s="85"/>
      <c r="E924" s="85"/>
      <c r="F924" s="85"/>
      <c r="G924" s="406" t="s">
        <v>236</v>
      </c>
      <c r="H924" s="407"/>
      <c r="I924" s="85"/>
      <c r="J924" s="83">
        <f>IF(G924=$B$998,$A$998,IF(G924=$B$999,$A$999,IF(G924=$B$1000,$A$1000,IF(G924=$B$1001,$A$1001,IF(G924=$B$1002,$A$1002,"Not Calculated")))))</f>
        <v>0</v>
      </c>
      <c r="K924" s="87"/>
    </row>
    <row r="925" spans="2:11" x14ac:dyDescent="0.2">
      <c r="B925" s="81"/>
      <c r="C925" s="85" t="s">
        <v>134</v>
      </c>
      <c r="D925" s="85"/>
      <c r="E925" s="85"/>
      <c r="F925" s="85"/>
      <c r="G925" s="85"/>
      <c r="H925" s="85"/>
      <c r="I925" s="85"/>
      <c r="J925" s="240">
        <f>'Baseline HP'!J84</f>
        <v>0</v>
      </c>
      <c r="K925" s="87"/>
    </row>
    <row r="926" spans="2:11" x14ac:dyDescent="0.2">
      <c r="B926" s="81"/>
      <c r="C926" s="85"/>
      <c r="D926" s="85"/>
      <c r="E926" s="85"/>
      <c r="F926" s="85"/>
      <c r="G926" s="85"/>
      <c r="H926" s="85"/>
      <c r="I926" s="85"/>
      <c r="J926" s="85"/>
      <c r="K926" s="87"/>
    </row>
    <row r="927" spans="2:11" ht="16" x14ac:dyDescent="0.2">
      <c r="B927" s="81"/>
      <c r="C927" s="211" t="s">
        <v>652</v>
      </c>
      <c r="D927" s="85"/>
      <c r="E927" s="85"/>
      <c r="F927" s="85"/>
      <c r="G927" s="85"/>
      <c r="H927" s="85"/>
      <c r="I927" s="85"/>
      <c r="J927" s="85"/>
      <c r="K927" s="87"/>
    </row>
    <row r="928" spans="2:11" x14ac:dyDescent="0.2">
      <c r="B928" s="81"/>
      <c r="C928" s="85" t="s">
        <v>380</v>
      </c>
      <c r="D928" s="85"/>
      <c r="E928" s="85"/>
      <c r="F928" s="85"/>
      <c r="G928" s="406" t="s">
        <v>236</v>
      </c>
      <c r="H928" s="407"/>
      <c r="I928" s="85"/>
      <c r="J928" s="83">
        <f>IF(G928=$B$998,$A$998,IF(G928=$B$999,$A$999,IF(G928=$B$1000,$A$1000,IF(G928=$B$1001,$A$1001,IF(G928=$B$1002,$A$1002,"Not Calculated")))))</f>
        <v>0</v>
      </c>
      <c r="K928" s="87"/>
    </row>
    <row r="929" spans="2:11" x14ac:dyDescent="0.2">
      <c r="B929" s="81"/>
      <c r="C929" s="85" t="s">
        <v>134</v>
      </c>
      <c r="D929" s="85"/>
      <c r="E929" s="85"/>
      <c r="F929" s="85"/>
      <c r="G929" s="85"/>
      <c r="H929" s="85"/>
      <c r="I929" s="85"/>
      <c r="J929" s="240">
        <f>'Baseline HP'!J94</f>
        <v>0</v>
      </c>
      <c r="K929" s="87"/>
    </row>
    <row r="930" spans="2:11" x14ac:dyDescent="0.2">
      <c r="B930" s="81"/>
      <c r="C930" s="85"/>
      <c r="D930" s="85"/>
      <c r="E930" s="85"/>
      <c r="F930" s="85"/>
      <c r="G930" s="85"/>
      <c r="H930" s="85"/>
      <c r="I930" s="85"/>
      <c r="J930" s="85"/>
      <c r="K930" s="87"/>
    </row>
    <row r="931" spans="2:11" ht="16" x14ac:dyDescent="0.2">
      <c r="B931" s="81"/>
      <c r="C931" s="211" t="s">
        <v>653</v>
      </c>
      <c r="D931" s="85"/>
      <c r="E931" s="85"/>
      <c r="F931" s="85"/>
      <c r="G931" s="85"/>
      <c r="H931" s="85"/>
      <c r="I931" s="85"/>
      <c r="J931" s="85"/>
      <c r="K931" s="87"/>
    </row>
    <row r="932" spans="2:11" x14ac:dyDescent="0.2">
      <c r="B932" s="81"/>
      <c r="C932" s="85" t="s">
        <v>380</v>
      </c>
      <c r="D932" s="85"/>
      <c r="E932" s="85"/>
      <c r="F932" s="85"/>
      <c r="G932" s="406" t="s">
        <v>235</v>
      </c>
      <c r="H932" s="407"/>
      <c r="I932" s="85"/>
      <c r="J932" s="83">
        <f>IF(G932=$B$998,$A$998,IF(G932=$B$999,$A$999,IF(G932=$B$1000,$A$1000,IF(G932=$B$1001,$A$1001,IF(G932=$B$1002,$A$1002,"Not Calculated")))))</f>
        <v>2</v>
      </c>
      <c r="K932" s="87"/>
    </row>
    <row r="933" spans="2:11" x14ac:dyDescent="0.2">
      <c r="B933" s="81"/>
      <c r="C933" s="85" t="s">
        <v>134</v>
      </c>
      <c r="D933" s="85"/>
      <c r="E933" s="85"/>
      <c r="F933" s="85"/>
      <c r="G933" s="85"/>
      <c r="H933" s="85"/>
      <c r="I933" s="85"/>
      <c r="J933" s="240">
        <f>'Baseline HP'!J108</f>
        <v>0</v>
      </c>
      <c r="K933" s="87"/>
    </row>
    <row r="934" spans="2:11" x14ac:dyDescent="0.2">
      <c r="B934" s="81"/>
      <c r="C934" s="85"/>
      <c r="D934" s="85"/>
      <c r="E934" s="85"/>
      <c r="F934" s="85"/>
      <c r="G934" s="85"/>
      <c r="H934" s="85"/>
      <c r="I934" s="85"/>
      <c r="J934" s="85"/>
      <c r="K934" s="87"/>
    </row>
    <row r="935" spans="2:11" x14ac:dyDescent="0.2">
      <c r="B935" s="81"/>
      <c r="C935" s="85"/>
      <c r="D935" s="85"/>
      <c r="E935" s="85"/>
      <c r="F935" s="85"/>
      <c r="G935" s="85"/>
      <c r="H935" s="85"/>
      <c r="I935" s="85"/>
      <c r="J935" s="85"/>
      <c r="K935" s="87"/>
    </row>
    <row r="936" spans="2:11" ht="16" x14ac:dyDescent="0.2">
      <c r="B936" s="81"/>
      <c r="C936" s="212" t="s">
        <v>812</v>
      </c>
      <c r="D936" s="85"/>
      <c r="E936" s="85"/>
      <c r="F936" s="85"/>
      <c r="G936" s="85"/>
      <c r="H936" s="85"/>
      <c r="I936" s="85"/>
      <c r="J936" s="241">
        <f>IF(OR(J920="Not Calculated",J924="Not Calculated",J928="Not Calculated",J932="Not Calculated",J904="Not Calculated",J908="Not Calculated",J912="Not Calculated",J916="Not Calculated",J921="Not Calculated",J925="Not Calculated",J929="Not Calculated",J933="Not Calculated",J905="Not Calculated",J909="Not Calculated",J913="Not Calculated",J917="Not Calculated")=TRUE,"Not Calculated",((J904*J905)+(J908*J909)+(J912*J913)+(J916*J917)+(J920*J921)+(J924*J925)+(J928*J929)+(J932*J933))/(J904+J908+J912+J916+J920+J924+J928+J932))</f>
        <v>0</v>
      </c>
      <c r="K936" s="87"/>
    </row>
    <row r="937" spans="2:11" ht="16" thickBot="1" x14ac:dyDescent="0.25">
      <c r="B937" s="213"/>
      <c r="C937" s="94"/>
      <c r="D937" s="94"/>
      <c r="E937" s="94"/>
      <c r="F937" s="94"/>
      <c r="G937" s="94"/>
      <c r="H937" s="94"/>
      <c r="I937" s="94"/>
      <c r="J937" s="94"/>
      <c r="K937" s="96"/>
    </row>
    <row r="938" spans="2:11" ht="16" thickBot="1" x14ac:dyDescent="0.25"/>
    <row r="939" spans="2:11" x14ac:dyDescent="0.2">
      <c r="B939" s="77"/>
      <c r="C939" s="78"/>
      <c r="D939" s="78"/>
      <c r="E939" s="78"/>
      <c r="F939" s="78"/>
      <c r="G939" s="78"/>
      <c r="H939" s="78"/>
      <c r="I939" s="78"/>
      <c r="J939" s="78"/>
      <c r="K939" s="80"/>
    </row>
    <row r="940" spans="2:11" ht="21" x14ac:dyDescent="0.25">
      <c r="B940" s="81"/>
      <c r="C940" s="85"/>
      <c r="D940" s="85"/>
      <c r="E940" s="85"/>
      <c r="F940" s="85"/>
      <c r="G940" s="210" t="s">
        <v>815</v>
      </c>
      <c r="H940" s="85"/>
      <c r="I940" s="85"/>
      <c r="J940" s="85"/>
      <c r="K940" s="87"/>
    </row>
    <row r="941" spans="2:11" ht="21" x14ac:dyDescent="0.25">
      <c r="B941" s="81"/>
      <c r="C941" s="85"/>
      <c r="D941" s="85"/>
      <c r="E941" s="85"/>
      <c r="F941" s="85"/>
      <c r="G941" s="210"/>
      <c r="H941" s="85"/>
      <c r="I941" s="85"/>
      <c r="J941" s="85"/>
      <c r="K941" s="87"/>
    </row>
    <row r="942" spans="2:11" ht="16" x14ac:dyDescent="0.2">
      <c r="B942" s="81"/>
      <c r="C942" s="212" t="s">
        <v>995</v>
      </c>
      <c r="D942" s="85"/>
      <c r="E942" s="85"/>
      <c r="F942" s="85"/>
      <c r="G942" s="85"/>
      <c r="H942" s="85"/>
      <c r="I942" s="85"/>
      <c r="J942" s="241">
        <f>IF(OR(J936="Not Calculated",J894="Not Calculated")=TRUE,"Not Calculated",AVERAGE(J936,J894))</f>
        <v>0</v>
      </c>
      <c r="K942" s="87"/>
    </row>
    <row r="943" spans="2:11" ht="16" x14ac:dyDescent="0.2">
      <c r="B943" s="81"/>
      <c r="C943" s="212"/>
      <c r="D943" s="85" t="s">
        <v>814</v>
      </c>
      <c r="E943" s="85"/>
      <c r="F943" s="85"/>
      <c r="G943" s="85"/>
      <c r="H943" s="85"/>
      <c r="I943" s="85"/>
      <c r="J943" s="241"/>
      <c r="K943" s="87"/>
    </row>
    <row r="944" spans="2:11" ht="17" thickBot="1" x14ac:dyDescent="0.25">
      <c r="B944" s="213"/>
      <c r="C944" s="227"/>
      <c r="D944" s="94"/>
      <c r="E944" s="94"/>
      <c r="F944" s="94"/>
      <c r="G944" s="94"/>
      <c r="H944" s="94"/>
      <c r="I944" s="94"/>
      <c r="J944" s="228"/>
      <c r="K944" s="96"/>
    </row>
    <row r="945" spans="2:11" ht="16" thickBot="1" x14ac:dyDescent="0.25"/>
    <row r="946" spans="2:11" x14ac:dyDescent="0.2">
      <c r="B946" s="214"/>
      <c r="C946" s="215"/>
      <c r="D946" s="215"/>
      <c r="E946" s="215"/>
      <c r="F946" s="215"/>
      <c r="G946" s="215"/>
      <c r="H946" s="215"/>
      <c r="I946" s="215"/>
      <c r="J946" s="215"/>
      <c r="K946" s="216"/>
    </row>
    <row r="947" spans="2:11" ht="21" x14ac:dyDescent="0.25">
      <c r="B947" s="217"/>
      <c r="C947" s="218"/>
      <c r="D947" s="218"/>
      <c r="E947" s="218"/>
      <c r="F947" s="218"/>
      <c r="G947" s="219" t="s">
        <v>239</v>
      </c>
      <c r="H947" s="218"/>
      <c r="I947" s="218"/>
      <c r="J947" s="218"/>
      <c r="K947" s="220"/>
    </row>
    <row r="948" spans="2:11" x14ac:dyDescent="0.2">
      <c r="B948" s="217"/>
      <c r="C948" s="218"/>
      <c r="D948" s="218"/>
      <c r="E948" s="218"/>
      <c r="F948" s="218"/>
      <c r="G948" s="218"/>
      <c r="H948" s="218"/>
      <c r="I948" s="218"/>
      <c r="J948" s="218"/>
      <c r="K948" s="220"/>
    </row>
    <row r="949" spans="2:11" ht="16" x14ac:dyDescent="0.2">
      <c r="B949" s="217"/>
      <c r="C949" s="221" t="s">
        <v>393</v>
      </c>
      <c r="D949" s="218"/>
      <c r="E949" s="218"/>
      <c r="F949" s="218"/>
      <c r="G949" s="218"/>
      <c r="H949" s="218"/>
      <c r="I949" s="218"/>
      <c r="J949" s="242" t="str">
        <f>IF(OR(J817="Not Calculated",J942="Not Calculated")=TRUE,"Not Calculated",J817/J942)</f>
        <v>Not Calculated</v>
      </c>
      <c r="K949" s="220"/>
    </row>
    <row r="950" spans="2:11" x14ac:dyDescent="0.2">
      <c r="B950" s="217"/>
      <c r="C950" s="218"/>
      <c r="D950" s="218" t="s">
        <v>816</v>
      </c>
      <c r="E950" s="218"/>
      <c r="F950" s="218"/>
      <c r="G950" s="218"/>
      <c r="H950" s="218"/>
      <c r="I950" s="218"/>
      <c r="J950" s="218"/>
      <c r="K950" s="220"/>
    </row>
    <row r="951" spans="2:11" x14ac:dyDescent="0.2">
      <c r="B951" s="217"/>
      <c r="C951" s="218"/>
      <c r="D951" s="218"/>
      <c r="E951" s="218"/>
      <c r="F951" s="218"/>
      <c r="G951" s="218"/>
      <c r="H951" s="218"/>
      <c r="I951" s="218"/>
      <c r="J951" s="218"/>
      <c r="K951" s="220"/>
    </row>
    <row r="952" spans="2:11" ht="16" x14ac:dyDescent="0.2">
      <c r="B952" s="217"/>
      <c r="C952" s="221" t="s">
        <v>996</v>
      </c>
      <c r="D952" s="218"/>
      <c r="E952" s="218"/>
      <c r="F952" s="218"/>
      <c r="G952" s="218"/>
      <c r="H952" s="218"/>
      <c r="I952" s="218"/>
      <c r="J952" s="242" t="str">
        <f>IF(OR(J820="Not Calculated",J894="Not Calculated")=TRUE,"Not Calculated",J820/J894)</f>
        <v>Not Calculated</v>
      </c>
      <c r="K952" s="220"/>
    </row>
    <row r="953" spans="2:11" x14ac:dyDescent="0.2">
      <c r="B953" s="217"/>
      <c r="C953" s="218"/>
      <c r="D953" s="218" t="s">
        <v>817</v>
      </c>
      <c r="E953" s="218"/>
      <c r="F953" s="218"/>
      <c r="G953" s="218"/>
      <c r="H953" s="218"/>
      <c r="I953" s="218"/>
      <c r="J953" s="218"/>
      <c r="K953" s="220"/>
    </row>
    <row r="954" spans="2:11" x14ac:dyDescent="0.2">
      <c r="B954" s="217"/>
      <c r="C954" s="218"/>
      <c r="D954" s="218"/>
      <c r="E954" s="218"/>
      <c r="F954" s="218"/>
      <c r="G954" s="218"/>
      <c r="H954" s="218"/>
      <c r="I954" s="218"/>
      <c r="J954" s="218"/>
      <c r="K954" s="220"/>
    </row>
    <row r="955" spans="2:11" ht="16" x14ac:dyDescent="0.2">
      <c r="B955" s="217"/>
      <c r="C955" s="221" t="s">
        <v>997</v>
      </c>
      <c r="D955" s="218"/>
      <c r="E955" s="218"/>
      <c r="F955" s="218"/>
      <c r="G955" s="218"/>
      <c r="H955" s="218"/>
      <c r="I955" s="218"/>
      <c r="J955" s="242" t="str">
        <f>IF(OR(J936="Not Calculated",J823="Not Calculated")=TRUE,"Not Calculated",J823/J936)</f>
        <v>Not Calculated</v>
      </c>
      <c r="K955" s="220"/>
    </row>
    <row r="956" spans="2:11" x14ac:dyDescent="0.2">
      <c r="B956" s="217"/>
      <c r="C956" s="218"/>
      <c r="D956" s="218" t="s">
        <v>818</v>
      </c>
      <c r="E956" s="218"/>
      <c r="F956" s="218"/>
      <c r="G956" s="218"/>
      <c r="H956" s="218"/>
      <c r="I956" s="218"/>
      <c r="J956" s="218"/>
      <c r="K956" s="220"/>
    </row>
    <row r="957" spans="2:11" ht="16" thickBot="1" x14ac:dyDescent="0.25">
      <c r="B957" s="222"/>
      <c r="C957" s="223"/>
      <c r="D957" s="223"/>
      <c r="E957" s="223"/>
      <c r="F957" s="223"/>
      <c r="G957" s="223"/>
      <c r="H957" s="223"/>
      <c r="I957" s="223"/>
      <c r="J957" s="223"/>
      <c r="K957" s="224"/>
    </row>
    <row r="959" spans="2:11" ht="15" customHeight="1" x14ac:dyDescent="0.2">
      <c r="F959" s="405"/>
      <c r="G959" s="405"/>
      <c r="H959" s="405"/>
    </row>
    <row r="960" spans="2:11" x14ac:dyDescent="0.2">
      <c r="F960" s="405"/>
      <c r="G960" s="405"/>
      <c r="H960" s="405"/>
    </row>
    <row r="965" spans="1:3" ht="15" hidden="1" customHeight="1" x14ac:dyDescent="0.2">
      <c r="A965" s="12" t="s">
        <v>228</v>
      </c>
    </row>
    <row r="966" spans="1:3" ht="15" hidden="1" customHeight="1" x14ac:dyDescent="0.2">
      <c r="A966" s="12">
        <v>0</v>
      </c>
      <c r="B966" s="12" t="s">
        <v>250</v>
      </c>
      <c r="C966" s="12" t="s">
        <v>240</v>
      </c>
    </row>
    <row r="967" spans="1:3" ht="15" hidden="1" customHeight="1" x14ac:dyDescent="0.2">
      <c r="A967" s="12">
        <v>1</v>
      </c>
      <c r="B967" s="12" t="s">
        <v>251</v>
      </c>
      <c r="C967" s="12" t="s">
        <v>241</v>
      </c>
    </row>
    <row r="968" spans="1:3" ht="15" hidden="1" customHeight="1" x14ac:dyDescent="0.2">
      <c r="A968" s="12">
        <v>2</v>
      </c>
      <c r="B968" s="12" t="s">
        <v>252</v>
      </c>
      <c r="C968" s="12" t="s">
        <v>242</v>
      </c>
    </row>
    <row r="969" spans="1:3" ht="15" hidden="1" customHeight="1" x14ac:dyDescent="0.2">
      <c r="A969" s="12">
        <v>3</v>
      </c>
      <c r="B969" s="12" t="s">
        <v>253</v>
      </c>
      <c r="C969" s="12" t="s">
        <v>227</v>
      </c>
    </row>
    <row r="970" spans="1:3" ht="15" hidden="1" customHeight="1" x14ac:dyDescent="0.2">
      <c r="A970" s="12">
        <v>4</v>
      </c>
      <c r="B970" s="12" t="s">
        <v>254</v>
      </c>
      <c r="C970" s="12" t="s">
        <v>243</v>
      </c>
    </row>
    <row r="971" spans="1:3" ht="15" hidden="1" customHeight="1" x14ac:dyDescent="0.2"/>
    <row r="972" spans="1:3" ht="15" hidden="1" customHeight="1" x14ac:dyDescent="0.2">
      <c r="A972" s="12" t="s">
        <v>259</v>
      </c>
    </row>
    <row r="973" spans="1:3" ht="15" hidden="1" customHeight="1" x14ac:dyDescent="0.2">
      <c r="A973" s="12">
        <v>0</v>
      </c>
      <c r="B973" s="225" t="s">
        <v>870</v>
      </c>
    </row>
    <row r="974" spans="1:3" ht="15" hidden="1" customHeight="1" x14ac:dyDescent="0.2">
      <c r="A974" s="12">
        <v>1</v>
      </c>
      <c r="B974" s="12" t="s">
        <v>880</v>
      </c>
    </row>
    <row r="975" spans="1:3" ht="15" hidden="1" customHeight="1" x14ac:dyDescent="0.2">
      <c r="A975" s="12">
        <v>2</v>
      </c>
      <c r="B975" s="12" t="s">
        <v>872</v>
      </c>
    </row>
    <row r="976" spans="1:3" ht="15" hidden="1" customHeight="1" x14ac:dyDescent="0.2">
      <c r="A976" s="12">
        <v>3</v>
      </c>
      <c r="B976" s="12" t="s">
        <v>873</v>
      </c>
    </row>
    <row r="977" spans="1:2" ht="15" hidden="1" customHeight="1" x14ac:dyDescent="0.2">
      <c r="A977" s="12">
        <v>4</v>
      </c>
      <c r="B977" s="12" t="s">
        <v>874</v>
      </c>
    </row>
    <row r="978" spans="1:2" ht="15" hidden="1" customHeight="1" x14ac:dyDescent="0.2"/>
    <row r="979" spans="1:2" ht="15" hidden="1" customHeight="1" x14ac:dyDescent="0.2">
      <c r="A979" s="12" t="s">
        <v>294</v>
      </c>
    </row>
    <row r="980" spans="1:2" ht="15" hidden="1" customHeight="1" x14ac:dyDescent="0.2">
      <c r="A980" s="12">
        <v>0</v>
      </c>
      <c r="B980" s="225" t="s">
        <v>870</v>
      </c>
    </row>
    <row r="981" spans="1:2" ht="15" hidden="1" customHeight="1" x14ac:dyDescent="0.2">
      <c r="A981" s="12">
        <v>1</v>
      </c>
      <c r="B981" s="12" t="s">
        <v>875</v>
      </c>
    </row>
    <row r="982" spans="1:2" ht="15" hidden="1" customHeight="1" x14ac:dyDescent="0.2">
      <c r="A982" s="12">
        <v>2</v>
      </c>
      <c r="B982" s="12" t="s">
        <v>876</v>
      </c>
    </row>
    <row r="983" spans="1:2" ht="15" hidden="1" customHeight="1" x14ac:dyDescent="0.2">
      <c r="A983" s="12">
        <v>3</v>
      </c>
      <c r="B983" s="12" t="s">
        <v>877</v>
      </c>
    </row>
    <row r="984" spans="1:2" ht="15" hidden="1" customHeight="1" x14ac:dyDescent="0.2">
      <c r="A984" s="12">
        <v>4</v>
      </c>
      <c r="B984" s="12" t="s">
        <v>878</v>
      </c>
    </row>
    <row r="985" spans="1:2" ht="15" hidden="1" customHeight="1" x14ac:dyDescent="0.2"/>
    <row r="986" spans="1:2" ht="15" hidden="1" customHeight="1" x14ac:dyDescent="0.2">
      <c r="A986" s="12" t="s">
        <v>244</v>
      </c>
    </row>
    <row r="987" spans="1:2" ht="15" hidden="1" customHeight="1" x14ac:dyDescent="0.2">
      <c r="A987" s="12">
        <v>0</v>
      </c>
      <c r="B987" s="12" t="s">
        <v>245</v>
      </c>
    </row>
    <row r="988" spans="1:2" ht="15" hidden="1" customHeight="1" x14ac:dyDescent="0.2">
      <c r="A988" s="12">
        <v>1</v>
      </c>
      <c r="B988" s="12" t="s">
        <v>246</v>
      </c>
    </row>
    <row r="989" spans="1:2" ht="15" hidden="1" customHeight="1" x14ac:dyDescent="0.2">
      <c r="A989" s="12">
        <v>2</v>
      </c>
      <c r="B989" s="12" t="s">
        <v>247</v>
      </c>
    </row>
    <row r="990" spans="1:2" ht="15" hidden="1" customHeight="1" x14ac:dyDescent="0.2">
      <c r="A990" s="12">
        <v>3</v>
      </c>
      <c r="B990" s="12" t="s">
        <v>229</v>
      </c>
    </row>
    <row r="991" spans="1:2" ht="15" hidden="1" customHeight="1" x14ac:dyDescent="0.2">
      <c r="A991" s="12">
        <v>4</v>
      </c>
      <c r="B991" s="12" t="s">
        <v>248</v>
      </c>
    </row>
    <row r="992" spans="1:2" ht="15" hidden="1" customHeight="1" x14ac:dyDescent="0.2"/>
    <row r="993" spans="1:11" ht="15" hidden="1" customHeight="1" x14ac:dyDescent="0.2">
      <c r="A993" s="12" t="s">
        <v>381</v>
      </c>
    </row>
    <row r="994" spans="1:11" ht="15" hidden="1" customHeight="1" x14ac:dyDescent="0.2">
      <c r="A994" s="12">
        <v>0</v>
      </c>
      <c r="B994" s="12" t="s">
        <v>202</v>
      </c>
    </row>
    <row r="995" spans="1:11" ht="15" hidden="1" customHeight="1" x14ac:dyDescent="0.2">
      <c r="A995" s="12">
        <v>1</v>
      </c>
      <c r="B995" s="12" t="s">
        <v>190</v>
      </c>
    </row>
    <row r="996" spans="1:11" ht="15" hidden="1" customHeight="1" x14ac:dyDescent="0.2"/>
    <row r="997" spans="1:11" ht="15" hidden="1" customHeight="1" x14ac:dyDescent="0.2">
      <c r="A997" s="12" t="s">
        <v>249</v>
      </c>
    </row>
    <row r="998" spans="1:11" ht="15" hidden="1" customHeight="1" x14ac:dyDescent="0.2">
      <c r="A998" s="12">
        <v>0</v>
      </c>
      <c r="B998" s="12" t="s">
        <v>236</v>
      </c>
    </row>
    <row r="999" spans="1:11" ht="15" hidden="1" customHeight="1" x14ac:dyDescent="0.2">
      <c r="A999" s="12">
        <v>1</v>
      </c>
      <c r="B999" s="12" t="s">
        <v>237</v>
      </c>
    </row>
    <row r="1000" spans="1:11" ht="15" hidden="1" customHeight="1" x14ac:dyDescent="0.2">
      <c r="A1000" s="12">
        <v>2</v>
      </c>
      <c r="B1000" s="12" t="s">
        <v>235</v>
      </c>
    </row>
    <row r="1001" spans="1:11" ht="15" hidden="1" customHeight="1" x14ac:dyDescent="0.2">
      <c r="A1001" s="12">
        <v>3</v>
      </c>
      <c r="B1001" s="12" t="s">
        <v>238</v>
      </c>
    </row>
    <row r="1002" spans="1:11" ht="15" hidden="1" customHeight="1" x14ac:dyDescent="0.2">
      <c r="A1002" s="12">
        <v>4</v>
      </c>
      <c r="B1002" s="12" t="s">
        <v>234</v>
      </c>
    </row>
    <row r="1003" spans="1:11" ht="15" customHeight="1" x14ac:dyDescent="0.2">
      <c r="B1003" s="12" t="s">
        <v>685</v>
      </c>
    </row>
    <row r="1004" spans="1:11" ht="30" customHeight="1" x14ac:dyDescent="0.2">
      <c r="B1004" s="402" t="s">
        <v>712</v>
      </c>
      <c r="C1004" s="403"/>
      <c r="D1004" s="403"/>
      <c r="E1004" s="403"/>
      <c r="F1004" s="403"/>
      <c r="G1004" s="403"/>
      <c r="H1004" s="403"/>
      <c r="I1004" s="403"/>
      <c r="J1004" s="403"/>
      <c r="K1004" s="404"/>
    </row>
    <row r="1005" spans="1:11" ht="15" customHeight="1" x14ac:dyDescent="0.2">
      <c r="B1005" s="396"/>
      <c r="C1005" s="397"/>
      <c r="D1005" s="397"/>
      <c r="E1005" s="397"/>
      <c r="F1005" s="397"/>
      <c r="G1005" s="397"/>
      <c r="H1005" s="397"/>
      <c r="I1005" s="397"/>
      <c r="J1005" s="397"/>
      <c r="K1005" s="398"/>
    </row>
    <row r="1006" spans="1:11" ht="15" customHeight="1" x14ac:dyDescent="0.2">
      <c r="B1006" s="396"/>
      <c r="C1006" s="397"/>
      <c r="D1006" s="397"/>
      <c r="E1006" s="397"/>
      <c r="F1006" s="397"/>
      <c r="G1006" s="397"/>
      <c r="H1006" s="397"/>
      <c r="I1006" s="397"/>
      <c r="J1006" s="397"/>
      <c r="K1006" s="398"/>
    </row>
    <row r="1007" spans="1:11" ht="15" customHeight="1" x14ac:dyDescent="0.2">
      <c r="B1007" s="396"/>
      <c r="C1007" s="397"/>
      <c r="D1007" s="397"/>
      <c r="E1007" s="397"/>
      <c r="F1007" s="397"/>
      <c r="G1007" s="397"/>
      <c r="H1007" s="397"/>
      <c r="I1007" s="397"/>
      <c r="J1007" s="397"/>
      <c r="K1007" s="398"/>
    </row>
    <row r="1008" spans="1:11" ht="15" customHeight="1" x14ac:dyDescent="0.2">
      <c r="B1008" s="396"/>
      <c r="C1008" s="397"/>
      <c r="D1008" s="397"/>
      <c r="E1008" s="397"/>
      <c r="F1008" s="397"/>
      <c r="G1008" s="397"/>
      <c r="H1008" s="397"/>
      <c r="I1008" s="397"/>
      <c r="J1008" s="397"/>
      <c r="K1008" s="398"/>
    </row>
    <row r="1009" spans="2:11" ht="15" customHeight="1" x14ac:dyDescent="0.2">
      <c r="B1009" s="396"/>
      <c r="C1009" s="397"/>
      <c r="D1009" s="397"/>
      <c r="E1009" s="397"/>
      <c r="F1009" s="397"/>
      <c r="G1009" s="397"/>
      <c r="H1009" s="397"/>
      <c r="I1009" s="397"/>
      <c r="J1009" s="397"/>
      <c r="K1009" s="398"/>
    </row>
    <row r="1010" spans="2:11" ht="15" customHeight="1" x14ac:dyDescent="0.2">
      <c r="B1010" s="396"/>
      <c r="C1010" s="397"/>
      <c r="D1010" s="397"/>
      <c r="E1010" s="397"/>
      <c r="F1010" s="397"/>
      <c r="G1010" s="397"/>
      <c r="H1010" s="397"/>
      <c r="I1010" s="397"/>
      <c r="J1010" s="397"/>
      <c r="K1010" s="398"/>
    </row>
    <row r="1011" spans="2:11" ht="15" customHeight="1" x14ac:dyDescent="0.2">
      <c r="B1011" s="396"/>
      <c r="C1011" s="397"/>
      <c r="D1011" s="397"/>
      <c r="E1011" s="397"/>
      <c r="F1011" s="397"/>
      <c r="G1011" s="397"/>
      <c r="H1011" s="397"/>
      <c r="I1011" s="397"/>
      <c r="J1011" s="397"/>
      <c r="K1011" s="398"/>
    </row>
    <row r="1012" spans="2:11" ht="15" customHeight="1" x14ac:dyDescent="0.2">
      <c r="B1012" s="396"/>
      <c r="C1012" s="397"/>
      <c r="D1012" s="397"/>
      <c r="E1012" s="397"/>
      <c r="F1012" s="397"/>
      <c r="G1012" s="397"/>
      <c r="H1012" s="397"/>
      <c r="I1012" s="397"/>
      <c r="J1012" s="397"/>
      <c r="K1012" s="398"/>
    </row>
    <row r="1013" spans="2:11" ht="15" customHeight="1" x14ac:dyDescent="0.2">
      <c r="B1013" s="396"/>
      <c r="C1013" s="397"/>
      <c r="D1013" s="397"/>
      <c r="E1013" s="397"/>
      <c r="F1013" s="397"/>
      <c r="G1013" s="397"/>
      <c r="H1013" s="397"/>
      <c r="I1013" s="397"/>
      <c r="J1013" s="397"/>
      <c r="K1013" s="398"/>
    </row>
    <row r="1014" spans="2:11" ht="15" customHeight="1" x14ac:dyDescent="0.2">
      <c r="B1014" s="396"/>
      <c r="C1014" s="397"/>
      <c r="D1014" s="397"/>
      <c r="E1014" s="397"/>
      <c r="F1014" s="397"/>
      <c r="G1014" s="397"/>
      <c r="H1014" s="397"/>
      <c r="I1014" s="397"/>
      <c r="J1014" s="397"/>
      <c r="K1014" s="398"/>
    </row>
    <row r="1015" spans="2:11" ht="15" customHeight="1" x14ac:dyDescent="0.2">
      <c r="B1015" s="396"/>
      <c r="C1015" s="397"/>
      <c r="D1015" s="397"/>
      <c r="E1015" s="397"/>
      <c r="F1015" s="397"/>
      <c r="G1015" s="397"/>
      <c r="H1015" s="397"/>
      <c r="I1015" s="397"/>
      <c r="J1015" s="397"/>
      <c r="K1015" s="398"/>
    </row>
    <row r="1016" spans="2:11" ht="15" customHeight="1" x14ac:dyDescent="0.2">
      <c r="B1016" s="396"/>
      <c r="C1016" s="397"/>
      <c r="D1016" s="397"/>
      <c r="E1016" s="397"/>
      <c r="F1016" s="397"/>
      <c r="G1016" s="397"/>
      <c r="H1016" s="397"/>
      <c r="I1016" s="397"/>
      <c r="J1016" s="397"/>
      <c r="K1016" s="398"/>
    </row>
    <row r="1017" spans="2:11" ht="15" customHeight="1" x14ac:dyDescent="0.2">
      <c r="B1017" s="396"/>
      <c r="C1017" s="397"/>
      <c r="D1017" s="397"/>
      <c r="E1017" s="397"/>
      <c r="F1017" s="397"/>
      <c r="G1017" s="397"/>
      <c r="H1017" s="397"/>
      <c r="I1017" s="397"/>
      <c r="J1017" s="397"/>
      <c r="K1017" s="398"/>
    </row>
    <row r="1018" spans="2:11" ht="15" customHeight="1" x14ac:dyDescent="0.2">
      <c r="B1018" s="396"/>
      <c r="C1018" s="397"/>
      <c r="D1018" s="397"/>
      <c r="E1018" s="397"/>
      <c r="F1018" s="397"/>
      <c r="G1018" s="397"/>
      <c r="H1018" s="397"/>
      <c r="I1018" s="397"/>
      <c r="J1018" s="397"/>
      <c r="K1018" s="398"/>
    </row>
    <row r="1019" spans="2:11" ht="15" customHeight="1" x14ac:dyDescent="0.2">
      <c r="B1019" s="396"/>
      <c r="C1019" s="397"/>
      <c r="D1019" s="397"/>
      <c r="E1019" s="397"/>
      <c r="F1019" s="397"/>
      <c r="G1019" s="397"/>
      <c r="H1019" s="397"/>
      <c r="I1019" s="397"/>
      <c r="J1019" s="397"/>
      <c r="K1019" s="398"/>
    </row>
    <row r="1020" spans="2:11" ht="15" customHeight="1" x14ac:dyDescent="0.2">
      <c r="B1020" s="396"/>
      <c r="C1020" s="397"/>
      <c r="D1020" s="397"/>
      <c r="E1020" s="397"/>
      <c r="F1020" s="397"/>
      <c r="G1020" s="397"/>
      <c r="H1020" s="397"/>
      <c r="I1020" s="397"/>
      <c r="J1020" s="397"/>
      <c r="K1020" s="398"/>
    </row>
    <row r="1021" spans="2:11" ht="15" customHeight="1" x14ac:dyDescent="0.2">
      <c r="B1021" s="396"/>
      <c r="C1021" s="397"/>
      <c r="D1021" s="397"/>
      <c r="E1021" s="397"/>
      <c r="F1021" s="397"/>
      <c r="G1021" s="397"/>
      <c r="H1021" s="397"/>
      <c r="I1021" s="397"/>
      <c r="J1021" s="397"/>
      <c r="K1021" s="398"/>
    </row>
    <row r="1022" spans="2:11" ht="15" customHeight="1" x14ac:dyDescent="0.2">
      <c r="B1022" s="396"/>
      <c r="C1022" s="397"/>
      <c r="D1022" s="397"/>
      <c r="E1022" s="397"/>
      <c r="F1022" s="397"/>
      <c r="G1022" s="397"/>
      <c r="H1022" s="397"/>
      <c r="I1022" s="397"/>
      <c r="J1022" s="397"/>
      <c r="K1022" s="398"/>
    </row>
    <row r="1023" spans="2:11" ht="15" customHeight="1" x14ac:dyDescent="0.2">
      <c r="B1023" s="396"/>
      <c r="C1023" s="397"/>
      <c r="D1023" s="397"/>
      <c r="E1023" s="397"/>
      <c r="F1023" s="397"/>
      <c r="G1023" s="397"/>
      <c r="H1023" s="397"/>
      <c r="I1023" s="397"/>
      <c r="J1023" s="397"/>
      <c r="K1023" s="398"/>
    </row>
    <row r="1024" spans="2:11" ht="15" customHeight="1" x14ac:dyDescent="0.2">
      <c r="B1024" s="396"/>
      <c r="C1024" s="397"/>
      <c r="D1024" s="397"/>
      <c r="E1024" s="397"/>
      <c r="F1024" s="397"/>
      <c r="G1024" s="397"/>
      <c r="H1024" s="397"/>
      <c r="I1024" s="397"/>
      <c r="J1024" s="397"/>
      <c r="K1024" s="398"/>
    </row>
    <row r="1025" spans="2:11" ht="15" customHeight="1" x14ac:dyDescent="0.2">
      <c r="B1025" s="396"/>
      <c r="C1025" s="397"/>
      <c r="D1025" s="397"/>
      <c r="E1025" s="397"/>
      <c r="F1025" s="397"/>
      <c r="G1025" s="397"/>
      <c r="H1025" s="397"/>
      <c r="I1025" s="397"/>
      <c r="J1025" s="397"/>
      <c r="K1025" s="398"/>
    </row>
    <row r="1026" spans="2:11" ht="15" customHeight="1" x14ac:dyDescent="0.2">
      <c r="B1026" s="396"/>
      <c r="C1026" s="397"/>
      <c r="D1026" s="397"/>
      <c r="E1026" s="397"/>
      <c r="F1026" s="397"/>
      <c r="G1026" s="397"/>
      <c r="H1026" s="397"/>
      <c r="I1026" s="397"/>
      <c r="J1026" s="397"/>
      <c r="K1026" s="398"/>
    </row>
    <row r="1027" spans="2:11" ht="15" customHeight="1" x14ac:dyDescent="0.2">
      <c r="B1027" s="396"/>
      <c r="C1027" s="397"/>
      <c r="D1027" s="397"/>
      <c r="E1027" s="397"/>
      <c r="F1027" s="397"/>
      <c r="G1027" s="397"/>
      <c r="H1027" s="397"/>
      <c r="I1027" s="397"/>
      <c r="J1027" s="397"/>
      <c r="K1027" s="398"/>
    </row>
    <row r="1028" spans="2:11" ht="15" customHeight="1" x14ac:dyDescent="0.2">
      <c r="B1028" s="396"/>
      <c r="C1028" s="397"/>
      <c r="D1028" s="397"/>
      <c r="E1028" s="397"/>
      <c r="F1028" s="397"/>
      <c r="G1028" s="397"/>
      <c r="H1028" s="397"/>
      <c r="I1028" s="397"/>
      <c r="J1028" s="397"/>
      <c r="K1028" s="398"/>
    </row>
    <row r="1029" spans="2:11" ht="15" customHeight="1" x14ac:dyDescent="0.2">
      <c r="B1029" s="393"/>
      <c r="C1029" s="394"/>
      <c r="D1029" s="394"/>
      <c r="E1029" s="394"/>
      <c r="F1029" s="394"/>
      <c r="G1029" s="394"/>
      <c r="H1029" s="394"/>
      <c r="I1029" s="394"/>
      <c r="J1029" s="394"/>
      <c r="K1029" s="395"/>
    </row>
  </sheetData>
  <sheetProtection formatCells="0" formatColumns="0" formatRows="0" selectLockedCells="1"/>
  <mergeCells count="152">
    <mergeCell ref="C292:I293"/>
    <mergeCell ref="C311:I312"/>
    <mergeCell ref="C340:I341"/>
    <mergeCell ref="C305:J305"/>
    <mergeCell ref="C385:J385"/>
    <mergeCell ref="C95:J95"/>
    <mergeCell ref="C114:J114"/>
    <mergeCell ref="C76:J76"/>
    <mergeCell ref="E15:J15"/>
    <mergeCell ref="C38:J38"/>
    <mergeCell ref="C57:J57"/>
    <mergeCell ref="C286:J286"/>
    <mergeCell ref="B5:K5"/>
    <mergeCell ref="B6:K6"/>
    <mergeCell ref="B7:K7"/>
    <mergeCell ref="B8:K8"/>
    <mergeCell ref="B9:K9"/>
    <mergeCell ref="B10:K10"/>
    <mergeCell ref="C257:J257"/>
    <mergeCell ref="C237:J237"/>
    <mergeCell ref="C216:J216"/>
    <mergeCell ref="C176:J176"/>
    <mergeCell ref="C196:J196"/>
    <mergeCell ref="C155:J155"/>
    <mergeCell ref="C120:J122"/>
    <mergeCell ref="C123:J124"/>
    <mergeCell ref="C129:J129"/>
    <mergeCell ref="C455:J455"/>
    <mergeCell ref="C402:J402"/>
    <mergeCell ref="C416:J416"/>
    <mergeCell ref="C438:J438"/>
    <mergeCell ref="C444:I445"/>
    <mergeCell ref="C365:J365"/>
    <mergeCell ref="C371:I372"/>
    <mergeCell ref="C324:J324"/>
    <mergeCell ref="C330:I331"/>
    <mergeCell ref="C347:J347"/>
    <mergeCell ref="D343:I344"/>
    <mergeCell ref="C420:I421"/>
    <mergeCell ref="C391:I392"/>
    <mergeCell ref="C613:J613"/>
    <mergeCell ref="C560:J560"/>
    <mergeCell ref="C566:I568"/>
    <mergeCell ref="C569:I571"/>
    <mergeCell ref="C583:J583"/>
    <mergeCell ref="C524:I525"/>
    <mergeCell ref="C535:J535"/>
    <mergeCell ref="C518:J518"/>
    <mergeCell ref="C471:J471"/>
    <mergeCell ref="C477:I478"/>
    <mergeCell ref="C486:J486"/>
    <mergeCell ref="C502:J502"/>
    <mergeCell ref="C599:J599"/>
    <mergeCell ref="G717:H717"/>
    <mergeCell ref="G718:H718"/>
    <mergeCell ref="C729:J731"/>
    <mergeCell ref="G732:H732"/>
    <mergeCell ref="G733:H733"/>
    <mergeCell ref="C620:I621"/>
    <mergeCell ref="C633:J633"/>
    <mergeCell ref="C639:I640"/>
    <mergeCell ref="C641:I643"/>
    <mergeCell ref="C714:J716"/>
    <mergeCell ref="C655:J655"/>
    <mergeCell ref="D664:I665"/>
    <mergeCell ref="C677:J677"/>
    <mergeCell ref="G737:H737"/>
    <mergeCell ref="G738:H738"/>
    <mergeCell ref="G734:H734"/>
    <mergeCell ref="G735:H735"/>
    <mergeCell ref="G724:H724"/>
    <mergeCell ref="G725:H725"/>
    <mergeCell ref="G719:H719"/>
    <mergeCell ref="G720:H720"/>
    <mergeCell ref="G721:H721"/>
    <mergeCell ref="G846:H846"/>
    <mergeCell ref="C830:J831"/>
    <mergeCell ref="G834:H834"/>
    <mergeCell ref="G838:H838"/>
    <mergeCell ref="G842:H842"/>
    <mergeCell ref="G769:H769"/>
    <mergeCell ref="G770:H770"/>
    <mergeCell ref="G767:H767"/>
    <mergeCell ref="G768:H768"/>
    <mergeCell ref="G766:H766"/>
    <mergeCell ref="G754:H754"/>
    <mergeCell ref="G755:H755"/>
    <mergeCell ref="G752:H752"/>
    <mergeCell ref="G753:H753"/>
    <mergeCell ref="C759:J761"/>
    <mergeCell ref="G762:H762"/>
    <mergeCell ref="G763:H763"/>
    <mergeCell ref="G764:H764"/>
    <mergeCell ref="G878:H878"/>
    <mergeCell ref="G722:H722"/>
    <mergeCell ref="G723:H723"/>
    <mergeCell ref="G850:H850"/>
    <mergeCell ref="G862:H862"/>
    <mergeCell ref="G866:H866"/>
    <mergeCell ref="G854:H854"/>
    <mergeCell ref="G858:H858"/>
    <mergeCell ref="F959:H960"/>
    <mergeCell ref="G736:H736"/>
    <mergeCell ref="C744:J746"/>
    <mergeCell ref="G747:H747"/>
    <mergeCell ref="G748:H748"/>
    <mergeCell ref="G749:H749"/>
    <mergeCell ref="G886:H886"/>
    <mergeCell ref="G890:H890"/>
    <mergeCell ref="G882:H882"/>
    <mergeCell ref="G870:H870"/>
    <mergeCell ref="G874:H874"/>
    <mergeCell ref="G765:H765"/>
    <mergeCell ref="G750:H750"/>
    <mergeCell ref="G751:H751"/>
    <mergeCell ref="G739:H739"/>
    <mergeCell ref="G740:H740"/>
    <mergeCell ref="B1004:K1004"/>
    <mergeCell ref="B1005:K1005"/>
    <mergeCell ref="B1006:K1006"/>
    <mergeCell ref="B1007:K1007"/>
    <mergeCell ref="B1008:K1008"/>
    <mergeCell ref="B1009:K1009"/>
    <mergeCell ref="B1010:K1010"/>
    <mergeCell ref="B1011:K1011"/>
    <mergeCell ref="B1012:K1012"/>
    <mergeCell ref="B1022:K1022"/>
    <mergeCell ref="B1023:K1023"/>
    <mergeCell ref="B1024:K1024"/>
    <mergeCell ref="B1025:K1025"/>
    <mergeCell ref="B1026:K1026"/>
    <mergeCell ref="B1027:K1027"/>
    <mergeCell ref="B1028:K1028"/>
    <mergeCell ref="B1029:K1029"/>
    <mergeCell ref="B1013:K1013"/>
    <mergeCell ref="B1014:K1014"/>
    <mergeCell ref="B1015:K1015"/>
    <mergeCell ref="B1016:K1016"/>
    <mergeCell ref="B1017:K1017"/>
    <mergeCell ref="B1018:K1018"/>
    <mergeCell ref="B1019:K1019"/>
    <mergeCell ref="B1020:K1020"/>
    <mergeCell ref="B1021:K1021"/>
    <mergeCell ref="G928:H928"/>
    <mergeCell ref="G932:H932"/>
    <mergeCell ref="G924:H924"/>
    <mergeCell ref="G916:H916"/>
    <mergeCell ref="G920:H920"/>
    <mergeCell ref="C900:J901"/>
    <mergeCell ref="G904:H904"/>
    <mergeCell ref="G908:H908"/>
    <mergeCell ref="G912:H912"/>
  </mergeCells>
  <dataValidations count="23">
    <dataValidation type="list" allowBlank="1" showInputMessage="1" showErrorMessage="1" sqref="E15:J15" xr:uid="{00000000-0002-0000-0F00-000000000000}">
      <formula1>$C$966:$C$970</formula1>
    </dataValidation>
    <dataValidation type="list" allowBlank="1" showInputMessage="1" showErrorMessage="1" sqref="G834:H834 G932:H932 G928:H928 G924:H924 G920:H920 G916:H916 G912:H912 G908:H908 G904:H904 G890:H890 G886:H886 G882:H882 G878:H878 G874:H874 G870:H870 G866:H866 G862:H862 G858:H858 G854:H854 G850:H850 G846:H846 G842:H842 G838:H838" xr:uid="{00000000-0002-0000-0F00-000001000000}">
      <formula1>$B$998:$B$1002</formula1>
    </dataValidation>
    <dataValidation type="list" allowBlank="1" showInputMessage="1" showErrorMessage="1" sqref="G717:H725 G747:H755 G732:H740 G762:H770" xr:uid="{00000000-0002-0000-0F00-000002000000}">
      <formula1>$B$994:$B$995</formula1>
    </dataValidation>
    <dataValidation type="list" allowBlank="1" showInputMessage="1" showErrorMessage="1" sqref="J302 J362" xr:uid="{00000000-0002-0000-0F00-000003000000}">
      <formula1>$B$980:$B$984</formula1>
    </dataValidation>
    <dataValidation type="list" allowBlank="1" showInputMessage="1" showErrorMessage="1" sqref="C123:J124" xr:uid="{00000000-0002-0000-0F00-000004000000}">
      <formula1>$B$987:$B$991</formula1>
    </dataValidation>
    <dataValidation type="list" allowBlank="1" showInputMessage="1" showErrorMessage="1" sqref="J35 J213 J283 J652 J234 J54 J193 J173 J152 J126 J111 J92 J73 J254 J435 J452 J468 J499 J515 J532 J557 J580 J596 J674 J630" xr:uid="{00000000-0002-0000-0F00-000005000000}">
      <formula1>$B$973:$B$977</formula1>
    </dataValidation>
    <dataValidation type="list" allowBlank="1" showInputMessage="1" showErrorMessage="1" sqref="J33" xr:uid="{00000000-0002-0000-0F00-000006000000}">
      <formula1>$N$32:$N$37</formula1>
    </dataValidation>
    <dataValidation type="list" allowBlank="1" showInputMessage="1" showErrorMessage="1" sqref="J52" xr:uid="{00000000-0002-0000-0F00-000007000000}">
      <formula1>$N$51:$N$56</formula1>
    </dataValidation>
    <dataValidation type="list" allowBlank="1" showInputMessage="1" showErrorMessage="1" sqref="J71" xr:uid="{00000000-0002-0000-0F00-000008000000}">
      <formula1>$N$70:$N$75</formula1>
    </dataValidation>
    <dataValidation type="list" allowBlank="1" showInputMessage="1" showErrorMessage="1" sqref="J90" xr:uid="{00000000-0002-0000-0F00-000009000000}">
      <formula1>$N$89:$N$94</formula1>
    </dataValidation>
    <dataValidation type="list" allowBlank="1" showInputMessage="1" showErrorMessage="1" sqref="J109" xr:uid="{00000000-0002-0000-0F00-00000A000000}">
      <formula1>$N$108:$N$113</formula1>
    </dataValidation>
    <dataValidation type="list" allowBlank="1" showInputMessage="1" showErrorMessage="1" sqref="J150" xr:uid="{00000000-0002-0000-0F00-00000B000000}">
      <formula1>$N$149:$N$154</formula1>
    </dataValidation>
    <dataValidation type="list" allowBlank="1" showInputMessage="1" showErrorMessage="1" sqref="J171" xr:uid="{00000000-0002-0000-0F00-00000C000000}">
      <formula1>$N$170:$N$175</formula1>
    </dataValidation>
    <dataValidation type="list" allowBlank="1" showInputMessage="1" showErrorMessage="1" sqref="J191" xr:uid="{00000000-0002-0000-0F00-00000D000000}">
      <formula1>$N$190:$N$195</formula1>
    </dataValidation>
    <dataValidation type="list" allowBlank="1" showInputMessage="1" showErrorMessage="1" sqref="J211" xr:uid="{00000000-0002-0000-0F00-00000E000000}">
      <formula1>$N$210:$N$215</formula1>
    </dataValidation>
    <dataValidation type="list" allowBlank="1" showInputMessage="1" showErrorMessage="1" sqref="J232" xr:uid="{00000000-0002-0000-0F00-00000F000000}">
      <formula1>$N$231:$N$236</formula1>
    </dataValidation>
    <dataValidation type="list" allowBlank="1" showInputMessage="1" showErrorMessage="1" sqref="J252" xr:uid="{00000000-0002-0000-0F00-000010000000}">
      <formula1>$N$251:$N$256</formula1>
    </dataValidation>
    <dataValidation type="list" allowBlank="1" showInputMessage="1" showErrorMessage="1" sqref="J281" xr:uid="{00000000-0002-0000-0F00-000011000000}">
      <formula1>$N$280:$N$285</formula1>
    </dataValidation>
    <dataValidation type="list" allowBlank="1" showInputMessage="1" showErrorMessage="1" sqref="J555" xr:uid="{00000000-0002-0000-0F00-000012000000}">
      <formula1>$N$554:$N$559</formula1>
    </dataValidation>
    <dataValidation type="list" allowBlank="1" showInputMessage="1" showErrorMessage="1" sqref="J578" xr:uid="{00000000-0002-0000-0F00-000013000000}">
      <formula1>$N$577:$N$582</formula1>
    </dataValidation>
    <dataValidation type="list" allowBlank="1" showInputMessage="1" showErrorMessage="1" sqref="J628" xr:uid="{00000000-0002-0000-0F00-000014000000}">
      <formula1>$N$627:$N$632</formula1>
    </dataValidation>
    <dataValidation type="list" allowBlank="1" showInputMessage="1" showErrorMessage="1" sqref="J650" xr:uid="{00000000-0002-0000-0F00-000015000000}">
      <formula1>$N$649:$N$654</formula1>
    </dataValidation>
    <dataValidation type="list" allowBlank="1" showInputMessage="1" showErrorMessage="1" sqref="J672" xr:uid="{00000000-0002-0000-0F00-000016000000}">
      <formula1>$N$671:$N$676</formula1>
    </dataValidation>
  </dataValidations>
  <pageMargins left="0.7" right="0.7" top="0.75" bottom="0.75" header="0.3" footer="0.3"/>
  <pageSetup scale="7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dimension ref="A1:N1029"/>
  <sheetViews>
    <sheetView showGridLines="0" showRowColHeaders="0" zoomScaleNormal="100" workbookViewId="0">
      <selection activeCell="C677" activeCellId="25" sqref="C38:J38 C57:J57 C76:J76 C114:J114 C155:J155 C176:J176 C196:J196 C216:J216 C237:J237 C286:J286 C305:J305 C324:J324 C347:J347 C365:J365 C385:J385 C402:J402 C416:J416 C455:J455 C486:J486 C502:J502 C518:J518 C560:J560 C599:J599 C613:J613 C633:J633 C677:J677"/>
    </sheetView>
  </sheetViews>
  <sheetFormatPr baseColWidth="10" defaultColWidth="9.1640625" defaultRowHeight="15" x14ac:dyDescent="0.2"/>
  <cols>
    <col min="1" max="1" width="9.1640625" style="12"/>
    <col min="2" max="3" width="9.1640625" style="12" customWidth="1"/>
    <col min="4" max="4" width="9.1640625" style="12"/>
    <col min="5" max="5" width="9.1640625" style="12" customWidth="1"/>
    <col min="6" max="9" width="9.1640625" style="12"/>
    <col min="10" max="10" width="25.6640625" style="12" customWidth="1"/>
    <col min="11" max="13" width="9.1640625" style="12"/>
    <col min="14" max="14" width="9.1640625" style="12" hidden="1" customWidth="1"/>
    <col min="15" max="16384" width="9.1640625" style="12"/>
  </cols>
  <sheetData>
    <row r="1" spans="2:13" x14ac:dyDescent="0.2">
      <c r="I1" s="29"/>
    </row>
    <row r="2" spans="2:13" ht="33" x14ac:dyDescent="0.2">
      <c r="G2" s="16" t="s">
        <v>1038</v>
      </c>
      <c r="I2" s="29"/>
    </row>
    <row r="3" spans="2:13" ht="23" x14ac:dyDescent="0.25">
      <c r="G3" s="30" t="s">
        <v>10</v>
      </c>
      <c r="I3" s="29"/>
      <c r="L3" s="157"/>
      <c r="M3" s="157"/>
    </row>
    <row r="4" spans="2:13" x14ac:dyDescent="0.2">
      <c r="G4" s="98"/>
      <c r="I4" s="29"/>
      <c r="L4" s="158"/>
      <c r="M4" s="157"/>
    </row>
    <row r="5" spans="2:13" ht="105" customHeight="1" x14ac:dyDescent="0.2">
      <c r="B5" s="426" t="s">
        <v>760</v>
      </c>
      <c r="C5" s="427"/>
      <c r="D5" s="427"/>
      <c r="E5" s="427"/>
      <c r="F5" s="427"/>
      <c r="G5" s="427"/>
      <c r="H5" s="427"/>
      <c r="I5" s="427"/>
      <c r="J5" s="427"/>
      <c r="K5" s="427"/>
      <c r="L5" s="158"/>
      <c r="M5" s="157"/>
    </row>
    <row r="6" spans="2:13" x14ac:dyDescent="0.2">
      <c r="B6" s="426"/>
      <c r="C6" s="426"/>
      <c r="D6" s="426"/>
      <c r="E6" s="426"/>
      <c r="F6" s="426"/>
      <c r="G6" s="426"/>
      <c r="H6" s="426"/>
      <c r="I6" s="426"/>
      <c r="J6" s="426"/>
      <c r="K6" s="426"/>
      <c r="L6" s="158"/>
    </row>
    <row r="7" spans="2:13" ht="60" customHeight="1" x14ac:dyDescent="0.2">
      <c r="B7" s="425" t="s">
        <v>664</v>
      </c>
      <c r="C7" s="341"/>
      <c r="D7" s="341"/>
      <c r="E7" s="341"/>
      <c r="F7" s="341"/>
      <c r="G7" s="341"/>
      <c r="H7" s="341"/>
      <c r="I7" s="341"/>
      <c r="J7" s="341"/>
      <c r="K7" s="341"/>
    </row>
    <row r="8" spans="2:13" x14ac:dyDescent="0.2">
      <c r="B8" s="426"/>
      <c r="C8" s="426"/>
      <c r="D8" s="426"/>
      <c r="E8" s="426"/>
      <c r="F8" s="426"/>
      <c r="G8" s="426"/>
      <c r="H8" s="426"/>
      <c r="I8" s="426"/>
      <c r="J8" s="426"/>
      <c r="K8" s="426"/>
    </row>
    <row r="9" spans="2:13" ht="30" customHeight="1" x14ac:dyDescent="0.2">
      <c r="B9" s="445" t="s">
        <v>665</v>
      </c>
      <c r="C9" s="446"/>
      <c r="D9" s="446"/>
      <c r="E9" s="446"/>
      <c r="F9" s="446"/>
      <c r="G9" s="446"/>
      <c r="H9" s="446"/>
      <c r="I9" s="446"/>
      <c r="J9" s="446"/>
      <c r="K9" s="446"/>
    </row>
    <row r="10" spans="2:13" ht="90" customHeight="1" x14ac:dyDescent="0.2">
      <c r="B10" s="447" t="s">
        <v>1320</v>
      </c>
      <c r="C10" s="448"/>
      <c r="D10" s="448"/>
      <c r="E10" s="448"/>
      <c r="F10" s="448"/>
      <c r="G10" s="448"/>
      <c r="H10" s="448"/>
      <c r="I10" s="448"/>
      <c r="J10" s="448"/>
      <c r="K10" s="449"/>
    </row>
    <row r="11" spans="2:13" ht="16" thickBot="1" x14ac:dyDescent="0.25"/>
    <row r="12" spans="2:13" x14ac:dyDescent="0.2">
      <c r="B12" s="159"/>
      <c r="C12" s="160"/>
      <c r="D12" s="160"/>
      <c r="E12" s="160"/>
      <c r="F12" s="160"/>
      <c r="G12" s="160"/>
      <c r="H12" s="160"/>
      <c r="I12" s="160"/>
      <c r="J12" s="160"/>
      <c r="K12" s="161"/>
    </row>
    <row r="13" spans="2:13" ht="21" x14ac:dyDescent="0.25">
      <c r="B13" s="162"/>
      <c r="C13" s="163"/>
      <c r="D13" s="163"/>
      <c r="E13" s="163"/>
      <c r="F13" s="163"/>
      <c r="G13" s="164" t="s">
        <v>226</v>
      </c>
      <c r="H13" s="163"/>
      <c r="I13" s="163"/>
      <c r="J13" s="163"/>
      <c r="K13" s="165"/>
    </row>
    <row r="14" spans="2:13" ht="21" x14ac:dyDescent="0.25">
      <c r="B14" s="162"/>
      <c r="C14" s="163"/>
      <c r="D14" s="163"/>
      <c r="E14" s="163"/>
      <c r="F14" s="163"/>
      <c r="G14" s="164"/>
      <c r="H14" s="163"/>
      <c r="I14" s="163"/>
      <c r="J14" s="163"/>
      <c r="K14" s="165"/>
    </row>
    <row r="15" spans="2:13" ht="26.25" customHeight="1" x14ac:dyDescent="0.2">
      <c r="B15" s="162"/>
      <c r="C15" s="163" t="s">
        <v>255</v>
      </c>
      <c r="D15" s="163"/>
      <c r="E15" s="412" t="s">
        <v>227</v>
      </c>
      <c r="F15" s="413"/>
      <c r="G15" s="413"/>
      <c r="H15" s="413"/>
      <c r="I15" s="413"/>
      <c r="J15" s="414"/>
      <c r="K15" s="165"/>
    </row>
    <row r="16" spans="2:13" x14ac:dyDescent="0.2">
      <c r="B16" s="162"/>
      <c r="C16" s="163"/>
      <c r="D16" s="163"/>
      <c r="E16" s="163"/>
      <c r="F16" s="163"/>
      <c r="G16" s="163"/>
      <c r="H16" s="163"/>
      <c r="I16" s="163"/>
      <c r="J16" s="163"/>
      <c r="K16" s="165"/>
    </row>
    <row r="17" spans="2:14" x14ac:dyDescent="0.2">
      <c r="B17" s="162"/>
      <c r="C17" s="166" t="s">
        <v>256</v>
      </c>
      <c r="D17" s="163"/>
      <c r="E17" s="167">
        <f>IF(E15=$C$966,$A$966,IF(E15=$C$967,$A$967,IF(E15=$C$968,$A$968,IF(E15=$C$969,$A$969,IF(E15=$C$970,$A$970,"Not Calculated")))))</f>
        <v>3</v>
      </c>
      <c r="F17" s="163"/>
      <c r="G17" s="163"/>
      <c r="H17" s="163"/>
      <c r="I17" s="163"/>
      <c r="J17" s="163"/>
      <c r="K17" s="165"/>
    </row>
    <row r="18" spans="2:14" x14ac:dyDescent="0.2">
      <c r="B18" s="162"/>
      <c r="C18" s="163"/>
      <c r="D18" s="163"/>
      <c r="E18" s="167" t="str">
        <f>IF(E15=$C$966,$B$966,IF(E15=$C$967,$B$967,IF(E15=$C$968,$B$968,IF(E15=$C$969,$B$969,IF(E15=$C$970,$B$970,"Not Calculated")))))</f>
        <v>Probable</v>
      </c>
      <c r="F18" s="163"/>
      <c r="G18" s="163"/>
      <c r="H18" s="163"/>
      <c r="I18" s="163"/>
      <c r="J18" s="163"/>
      <c r="K18" s="165"/>
    </row>
    <row r="19" spans="2:14" ht="16" thickBot="1" x14ac:dyDescent="0.25">
      <c r="B19" s="168"/>
      <c r="C19" s="169"/>
      <c r="D19" s="169"/>
      <c r="E19" s="169"/>
      <c r="F19" s="169"/>
      <c r="G19" s="169"/>
      <c r="H19" s="169"/>
      <c r="I19" s="169"/>
      <c r="J19" s="169"/>
      <c r="K19" s="170"/>
    </row>
    <row r="20" spans="2:14" ht="16" thickBot="1" x14ac:dyDescent="0.25"/>
    <row r="21" spans="2:14" x14ac:dyDescent="0.2">
      <c r="B21" s="33"/>
      <c r="C21" s="34"/>
      <c r="D21" s="34"/>
      <c r="E21" s="34"/>
      <c r="F21" s="34"/>
      <c r="G21" s="34"/>
      <c r="H21" s="34"/>
      <c r="I21" s="34"/>
      <c r="J21" s="34"/>
      <c r="K21" s="37"/>
    </row>
    <row r="22" spans="2:14" ht="21" x14ac:dyDescent="0.25">
      <c r="B22" s="38"/>
      <c r="C22" s="171"/>
      <c r="D22" s="40"/>
      <c r="E22" s="40"/>
      <c r="F22" s="40"/>
      <c r="G22" s="172" t="s">
        <v>26</v>
      </c>
      <c r="H22" s="40"/>
      <c r="I22" s="40"/>
      <c r="J22" s="40"/>
      <c r="K22" s="41"/>
    </row>
    <row r="23" spans="2:14" x14ac:dyDescent="0.2">
      <c r="B23" s="38"/>
      <c r="C23" s="40"/>
      <c r="D23" s="40"/>
      <c r="E23" s="40"/>
      <c r="F23" s="40"/>
      <c r="G23" s="40"/>
      <c r="H23" s="40"/>
      <c r="I23" s="40"/>
      <c r="J23" s="40"/>
      <c r="K23" s="41"/>
    </row>
    <row r="24" spans="2:14" ht="16" x14ac:dyDescent="0.2">
      <c r="B24" s="38"/>
      <c r="C24" s="45" t="s">
        <v>61</v>
      </c>
      <c r="D24" s="40"/>
      <c r="E24" s="40"/>
      <c r="F24" s="40"/>
      <c r="G24" s="40"/>
      <c r="H24" s="40"/>
      <c r="I24" s="40"/>
      <c r="J24" s="40"/>
      <c r="K24" s="41"/>
    </row>
    <row r="25" spans="2:14" x14ac:dyDescent="0.2">
      <c r="B25" s="38"/>
      <c r="C25" s="40" t="s">
        <v>434</v>
      </c>
      <c r="D25" s="40"/>
      <c r="E25" s="40"/>
      <c r="F25" s="40"/>
      <c r="G25" s="40"/>
      <c r="H25" s="40"/>
      <c r="I25" s="40"/>
      <c r="J25" s="252">
        <f>'Baseline Health'!G11</f>
        <v>0</v>
      </c>
      <c r="K25" s="41"/>
    </row>
    <row r="26" spans="2:14" x14ac:dyDescent="0.2">
      <c r="B26" s="38"/>
      <c r="C26" s="40" t="s">
        <v>288</v>
      </c>
      <c r="D26" s="40"/>
      <c r="E26" s="40"/>
      <c r="F26" s="40"/>
      <c r="G26" s="40"/>
      <c r="H26" s="40"/>
      <c r="I26" s="40"/>
      <c r="J26" s="264">
        <v>0</v>
      </c>
      <c r="K26" s="41"/>
    </row>
    <row r="27" spans="2:14" x14ac:dyDescent="0.2">
      <c r="B27" s="38"/>
      <c r="C27" s="40" t="s">
        <v>260</v>
      </c>
      <c r="D27" s="40"/>
      <c r="E27" s="40"/>
      <c r="F27" s="40"/>
      <c r="G27" s="40"/>
      <c r="H27" s="40"/>
      <c r="I27" s="40"/>
      <c r="J27" s="248" t="str">
        <f>IF(OR(J25=0,J25="Not Calculated")=TRUE,"Not Calculated",(IF(((J26+J25)/J25)&lt;=1,0,IF(((J26+J25)/J25)&lt;=1.05,1,IF(((J26+J25)/J25)&lt;=1.5, 2,IF(((J26+J25)/J25)&lt;=2,3,4))))))</f>
        <v>Not Calculated</v>
      </c>
      <c r="K27" s="41"/>
    </row>
    <row r="28" spans="2:14" ht="9.75" customHeight="1" x14ac:dyDescent="0.2">
      <c r="B28" s="38"/>
      <c r="C28" s="279" t="str">
        <f>"0:"</f>
        <v>0:</v>
      </c>
      <c r="D28" s="281" t="s">
        <v>918</v>
      </c>
      <c r="E28" s="40"/>
      <c r="F28" s="40"/>
      <c r="G28" s="40"/>
      <c r="H28" s="40"/>
      <c r="I28" s="40"/>
      <c r="J28" s="40"/>
      <c r="K28" s="41"/>
    </row>
    <row r="29" spans="2:14" ht="9.75" customHeight="1" x14ac:dyDescent="0.2">
      <c r="B29" s="38"/>
      <c r="C29" s="280" t="str">
        <f>"1:"</f>
        <v>1:</v>
      </c>
      <c r="D29" s="281" t="s">
        <v>919</v>
      </c>
      <c r="E29" s="40"/>
      <c r="F29" s="40"/>
      <c r="G29" s="40"/>
      <c r="H29" s="40"/>
      <c r="I29" s="40"/>
      <c r="J29" s="40"/>
      <c r="K29" s="41"/>
    </row>
    <row r="30" spans="2:14" ht="9.75" customHeight="1" x14ac:dyDescent="0.2">
      <c r="B30" s="38"/>
      <c r="C30" s="280" t="str">
        <f>"2:"</f>
        <v>2:</v>
      </c>
      <c r="D30" s="281" t="s">
        <v>920</v>
      </c>
      <c r="E30" s="40"/>
      <c r="F30" s="40"/>
      <c r="G30" s="40"/>
      <c r="H30" s="40"/>
      <c r="I30" s="40"/>
      <c r="J30" s="40"/>
      <c r="K30" s="41"/>
    </row>
    <row r="31" spans="2:14" ht="9.75" customHeight="1" x14ac:dyDescent="0.2">
      <c r="B31" s="38"/>
      <c r="C31" s="280" t="str">
        <f>"3:"</f>
        <v>3:</v>
      </c>
      <c r="D31" s="281" t="s">
        <v>921</v>
      </c>
      <c r="E31" s="40"/>
      <c r="F31" s="40"/>
      <c r="G31" s="40"/>
      <c r="H31" s="40"/>
      <c r="I31" s="40"/>
      <c r="J31" s="40"/>
      <c r="K31" s="41"/>
    </row>
    <row r="32" spans="2:14" ht="9.75" customHeight="1" x14ac:dyDescent="0.2">
      <c r="B32" s="38"/>
      <c r="C32" s="280" t="str">
        <f>"4:"</f>
        <v>4:</v>
      </c>
      <c r="D32" s="281" t="s">
        <v>922</v>
      </c>
      <c r="E32" s="40"/>
      <c r="F32" s="40"/>
      <c r="G32" s="40"/>
      <c r="H32" s="40"/>
      <c r="I32" s="40"/>
      <c r="J32" s="40"/>
      <c r="K32" s="41"/>
      <c r="N32" s="12" t="s">
        <v>661</v>
      </c>
    </row>
    <row r="33" spans="2:14" x14ac:dyDescent="0.2">
      <c r="B33" s="38"/>
      <c r="C33" s="174" t="s">
        <v>662</v>
      </c>
      <c r="D33" s="40"/>
      <c r="E33" s="40"/>
      <c r="F33" s="40"/>
      <c r="G33" s="40"/>
      <c r="H33" s="40"/>
      <c r="I33" s="40"/>
      <c r="J33" s="265" t="s">
        <v>661</v>
      </c>
      <c r="K33" s="41"/>
      <c r="N33" s="12" t="s">
        <v>894</v>
      </c>
    </row>
    <row r="34" spans="2:14" x14ac:dyDescent="0.2">
      <c r="B34" s="38"/>
      <c r="C34" s="174" t="s">
        <v>660</v>
      </c>
      <c r="D34" s="40"/>
      <c r="E34" s="40"/>
      <c r="F34" s="40"/>
      <c r="G34" s="40"/>
      <c r="H34" s="40"/>
      <c r="I34" s="40"/>
      <c r="J34" s="246" t="str">
        <f>IF(J33=N32,"N/A",IF(J33=N33,0,IF(J33=N34,1,IF(J33=N35,2,IF(J33=N36,3,IF(J33=N37,4,"N/A"))))))</f>
        <v>N/A</v>
      </c>
      <c r="K34" s="41"/>
      <c r="N34" s="12" t="s">
        <v>895</v>
      </c>
    </row>
    <row r="35" spans="2:14" x14ac:dyDescent="0.2">
      <c r="B35" s="38"/>
      <c r="C35" s="40" t="s">
        <v>257</v>
      </c>
      <c r="D35" s="40"/>
      <c r="E35" s="40"/>
      <c r="F35" s="40"/>
      <c r="G35" s="40"/>
      <c r="H35" s="40"/>
      <c r="I35" s="40"/>
      <c r="J35" s="266" t="s">
        <v>870</v>
      </c>
      <c r="K35" s="41"/>
      <c r="N35" s="12" t="s">
        <v>896</v>
      </c>
    </row>
    <row r="36" spans="2:14" x14ac:dyDescent="0.2">
      <c r="B36" s="38"/>
      <c r="C36" s="40" t="s">
        <v>261</v>
      </c>
      <c r="D36" s="40"/>
      <c r="E36" s="40"/>
      <c r="F36" s="40"/>
      <c r="G36" s="40"/>
      <c r="H36" s="40"/>
      <c r="I36" s="40"/>
      <c r="J36" s="248">
        <f>IF(J35=$B$973,$A$973,IF(J35=$B$974,$A$974,IF(J35=$B$975,$A$975,IF(J35=$B$976,$A$976,IF(J35=$B$977,$A$977,"Not Calculated")))))</f>
        <v>0</v>
      </c>
      <c r="K36" s="41"/>
      <c r="N36" s="12" t="s">
        <v>897</v>
      </c>
    </row>
    <row r="37" spans="2:14" x14ac:dyDescent="0.2">
      <c r="B37" s="38"/>
      <c r="C37" s="40" t="s">
        <v>893</v>
      </c>
      <c r="D37" s="40"/>
      <c r="E37" s="40"/>
      <c r="F37" s="40"/>
      <c r="G37" s="40"/>
      <c r="H37" s="40"/>
      <c r="I37" s="40"/>
      <c r="J37" s="175"/>
      <c r="K37" s="41"/>
      <c r="N37" s="12" t="s">
        <v>898</v>
      </c>
    </row>
    <row r="38" spans="2:14" s="178" customFormat="1" ht="30" customHeight="1" x14ac:dyDescent="0.2">
      <c r="B38" s="176"/>
      <c r="C38" s="415"/>
      <c r="D38" s="400"/>
      <c r="E38" s="400"/>
      <c r="F38" s="400"/>
      <c r="G38" s="400"/>
      <c r="H38" s="400"/>
      <c r="I38" s="400"/>
      <c r="J38" s="401"/>
      <c r="K38" s="177"/>
    </row>
    <row r="39" spans="2:14" x14ac:dyDescent="0.2">
      <c r="B39" s="38"/>
      <c r="C39" s="40"/>
      <c r="D39" s="40"/>
      <c r="E39" s="40"/>
      <c r="F39" s="40"/>
      <c r="G39" s="40"/>
      <c r="H39" s="40"/>
      <c r="I39" s="40"/>
      <c r="J39" s="40"/>
      <c r="K39" s="41"/>
    </row>
    <row r="40" spans="2:14" x14ac:dyDescent="0.2">
      <c r="B40" s="38"/>
      <c r="C40" s="179" t="s">
        <v>258</v>
      </c>
      <c r="D40" s="40"/>
      <c r="E40" s="40"/>
      <c r="F40" s="40"/>
      <c r="G40" s="40"/>
      <c r="H40" s="40"/>
      <c r="I40" s="40"/>
      <c r="J40" s="245" t="str">
        <f>IF(J34="N/A",IF(OR(J27="Not Calculated",J36="Not Calculated")=TRUE,"Not Calculated",AVERAGE(J27,J36)),AVERAGE(J34,J36))</f>
        <v>Not Calculated</v>
      </c>
      <c r="K40" s="41"/>
    </row>
    <row r="41" spans="2:14" x14ac:dyDescent="0.2">
      <c r="B41" s="38"/>
      <c r="C41" s="179"/>
      <c r="D41" s="40"/>
      <c r="E41" s="40"/>
      <c r="F41" s="40"/>
      <c r="G41" s="40"/>
      <c r="H41" s="40"/>
      <c r="I41" s="40"/>
      <c r="J41" s="245"/>
      <c r="K41" s="41"/>
    </row>
    <row r="42" spans="2:14" x14ac:dyDescent="0.2">
      <c r="B42" s="38"/>
      <c r="C42" s="40"/>
      <c r="D42" s="40"/>
      <c r="E42" s="40"/>
      <c r="F42" s="40"/>
      <c r="G42" s="40"/>
      <c r="H42" s="40"/>
      <c r="I42" s="40"/>
      <c r="J42" s="40"/>
      <c r="K42" s="41"/>
    </row>
    <row r="43" spans="2:14" ht="16" x14ac:dyDescent="0.2">
      <c r="B43" s="38"/>
      <c r="C43" s="45" t="s">
        <v>51</v>
      </c>
      <c r="D43" s="40"/>
      <c r="E43" s="40"/>
      <c r="F43" s="40"/>
      <c r="G43" s="40"/>
      <c r="H43" s="40"/>
      <c r="I43" s="40"/>
      <c r="J43" s="40"/>
      <c r="K43" s="41"/>
    </row>
    <row r="44" spans="2:14" x14ac:dyDescent="0.2">
      <c r="B44" s="38"/>
      <c r="C44" s="40" t="s">
        <v>435</v>
      </c>
      <c r="D44" s="40"/>
      <c r="E44" s="40"/>
      <c r="F44" s="40"/>
      <c r="G44" s="40"/>
      <c r="H44" s="40"/>
      <c r="I44" s="40"/>
      <c r="J44" s="252">
        <f>'Baseline Health'!G17</f>
        <v>0</v>
      </c>
      <c r="K44" s="41"/>
    </row>
    <row r="45" spans="2:14" x14ac:dyDescent="0.2">
      <c r="B45" s="38"/>
      <c r="C45" s="40" t="s">
        <v>287</v>
      </c>
      <c r="D45" s="40"/>
      <c r="E45" s="40"/>
      <c r="F45" s="40"/>
      <c r="G45" s="40"/>
      <c r="H45" s="40"/>
      <c r="I45" s="40"/>
      <c r="J45" s="264">
        <v>0</v>
      </c>
      <c r="K45" s="41"/>
    </row>
    <row r="46" spans="2:14" x14ac:dyDescent="0.2">
      <c r="B46" s="38"/>
      <c r="C46" s="40" t="s">
        <v>260</v>
      </c>
      <c r="D46" s="40"/>
      <c r="E46" s="40"/>
      <c r="F46" s="40"/>
      <c r="G46" s="40"/>
      <c r="H46" s="40"/>
      <c r="I46" s="40"/>
      <c r="J46" s="248" t="str">
        <f>IF(OR(J44=0,J44="Not Calculated")=TRUE,"Not Calculated",(IF(((J45+J44)/J44)&lt;=1,0,IF(((J45+J44)/J44)&lt;=1.05,1,IF(((J45+J44)/J44)&lt;=1.5, 2,IF(((J45+J44)/J44)&lt;=2,3,4))))))</f>
        <v>Not Calculated</v>
      </c>
      <c r="K46" s="41"/>
    </row>
    <row r="47" spans="2:14" ht="9.75" customHeight="1" x14ac:dyDescent="0.2">
      <c r="B47" s="38"/>
      <c r="C47" s="279" t="str">
        <f>"0:"</f>
        <v>0:</v>
      </c>
      <c r="D47" s="281" t="s">
        <v>918</v>
      </c>
      <c r="E47" s="40"/>
      <c r="F47" s="40"/>
      <c r="G47" s="40"/>
      <c r="H47" s="40"/>
      <c r="I47" s="40"/>
      <c r="J47" s="40"/>
      <c r="K47" s="41"/>
    </row>
    <row r="48" spans="2:14" ht="9.75" customHeight="1" x14ac:dyDescent="0.2">
      <c r="B48" s="38"/>
      <c r="C48" s="280" t="str">
        <f>"1:"</f>
        <v>1:</v>
      </c>
      <c r="D48" s="281" t="s">
        <v>919</v>
      </c>
      <c r="E48" s="40"/>
      <c r="F48" s="40"/>
      <c r="G48" s="40"/>
      <c r="H48" s="40"/>
      <c r="I48" s="40"/>
      <c r="J48" s="40"/>
      <c r="K48" s="41"/>
    </row>
    <row r="49" spans="2:14" ht="9.75" customHeight="1" x14ac:dyDescent="0.2">
      <c r="B49" s="38"/>
      <c r="C49" s="280" t="str">
        <f>"2:"</f>
        <v>2:</v>
      </c>
      <c r="D49" s="281" t="s">
        <v>920</v>
      </c>
      <c r="E49" s="40"/>
      <c r="F49" s="40"/>
      <c r="G49" s="40"/>
      <c r="H49" s="40"/>
      <c r="I49" s="40"/>
      <c r="J49" s="40"/>
      <c r="K49" s="41"/>
    </row>
    <row r="50" spans="2:14" ht="9.75" customHeight="1" x14ac:dyDescent="0.2">
      <c r="B50" s="38"/>
      <c r="C50" s="280" t="str">
        <f>"3:"</f>
        <v>3:</v>
      </c>
      <c r="D50" s="281" t="s">
        <v>921</v>
      </c>
      <c r="E50" s="40"/>
      <c r="F50" s="40"/>
      <c r="G50" s="40"/>
      <c r="H50" s="40"/>
      <c r="I50" s="40"/>
      <c r="J50" s="40"/>
      <c r="K50" s="41"/>
    </row>
    <row r="51" spans="2:14" ht="9.75" customHeight="1" x14ac:dyDescent="0.2">
      <c r="B51" s="38"/>
      <c r="C51" s="280" t="str">
        <f>"4:"</f>
        <v>4:</v>
      </c>
      <c r="D51" s="281" t="s">
        <v>922</v>
      </c>
      <c r="E51" s="40"/>
      <c r="F51" s="40"/>
      <c r="G51" s="40"/>
      <c r="H51" s="40"/>
      <c r="I51" s="40"/>
      <c r="J51" s="40"/>
      <c r="K51" s="41"/>
      <c r="N51" s="12" t="s">
        <v>661</v>
      </c>
    </row>
    <row r="52" spans="2:14" x14ac:dyDescent="0.2">
      <c r="B52" s="38"/>
      <c r="C52" s="174" t="s">
        <v>662</v>
      </c>
      <c r="D52" s="40"/>
      <c r="E52" s="40"/>
      <c r="F52" s="40"/>
      <c r="G52" s="40"/>
      <c r="H52" s="40"/>
      <c r="I52" s="40"/>
      <c r="J52" s="265" t="s">
        <v>661</v>
      </c>
      <c r="K52" s="41"/>
      <c r="N52" s="12" t="s">
        <v>894</v>
      </c>
    </row>
    <row r="53" spans="2:14" x14ac:dyDescent="0.2">
      <c r="B53" s="38"/>
      <c r="C53" s="174" t="s">
        <v>660</v>
      </c>
      <c r="D53" s="40"/>
      <c r="E53" s="40"/>
      <c r="F53" s="40"/>
      <c r="G53" s="40"/>
      <c r="H53" s="40"/>
      <c r="I53" s="40"/>
      <c r="J53" s="246" t="str">
        <f>IF(J52=N51,"N/A",IF(J52=N52,0,IF(J52=N53,1,IF(J52=N54,2,IF(J52=N55,3,IF(J52=N56,4,"N/A"))))))</f>
        <v>N/A</v>
      </c>
      <c r="K53" s="41"/>
      <c r="N53" s="12" t="s">
        <v>895</v>
      </c>
    </row>
    <row r="54" spans="2:14" x14ac:dyDescent="0.2">
      <c r="B54" s="38"/>
      <c r="C54" s="40" t="s">
        <v>257</v>
      </c>
      <c r="D54" s="40"/>
      <c r="E54" s="40"/>
      <c r="F54" s="40"/>
      <c r="G54" s="40"/>
      <c r="H54" s="40"/>
      <c r="I54" s="40"/>
      <c r="J54" s="266" t="s">
        <v>870</v>
      </c>
      <c r="K54" s="41"/>
      <c r="N54" s="12" t="s">
        <v>896</v>
      </c>
    </row>
    <row r="55" spans="2:14" x14ac:dyDescent="0.2">
      <c r="B55" s="38"/>
      <c r="C55" s="40" t="s">
        <v>261</v>
      </c>
      <c r="D55" s="40"/>
      <c r="E55" s="40"/>
      <c r="F55" s="40"/>
      <c r="G55" s="40"/>
      <c r="H55" s="40"/>
      <c r="I55" s="40"/>
      <c r="J55" s="248">
        <f>IF(J54=$B$973,$A$973,IF(J54=$B$974,$A$974,IF(J54=$B$975,$A$975,IF(J54=$B$976,$A$976,IF(J54=$B$977,$A$977,"Not Calculated")))))</f>
        <v>0</v>
      </c>
      <c r="K55" s="41"/>
      <c r="N55" s="12" t="s">
        <v>897</v>
      </c>
    </row>
    <row r="56" spans="2:14" x14ac:dyDescent="0.2">
      <c r="B56" s="38"/>
      <c r="C56" s="40" t="s">
        <v>893</v>
      </c>
      <c r="D56" s="40"/>
      <c r="E56" s="40"/>
      <c r="F56" s="40"/>
      <c r="G56" s="40"/>
      <c r="H56" s="40"/>
      <c r="I56" s="40"/>
      <c r="J56" s="175"/>
      <c r="K56" s="41"/>
      <c r="N56" s="12" t="s">
        <v>898</v>
      </c>
    </row>
    <row r="57" spans="2:14" s="178" customFormat="1" ht="30" customHeight="1" x14ac:dyDescent="0.2">
      <c r="B57" s="176"/>
      <c r="C57" s="415"/>
      <c r="D57" s="400"/>
      <c r="E57" s="400"/>
      <c r="F57" s="400"/>
      <c r="G57" s="400"/>
      <c r="H57" s="400"/>
      <c r="I57" s="400"/>
      <c r="J57" s="401"/>
      <c r="K57" s="177"/>
    </row>
    <row r="58" spans="2:14" x14ac:dyDescent="0.2">
      <c r="B58" s="38"/>
      <c r="C58" s="40"/>
      <c r="D58" s="40"/>
      <c r="E58" s="40"/>
      <c r="F58" s="40"/>
      <c r="G58" s="40"/>
      <c r="H58" s="40"/>
      <c r="I58" s="40"/>
      <c r="J58" s="40"/>
      <c r="K58" s="41"/>
    </row>
    <row r="59" spans="2:14" x14ac:dyDescent="0.2">
      <c r="B59" s="38"/>
      <c r="C59" s="179" t="s">
        <v>263</v>
      </c>
      <c r="D59" s="40"/>
      <c r="E59" s="40"/>
      <c r="F59" s="40"/>
      <c r="G59" s="40"/>
      <c r="H59" s="40"/>
      <c r="I59" s="40"/>
      <c r="J59" s="245" t="str">
        <f>IF(J53="N/A",IF(OR(J46="Not Calculated",J55="Not Calculated")=TRUE,"Not Calculated",AVERAGE(J46,J55)),AVERAGE(J53,J55))</f>
        <v>Not Calculated</v>
      </c>
      <c r="K59" s="41"/>
    </row>
    <row r="60" spans="2:14" x14ac:dyDescent="0.2">
      <c r="B60" s="38"/>
      <c r="C60" s="40"/>
      <c r="D60" s="40"/>
      <c r="E60" s="40"/>
      <c r="F60" s="40"/>
      <c r="G60" s="40"/>
      <c r="H60" s="40"/>
      <c r="I60" s="40"/>
      <c r="J60" s="40"/>
      <c r="K60" s="41"/>
    </row>
    <row r="61" spans="2:14" x14ac:dyDescent="0.2">
      <c r="B61" s="38"/>
      <c r="C61" s="40"/>
      <c r="D61" s="40"/>
      <c r="E61" s="40"/>
      <c r="F61" s="40"/>
      <c r="G61" s="40"/>
      <c r="H61" s="40"/>
      <c r="I61" s="40"/>
      <c r="J61" s="40"/>
      <c r="K61" s="41"/>
    </row>
    <row r="62" spans="2:14" ht="16" x14ac:dyDescent="0.2">
      <c r="B62" s="38"/>
      <c r="C62" s="45" t="s">
        <v>54</v>
      </c>
      <c r="D62" s="40"/>
      <c r="E62" s="40"/>
      <c r="F62" s="40"/>
      <c r="G62" s="40"/>
      <c r="H62" s="40"/>
      <c r="I62" s="40"/>
      <c r="J62" s="40"/>
      <c r="K62" s="41"/>
    </row>
    <row r="63" spans="2:14" x14ac:dyDescent="0.2">
      <c r="B63" s="38"/>
      <c r="C63" s="40" t="s">
        <v>436</v>
      </c>
      <c r="D63" s="40"/>
      <c r="E63" s="40"/>
      <c r="F63" s="40"/>
      <c r="G63" s="40"/>
      <c r="H63" s="40"/>
      <c r="I63" s="40"/>
      <c r="J63" s="252">
        <f>'Baseline Health'!G23</f>
        <v>0</v>
      </c>
      <c r="K63" s="41"/>
    </row>
    <row r="64" spans="2:14" x14ac:dyDescent="0.2">
      <c r="B64" s="38"/>
      <c r="C64" s="40" t="s">
        <v>289</v>
      </c>
      <c r="D64" s="40"/>
      <c r="E64" s="40"/>
      <c r="F64" s="40"/>
      <c r="G64" s="40"/>
      <c r="H64" s="40"/>
      <c r="I64" s="40"/>
      <c r="J64" s="264">
        <v>0</v>
      </c>
      <c r="K64" s="41"/>
    </row>
    <row r="65" spans="2:14" x14ac:dyDescent="0.2">
      <c r="B65" s="38"/>
      <c r="C65" s="40" t="s">
        <v>260</v>
      </c>
      <c r="D65" s="40"/>
      <c r="E65" s="40"/>
      <c r="F65" s="40"/>
      <c r="G65" s="40"/>
      <c r="H65" s="40"/>
      <c r="I65" s="40"/>
      <c r="J65" s="248" t="str">
        <f>IF(OR(J63=0,J63="Not Calculated")=TRUE,"Not Calculated",(IF(((J64+J63)/J63)&lt;=1,0,IF(((J64+J63)/J63)&lt;=1.05,1,IF(((J64+J63)/J63)&lt;=1.5, 2,IF(((J64+J63)/J63)&lt;=2,3,4))))))</f>
        <v>Not Calculated</v>
      </c>
      <c r="K65" s="41"/>
    </row>
    <row r="66" spans="2:14" ht="9.75" customHeight="1" x14ac:dyDescent="0.2">
      <c r="B66" s="38"/>
      <c r="C66" s="279" t="str">
        <f>"0:"</f>
        <v>0:</v>
      </c>
      <c r="D66" s="281" t="s">
        <v>918</v>
      </c>
      <c r="E66" s="40"/>
      <c r="F66" s="40"/>
      <c r="G66" s="40"/>
      <c r="H66" s="40"/>
      <c r="I66" s="40"/>
      <c r="J66" s="40"/>
      <c r="K66" s="41"/>
    </row>
    <row r="67" spans="2:14" ht="9.75" customHeight="1" x14ac:dyDescent="0.2">
      <c r="B67" s="38"/>
      <c r="C67" s="280" t="str">
        <f>"1:"</f>
        <v>1:</v>
      </c>
      <c r="D67" s="281" t="s">
        <v>919</v>
      </c>
      <c r="E67" s="40"/>
      <c r="F67" s="40"/>
      <c r="G67" s="40"/>
      <c r="H67" s="40"/>
      <c r="I67" s="40"/>
      <c r="J67" s="40"/>
      <c r="K67" s="41"/>
    </row>
    <row r="68" spans="2:14" ht="9.75" customHeight="1" x14ac:dyDescent="0.2">
      <c r="B68" s="38"/>
      <c r="C68" s="280" t="str">
        <f>"2:"</f>
        <v>2:</v>
      </c>
      <c r="D68" s="281" t="s">
        <v>920</v>
      </c>
      <c r="E68" s="40"/>
      <c r="F68" s="40"/>
      <c r="G68" s="40"/>
      <c r="H68" s="40"/>
      <c r="I68" s="40"/>
      <c r="J68" s="40"/>
      <c r="K68" s="41"/>
    </row>
    <row r="69" spans="2:14" ht="9.75" customHeight="1" x14ac:dyDescent="0.2">
      <c r="B69" s="38"/>
      <c r="C69" s="280" t="str">
        <f>"3:"</f>
        <v>3:</v>
      </c>
      <c r="D69" s="281" t="s">
        <v>921</v>
      </c>
      <c r="E69" s="40"/>
      <c r="F69" s="40"/>
      <c r="G69" s="40"/>
      <c r="H69" s="40"/>
      <c r="I69" s="40"/>
      <c r="J69" s="40"/>
      <c r="K69" s="41"/>
    </row>
    <row r="70" spans="2:14" ht="9.75" customHeight="1" x14ac:dyDescent="0.2">
      <c r="B70" s="38"/>
      <c r="C70" s="280" t="str">
        <f>"4:"</f>
        <v>4:</v>
      </c>
      <c r="D70" s="281" t="s">
        <v>922</v>
      </c>
      <c r="E70" s="40"/>
      <c r="F70" s="40"/>
      <c r="G70" s="40"/>
      <c r="H70" s="40"/>
      <c r="I70" s="40"/>
      <c r="J70" s="40"/>
      <c r="K70" s="41"/>
      <c r="N70" s="12" t="s">
        <v>661</v>
      </c>
    </row>
    <row r="71" spans="2:14" x14ac:dyDescent="0.2">
      <c r="B71" s="38"/>
      <c r="C71" s="174" t="s">
        <v>662</v>
      </c>
      <c r="D71" s="40"/>
      <c r="E71" s="40"/>
      <c r="F71" s="40"/>
      <c r="G71" s="40"/>
      <c r="H71" s="40"/>
      <c r="I71" s="40"/>
      <c r="J71" s="265" t="s">
        <v>661</v>
      </c>
      <c r="K71" s="41"/>
      <c r="N71" s="12" t="s">
        <v>894</v>
      </c>
    </row>
    <row r="72" spans="2:14" x14ac:dyDescent="0.2">
      <c r="B72" s="38"/>
      <c r="C72" s="174" t="s">
        <v>660</v>
      </c>
      <c r="D72" s="40"/>
      <c r="E72" s="40"/>
      <c r="F72" s="40"/>
      <c r="G72" s="40"/>
      <c r="H72" s="40"/>
      <c r="I72" s="40"/>
      <c r="J72" s="246" t="str">
        <f>IF(J71=N70,"N/A",IF(J71=N71,0,IF(J71=N72,1,IF(J71=N73,2,IF(J71=N74,3,IF(J71=N75,4,"N/A"))))))</f>
        <v>N/A</v>
      </c>
      <c r="K72" s="41"/>
      <c r="N72" s="12" t="s">
        <v>895</v>
      </c>
    </row>
    <row r="73" spans="2:14" x14ac:dyDescent="0.2">
      <c r="B73" s="38"/>
      <c r="C73" s="40" t="s">
        <v>257</v>
      </c>
      <c r="D73" s="40"/>
      <c r="E73" s="40"/>
      <c r="F73" s="40"/>
      <c r="G73" s="40"/>
      <c r="H73" s="40"/>
      <c r="I73" s="40"/>
      <c r="J73" s="266" t="s">
        <v>870</v>
      </c>
      <c r="K73" s="41"/>
      <c r="N73" s="12" t="s">
        <v>896</v>
      </c>
    </row>
    <row r="74" spans="2:14" x14ac:dyDescent="0.2">
      <c r="B74" s="38"/>
      <c r="C74" s="40" t="s">
        <v>261</v>
      </c>
      <c r="D74" s="40"/>
      <c r="E74" s="40"/>
      <c r="F74" s="40"/>
      <c r="G74" s="40"/>
      <c r="H74" s="40"/>
      <c r="I74" s="40"/>
      <c r="J74" s="248">
        <f>IF(J73=$B$973,$A$973,IF(J73=$B$974,$A$974,IF(J73=$B$975,$A$975,IF(J73=$B$976,$A$976,IF(J73=$B$977,$A$977,"Not Calculated")))))</f>
        <v>0</v>
      </c>
      <c r="K74" s="41"/>
      <c r="N74" s="12" t="s">
        <v>897</v>
      </c>
    </row>
    <row r="75" spans="2:14" x14ac:dyDescent="0.2">
      <c r="B75" s="38"/>
      <c r="C75" s="40" t="s">
        <v>893</v>
      </c>
      <c r="D75" s="40"/>
      <c r="E75" s="40"/>
      <c r="F75" s="40"/>
      <c r="G75" s="40"/>
      <c r="H75" s="40"/>
      <c r="I75" s="40"/>
      <c r="J75" s="175"/>
      <c r="K75" s="41"/>
      <c r="N75" s="12" t="s">
        <v>898</v>
      </c>
    </row>
    <row r="76" spans="2:14" s="178" customFormat="1" ht="30" customHeight="1" x14ac:dyDescent="0.2">
      <c r="B76" s="176"/>
      <c r="C76" s="415"/>
      <c r="D76" s="400"/>
      <c r="E76" s="400"/>
      <c r="F76" s="400"/>
      <c r="G76" s="400"/>
      <c r="H76" s="400"/>
      <c r="I76" s="400"/>
      <c r="J76" s="401"/>
      <c r="K76" s="177"/>
    </row>
    <row r="77" spans="2:14" x14ac:dyDescent="0.2">
      <c r="B77" s="38"/>
      <c r="C77" s="40"/>
      <c r="D77" s="40"/>
      <c r="E77" s="40"/>
      <c r="F77" s="40"/>
      <c r="G77" s="40"/>
      <c r="H77" s="40"/>
      <c r="I77" s="40"/>
      <c r="J77" s="40"/>
      <c r="K77" s="41"/>
    </row>
    <row r="78" spans="2:14" x14ac:dyDescent="0.2">
      <c r="B78" s="38"/>
      <c r="C78" s="179" t="s">
        <v>264</v>
      </c>
      <c r="D78" s="40"/>
      <c r="E78" s="40"/>
      <c r="F78" s="40"/>
      <c r="G78" s="40"/>
      <c r="H78" s="40"/>
      <c r="I78" s="40"/>
      <c r="J78" s="245" t="str">
        <f>IF(J72="N/A",IF(OR(J65="Not Calculated",J74="Not Calculated")=TRUE,"Not Calculated",AVERAGE(J65,J74)),AVERAGE(J72,J74))</f>
        <v>Not Calculated</v>
      </c>
      <c r="K78" s="41"/>
    </row>
    <row r="79" spans="2:14" x14ac:dyDescent="0.2">
      <c r="B79" s="38"/>
      <c r="C79" s="40"/>
      <c r="D79" s="40"/>
      <c r="E79" s="40"/>
      <c r="F79" s="40"/>
      <c r="G79" s="40"/>
      <c r="H79" s="40"/>
      <c r="I79" s="40"/>
      <c r="J79" s="40"/>
      <c r="K79" s="41"/>
    </row>
    <row r="80" spans="2:14" x14ac:dyDescent="0.2">
      <c r="B80" s="38"/>
      <c r="C80" s="40"/>
      <c r="D80" s="40"/>
      <c r="E80" s="40"/>
      <c r="F80" s="40"/>
      <c r="G80" s="40"/>
      <c r="H80" s="40"/>
      <c r="I80" s="40"/>
      <c r="J80" s="40"/>
      <c r="K80" s="41"/>
    </row>
    <row r="81" spans="2:14" ht="16" x14ac:dyDescent="0.2">
      <c r="B81" s="38"/>
      <c r="C81" s="45" t="s">
        <v>57</v>
      </c>
      <c r="D81" s="40"/>
      <c r="E81" s="40"/>
      <c r="F81" s="40"/>
      <c r="G81" s="40"/>
      <c r="H81" s="40"/>
      <c r="I81" s="40"/>
      <c r="J81" s="40"/>
      <c r="K81" s="41"/>
    </row>
    <row r="82" spans="2:14" x14ac:dyDescent="0.2">
      <c r="B82" s="38"/>
      <c r="C82" s="40" t="s">
        <v>437</v>
      </c>
      <c r="D82" s="40"/>
      <c r="E82" s="40"/>
      <c r="F82" s="40"/>
      <c r="G82" s="40"/>
      <c r="H82" s="40"/>
      <c r="I82" s="40"/>
      <c r="J82" s="252">
        <f>'Baseline Health'!G29</f>
        <v>0</v>
      </c>
      <c r="K82" s="41"/>
    </row>
    <row r="83" spans="2:14" x14ac:dyDescent="0.2">
      <c r="B83" s="38"/>
      <c r="C83" s="40" t="s">
        <v>290</v>
      </c>
      <c r="D83" s="40"/>
      <c r="E83" s="40"/>
      <c r="F83" s="40"/>
      <c r="G83" s="40"/>
      <c r="H83" s="40"/>
      <c r="I83" s="40"/>
      <c r="J83" s="264">
        <f>J82*0.01</f>
        <v>0</v>
      </c>
      <c r="K83" s="41"/>
    </row>
    <row r="84" spans="2:14" x14ac:dyDescent="0.2">
      <c r="B84" s="38"/>
      <c r="C84" s="40" t="s">
        <v>260</v>
      </c>
      <c r="D84" s="40"/>
      <c r="E84" s="40"/>
      <c r="F84" s="40"/>
      <c r="G84" s="40"/>
      <c r="H84" s="40"/>
      <c r="I84" s="40"/>
      <c r="J84" s="248" t="str">
        <f>IF(OR(J82=0,J82="Not Calculated")=TRUE,"Not Calculated",(IF(((J83+J82)/J82)&lt;=1,0,IF(((J83+J82)/J82)&lt;=1.05,1,IF(((J83+J82)/J82)&lt;=1.5, 2,IF(((J83+J82)/J82)&lt;=2,3,4))))))</f>
        <v>Not Calculated</v>
      </c>
      <c r="K84" s="41"/>
    </row>
    <row r="85" spans="2:14" ht="9.75" customHeight="1" x14ac:dyDescent="0.2">
      <c r="B85" s="38"/>
      <c r="C85" s="279" t="str">
        <f>"0:"</f>
        <v>0:</v>
      </c>
      <c r="D85" s="281" t="s">
        <v>918</v>
      </c>
      <c r="E85" s="40"/>
      <c r="F85" s="40"/>
      <c r="G85" s="40"/>
      <c r="H85" s="40"/>
      <c r="I85" s="40"/>
      <c r="J85" s="40"/>
      <c r="K85" s="41"/>
    </row>
    <row r="86" spans="2:14" ht="9.75" customHeight="1" x14ac:dyDescent="0.2">
      <c r="B86" s="38"/>
      <c r="C86" s="280" t="str">
        <f>"1:"</f>
        <v>1:</v>
      </c>
      <c r="D86" s="281" t="s">
        <v>919</v>
      </c>
      <c r="E86" s="40"/>
      <c r="F86" s="40"/>
      <c r="G86" s="40"/>
      <c r="H86" s="40"/>
      <c r="I86" s="40"/>
      <c r="J86" s="40"/>
      <c r="K86" s="41"/>
    </row>
    <row r="87" spans="2:14" ht="9.75" customHeight="1" x14ac:dyDescent="0.2">
      <c r="B87" s="38"/>
      <c r="C87" s="280" t="str">
        <f>"2:"</f>
        <v>2:</v>
      </c>
      <c r="D87" s="281" t="s">
        <v>920</v>
      </c>
      <c r="E87" s="40"/>
      <c r="F87" s="40"/>
      <c r="G87" s="40"/>
      <c r="H87" s="40"/>
      <c r="I87" s="40"/>
      <c r="J87" s="40"/>
      <c r="K87" s="41"/>
    </row>
    <row r="88" spans="2:14" ht="9.75" customHeight="1" x14ac:dyDescent="0.2">
      <c r="B88" s="38"/>
      <c r="C88" s="280" t="str">
        <f>"3:"</f>
        <v>3:</v>
      </c>
      <c r="D88" s="281" t="s">
        <v>921</v>
      </c>
      <c r="E88" s="40"/>
      <c r="F88" s="40"/>
      <c r="G88" s="40"/>
      <c r="H88" s="40"/>
      <c r="I88" s="40"/>
      <c r="J88" s="40"/>
      <c r="K88" s="41"/>
    </row>
    <row r="89" spans="2:14" ht="9.75" customHeight="1" x14ac:dyDescent="0.2">
      <c r="B89" s="38"/>
      <c r="C89" s="280" t="str">
        <f>"4:"</f>
        <v>4:</v>
      </c>
      <c r="D89" s="281" t="s">
        <v>922</v>
      </c>
      <c r="E89" s="40"/>
      <c r="F89" s="40"/>
      <c r="G89" s="40"/>
      <c r="H89" s="40"/>
      <c r="I89" s="40"/>
      <c r="J89" s="40"/>
      <c r="K89" s="41"/>
      <c r="N89" s="12" t="s">
        <v>661</v>
      </c>
    </row>
    <row r="90" spans="2:14" x14ac:dyDescent="0.2">
      <c r="B90" s="38"/>
      <c r="C90" s="174" t="s">
        <v>662</v>
      </c>
      <c r="D90" s="40"/>
      <c r="E90" s="40"/>
      <c r="F90" s="40"/>
      <c r="G90" s="40"/>
      <c r="H90" s="40"/>
      <c r="I90" s="40"/>
      <c r="J90" s="265" t="s">
        <v>661</v>
      </c>
      <c r="K90" s="41"/>
      <c r="N90" s="12" t="s">
        <v>894</v>
      </c>
    </row>
    <row r="91" spans="2:14" x14ac:dyDescent="0.2">
      <c r="B91" s="38"/>
      <c r="C91" s="174" t="s">
        <v>660</v>
      </c>
      <c r="D91" s="40"/>
      <c r="E91" s="40"/>
      <c r="F91" s="40"/>
      <c r="G91" s="40"/>
      <c r="H91" s="40"/>
      <c r="I91" s="40"/>
      <c r="J91" s="246" t="str">
        <f>IF(J90=N89,"N/A",IF(J90=N90,0,IF(J90=N91,1,IF(J90=N92,2,IF(J90=N93,3,IF(J90=N94,4,"N/A"))))))</f>
        <v>N/A</v>
      </c>
      <c r="K91" s="41"/>
      <c r="N91" s="12" t="s">
        <v>895</v>
      </c>
    </row>
    <row r="92" spans="2:14" x14ac:dyDescent="0.2">
      <c r="B92" s="38"/>
      <c r="C92" s="40" t="s">
        <v>257</v>
      </c>
      <c r="D92" s="40"/>
      <c r="E92" s="40"/>
      <c r="F92" s="40"/>
      <c r="G92" s="40"/>
      <c r="H92" s="40"/>
      <c r="I92" s="40"/>
      <c r="J92" s="266" t="s">
        <v>874</v>
      </c>
      <c r="K92" s="41"/>
      <c r="N92" s="12" t="s">
        <v>896</v>
      </c>
    </row>
    <row r="93" spans="2:14" x14ac:dyDescent="0.2">
      <c r="B93" s="38"/>
      <c r="C93" s="40" t="s">
        <v>261</v>
      </c>
      <c r="D93" s="40"/>
      <c r="E93" s="40"/>
      <c r="F93" s="40"/>
      <c r="G93" s="40"/>
      <c r="H93" s="40"/>
      <c r="I93" s="40"/>
      <c r="J93" s="248">
        <f>IF(J92=$B$973,$A$973,IF(J92=$B$974,$A$974,IF(J92=$B$975,$A$975,IF(J92=$B$976,$A$976,IF(J92=$B$977,$A$977,"Not Calculated")))))</f>
        <v>4</v>
      </c>
      <c r="K93" s="41"/>
      <c r="N93" s="12" t="s">
        <v>897</v>
      </c>
    </row>
    <row r="94" spans="2:14" x14ac:dyDescent="0.2">
      <c r="B94" s="38"/>
      <c r="C94" s="40" t="s">
        <v>893</v>
      </c>
      <c r="D94" s="40"/>
      <c r="E94" s="40"/>
      <c r="F94" s="40"/>
      <c r="G94" s="40"/>
      <c r="H94" s="40"/>
      <c r="I94" s="40"/>
      <c r="J94" s="175"/>
      <c r="K94" s="41"/>
      <c r="N94" s="12" t="s">
        <v>898</v>
      </c>
    </row>
    <row r="95" spans="2:14" s="178" customFormat="1" ht="165" customHeight="1" x14ac:dyDescent="0.2">
      <c r="B95" s="176"/>
      <c r="C95" s="415" t="s">
        <v>478</v>
      </c>
      <c r="D95" s="400"/>
      <c r="E95" s="400"/>
      <c r="F95" s="400"/>
      <c r="G95" s="400"/>
      <c r="H95" s="400"/>
      <c r="I95" s="400"/>
      <c r="J95" s="401"/>
      <c r="K95" s="177"/>
    </row>
    <row r="96" spans="2:14" x14ac:dyDescent="0.2">
      <c r="B96" s="38"/>
      <c r="C96" s="40"/>
      <c r="D96" s="40"/>
      <c r="E96" s="40"/>
      <c r="F96" s="40"/>
      <c r="G96" s="40"/>
      <c r="H96" s="40"/>
      <c r="I96" s="40"/>
      <c r="J96" s="40"/>
      <c r="K96" s="41"/>
    </row>
    <row r="97" spans="2:14" x14ac:dyDescent="0.2">
      <c r="B97" s="38"/>
      <c r="C97" s="179" t="s">
        <v>265</v>
      </c>
      <c r="D97" s="40"/>
      <c r="E97" s="40"/>
      <c r="F97" s="40"/>
      <c r="G97" s="40"/>
      <c r="H97" s="40"/>
      <c r="I97" s="40"/>
      <c r="J97" s="245" t="str">
        <f>IF(J91="N/A",IF(OR(J84="Not Calculated",J93="Not Calculated")=TRUE,"Not Calculated",AVERAGE(J84,J93)),AVERAGE(J91,J93))</f>
        <v>Not Calculated</v>
      </c>
      <c r="K97" s="41"/>
    </row>
    <row r="98" spans="2:14" x14ac:dyDescent="0.2">
      <c r="B98" s="38"/>
      <c r="C98" s="40"/>
      <c r="D98" s="40"/>
      <c r="E98" s="40"/>
      <c r="F98" s="40"/>
      <c r="G98" s="40"/>
      <c r="H98" s="40"/>
      <c r="I98" s="40"/>
      <c r="J98" s="40"/>
      <c r="K98" s="41"/>
    </row>
    <row r="99" spans="2:14" x14ac:dyDescent="0.2">
      <c r="B99" s="38"/>
      <c r="C99" s="40"/>
      <c r="D99" s="40"/>
      <c r="E99" s="40"/>
      <c r="F99" s="40"/>
      <c r="G99" s="40"/>
      <c r="H99" s="40"/>
      <c r="I99" s="40"/>
      <c r="J99" s="40"/>
      <c r="K99" s="41"/>
    </row>
    <row r="100" spans="2:14" ht="16" x14ac:dyDescent="0.2">
      <c r="B100" s="38"/>
      <c r="C100" s="45" t="s">
        <v>60</v>
      </c>
      <c r="D100" s="40"/>
      <c r="E100" s="40"/>
      <c r="F100" s="40"/>
      <c r="G100" s="40"/>
      <c r="H100" s="40"/>
      <c r="I100" s="40"/>
      <c r="J100" s="40"/>
      <c r="K100" s="41"/>
    </row>
    <row r="101" spans="2:14" x14ac:dyDescent="0.2">
      <c r="B101" s="38"/>
      <c r="C101" s="40" t="s">
        <v>438</v>
      </c>
      <c r="D101" s="40"/>
      <c r="E101" s="40"/>
      <c r="F101" s="40"/>
      <c r="G101" s="40"/>
      <c r="H101" s="40"/>
      <c r="I101" s="40"/>
      <c r="J101" s="252">
        <f>'Baseline Health'!G35</f>
        <v>0</v>
      </c>
      <c r="K101" s="41"/>
    </row>
    <row r="102" spans="2:14" x14ac:dyDescent="0.2">
      <c r="B102" s="38"/>
      <c r="C102" s="40" t="s">
        <v>291</v>
      </c>
      <c r="D102" s="40"/>
      <c r="E102" s="40"/>
      <c r="F102" s="40"/>
      <c r="G102" s="40"/>
      <c r="H102" s="40"/>
      <c r="I102" s="40"/>
      <c r="J102" s="264">
        <v>0</v>
      </c>
      <c r="K102" s="41"/>
    </row>
    <row r="103" spans="2:14" x14ac:dyDescent="0.2">
      <c r="B103" s="38"/>
      <c r="C103" s="40" t="s">
        <v>260</v>
      </c>
      <c r="D103" s="40"/>
      <c r="E103" s="40"/>
      <c r="F103" s="40"/>
      <c r="G103" s="40"/>
      <c r="H103" s="40"/>
      <c r="I103" s="40"/>
      <c r="J103" s="248" t="str">
        <f>IF(OR(J101=0,J101="Not Calculated")=TRUE,"Not Calculated",(IF(((J102+J101)/J101)&lt;=1,0,IF(((J102+J101)/J101)&lt;=1.05,1,IF(((J102+J101)/J101)&lt;=1.5, 2,IF(((J102+J101)/J101)&lt;=2,3,4))))))</f>
        <v>Not Calculated</v>
      </c>
      <c r="K103" s="41"/>
    </row>
    <row r="104" spans="2:14" ht="9.75" customHeight="1" x14ac:dyDescent="0.2">
      <c r="B104" s="38"/>
      <c r="C104" s="279" t="str">
        <f>"0:"</f>
        <v>0:</v>
      </c>
      <c r="D104" s="281" t="s">
        <v>918</v>
      </c>
      <c r="E104" s="40"/>
      <c r="F104" s="40"/>
      <c r="G104" s="40"/>
      <c r="H104" s="40"/>
      <c r="I104" s="40"/>
      <c r="J104" s="40"/>
      <c r="K104" s="41"/>
    </row>
    <row r="105" spans="2:14" ht="9.75" customHeight="1" x14ac:dyDescent="0.2">
      <c r="B105" s="38"/>
      <c r="C105" s="280" t="str">
        <f>"1:"</f>
        <v>1:</v>
      </c>
      <c r="D105" s="281" t="s">
        <v>919</v>
      </c>
      <c r="E105" s="40"/>
      <c r="F105" s="40"/>
      <c r="G105" s="40"/>
      <c r="H105" s="40"/>
      <c r="I105" s="40"/>
      <c r="J105" s="40"/>
      <c r="K105" s="41"/>
    </row>
    <row r="106" spans="2:14" ht="9.75" customHeight="1" x14ac:dyDescent="0.2">
      <c r="B106" s="38"/>
      <c r="C106" s="280" t="str">
        <f>"2:"</f>
        <v>2:</v>
      </c>
      <c r="D106" s="281" t="s">
        <v>920</v>
      </c>
      <c r="E106" s="40"/>
      <c r="F106" s="40"/>
      <c r="G106" s="40"/>
      <c r="H106" s="40"/>
      <c r="I106" s="40"/>
      <c r="J106" s="40"/>
      <c r="K106" s="41"/>
    </row>
    <row r="107" spans="2:14" ht="9.75" customHeight="1" x14ac:dyDescent="0.2">
      <c r="B107" s="38"/>
      <c r="C107" s="280" t="str">
        <f>"3:"</f>
        <v>3:</v>
      </c>
      <c r="D107" s="281" t="s">
        <v>921</v>
      </c>
      <c r="E107" s="40"/>
      <c r="F107" s="40"/>
      <c r="G107" s="40"/>
      <c r="H107" s="40"/>
      <c r="I107" s="40"/>
      <c r="J107" s="40"/>
      <c r="K107" s="41"/>
    </row>
    <row r="108" spans="2:14" ht="9.75" customHeight="1" x14ac:dyDescent="0.2">
      <c r="B108" s="38"/>
      <c r="C108" s="280" t="str">
        <f>"4:"</f>
        <v>4:</v>
      </c>
      <c r="D108" s="281" t="s">
        <v>922</v>
      </c>
      <c r="E108" s="40"/>
      <c r="F108" s="40"/>
      <c r="G108" s="40"/>
      <c r="H108" s="40"/>
      <c r="I108" s="40"/>
      <c r="J108" s="40"/>
      <c r="K108" s="41"/>
      <c r="N108" s="12" t="s">
        <v>661</v>
      </c>
    </row>
    <row r="109" spans="2:14" x14ac:dyDescent="0.2">
      <c r="B109" s="38"/>
      <c r="C109" s="174" t="s">
        <v>662</v>
      </c>
      <c r="D109" s="40"/>
      <c r="E109" s="40"/>
      <c r="F109" s="40"/>
      <c r="G109" s="40"/>
      <c r="H109" s="40"/>
      <c r="I109" s="40"/>
      <c r="J109" s="265" t="s">
        <v>661</v>
      </c>
      <c r="K109" s="41"/>
      <c r="N109" s="12" t="s">
        <v>894</v>
      </c>
    </row>
    <row r="110" spans="2:14" x14ac:dyDescent="0.2">
      <c r="B110" s="38"/>
      <c r="C110" s="174" t="s">
        <v>660</v>
      </c>
      <c r="D110" s="40"/>
      <c r="E110" s="40"/>
      <c r="F110" s="40"/>
      <c r="G110" s="40"/>
      <c r="H110" s="40"/>
      <c r="I110" s="40"/>
      <c r="J110" s="246" t="str">
        <f>IF(J109=N108,"N/A",IF(J109=N109,0,IF(J109=N110,1,IF(J109=N111,2,IF(J109=N112,3,IF(J109=N113,4,"N/A"))))))</f>
        <v>N/A</v>
      </c>
      <c r="K110" s="41"/>
      <c r="N110" s="12" t="s">
        <v>895</v>
      </c>
    </row>
    <row r="111" spans="2:14" x14ac:dyDescent="0.2">
      <c r="B111" s="38"/>
      <c r="C111" s="40" t="s">
        <v>257</v>
      </c>
      <c r="D111" s="40"/>
      <c r="E111" s="40"/>
      <c r="F111" s="40"/>
      <c r="G111" s="40"/>
      <c r="H111" s="40"/>
      <c r="I111" s="40"/>
      <c r="J111" s="266" t="s">
        <v>870</v>
      </c>
      <c r="K111" s="41"/>
      <c r="N111" s="12" t="s">
        <v>896</v>
      </c>
    </row>
    <row r="112" spans="2:14" x14ac:dyDescent="0.2">
      <c r="B112" s="38"/>
      <c r="C112" s="40" t="s">
        <v>261</v>
      </c>
      <c r="D112" s="40"/>
      <c r="E112" s="40"/>
      <c r="F112" s="40"/>
      <c r="G112" s="40"/>
      <c r="H112" s="40"/>
      <c r="I112" s="40"/>
      <c r="J112" s="248">
        <f>IF(J111=$B$973,$A$973,IF(J111=$B$974,$A$974,IF(J111=$B$975,$A$975,IF(J111=$B$976,$A$976,IF(J111=$B$977,$A$977,"Not Calculated")))))</f>
        <v>0</v>
      </c>
      <c r="K112" s="41"/>
      <c r="N112" s="12" t="s">
        <v>897</v>
      </c>
    </row>
    <row r="113" spans="2:14" x14ac:dyDescent="0.2">
      <c r="B113" s="38"/>
      <c r="C113" s="40" t="s">
        <v>893</v>
      </c>
      <c r="D113" s="40"/>
      <c r="E113" s="40"/>
      <c r="F113" s="40"/>
      <c r="G113" s="40"/>
      <c r="H113" s="40"/>
      <c r="I113" s="40"/>
      <c r="J113" s="175"/>
      <c r="K113" s="41"/>
      <c r="N113" s="12" t="s">
        <v>898</v>
      </c>
    </row>
    <row r="114" spans="2:14" s="178" customFormat="1" ht="30" customHeight="1" x14ac:dyDescent="0.2">
      <c r="B114" s="176"/>
      <c r="C114" s="415"/>
      <c r="D114" s="400"/>
      <c r="E114" s="400"/>
      <c r="F114" s="400"/>
      <c r="G114" s="400"/>
      <c r="H114" s="400"/>
      <c r="I114" s="400"/>
      <c r="J114" s="400"/>
      <c r="K114" s="177"/>
    </row>
    <row r="115" spans="2:14" x14ac:dyDescent="0.2">
      <c r="B115" s="38"/>
      <c r="C115" s="40"/>
      <c r="D115" s="40"/>
      <c r="E115" s="40"/>
      <c r="F115" s="40"/>
      <c r="G115" s="40"/>
      <c r="H115" s="40"/>
      <c r="I115" s="40"/>
      <c r="J115" s="40"/>
      <c r="K115" s="41"/>
    </row>
    <row r="116" spans="2:14" x14ac:dyDescent="0.2">
      <c r="B116" s="38"/>
      <c r="C116" s="179" t="s">
        <v>266</v>
      </c>
      <c r="D116" s="40"/>
      <c r="E116" s="40"/>
      <c r="F116" s="40"/>
      <c r="G116" s="40"/>
      <c r="H116" s="40"/>
      <c r="I116" s="40"/>
      <c r="J116" s="245" t="str">
        <f>IF(J110="N/A",IF(OR(J103="Not Calculated",J112="Not Calculated")=TRUE,"Not Calculated",AVERAGE(J103,J112)),AVERAGE(J110,J112))</f>
        <v>Not Calculated</v>
      </c>
      <c r="K116" s="41"/>
    </row>
    <row r="117" spans="2:14" x14ac:dyDescent="0.2">
      <c r="B117" s="38"/>
      <c r="C117" s="40"/>
      <c r="D117" s="40"/>
      <c r="E117" s="40"/>
      <c r="F117" s="40"/>
      <c r="G117" s="40"/>
      <c r="H117" s="40"/>
      <c r="I117" s="40"/>
      <c r="J117" s="40"/>
      <c r="K117" s="41"/>
    </row>
    <row r="118" spans="2:14" x14ac:dyDescent="0.2">
      <c r="B118" s="38"/>
      <c r="C118" s="40"/>
      <c r="D118" s="40"/>
      <c r="E118" s="40"/>
      <c r="F118" s="40"/>
      <c r="G118" s="40"/>
      <c r="H118" s="40"/>
      <c r="I118" s="40"/>
      <c r="J118" s="40"/>
      <c r="K118" s="41"/>
    </row>
    <row r="119" spans="2:14" ht="16" x14ac:dyDescent="0.2">
      <c r="B119" s="38"/>
      <c r="C119" s="45" t="s">
        <v>262</v>
      </c>
      <c r="D119" s="40"/>
      <c r="E119" s="40"/>
      <c r="F119" s="40"/>
      <c r="G119" s="40"/>
      <c r="H119" s="40"/>
      <c r="I119" s="40"/>
      <c r="J119" s="40"/>
      <c r="K119" s="41"/>
    </row>
    <row r="120" spans="2:14" ht="15" customHeight="1" x14ac:dyDescent="0.2">
      <c r="B120" s="38"/>
      <c r="C120" s="422" t="s">
        <v>268</v>
      </c>
      <c r="D120" s="422"/>
      <c r="E120" s="422"/>
      <c r="F120" s="422"/>
      <c r="G120" s="422"/>
      <c r="H120" s="422"/>
      <c r="I120" s="422"/>
      <c r="J120" s="422"/>
      <c r="K120" s="41"/>
    </row>
    <row r="121" spans="2:14" x14ac:dyDescent="0.2">
      <c r="B121" s="38"/>
      <c r="C121" s="422"/>
      <c r="D121" s="422"/>
      <c r="E121" s="422"/>
      <c r="F121" s="422"/>
      <c r="G121" s="422"/>
      <c r="H121" s="422"/>
      <c r="I121" s="422"/>
      <c r="J121" s="422"/>
      <c r="K121" s="41"/>
    </row>
    <row r="122" spans="2:14" x14ac:dyDescent="0.2">
      <c r="B122" s="38"/>
      <c r="C122" s="423"/>
      <c r="D122" s="423"/>
      <c r="E122" s="423"/>
      <c r="F122" s="423"/>
      <c r="G122" s="423"/>
      <c r="H122" s="423"/>
      <c r="I122" s="423"/>
      <c r="J122" s="423"/>
      <c r="K122" s="41"/>
    </row>
    <row r="123" spans="2:14" ht="15" customHeight="1" x14ac:dyDescent="0.2">
      <c r="B123" s="38"/>
      <c r="C123" s="416" t="s">
        <v>247</v>
      </c>
      <c r="D123" s="417"/>
      <c r="E123" s="417"/>
      <c r="F123" s="417"/>
      <c r="G123" s="417"/>
      <c r="H123" s="417"/>
      <c r="I123" s="417"/>
      <c r="J123" s="418"/>
      <c r="K123" s="41"/>
    </row>
    <row r="124" spans="2:14" x14ac:dyDescent="0.2">
      <c r="B124" s="38"/>
      <c r="C124" s="419"/>
      <c r="D124" s="420"/>
      <c r="E124" s="420"/>
      <c r="F124" s="420"/>
      <c r="G124" s="420"/>
      <c r="H124" s="420"/>
      <c r="I124" s="420"/>
      <c r="J124" s="421"/>
      <c r="K124" s="41"/>
    </row>
    <row r="125" spans="2:14" ht="15" customHeight="1" x14ac:dyDescent="0.2">
      <c r="B125" s="38"/>
      <c r="C125" s="40" t="s">
        <v>260</v>
      </c>
      <c r="D125" s="40"/>
      <c r="E125" s="40"/>
      <c r="F125" s="40"/>
      <c r="G125" s="40"/>
      <c r="H125" s="40"/>
      <c r="I125" s="40"/>
      <c r="J125" s="246">
        <f>IF(C123=B987,A987,IF(C123=B988,A988,IF(C123=B989,A989,IF(C123=B990,A990,IF(C123=B991,A991,"Not Calculated")))))</f>
        <v>2</v>
      </c>
      <c r="K125" s="41"/>
    </row>
    <row r="126" spans="2:14" ht="15" customHeight="1" x14ac:dyDescent="0.2">
      <c r="B126" s="38"/>
      <c r="C126" s="40" t="s">
        <v>257</v>
      </c>
      <c r="D126" s="40"/>
      <c r="E126" s="40"/>
      <c r="F126" s="40"/>
      <c r="G126" s="40"/>
      <c r="H126" s="40"/>
      <c r="I126" s="40"/>
      <c r="J126" s="266" t="s">
        <v>874</v>
      </c>
      <c r="K126" s="41"/>
    </row>
    <row r="127" spans="2:14" x14ac:dyDescent="0.2">
      <c r="B127" s="38"/>
      <c r="C127" s="40" t="s">
        <v>261</v>
      </c>
      <c r="D127" s="40"/>
      <c r="E127" s="40"/>
      <c r="F127" s="40"/>
      <c r="G127" s="40"/>
      <c r="H127" s="40"/>
      <c r="I127" s="40"/>
      <c r="J127" s="248">
        <f>IF(J126=$B$973,$A$973,IF(J126=$B$974,$A$974,IF(J126=$B$975,$A$975,IF(J126=$B$976,$A$976,IF(J126=$B$977,$A$977,"Not Calculated")))))</f>
        <v>4</v>
      </c>
      <c r="K127" s="41"/>
    </row>
    <row r="128" spans="2:14" ht="15" customHeight="1" x14ac:dyDescent="0.2">
      <c r="B128" s="38"/>
      <c r="C128" s="40" t="s">
        <v>893</v>
      </c>
      <c r="D128" s="40"/>
      <c r="E128" s="40"/>
      <c r="F128" s="40"/>
      <c r="G128" s="40"/>
      <c r="H128" s="40"/>
      <c r="I128" s="40"/>
      <c r="J128" s="175"/>
      <c r="K128" s="41"/>
    </row>
    <row r="129" spans="2:11" s="178" customFormat="1" ht="150" customHeight="1" x14ac:dyDescent="0.2">
      <c r="B129" s="176"/>
      <c r="C129" s="415" t="s">
        <v>479</v>
      </c>
      <c r="D129" s="400"/>
      <c r="E129" s="400"/>
      <c r="F129" s="400"/>
      <c r="G129" s="400"/>
      <c r="H129" s="400"/>
      <c r="I129" s="400"/>
      <c r="J129" s="401"/>
      <c r="K129" s="177"/>
    </row>
    <row r="130" spans="2:11" x14ac:dyDescent="0.2">
      <c r="B130" s="38"/>
      <c r="C130" s="40"/>
      <c r="D130" s="40"/>
      <c r="E130" s="40"/>
      <c r="F130" s="40"/>
      <c r="G130" s="40"/>
      <c r="H130" s="40"/>
      <c r="I130" s="40"/>
      <c r="J130" s="40"/>
      <c r="K130" s="41"/>
    </row>
    <row r="131" spans="2:11" x14ac:dyDescent="0.2">
      <c r="B131" s="38"/>
      <c r="C131" s="179" t="s">
        <v>267</v>
      </c>
      <c r="D131" s="40"/>
      <c r="E131" s="40"/>
      <c r="F131" s="40"/>
      <c r="G131" s="40"/>
      <c r="H131" s="40"/>
      <c r="I131" s="40"/>
      <c r="J131" s="245">
        <f>IF(OR(J125="Not Calculated",J127="Not Calculated")=TRUE,"Not Calculated",AVERAGE(J125,J127))</f>
        <v>3</v>
      </c>
      <c r="K131" s="41"/>
    </row>
    <row r="132" spans="2:11" x14ac:dyDescent="0.2">
      <c r="B132" s="38"/>
      <c r="C132" s="179"/>
      <c r="D132" s="40"/>
      <c r="E132" s="40"/>
      <c r="F132" s="40"/>
      <c r="G132" s="40"/>
      <c r="H132" s="40"/>
      <c r="I132" s="40"/>
      <c r="J132" s="245"/>
      <c r="K132" s="41"/>
    </row>
    <row r="133" spans="2:11" ht="18" x14ac:dyDescent="0.2">
      <c r="B133" s="38"/>
      <c r="C133" s="180" t="s">
        <v>269</v>
      </c>
      <c r="D133" s="40"/>
      <c r="E133" s="40"/>
      <c r="F133" s="40"/>
      <c r="G133" s="40"/>
      <c r="H133" s="40"/>
      <c r="I133" s="40"/>
      <c r="J133" s="244" t="str">
        <f>IF(OR(J40="Not Calculated",J59="Not Calculated",J78="Not Calculated",J97="Not Calculated",J116="Not Calculated",J131="Not Calculated",)=TRUE,"Not Calculated",AVERAGE(J40,J59,J78,J97,J116,J131))</f>
        <v>Not Calculated</v>
      </c>
      <c r="K133" s="41"/>
    </row>
    <row r="134" spans="2:11" ht="16" thickBot="1" x14ac:dyDescent="0.25">
      <c r="B134" s="46"/>
      <c r="C134" s="47"/>
      <c r="D134" s="47"/>
      <c r="E134" s="47"/>
      <c r="F134" s="47"/>
      <c r="G134" s="47"/>
      <c r="H134" s="47"/>
      <c r="I134" s="47"/>
      <c r="J134" s="47"/>
      <c r="K134" s="49"/>
    </row>
    <row r="135" spans="2:11" ht="16" thickBot="1" x14ac:dyDescent="0.25"/>
    <row r="136" spans="2:11" x14ac:dyDescent="0.2">
      <c r="B136" s="33"/>
      <c r="C136" s="34"/>
      <c r="D136" s="34"/>
      <c r="E136" s="34"/>
      <c r="F136" s="34"/>
      <c r="G136" s="34"/>
      <c r="H136" s="34"/>
      <c r="I136" s="34"/>
      <c r="J136" s="34"/>
      <c r="K136" s="37"/>
    </row>
    <row r="137" spans="2:11" ht="21" x14ac:dyDescent="0.25">
      <c r="B137" s="38"/>
      <c r="C137" s="171"/>
      <c r="D137" s="40"/>
      <c r="E137" s="40"/>
      <c r="F137" s="40"/>
      <c r="G137" s="172" t="s">
        <v>27</v>
      </c>
      <c r="H137" s="40"/>
      <c r="I137" s="40"/>
      <c r="J137" s="40"/>
      <c r="K137" s="41"/>
    </row>
    <row r="138" spans="2:11" x14ac:dyDescent="0.2">
      <c r="B138" s="38"/>
      <c r="C138" s="40"/>
      <c r="D138" s="40"/>
      <c r="E138" s="40"/>
      <c r="F138" s="40"/>
      <c r="G138" s="40"/>
      <c r="H138" s="40"/>
      <c r="I138" s="40"/>
      <c r="J138" s="40"/>
      <c r="K138" s="41"/>
    </row>
    <row r="139" spans="2:11" ht="16" x14ac:dyDescent="0.2">
      <c r="B139" s="38"/>
      <c r="C139" s="45" t="s">
        <v>72</v>
      </c>
      <c r="D139" s="40"/>
      <c r="E139" s="40"/>
      <c r="F139" s="40"/>
      <c r="G139" s="40"/>
      <c r="H139" s="40"/>
      <c r="I139" s="40"/>
      <c r="J139" s="40"/>
      <c r="K139" s="41"/>
    </row>
    <row r="140" spans="2:11" x14ac:dyDescent="0.2">
      <c r="B140" s="38"/>
      <c r="C140" s="40" t="s">
        <v>440</v>
      </c>
      <c r="D140" s="40"/>
      <c r="E140" s="40"/>
      <c r="F140" s="40"/>
      <c r="G140" s="40"/>
      <c r="H140" s="40"/>
      <c r="I140" s="40"/>
      <c r="J140" s="252">
        <f>'Baseline Health'!G45</f>
        <v>0</v>
      </c>
      <c r="K140" s="41"/>
    </row>
    <row r="141" spans="2:11" x14ac:dyDescent="0.2">
      <c r="B141" s="38"/>
      <c r="C141" s="40" t="s">
        <v>270</v>
      </c>
      <c r="D141" s="40"/>
      <c r="E141" s="40"/>
      <c r="F141" s="40"/>
      <c r="G141" s="40"/>
      <c r="H141" s="40"/>
      <c r="I141" s="40"/>
      <c r="J141" s="264">
        <v>0</v>
      </c>
      <c r="K141" s="41"/>
    </row>
    <row r="142" spans="2:11" x14ac:dyDescent="0.2">
      <c r="B142" s="38"/>
      <c r="C142" s="40" t="s">
        <v>439</v>
      </c>
      <c r="D142" s="40"/>
      <c r="E142" s="40"/>
      <c r="F142" s="40"/>
      <c r="G142" s="40"/>
      <c r="H142" s="40"/>
      <c r="I142" s="40"/>
      <c r="J142" s="255">
        <f>J83/20</f>
        <v>0</v>
      </c>
      <c r="K142" s="41"/>
    </row>
    <row r="143" spans="2:11" x14ac:dyDescent="0.2">
      <c r="B143" s="38"/>
      <c r="C143" s="40"/>
      <c r="D143" s="40" t="s">
        <v>351</v>
      </c>
      <c r="E143" s="40"/>
      <c r="F143" s="40"/>
      <c r="G143" s="40"/>
      <c r="H143" s="40"/>
      <c r="I143" s="40"/>
      <c r="J143" s="40"/>
      <c r="K143" s="41"/>
    </row>
    <row r="144" spans="2:11" x14ac:dyDescent="0.2">
      <c r="B144" s="38"/>
      <c r="C144" s="40" t="s">
        <v>260</v>
      </c>
      <c r="D144" s="40"/>
      <c r="E144" s="40"/>
      <c r="F144" s="40"/>
      <c r="G144" s="40"/>
      <c r="H144" s="40"/>
      <c r="I144" s="40"/>
      <c r="J144" s="245" t="str">
        <f>IF(OR(J140=0,J140="Not Calculated")=TRUE,"Not Calculated",IF((J140-J141)&lt;=0,4,IF(((J140+J142)/(J140-J141))&lt;=1,0,IF(((J140+J142)/(J140-J141))&lt;=1.05,1,IF(((J140+J142)/(J140-J141))&lt;=1.5, 2,IF(((J140+J142)/(J140-J141))&lt;=2,3,4))))))</f>
        <v>Not Calculated</v>
      </c>
      <c r="K144" s="41"/>
    </row>
    <row r="145" spans="2:14" ht="9.75" customHeight="1" x14ac:dyDescent="0.2">
      <c r="B145" s="38"/>
      <c r="C145" s="279" t="str">
        <f>"0:"</f>
        <v>0:</v>
      </c>
      <c r="D145" s="278" t="s">
        <v>918</v>
      </c>
      <c r="E145" s="40"/>
      <c r="F145" s="40"/>
      <c r="G145" s="40"/>
      <c r="H145" s="40"/>
      <c r="I145" s="40"/>
      <c r="J145" s="40"/>
      <c r="K145" s="41"/>
    </row>
    <row r="146" spans="2:14" ht="9.75" customHeight="1" x14ac:dyDescent="0.2">
      <c r="B146" s="38"/>
      <c r="C146" s="280" t="str">
        <f>"1:"</f>
        <v>1:</v>
      </c>
      <c r="D146" s="278" t="s">
        <v>923</v>
      </c>
      <c r="E146" s="40"/>
      <c r="F146" s="40"/>
      <c r="G146" s="40"/>
      <c r="H146" s="40"/>
      <c r="I146" s="40"/>
      <c r="J146" s="40"/>
      <c r="K146" s="41"/>
    </row>
    <row r="147" spans="2:14" ht="9.75" customHeight="1" x14ac:dyDescent="0.2">
      <c r="B147" s="38"/>
      <c r="C147" s="280" t="str">
        <f>"2:"</f>
        <v>2:</v>
      </c>
      <c r="D147" s="278" t="s">
        <v>924</v>
      </c>
      <c r="E147" s="40"/>
      <c r="F147" s="40"/>
      <c r="G147" s="40"/>
      <c r="H147" s="40"/>
      <c r="I147" s="40"/>
      <c r="J147" s="40"/>
      <c r="K147" s="41"/>
    </row>
    <row r="148" spans="2:14" ht="9.75" customHeight="1" x14ac:dyDescent="0.2">
      <c r="B148" s="38"/>
      <c r="C148" s="280" t="str">
        <f>"3:"</f>
        <v>3:</v>
      </c>
      <c r="D148" s="278" t="s">
        <v>925</v>
      </c>
      <c r="E148" s="40"/>
      <c r="F148" s="40"/>
      <c r="G148" s="40"/>
      <c r="H148" s="40"/>
      <c r="I148" s="40"/>
      <c r="J148" s="40"/>
      <c r="K148" s="41"/>
    </row>
    <row r="149" spans="2:14" ht="9.75" customHeight="1" x14ac:dyDescent="0.2">
      <c r="B149" s="38"/>
      <c r="C149" s="280" t="str">
        <f>"4:"</f>
        <v>4:</v>
      </c>
      <c r="D149" s="278" t="s">
        <v>926</v>
      </c>
      <c r="E149" s="40"/>
      <c r="F149" s="40"/>
      <c r="G149" s="40"/>
      <c r="H149" s="40"/>
      <c r="I149" s="40"/>
      <c r="J149" s="40"/>
      <c r="K149" s="41"/>
      <c r="N149" s="12" t="s">
        <v>661</v>
      </c>
    </row>
    <row r="150" spans="2:14" x14ac:dyDescent="0.2">
      <c r="B150" s="38"/>
      <c r="C150" s="174" t="s">
        <v>662</v>
      </c>
      <c r="D150" s="40"/>
      <c r="E150" s="40"/>
      <c r="F150" s="40"/>
      <c r="G150" s="40"/>
      <c r="H150" s="40"/>
      <c r="I150" s="40"/>
      <c r="J150" s="265" t="s">
        <v>661</v>
      </c>
      <c r="K150" s="41"/>
      <c r="N150" s="12" t="s">
        <v>894</v>
      </c>
    </row>
    <row r="151" spans="2:14" x14ac:dyDescent="0.2">
      <c r="B151" s="38"/>
      <c r="C151" s="174" t="s">
        <v>660</v>
      </c>
      <c r="D151" s="40"/>
      <c r="E151" s="40"/>
      <c r="F151" s="40"/>
      <c r="G151" s="40"/>
      <c r="H151" s="40"/>
      <c r="I151" s="40"/>
      <c r="J151" s="246" t="str">
        <f>IF(J150=N149,"N/A",IF(J150=N150,0,IF(J150=N151,1,IF(J150=N152,2,IF(J150=N153,3,IF(J150=N154,4,"N/A"))))))</f>
        <v>N/A</v>
      </c>
      <c r="K151" s="41"/>
      <c r="N151" s="12" t="s">
        <v>899</v>
      </c>
    </row>
    <row r="152" spans="2:14" x14ac:dyDescent="0.2">
      <c r="B152" s="38"/>
      <c r="C152" s="40" t="s">
        <v>257</v>
      </c>
      <c r="D152" s="40"/>
      <c r="E152" s="40"/>
      <c r="F152" s="40"/>
      <c r="G152" s="40"/>
      <c r="H152" s="40"/>
      <c r="I152" s="40"/>
      <c r="J152" s="266" t="s">
        <v>874</v>
      </c>
      <c r="K152" s="41"/>
      <c r="N152" s="12" t="s">
        <v>900</v>
      </c>
    </row>
    <row r="153" spans="2:14" x14ac:dyDescent="0.2">
      <c r="B153" s="38"/>
      <c r="C153" s="40" t="s">
        <v>261</v>
      </c>
      <c r="D153" s="40"/>
      <c r="E153" s="40"/>
      <c r="F153" s="40"/>
      <c r="G153" s="40"/>
      <c r="H153" s="40"/>
      <c r="I153" s="40"/>
      <c r="J153" s="248">
        <f>IF(J152=$B$973,$A$973,IF(J152=$B$974,$A$974,IF(J152=$B$975,$A$975,IF(J152=$B$976,$A$976,IF(J152=$B$977,$A$977,"Not Calculated")))))</f>
        <v>4</v>
      </c>
      <c r="K153" s="41"/>
      <c r="N153" s="12" t="s">
        <v>901</v>
      </c>
    </row>
    <row r="154" spans="2:14" x14ac:dyDescent="0.2">
      <c r="B154" s="38"/>
      <c r="C154" s="40" t="s">
        <v>893</v>
      </c>
      <c r="D154" s="40"/>
      <c r="E154" s="40"/>
      <c r="F154" s="40"/>
      <c r="G154" s="40"/>
      <c r="H154" s="40"/>
      <c r="I154" s="40"/>
      <c r="J154" s="40"/>
      <c r="K154" s="41"/>
      <c r="N154" s="12" t="s">
        <v>902</v>
      </c>
    </row>
    <row r="155" spans="2:14" ht="30" customHeight="1" x14ac:dyDescent="0.2">
      <c r="B155" s="38"/>
      <c r="C155" s="399"/>
      <c r="D155" s="400"/>
      <c r="E155" s="400"/>
      <c r="F155" s="400"/>
      <c r="G155" s="400"/>
      <c r="H155" s="400"/>
      <c r="I155" s="400"/>
      <c r="J155" s="401"/>
      <c r="K155" s="41"/>
    </row>
    <row r="156" spans="2:14" x14ac:dyDescent="0.2">
      <c r="B156" s="38"/>
      <c r="C156" s="40"/>
      <c r="D156" s="40"/>
      <c r="E156" s="40"/>
      <c r="F156" s="40"/>
      <c r="G156" s="40"/>
      <c r="H156" s="40"/>
      <c r="I156" s="40"/>
      <c r="J156" s="40"/>
      <c r="K156" s="41"/>
    </row>
    <row r="157" spans="2:14" x14ac:dyDescent="0.2">
      <c r="B157" s="38"/>
      <c r="C157" s="179" t="s">
        <v>271</v>
      </c>
      <c r="D157" s="40"/>
      <c r="E157" s="40"/>
      <c r="F157" s="40"/>
      <c r="G157" s="40"/>
      <c r="H157" s="40"/>
      <c r="I157" s="40"/>
      <c r="J157" s="245" t="str">
        <f>IF(J151="N/A",IF(OR(J144="Not Calculated",J153="Not Calculated")=TRUE,"Not Calculated",AVERAGE(J144,J153)),AVERAGE(J151,J153))</f>
        <v>Not Calculated</v>
      </c>
      <c r="K157" s="41"/>
    </row>
    <row r="158" spans="2:14" x14ac:dyDescent="0.2">
      <c r="B158" s="38"/>
      <c r="C158" s="40"/>
      <c r="D158" s="40"/>
      <c r="E158" s="40"/>
      <c r="F158" s="40"/>
      <c r="G158" s="40"/>
      <c r="H158" s="40"/>
      <c r="I158" s="40"/>
      <c r="J158" s="40"/>
      <c r="K158" s="41"/>
    </row>
    <row r="159" spans="2:14" x14ac:dyDescent="0.2">
      <c r="B159" s="38"/>
      <c r="C159" s="40"/>
      <c r="D159" s="40"/>
      <c r="E159" s="40"/>
      <c r="F159" s="40"/>
      <c r="G159" s="40"/>
      <c r="H159" s="40"/>
      <c r="I159" s="40"/>
      <c r="J159" s="40"/>
      <c r="K159" s="41"/>
    </row>
    <row r="160" spans="2:14" ht="16" x14ac:dyDescent="0.2">
      <c r="B160" s="38"/>
      <c r="C160" s="45" t="s">
        <v>273</v>
      </c>
      <c r="D160" s="40"/>
      <c r="E160" s="40"/>
      <c r="F160" s="40"/>
      <c r="G160" s="40"/>
      <c r="H160" s="40"/>
      <c r="I160" s="40"/>
      <c r="J160" s="40"/>
      <c r="K160" s="41"/>
    </row>
    <row r="161" spans="2:14" x14ac:dyDescent="0.2">
      <c r="B161" s="38"/>
      <c r="C161" s="40" t="s">
        <v>441</v>
      </c>
      <c r="D161" s="40"/>
      <c r="E161" s="40"/>
      <c r="F161" s="40"/>
      <c r="G161" s="40"/>
      <c r="H161" s="40"/>
      <c r="I161" s="40"/>
      <c r="J161" s="252">
        <f>'Baseline Health'!G51</f>
        <v>0</v>
      </c>
      <c r="K161" s="41"/>
    </row>
    <row r="162" spans="2:14" x14ac:dyDescent="0.2">
      <c r="B162" s="38"/>
      <c r="C162" s="40" t="s">
        <v>280</v>
      </c>
      <c r="D162" s="40"/>
      <c r="E162" s="40"/>
      <c r="F162" s="40"/>
      <c r="G162" s="40"/>
      <c r="H162" s="40"/>
      <c r="I162" s="40"/>
      <c r="J162" s="264">
        <v>0</v>
      </c>
      <c r="K162" s="41"/>
    </row>
    <row r="163" spans="2:14" x14ac:dyDescent="0.2">
      <c r="B163" s="38"/>
      <c r="C163" s="40" t="s">
        <v>442</v>
      </c>
      <c r="D163" s="40"/>
      <c r="E163" s="40"/>
      <c r="F163" s="40"/>
      <c r="G163" s="40"/>
      <c r="H163" s="40"/>
      <c r="I163" s="40"/>
      <c r="J163" s="255">
        <f>(J64)/4.5</f>
        <v>0</v>
      </c>
      <c r="K163" s="41"/>
    </row>
    <row r="164" spans="2:14" x14ac:dyDescent="0.2">
      <c r="B164" s="38"/>
      <c r="C164" s="40"/>
      <c r="D164" s="40" t="s">
        <v>353</v>
      </c>
      <c r="E164" s="40"/>
      <c r="F164" s="40"/>
      <c r="G164" s="40"/>
      <c r="H164" s="40"/>
      <c r="I164" s="40"/>
      <c r="J164" s="40"/>
      <c r="K164" s="41"/>
    </row>
    <row r="165" spans="2:14" x14ac:dyDescent="0.2">
      <c r="B165" s="38"/>
      <c r="C165" s="40" t="s">
        <v>260</v>
      </c>
      <c r="D165" s="40"/>
      <c r="E165" s="40"/>
      <c r="F165" s="40"/>
      <c r="G165" s="40"/>
      <c r="H165" s="40"/>
      <c r="I165" s="40"/>
      <c r="J165" s="245" t="str">
        <f>IF(OR(J161=0,J161="Not Calculated")=TRUE,"Not Calculated",IF((J161-J162)&lt;=0,4,IF(((J161+J163)/(J161-J162))&lt;=1,0,IF(((J161+J163)/(J161-J162))&lt;=1.05,1,IF(((J161+J163)/(J161-J162))&lt;=1.5, 2,IF(((J161+J163)/(J161-J162))&lt;=2,3,4))))))</f>
        <v>Not Calculated</v>
      </c>
      <c r="K165" s="41"/>
    </row>
    <row r="166" spans="2:14" ht="9.75" customHeight="1" x14ac:dyDescent="0.2">
      <c r="B166" s="38"/>
      <c r="C166" s="279" t="str">
        <f>"0:"</f>
        <v>0:</v>
      </c>
      <c r="D166" s="278" t="s">
        <v>918</v>
      </c>
      <c r="E166" s="40"/>
      <c r="F166" s="40"/>
      <c r="G166" s="40"/>
      <c r="H166" s="40"/>
      <c r="I166" s="40"/>
      <c r="J166" s="40"/>
      <c r="K166" s="41"/>
    </row>
    <row r="167" spans="2:14" ht="9.75" customHeight="1" x14ac:dyDescent="0.2">
      <c r="B167" s="38"/>
      <c r="C167" s="280" t="str">
        <f>"1:"</f>
        <v>1:</v>
      </c>
      <c r="D167" s="278" t="s">
        <v>923</v>
      </c>
      <c r="E167" s="40"/>
      <c r="F167" s="40"/>
      <c r="G167" s="40"/>
      <c r="H167" s="40"/>
      <c r="I167" s="40"/>
      <c r="J167" s="40"/>
      <c r="K167" s="41"/>
    </row>
    <row r="168" spans="2:14" ht="9.75" customHeight="1" x14ac:dyDescent="0.2">
      <c r="B168" s="38"/>
      <c r="C168" s="280" t="str">
        <f>"2:"</f>
        <v>2:</v>
      </c>
      <c r="D168" s="278" t="s">
        <v>924</v>
      </c>
      <c r="E168" s="40"/>
      <c r="F168" s="40"/>
      <c r="G168" s="40"/>
      <c r="H168" s="40"/>
      <c r="I168" s="40"/>
      <c r="J168" s="40"/>
      <c r="K168" s="41"/>
    </row>
    <row r="169" spans="2:14" ht="9.75" customHeight="1" x14ac:dyDescent="0.2">
      <c r="B169" s="38"/>
      <c r="C169" s="280" t="str">
        <f>"3:"</f>
        <v>3:</v>
      </c>
      <c r="D169" s="278" t="s">
        <v>925</v>
      </c>
      <c r="E169" s="40"/>
      <c r="F169" s="40"/>
      <c r="G169" s="40"/>
      <c r="H169" s="40"/>
      <c r="I169" s="40"/>
      <c r="J169" s="40"/>
      <c r="K169" s="41"/>
    </row>
    <row r="170" spans="2:14" ht="9.75" customHeight="1" x14ac:dyDescent="0.2">
      <c r="B170" s="38"/>
      <c r="C170" s="280" t="str">
        <f>"4:"</f>
        <v>4:</v>
      </c>
      <c r="D170" s="278" t="s">
        <v>926</v>
      </c>
      <c r="E170" s="40"/>
      <c r="F170" s="40"/>
      <c r="G170" s="40"/>
      <c r="H170" s="40"/>
      <c r="I170" s="40"/>
      <c r="J170" s="40"/>
      <c r="K170" s="41"/>
      <c r="N170" s="12" t="s">
        <v>661</v>
      </c>
    </row>
    <row r="171" spans="2:14" x14ac:dyDescent="0.2">
      <c r="B171" s="38"/>
      <c r="C171" s="174" t="s">
        <v>662</v>
      </c>
      <c r="D171" s="40"/>
      <c r="E171" s="40"/>
      <c r="F171" s="40"/>
      <c r="G171" s="40"/>
      <c r="H171" s="40"/>
      <c r="I171" s="40"/>
      <c r="J171" s="265" t="s">
        <v>661</v>
      </c>
      <c r="K171" s="41"/>
      <c r="N171" s="12" t="s">
        <v>894</v>
      </c>
    </row>
    <row r="172" spans="2:14" x14ac:dyDescent="0.2">
      <c r="B172" s="38"/>
      <c r="C172" s="174" t="s">
        <v>660</v>
      </c>
      <c r="D172" s="40"/>
      <c r="E172" s="40"/>
      <c r="F172" s="40"/>
      <c r="G172" s="40"/>
      <c r="H172" s="40"/>
      <c r="I172" s="40"/>
      <c r="J172" s="246" t="str">
        <f>IF(J171=N170,"N/A",IF(J171=N171,0,IF(J171=N172,1,IF(J171=N173,2,IF(J171=N174,3,IF(J171=N175,4,"N/A"))))))</f>
        <v>N/A</v>
      </c>
      <c r="K172" s="41"/>
      <c r="N172" s="12" t="s">
        <v>899</v>
      </c>
    </row>
    <row r="173" spans="2:14" x14ac:dyDescent="0.2">
      <c r="B173" s="38"/>
      <c r="C173" s="40" t="s">
        <v>257</v>
      </c>
      <c r="D173" s="40"/>
      <c r="E173" s="40"/>
      <c r="F173" s="40"/>
      <c r="G173" s="40"/>
      <c r="H173" s="40"/>
      <c r="I173" s="40"/>
      <c r="J173" s="266" t="s">
        <v>870</v>
      </c>
      <c r="K173" s="41"/>
      <c r="N173" s="12" t="s">
        <v>900</v>
      </c>
    </row>
    <row r="174" spans="2:14" x14ac:dyDescent="0.2">
      <c r="B174" s="38"/>
      <c r="C174" s="40" t="s">
        <v>261</v>
      </c>
      <c r="D174" s="40"/>
      <c r="E174" s="40"/>
      <c r="F174" s="40"/>
      <c r="G174" s="40"/>
      <c r="H174" s="40"/>
      <c r="I174" s="40"/>
      <c r="J174" s="248">
        <f>IF(J173=$B$973,$A$973,IF(J173=$B$974,$A$974,IF(J173=$B$975,$A$975,IF(J173=$B$976,$A$976,IF(J173=$B$977,$A$977,"Not Calculated")))))</f>
        <v>0</v>
      </c>
      <c r="K174" s="41"/>
      <c r="N174" s="12" t="s">
        <v>901</v>
      </c>
    </row>
    <row r="175" spans="2:14" x14ac:dyDescent="0.2">
      <c r="B175" s="38"/>
      <c r="C175" s="40" t="s">
        <v>893</v>
      </c>
      <c r="D175" s="40"/>
      <c r="E175" s="40"/>
      <c r="F175" s="40"/>
      <c r="G175" s="40"/>
      <c r="H175" s="40"/>
      <c r="I175" s="40"/>
      <c r="J175" s="40"/>
      <c r="K175" s="41"/>
      <c r="N175" s="12" t="s">
        <v>902</v>
      </c>
    </row>
    <row r="176" spans="2:14" ht="30" customHeight="1" x14ac:dyDescent="0.2">
      <c r="B176" s="38"/>
      <c r="C176" s="399"/>
      <c r="D176" s="400"/>
      <c r="E176" s="400"/>
      <c r="F176" s="400"/>
      <c r="G176" s="400"/>
      <c r="H176" s="400"/>
      <c r="I176" s="400"/>
      <c r="J176" s="401"/>
      <c r="K176" s="41"/>
    </row>
    <row r="177" spans="2:14" x14ac:dyDescent="0.2">
      <c r="B177" s="38"/>
      <c r="C177" s="40"/>
      <c r="D177" s="40"/>
      <c r="E177" s="40"/>
      <c r="F177" s="40"/>
      <c r="G177" s="40"/>
      <c r="H177" s="40"/>
      <c r="I177" s="40"/>
      <c r="J177" s="40"/>
      <c r="K177" s="41"/>
    </row>
    <row r="178" spans="2:14" x14ac:dyDescent="0.2">
      <c r="B178" s="38"/>
      <c r="C178" s="179" t="s">
        <v>274</v>
      </c>
      <c r="D178" s="40"/>
      <c r="E178" s="40"/>
      <c r="F178" s="40"/>
      <c r="G178" s="40"/>
      <c r="H178" s="40"/>
      <c r="I178" s="40"/>
      <c r="J178" s="245" t="str">
        <f>IF(J172="N/A",IF(OR(J165="Not Calculated",J174="Not Calculated")=TRUE,"Not Calculated",AVERAGE(J165,J174)),AVERAGE(J172,J174))</f>
        <v>Not Calculated</v>
      </c>
      <c r="K178" s="41"/>
    </row>
    <row r="179" spans="2:14" x14ac:dyDescent="0.2">
      <c r="B179" s="38"/>
      <c r="C179" s="40"/>
      <c r="D179" s="40"/>
      <c r="E179" s="40"/>
      <c r="F179" s="40"/>
      <c r="G179" s="40"/>
      <c r="H179" s="40"/>
      <c r="I179" s="40"/>
      <c r="J179" s="40"/>
      <c r="K179" s="41"/>
    </row>
    <row r="180" spans="2:14" x14ac:dyDescent="0.2">
      <c r="B180" s="38"/>
      <c r="C180" s="40"/>
      <c r="D180" s="40"/>
      <c r="E180" s="40"/>
      <c r="F180" s="40"/>
      <c r="G180" s="40"/>
      <c r="H180" s="40"/>
      <c r="I180" s="40"/>
      <c r="J180" s="40"/>
      <c r="K180" s="41"/>
    </row>
    <row r="181" spans="2:14" ht="16" x14ac:dyDescent="0.2">
      <c r="B181" s="38"/>
      <c r="C181" s="45" t="s">
        <v>74</v>
      </c>
      <c r="D181" s="40"/>
      <c r="E181" s="40"/>
      <c r="F181" s="40"/>
      <c r="G181" s="40"/>
      <c r="H181" s="40"/>
      <c r="I181" s="40"/>
      <c r="J181" s="40"/>
      <c r="K181" s="41"/>
    </row>
    <row r="182" spans="2:14" x14ac:dyDescent="0.2">
      <c r="B182" s="38"/>
      <c r="C182" s="40" t="s">
        <v>443</v>
      </c>
      <c r="D182" s="40"/>
      <c r="E182" s="40"/>
      <c r="F182" s="40"/>
      <c r="G182" s="40"/>
      <c r="H182" s="40"/>
      <c r="I182" s="40"/>
      <c r="J182" s="252">
        <f>'Baseline Health'!G59</f>
        <v>0</v>
      </c>
      <c r="K182" s="41"/>
    </row>
    <row r="183" spans="2:14" x14ac:dyDescent="0.2">
      <c r="B183" s="38"/>
      <c r="C183" s="40" t="s">
        <v>281</v>
      </c>
      <c r="D183" s="40"/>
      <c r="E183" s="40"/>
      <c r="F183" s="40"/>
      <c r="G183" s="40"/>
      <c r="H183" s="40"/>
      <c r="I183" s="40"/>
      <c r="J183" s="264">
        <v>0</v>
      </c>
      <c r="K183" s="41"/>
    </row>
    <row r="184" spans="2:14" x14ac:dyDescent="0.2">
      <c r="B184" s="38"/>
      <c r="C184" s="40" t="s">
        <v>354</v>
      </c>
      <c r="D184" s="40"/>
      <c r="E184" s="40"/>
      <c r="F184" s="40"/>
      <c r="G184" s="40"/>
      <c r="H184" s="40"/>
      <c r="I184" s="40"/>
      <c r="J184" s="264">
        <v>0</v>
      </c>
      <c r="K184" s="41"/>
    </row>
    <row r="185" spans="2:14" x14ac:dyDescent="0.2">
      <c r="B185" s="38"/>
      <c r="C185" s="40" t="s">
        <v>260</v>
      </c>
      <c r="D185" s="40"/>
      <c r="E185" s="40"/>
      <c r="F185" s="40"/>
      <c r="G185" s="40"/>
      <c r="H185" s="40"/>
      <c r="I185" s="40"/>
      <c r="J185" s="248" t="str">
        <f>IF(OR(J182=0,J182="Not Calculated")=TRUE,"Not Calculated",IF(J182-J183=0,4,IF(((J182+J184)/(J182-J183))&lt;=1,0,IF(((J182+J184)/(J182-J183))&lt;=1.05,1,IF(((J182+J184)/(J182-J183))&lt;=1.5, 2,IF(((J182+J184)/(J182-J183))&lt;=2,3,4))))))</f>
        <v>Not Calculated</v>
      </c>
      <c r="K185" s="41"/>
    </row>
    <row r="186" spans="2:14" ht="9.75" customHeight="1" x14ac:dyDescent="0.2">
      <c r="B186" s="38"/>
      <c r="C186" s="279" t="str">
        <f>"0:"</f>
        <v>0:</v>
      </c>
      <c r="D186" s="278" t="s">
        <v>918</v>
      </c>
      <c r="E186" s="40"/>
      <c r="F186" s="40"/>
      <c r="G186" s="40"/>
      <c r="H186" s="40"/>
      <c r="I186" s="40"/>
      <c r="J186" s="40"/>
      <c r="K186" s="41"/>
    </row>
    <row r="187" spans="2:14" ht="9.75" customHeight="1" x14ac:dyDescent="0.2">
      <c r="B187" s="38"/>
      <c r="C187" s="280" t="str">
        <f>"1:"</f>
        <v>1:</v>
      </c>
      <c r="D187" s="278" t="s">
        <v>923</v>
      </c>
      <c r="E187" s="40"/>
      <c r="F187" s="40"/>
      <c r="G187" s="40"/>
      <c r="H187" s="40"/>
      <c r="I187" s="40"/>
      <c r="J187" s="40"/>
      <c r="K187" s="41"/>
    </row>
    <row r="188" spans="2:14" ht="9.75" customHeight="1" x14ac:dyDescent="0.2">
      <c r="B188" s="38"/>
      <c r="C188" s="280" t="str">
        <f>"2:"</f>
        <v>2:</v>
      </c>
      <c r="D188" s="278" t="s">
        <v>924</v>
      </c>
      <c r="E188" s="40"/>
      <c r="F188" s="40"/>
      <c r="G188" s="40"/>
      <c r="H188" s="40"/>
      <c r="I188" s="40"/>
      <c r="J188" s="40"/>
      <c r="K188" s="41"/>
    </row>
    <row r="189" spans="2:14" ht="9.75" customHeight="1" x14ac:dyDescent="0.2">
      <c r="B189" s="38"/>
      <c r="C189" s="280" t="str">
        <f>"3:"</f>
        <v>3:</v>
      </c>
      <c r="D189" s="278" t="s">
        <v>925</v>
      </c>
      <c r="E189" s="40"/>
      <c r="F189" s="40"/>
      <c r="G189" s="40"/>
      <c r="H189" s="40"/>
      <c r="I189" s="40"/>
      <c r="J189" s="40"/>
      <c r="K189" s="41"/>
    </row>
    <row r="190" spans="2:14" ht="9.75" customHeight="1" x14ac:dyDescent="0.2">
      <c r="B190" s="38"/>
      <c r="C190" s="280" t="str">
        <f>"4:"</f>
        <v>4:</v>
      </c>
      <c r="D190" s="278" t="s">
        <v>926</v>
      </c>
      <c r="E190" s="40"/>
      <c r="F190" s="40"/>
      <c r="G190" s="40"/>
      <c r="H190" s="40"/>
      <c r="I190" s="40"/>
      <c r="J190" s="40"/>
      <c r="K190" s="41"/>
      <c r="N190" s="12" t="s">
        <v>661</v>
      </c>
    </row>
    <row r="191" spans="2:14" x14ac:dyDescent="0.2">
      <c r="B191" s="38"/>
      <c r="C191" s="174" t="s">
        <v>662</v>
      </c>
      <c r="D191" s="40"/>
      <c r="E191" s="40"/>
      <c r="F191" s="40"/>
      <c r="G191" s="40"/>
      <c r="H191" s="40"/>
      <c r="I191" s="40"/>
      <c r="J191" s="265" t="s">
        <v>661</v>
      </c>
      <c r="K191" s="41"/>
      <c r="N191" s="12" t="s">
        <v>894</v>
      </c>
    </row>
    <row r="192" spans="2:14" x14ac:dyDescent="0.2">
      <c r="B192" s="38"/>
      <c r="C192" s="174" t="s">
        <v>660</v>
      </c>
      <c r="D192" s="40"/>
      <c r="E192" s="40"/>
      <c r="F192" s="40"/>
      <c r="G192" s="40"/>
      <c r="H192" s="40"/>
      <c r="I192" s="40"/>
      <c r="J192" s="246" t="str">
        <f>IF(J191=N190,"N/A",IF(J191=N191,0,IF(J191=N192,1,IF(J191=N193,2,IF(J191=N194,3,IF(J191=N195,4,"N/A"))))))</f>
        <v>N/A</v>
      </c>
      <c r="K192" s="41"/>
      <c r="N192" s="12" t="s">
        <v>899</v>
      </c>
    </row>
    <row r="193" spans="2:14" x14ac:dyDescent="0.2">
      <c r="B193" s="38"/>
      <c r="C193" s="40" t="s">
        <v>257</v>
      </c>
      <c r="D193" s="40"/>
      <c r="E193" s="40"/>
      <c r="F193" s="40"/>
      <c r="G193" s="40"/>
      <c r="H193" s="40"/>
      <c r="I193" s="40"/>
      <c r="J193" s="266" t="s">
        <v>870</v>
      </c>
      <c r="K193" s="41"/>
      <c r="N193" s="12" t="s">
        <v>900</v>
      </c>
    </row>
    <row r="194" spans="2:14" x14ac:dyDescent="0.2">
      <c r="B194" s="38"/>
      <c r="C194" s="40" t="s">
        <v>261</v>
      </c>
      <c r="D194" s="40"/>
      <c r="E194" s="40"/>
      <c r="F194" s="40"/>
      <c r="G194" s="40"/>
      <c r="H194" s="40"/>
      <c r="I194" s="40"/>
      <c r="J194" s="248">
        <f>IF(J193=$B$973,$A$973,IF(J193=$B$974,$A$974,IF(J193=$B$975,$A$975,IF(J193=$B$976,$A$976,IF(J193=$B$977,$A$977,"Not Calculated")))))</f>
        <v>0</v>
      </c>
      <c r="K194" s="41"/>
      <c r="N194" s="12" t="s">
        <v>901</v>
      </c>
    </row>
    <row r="195" spans="2:14" x14ac:dyDescent="0.2">
      <c r="B195" s="38"/>
      <c r="C195" s="40" t="s">
        <v>893</v>
      </c>
      <c r="D195" s="40"/>
      <c r="E195" s="40"/>
      <c r="F195" s="40"/>
      <c r="G195" s="40"/>
      <c r="H195" s="40"/>
      <c r="I195" s="40"/>
      <c r="J195" s="40"/>
      <c r="K195" s="41"/>
      <c r="N195" s="12" t="s">
        <v>902</v>
      </c>
    </row>
    <row r="196" spans="2:14" ht="30" customHeight="1" x14ac:dyDescent="0.2">
      <c r="B196" s="38"/>
      <c r="C196" s="399"/>
      <c r="D196" s="400"/>
      <c r="E196" s="400"/>
      <c r="F196" s="400"/>
      <c r="G196" s="400"/>
      <c r="H196" s="400"/>
      <c r="I196" s="400"/>
      <c r="J196" s="401"/>
      <c r="K196" s="41"/>
    </row>
    <row r="197" spans="2:14" x14ac:dyDescent="0.2">
      <c r="B197" s="38"/>
      <c r="C197" s="40"/>
      <c r="D197" s="40"/>
      <c r="E197" s="40"/>
      <c r="F197" s="40"/>
      <c r="G197" s="40"/>
      <c r="H197" s="40"/>
      <c r="I197" s="40"/>
      <c r="J197" s="40"/>
      <c r="K197" s="41"/>
    </row>
    <row r="198" spans="2:14" x14ac:dyDescent="0.2">
      <c r="B198" s="38"/>
      <c r="C198" s="179" t="s">
        <v>275</v>
      </c>
      <c r="D198" s="40"/>
      <c r="E198" s="40"/>
      <c r="F198" s="40"/>
      <c r="G198" s="40"/>
      <c r="H198" s="40"/>
      <c r="I198" s="40"/>
      <c r="J198" s="245" t="str">
        <f>IF(J192="N/A",IF(OR(J185="Not Calculated",J194="Not Calculated")=TRUE,"Not Calculated",AVERAGE(J185,J194)),AVERAGE(J192,J194))</f>
        <v>Not Calculated</v>
      </c>
      <c r="K198" s="41"/>
    </row>
    <row r="199" spans="2:14" x14ac:dyDescent="0.2">
      <c r="B199" s="38"/>
      <c r="C199" s="40"/>
      <c r="D199" s="40"/>
      <c r="E199" s="40"/>
      <c r="F199" s="40"/>
      <c r="G199" s="40"/>
      <c r="H199" s="40"/>
      <c r="I199" s="40"/>
      <c r="J199" s="40"/>
      <c r="K199" s="41"/>
    </row>
    <row r="200" spans="2:14" x14ac:dyDescent="0.2">
      <c r="B200" s="38"/>
      <c r="C200" s="40"/>
      <c r="D200" s="40"/>
      <c r="E200" s="40"/>
      <c r="F200" s="40"/>
      <c r="G200" s="40"/>
      <c r="H200" s="40"/>
      <c r="I200" s="40"/>
      <c r="J200" s="40"/>
      <c r="K200" s="41"/>
    </row>
    <row r="201" spans="2:14" ht="16" x14ac:dyDescent="0.2">
      <c r="B201" s="38"/>
      <c r="C201" s="45" t="s">
        <v>75</v>
      </c>
      <c r="D201" s="40"/>
      <c r="E201" s="40"/>
      <c r="F201" s="40"/>
      <c r="G201" s="40"/>
      <c r="H201" s="40"/>
      <c r="I201" s="40"/>
      <c r="J201" s="40"/>
      <c r="K201" s="41"/>
    </row>
    <row r="202" spans="2:14" x14ac:dyDescent="0.2">
      <c r="B202" s="38"/>
      <c r="C202" s="40" t="s">
        <v>444</v>
      </c>
      <c r="D202" s="40"/>
      <c r="E202" s="40"/>
      <c r="F202" s="40"/>
      <c r="G202" s="40"/>
      <c r="H202" s="40"/>
      <c r="I202" s="40"/>
      <c r="J202" s="252">
        <f>'Baseline Health'!G65</f>
        <v>0</v>
      </c>
      <c r="K202" s="41"/>
    </row>
    <row r="203" spans="2:14" x14ac:dyDescent="0.2">
      <c r="B203" s="38"/>
      <c r="C203" s="40" t="s">
        <v>282</v>
      </c>
      <c r="D203" s="40"/>
      <c r="E203" s="40"/>
      <c r="F203" s="40"/>
      <c r="G203" s="40"/>
      <c r="H203" s="40"/>
      <c r="I203" s="40"/>
      <c r="J203" s="264">
        <v>0</v>
      </c>
      <c r="K203" s="41"/>
    </row>
    <row r="204" spans="2:14" x14ac:dyDescent="0.2">
      <c r="B204" s="38"/>
      <c r="C204" s="40" t="s">
        <v>355</v>
      </c>
      <c r="D204" s="40"/>
      <c r="E204" s="40"/>
      <c r="F204" s="40"/>
      <c r="G204" s="40"/>
      <c r="H204" s="40"/>
      <c r="I204" s="40"/>
      <c r="J204" s="264">
        <v>0</v>
      </c>
      <c r="K204" s="41"/>
    </row>
    <row r="205" spans="2:14" x14ac:dyDescent="0.2">
      <c r="B205" s="38"/>
      <c r="C205" s="40" t="s">
        <v>260</v>
      </c>
      <c r="D205" s="40"/>
      <c r="E205" s="40"/>
      <c r="F205" s="40"/>
      <c r="G205" s="40"/>
      <c r="H205" s="40"/>
      <c r="I205" s="40"/>
      <c r="J205" s="248" t="str">
        <f>IF(OR(J202=0,J202="Not Calculated")=TRUE,"Not Calculated",IF(J202-J203=0,4,IF(((J202+J204)/(J202-J203))&lt;=1,0,IF(((J202+J204)/(J202-J203))&lt;=1.05,1,IF(((J202+J204)/(J202-J203))&lt;=1.5, 2,IF(((J202+J204)/(J202-J203))&lt;=2,3,4))))))</f>
        <v>Not Calculated</v>
      </c>
      <c r="K205" s="41"/>
    </row>
    <row r="206" spans="2:14" ht="9.75" customHeight="1" x14ac:dyDescent="0.2">
      <c r="B206" s="38"/>
      <c r="C206" s="279" t="str">
        <f>"0:"</f>
        <v>0:</v>
      </c>
      <c r="D206" s="278" t="s">
        <v>918</v>
      </c>
      <c r="E206" s="40"/>
      <c r="F206" s="40"/>
      <c r="G206" s="40"/>
      <c r="H206" s="40"/>
      <c r="I206" s="40"/>
      <c r="J206" s="40"/>
      <c r="K206" s="41"/>
    </row>
    <row r="207" spans="2:14" ht="9.75" customHeight="1" x14ac:dyDescent="0.2">
      <c r="B207" s="38"/>
      <c r="C207" s="280" t="str">
        <f>"1:"</f>
        <v>1:</v>
      </c>
      <c r="D207" s="278" t="s">
        <v>923</v>
      </c>
      <c r="E207" s="40"/>
      <c r="F207" s="40"/>
      <c r="G207" s="40"/>
      <c r="H207" s="40"/>
      <c r="I207" s="40"/>
      <c r="J207" s="40"/>
      <c r="K207" s="41"/>
    </row>
    <row r="208" spans="2:14" ht="9.75" customHeight="1" x14ac:dyDescent="0.2">
      <c r="B208" s="38"/>
      <c r="C208" s="280" t="str">
        <f>"2:"</f>
        <v>2:</v>
      </c>
      <c r="D208" s="278" t="s">
        <v>924</v>
      </c>
      <c r="E208" s="40"/>
      <c r="F208" s="40"/>
      <c r="G208" s="40"/>
      <c r="H208" s="40"/>
      <c r="I208" s="40"/>
      <c r="J208" s="40"/>
      <c r="K208" s="41"/>
    </row>
    <row r="209" spans="2:14" ht="9.75" customHeight="1" x14ac:dyDescent="0.2">
      <c r="B209" s="38"/>
      <c r="C209" s="280" t="str">
        <f>"3:"</f>
        <v>3:</v>
      </c>
      <c r="D209" s="278" t="s">
        <v>925</v>
      </c>
      <c r="E209" s="40"/>
      <c r="F209" s="40"/>
      <c r="G209" s="40"/>
      <c r="H209" s="40"/>
      <c r="I209" s="40"/>
      <c r="J209" s="40"/>
      <c r="K209" s="41"/>
    </row>
    <row r="210" spans="2:14" ht="9.75" customHeight="1" x14ac:dyDescent="0.2">
      <c r="B210" s="38"/>
      <c r="C210" s="280" t="str">
        <f>"4:"</f>
        <v>4:</v>
      </c>
      <c r="D210" s="278" t="s">
        <v>926</v>
      </c>
      <c r="E210" s="40"/>
      <c r="F210" s="40"/>
      <c r="G210" s="40"/>
      <c r="H210" s="40"/>
      <c r="I210" s="40"/>
      <c r="J210" s="40"/>
      <c r="K210" s="41"/>
      <c r="N210" s="12" t="s">
        <v>661</v>
      </c>
    </row>
    <row r="211" spans="2:14" x14ac:dyDescent="0.2">
      <c r="B211" s="38"/>
      <c r="C211" s="174" t="s">
        <v>662</v>
      </c>
      <c r="D211" s="40"/>
      <c r="E211" s="40"/>
      <c r="F211" s="40"/>
      <c r="G211" s="40"/>
      <c r="H211" s="40"/>
      <c r="I211" s="40"/>
      <c r="J211" s="265" t="s">
        <v>661</v>
      </c>
      <c r="K211" s="41"/>
      <c r="N211" s="12" t="s">
        <v>894</v>
      </c>
    </row>
    <row r="212" spans="2:14" x14ac:dyDescent="0.2">
      <c r="B212" s="38"/>
      <c r="C212" s="174" t="s">
        <v>660</v>
      </c>
      <c r="D212" s="40"/>
      <c r="E212" s="40"/>
      <c r="F212" s="40"/>
      <c r="G212" s="40"/>
      <c r="H212" s="40"/>
      <c r="I212" s="40"/>
      <c r="J212" s="246" t="str">
        <f>IF(J211=N210,"N/A",IF(J211=N211,0,IF(J211=N212,1,IF(J211=N213,2,IF(J211=N214,3,IF(J211=N215,4,"N/A"))))))</f>
        <v>N/A</v>
      </c>
      <c r="K212" s="41"/>
      <c r="N212" s="12" t="s">
        <v>899</v>
      </c>
    </row>
    <row r="213" spans="2:14" x14ac:dyDescent="0.2">
      <c r="B213" s="38"/>
      <c r="C213" s="40" t="s">
        <v>257</v>
      </c>
      <c r="D213" s="40"/>
      <c r="E213" s="40"/>
      <c r="F213" s="40"/>
      <c r="G213" s="40"/>
      <c r="H213" s="40"/>
      <c r="I213" s="40"/>
      <c r="J213" s="266" t="s">
        <v>870</v>
      </c>
      <c r="K213" s="41"/>
      <c r="N213" s="12" t="s">
        <v>900</v>
      </c>
    </row>
    <row r="214" spans="2:14" x14ac:dyDescent="0.2">
      <c r="B214" s="38"/>
      <c r="C214" s="40" t="s">
        <v>261</v>
      </c>
      <c r="D214" s="40"/>
      <c r="E214" s="40"/>
      <c r="F214" s="40"/>
      <c r="G214" s="40"/>
      <c r="H214" s="40"/>
      <c r="I214" s="40"/>
      <c r="J214" s="248">
        <f>IF(J213=$B$973,$A$973,IF(J213=$B$974,$A$974,IF(J213=$B$975,$A$975,IF(J213=$B$976,$A$976,IF(J213=$B$977,$A$977,"Not Calculated")))))</f>
        <v>0</v>
      </c>
      <c r="K214" s="41"/>
      <c r="N214" s="12" t="s">
        <v>901</v>
      </c>
    </row>
    <row r="215" spans="2:14" x14ac:dyDescent="0.2">
      <c r="B215" s="38"/>
      <c r="C215" s="40" t="s">
        <v>893</v>
      </c>
      <c r="D215" s="40"/>
      <c r="E215" s="40"/>
      <c r="F215" s="40"/>
      <c r="G215" s="40"/>
      <c r="H215" s="40"/>
      <c r="I215" s="40"/>
      <c r="J215" s="40"/>
      <c r="K215" s="41"/>
      <c r="N215" s="12" t="s">
        <v>902</v>
      </c>
    </row>
    <row r="216" spans="2:14" ht="30" customHeight="1" x14ac:dyDescent="0.2">
      <c r="B216" s="38"/>
      <c r="C216" s="399"/>
      <c r="D216" s="400"/>
      <c r="E216" s="400"/>
      <c r="F216" s="400"/>
      <c r="G216" s="400"/>
      <c r="H216" s="400"/>
      <c r="I216" s="400"/>
      <c r="J216" s="401"/>
      <c r="K216" s="41"/>
    </row>
    <row r="217" spans="2:14" x14ac:dyDescent="0.2">
      <c r="B217" s="38"/>
      <c r="C217" s="40"/>
      <c r="D217" s="40"/>
      <c r="E217" s="40"/>
      <c r="F217" s="40"/>
      <c r="G217" s="40"/>
      <c r="H217" s="40"/>
      <c r="I217" s="40"/>
      <c r="J217" s="40"/>
      <c r="K217" s="41"/>
    </row>
    <row r="218" spans="2:14" x14ac:dyDescent="0.2">
      <c r="B218" s="38"/>
      <c r="C218" s="179" t="s">
        <v>276</v>
      </c>
      <c r="D218" s="40"/>
      <c r="E218" s="40"/>
      <c r="F218" s="40"/>
      <c r="G218" s="40"/>
      <c r="H218" s="40"/>
      <c r="I218" s="40"/>
      <c r="J218" s="245" t="str">
        <f>IF(J212="N/A",IF(OR(J205="Not Calculated",J214="Not Calculated")=TRUE,"Not Calculated",AVERAGE(J205,J214)),AVERAGE(J212,J214))</f>
        <v>Not Calculated</v>
      </c>
      <c r="K218" s="41"/>
    </row>
    <row r="219" spans="2:14" x14ac:dyDescent="0.2">
      <c r="B219" s="38"/>
      <c r="C219" s="40"/>
      <c r="D219" s="40"/>
      <c r="E219" s="40"/>
      <c r="F219" s="40"/>
      <c r="G219" s="40"/>
      <c r="H219" s="40"/>
      <c r="I219" s="40"/>
      <c r="J219" s="40"/>
      <c r="K219" s="41"/>
    </row>
    <row r="220" spans="2:14" x14ac:dyDescent="0.2">
      <c r="B220" s="38"/>
      <c r="C220" s="40"/>
      <c r="D220" s="40"/>
      <c r="E220" s="40"/>
      <c r="F220" s="40"/>
      <c r="G220" s="40"/>
      <c r="H220" s="40"/>
      <c r="I220" s="40"/>
      <c r="J220" s="40"/>
      <c r="K220" s="41"/>
    </row>
    <row r="221" spans="2:14" ht="16" x14ac:dyDescent="0.2">
      <c r="B221" s="38"/>
      <c r="C221" s="45" t="s">
        <v>76</v>
      </c>
      <c r="D221" s="40"/>
      <c r="E221" s="40"/>
      <c r="F221" s="40"/>
      <c r="G221" s="40"/>
      <c r="H221" s="40"/>
      <c r="I221" s="40"/>
      <c r="J221" s="40"/>
      <c r="K221" s="41"/>
    </row>
    <row r="222" spans="2:14" ht="15" customHeight="1" x14ac:dyDescent="0.2">
      <c r="B222" s="38"/>
      <c r="C222" s="40" t="s">
        <v>356</v>
      </c>
      <c r="D222" s="40"/>
      <c r="E222" s="40"/>
      <c r="F222" s="40"/>
      <c r="G222" s="40"/>
      <c r="H222" s="40"/>
      <c r="I222" s="40"/>
      <c r="J222" s="252">
        <f>'Baseline Health'!G71</f>
        <v>0</v>
      </c>
      <c r="K222" s="41"/>
    </row>
    <row r="223" spans="2:14" x14ac:dyDescent="0.2">
      <c r="B223" s="38"/>
      <c r="C223" s="40" t="s">
        <v>357</v>
      </c>
      <c r="D223" s="40"/>
      <c r="E223" s="40"/>
      <c r="F223" s="40"/>
      <c r="G223" s="40"/>
      <c r="H223" s="40"/>
      <c r="I223" s="40"/>
      <c r="J223" s="264">
        <v>0</v>
      </c>
      <c r="K223" s="41"/>
    </row>
    <row r="224" spans="2:14" x14ac:dyDescent="0.2">
      <c r="B224" s="38"/>
      <c r="C224" s="40" t="s">
        <v>445</v>
      </c>
      <c r="D224" s="40"/>
      <c r="E224" s="40"/>
      <c r="F224" s="40"/>
      <c r="G224" s="40"/>
      <c r="H224" s="40"/>
      <c r="I224" s="40"/>
      <c r="J224" s="255">
        <f>J102</f>
        <v>0</v>
      </c>
      <c r="K224" s="41"/>
    </row>
    <row r="225" spans="2:14" x14ac:dyDescent="0.2">
      <c r="B225" s="38"/>
      <c r="C225" s="40"/>
      <c r="D225" s="40" t="s">
        <v>446</v>
      </c>
      <c r="E225" s="40"/>
      <c r="F225" s="40"/>
      <c r="G225" s="40"/>
      <c r="H225" s="40"/>
      <c r="I225" s="40"/>
      <c r="J225" s="40"/>
      <c r="K225" s="41"/>
    </row>
    <row r="226" spans="2:14" x14ac:dyDescent="0.2">
      <c r="B226" s="38"/>
      <c r="C226" s="40" t="s">
        <v>260</v>
      </c>
      <c r="D226" s="40"/>
      <c r="E226" s="40"/>
      <c r="F226" s="40"/>
      <c r="G226" s="40"/>
      <c r="H226" s="40"/>
      <c r="I226" s="40"/>
      <c r="J226" s="245" t="str">
        <f>IF(OR(J222=0,J222="Not Calculated")=TRUE,"Not Calculated",IF(J222-J223=0,4,IF(((J222+J224)/(J222-J223))&lt;=1,0,IF(((J222+J224)/(J222-J223))&lt;=1.05,1,IF(((J222+J224)/(J222-J223))&lt;=1.5, 2,IF(((J222+J224)/(J222-J223))&lt;=2,3,4))))))</f>
        <v>Not Calculated</v>
      </c>
      <c r="K226" s="41"/>
    </row>
    <row r="227" spans="2:14" ht="9.75" customHeight="1" x14ac:dyDescent="0.2">
      <c r="B227" s="38"/>
      <c r="C227" s="279" t="str">
        <f>"0:"</f>
        <v>0:</v>
      </c>
      <c r="D227" s="278" t="s">
        <v>918</v>
      </c>
      <c r="E227" s="40"/>
      <c r="F227" s="40"/>
      <c r="G227" s="40"/>
      <c r="H227" s="40"/>
      <c r="I227" s="40"/>
      <c r="J227" s="40"/>
      <c r="K227" s="41"/>
    </row>
    <row r="228" spans="2:14" ht="9.75" customHeight="1" x14ac:dyDescent="0.2">
      <c r="B228" s="38"/>
      <c r="C228" s="280" t="str">
        <f>"1:"</f>
        <v>1:</v>
      </c>
      <c r="D228" s="278" t="s">
        <v>923</v>
      </c>
      <c r="E228" s="40"/>
      <c r="F228" s="40"/>
      <c r="G228" s="40"/>
      <c r="H228" s="40"/>
      <c r="I228" s="40"/>
      <c r="J228" s="40"/>
      <c r="K228" s="41"/>
    </row>
    <row r="229" spans="2:14" ht="9.75" customHeight="1" x14ac:dyDescent="0.2">
      <c r="B229" s="38"/>
      <c r="C229" s="280" t="str">
        <f>"2:"</f>
        <v>2:</v>
      </c>
      <c r="D229" s="278" t="s">
        <v>924</v>
      </c>
      <c r="E229" s="40"/>
      <c r="F229" s="40"/>
      <c r="G229" s="40"/>
      <c r="H229" s="40"/>
      <c r="I229" s="40"/>
      <c r="J229" s="40"/>
      <c r="K229" s="41"/>
    </row>
    <row r="230" spans="2:14" ht="9.75" customHeight="1" x14ac:dyDescent="0.2">
      <c r="B230" s="38"/>
      <c r="C230" s="280" t="str">
        <f>"3:"</f>
        <v>3:</v>
      </c>
      <c r="D230" s="278" t="s">
        <v>925</v>
      </c>
      <c r="E230" s="40"/>
      <c r="F230" s="40"/>
      <c r="G230" s="40"/>
      <c r="H230" s="40"/>
      <c r="I230" s="40"/>
      <c r="J230" s="40"/>
      <c r="K230" s="41"/>
    </row>
    <row r="231" spans="2:14" ht="9.75" customHeight="1" x14ac:dyDescent="0.2">
      <c r="B231" s="38"/>
      <c r="C231" s="280" t="str">
        <f>"4:"</f>
        <v>4:</v>
      </c>
      <c r="D231" s="278" t="s">
        <v>926</v>
      </c>
      <c r="E231" s="40"/>
      <c r="F231" s="40"/>
      <c r="G231" s="40"/>
      <c r="H231" s="40"/>
      <c r="I231" s="40"/>
      <c r="J231" s="40"/>
      <c r="K231" s="41"/>
      <c r="N231" s="12" t="s">
        <v>661</v>
      </c>
    </row>
    <row r="232" spans="2:14" x14ac:dyDescent="0.2">
      <c r="B232" s="38"/>
      <c r="C232" s="174" t="s">
        <v>662</v>
      </c>
      <c r="D232" s="40"/>
      <c r="E232" s="40"/>
      <c r="F232" s="40"/>
      <c r="G232" s="40"/>
      <c r="H232" s="40"/>
      <c r="I232" s="40"/>
      <c r="J232" s="265" t="s">
        <v>661</v>
      </c>
      <c r="K232" s="41"/>
      <c r="N232" s="12" t="s">
        <v>894</v>
      </c>
    </row>
    <row r="233" spans="2:14" x14ac:dyDescent="0.2">
      <c r="B233" s="38"/>
      <c r="C233" s="174" t="s">
        <v>660</v>
      </c>
      <c r="D233" s="40"/>
      <c r="E233" s="40"/>
      <c r="F233" s="40"/>
      <c r="G233" s="40"/>
      <c r="H233" s="40"/>
      <c r="I233" s="40"/>
      <c r="J233" s="246" t="str">
        <f>IF(J232=N231,"N/A",IF(J232=N232,0,IF(J232=N233,1,IF(J232=N234,2,IF(J232=N235,3,IF(J232=N236,4,"N/A"))))))</f>
        <v>N/A</v>
      </c>
      <c r="K233" s="41"/>
      <c r="N233" s="12" t="s">
        <v>899</v>
      </c>
    </row>
    <row r="234" spans="2:14" x14ac:dyDescent="0.2">
      <c r="B234" s="38"/>
      <c r="C234" s="40" t="s">
        <v>257</v>
      </c>
      <c r="D234" s="40"/>
      <c r="E234" s="40"/>
      <c r="F234" s="40"/>
      <c r="G234" s="40"/>
      <c r="H234" s="40"/>
      <c r="I234" s="40"/>
      <c r="J234" s="266" t="s">
        <v>870</v>
      </c>
      <c r="K234" s="41"/>
      <c r="N234" s="12" t="s">
        <v>900</v>
      </c>
    </row>
    <row r="235" spans="2:14" x14ac:dyDescent="0.2">
      <c r="B235" s="38"/>
      <c r="C235" s="40" t="s">
        <v>261</v>
      </c>
      <c r="D235" s="40"/>
      <c r="E235" s="40"/>
      <c r="F235" s="40"/>
      <c r="G235" s="40"/>
      <c r="H235" s="40"/>
      <c r="I235" s="40"/>
      <c r="J235" s="248">
        <f>IF(J234=$B$973,$A$973,IF(J234=$B$974,$A$974,IF(J234=$B$975,$A$975,IF(J234=$B$976,$A$976,IF(J234=$B$977,$A$977,"Not Calculated")))))</f>
        <v>0</v>
      </c>
      <c r="K235" s="41"/>
      <c r="N235" s="12" t="s">
        <v>901</v>
      </c>
    </row>
    <row r="236" spans="2:14" x14ac:dyDescent="0.2">
      <c r="B236" s="38"/>
      <c r="C236" s="40" t="s">
        <v>893</v>
      </c>
      <c r="D236" s="40"/>
      <c r="E236" s="40"/>
      <c r="F236" s="40"/>
      <c r="G236" s="40"/>
      <c r="H236" s="40"/>
      <c r="I236" s="40"/>
      <c r="J236" s="40"/>
      <c r="K236" s="41"/>
      <c r="N236" s="12" t="s">
        <v>902</v>
      </c>
    </row>
    <row r="237" spans="2:14" ht="30" customHeight="1" x14ac:dyDescent="0.2">
      <c r="B237" s="38"/>
      <c r="C237" s="399"/>
      <c r="D237" s="400"/>
      <c r="E237" s="400"/>
      <c r="F237" s="400"/>
      <c r="G237" s="400"/>
      <c r="H237" s="400"/>
      <c r="I237" s="400"/>
      <c r="J237" s="401"/>
      <c r="K237" s="41"/>
    </row>
    <row r="238" spans="2:14" x14ac:dyDescent="0.2">
      <c r="B238" s="38"/>
      <c r="C238" s="40"/>
      <c r="D238" s="40"/>
      <c r="E238" s="40"/>
      <c r="F238" s="40"/>
      <c r="G238" s="40"/>
      <c r="H238" s="40"/>
      <c r="I238" s="40"/>
      <c r="J238" s="40"/>
      <c r="K238" s="41"/>
    </row>
    <row r="239" spans="2:14" x14ac:dyDescent="0.2">
      <c r="B239" s="38"/>
      <c r="C239" s="179" t="s">
        <v>277</v>
      </c>
      <c r="D239" s="40"/>
      <c r="E239" s="40"/>
      <c r="F239" s="40"/>
      <c r="G239" s="40"/>
      <c r="H239" s="40"/>
      <c r="I239" s="40"/>
      <c r="J239" s="245" t="str">
        <f>IF(J233="N/A",IF(OR(J226="Not Calculated",J235="Not Calculated")=TRUE,"Not Calculated",AVERAGE(J226,J235)),AVERAGE(J233,J235))</f>
        <v>Not Calculated</v>
      </c>
      <c r="K239" s="41"/>
    </row>
    <row r="240" spans="2:14" x14ac:dyDescent="0.2">
      <c r="B240" s="38"/>
      <c r="C240" s="40"/>
      <c r="D240" s="40"/>
      <c r="E240" s="40"/>
      <c r="F240" s="40"/>
      <c r="G240" s="40"/>
      <c r="H240" s="40"/>
      <c r="I240" s="40"/>
      <c r="J240" s="40"/>
      <c r="K240" s="41"/>
    </row>
    <row r="241" spans="2:14" x14ac:dyDescent="0.2">
      <c r="B241" s="38"/>
      <c r="C241" s="40"/>
      <c r="D241" s="40"/>
      <c r="E241" s="40"/>
      <c r="F241" s="40"/>
      <c r="G241" s="40"/>
      <c r="H241" s="40"/>
      <c r="I241" s="40"/>
      <c r="J241" s="40"/>
      <c r="K241" s="41"/>
    </row>
    <row r="242" spans="2:14" ht="16" x14ac:dyDescent="0.2">
      <c r="B242" s="38"/>
      <c r="C242" s="45" t="s">
        <v>278</v>
      </c>
      <c r="D242" s="40"/>
      <c r="E242" s="40"/>
      <c r="F242" s="40"/>
      <c r="G242" s="40"/>
      <c r="H242" s="40"/>
      <c r="I242" s="40"/>
      <c r="J242" s="40"/>
      <c r="K242" s="41"/>
    </row>
    <row r="243" spans="2:14" ht="15" customHeight="1" x14ac:dyDescent="0.2">
      <c r="B243" s="38"/>
      <c r="C243" s="40" t="s">
        <v>447</v>
      </c>
      <c r="D243" s="40"/>
      <c r="E243" s="40"/>
      <c r="F243" s="40"/>
      <c r="G243" s="40"/>
      <c r="H243" s="40"/>
      <c r="I243" s="40"/>
      <c r="J243" s="254">
        <f>'Baseline Health'!G77</f>
        <v>0</v>
      </c>
      <c r="K243" s="41"/>
    </row>
    <row r="244" spans="2:14" x14ac:dyDescent="0.2">
      <c r="B244" s="38"/>
      <c r="C244" s="40" t="s">
        <v>358</v>
      </c>
      <c r="D244" s="40"/>
      <c r="E244" s="40"/>
      <c r="F244" s="40"/>
      <c r="G244" s="40"/>
      <c r="H244" s="40"/>
      <c r="I244" s="40"/>
      <c r="J244" s="264">
        <v>0</v>
      </c>
      <c r="K244" s="41"/>
    </row>
    <row r="245" spans="2:14" x14ac:dyDescent="0.2">
      <c r="B245" s="38"/>
      <c r="C245" s="40" t="s">
        <v>360</v>
      </c>
      <c r="D245" s="291"/>
      <c r="E245" s="291"/>
      <c r="F245" s="291"/>
      <c r="G245" s="291"/>
      <c r="H245" s="291"/>
      <c r="I245" s="291"/>
      <c r="J245" s="264">
        <f>J243*0.01</f>
        <v>0</v>
      </c>
      <c r="K245" s="41"/>
    </row>
    <row r="246" spans="2:14" x14ac:dyDescent="0.2">
      <c r="B246" s="38"/>
      <c r="C246" s="40" t="s">
        <v>260</v>
      </c>
      <c r="D246" s="40"/>
      <c r="E246" s="40"/>
      <c r="F246" s="40"/>
      <c r="G246" s="40"/>
      <c r="H246" s="40"/>
      <c r="I246" s="40"/>
      <c r="J246" s="248" t="str">
        <f>IF(OR(J243=0,J243="Not Calculated")=TRUE,"Not Calculated",IF(J243-J244=0,4,(IF(((J243+J245)/(J243-J244))&lt;=1,0,IF(((J243+J245)/(J243-J244))&lt;=1.05,1,IF(((J243+J245)/(J243-J244))&lt;=1.5,2,IF(((J243+J245)/(J243-J244))&lt;=2,3,4)))))))</f>
        <v>Not Calculated</v>
      </c>
      <c r="K246" s="41"/>
    </row>
    <row r="247" spans="2:14" ht="9.75" customHeight="1" x14ac:dyDescent="0.2">
      <c r="B247" s="38"/>
      <c r="C247" s="279" t="str">
        <f>"0:"</f>
        <v>0:</v>
      </c>
      <c r="D247" s="278" t="s">
        <v>918</v>
      </c>
      <c r="E247" s="40"/>
      <c r="F247" s="40"/>
      <c r="G247" s="40"/>
      <c r="H247" s="40"/>
      <c r="I247" s="40"/>
      <c r="J247" s="40"/>
      <c r="K247" s="41"/>
    </row>
    <row r="248" spans="2:14" ht="9.75" customHeight="1" x14ac:dyDescent="0.2">
      <c r="B248" s="38"/>
      <c r="C248" s="280" t="str">
        <f>"1:"</f>
        <v>1:</v>
      </c>
      <c r="D248" s="278" t="s">
        <v>923</v>
      </c>
      <c r="E248" s="40"/>
      <c r="F248" s="40"/>
      <c r="G248" s="40"/>
      <c r="H248" s="40"/>
      <c r="I248" s="40"/>
      <c r="J248" s="40"/>
      <c r="K248" s="41"/>
    </row>
    <row r="249" spans="2:14" ht="9.75" customHeight="1" x14ac:dyDescent="0.2">
      <c r="B249" s="38"/>
      <c r="C249" s="280" t="str">
        <f>"2:"</f>
        <v>2:</v>
      </c>
      <c r="D249" s="278" t="s">
        <v>924</v>
      </c>
      <c r="E249" s="40"/>
      <c r="F249" s="40"/>
      <c r="G249" s="40"/>
      <c r="H249" s="40"/>
      <c r="I249" s="40"/>
      <c r="J249" s="40"/>
      <c r="K249" s="41"/>
    </row>
    <row r="250" spans="2:14" ht="9.75" customHeight="1" x14ac:dyDescent="0.2">
      <c r="B250" s="38"/>
      <c r="C250" s="280" t="str">
        <f>"3:"</f>
        <v>3:</v>
      </c>
      <c r="D250" s="278" t="s">
        <v>925</v>
      </c>
      <c r="E250" s="40"/>
      <c r="F250" s="40"/>
      <c r="G250" s="40"/>
      <c r="H250" s="40"/>
      <c r="I250" s="40"/>
      <c r="J250" s="40"/>
      <c r="K250" s="41"/>
    </row>
    <row r="251" spans="2:14" ht="9.75" customHeight="1" x14ac:dyDescent="0.2">
      <c r="B251" s="38"/>
      <c r="C251" s="280" t="str">
        <f>"4:"</f>
        <v>4:</v>
      </c>
      <c r="D251" s="278" t="s">
        <v>926</v>
      </c>
      <c r="E251" s="40"/>
      <c r="F251" s="40"/>
      <c r="G251" s="40"/>
      <c r="H251" s="40"/>
      <c r="I251" s="40"/>
      <c r="J251" s="40"/>
      <c r="K251" s="41"/>
      <c r="N251" s="12" t="s">
        <v>661</v>
      </c>
    </row>
    <row r="252" spans="2:14" x14ac:dyDescent="0.2">
      <c r="B252" s="38"/>
      <c r="C252" s="174" t="s">
        <v>662</v>
      </c>
      <c r="D252" s="40"/>
      <c r="E252" s="40"/>
      <c r="F252" s="40"/>
      <c r="G252" s="40"/>
      <c r="H252" s="40"/>
      <c r="I252" s="40"/>
      <c r="J252" s="265" t="s">
        <v>661</v>
      </c>
      <c r="K252" s="41"/>
      <c r="N252" s="12" t="s">
        <v>894</v>
      </c>
    </row>
    <row r="253" spans="2:14" x14ac:dyDescent="0.2">
      <c r="B253" s="38"/>
      <c r="C253" s="174" t="s">
        <v>660</v>
      </c>
      <c r="D253" s="40"/>
      <c r="E253" s="40"/>
      <c r="F253" s="40"/>
      <c r="G253" s="40"/>
      <c r="H253" s="40"/>
      <c r="I253" s="40"/>
      <c r="J253" s="246" t="str">
        <f>IF(J252=N251,"N/A",IF(J252=N252,0,IF(J252=N253,1,IF(J252=N254,2,IF(J252=N255,3,IF(J252=N256,4,"N/A"))))))</f>
        <v>N/A</v>
      </c>
      <c r="K253" s="41"/>
      <c r="N253" s="12" t="s">
        <v>899</v>
      </c>
    </row>
    <row r="254" spans="2:14" x14ac:dyDescent="0.2">
      <c r="B254" s="38"/>
      <c r="C254" s="40" t="s">
        <v>257</v>
      </c>
      <c r="D254" s="40"/>
      <c r="E254" s="40"/>
      <c r="F254" s="40"/>
      <c r="G254" s="40"/>
      <c r="H254" s="40"/>
      <c r="I254" s="40"/>
      <c r="J254" s="266" t="s">
        <v>874</v>
      </c>
      <c r="K254" s="41"/>
      <c r="N254" s="12" t="s">
        <v>900</v>
      </c>
    </row>
    <row r="255" spans="2:14" x14ac:dyDescent="0.2">
      <c r="B255" s="38"/>
      <c r="C255" s="40" t="s">
        <v>261</v>
      </c>
      <c r="D255" s="40"/>
      <c r="E255" s="40"/>
      <c r="F255" s="40"/>
      <c r="G255" s="40"/>
      <c r="H255" s="40"/>
      <c r="I255" s="40"/>
      <c r="J255" s="248">
        <f>IF(J254=$B$973,$A$973,IF(J254=$B$974,$A$974,IF(J254=$B$975,$A$975,IF(J254=$B$976,$A$976,IF(J254=$B$977,$A$977,"Not Calculated")))))</f>
        <v>4</v>
      </c>
      <c r="K255" s="41"/>
      <c r="N255" s="12" t="s">
        <v>901</v>
      </c>
    </row>
    <row r="256" spans="2:14" x14ac:dyDescent="0.2">
      <c r="B256" s="38"/>
      <c r="C256" s="40" t="s">
        <v>893</v>
      </c>
      <c r="D256" s="40"/>
      <c r="E256" s="40"/>
      <c r="F256" s="40"/>
      <c r="G256" s="40"/>
      <c r="H256" s="40"/>
      <c r="I256" s="40"/>
      <c r="J256" s="40"/>
      <c r="K256" s="41"/>
      <c r="N256" s="12" t="s">
        <v>902</v>
      </c>
    </row>
    <row r="257" spans="2:11" ht="30" customHeight="1" x14ac:dyDescent="0.2">
      <c r="B257" s="38"/>
      <c r="C257" s="399" t="s">
        <v>480</v>
      </c>
      <c r="D257" s="400"/>
      <c r="E257" s="400"/>
      <c r="F257" s="400"/>
      <c r="G257" s="400"/>
      <c r="H257" s="400"/>
      <c r="I257" s="400"/>
      <c r="J257" s="401"/>
      <c r="K257" s="41"/>
    </row>
    <row r="258" spans="2:11" x14ac:dyDescent="0.2">
      <c r="B258" s="38"/>
      <c r="C258" s="40"/>
      <c r="D258" s="40"/>
      <c r="E258" s="40"/>
      <c r="F258" s="40"/>
      <c r="G258" s="40"/>
      <c r="H258" s="40"/>
      <c r="I258" s="40"/>
      <c r="J258" s="40"/>
      <c r="K258" s="41"/>
    </row>
    <row r="259" spans="2:11" x14ac:dyDescent="0.2">
      <c r="B259" s="38"/>
      <c r="C259" s="179" t="s">
        <v>279</v>
      </c>
      <c r="D259" s="40"/>
      <c r="E259" s="40"/>
      <c r="F259" s="40"/>
      <c r="G259" s="40"/>
      <c r="H259" s="40"/>
      <c r="I259" s="40"/>
      <c r="J259" s="245" t="str">
        <f>IF(J253="N/A",IF(OR(J246="Not Calculated",J255="Not Calculated")=TRUE,"Not Calculated",AVERAGE(J246,J255)),AVERAGE(J253,J255))</f>
        <v>Not Calculated</v>
      </c>
      <c r="K259" s="41"/>
    </row>
    <row r="260" spans="2:11" x14ac:dyDescent="0.2">
      <c r="B260" s="38"/>
      <c r="C260" s="40"/>
      <c r="D260" s="40"/>
      <c r="E260" s="40"/>
      <c r="F260" s="40"/>
      <c r="G260" s="40"/>
      <c r="H260" s="40"/>
      <c r="I260" s="40"/>
      <c r="J260" s="40"/>
      <c r="K260" s="41"/>
    </row>
    <row r="261" spans="2:11" ht="18" x14ac:dyDescent="0.2">
      <c r="B261" s="38"/>
      <c r="C261" s="180" t="s">
        <v>272</v>
      </c>
      <c r="D261" s="40"/>
      <c r="E261" s="40"/>
      <c r="F261" s="40"/>
      <c r="G261" s="40"/>
      <c r="H261" s="40"/>
      <c r="I261" s="40"/>
      <c r="J261" s="244" t="str">
        <f>IF(OR(J157="Not Calculated",J178="Not Calculated",J198="Not Calculated",J218="Not Calculated",J239="Not Calculated",J259="Not Calculated",)=TRUE,"Not Calculated",AVERAGE(J157,J178,J198,J218,J239,J259))</f>
        <v>Not Calculated</v>
      </c>
      <c r="K261" s="41"/>
    </row>
    <row r="262" spans="2:11" ht="16" thickBot="1" x14ac:dyDescent="0.25">
      <c r="B262" s="46"/>
      <c r="C262" s="47"/>
      <c r="D262" s="47"/>
      <c r="E262" s="47"/>
      <c r="F262" s="47"/>
      <c r="G262" s="47"/>
      <c r="H262" s="47"/>
      <c r="I262" s="47"/>
      <c r="J262" s="47"/>
      <c r="K262" s="49"/>
    </row>
    <row r="263" spans="2:11" ht="16" thickBot="1" x14ac:dyDescent="0.25"/>
    <row r="264" spans="2:11" x14ac:dyDescent="0.2">
      <c r="B264" s="33"/>
      <c r="C264" s="34"/>
      <c r="D264" s="34"/>
      <c r="E264" s="34"/>
      <c r="F264" s="34"/>
      <c r="G264" s="34"/>
      <c r="H264" s="34"/>
      <c r="I264" s="34"/>
      <c r="J264" s="34"/>
      <c r="K264" s="37"/>
    </row>
    <row r="265" spans="2:11" ht="21" x14ac:dyDescent="0.25">
      <c r="B265" s="38"/>
      <c r="C265" s="40"/>
      <c r="D265" s="40"/>
      <c r="E265" s="40"/>
      <c r="F265" s="40"/>
      <c r="G265" s="172" t="s">
        <v>864</v>
      </c>
      <c r="H265" s="40"/>
      <c r="I265" s="40"/>
      <c r="J265" s="40"/>
      <c r="K265" s="41"/>
    </row>
    <row r="266" spans="2:11" ht="15" customHeight="1" x14ac:dyDescent="0.2">
      <c r="B266" s="38"/>
      <c r="C266" s="40"/>
      <c r="D266" s="40"/>
      <c r="E266" s="40"/>
      <c r="F266" s="40"/>
      <c r="G266" s="40"/>
      <c r="H266" s="40"/>
      <c r="I266" s="40"/>
      <c r="J266" s="40"/>
      <c r="K266" s="41"/>
    </row>
    <row r="267" spans="2:11" ht="16" x14ac:dyDescent="0.2">
      <c r="B267" s="38"/>
      <c r="C267" s="45" t="s">
        <v>80</v>
      </c>
      <c r="D267" s="40"/>
      <c r="E267" s="40"/>
      <c r="F267" s="40"/>
      <c r="G267" s="40"/>
      <c r="H267" s="40"/>
      <c r="I267" s="40"/>
      <c r="J267" s="40"/>
      <c r="K267" s="41"/>
    </row>
    <row r="268" spans="2:11" x14ac:dyDescent="0.2">
      <c r="B268" s="38"/>
      <c r="C268" s="40" t="s">
        <v>283</v>
      </c>
      <c r="D268" s="40"/>
      <c r="E268" s="40"/>
      <c r="F268" s="40"/>
      <c r="G268" s="40"/>
      <c r="H268" s="40"/>
      <c r="I268" s="40"/>
      <c r="J268" s="254">
        <f>'Baseline Health'!G88</f>
        <v>0</v>
      </c>
      <c r="K268" s="41"/>
    </row>
    <row r="269" spans="2:11" x14ac:dyDescent="0.2">
      <c r="B269" s="38"/>
      <c r="C269" s="40" t="s">
        <v>284</v>
      </c>
      <c r="D269" s="40"/>
      <c r="E269" s="40"/>
      <c r="F269" s="40"/>
      <c r="G269" s="40"/>
      <c r="H269" s="40"/>
      <c r="I269" s="40"/>
      <c r="J269" s="264">
        <v>0</v>
      </c>
      <c r="K269" s="41"/>
    </row>
    <row r="270" spans="2:11" x14ac:dyDescent="0.2">
      <c r="B270" s="38"/>
      <c r="C270" s="40" t="s">
        <v>285</v>
      </c>
      <c r="D270" s="40"/>
      <c r="E270" s="40"/>
      <c r="F270" s="40"/>
      <c r="G270" s="40"/>
      <c r="H270" s="40"/>
      <c r="I270" s="40"/>
      <c r="J270" s="259">
        <f>'Baseline Health'!G93</f>
        <v>0</v>
      </c>
      <c r="K270" s="41"/>
    </row>
    <row r="271" spans="2:11" x14ac:dyDescent="0.2">
      <c r="B271" s="38"/>
      <c r="C271" s="40" t="s">
        <v>286</v>
      </c>
      <c r="D271" s="40"/>
      <c r="E271" s="40"/>
      <c r="F271" s="40"/>
      <c r="G271" s="40"/>
      <c r="H271" s="40"/>
      <c r="I271" s="40"/>
      <c r="J271" s="250">
        <f>J184</f>
        <v>0</v>
      </c>
      <c r="K271" s="41"/>
    </row>
    <row r="272" spans="2:11" x14ac:dyDescent="0.2">
      <c r="B272" s="38"/>
      <c r="C272" s="40"/>
      <c r="D272" s="40" t="s">
        <v>432</v>
      </c>
      <c r="E272" s="40"/>
      <c r="F272" s="40"/>
      <c r="G272" s="40"/>
      <c r="H272" s="40"/>
      <c r="I272" s="40"/>
      <c r="J272" s="40"/>
      <c r="K272" s="41"/>
    </row>
    <row r="273" spans="2:14" x14ac:dyDescent="0.2">
      <c r="B273" s="38"/>
      <c r="C273" s="40" t="s">
        <v>292</v>
      </c>
      <c r="D273" s="40"/>
      <c r="E273" s="40"/>
      <c r="F273" s="40"/>
      <c r="G273" s="40"/>
      <c r="H273" s="40"/>
      <c r="I273" s="40"/>
      <c r="J273" s="258" t="str">
        <f>'Baseline Health'!G97</f>
        <v>N/A</v>
      </c>
      <c r="K273" s="41"/>
    </row>
    <row r="274" spans="2:14" x14ac:dyDescent="0.2">
      <c r="B274" s="38"/>
      <c r="C274" s="40" t="s">
        <v>293</v>
      </c>
      <c r="D274" s="40"/>
      <c r="E274" s="40"/>
      <c r="F274" s="40"/>
      <c r="G274" s="40"/>
      <c r="H274" s="40"/>
      <c r="I274" s="40"/>
      <c r="J274" s="258" t="str">
        <f>IF(J273="N/A","N/A",IF(J268-J269=0,"No Nurses",((J270+J271)/(J268-J269))))</f>
        <v>N/A</v>
      </c>
      <c r="K274" s="41"/>
    </row>
    <row r="275" spans="2:14" x14ac:dyDescent="0.2">
      <c r="B275" s="38"/>
      <c r="C275" s="40" t="s">
        <v>260</v>
      </c>
      <c r="D275" s="40"/>
      <c r="E275" s="40"/>
      <c r="F275" s="40"/>
      <c r="G275" s="40"/>
      <c r="H275" s="40"/>
      <c r="I275" s="40"/>
      <c r="J275" s="245">
        <f>IF(J273=0,"Not Calculated",IF(J274="N/A",0,IF(J274="No Nurses",4,IF((J274/J273)&lt;=1,0,IF((J274/J273)&lt;=1.1,1,IF((J274/J273)&lt;=1=1.25,2,IF((J274/J273)&lt;=1.5,3,4)))))))</f>
        <v>0</v>
      </c>
      <c r="K275" s="41"/>
    </row>
    <row r="276" spans="2:14" ht="9.75" customHeight="1" x14ac:dyDescent="0.2">
      <c r="B276" s="38"/>
      <c r="C276" s="279" t="str">
        <f>"0:"</f>
        <v>0:</v>
      </c>
      <c r="D276" s="278" t="s">
        <v>927</v>
      </c>
      <c r="E276" s="40"/>
      <c r="F276" s="40"/>
      <c r="G276" s="40"/>
      <c r="H276" s="40"/>
      <c r="I276" s="40"/>
      <c r="J276" s="258"/>
      <c r="K276" s="41"/>
    </row>
    <row r="277" spans="2:14" ht="9.75" customHeight="1" x14ac:dyDescent="0.2">
      <c r="B277" s="38"/>
      <c r="C277" s="280" t="str">
        <f>"1:"</f>
        <v>1:</v>
      </c>
      <c r="D277" s="278" t="s">
        <v>928</v>
      </c>
      <c r="E277" s="40"/>
      <c r="F277" s="40"/>
      <c r="G277" s="40"/>
      <c r="H277" s="40"/>
      <c r="I277" s="40"/>
      <c r="J277" s="258"/>
      <c r="K277" s="41"/>
    </row>
    <row r="278" spans="2:14" ht="9.75" customHeight="1" x14ac:dyDescent="0.2">
      <c r="B278" s="38"/>
      <c r="C278" s="280" t="str">
        <f>"2:"</f>
        <v>2:</v>
      </c>
      <c r="D278" s="278" t="s">
        <v>929</v>
      </c>
      <c r="E278" s="40"/>
      <c r="F278" s="40"/>
      <c r="G278" s="40"/>
      <c r="H278" s="40"/>
      <c r="I278" s="40"/>
      <c r="J278" s="258"/>
      <c r="K278" s="41"/>
    </row>
    <row r="279" spans="2:14" ht="9.75" customHeight="1" x14ac:dyDescent="0.2">
      <c r="B279" s="38"/>
      <c r="C279" s="280" t="str">
        <f>"3:"</f>
        <v>3:</v>
      </c>
      <c r="D279" s="278" t="s">
        <v>930</v>
      </c>
      <c r="E279" s="40"/>
      <c r="F279" s="40"/>
      <c r="G279" s="40"/>
      <c r="H279" s="40"/>
      <c r="I279" s="40"/>
      <c r="J279" s="258"/>
      <c r="K279" s="41"/>
    </row>
    <row r="280" spans="2:14" ht="9.75" customHeight="1" x14ac:dyDescent="0.2">
      <c r="B280" s="38"/>
      <c r="C280" s="280" t="str">
        <f>"4:"</f>
        <v>4:</v>
      </c>
      <c r="D280" s="278" t="s">
        <v>931</v>
      </c>
      <c r="E280" s="40"/>
      <c r="F280" s="40"/>
      <c r="G280" s="40"/>
      <c r="H280" s="40"/>
      <c r="I280" s="40"/>
      <c r="J280" s="40"/>
      <c r="K280" s="41"/>
      <c r="N280" s="12" t="s">
        <v>661</v>
      </c>
    </row>
    <row r="281" spans="2:14" x14ac:dyDescent="0.2">
      <c r="B281" s="38"/>
      <c r="C281" s="174" t="s">
        <v>662</v>
      </c>
      <c r="D281" s="40"/>
      <c r="E281" s="40"/>
      <c r="F281" s="40"/>
      <c r="G281" s="40"/>
      <c r="H281" s="40"/>
      <c r="I281" s="40"/>
      <c r="J281" s="265" t="s">
        <v>661</v>
      </c>
      <c r="K281" s="41"/>
      <c r="N281" s="12" t="s">
        <v>903</v>
      </c>
    </row>
    <row r="282" spans="2:14" x14ac:dyDescent="0.2">
      <c r="B282" s="38"/>
      <c r="C282" s="174" t="s">
        <v>660</v>
      </c>
      <c r="D282" s="40"/>
      <c r="E282" s="40"/>
      <c r="F282" s="40"/>
      <c r="G282" s="40"/>
      <c r="H282" s="40"/>
      <c r="I282" s="40"/>
      <c r="J282" s="246" t="str">
        <f>IF(J281=N280,"N/A",IF(J281=N281,0,IF(J281=N282,1,IF(J281=N283,2,IF(J281=N284,3,IF(J281=N285,4,"N/A"))))))</f>
        <v>N/A</v>
      </c>
      <c r="K282" s="41"/>
      <c r="N282" s="12" t="s">
        <v>904</v>
      </c>
    </row>
    <row r="283" spans="2:14" x14ac:dyDescent="0.2">
      <c r="B283" s="38"/>
      <c r="C283" s="40" t="s">
        <v>257</v>
      </c>
      <c r="D283" s="40"/>
      <c r="E283" s="40"/>
      <c r="F283" s="40"/>
      <c r="G283" s="40"/>
      <c r="H283" s="40"/>
      <c r="I283" s="40"/>
      <c r="J283" s="266" t="s">
        <v>870</v>
      </c>
      <c r="K283" s="41"/>
      <c r="N283" s="12" t="s">
        <v>905</v>
      </c>
    </row>
    <row r="284" spans="2:14" x14ac:dyDescent="0.2">
      <c r="B284" s="38"/>
      <c r="C284" s="40" t="s">
        <v>261</v>
      </c>
      <c r="D284" s="40"/>
      <c r="E284" s="40"/>
      <c r="F284" s="40"/>
      <c r="G284" s="40"/>
      <c r="H284" s="40"/>
      <c r="I284" s="40"/>
      <c r="J284" s="248">
        <f>IF(J283=$B$973,$A$973,IF(J283=$B$974,$A$974,IF(J283=$B$975,$A$975,IF(J283=$B$976,$A$976,IF(J283=$B$977,$A$977,"Not Calculated")))))</f>
        <v>0</v>
      </c>
      <c r="K284" s="41"/>
      <c r="N284" s="12" t="s">
        <v>906</v>
      </c>
    </row>
    <row r="285" spans="2:14" x14ac:dyDescent="0.2">
      <c r="B285" s="38"/>
      <c r="C285" s="40" t="s">
        <v>893</v>
      </c>
      <c r="D285" s="40"/>
      <c r="E285" s="40"/>
      <c r="F285" s="40"/>
      <c r="G285" s="40"/>
      <c r="H285" s="40"/>
      <c r="I285" s="40"/>
      <c r="J285" s="40"/>
      <c r="K285" s="41"/>
      <c r="N285" s="12" t="s">
        <v>907</v>
      </c>
    </row>
    <row r="286" spans="2:14" ht="30" customHeight="1" x14ac:dyDescent="0.2">
      <c r="B286" s="38"/>
      <c r="C286" s="399"/>
      <c r="D286" s="400"/>
      <c r="E286" s="400"/>
      <c r="F286" s="400"/>
      <c r="G286" s="400"/>
      <c r="H286" s="400"/>
      <c r="I286" s="400"/>
      <c r="J286" s="401"/>
      <c r="K286" s="41"/>
    </row>
    <row r="287" spans="2:14" x14ac:dyDescent="0.2">
      <c r="B287" s="38"/>
      <c r="C287" s="40"/>
      <c r="D287" s="40"/>
      <c r="E287" s="40"/>
      <c r="F287" s="40"/>
      <c r="G287" s="40"/>
      <c r="H287" s="40"/>
      <c r="I287" s="40"/>
      <c r="J287" s="40"/>
      <c r="K287" s="41"/>
    </row>
    <row r="288" spans="2:14" x14ac:dyDescent="0.2">
      <c r="B288" s="38"/>
      <c r="C288" s="179" t="s">
        <v>295</v>
      </c>
      <c r="D288" s="40"/>
      <c r="E288" s="40"/>
      <c r="F288" s="40"/>
      <c r="G288" s="40"/>
      <c r="H288" s="40"/>
      <c r="I288" s="40"/>
      <c r="J288" s="245">
        <f>IF(J282="N/A",IF(OR(J275="Not Calculated",J284="Not Calculated")=TRUE,"Not Calculated",AVERAGE(J275,J284)),AVERAGE(J282,J284))</f>
        <v>0</v>
      </c>
      <c r="K288" s="41"/>
    </row>
    <row r="289" spans="2:11" x14ac:dyDescent="0.2">
      <c r="B289" s="38"/>
      <c r="C289" s="40"/>
      <c r="D289" s="40"/>
      <c r="E289" s="40"/>
      <c r="F289" s="40"/>
      <c r="G289" s="40"/>
      <c r="H289" s="40"/>
      <c r="I289" s="40"/>
      <c r="J289" s="245"/>
      <c r="K289" s="41"/>
    </row>
    <row r="290" spans="2:11" x14ac:dyDescent="0.2">
      <c r="B290" s="38"/>
      <c r="C290" s="40"/>
      <c r="D290" s="40"/>
      <c r="E290" s="40"/>
      <c r="F290" s="40"/>
      <c r="G290" s="40"/>
      <c r="H290" s="40"/>
      <c r="I290" s="40"/>
      <c r="J290" s="40"/>
      <c r="K290" s="41"/>
    </row>
    <row r="291" spans="2:11" ht="16" x14ac:dyDescent="0.2">
      <c r="B291" s="38"/>
      <c r="C291" s="45" t="s">
        <v>856</v>
      </c>
      <c r="D291" s="40"/>
      <c r="E291" s="40"/>
      <c r="F291" s="40"/>
      <c r="G291" s="40"/>
      <c r="H291" s="40"/>
      <c r="I291" s="40"/>
      <c r="J291" s="40"/>
      <c r="K291" s="41"/>
    </row>
    <row r="292" spans="2:11" x14ac:dyDescent="0.2">
      <c r="B292" s="38"/>
      <c r="C292" s="380" t="s">
        <v>855</v>
      </c>
      <c r="D292" s="380"/>
      <c r="E292" s="380"/>
      <c r="F292" s="380"/>
      <c r="G292" s="380"/>
      <c r="H292" s="380"/>
      <c r="I292" s="380"/>
      <c r="J292" s="40"/>
      <c r="K292" s="41"/>
    </row>
    <row r="293" spans="2:11" x14ac:dyDescent="0.2">
      <c r="B293" s="38"/>
      <c r="C293" s="380"/>
      <c r="D293" s="380"/>
      <c r="E293" s="380"/>
      <c r="F293" s="380"/>
      <c r="G293" s="380"/>
      <c r="H293" s="380"/>
      <c r="I293" s="380"/>
      <c r="J293" s="264">
        <v>0</v>
      </c>
      <c r="K293" s="41"/>
    </row>
    <row r="294" spans="2:11" x14ac:dyDescent="0.2">
      <c r="B294" s="38"/>
      <c r="C294" s="40" t="s">
        <v>853</v>
      </c>
      <c r="D294" s="291"/>
      <c r="E294" s="291"/>
      <c r="F294" s="291"/>
      <c r="G294" s="291"/>
      <c r="H294" s="291"/>
      <c r="I294" s="291"/>
      <c r="J294" s="255">
        <f>'Baseline Health'!$G$102</f>
        <v>0</v>
      </c>
      <c r="K294" s="41"/>
    </row>
    <row r="295" spans="2:11" x14ac:dyDescent="0.2">
      <c r="B295" s="38"/>
      <c r="C295" s="40" t="s">
        <v>842</v>
      </c>
      <c r="D295" s="40"/>
      <c r="E295" s="40"/>
      <c r="F295" s="40"/>
      <c r="G295" s="40"/>
      <c r="H295" s="40"/>
      <c r="I295" s="40"/>
      <c r="J295" s="244" t="str">
        <f>IF('Baseline Health'!$G$102=0,"Not Calculated",100*J293/'Baseline Health'!$G$102)</f>
        <v>Not Calculated</v>
      </c>
      <c r="K295" s="41"/>
    </row>
    <row r="296" spans="2:11" x14ac:dyDescent="0.2">
      <c r="B296" s="38"/>
      <c r="C296" s="40" t="s">
        <v>260</v>
      </c>
      <c r="D296" s="40"/>
      <c r="E296" s="40"/>
      <c r="F296" s="40"/>
      <c r="G296" s="40"/>
      <c r="H296" s="40"/>
      <c r="I296" s="40"/>
      <c r="J296" s="245">
        <f>IF(J295&lt;=0,0,IF(J295&lt;=1,1,IF(J295&lt;=5,2,IF(J295&lt;=10,3,4))))</f>
        <v>4</v>
      </c>
      <c r="K296" s="41"/>
    </row>
    <row r="297" spans="2:11" ht="9.75" customHeight="1" x14ac:dyDescent="0.2">
      <c r="B297" s="38"/>
      <c r="C297" s="279" t="str">
        <f>"0:"</f>
        <v>0:</v>
      </c>
      <c r="D297" s="278" t="s">
        <v>932</v>
      </c>
      <c r="E297" s="40"/>
      <c r="F297" s="40"/>
      <c r="G297" s="40"/>
      <c r="H297" s="40"/>
      <c r="I297" s="40"/>
      <c r="J297" s="244"/>
      <c r="K297" s="41"/>
    </row>
    <row r="298" spans="2:11" ht="9.75" customHeight="1" x14ac:dyDescent="0.2">
      <c r="B298" s="38"/>
      <c r="C298" s="280" t="str">
        <f>"1:"</f>
        <v>1:</v>
      </c>
      <c r="D298" s="278" t="s">
        <v>934</v>
      </c>
      <c r="E298" s="40"/>
      <c r="F298" s="40"/>
      <c r="G298" s="40"/>
      <c r="H298" s="40"/>
      <c r="I298" s="40"/>
      <c r="J298" s="244"/>
      <c r="K298" s="41"/>
    </row>
    <row r="299" spans="2:11" ht="9.75" customHeight="1" x14ac:dyDescent="0.2">
      <c r="B299" s="38"/>
      <c r="C299" s="280" t="str">
        <f>"2:"</f>
        <v>2:</v>
      </c>
      <c r="D299" s="278" t="s">
        <v>933</v>
      </c>
      <c r="E299" s="40"/>
      <c r="F299" s="40"/>
      <c r="G299" s="40"/>
      <c r="H299" s="40"/>
      <c r="I299" s="40"/>
      <c r="J299" s="244"/>
      <c r="K299" s="41"/>
    </row>
    <row r="300" spans="2:11" ht="9.75" customHeight="1" x14ac:dyDescent="0.2">
      <c r="B300" s="38"/>
      <c r="C300" s="280" t="str">
        <f>"3:"</f>
        <v>3:</v>
      </c>
      <c r="D300" s="278" t="s">
        <v>935</v>
      </c>
      <c r="E300" s="40"/>
      <c r="F300" s="40"/>
      <c r="G300" s="40"/>
      <c r="H300" s="40"/>
      <c r="I300" s="40"/>
      <c r="J300" s="244"/>
      <c r="K300" s="41"/>
    </row>
    <row r="301" spans="2:11" ht="9.75" customHeight="1" x14ac:dyDescent="0.2">
      <c r="B301" s="38"/>
      <c r="C301" s="280" t="str">
        <f>"4:"</f>
        <v>4:</v>
      </c>
      <c r="D301" s="278" t="s">
        <v>936</v>
      </c>
      <c r="E301" s="40"/>
      <c r="F301" s="40"/>
      <c r="G301" s="40"/>
      <c r="H301" s="40"/>
      <c r="I301" s="40"/>
      <c r="J301" s="40"/>
      <c r="K301" s="41"/>
    </row>
    <row r="302" spans="2:11" x14ac:dyDescent="0.2">
      <c r="B302" s="38"/>
      <c r="C302" s="40" t="s">
        <v>257</v>
      </c>
      <c r="D302" s="40"/>
      <c r="E302" s="40"/>
      <c r="F302" s="40"/>
      <c r="G302" s="40"/>
      <c r="H302" s="40"/>
      <c r="I302" s="40"/>
      <c r="J302" s="266" t="s">
        <v>870</v>
      </c>
      <c r="K302" s="41"/>
    </row>
    <row r="303" spans="2:11" x14ac:dyDescent="0.2">
      <c r="B303" s="38"/>
      <c r="C303" s="40" t="s">
        <v>261</v>
      </c>
      <c r="D303" s="40"/>
      <c r="E303" s="40"/>
      <c r="F303" s="40"/>
      <c r="G303" s="40"/>
      <c r="H303" s="40"/>
      <c r="I303" s="40"/>
      <c r="J303" s="245">
        <f>IF(J302=$B$980,$A$980,IF(J302=$B$981,$A$981,IF(J302=$B$982,$A$982,IF(J302=$B$983,$A$983,IF(J302=$B$984,$A$984,"Not Calculated")))))</f>
        <v>0</v>
      </c>
      <c r="K303" s="41"/>
    </row>
    <row r="304" spans="2:11" x14ac:dyDescent="0.2">
      <c r="B304" s="38"/>
      <c r="C304" s="40" t="s">
        <v>893</v>
      </c>
      <c r="D304" s="40"/>
      <c r="E304" s="40"/>
      <c r="F304" s="40"/>
      <c r="G304" s="40"/>
      <c r="H304" s="40"/>
      <c r="I304" s="40"/>
      <c r="J304" s="40"/>
      <c r="K304" s="41"/>
    </row>
    <row r="305" spans="2:11" ht="30" customHeight="1" x14ac:dyDescent="0.2">
      <c r="B305" s="38"/>
      <c r="C305" s="399"/>
      <c r="D305" s="400"/>
      <c r="E305" s="400"/>
      <c r="F305" s="400"/>
      <c r="G305" s="400"/>
      <c r="H305" s="400"/>
      <c r="I305" s="400"/>
      <c r="J305" s="401"/>
      <c r="K305" s="41"/>
    </row>
    <row r="306" spans="2:11" x14ac:dyDescent="0.2">
      <c r="B306" s="38"/>
      <c r="C306" s="40"/>
      <c r="D306" s="40"/>
      <c r="E306" s="40"/>
      <c r="F306" s="40"/>
      <c r="G306" s="40"/>
      <c r="H306" s="40"/>
      <c r="I306" s="40"/>
      <c r="J306" s="40"/>
      <c r="K306" s="41"/>
    </row>
    <row r="307" spans="2:11" x14ac:dyDescent="0.2">
      <c r="B307" s="38"/>
      <c r="C307" s="179" t="s">
        <v>885</v>
      </c>
      <c r="D307" s="40"/>
      <c r="E307" s="40"/>
      <c r="F307" s="40"/>
      <c r="G307" s="40"/>
      <c r="H307" s="40"/>
      <c r="I307" s="40"/>
      <c r="J307" s="245">
        <f>IF(OR(J296="Not Calculated",J303="Not Calculated")=TRUE,"Not Calculated",AVERAGE(J296,J303))</f>
        <v>2</v>
      </c>
      <c r="K307" s="41"/>
    </row>
    <row r="308" spans="2:11" x14ac:dyDescent="0.2">
      <c r="B308" s="38"/>
      <c r="C308" s="40"/>
      <c r="D308" s="40"/>
      <c r="E308" s="40"/>
      <c r="F308" s="40"/>
      <c r="G308" s="40"/>
      <c r="H308" s="40"/>
      <c r="I308" s="40"/>
      <c r="J308" s="40"/>
      <c r="K308" s="41"/>
    </row>
    <row r="309" spans="2:11" x14ac:dyDescent="0.2">
      <c r="B309" s="38"/>
      <c r="C309" s="40"/>
      <c r="D309" s="40"/>
      <c r="E309" s="40"/>
      <c r="F309" s="40"/>
      <c r="G309" s="40"/>
      <c r="H309" s="40"/>
      <c r="I309" s="40"/>
      <c r="J309" s="40"/>
      <c r="K309" s="41"/>
    </row>
    <row r="310" spans="2:11" ht="16" x14ac:dyDescent="0.2">
      <c r="B310" s="38"/>
      <c r="C310" s="45" t="s">
        <v>857</v>
      </c>
      <c r="D310" s="40"/>
      <c r="E310" s="40"/>
      <c r="F310" s="40"/>
      <c r="G310" s="40"/>
      <c r="H310" s="40"/>
      <c r="I310" s="40"/>
      <c r="J310" s="40"/>
      <c r="K310" s="41"/>
    </row>
    <row r="311" spans="2:11" x14ac:dyDescent="0.2">
      <c r="B311" s="38"/>
      <c r="C311" s="380" t="s">
        <v>843</v>
      </c>
      <c r="D311" s="380"/>
      <c r="E311" s="380"/>
      <c r="F311" s="380"/>
      <c r="G311" s="380"/>
      <c r="H311" s="380"/>
      <c r="I311" s="380"/>
      <c r="J311" s="40"/>
      <c r="K311" s="41"/>
    </row>
    <row r="312" spans="2:11" x14ac:dyDescent="0.2">
      <c r="B312" s="38"/>
      <c r="C312" s="380"/>
      <c r="D312" s="380"/>
      <c r="E312" s="380"/>
      <c r="F312" s="380"/>
      <c r="G312" s="380"/>
      <c r="H312" s="380"/>
      <c r="I312" s="380"/>
      <c r="J312" s="264">
        <v>0</v>
      </c>
      <c r="K312" s="41"/>
    </row>
    <row r="313" spans="2:11" x14ac:dyDescent="0.2">
      <c r="B313" s="38"/>
      <c r="C313" s="40" t="s">
        <v>853</v>
      </c>
      <c r="D313" s="291"/>
      <c r="E313" s="291"/>
      <c r="F313" s="291"/>
      <c r="G313" s="291"/>
      <c r="H313" s="291"/>
      <c r="I313" s="291"/>
      <c r="J313" s="255">
        <f>'Baseline Health'!$G$102</f>
        <v>0</v>
      </c>
      <c r="K313" s="41"/>
    </row>
    <row r="314" spans="2:11" x14ac:dyDescent="0.2">
      <c r="B314" s="38"/>
      <c r="C314" s="40" t="s">
        <v>842</v>
      </c>
      <c r="D314" s="40"/>
      <c r="E314" s="40"/>
      <c r="F314" s="40"/>
      <c r="G314" s="40"/>
      <c r="H314" s="40"/>
      <c r="I314" s="40"/>
      <c r="J314" s="244" t="str">
        <f>IF('Baseline Health'!$G$102=0,"Not Calculated",100*J312/'Baseline Health'!$G$102)</f>
        <v>Not Calculated</v>
      </c>
      <c r="K314" s="41"/>
    </row>
    <row r="315" spans="2:11" x14ac:dyDescent="0.2">
      <c r="B315" s="38"/>
      <c r="C315" s="40" t="s">
        <v>260</v>
      </c>
      <c r="D315" s="40"/>
      <c r="E315" s="40"/>
      <c r="F315" s="40"/>
      <c r="G315" s="40"/>
      <c r="H315" s="40"/>
      <c r="I315" s="40"/>
      <c r="J315" s="245">
        <f>IF(J314&lt;=0,0,IF(J314&lt;=1,1,IF(J314&lt;=5,2,IF(J314&lt;=10,3,4))))</f>
        <v>4</v>
      </c>
      <c r="K315" s="41"/>
    </row>
    <row r="316" spans="2:11" ht="9.75" customHeight="1" x14ac:dyDescent="0.2">
      <c r="B316" s="38"/>
      <c r="C316" s="279" t="str">
        <f>"0:"</f>
        <v>0:</v>
      </c>
      <c r="D316" s="278" t="s">
        <v>932</v>
      </c>
      <c r="E316" s="40"/>
      <c r="F316" s="40"/>
      <c r="G316" s="40"/>
      <c r="H316" s="40"/>
      <c r="I316" s="40"/>
      <c r="J316" s="244"/>
      <c r="K316" s="41"/>
    </row>
    <row r="317" spans="2:11" ht="9.75" customHeight="1" x14ac:dyDescent="0.2">
      <c r="B317" s="38"/>
      <c r="C317" s="280" t="str">
        <f>"1:"</f>
        <v>1:</v>
      </c>
      <c r="D317" s="278" t="s">
        <v>934</v>
      </c>
      <c r="E317" s="40"/>
      <c r="F317" s="40"/>
      <c r="G317" s="40"/>
      <c r="H317" s="40"/>
      <c r="I317" s="40"/>
      <c r="J317" s="244"/>
      <c r="K317" s="41"/>
    </row>
    <row r="318" spans="2:11" ht="9.75" customHeight="1" x14ac:dyDescent="0.2">
      <c r="B318" s="38"/>
      <c r="C318" s="280" t="str">
        <f>"2:"</f>
        <v>2:</v>
      </c>
      <c r="D318" s="278" t="s">
        <v>933</v>
      </c>
      <c r="E318" s="40"/>
      <c r="F318" s="40"/>
      <c r="G318" s="40"/>
      <c r="H318" s="40"/>
      <c r="I318" s="40"/>
      <c r="J318" s="244"/>
      <c r="K318" s="41"/>
    </row>
    <row r="319" spans="2:11" ht="9.75" customHeight="1" x14ac:dyDescent="0.2">
      <c r="B319" s="38"/>
      <c r="C319" s="280" t="str">
        <f>"3:"</f>
        <v>3:</v>
      </c>
      <c r="D319" s="278" t="s">
        <v>935</v>
      </c>
      <c r="E319" s="40"/>
      <c r="F319" s="40"/>
      <c r="G319" s="40"/>
      <c r="H319" s="40"/>
      <c r="I319" s="40"/>
      <c r="J319" s="244"/>
      <c r="K319" s="41"/>
    </row>
    <row r="320" spans="2:11" ht="9.75" customHeight="1" x14ac:dyDescent="0.2">
      <c r="B320" s="38"/>
      <c r="C320" s="280" t="str">
        <f>"4:"</f>
        <v>4:</v>
      </c>
      <c r="D320" s="278" t="s">
        <v>936</v>
      </c>
      <c r="E320" s="40"/>
      <c r="F320" s="40"/>
      <c r="G320" s="40"/>
      <c r="H320" s="40"/>
      <c r="I320" s="40"/>
      <c r="J320" s="40"/>
      <c r="K320" s="41"/>
    </row>
    <row r="321" spans="2:11" x14ac:dyDescent="0.2">
      <c r="B321" s="38"/>
      <c r="C321" s="40" t="s">
        <v>296</v>
      </c>
      <c r="D321" s="40"/>
      <c r="E321" s="40"/>
      <c r="F321" s="40"/>
      <c r="G321" s="40"/>
      <c r="H321" s="40"/>
      <c r="I321" s="40"/>
      <c r="J321" s="266">
        <v>0</v>
      </c>
      <c r="K321" s="41"/>
    </row>
    <row r="322" spans="2:11" x14ac:dyDescent="0.2">
      <c r="B322" s="38"/>
      <c r="C322" s="40" t="s">
        <v>261</v>
      </c>
      <c r="D322" s="40"/>
      <c r="E322" s="40"/>
      <c r="F322" s="40"/>
      <c r="G322" s="40"/>
      <c r="H322" s="40"/>
      <c r="I322" s="40"/>
      <c r="J322" s="245">
        <f>IF(J321&lt;=0,0,IF(J321&lt;=2,1,IF(J321&lt;=6,2,IF(J321&lt;=12,3,4))))</f>
        <v>0</v>
      </c>
      <c r="K322" s="41"/>
    </row>
    <row r="323" spans="2:11" x14ac:dyDescent="0.2">
      <c r="B323" s="38"/>
      <c r="C323" s="40" t="s">
        <v>893</v>
      </c>
      <c r="D323" s="40"/>
      <c r="E323" s="40"/>
      <c r="F323" s="40"/>
      <c r="G323" s="40"/>
      <c r="H323" s="40"/>
      <c r="I323" s="40"/>
      <c r="J323" s="40"/>
      <c r="K323" s="41"/>
    </row>
    <row r="324" spans="2:11" ht="30" customHeight="1" x14ac:dyDescent="0.2">
      <c r="B324" s="38"/>
      <c r="C324" s="399"/>
      <c r="D324" s="400"/>
      <c r="E324" s="400"/>
      <c r="F324" s="400"/>
      <c r="G324" s="400"/>
      <c r="H324" s="400"/>
      <c r="I324" s="400"/>
      <c r="J324" s="401"/>
      <c r="K324" s="41"/>
    </row>
    <row r="325" spans="2:11" x14ac:dyDescent="0.2">
      <c r="B325" s="38"/>
      <c r="C325" s="40"/>
      <c r="D325" s="40"/>
      <c r="E325" s="40"/>
      <c r="F325" s="40"/>
      <c r="G325" s="40"/>
      <c r="H325" s="40"/>
      <c r="I325" s="40"/>
      <c r="J325" s="40"/>
      <c r="K325" s="41"/>
    </row>
    <row r="326" spans="2:11" x14ac:dyDescent="0.2">
      <c r="B326" s="38"/>
      <c r="C326" s="179" t="s">
        <v>886</v>
      </c>
      <c r="D326" s="40"/>
      <c r="E326" s="40"/>
      <c r="F326" s="40"/>
      <c r="G326" s="40"/>
      <c r="H326" s="40"/>
      <c r="I326" s="40"/>
      <c r="J326" s="245">
        <f>IF(OR(J315="Not Calculated",J322="Not Calculated")=TRUE,"Not Calculated",AVERAGE(J315,J322))</f>
        <v>2</v>
      </c>
      <c r="K326" s="41"/>
    </row>
    <row r="327" spans="2:11" x14ac:dyDescent="0.2">
      <c r="B327" s="38"/>
      <c r="C327" s="40"/>
      <c r="D327" s="40"/>
      <c r="E327" s="40"/>
      <c r="F327" s="40"/>
      <c r="G327" s="40"/>
      <c r="H327" s="40"/>
      <c r="I327" s="40"/>
      <c r="J327" s="40"/>
      <c r="K327" s="41"/>
    </row>
    <row r="328" spans="2:11" x14ac:dyDescent="0.2">
      <c r="B328" s="38"/>
      <c r="C328" s="40"/>
      <c r="D328" s="40"/>
      <c r="E328" s="40"/>
      <c r="F328" s="40"/>
      <c r="G328" s="40"/>
      <c r="H328" s="40"/>
      <c r="I328" s="40"/>
      <c r="J328" s="40"/>
      <c r="K328" s="41"/>
    </row>
    <row r="329" spans="2:11" ht="16" x14ac:dyDescent="0.2">
      <c r="B329" s="38"/>
      <c r="C329" s="45" t="s">
        <v>858</v>
      </c>
      <c r="D329" s="40"/>
      <c r="E329" s="40"/>
      <c r="F329" s="40"/>
      <c r="G329" s="40"/>
      <c r="H329" s="40"/>
      <c r="I329" s="40"/>
      <c r="J329" s="40"/>
      <c r="K329" s="41"/>
    </row>
    <row r="330" spans="2:11" ht="15" customHeight="1" x14ac:dyDescent="0.2">
      <c r="B330" s="38"/>
      <c r="C330" s="380" t="s">
        <v>844</v>
      </c>
      <c r="D330" s="380"/>
      <c r="E330" s="380"/>
      <c r="F330" s="380"/>
      <c r="G330" s="380"/>
      <c r="H330" s="380"/>
      <c r="I330" s="380"/>
      <c r="J330" s="40"/>
      <c r="K330" s="41"/>
    </row>
    <row r="331" spans="2:11" x14ac:dyDescent="0.2">
      <c r="B331" s="38"/>
      <c r="C331" s="380"/>
      <c r="D331" s="380"/>
      <c r="E331" s="380"/>
      <c r="F331" s="380"/>
      <c r="G331" s="380"/>
      <c r="H331" s="380"/>
      <c r="I331" s="380"/>
      <c r="J331" s="264">
        <v>0</v>
      </c>
      <c r="K331" s="41"/>
    </row>
    <row r="332" spans="2:11" x14ac:dyDescent="0.2">
      <c r="B332" s="38"/>
      <c r="C332" s="40" t="s">
        <v>853</v>
      </c>
      <c r="D332" s="291"/>
      <c r="E332" s="291"/>
      <c r="F332" s="291"/>
      <c r="G332" s="291"/>
      <c r="H332" s="291"/>
      <c r="I332" s="291"/>
      <c r="J332" s="255">
        <f>'Baseline Health'!$G$102</f>
        <v>0</v>
      </c>
      <c r="K332" s="41"/>
    </row>
    <row r="333" spans="2:11" x14ac:dyDescent="0.2">
      <c r="B333" s="38"/>
      <c r="C333" s="40" t="s">
        <v>845</v>
      </c>
      <c r="D333" s="40"/>
      <c r="E333" s="40"/>
      <c r="F333" s="40"/>
      <c r="G333" s="40"/>
      <c r="H333" s="40"/>
      <c r="I333" s="40"/>
      <c r="J333" s="244" t="str">
        <f>IF('Baseline Health'!$G$102=0,"Not Calculated",100*J331/'Baseline Health'!$G$102)</f>
        <v>Not Calculated</v>
      </c>
      <c r="K333" s="41"/>
    </row>
    <row r="334" spans="2:11" x14ac:dyDescent="0.2">
      <c r="B334" s="38"/>
      <c r="C334" s="40" t="s">
        <v>260</v>
      </c>
      <c r="D334" s="40"/>
      <c r="E334" s="40"/>
      <c r="F334" s="40"/>
      <c r="G334" s="40"/>
      <c r="H334" s="40"/>
      <c r="I334" s="40"/>
      <c r="J334" s="245">
        <f>IF(J333&lt;=0,0,IF(J333&lt;=1,1,IF(J333&lt;=5,2,IF(J333&lt;=10,3,4))))</f>
        <v>4</v>
      </c>
      <c r="K334" s="41"/>
    </row>
    <row r="335" spans="2:11" ht="9.75" customHeight="1" x14ac:dyDescent="0.2">
      <c r="B335" s="38"/>
      <c r="C335" s="279" t="str">
        <f>"0:"</f>
        <v>0:</v>
      </c>
      <c r="D335" s="278" t="s">
        <v>932</v>
      </c>
      <c r="E335" s="40"/>
      <c r="F335" s="40"/>
      <c r="G335" s="40"/>
      <c r="H335" s="40"/>
      <c r="I335" s="40"/>
      <c r="J335" s="244"/>
      <c r="K335" s="41"/>
    </row>
    <row r="336" spans="2:11" ht="9.75" customHeight="1" x14ac:dyDescent="0.2">
      <c r="B336" s="38"/>
      <c r="C336" s="280" t="str">
        <f>"1:"</f>
        <v>1:</v>
      </c>
      <c r="D336" s="278" t="s">
        <v>934</v>
      </c>
      <c r="E336" s="40"/>
      <c r="F336" s="40"/>
      <c r="G336" s="40"/>
      <c r="H336" s="40"/>
      <c r="I336" s="40"/>
      <c r="J336" s="244"/>
      <c r="K336" s="41"/>
    </row>
    <row r="337" spans="2:11" ht="9.75" customHeight="1" x14ac:dyDescent="0.2">
      <c r="B337" s="38"/>
      <c r="C337" s="280" t="str">
        <f>"2:"</f>
        <v>2:</v>
      </c>
      <c r="D337" s="278" t="s">
        <v>933</v>
      </c>
      <c r="E337" s="40"/>
      <c r="F337" s="40"/>
      <c r="G337" s="40"/>
      <c r="H337" s="40"/>
      <c r="I337" s="40"/>
      <c r="J337" s="244"/>
      <c r="K337" s="41"/>
    </row>
    <row r="338" spans="2:11" ht="9.75" customHeight="1" x14ac:dyDescent="0.2">
      <c r="B338" s="38"/>
      <c r="C338" s="280" t="str">
        <f>"3:"</f>
        <v>3:</v>
      </c>
      <c r="D338" s="278" t="s">
        <v>935</v>
      </c>
      <c r="E338" s="40"/>
      <c r="F338" s="40"/>
      <c r="G338" s="40"/>
      <c r="H338" s="40"/>
      <c r="I338" s="40"/>
      <c r="J338" s="244"/>
      <c r="K338" s="41"/>
    </row>
    <row r="339" spans="2:11" ht="9.75" customHeight="1" x14ac:dyDescent="0.2">
      <c r="B339" s="38"/>
      <c r="C339" s="280" t="str">
        <f>"4:"</f>
        <v>4:</v>
      </c>
      <c r="D339" s="278" t="s">
        <v>936</v>
      </c>
      <c r="E339" s="40"/>
      <c r="F339" s="40"/>
      <c r="G339" s="40"/>
      <c r="H339" s="40"/>
      <c r="I339" s="40"/>
      <c r="J339" s="40"/>
      <c r="K339" s="41"/>
    </row>
    <row r="340" spans="2:11" x14ac:dyDescent="0.2">
      <c r="B340" s="38"/>
      <c r="C340" s="380" t="s">
        <v>84</v>
      </c>
      <c r="D340" s="380"/>
      <c r="E340" s="380"/>
      <c r="F340" s="380"/>
      <c r="G340" s="380"/>
      <c r="H340" s="380"/>
      <c r="I340" s="380"/>
      <c r="J340" s="245"/>
      <c r="K340" s="41"/>
    </row>
    <row r="341" spans="2:11" x14ac:dyDescent="0.2">
      <c r="B341" s="38"/>
      <c r="C341" s="380"/>
      <c r="D341" s="380"/>
      <c r="E341" s="380"/>
      <c r="F341" s="380"/>
      <c r="G341" s="380"/>
      <c r="H341" s="380"/>
      <c r="I341" s="380"/>
      <c r="J341" s="245">
        <f>'Baseline Health'!G108</f>
        <v>40</v>
      </c>
      <c r="K341" s="41"/>
    </row>
    <row r="342" spans="2:11" ht="15" customHeight="1" x14ac:dyDescent="0.2">
      <c r="B342" s="38"/>
      <c r="C342" s="40" t="s">
        <v>833</v>
      </c>
      <c r="D342" s="40"/>
      <c r="E342" s="40"/>
      <c r="F342" s="40"/>
      <c r="G342" s="40"/>
      <c r="H342" s="40"/>
      <c r="I342" s="40"/>
      <c r="J342" s="245">
        <f>IF(J341&gt;J321,0,J321-J341)</f>
        <v>0</v>
      </c>
      <c r="K342" s="41"/>
    </row>
    <row r="343" spans="2:11" x14ac:dyDescent="0.2">
      <c r="B343" s="38"/>
      <c r="C343" s="40"/>
      <c r="D343" s="380" t="s">
        <v>834</v>
      </c>
      <c r="E343" s="380"/>
      <c r="F343" s="380"/>
      <c r="G343" s="380"/>
      <c r="H343" s="380"/>
      <c r="I343" s="380"/>
      <c r="J343" s="40"/>
      <c r="K343" s="41"/>
    </row>
    <row r="344" spans="2:11" x14ac:dyDescent="0.2">
      <c r="B344" s="38"/>
      <c r="C344" s="40"/>
      <c r="D344" s="380"/>
      <c r="E344" s="380"/>
      <c r="F344" s="380"/>
      <c r="G344" s="380"/>
      <c r="H344" s="380"/>
      <c r="I344" s="380"/>
      <c r="J344" s="40"/>
      <c r="K344" s="41"/>
    </row>
    <row r="345" spans="2:11" x14ac:dyDescent="0.2">
      <c r="B345" s="38"/>
      <c r="C345" s="40" t="s">
        <v>261</v>
      </c>
      <c r="D345" s="40"/>
      <c r="E345" s="40"/>
      <c r="F345" s="40"/>
      <c r="G345" s="40"/>
      <c r="H345" s="40"/>
      <c r="I345" s="40"/>
      <c r="J345" s="245">
        <f>IF(J342&lt;=0,0,IF(J342&lt;=2,1,IF(J342&lt;=6,2,IF(J342&lt;=12,3,4))))</f>
        <v>0</v>
      </c>
      <c r="K345" s="41"/>
    </row>
    <row r="346" spans="2:11" x14ac:dyDescent="0.2">
      <c r="B346" s="38"/>
      <c r="C346" s="40" t="s">
        <v>893</v>
      </c>
      <c r="D346" s="40"/>
      <c r="E346" s="40"/>
      <c r="F346" s="40"/>
      <c r="G346" s="40"/>
      <c r="H346" s="40"/>
      <c r="I346" s="40"/>
      <c r="J346" s="40"/>
      <c r="K346" s="41"/>
    </row>
    <row r="347" spans="2:11" ht="30" customHeight="1" x14ac:dyDescent="0.2">
      <c r="B347" s="38"/>
      <c r="C347" s="399"/>
      <c r="D347" s="400"/>
      <c r="E347" s="400"/>
      <c r="F347" s="400"/>
      <c r="G347" s="400"/>
      <c r="H347" s="400"/>
      <c r="I347" s="400"/>
      <c r="J347" s="401"/>
      <c r="K347" s="41"/>
    </row>
    <row r="348" spans="2:11" x14ac:dyDescent="0.2">
      <c r="B348" s="38"/>
      <c r="C348" s="40"/>
      <c r="D348" s="40"/>
      <c r="E348" s="40"/>
      <c r="F348" s="40"/>
      <c r="G348" s="40"/>
      <c r="H348" s="40"/>
      <c r="I348" s="40"/>
      <c r="J348" s="40"/>
      <c r="K348" s="41"/>
    </row>
    <row r="349" spans="2:11" x14ac:dyDescent="0.2">
      <c r="B349" s="38"/>
      <c r="C349" s="179" t="s">
        <v>887</v>
      </c>
      <c r="D349" s="40"/>
      <c r="E349" s="40"/>
      <c r="F349" s="40"/>
      <c r="G349" s="40"/>
      <c r="H349" s="40"/>
      <c r="I349" s="40"/>
      <c r="J349" s="245">
        <f>IF(OR(J334="Not Calculated",J345="Not Calculated")=TRUE,"Not Calculated",AVERAGE(J334,J345))</f>
        <v>2</v>
      </c>
      <c r="K349" s="41"/>
    </row>
    <row r="350" spans="2:11" x14ac:dyDescent="0.2">
      <c r="B350" s="38"/>
      <c r="C350" s="40"/>
      <c r="D350" s="40"/>
      <c r="E350" s="40"/>
      <c r="F350" s="40"/>
      <c r="G350" s="40"/>
      <c r="H350" s="40"/>
      <c r="I350" s="40"/>
      <c r="J350" s="40"/>
      <c r="K350" s="41"/>
    </row>
    <row r="351" spans="2:11" x14ac:dyDescent="0.2">
      <c r="B351" s="38"/>
      <c r="C351" s="40"/>
      <c r="D351" s="40"/>
      <c r="E351" s="40"/>
      <c r="F351" s="40"/>
      <c r="G351" s="40"/>
      <c r="H351" s="40"/>
      <c r="I351" s="40"/>
      <c r="J351" s="40"/>
      <c r="K351" s="41"/>
    </row>
    <row r="352" spans="2:11" ht="15" customHeight="1" x14ac:dyDescent="0.2">
      <c r="B352" s="38"/>
      <c r="C352" s="45" t="s">
        <v>859</v>
      </c>
      <c r="D352" s="40"/>
      <c r="E352" s="40"/>
      <c r="F352" s="40"/>
      <c r="G352" s="40"/>
      <c r="H352" s="40"/>
      <c r="I352" s="40"/>
      <c r="J352" s="40"/>
      <c r="K352" s="41"/>
    </row>
    <row r="353" spans="2:11" x14ac:dyDescent="0.2">
      <c r="B353" s="38"/>
      <c r="C353" s="40" t="s">
        <v>846</v>
      </c>
      <c r="D353" s="40"/>
      <c r="E353" s="40"/>
      <c r="F353" s="40"/>
      <c r="G353" s="40"/>
      <c r="H353" s="40"/>
      <c r="I353" s="40"/>
      <c r="J353" s="264">
        <v>0</v>
      </c>
      <c r="K353" s="41"/>
    </row>
    <row r="354" spans="2:11" x14ac:dyDescent="0.2">
      <c r="B354" s="38"/>
      <c r="C354" s="40" t="s">
        <v>854</v>
      </c>
      <c r="D354" s="40"/>
      <c r="E354" s="40"/>
      <c r="F354" s="40"/>
      <c r="G354" s="40"/>
      <c r="H354" s="40"/>
      <c r="I354" s="40"/>
      <c r="J354" s="255">
        <f>'Baseline Health'!$G$59</f>
        <v>0</v>
      </c>
      <c r="K354" s="41"/>
    </row>
    <row r="355" spans="2:11" x14ac:dyDescent="0.2">
      <c r="B355" s="38"/>
      <c r="C355" s="40" t="s">
        <v>847</v>
      </c>
      <c r="D355" s="40"/>
      <c r="E355" s="40"/>
      <c r="F355" s="40"/>
      <c r="G355" s="40"/>
      <c r="H355" s="40"/>
      <c r="I355" s="40"/>
      <c r="J355" s="244">
        <f>IF(J353=0,0,IF('Baseline Health'!G$59=0,"Not Calculated",100*J353/'Baseline Health'!$G$59))</f>
        <v>0</v>
      </c>
      <c r="K355" s="41"/>
    </row>
    <row r="356" spans="2:11" x14ac:dyDescent="0.2">
      <c r="B356" s="38"/>
      <c r="C356" s="40" t="s">
        <v>260</v>
      </c>
      <c r="D356" s="40"/>
      <c r="E356" s="40"/>
      <c r="F356" s="40"/>
      <c r="G356" s="40"/>
      <c r="H356" s="40"/>
      <c r="I356" s="40"/>
      <c r="J356" s="245">
        <f>IF(J355&lt;=0,0,IF(J355&lt;=5,1,IF(J355&lt;=10,2,IF(J355&lt;=25,3,4))))</f>
        <v>0</v>
      </c>
      <c r="K356" s="41"/>
    </row>
    <row r="357" spans="2:11" ht="9.75" customHeight="1" x14ac:dyDescent="0.2">
      <c r="B357" s="38"/>
      <c r="C357" s="279" t="str">
        <f>"0:"</f>
        <v>0:</v>
      </c>
      <c r="D357" s="278" t="s">
        <v>932</v>
      </c>
      <c r="E357" s="40"/>
      <c r="F357" s="40"/>
      <c r="G357" s="40"/>
      <c r="H357" s="40"/>
      <c r="I357" s="40"/>
      <c r="J357" s="244"/>
      <c r="K357" s="41"/>
    </row>
    <row r="358" spans="2:11" ht="9.75" customHeight="1" x14ac:dyDescent="0.2">
      <c r="B358" s="38"/>
      <c r="C358" s="280" t="str">
        <f>"1:"</f>
        <v>1:</v>
      </c>
      <c r="D358" s="278" t="s">
        <v>933</v>
      </c>
      <c r="E358" s="40"/>
      <c r="F358" s="40"/>
      <c r="G358" s="40"/>
      <c r="H358" s="40"/>
      <c r="I358" s="40"/>
      <c r="J358" s="244"/>
      <c r="K358" s="41"/>
    </row>
    <row r="359" spans="2:11" ht="9.75" customHeight="1" x14ac:dyDescent="0.2">
      <c r="B359" s="38"/>
      <c r="C359" s="280" t="str">
        <f>"2:"</f>
        <v>2:</v>
      </c>
      <c r="D359" s="278" t="s">
        <v>935</v>
      </c>
      <c r="E359" s="40"/>
      <c r="F359" s="40"/>
      <c r="G359" s="40"/>
      <c r="H359" s="40"/>
      <c r="I359" s="40"/>
      <c r="J359" s="244"/>
      <c r="K359" s="41"/>
    </row>
    <row r="360" spans="2:11" ht="9.75" customHeight="1" x14ac:dyDescent="0.2">
      <c r="B360" s="38"/>
      <c r="C360" s="280" t="str">
        <f>"3:"</f>
        <v>3:</v>
      </c>
      <c r="D360" s="278" t="s">
        <v>937</v>
      </c>
      <c r="E360" s="40"/>
      <c r="F360" s="40"/>
      <c r="G360" s="40"/>
      <c r="H360" s="40"/>
      <c r="I360" s="40"/>
      <c r="J360" s="244"/>
      <c r="K360" s="41"/>
    </row>
    <row r="361" spans="2:11" ht="9.75" customHeight="1" x14ac:dyDescent="0.2">
      <c r="B361" s="38"/>
      <c r="C361" s="280" t="str">
        <f>"4:"</f>
        <v>4:</v>
      </c>
      <c r="D361" s="278" t="s">
        <v>938</v>
      </c>
      <c r="E361" s="40"/>
      <c r="F361" s="40"/>
      <c r="G361" s="40"/>
      <c r="H361" s="40"/>
      <c r="I361" s="40"/>
      <c r="J361" s="40"/>
      <c r="K361" s="41"/>
    </row>
    <row r="362" spans="2:11" x14ac:dyDescent="0.2">
      <c r="B362" s="38"/>
      <c r="C362" s="40" t="s">
        <v>257</v>
      </c>
      <c r="D362" s="40"/>
      <c r="E362" s="40"/>
      <c r="F362" s="40"/>
      <c r="G362" s="40"/>
      <c r="H362" s="40"/>
      <c r="I362" s="40"/>
      <c r="J362" s="266" t="s">
        <v>870</v>
      </c>
      <c r="K362" s="41"/>
    </row>
    <row r="363" spans="2:11" x14ac:dyDescent="0.2">
      <c r="B363" s="38"/>
      <c r="C363" s="40" t="s">
        <v>261</v>
      </c>
      <c r="D363" s="40"/>
      <c r="E363" s="40"/>
      <c r="F363" s="40"/>
      <c r="G363" s="40"/>
      <c r="H363" s="40"/>
      <c r="I363" s="40"/>
      <c r="J363" s="245">
        <f>IF(J362=$B$980,$A$980,IF(J362=$B$981,$A$981,IF(J362=$B$982,$A$982,IF(J362=$B$983,$A$983,IF(J362=$B$984,$A$984,"Not Calculated")))))</f>
        <v>0</v>
      </c>
      <c r="K363" s="41"/>
    </row>
    <row r="364" spans="2:11" x14ac:dyDescent="0.2">
      <c r="B364" s="38"/>
      <c r="C364" s="40" t="s">
        <v>893</v>
      </c>
      <c r="D364" s="40"/>
      <c r="E364" s="40"/>
      <c r="F364" s="40"/>
      <c r="G364" s="40"/>
      <c r="H364" s="40"/>
      <c r="I364" s="40"/>
      <c r="J364" s="40"/>
      <c r="K364" s="41"/>
    </row>
    <row r="365" spans="2:11" ht="30" customHeight="1" x14ac:dyDescent="0.2">
      <c r="B365" s="38"/>
      <c r="C365" s="399"/>
      <c r="D365" s="400"/>
      <c r="E365" s="400"/>
      <c r="F365" s="400"/>
      <c r="G365" s="400"/>
      <c r="H365" s="400"/>
      <c r="I365" s="400"/>
      <c r="J365" s="401"/>
      <c r="K365" s="41"/>
    </row>
    <row r="366" spans="2:11" x14ac:dyDescent="0.2">
      <c r="B366" s="38"/>
      <c r="C366" s="40"/>
      <c r="D366" s="40"/>
      <c r="E366" s="40"/>
      <c r="F366" s="40"/>
      <c r="G366" s="40"/>
      <c r="H366" s="40"/>
      <c r="I366" s="40"/>
      <c r="J366" s="40"/>
      <c r="K366" s="41"/>
    </row>
    <row r="367" spans="2:11" x14ac:dyDescent="0.2">
      <c r="B367" s="38"/>
      <c r="C367" s="179" t="s">
        <v>888</v>
      </c>
      <c r="D367" s="40"/>
      <c r="E367" s="40"/>
      <c r="F367" s="40"/>
      <c r="G367" s="40"/>
      <c r="H367" s="40"/>
      <c r="I367" s="40"/>
      <c r="J367" s="245">
        <f>IF(OR(J356="Not Calculated",J363="Not Calculated")=TRUE,"Not Calculated",AVERAGE(J356,J363))</f>
        <v>0</v>
      </c>
      <c r="K367" s="41"/>
    </row>
    <row r="368" spans="2:11" x14ac:dyDescent="0.2">
      <c r="B368" s="38"/>
      <c r="C368" s="40"/>
      <c r="D368" s="40"/>
      <c r="E368" s="40"/>
      <c r="F368" s="40"/>
      <c r="G368" s="40"/>
      <c r="H368" s="40"/>
      <c r="I368" s="40"/>
      <c r="J368" s="40"/>
      <c r="K368" s="41"/>
    </row>
    <row r="369" spans="2:11" x14ac:dyDescent="0.2">
      <c r="B369" s="38"/>
      <c r="C369" s="40"/>
      <c r="D369" s="40"/>
      <c r="E369" s="40"/>
      <c r="F369" s="40"/>
      <c r="G369" s="40"/>
      <c r="H369" s="40"/>
      <c r="I369" s="40"/>
      <c r="J369" s="40"/>
      <c r="K369" s="41"/>
    </row>
    <row r="370" spans="2:11" ht="16" x14ac:dyDescent="0.2">
      <c r="B370" s="38"/>
      <c r="C370" s="45" t="s">
        <v>863</v>
      </c>
      <c r="D370" s="40"/>
      <c r="E370" s="40"/>
      <c r="F370" s="40"/>
      <c r="G370" s="40"/>
      <c r="H370" s="40"/>
      <c r="I370" s="40"/>
      <c r="J370" s="40"/>
      <c r="K370" s="41"/>
    </row>
    <row r="371" spans="2:11" ht="15" customHeight="1" x14ac:dyDescent="0.2">
      <c r="B371" s="38"/>
      <c r="C371" s="380" t="s">
        <v>848</v>
      </c>
      <c r="D371" s="380"/>
      <c r="E371" s="380"/>
      <c r="F371" s="380"/>
      <c r="G371" s="380"/>
      <c r="H371" s="380"/>
      <c r="I371" s="380"/>
      <c r="J371" s="181"/>
      <c r="K371" s="41"/>
    </row>
    <row r="372" spans="2:11" x14ac:dyDescent="0.2">
      <c r="B372" s="38"/>
      <c r="C372" s="380"/>
      <c r="D372" s="380"/>
      <c r="E372" s="380"/>
      <c r="F372" s="380"/>
      <c r="G372" s="380"/>
      <c r="H372" s="380"/>
      <c r="I372" s="380"/>
      <c r="J372" s="264">
        <v>0</v>
      </c>
      <c r="K372" s="41"/>
    </row>
    <row r="373" spans="2:11" x14ac:dyDescent="0.2">
      <c r="B373" s="38"/>
      <c r="C373" s="40" t="s">
        <v>853</v>
      </c>
      <c r="D373" s="291"/>
      <c r="E373" s="291"/>
      <c r="F373" s="291"/>
      <c r="G373" s="291"/>
      <c r="H373" s="291"/>
      <c r="I373" s="291"/>
      <c r="J373" s="255">
        <f>'Baseline Health'!$G$102</f>
        <v>0</v>
      </c>
      <c r="K373" s="41"/>
    </row>
    <row r="374" spans="2:11" x14ac:dyDescent="0.2">
      <c r="B374" s="38"/>
      <c r="C374" s="40" t="s">
        <v>842</v>
      </c>
      <c r="D374" s="291"/>
      <c r="E374" s="291"/>
      <c r="F374" s="291"/>
      <c r="G374" s="291"/>
      <c r="H374" s="291"/>
      <c r="I374" s="291"/>
      <c r="J374" s="244" t="str">
        <f>IF('Baseline Health'!$G$102=0,"Not Calculated",100*J372/'Baseline Health'!$G$102)</f>
        <v>Not Calculated</v>
      </c>
      <c r="K374" s="41"/>
    </row>
    <row r="375" spans="2:11" x14ac:dyDescent="0.2">
      <c r="B375" s="38"/>
      <c r="C375" s="40" t="s">
        <v>260</v>
      </c>
      <c r="D375" s="40"/>
      <c r="E375" s="40"/>
      <c r="F375" s="40"/>
      <c r="G375" s="40"/>
      <c r="H375" s="40"/>
      <c r="I375" s="40"/>
      <c r="J375" s="251">
        <f>IF(J374&lt;=0,0,IF(J374&lt;=1,1,IF(J374&lt;=5,2,IF(J374&lt;=10,3,4))))</f>
        <v>4</v>
      </c>
      <c r="K375" s="41"/>
    </row>
    <row r="376" spans="2:11" ht="9.75" customHeight="1" x14ac:dyDescent="0.2">
      <c r="B376" s="38"/>
      <c r="C376" s="279" t="str">
        <f>"0:"</f>
        <v>0:</v>
      </c>
      <c r="D376" s="278" t="s">
        <v>932</v>
      </c>
      <c r="E376" s="291"/>
      <c r="F376" s="291"/>
      <c r="G376" s="291"/>
      <c r="H376" s="291"/>
      <c r="I376" s="291"/>
      <c r="J376" s="244"/>
      <c r="K376" s="41"/>
    </row>
    <row r="377" spans="2:11" ht="9.75" customHeight="1" x14ac:dyDescent="0.2">
      <c r="B377" s="38"/>
      <c r="C377" s="280" t="str">
        <f>"1:"</f>
        <v>1:</v>
      </c>
      <c r="D377" s="278" t="s">
        <v>934</v>
      </c>
      <c r="E377" s="291"/>
      <c r="F377" s="291"/>
      <c r="G377" s="291"/>
      <c r="H377" s="291"/>
      <c r="I377" s="291"/>
      <c r="J377" s="244"/>
      <c r="K377" s="41"/>
    </row>
    <row r="378" spans="2:11" ht="9.75" customHeight="1" x14ac:dyDescent="0.2">
      <c r="B378" s="38"/>
      <c r="C378" s="280" t="str">
        <f>"2:"</f>
        <v>2:</v>
      </c>
      <c r="D378" s="278" t="s">
        <v>933</v>
      </c>
      <c r="E378" s="291"/>
      <c r="F378" s="291"/>
      <c r="G378" s="291"/>
      <c r="H378" s="291"/>
      <c r="I378" s="291"/>
      <c r="J378" s="244"/>
      <c r="K378" s="41"/>
    </row>
    <row r="379" spans="2:11" ht="9.75" customHeight="1" x14ac:dyDescent="0.2">
      <c r="B379" s="38"/>
      <c r="C379" s="280" t="str">
        <f>"3:"</f>
        <v>3:</v>
      </c>
      <c r="D379" s="278" t="s">
        <v>935</v>
      </c>
      <c r="E379" s="291"/>
      <c r="F379" s="291"/>
      <c r="G379" s="291"/>
      <c r="H379" s="291"/>
      <c r="I379" s="291"/>
      <c r="J379" s="244"/>
      <c r="K379" s="41"/>
    </row>
    <row r="380" spans="2:11" ht="9.75" customHeight="1" x14ac:dyDescent="0.2">
      <c r="B380" s="38"/>
      <c r="C380" s="280" t="str">
        <f>"4:"</f>
        <v>4:</v>
      </c>
      <c r="D380" s="278" t="s">
        <v>936</v>
      </c>
      <c r="E380" s="40"/>
      <c r="F380" s="40"/>
      <c r="G380" s="40"/>
      <c r="H380" s="40"/>
      <c r="I380" s="40"/>
      <c r="J380" s="40"/>
      <c r="K380" s="41"/>
    </row>
    <row r="381" spans="2:11" x14ac:dyDescent="0.2">
      <c r="B381" s="38"/>
      <c r="C381" s="40" t="s">
        <v>85</v>
      </c>
      <c r="D381" s="40"/>
      <c r="E381" s="40"/>
      <c r="F381" s="40"/>
      <c r="G381" s="40"/>
      <c r="H381" s="40"/>
      <c r="I381" s="40"/>
      <c r="J381" s="254">
        <f>'Baseline Health'!G114</f>
        <v>7</v>
      </c>
      <c r="K381" s="41"/>
    </row>
    <row r="382" spans="2:11" x14ac:dyDescent="0.2">
      <c r="B382" s="38"/>
      <c r="C382" s="40" t="s">
        <v>297</v>
      </c>
      <c r="D382" s="40"/>
      <c r="E382" s="40"/>
      <c r="F382" s="40"/>
      <c r="G382" s="40"/>
      <c r="H382" s="40"/>
      <c r="I382" s="40"/>
      <c r="J382" s="266">
        <v>0</v>
      </c>
      <c r="K382" s="41"/>
    </row>
    <row r="383" spans="2:11" x14ac:dyDescent="0.2">
      <c r="B383" s="38"/>
      <c r="C383" s="40" t="s">
        <v>261</v>
      </c>
      <c r="D383" s="40"/>
      <c r="E383" s="40"/>
      <c r="F383" s="40"/>
      <c r="G383" s="40"/>
      <c r="H383" s="40"/>
      <c r="I383" s="40"/>
      <c r="J383" s="248">
        <f>IF((J382-J381)&lt;1,0,IF((J382-J381)&lt;3,1,IF((J382-J381)&lt;5,2,IF((J382-J381)&lt;7,3,4))))</f>
        <v>0</v>
      </c>
      <c r="K383" s="41"/>
    </row>
    <row r="384" spans="2:11" x14ac:dyDescent="0.2">
      <c r="B384" s="38"/>
      <c r="C384" s="40" t="s">
        <v>893</v>
      </c>
      <c r="D384" s="40"/>
      <c r="E384" s="40"/>
      <c r="F384" s="40"/>
      <c r="G384" s="40"/>
      <c r="H384" s="40"/>
      <c r="I384" s="40"/>
      <c r="J384" s="40"/>
      <c r="K384" s="41"/>
    </row>
    <row r="385" spans="2:11" ht="30" customHeight="1" x14ac:dyDescent="0.2">
      <c r="B385" s="38"/>
      <c r="C385" s="399"/>
      <c r="D385" s="400"/>
      <c r="E385" s="400"/>
      <c r="F385" s="400"/>
      <c r="G385" s="400"/>
      <c r="H385" s="400"/>
      <c r="I385" s="400"/>
      <c r="J385" s="401"/>
      <c r="K385" s="41"/>
    </row>
    <row r="386" spans="2:11" x14ac:dyDescent="0.2">
      <c r="B386" s="38"/>
      <c r="C386" s="40"/>
      <c r="D386" s="40"/>
      <c r="E386" s="40"/>
      <c r="F386" s="40"/>
      <c r="G386" s="40"/>
      <c r="H386" s="40"/>
      <c r="I386" s="40"/>
      <c r="J386" s="40"/>
      <c r="K386" s="41"/>
    </row>
    <row r="387" spans="2:11" x14ac:dyDescent="0.2">
      <c r="B387" s="38"/>
      <c r="C387" s="179" t="s">
        <v>889</v>
      </c>
      <c r="D387" s="40"/>
      <c r="E387" s="40"/>
      <c r="F387" s="40"/>
      <c r="G387" s="40"/>
      <c r="H387" s="40"/>
      <c r="I387" s="40"/>
      <c r="J387" s="245">
        <f>IF(OR(J375="Not Calculated",J383="Not Calculated")=TRUE,"Not Calculated",AVERAGE(J375,J383))</f>
        <v>2</v>
      </c>
      <c r="K387" s="41"/>
    </row>
    <row r="388" spans="2:11" x14ac:dyDescent="0.2">
      <c r="B388" s="38"/>
      <c r="C388" s="40"/>
      <c r="D388" s="40"/>
      <c r="E388" s="40"/>
      <c r="F388" s="40"/>
      <c r="G388" s="40"/>
      <c r="H388" s="40"/>
      <c r="I388" s="40"/>
      <c r="J388" s="40"/>
      <c r="K388" s="41"/>
    </row>
    <row r="389" spans="2:11" x14ac:dyDescent="0.2">
      <c r="B389" s="38"/>
      <c r="C389" s="40"/>
      <c r="D389" s="40"/>
      <c r="E389" s="40"/>
      <c r="F389" s="40"/>
      <c r="G389" s="40"/>
      <c r="H389" s="40"/>
      <c r="I389" s="40"/>
      <c r="J389" s="40"/>
      <c r="K389" s="41"/>
    </row>
    <row r="390" spans="2:11" ht="16" x14ac:dyDescent="0.2">
      <c r="B390" s="38"/>
      <c r="C390" s="45" t="s">
        <v>860</v>
      </c>
      <c r="D390" s="40"/>
      <c r="E390" s="40"/>
      <c r="F390" s="40"/>
      <c r="G390" s="40"/>
      <c r="H390" s="40"/>
      <c r="I390" s="40"/>
      <c r="J390" s="40"/>
      <c r="K390" s="41"/>
    </row>
    <row r="391" spans="2:11" x14ac:dyDescent="0.2">
      <c r="B391" s="38"/>
      <c r="C391" s="380" t="s">
        <v>849</v>
      </c>
      <c r="D391" s="380"/>
      <c r="E391" s="380"/>
      <c r="F391" s="380"/>
      <c r="G391" s="380"/>
      <c r="H391" s="380"/>
      <c r="I391" s="380"/>
      <c r="J391" s="181"/>
      <c r="K391" s="41"/>
    </row>
    <row r="392" spans="2:11" x14ac:dyDescent="0.2">
      <c r="B392" s="38"/>
      <c r="C392" s="380"/>
      <c r="D392" s="380"/>
      <c r="E392" s="380"/>
      <c r="F392" s="380"/>
      <c r="G392" s="380"/>
      <c r="H392" s="380"/>
      <c r="I392" s="380"/>
      <c r="J392" s="264">
        <v>0</v>
      </c>
      <c r="K392" s="41"/>
    </row>
    <row r="393" spans="2:11" x14ac:dyDescent="0.2">
      <c r="B393" s="38"/>
      <c r="C393" s="40" t="s">
        <v>853</v>
      </c>
      <c r="D393" s="291"/>
      <c r="E393" s="291"/>
      <c r="F393" s="291"/>
      <c r="G393" s="291"/>
      <c r="H393" s="291"/>
      <c r="I393" s="291"/>
      <c r="J393" s="255">
        <f>'Baseline Health'!$G$102</f>
        <v>0</v>
      </c>
      <c r="K393" s="41"/>
    </row>
    <row r="394" spans="2:11" ht="15" customHeight="1" x14ac:dyDescent="0.2">
      <c r="B394" s="38"/>
      <c r="C394" s="40" t="s">
        <v>850</v>
      </c>
      <c r="D394" s="291"/>
      <c r="E394" s="291"/>
      <c r="F394" s="291"/>
      <c r="G394" s="291"/>
      <c r="H394" s="291"/>
      <c r="I394" s="291"/>
      <c r="J394" s="244" t="str">
        <f>IF('Baseline Health'!$G$102=0,"Not Calculated",100*J392/'Baseline Health'!$G$102)</f>
        <v>Not Calculated</v>
      </c>
      <c r="K394" s="41"/>
    </row>
    <row r="395" spans="2:11" ht="15" customHeight="1" x14ac:dyDescent="0.2">
      <c r="B395" s="38"/>
      <c r="C395" s="40" t="s">
        <v>260</v>
      </c>
      <c r="D395" s="40"/>
      <c r="E395" s="40"/>
      <c r="F395" s="40"/>
      <c r="G395" s="40"/>
      <c r="H395" s="40"/>
      <c r="I395" s="40"/>
      <c r="J395" s="43">
        <f>IF(J394&lt;=0,0,IF(J394&lt;=1,1,IF(J394&lt;=5,2,IF(J394&lt;=10,3,4))))</f>
        <v>4</v>
      </c>
      <c r="K395" s="41"/>
    </row>
    <row r="396" spans="2:11" ht="9.75" customHeight="1" x14ac:dyDescent="0.2">
      <c r="B396" s="38"/>
      <c r="C396" s="279" t="str">
        <f>"0:"</f>
        <v>0:</v>
      </c>
      <c r="D396" s="278" t="s">
        <v>932</v>
      </c>
      <c r="E396" s="291"/>
      <c r="F396" s="291"/>
      <c r="G396" s="291"/>
      <c r="H396" s="291"/>
      <c r="I396" s="291"/>
      <c r="J396" s="244"/>
      <c r="K396" s="41"/>
    </row>
    <row r="397" spans="2:11" ht="9.75" customHeight="1" x14ac:dyDescent="0.2">
      <c r="B397" s="38"/>
      <c r="C397" s="280" t="str">
        <f>"1:"</f>
        <v>1:</v>
      </c>
      <c r="D397" s="278" t="s">
        <v>934</v>
      </c>
      <c r="E397" s="291"/>
      <c r="F397" s="291"/>
      <c r="G397" s="291"/>
      <c r="H397" s="291"/>
      <c r="I397" s="291"/>
      <c r="J397" s="244"/>
      <c r="K397" s="41"/>
    </row>
    <row r="398" spans="2:11" ht="9.75" customHeight="1" x14ac:dyDescent="0.2">
      <c r="B398" s="38"/>
      <c r="C398" s="280" t="str">
        <f>"2:"</f>
        <v>2:</v>
      </c>
      <c r="D398" s="278" t="s">
        <v>933</v>
      </c>
      <c r="E398" s="291"/>
      <c r="F398" s="291"/>
      <c r="G398" s="291"/>
      <c r="H398" s="291"/>
      <c r="I398" s="291"/>
      <c r="J398" s="244"/>
      <c r="K398" s="41"/>
    </row>
    <row r="399" spans="2:11" ht="9.75" customHeight="1" x14ac:dyDescent="0.2">
      <c r="B399" s="38"/>
      <c r="C399" s="280" t="str">
        <f>"3:"</f>
        <v>3:</v>
      </c>
      <c r="D399" s="278" t="s">
        <v>935</v>
      </c>
      <c r="E399" s="291"/>
      <c r="F399" s="291"/>
      <c r="G399" s="291"/>
      <c r="H399" s="291"/>
      <c r="I399" s="291"/>
      <c r="J399" s="244"/>
      <c r="K399" s="41"/>
    </row>
    <row r="400" spans="2:11" ht="9.75" customHeight="1" x14ac:dyDescent="0.2">
      <c r="B400" s="38"/>
      <c r="C400" s="280" t="str">
        <f>"4:"</f>
        <v>4:</v>
      </c>
      <c r="D400" s="278" t="s">
        <v>936</v>
      </c>
      <c r="E400" s="40"/>
      <c r="F400" s="40"/>
      <c r="G400" s="40"/>
      <c r="H400" s="40"/>
      <c r="I400" s="40"/>
      <c r="J400" s="40"/>
      <c r="K400" s="41"/>
    </row>
    <row r="401" spans="2:11" x14ac:dyDescent="0.2">
      <c r="B401" s="38"/>
      <c r="C401" s="40" t="s">
        <v>893</v>
      </c>
      <c r="D401" s="40"/>
      <c r="E401" s="40"/>
      <c r="F401" s="40"/>
      <c r="G401" s="40"/>
      <c r="H401" s="40"/>
      <c r="I401" s="40"/>
      <c r="J401" s="40"/>
      <c r="K401" s="41"/>
    </row>
    <row r="402" spans="2:11" ht="30" customHeight="1" x14ac:dyDescent="0.2">
      <c r="B402" s="38"/>
      <c r="C402" s="399"/>
      <c r="D402" s="400"/>
      <c r="E402" s="400"/>
      <c r="F402" s="400"/>
      <c r="G402" s="400"/>
      <c r="H402" s="400"/>
      <c r="I402" s="400"/>
      <c r="J402" s="401"/>
      <c r="K402" s="41"/>
    </row>
    <row r="403" spans="2:11" x14ac:dyDescent="0.2">
      <c r="B403" s="38"/>
      <c r="C403" s="40"/>
      <c r="D403" s="40"/>
      <c r="E403" s="40"/>
      <c r="F403" s="40"/>
      <c r="G403" s="40"/>
      <c r="H403" s="40"/>
      <c r="I403" s="40"/>
      <c r="J403" s="40"/>
      <c r="K403" s="41"/>
    </row>
    <row r="404" spans="2:11" x14ac:dyDescent="0.2">
      <c r="B404" s="38"/>
      <c r="C404" s="179" t="s">
        <v>890</v>
      </c>
      <c r="D404" s="40"/>
      <c r="E404" s="40"/>
      <c r="F404" s="40"/>
      <c r="G404" s="40"/>
      <c r="H404" s="40"/>
      <c r="I404" s="40"/>
      <c r="J404" s="245">
        <f>J395</f>
        <v>4</v>
      </c>
      <c r="K404" s="41"/>
    </row>
    <row r="405" spans="2:11" x14ac:dyDescent="0.2">
      <c r="B405" s="38"/>
      <c r="C405" s="40"/>
      <c r="D405" s="40"/>
      <c r="E405" s="40"/>
      <c r="F405" s="40"/>
      <c r="G405" s="40"/>
      <c r="H405" s="40"/>
      <c r="I405" s="40"/>
      <c r="J405" s="40"/>
      <c r="K405" s="41"/>
    </row>
    <row r="406" spans="2:11" x14ac:dyDescent="0.2">
      <c r="B406" s="38"/>
      <c r="C406" s="40"/>
      <c r="D406" s="40"/>
      <c r="E406" s="40"/>
      <c r="F406" s="40"/>
      <c r="G406" s="40"/>
      <c r="H406" s="40"/>
      <c r="I406" s="40"/>
      <c r="J406" s="40"/>
      <c r="K406" s="41"/>
    </row>
    <row r="407" spans="2:11" ht="16" x14ac:dyDescent="0.2">
      <c r="B407" s="38"/>
      <c r="C407" s="45" t="s">
        <v>861</v>
      </c>
      <c r="D407" s="40"/>
      <c r="E407" s="40"/>
      <c r="F407" s="40"/>
      <c r="G407" s="40"/>
      <c r="H407" s="40"/>
      <c r="I407" s="40"/>
      <c r="J407" s="40"/>
      <c r="K407" s="41"/>
    </row>
    <row r="408" spans="2:11" x14ac:dyDescent="0.2">
      <c r="B408" s="38"/>
      <c r="C408" s="40" t="s">
        <v>298</v>
      </c>
      <c r="D408" s="40"/>
      <c r="E408" s="40"/>
      <c r="F408" s="40"/>
      <c r="G408" s="40"/>
      <c r="H408" s="40"/>
      <c r="I408" s="40"/>
      <c r="J408" s="269">
        <v>0</v>
      </c>
      <c r="K408" s="41"/>
    </row>
    <row r="409" spans="2:11" x14ac:dyDescent="0.2">
      <c r="B409" s="38"/>
      <c r="C409" s="40" t="s">
        <v>260</v>
      </c>
      <c r="D409" s="40"/>
      <c r="E409" s="40"/>
      <c r="F409" s="40"/>
      <c r="G409" s="40"/>
      <c r="H409" s="40"/>
      <c r="I409" s="40"/>
      <c r="J409" s="253">
        <f>IF(J408&lt;=0,0,IF(J408&lt;=(J161*0.01),1,IF(J408&lt;=(J161*0.05),2,IF(J408&lt;=(J161*0.1),3,4))))</f>
        <v>0</v>
      </c>
      <c r="K409" s="41"/>
    </row>
    <row r="410" spans="2:11" ht="9.75" customHeight="1" x14ac:dyDescent="0.2">
      <c r="B410" s="38"/>
      <c r="C410" s="279" t="str">
        <f>"0:"</f>
        <v>0:</v>
      </c>
      <c r="D410" s="278" t="s">
        <v>939</v>
      </c>
      <c r="E410" s="40"/>
      <c r="F410" s="40"/>
      <c r="G410" s="40"/>
      <c r="H410" s="40"/>
      <c r="I410" s="40"/>
      <c r="J410" s="282"/>
      <c r="K410" s="41"/>
    </row>
    <row r="411" spans="2:11" ht="9.75" customHeight="1" x14ac:dyDescent="0.2">
      <c r="B411" s="38"/>
      <c r="C411" s="280" t="str">
        <f>"1:"</f>
        <v>1:</v>
      </c>
      <c r="D411" s="278" t="s">
        <v>940</v>
      </c>
      <c r="E411" s="40"/>
      <c r="F411" s="40"/>
      <c r="G411" s="40"/>
      <c r="H411" s="40"/>
      <c r="I411" s="40"/>
      <c r="J411" s="282"/>
      <c r="K411" s="41"/>
    </row>
    <row r="412" spans="2:11" ht="9.75" customHeight="1" x14ac:dyDescent="0.2">
      <c r="B412" s="38"/>
      <c r="C412" s="280" t="str">
        <f>"2:"</f>
        <v>2:</v>
      </c>
      <c r="D412" s="278" t="s">
        <v>941</v>
      </c>
      <c r="E412" s="40"/>
      <c r="F412" s="40"/>
      <c r="G412" s="40"/>
      <c r="H412" s="40"/>
      <c r="I412" s="40"/>
      <c r="J412" s="282"/>
      <c r="K412" s="41"/>
    </row>
    <row r="413" spans="2:11" ht="9.75" customHeight="1" x14ac:dyDescent="0.2">
      <c r="B413" s="38"/>
      <c r="C413" s="280" t="str">
        <f>"3:"</f>
        <v>3:</v>
      </c>
      <c r="D413" s="278" t="s">
        <v>942</v>
      </c>
      <c r="E413" s="40"/>
      <c r="F413" s="40"/>
      <c r="G413" s="40"/>
      <c r="H413" s="40"/>
      <c r="I413" s="40"/>
      <c r="J413" s="282"/>
      <c r="K413" s="41"/>
    </row>
    <row r="414" spans="2:11" ht="9.75" customHeight="1" x14ac:dyDescent="0.2">
      <c r="B414" s="38"/>
      <c r="C414" s="280" t="str">
        <f>"4:"</f>
        <v>4:</v>
      </c>
      <c r="D414" s="278" t="s">
        <v>943</v>
      </c>
      <c r="E414" s="40"/>
      <c r="F414" s="40"/>
      <c r="G414" s="40"/>
      <c r="H414" s="40"/>
      <c r="I414" s="40"/>
      <c r="J414" s="40"/>
      <c r="K414" s="41"/>
    </row>
    <row r="415" spans="2:11" x14ac:dyDescent="0.2">
      <c r="B415" s="38"/>
      <c r="C415" s="40" t="s">
        <v>893</v>
      </c>
      <c r="D415" s="40"/>
      <c r="E415" s="40"/>
      <c r="F415" s="40"/>
      <c r="G415" s="40"/>
      <c r="H415" s="40"/>
      <c r="I415" s="40"/>
      <c r="J415" s="40"/>
      <c r="K415" s="41"/>
    </row>
    <row r="416" spans="2:11" ht="30" customHeight="1" x14ac:dyDescent="0.2">
      <c r="B416" s="38"/>
      <c r="C416" s="399"/>
      <c r="D416" s="400"/>
      <c r="E416" s="400"/>
      <c r="F416" s="400"/>
      <c r="G416" s="400"/>
      <c r="H416" s="400"/>
      <c r="I416" s="400"/>
      <c r="J416" s="401"/>
      <c r="K416" s="41"/>
    </row>
    <row r="417" spans="2:11" x14ac:dyDescent="0.2">
      <c r="B417" s="38"/>
      <c r="C417" s="40"/>
      <c r="D417" s="40"/>
      <c r="E417" s="40"/>
      <c r="F417" s="40"/>
      <c r="G417" s="40"/>
      <c r="H417" s="40"/>
      <c r="I417" s="40"/>
      <c r="J417" s="40"/>
      <c r="K417" s="41"/>
    </row>
    <row r="418" spans="2:11" x14ac:dyDescent="0.2">
      <c r="B418" s="38"/>
      <c r="C418" s="179" t="s">
        <v>891</v>
      </c>
      <c r="D418" s="40"/>
      <c r="E418" s="40"/>
      <c r="F418" s="40"/>
      <c r="G418" s="40"/>
      <c r="H418" s="40"/>
      <c r="I418" s="40"/>
      <c r="J418" s="245">
        <f>J409</f>
        <v>0</v>
      </c>
      <c r="K418" s="41"/>
    </row>
    <row r="419" spans="2:11" x14ac:dyDescent="0.2">
      <c r="B419" s="38"/>
      <c r="C419" s="40"/>
      <c r="D419" s="40"/>
      <c r="E419" s="40"/>
      <c r="F419" s="40"/>
      <c r="G419" s="40"/>
      <c r="H419" s="40"/>
      <c r="I419" s="40"/>
      <c r="J419" s="40"/>
      <c r="K419" s="41"/>
    </row>
    <row r="420" spans="2:11" x14ac:dyDescent="0.2">
      <c r="B420" s="38"/>
      <c r="C420" s="410" t="s">
        <v>881</v>
      </c>
      <c r="D420" s="410"/>
      <c r="E420" s="410"/>
      <c r="F420" s="410"/>
      <c r="G420" s="410"/>
      <c r="H420" s="410"/>
      <c r="I420" s="410"/>
      <c r="J420" s="40"/>
      <c r="K420" s="41"/>
    </row>
    <row r="421" spans="2:11" x14ac:dyDescent="0.2">
      <c r="B421" s="38"/>
      <c r="C421" s="410"/>
      <c r="D421" s="410"/>
      <c r="E421" s="410"/>
      <c r="F421" s="410"/>
      <c r="G421" s="410"/>
      <c r="H421" s="410"/>
      <c r="I421" s="410"/>
      <c r="J421" s="244">
        <f>IF(OR(J288="Not Calculated",J307="Not Calculated",J326="Not Calculated",J349="Not Calculated",J367="Not Calculated",J387="Not Calculated",J404="Not Calculated",J418="Not Calculated")=TRUE,"Not Calculated",AVERAGE(J288,J307,J326,J349,J367,J387,J404,J418))</f>
        <v>1.5</v>
      </c>
      <c r="K421" s="41"/>
    </row>
    <row r="422" spans="2:11" ht="16" thickBot="1" x14ac:dyDescent="0.25">
      <c r="B422" s="46"/>
      <c r="C422" s="47"/>
      <c r="D422" s="47"/>
      <c r="E422" s="47"/>
      <c r="F422" s="47"/>
      <c r="G422" s="47"/>
      <c r="H422" s="47"/>
      <c r="I422" s="47"/>
      <c r="J422" s="47"/>
      <c r="K422" s="49"/>
    </row>
    <row r="423" spans="2:11" ht="16" thickBot="1" x14ac:dyDescent="0.25"/>
    <row r="424" spans="2:11" x14ac:dyDescent="0.2">
      <c r="B424" s="33"/>
      <c r="C424" s="34"/>
      <c r="D424" s="34"/>
      <c r="E424" s="34"/>
      <c r="F424" s="34"/>
      <c r="G424" s="34"/>
      <c r="H424" s="34"/>
      <c r="I424" s="34"/>
      <c r="J424" s="34"/>
      <c r="K424" s="37"/>
    </row>
    <row r="425" spans="2:11" ht="21" x14ac:dyDescent="0.25">
      <c r="B425" s="38"/>
      <c r="C425" s="40"/>
      <c r="D425" s="40"/>
      <c r="E425" s="40"/>
      <c r="F425" s="40"/>
      <c r="G425" s="172" t="s">
        <v>230</v>
      </c>
      <c r="H425" s="40"/>
      <c r="I425" s="40"/>
      <c r="J425" s="40"/>
      <c r="K425" s="41"/>
    </row>
    <row r="426" spans="2:11" x14ac:dyDescent="0.2">
      <c r="B426" s="38"/>
      <c r="C426" s="40"/>
      <c r="D426" s="40"/>
      <c r="E426" s="40"/>
      <c r="F426" s="40"/>
      <c r="G426" s="40"/>
      <c r="H426" s="40"/>
      <c r="I426" s="40"/>
      <c r="J426" s="40"/>
      <c r="K426" s="41"/>
    </row>
    <row r="427" spans="2:11" ht="16" x14ac:dyDescent="0.2">
      <c r="B427" s="38"/>
      <c r="C427" s="45" t="s">
        <v>299</v>
      </c>
      <c r="D427" s="40"/>
      <c r="E427" s="40"/>
      <c r="F427" s="40"/>
      <c r="G427" s="40"/>
      <c r="H427" s="40"/>
      <c r="I427" s="40"/>
      <c r="J427" s="40"/>
      <c r="K427" s="41"/>
    </row>
    <row r="428" spans="2:11" x14ac:dyDescent="0.2">
      <c r="B428" s="38"/>
      <c r="C428" s="40" t="s">
        <v>300</v>
      </c>
      <c r="D428" s="40"/>
      <c r="E428" s="40"/>
      <c r="F428" s="40"/>
      <c r="G428" s="40"/>
      <c r="H428" s="40"/>
      <c r="I428" s="40"/>
      <c r="J428" s="270">
        <v>5</v>
      </c>
      <c r="K428" s="41"/>
    </row>
    <row r="429" spans="2:11" x14ac:dyDescent="0.2">
      <c r="B429" s="38"/>
      <c r="C429" s="40" t="s">
        <v>260</v>
      </c>
      <c r="D429" s="40"/>
      <c r="E429" s="40"/>
      <c r="F429" s="40"/>
      <c r="G429" s="40"/>
      <c r="H429" s="40"/>
      <c r="I429" s="40"/>
      <c r="J429" s="248">
        <f>IF(J428&lt;=0,0,IF(J428&lt;=1,1,IF(J428&lt;=5,2,IF(J428&lt;=10,3,4))))</f>
        <v>2</v>
      </c>
      <c r="K429" s="41"/>
    </row>
    <row r="430" spans="2:11" s="98" customFormat="1" ht="9.75" customHeight="1" x14ac:dyDescent="0.2">
      <c r="B430" s="288"/>
      <c r="C430" s="279" t="str">
        <f>"0:"</f>
        <v>0:</v>
      </c>
      <c r="D430" s="290" t="s">
        <v>944</v>
      </c>
      <c r="E430" s="245"/>
      <c r="F430" s="245"/>
      <c r="G430" s="245"/>
      <c r="H430" s="245"/>
      <c r="I430" s="245"/>
      <c r="J430" s="245"/>
      <c r="K430" s="289"/>
    </row>
    <row r="431" spans="2:11" s="98" customFormat="1" ht="9.75" customHeight="1" x14ac:dyDescent="0.2">
      <c r="B431" s="288"/>
      <c r="C431" s="280" t="str">
        <f>"1:"</f>
        <v>1:</v>
      </c>
      <c r="D431" s="290" t="s">
        <v>945</v>
      </c>
      <c r="E431" s="245"/>
      <c r="F431" s="245"/>
      <c r="G431" s="245"/>
      <c r="H431" s="245"/>
      <c r="I431" s="245"/>
      <c r="J431" s="245"/>
      <c r="K431" s="289"/>
    </row>
    <row r="432" spans="2:11" s="98" customFormat="1" ht="9.75" customHeight="1" x14ac:dyDescent="0.2">
      <c r="B432" s="288"/>
      <c r="C432" s="280" t="str">
        <f>"2:"</f>
        <v>2:</v>
      </c>
      <c r="D432" s="290" t="s">
        <v>946</v>
      </c>
      <c r="E432" s="245"/>
      <c r="F432" s="245"/>
      <c r="G432" s="245"/>
      <c r="H432" s="245"/>
      <c r="I432" s="245"/>
      <c r="J432" s="245"/>
      <c r="K432" s="289"/>
    </row>
    <row r="433" spans="2:11" s="98" customFormat="1" ht="9.75" customHeight="1" x14ac:dyDescent="0.2">
      <c r="B433" s="288"/>
      <c r="C433" s="280" t="str">
        <f>"3:"</f>
        <v>3:</v>
      </c>
      <c r="D433" s="290" t="s">
        <v>947</v>
      </c>
      <c r="E433" s="245"/>
      <c r="F433" s="245"/>
      <c r="G433" s="245"/>
      <c r="H433" s="245"/>
      <c r="I433" s="245"/>
      <c r="J433" s="245"/>
      <c r="K433" s="289"/>
    </row>
    <row r="434" spans="2:11" s="98" customFormat="1" ht="9.75" customHeight="1" x14ac:dyDescent="0.2">
      <c r="B434" s="288"/>
      <c r="C434" s="280" t="str">
        <f>"4:"</f>
        <v>4:</v>
      </c>
      <c r="D434" s="290" t="s">
        <v>948</v>
      </c>
      <c r="E434" s="245"/>
      <c r="F434" s="245"/>
      <c r="G434" s="245"/>
      <c r="H434" s="245"/>
      <c r="I434" s="245"/>
      <c r="J434" s="247"/>
      <c r="K434" s="289"/>
    </row>
    <row r="435" spans="2:11" x14ac:dyDescent="0.2">
      <c r="B435" s="38"/>
      <c r="C435" s="40" t="s">
        <v>257</v>
      </c>
      <c r="D435" s="40"/>
      <c r="E435" s="40"/>
      <c r="F435" s="40"/>
      <c r="G435" s="40"/>
      <c r="H435" s="40"/>
      <c r="I435" s="40"/>
      <c r="J435" s="266" t="s">
        <v>872</v>
      </c>
      <c r="K435" s="41"/>
    </row>
    <row r="436" spans="2:11" x14ac:dyDescent="0.2">
      <c r="B436" s="38"/>
      <c r="C436" s="40" t="s">
        <v>261</v>
      </c>
      <c r="D436" s="40"/>
      <c r="E436" s="40"/>
      <c r="F436" s="40"/>
      <c r="G436" s="40"/>
      <c r="H436" s="40"/>
      <c r="I436" s="40"/>
      <c r="J436" s="248">
        <f>IF(J435=$B$973,$A$973,IF(J435=$B$974,$A$974,IF(J435=$B$975,$A$975,IF(J435=$B$976,$A$976,IF(J435=$B$977,$A$977,"Not Calculated")))))</f>
        <v>2</v>
      </c>
      <c r="K436" s="41"/>
    </row>
    <row r="437" spans="2:11" x14ac:dyDescent="0.2">
      <c r="B437" s="38"/>
      <c r="C437" s="40" t="s">
        <v>893</v>
      </c>
      <c r="D437" s="40"/>
      <c r="E437" s="40"/>
      <c r="F437" s="40"/>
      <c r="G437" s="40"/>
      <c r="H437" s="40"/>
      <c r="I437" s="40"/>
      <c r="J437" s="40"/>
      <c r="K437" s="41"/>
    </row>
    <row r="438" spans="2:11" ht="120" customHeight="1" x14ac:dyDescent="0.2">
      <c r="B438" s="38"/>
      <c r="C438" s="399" t="s">
        <v>481</v>
      </c>
      <c r="D438" s="400"/>
      <c r="E438" s="400"/>
      <c r="F438" s="400"/>
      <c r="G438" s="400"/>
      <c r="H438" s="400"/>
      <c r="I438" s="400"/>
      <c r="J438" s="401"/>
      <c r="K438" s="41"/>
    </row>
    <row r="439" spans="2:11" x14ac:dyDescent="0.2">
      <c r="B439" s="38"/>
      <c r="C439" s="40"/>
      <c r="D439" s="40"/>
      <c r="E439" s="40"/>
      <c r="F439" s="40"/>
      <c r="G439" s="40"/>
      <c r="H439" s="40"/>
      <c r="I439" s="40"/>
      <c r="J439" s="40"/>
      <c r="K439" s="41"/>
    </row>
    <row r="440" spans="2:11" x14ac:dyDescent="0.2">
      <c r="B440" s="38"/>
      <c r="C440" s="179" t="s">
        <v>301</v>
      </c>
      <c r="D440" s="40"/>
      <c r="E440" s="40"/>
      <c r="F440" s="40"/>
      <c r="G440" s="40"/>
      <c r="H440" s="40"/>
      <c r="I440" s="40"/>
      <c r="J440" s="245">
        <f>IF(OR(J429="Not Calculated",J436="Not Calculated")=TRUE,"Not Calculated",AVERAGE(J429,J436))</f>
        <v>2</v>
      </c>
      <c r="K440" s="41"/>
    </row>
    <row r="441" spans="2:11" x14ac:dyDescent="0.2">
      <c r="B441" s="38"/>
      <c r="C441" s="40"/>
      <c r="D441" s="40"/>
      <c r="E441" s="40"/>
      <c r="F441" s="40"/>
      <c r="G441" s="40"/>
      <c r="H441" s="40"/>
      <c r="I441" s="40"/>
      <c r="J441" s="40"/>
      <c r="K441" s="41"/>
    </row>
    <row r="442" spans="2:11" x14ac:dyDescent="0.2">
      <c r="B442" s="38"/>
      <c r="C442" s="40"/>
      <c r="D442" s="40"/>
      <c r="E442" s="40"/>
      <c r="F442" s="40"/>
      <c r="G442" s="40"/>
      <c r="H442" s="40"/>
      <c r="I442" s="40"/>
      <c r="J442" s="40"/>
      <c r="K442" s="41"/>
    </row>
    <row r="443" spans="2:11" ht="16" x14ac:dyDescent="0.2">
      <c r="B443" s="38"/>
      <c r="C443" s="45" t="s">
        <v>303</v>
      </c>
      <c r="D443" s="40"/>
      <c r="E443" s="40"/>
      <c r="F443" s="40"/>
      <c r="G443" s="40"/>
      <c r="H443" s="40"/>
      <c r="I443" s="40"/>
      <c r="J443" s="40"/>
      <c r="K443" s="41"/>
    </row>
    <row r="444" spans="2:11" ht="15" customHeight="1" x14ac:dyDescent="0.2">
      <c r="B444" s="38"/>
      <c r="C444" s="380" t="s">
        <v>305</v>
      </c>
      <c r="D444" s="380"/>
      <c r="E444" s="380"/>
      <c r="F444" s="380"/>
      <c r="G444" s="380"/>
      <c r="H444" s="380"/>
      <c r="I444" s="380"/>
      <c r="J444" s="40"/>
      <c r="K444" s="41"/>
    </row>
    <row r="445" spans="2:11" x14ac:dyDescent="0.2">
      <c r="B445" s="38"/>
      <c r="C445" s="380"/>
      <c r="D445" s="380"/>
      <c r="E445" s="380"/>
      <c r="F445" s="380"/>
      <c r="G445" s="380"/>
      <c r="H445" s="380"/>
      <c r="I445" s="380"/>
      <c r="J445" s="270">
        <v>0</v>
      </c>
      <c r="K445" s="41"/>
    </row>
    <row r="446" spans="2:11" x14ac:dyDescent="0.2">
      <c r="B446" s="38"/>
      <c r="C446" s="40" t="s">
        <v>260</v>
      </c>
      <c r="D446" s="40"/>
      <c r="E446" s="40"/>
      <c r="F446" s="40"/>
      <c r="G446" s="40"/>
      <c r="H446" s="40"/>
      <c r="I446" s="40"/>
      <c r="J446" s="248">
        <f>IF(J445&lt;=0,0,IF(J445&lt;=1,1,IF(J445&lt;=5,2,IF(J445&lt;=10,3,4))))</f>
        <v>0</v>
      </c>
      <c r="K446" s="41"/>
    </row>
    <row r="447" spans="2:11" ht="9.75" customHeight="1" x14ac:dyDescent="0.2">
      <c r="B447" s="38"/>
      <c r="C447" s="279" t="str">
        <f>"0:"</f>
        <v>0:</v>
      </c>
      <c r="D447" s="278" t="s">
        <v>944</v>
      </c>
      <c r="E447" s="40"/>
      <c r="F447" s="40"/>
      <c r="G447" s="40"/>
      <c r="H447" s="40"/>
      <c r="I447" s="40"/>
      <c r="J447" s="245"/>
      <c r="K447" s="41"/>
    </row>
    <row r="448" spans="2:11" ht="9.75" customHeight="1" x14ac:dyDescent="0.2">
      <c r="B448" s="38"/>
      <c r="C448" s="280" t="str">
        <f>"1:"</f>
        <v>1:</v>
      </c>
      <c r="D448" s="278" t="s">
        <v>945</v>
      </c>
      <c r="E448" s="40"/>
      <c r="F448" s="40"/>
      <c r="G448" s="40"/>
      <c r="H448" s="40"/>
      <c r="I448" s="40"/>
      <c r="J448" s="245"/>
      <c r="K448" s="41"/>
    </row>
    <row r="449" spans="2:11" ht="9.75" customHeight="1" x14ac:dyDescent="0.2">
      <c r="B449" s="38"/>
      <c r="C449" s="280" t="str">
        <f>"2:"</f>
        <v>2:</v>
      </c>
      <c r="D449" s="278" t="s">
        <v>946</v>
      </c>
      <c r="E449" s="40"/>
      <c r="F449" s="40"/>
      <c r="G449" s="40"/>
      <c r="H449" s="40"/>
      <c r="I449" s="40"/>
      <c r="J449" s="245"/>
      <c r="K449" s="41"/>
    </row>
    <row r="450" spans="2:11" ht="9.75" customHeight="1" x14ac:dyDescent="0.2">
      <c r="B450" s="38"/>
      <c r="C450" s="280" t="str">
        <f>"3:"</f>
        <v>3:</v>
      </c>
      <c r="D450" s="278" t="s">
        <v>947</v>
      </c>
      <c r="E450" s="40"/>
      <c r="F450" s="40"/>
      <c r="G450" s="40"/>
      <c r="H450" s="40"/>
      <c r="I450" s="40"/>
      <c r="J450" s="245"/>
      <c r="K450" s="41"/>
    </row>
    <row r="451" spans="2:11" ht="9.75" customHeight="1" x14ac:dyDescent="0.2">
      <c r="B451" s="38"/>
      <c r="C451" s="280" t="str">
        <f>"4:"</f>
        <v>4:</v>
      </c>
      <c r="D451" s="278" t="s">
        <v>948</v>
      </c>
      <c r="E451" s="40"/>
      <c r="F451" s="40"/>
      <c r="G451" s="40"/>
      <c r="H451" s="40"/>
      <c r="I451" s="40"/>
      <c r="J451" s="247"/>
      <c r="K451" s="41"/>
    </row>
    <row r="452" spans="2:11" x14ac:dyDescent="0.2">
      <c r="B452" s="38"/>
      <c r="C452" s="40" t="s">
        <v>257</v>
      </c>
      <c r="D452" s="40"/>
      <c r="E452" s="40"/>
      <c r="F452" s="40"/>
      <c r="G452" s="40"/>
      <c r="H452" s="40"/>
      <c r="I452" s="40"/>
      <c r="J452" s="266" t="s">
        <v>870</v>
      </c>
      <c r="K452" s="41"/>
    </row>
    <row r="453" spans="2:11" x14ac:dyDescent="0.2">
      <c r="B453" s="38"/>
      <c r="C453" s="40" t="s">
        <v>261</v>
      </c>
      <c r="D453" s="40"/>
      <c r="E453" s="40"/>
      <c r="F453" s="40"/>
      <c r="G453" s="40"/>
      <c r="H453" s="40"/>
      <c r="I453" s="40"/>
      <c r="J453" s="248">
        <f>IF(J452=$B$973,$A$973,IF(J452=$B$974,$A$974,IF(J452=$B$975,$A$975,IF(J452=$B$976,$A$976,IF(J452=$B$977,$A$977,"Not Calculated")))))</f>
        <v>0</v>
      </c>
      <c r="K453" s="41"/>
    </row>
    <row r="454" spans="2:11" x14ac:dyDescent="0.2">
      <c r="B454" s="38"/>
      <c r="C454" s="40" t="s">
        <v>893</v>
      </c>
      <c r="D454" s="40"/>
      <c r="E454" s="40"/>
      <c r="F454" s="40"/>
      <c r="G454" s="40"/>
      <c r="H454" s="40"/>
      <c r="I454" s="40"/>
      <c r="J454" s="40"/>
      <c r="K454" s="41"/>
    </row>
    <row r="455" spans="2:11" ht="30" customHeight="1" x14ac:dyDescent="0.2">
      <c r="B455" s="38"/>
      <c r="C455" s="399"/>
      <c r="D455" s="400"/>
      <c r="E455" s="400"/>
      <c r="F455" s="400"/>
      <c r="G455" s="400"/>
      <c r="H455" s="400"/>
      <c r="I455" s="400"/>
      <c r="J455" s="401"/>
      <c r="K455" s="41"/>
    </row>
    <row r="456" spans="2:11" x14ac:dyDescent="0.2">
      <c r="B456" s="38"/>
      <c r="C456" s="40"/>
      <c r="D456" s="40"/>
      <c r="E456" s="40"/>
      <c r="F456" s="40"/>
      <c r="G456" s="40"/>
      <c r="H456" s="40"/>
      <c r="I456" s="40"/>
      <c r="J456" s="40"/>
      <c r="K456" s="41"/>
    </row>
    <row r="457" spans="2:11" x14ac:dyDescent="0.2">
      <c r="B457" s="38"/>
      <c r="C457" s="179" t="s">
        <v>304</v>
      </c>
      <c r="D457" s="40"/>
      <c r="E457" s="40"/>
      <c r="F457" s="40"/>
      <c r="G457" s="40"/>
      <c r="H457" s="40"/>
      <c r="I457" s="40"/>
      <c r="J457" s="245">
        <f>IF(OR(J446="Not Calculated",J453="Not Calculated")=TRUE,"Not Calculated",AVERAGE(J446,J453))</f>
        <v>0</v>
      </c>
      <c r="K457" s="41"/>
    </row>
    <row r="458" spans="2:11" x14ac:dyDescent="0.2">
      <c r="B458" s="38"/>
      <c r="C458" s="40"/>
      <c r="D458" s="40"/>
      <c r="E458" s="40"/>
      <c r="F458" s="40"/>
      <c r="G458" s="40"/>
      <c r="H458" s="40"/>
      <c r="I458" s="40"/>
      <c r="J458" s="40"/>
      <c r="K458" s="41"/>
    </row>
    <row r="459" spans="2:11" x14ac:dyDescent="0.2">
      <c r="B459" s="38"/>
      <c r="C459" s="40"/>
      <c r="D459" s="40"/>
      <c r="E459" s="40"/>
      <c r="F459" s="40"/>
      <c r="G459" s="40"/>
      <c r="H459" s="40"/>
      <c r="I459" s="40"/>
      <c r="J459" s="40"/>
      <c r="K459" s="41"/>
    </row>
    <row r="460" spans="2:11" ht="16" x14ac:dyDescent="0.2">
      <c r="B460" s="38"/>
      <c r="C460" s="45" t="s">
        <v>306</v>
      </c>
      <c r="D460" s="40"/>
      <c r="E460" s="40"/>
      <c r="F460" s="40"/>
      <c r="G460" s="40"/>
      <c r="H460" s="40"/>
      <c r="I460" s="40"/>
      <c r="J460" s="40"/>
      <c r="K460" s="41"/>
    </row>
    <row r="461" spans="2:11" x14ac:dyDescent="0.2">
      <c r="B461" s="38"/>
      <c r="C461" s="40" t="s">
        <v>949</v>
      </c>
      <c r="D461" s="40"/>
      <c r="E461" s="40"/>
      <c r="F461" s="40"/>
      <c r="G461" s="40"/>
      <c r="H461" s="40"/>
      <c r="I461" s="40"/>
      <c r="J461" s="270">
        <v>5</v>
      </c>
      <c r="K461" s="41"/>
    </row>
    <row r="462" spans="2:11" x14ac:dyDescent="0.2">
      <c r="B462" s="38"/>
      <c r="C462" s="40" t="s">
        <v>260</v>
      </c>
      <c r="D462" s="40"/>
      <c r="E462" s="40"/>
      <c r="F462" s="40"/>
      <c r="G462" s="40"/>
      <c r="H462" s="40"/>
      <c r="I462" s="40"/>
      <c r="J462" s="248">
        <f>IF(J461&lt;=0,0,IF(J461&lt;=1,1,IF(J461&lt;=5,2,IF(J461&lt;=10,3,4))))</f>
        <v>2</v>
      </c>
      <c r="K462" s="41"/>
    </row>
    <row r="463" spans="2:11" ht="9.75" customHeight="1" x14ac:dyDescent="0.2">
      <c r="B463" s="38"/>
      <c r="C463" s="279" t="str">
        <f>"0:"</f>
        <v>0:</v>
      </c>
      <c r="D463" s="290" t="s">
        <v>944</v>
      </c>
      <c r="E463" s="40"/>
      <c r="F463" s="40"/>
      <c r="G463" s="40"/>
      <c r="H463" s="40"/>
      <c r="I463" s="40"/>
      <c r="J463" s="245"/>
      <c r="K463" s="41"/>
    </row>
    <row r="464" spans="2:11" ht="9.75" customHeight="1" x14ac:dyDescent="0.2">
      <c r="B464" s="38"/>
      <c r="C464" s="280" t="str">
        <f>"1:"</f>
        <v>1:</v>
      </c>
      <c r="D464" s="290" t="s">
        <v>945</v>
      </c>
      <c r="E464" s="40"/>
      <c r="F464" s="40"/>
      <c r="G464" s="40"/>
      <c r="H464" s="40"/>
      <c r="I464" s="40"/>
      <c r="J464" s="245"/>
      <c r="K464" s="41"/>
    </row>
    <row r="465" spans="2:11" ht="9.75" customHeight="1" x14ac:dyDescent="0.2">
      <c r="B465" s="38"/>
      <c r="C465" s="280" t="str">
        <f>"2:"</f>
        <v>2:</v>
      </c>
      <c r="D465" s="290" t="s">
        <v>946</v>
      </c>
      <c r="E465" s="40"/>
      <c r="F465" s="40"/>
      <c r="G465" s="40"/>
      <c r="H465" s="40"/>
      <c r="I465" s="40"/>
      <c r="J465" s="245"/>
      <c r="K465" s="41"/>
    </row>
    <row r="466" spans="2:11" ht="9.75" customHeight="1" x14ac:dyDescent="0.2">
      <c r="B466" s="38"/>
      <c r="C466" s="280" t="str">
        <f>"3:"</f>
        <v>3:</v>
      </c>
      <c r="D466" s="290" t="s">
        <v>947</v>
      </c>
      <c r="E466" s="40"/>
      <c r="F466" s="40"/>
      <c r="G466" s="40"/>
      <c r="H466" s="40"/>
      <c r="I466" s="40"/>
      <c r="J466" s="245"/>
      <c r="K466" s="41"/>
    </row>
    <row r="467" spans="2:11" ht="9.75" customHeight="1" x14ac:dyDescent="0.2">
      <c r="B467" s="38"/>
      <c r="C467" s="280" t="str">
        <f>"4:"</f>
        <v>4:</v>
      </c>
      <c r="D467" s="290" t="s">
        <v>948</v>
      </c>
      <c r="E467" s="40"/>
      <c r="F467" s="40"/>
      <c r="G467" s="40"/>
      <c r="H467" s="40"/>
      <c r="I467" s="40"/>
      <c r="J467" s="247"/>
      <c r="K467" s="41"/>
    </row>
    <row r="468" spans="2:11" x14ac:dyDescent="0.2">
      <c r="B468" s="38"/>
      <c r="C468" s="40" t="s">
        <v>257</v>
      </c>
      <c r="D468" s="40"/>
      <c r="E468" s="40"/>
      <c r="F468" s="40"/>
      <c r="G468" s="40"/>
      <c r="H468" s="40"/>
      <c r="I468" s="40"/>
      <c r="J468" s="266" t="s">
        <v>882</v>
      </c>
      <c r="K468" s="41"/>
    </row>
    <row r="469" spans="2:11" ht="15" customHeight="1" x14ac:dyDescent="0.2">
      <c r="B469" s="38"/>
      <c r="C469" s="40" t="s">
        <v>261</v>
      </c>
      <c r="D469" s="40"/>
      <c r="E469" s="40"/>
      <c r="F469" s="40"/>
      <c r="G469" s="40"/>
      <c r="H469" s="40"/>
      <c r="I469" s="40"/>
      <c r="J469" s="248">
        <f>IF(J468=$B$973,$A$973,IF(J468=$B$974,$A$974,IF(J468=$B$975,$A$975,IF(J468=$B$976,$A$976,IF(J468=$B$977,$A$977,"Not Calculated")))))</f>
        <v>1</v>
      </c>
      <c r="K469" s="41"/>
    </row>
    <row r="470" spans="2:11" x14ac:dyDescent="0.2">
      <c r="B470" s="38"/>
      <c r="C470" s="40" t="s">
        <v>893</v>
      </c>
      <c r="D470" s="40"/>
      <c r="E470" s="40"/>
      <c r="F470" s="40"/>
      <c r="G470" s="40"/>
      <c r="H470" s="40"/>
      <c r="I470" s="40"/>
      <c r="J470" s="40"/>
      <c r="K470" s="41"/>
    </row>
    <row r="471" spans="2:11" ht="60" customHeight="1" x14ac:dyDescent="0.2">
      <c r="B471" s="38"/>
      <c r="C471" s="399" t="s">
        <v>482</v>
      </c>
      <c r="D471" s="400"/>
      <c r="E471" s="400"/>
      <c r="F471" s="400"/>
      <c r="G471" s="400"/>
      <c r="H471" s="400"/>
      <c r="I471" s="400"/>
      <c r="J471" s="401"/>
      <c r="K471" s="41"/>
    </row>
    <row r="472" spans="2:11" x14ac:dyDescent="0.2">
      <c r="B472" s="38"/>
      <c r="C472" s="40"/>
      <c r="D472" s="40"/>
      <c r="E472" s="40"/>
      <c r="F472" s="40"/>
      <c r="G472" s="40"/>
      <c r="H472" s="40"/>
      <c r="I472" s="40"/>
      <c r="J472" s="40"/>
      <c r="K472" s="41"/>
    </row>
    <row r="473" spans="2:11" x14ac:dyDescent="0.2">
      <c r="B473" s="38"/>
      <c r="C473" s="179" t="s">
        <v>307</v>
      </c>
      <c r="D473" s="40"/>
      <c r="E473" s="40"/>
      <c r="F473" s="40"/>
      <c r="G473" s="40"/>
      <c r="H473" s="40"/>
      <c r="I473" s="40"/>
      <c r="J473" s="245">
        <f>IF(OR(J462="Not Calculated",J469="Not Calculated")=TRUE,"Not Calculated",AVERAGE(J462,J469))</f>
        <v>1.5</v>
      </c>
      <c r="K473" s="41"/>
    </row>
    <row r="474" spans="2:11" x14ac:dyDescent="0.2">
      <c r="B474" s="38"/>
      <c r="C474" s="40"/>
      <c r="D474" s="40"/>
      <c r="E474" s="40"/>
      <c r="F474" s="40"/>
      <c r="G474" s="40"/>
      <c r="H474" s="40"/>
      <c r="I474" s="40"/>
      <c r="J474" s="40"/>
      <c r="K474" s="41"/>
    </row>
    <row r="475" spans="2:11" x14ac:dyDescent="0.2">
      <c r="B475" s="38"/>
      <c r="C475" s="40"/>
      <c r="D475" s="40"/>
      <c r="E475" s="40"/>
      <c r="F475" s="40"/>
      <c r="G475" s="40"/>
      <c r="H475" s="40"/>
      <c r="I475" s="40"/>
      <c r="J475" s="40"/>
      <c r="K475" s="41"/>
    </row>
    <row r="476" spans="2:11" ht="16" x14ac:dyDescent="0.2">
      <c r="B476" s="38"/>
      <c r="C476" s="45" t="s">
        <v>308</v>
      </c>
      <c r="D476" s="40"/>
      <c r="E476" s="40"/>
      <c r="F476" s="40"/>
      <c r="G476" s="40"/>
      <c r="H476" s="40"/>
      <c r="I476" s="40"/>
      <c r="J476" s="40"/>
      <c r="K476" s="41"/>
    </row>
    <row r="477" spans="2:11" ht="15" customHeight="1" x14ac:dyDescent="0.2">
      <c r="B477" s="38"/>
      <c r="C477" s="380" t="s">
        <v>310</v>
      </c>
      <c r="D477" s="380"/>
      <c r="E477" s="380"/>
      <c r="F477" s="380"/>
      <c r="G477" s="380"/>
      <c r="H477" s="380"/>
      <c r="I477" s="380"/>
      <c r="J477" s="40"/>
      <c r="K477" s="41"/>
    </row>
    <row r="478" spans="2:11" x14ac:dyDescent="0.2">
      <c r="B478" s="38"/>
      <c r="C478" s="380"/>
      <c r="D478" s="380"/>
      <c r="E478" s="380"/>
      <c r="F478" s="380"/>
      <c r="G478" s="380"/>
      <c r="H478" s="380"/>
      <c r="I478" s="380"/>
      <c r="J478" s="131">
        <v>0</v>
      </c>
      <c r="K478" s="41"/>
    </row>
    <row r="479" spans="2:11" x14ac:dyDescent="0.2">
      <c r="B479" s="38"/>
      <c r="C479" s="40" t="s">
        <v>261</v>
      </c>
      <c r="D479" s="40"/>
      <c r="E479" s="40"/>
      <c r="F479" s="40"/>
      <c r="G479" s="40"/>
      <c r="H479" s="40"/>
      <c r="I479" s="40"/>
      <c r="J479" s="248">
        <f>IF(J478&lt;=0,0,IF(J478&lt;=1,1,IF(J478&lt;=7,2,IF(J478&lt;=14,3,4))))</f>
        <v>0</v>
      </c>
      <c r="K479" s="41"/>
    </row>
    <row r="480" spans="2:11" s="51" customFormat="1" ht="9.75" customHeight="1" x14ac:dyDescent="0.2">
      <c r="B480" s="283"/>
      <c r="C480" s="279" t="str">
        <f>"0:"</f>
        <v>0:</v>
      </c>
      <c r="D480" s="284" t="s">
        <v>950</v>
      </c>
      <c r="E480" s="285"/>
      <c r="F480" s="285"/>
      <c r="G480" s="285"/>
      <c r="H480" s="285"/>
      <c r="I480" s="285"/>
      <c r="J480" s="43"/>
      <c r="K480" s="286"/>
    </row>
    <row r="481" spans="2:11" s="51" customFormat="1" ht="9.75" customHeight="1" x14ac:dyDescent="0.2">
      <c r="B481" s="283"/>
      <c r="C481" s="280" t="str">
        <f>"1:"</f>
        <v>1:</v>
      </c>
      <c r="D481" s="284" t="s">
        <v>951</v>
      </c>
      <c r="E481" s="285"/>
      <c r="F481" s="285"/>
      <c r="G481" s="285"/>
      <c r="H481" s="285"/>
      <c r="I481" s="285"/>
      <c r="J481" s="43"/>
      <c r="K481" s="286"/>
    </row>
    <row r="482" spans="2:11" s="51" customFormat="1" ht="9.75" customHeight="1" x14ac:dyDescent="0.2">
      <c r="B482" s="283"/>
      <c r="C482" s="280" t="str">
        <f>"2:"</f>
        <v>2:</v>
      </c>
      <c r="D482" s="284" t="s">
        <v>952</v>
      </c>
      <c r="E482" s="285"/>
      <c r="F482" s="285"/>
      <c r="G482" s="285"/>
      <c r="H482" s="285"/>
      <c r="I482" s="285"/>
      <c r="J482" s="43"/>
      <c r="K482" s="286"/>
    </row>
    <row r="483" spans="2:11" s="51" customFormat="1" ht="9.75" customHeight="1" x14ac:dyDescent="0.2">
      <c r="B483" s="283"/>
      <c r="C483" s="280" t="str">
        <f>"3:"</f>
        <v>3:</v>
      </c>
      <c r="D483" s="284" t="s">
        <v>953</v>
      </c>
      <c r="E483" s="285"/>
      <c r="F483" s="285"/>
      <c r="G483" s="285"/>
      <c r="H483" s="285"/>
      <c r="I483" s="285"/>
      <c r="J483" s="43"/>
      <c r="K483" s="286"/>
    </row>
    <row r="484" spans="2:11" s="51" customFormat="1" ht="9.75" customHeight="1" x14ac:dyDescent="0.2">
      <c r="B484" s="283"/>
      <c r="C484" s="280" t="str">
        <f>"4:"</f>
        <v>4:</v>
      </c>
      <c r="D484" s="284" t="s">
        <v>954</v>
      </c>
      <c r="E484" s="285"/>
      <c r="F484" s="285"/>
      <c r="G484" s="285"/>
      <c r="H484" s="285"/>
      <c r="I484" s="285"/>
      <c r="J484" s="43"/>
      <c r="K484" s="286"/>
    </row>
    <row r="485" spans="2:11" x14ac:dyDescent="0.2">
      <c r="B485" s="38"/>
      <c r="C485" s="40" t="s">
        <v>893</v>
      </c>
      <c r="D485" s="40"/>
      <c r="E485" s="40"/>
      <c r="F485" s="40"/>
      <c r="G485" s="40"/>
      <c r="H485" s="40"/>
      <c r="I485" s="40"/>
      <c r="J485" s="40"/>
      <c r="K485" s="41"/>
    </row>
    <row r="486" spans="2:11" ht="30" customHeight="1" x14ac:dyDescent="0.2">
      <c r="B486" s="38"/>
      <c r="C486" s="399"/>
      <c r="D486" s="400"/>
      <c r="E486" s="400"/>
      <c r="F486" s="400"/>
      <c r="G486" s="400"/>
      <c r="H486" s="400"/>
      <c r="I486" s="400"/>
      <c r="J486" s="401"/>
      <c r="K486" s="41"/>
    </row>
    <row r="487" spans="2:11" x14ac:dyDescent="0.2">
      <c r="B487" s="38"/>
      <c r="C487" s="40"/>
      <c r="D487" s="40"/>
      <c r="E487" s="40"/>
      <c r="F487" s="40"/>
      <c r="G487" s="40"/>
      <c r="H487" s="40"/>
      <c r="I487" s="40"/>
      <c r="J487" s="40"/>
      <c r="K487" s="41"/>
    </row>
    <row r="488" spans="2:11" x14ac:dyDescent="0.2">
      <c r="B488" s="38"/>
      <c r="C488" s="179" t="s">
        <v>309</v>
      </c>
      <c r="D488" s="40"/>
      <c r="E488" s="40"/>
      <c r="F488" s="40"/>
      <c r="G488" s="40"/>
      <c r="H488" s="40"/>
      <c r="I488" s="40"/>
      <c r="J488" s="245">
        <f>J479</f>
        <v>0</v>
      </c>
      <c r="K488" s="41"/>
    </row>
    <row r="489" spans="2:11" x14ac:dyDescent="0.2">
      <c r="B489" s="38"/>
      <c r="C489" s="40"/>
      <c r="D489" s="40"/>
      <c r="E489" s="40"/>
      <c r="F489" s="40"/>
      <c r="G489" s="40"/>
      <c r="H489" s="40"/>
      <c r="I489" s="40"/>
      <c r="J489" s="40"/>
      <c r="K489" s="41"/>
    </row>
    <row r="490" spans="2:11" x14ac:dyDescent="0.2">
      <c r="B490" s="38"/>
      <c r="C490" s="40"/>
      <c r="D490" s="40"/>
      <c r="E490" s="40"/>
      <c r="F490" s="40"/>
      <c r="G490" s="40"/>
      <c r="H490" s="40"/>
      <c r="I490" s="40"/>
      <c r="J490" s="40"/>
      <c r="K490" s="41"/>
    </row>
    <row r="491" spans="2:11" ht="16" x14ac:dyDescent="0.2">
      <c r="B491" s="38"/>
      <c r="C491" s="45" t="s">
        <v>311</v>
      </c>
      <c r="D491" s="40"/>
      <c r="E491" s="40"/>
      <c r="F491" s="40"/>
      <c r="G491" s="40"/>
      <c r="H491" s="40"/>
      <c r="I491" s="40"/>
      <c r="J491" s="40"/>
      <c r="K491" s="41"/>
    </row>
    <row r="492" spans="2:11" x14ac:dyDescent="0.2">
      <c r="B492" s="38"/>
      <c r="C492" s="40" t="s">
        <v>312</v>
      </c>
      <c r="D492" s="40"/>
      <c r="E492" s="40"/>
      <c r="F492" s="40"/>
      <c r="G492" s="40"/>
      <c r="H492" s="40"/>
      <c r="I492" s="40"/>
      <c r="J492" s="270">
        <v>0</v>
      </c>
      <c r="K492" s="41"/>
    </row>
    <row r="493" spans="2:11" x14ac:dyDescent="0.2">
      <c r="B493" s="38"/>
      <c r="C493" s="40" t="s">
        <v>260</v>
      </c>
      <c r="D493" s="40"/>
      <c r="E493" s="40"/>
      <c r="F493" s="40"/>
      <c r="G493" s="40"/>
      <c r="H493" s="40"/>
      <c r="I493" s="40"/>
      <c r="J493" s="248">
        <f>IF(J492&lt;=0,0,IF(J492&lt;=1,1,IF(J492&lt;=5,2,IF(J492&lt;=10,3,4))))</f>
        <v>0</v>
      </c>
      <c r="K493" s="41"/>
    </row>
    <row r="494" spans="2:11" ht="9.75" customHeight="1" x14ac:dyDescent="0.2">
      <c r="B494" s="38"/>
      <c r="C494" s="279" t="str">
        <f>"0:"</f>
        <v>0:</v>
      </c>
      <c r="D494" s="290" t="s">
        <v>955</v>
      </c>
      <c r="E494" s="40"/>
      <c r="F494" s="40"/>
      <c r="G494" s="40"/>
      <c r="H494" s="40"/>
      <c r="I494" s="40"/>
      <c r="J494" s="245"/>
      <c r="K494" s="41"/>
    </row>
    <row r="495" spans="2:11" ht="9.75" customHeight="1" x14ac:dyDescent="0.2">
      <c r="B495" s="38"/>
      <c r="C495" s="280" t="str">
        <f>"1:"</f>
        <v>1:</v>
      </c>
      <c r="D495" s="290" t="s">
        <v>956</v>
      </c>
      <c r="E495" s="40"/>
      <c r="F495" s="40"/>
      <c r="G495" s="40"/>
      <c r="H495" s="40"/>
      <c r="I495" s="40"/>
      <c r="J495" s="245"/>
      <c r="K495" s="41"/>
    </row>
    <row r="496" spans="2:11" ht="9.75" customHeight="1" x14ac:dyDescent="0.2">
      <c r="B496" s="38"/>
      <c r="C496" s="280" t="str">
        <f>"2:"</f>
        <v>2:</v>
      </c>
      <c r="D496" s="290" t="s">
        <v>957</v>
      </c>
      <c r="E496" s="40"/>
      <c r="F496" s="40"/>
      <c r="G496" s="40"/>
      <c r="H496" s="40"/>
      <c r="I496" s="40"/>
      <c r="J496" s="245"/>
      <c r="K496" s="41"/>
    </row>
    <row r="497" spans="2:11" ht="9.75" customHeight="1" x14ac:dyDescent="0.2">
      <c r="B497" s="38"/>
      <c r="C497" s="280" t="str">
        <f>"3:"</f>
        <v>3:</v>
      </c>
      <c r="D497" s="290" t="s">
        <v>958</v>
      </c>
      <c r="E497" s="40"/>
      <c r="F497" s="40"/>
      <c r="G497" s="40"/>
      <c r="H497" s="40"/>
      <c r="I497" s="40"/>
      <c r="J497" s="245"/>
      <c r="K497" s="41"/>
    </row>
    <row r="498" spans="2:11" ht="9.75" customHeight="1" x14ac:dyDescent="0.2">
      <c r="B498" s="38"/>
      <c r="C498" s="280" t="str">
        <f>"4:"</f>
        <v>4:</v>
      </c>
      <c r="D498" s="290" t="s">
        <v>959</v>
      </c>
      <c r="E498" s="40"/>
      <c r="F498" s="40"/>
      <c r="G498" s="40"/>
      <c r="H498" s="40"/>
      <c r="I498" s="40"/>
      <c r="J498" s="247"/>
      <c r="K498" s="41"/>
    </row>
    <row r="499" spans="2:11" x14ac:dyDescent="0.2">
      <c r="B499" s="38"/>
      <c r="C499" s="40" t="s">
        <v>313</v>
      </c>
      <c r="D499" s="40"/>
      <c r="E499" s="40"/>
      <c r="F499" s="40"/>
      <c r="G499" s="40"/>
      <c r="H499" s="40"/>
      <c r="I499" s="40"/>
      <c r="J499" s="266" t="s">
        <v>870</v>
      </c>
      <c r="K499" s="41"/>
    </row>
    <row r="500" spans="2:11" x14ac:dyDescent="0.2">
      <c r="B500" s="38"/>
      <c r="C500" s="40" t="s">
        <v>261</v>
      </c>
      <c r="D500" s="40"/>
      <c r="E500" s="40"/>
      <c r="F500" s="40"/>
      <c r="G500" s="40"/>
      <c r="H500" s="40"/>
      <c r="I500" s="40"/>
      <c r="J500" s="248">
        <f>IF(J499=$B$973,$A$973,IF(J499=$B$974,$A$974,IF(J499=$B$975,$A$975,IF(J499=$B$976,$A$976,IF(J499=$B$977,$A$977,"Not Calculated")))))</f>
        <v>0</v>
      </c>
      <c r="K500" s="41"/>
    </row>
    <row r="501" spans="2:11" x14ac:dyDescent="0.2">
      <c r="B501" s="38"/>
      <c r="C501" s="40" t="s">
        <v>893</v>
      </c>
      <c r="D501" s="40"/>
      <c r="E501" s="40"/>
      <c r="F501" s="40"/>
      <c r="G501" s="40"/>
      <c r="H501" s="40"/>
      <c r="I501" s="40"/>
      <c r="J501" s="40"/>
      <c r="K501" s="41"/>
    </row>
    <row r="502" spans="2:11" ht="30" customHeight="1" x14ac:dyDescent="0.2">
      <c r="B502" s="38"/>
      <c r="C502" s="399"/>
      <c r="D502" s="400"/>
      <c r="E502" s="400"/>
      <c r="F502" s="400"/>
      <c r="G502" s="400"/>
      <c r="H502" s="400"/>
      <c r="I502" s="400"/>
      <c r="J502" s="401"/>
      <c r="K502" s="41"/>
    </row>
    <row r="503" spans="2:11" x14ac:dyDescent="0.2">
      <c r="B503" s="38"/>
      <c r="C503" s="40"/>
      <c r="D503" s="40"/>
      <c r="E503" s="40"/>
      <c r="F503" s="40"/>
      <c r="G503" s="40"/>
      <c r="H503" s="40"/>
      <c r="I503" s="40"/>
      <c r="J503" s="40"/>
      <c r="K503" s="41"/>
    </row>
    <row r="504" spans="2:11" x14ac:dyDescent="0.2">
      <c r="B504" s="38"/>
      <c r="C504" s="179" t="s">
        <v>321</v>
      </c>
      <c r="D504" s="40"/>
      <c r="E504" s="40"/>
      <c r="F504" s="40"/>
      <c r="G504" s="40"/>
      <c r="H504" s="40"/>
      <c r="I504" s="40"/>
      <c r="J504" s="245">
        <f>IF(OR(J493="Not Calculated",J500="Not Calculated")=TRUE,"Not Calculated",AVERAGE(J493,J500))</f>
        <v>0</v>
      </c>
      <c r="K504" s="41"/>
    </row>
    <row r="505" spans="2:11" x14ac:dyDescent="0.2">
      <c r="B505" s="38"/>
      <c r="C505" s="40"/>
      <c r="D505" s="40"/>
      <c r="E505" s="40"/>
      <c r="F505" s="40"/>
      <c r="G505" s="40"/>
      <c r="H505" s="40"/>
      <c r="I505" s="40"/>
      <c r="J505" s="40"/>
      <c r="K505" s="41"/>
    </row>
    <row r="506" spans="2:11" x14ac:dyDescent="0.2">
      <c r="B506" s="38"/>
      <c r="C506" s="40"/>
      <c r="D506" s="40"/>
      <c r="E506" s="40"/>
      <c r="F506" s="40"/>
      <c r="G506" s="40"/>
      <c r="H506" s="40"/>
      <c r="I506" s="40"/>
      <c r="J506" s="40"/>
      <c r="K506" s="41"/>
    </row>
    <row r="507" spans="2:11" ht="16" x14ac:dyDescent="0.2">
      <c r="B507" s="38"/>
      <c r="C507" s="45" t="s">
        <v>314</v>
      </c>
      <c r="D507" s="40"/>
      <c r="E507" s="40"/>
      <c r="F507" s="40"/>
      <c r="G507" s="40"/>
      <c r="H507" s="40"/>
      <c r="I507" s="40"/>
      <c r="J507" s="40"/>
      <c r="K507" s="41"/>
    </row>
    <row r="508" spans="2:11" x14ac:dyDescent="0.2">
      <c r="B508" s="38"/>
      <c r="C508" s="40" t="s">
        <v>316</v>
      </c>
      <c r="D508" s="40"/>
      <c r="E508" s="40"/>
      <c r="F508" s="40"/>
      <c r="G508" s="40"/>
      <c r="H508" s="40"/>
      <c r="I508" s="40"/>
      <c r="J508" s="269">
        <v>0</v>
      </c>
      <c r="K508" s="41"/>
    </row>
    <row r="509" spans="2:11" x14ac:dyDescent="0.2">
      <c r="B509" s="38"/>
      <c r="C509" s="40" t="s">
        <v>260</v>
      </c>
      <c r="D509" s="40"/>
      <c r="E509" s="40"/>
      <c r="F509" s="40"/>
      <c r="G509" s="40"/>
      <c r="H509" s="40"/>
      <c r="I509" s="40"/>
      <c r="J509" s="248">
        <f>IF(J508&lt;=0,0,IF(J508&lt;=1000,1,IF(J508&lt;=5000,2,IF(J508&lt;=25000,3,4))))</f>
        <v>0</v>
      </c>
      <c r="K509" s="41"/>
    </row>
    <row r="510" spans="2:11" s="51" customFormat="1" ht="9.75" customHeight="1" x14ac:dyDescent="0.2">
      <c r="B510" s="283"/>
      <c r="C510" s="279" t="str">
        <f>"0:"</f>
        <v>0:</v>
      </c>
      <c r="D510" s="284" t="s">
        <v>960</v>
      </c>
      <c r="E510" s="285"/>
      <c r="F510" s="285"/>
      <c r="G510" s="285"/>
      <c r="H510" s="285"/>
      <c r="I510" s="285"/>
      <c r="J510" s="43"/>
      <c r="K510" s="286"/>
    </row>
    <row r="511" spans="2:11" s="51" customFormat="1" ht="9.75" customHeight="1" x14ac:dyDescent="0.2">
      <c r="B511" s="283"/>
      <c r="C511" s="280" t="str">
        <f>"1:"</f>
        <v>1:</v>
      </c>
      <c r="D511" s="284" t="s">
        <v>961</v>
      </c>
      <c r="E511" s="285"/>
      <c r="F511" s="285"/>
      <c r="G511" s="285"/>
      <c r="H511" s="285"/>
      <c r="I511" s="285"/>
      <c r="J511" s="43"/>
      <c r="K511" s="286"/>
    </row>
    <row r="512" spans="2:11" s="51" customFormat="1" ht="9.75" customHeight="1" x14ac:dyDescent="0.2">
      <c r="B512" s="283"/>
      <c r="C512" s="280" t="str">
        <f>"2:"</f>
        <v>2:</v>
      </c>
      <c r="D512" s="284" t="s">
        <v>962</v>
      </c>
      <c r="E512" s="285"/>
      <c r="F512" s="285"/>
      <c r="G512" s="285"/>
      <c r="H512" s="285"/>
      <c r="I512" s="285"/>
      <c r="J512" s="43"/>
      <c r="K512" s="286"/>
    </row>
    <row r="513" spans="2:11" s="51" customFormat="1" ht="9.75" customHeight="1" x14ac:dyDescent="0.2">
      <c r="B513" s="283"/>
      <c r="C513" s="280" t="str">
        <f>"3:"</f>
        <v>3:</v>
      </c>
      <c r="D513" s="284" t="s">
        <v>963</v>
      </c>
      <c r="E513" s="285"/>
      <c r="F513" s="285"/>
      <c r="G513" s="285"/>
      <c r="H513" s="285"/>
      <c r="I513" s="285"/>
      <c r="J513" s="43"/>
      <c r="K513" s="286"/>
    </row>
    <row r="514" spans="2:11" s="51" customFormat="1" ht="9.75" customHeight="1" x14ac:dyDescent="0.2">
      <c r="B514" s="283"/>
      <c r="C514" s="280" t="str">
        <f>"4:"</f>
        <v>4:</v>
      </c>
      <c r="D514" s="284" t="s">
        <v>964</v>
      </c>
      <c r="E514" s="285"/>
      <c r="F514" s="285"/>
      <c r="G514" s="285"/>
      <c r="H514" s="285"/>
      <c r="I514" s="285"/>
      <c r="J514" s="287"/>
      <c r="K514" s="286"/>
    </row>
    <row r="515" spans="2:11" x14ac:dyDescent="0.2">
      <c r="B515" s="38"/>
      <c r="C515" s="40" t="s">
        <v>315</v>
      </c>
      <c r="D515" s="40"/>
      <c r="E515" s="40"/>
      <c r="F515" s="40"/>
      <c r="G515" s="40"/>
      <c r="H515" s="40"/>
      <c r="I515" s="40"/>
      <c r="J515" s="266" t="s">
        <v>870</v>
      </c>
      <c r="K515" s="41"/>
    </row>
    <row r="516" spans="2:11" x14ac:dyDescent="0.2">
      <c r="B516" s="38"/>
      <c r="C516" s="40" t="s">
        <v>261</v>
      </c>
      <c r="D516" s="40"/>
      <c r="E516" s="40"/>
      <c r="F516" s="40"/>
      <c r="G516" s="40"/>
      <c r="H516" s="40"/>
      <c r="I516" s="40"/>
      <c r="J516" s="248">
        <f>IF(J515=$B$973,$A$973,IF(J515=$B$974,$A$974,IF(J515=$B$975,$A$975,IF(J515=$B$976,$A$976,IF(J515=$B$977,$A$977,"Not Calculated")))))</f>
        <v>0</v>
      </c>
      <c r="K516" s="41"/>
    </row>
    <row r="517" spans="2:11" x14ac:dyDescent="0.2">
      <c r="B517" s="38"/>
      <c r="C517" s="40" t="s">
        <v>893</v>
      </c>
      <c r="D517" s="40"/>
      <c r="E517" s="40"/>
      <c r="F517" s="40"/>
      <c r="G517" s="40"/>
      <c r="H517" s="40"/>
      <c r="I517" s="40"/>
      <c r="J517" s="40"/>
      <c r="K517" s="41"/>
    </row>
    <row r="518" spans="2:11" ht="30" customHeight="1" x14ac:dyDescent="0.2">
      <c r="B518" s="38"/>
      <c r="C518" s="399"/>
      <c r="D518" s="400"/>
      <c r="E518" s="400"/>
      <c r="F518" s="400"/>
      <c r="G518" s="400"/>
      <c r="H518" s="400"/>
      <c r="I518" s="400"/>
      <c r="J518" s="401"/>
      <c r="K518" s="41"/>
    </row>
    <row r="519" spans="2:11" x14ac:dyDescent="0.2">
      <c r="B519" s="38"/>
      <c r="C519" s="40"/>
      <c r="D519" s="40"/>
      <c r="E519" s="40"/>
      <c r="F519" s="40"/>
      <c r="G519" s="40"/>
      <c r="H519" s="40"/>
      <c r="I519" s="40"/>
      <c r="J519" s="40"/>
      <c r="K519" s="41"/>
    </row>
    <row r="520" spans="2:11" x14ac:dyDescent="0.2">
      <c r="B520" s="38"/>
      <c r="C520" s="179" t="s">
        <v>320</v>
      </c>
      <c r="D520" s="40"/>
      <c r="E520" s="40"/>
      <c r="F520" s="40"/>
      <c r="G520" s="40"/>
      <c r="H520" s="40"/>
      <c r="I520" s="40"/>
      <c r="J520" s="245">
        <f>IF(OR(J509="Not Calculated",J516="Not Calculated")=TRUE,"Not Calculated",AVERAGE(J509,J516))</f>
        <v>0</v>
      </c>
      <c r="K520" s="41"/>
    </row>
    <row r="521" spans="2:11" x14ac:dyDescent="0.2">
      <c r="B521" s="38"/>
      <c r="C521" s="40"/>
      <c r="D521" s="40"/>
      <c r="E521" s="40"/>
      <c r="F521" s="40"/>
      <c r="G521" s="40"/>
      <c r="H521" s="40"/>
      <c r="I521" s="40"/>
      <c r="J521" s="40"/>
      <c r="K521" s="41"/>
    </row>
    <row r="522" spans="2:11" x14ac:dyDescent="0.2">
      <c r="B522" s="38"/>
      <c r="C522" s="40"/>
      <c r="D522" s="40"/>
      <c r="E522" s="40"/>
      <c r="F522" s="40"/>
      <c r="G522" s="40"/>
      <c r="H522" s="40"/>
      <c r="I522" s="40"/>
      <c r="J522" s="40"/>
      <c r="K522" s="41"/>
    </row>
    <row r="523" spans="2:11" ht="16" x14ac:dyDescent="0.2">
      <c r="B523" s="38"/>
      <c r="C523" s="45" t="s">
        <v>317</v>
      </c>
      <c r="D523" s="40"/>
      <c r="E523" s="40"/>
      <c r="F523" s="40"/>
      <c r="G523" s="40"/>
      <c r="H523" s="40"/>
      <c r="I523" s="40"/>
      <c r="J523" s="40"/>
      <c r="K523" s="41"/>
    </row>
    <row r="524" spans="2:11" ht="15" customHeight="1" x14ac:dyDescent="0.2">
      <c r="B524" s="38"/>
      <c r="C524" s="380" t="s">
        <v>318</v>
      </c>
      <c r="D524" s="380"/>
      <c r="E524" s="380"/>
      <c r="F524" s="380"/>
      <c r="G524" s="380"/>
      <c r="H524" s="380"/>
      <c r="I524" s="380"/>
      <c r="J524" s="40"/>
      <c r="K524" s="41"/>
    </row>
    <row r="525" spans="2:11" x14ac:dyDescent="0.2">
      <c r="B525" s="38"/>
      <c r="C525" s="380"/>
      <c r="D525" s="380"/>
      <c r="E525" s="380"/>
      <c r="F525" s="380"/>
      <c r="G525" s="380"/>
      <c r="H525" s="380"/>
      <c r="I525" s="380"/>
      <c r="J525" s="274">
        <v>10</v>
      </c>
      <c r="K525" s="41"/>
    </row>
    <row r="526" spans="2:11" x14ac:dyDescent="0.2">
      <c r="B526" s="38"/>
      <c r="C526" s="40" t="s">
        <v>260</v>
      </c>
      <c r="D526" s="40"/>
      <c r="E526" s="40"/>
      <c r="F526" s="40"/>
      <c r="G526" s="40"/>
      <c r="H526" s="40"/>
      <c r="I526" s="40"/>
      <c r="J526" s="248">
        <f>IF(J525&lt;=0,0,IF(J525&lt;=1,1,IF(J525&lt;=5,2,IF(J525&lt;=10,3,4))))</f>
        <v>3</v>
      </c>
      <c r="K526" s="41"/>
    </row>
    <row r="527" spans="2:11" s="51" customFormat="1" ht="9.75" customHeight="1" x14ac:dyDescent="0.2">
      <c r="B527" s="283"/>
      <c r="C527" s="279" t="str">
        <f>"0:"</f>
        <v>0:</v>
      </c>
      <c r="D527" s="284" t="s">
        <v>965</v>
      </c>
      <c r="E527" s="285"/>
      <c r="F527" s="285"/>
      <c r="G527" s="285"/>
      <c r="H527" s="285"/>
      <c r="I527" s="285"/>
      <c r="J527" s="43"/>
      <c r="K527" s="286"/>
    </row>
    <row r="528" spans="2:11" s="51" customFormat="1" ht="9.75" customHeight="1" x14ac:dyDescent="0.2">
      <c r="B528" s="283"/>
      <c r="C528" s="280" t="str">
        <f>"1:"</f>
        <v>1:</v>
      </c>
      <c r="D528" s="284" t="s">
        <v>966</v>
      </c>
      <c r="E528" s="285"/>
      <c r="F528" s="285"/>
      <c r="G528" s="285"/>
      <c r="H528" s="285"/>
      <c r="I528" s="285"/>
      <c r="J528" s="43"/>
      <c r="K528" s="286"/>
    </row>
    <row r="529" spans="2:11" s="51" customFormat="1" ht="9.75" customHeight="1" x14ac:dyDescent="0.2">
      <c r="B529" s="283"/>
      <c r="C529" s="280" t="str">
        <f>"2:"</f>
        <v>2:</v>
      </c>
      <c r="D529" s="284" t="s">
        <v>967</v>
      </c>
      <c r="E529" s="285"/>
      <c r="F529" s="285"/>
      <c r="G529" s="285"/>
      <c r="H529" s="285"/>
      <c r="I529" s="285"/>
      <c r="J529" s="43"/>
      <c r="K529" s="286"/>
    </row>
    <row r="530" spans="2:11" s="51" customFormat="1" ht="9.75" customHeight="1" x14ac:dyDescent="0.2">
      <c r="B530" s="283"/>
      <c r="C530" s="280" t="str">
        <f>"3:"</f>
        <v>3:</v>
      </c>
      <c r="D530" s="284" t="s">
        <v>968</v>
      </c>
      <c r="E530" s="285"/>
      <c r="F530" s="285"/>
      <c r="G530" s="285"/>
      <c r="H530" s="285"/>
      <c r="I530" s="285"/>
      <c r="J530" s="43"/>
      <c r="K530" s="286"/>
    </row>
    <row r="531" spans="2:11" s="51" customFormat="1" ht="9.75" customHeight="1" x14ac:dyDescent="0.2">
      <c r="B531" s="283"/>
      <c r="C531" s="280" t="str">
        <f>"4:"</f>
        <v>4:</v>
      </c>
      <c r="D531" s="284" t="s">
        <v>969</v>
      </c>
      <c r="E531" s="285"/>
      <c r="F531" s="285"/>
      <c r="G531" s="285"/>
      <c r="H531" s="285"/>
      <c r="I531" s="285"/>
      <c r="J531" s="287"/>
      <c r="K531" s="286"/>
    </row>
    <row r="532" spans="2:11" x14ac:dyDescent="0.2">
      <c r="B532" s="38"/>
      <c r="C532" s="40" t="s">
        <v>257</v>
      </c>
      <c r="D532" s="40"/>
      <c r="E532" s="40"/>
      <c r="F532" s="40"/>
      <c r="G532" s="40"/>
      <c r="H532" s="40"/>
      <c r="I532" s="40"/>
      <c r="J532" s="266" t="s">
        <v>874</v>
      </c>
      <c r="K532" s="41"/>
    </row>
    <row r="533" spans="2:11" x14ac:dyDescent="0.2">
      <c r="B533" s="38"/>
      <c r="C533" s="40" t="s">
        <v>261</v>
      </c>
      <c r="D533" s="40"/>
      <c r="E533" s="40"/>
      <c r="F533" s="40"/>
      <c r="G533" s="40"/>
      <c r="H533" s="40"/>
      <c r="I533" s="40"/>
      <c r="J533" s="248">
        <f>IF(J532=$B$973,$A$973,IF(J532=$B$974,$A$974,IF(J532=$B$975,$A$975,IF(J532=$B$976,$A$976,IF(J532=$B$977,$A$977,"Not Calculated")))))</f>
        <v>4</v>
      </c>
      <c r="K533" s="41"/>
    </row>
    <row r="534" spans="2:11" x14ac:dyDescent="0.2">
      <c r="B534" s="38"/>
      <c r="C534" s="40" t="s">
        <v>893</v>
      </c>
      <c r="D534" s="40"/>
      <c r="E534" s="40"/>
      <c r="F534" s="40"/>
      <c r="G534" s="40"/>
      <c r="H534" s="40"/>
      <c r="I534" s="40"/>
      <c r="J534" s="40"/>
      <c r="K534" s="41"/>
    </row>
    <row r="535" spans="2:11" ht="60" customHeight="1" x14ac:dyDescent="0.2">
      <c r="B535" s="38"/>
      <c r="C535" s="399" t="s">
        <v>483</v>
      </c>
      <c r="D535" s="400"/>
      <c r="E535" s="400"/>
      <c r="F535" s="400"/>
      <c r="G535" s="400"/>
      <c r="H535" s="400"/>
      <c r="I535" s="400"/>
      <c r="J535" s="401"/>
      <c r="K535" s="41"/>
    </row>
    <row r="536" spans="2:11" x14ac:dyDescent="0.2">
      <c r="B536" s="38"/>
      <c r="C536" s="40"/>
      <c r="D536" s="40"/>
      <c r="E536" s="40"/>
      <c r="F536" s="40"/>
      <c r="G536" s="40"/>
      <c r="H536" s="40"/>
      <c r="I536" s="40"/>
      <c r="J536" s="40"/>
      <c r="K536" s="41"/>
    </row>
    <row r="537" spans="2:11" x14ac:dyDescent="0.2">
      <c r="B537" s="38"/>
      <c r="C537" s="179" t="s">
        <v>319</v>
      </c>
      <c r="D537" s="40"/>
      <c r="E537" s="40"/>
      <c r="F537" s="40"/>
      <c r="G537" s="40"/>
      <c r="H537" s="40"/>
      <c r="I537" s="40"/>
      <c r="J537" s="245">
        <f>IF(OR(J526="Not Calculated",J533="Not Calculated")=TRUE,"Not Calculated",AVERAGE(J526,J533))</f>
        <v>3.5</v>
      </c>
      <c r="K537" s="41"/>
    </row>
    <row r="538" spans="2:11" x14ac:dyDescent="0.2">
      <c r="B538" s="38"/>
      <c r="C538" s="40"/>
      <c r="D538" s="40"/>
      <c r="E538" s="40"/>
      <c r="F538" s="40"/>
      <c r="G538" s="40"/>
      <c r="H538" s="40"/>
      <c r="I538" s="40"/>
      <c r="J538" s="40"/>
      <c r="K538" s="41"/>
    </row>
    <row r="539" spans="2:11" ht="18" x14ac:dyDescent="0.2">
      <c r="B539" s="38"/>
      <c r="C539" s="180" t="s">
        <v>302</v>
      </c>
      <c r="D539" s="40"/>
      <c r="E539" s="40"/>
      <c r="F539" s="40"/>
      <c r="G539" s="40"/>
      <c r="H539" s="40"/>
      <c r="I539" s="40"/>
      <c r="J539" s="244">
        <f>IF(OR(J440="Not Calculated",J457="Not Calculated",J473="Not Calculated",J488="Not Calculated",J504="Not Calculated",J520="Not Calculated",J537="Not Calculated")=TRUE,"Not Calculated",AVERAGE(J440,J457,J473,J488,J504,J520,J537))</f>
        <v>1</v>
      </c>
      <c r="K539" s="41"/>
    </row>
    <row r="540" spans="2:11" ht="16" thickBot="1" x14ac:dyDescent="0.25">
      <c r="B540" s="46"/>
      <c r="C540" s="47"/>
      <c r="D540" s="47"/>
      <c r="E540" s="47"/>
      <c r="F540" s="47"/>
      <c r="G540" s="47"/>
      <c r="H540" s="47"/>
      <c r="I540" s="47"/>
      <c r="J540" s="47"/>
      <c r="K540" s="49"/>
    </row>
    <row r="541" spans="2:11" ht="16" thickBot="1" x14ac:dyDescent="0.25"/>
    <row r="542" spans="2:11" x14ac:dyDescent="0.2">
      <c r="B542" s="33"/>
      <c r="C542" s="34"/>
      <c r="D542" s="34"/>
      <c r="E542" s="34"/>
      <c r="F542" s="34"/>
      <c r="G542" s="34"/>
      <c r="H542" s="34"/>
      <c r="I542" s="34"/>
      <c r="J542" s="34"/>
      <c r="K542" s="37"/>
    </row>
    <row r="543" spans="2:11" ht="21" x14ac:dyDescent="0.25">
      <c r="B543" s="38"/>
      <c r="C543" s="40"/>
      <c r="D543" s="40"/>
      <c r="E543" s="40"/>
      <c r="F543" s="40"/>
      <c r="G543" s="172" t="s">
        <v>29</v>
      </c>
      <c r="H543" s="40"/>
      <c r="I543" s="40"/>
      <c r="J543" s="40"/>
      <c r="K543" s="41"/>
    </row>
    <row r="544" spans="2:11" ht="15" customHeight="1" x14ac:dyDescent="0.2">
      <c r="B544" s="38"/>
      <c r="C544" s="40"/>
      <c r="D544" s="40"/>
      <c r="E544" s="40"/>
      <c r="F544" s="40"/>
      <c r="G544" s="40"/>
      <c r="H544" s="40"/>
      <c r="I544" s="40"/>
      <c r="J544" s="40"/>
      <c r="K544" s="41"/>
    </row>
    <row r="545" spans="2:14" ht="16" x14ac:dyDescent="0.2">
      <c r="B545" s="38"/>
      <c r="C545" s="45" t="s">
        <v>88</v>
      </c>
      <c r="D545" s="40"/>
      <c r="E545" s="40"/>
      <c r="F545" s="40"/>
      <c r="G545" s="40"/>
      <c r="H545" s="40"/>
      <c r="I545" s="40"/>
      <c r="J545" s="40"/>
      <c r="K545" s="41"/>
    </row>
    <row r="546" spans="2:14" x14ac:dyDescent="0.2">
      <c r="B546" s="38"/>
      <c r="C546" s="40" t="s">
        <v>448</v>
      </c>
      <c r="D546" s="40"/>
      <c r="E546" s="40"/>
      <c r="F546" s="40"/>
      <c r="G546" s="40"/>
      <c r="H546" s="40"/>
      <c r="I546" s="40"/>
      <c r="J546" s="252">
        <f>'Baseline Health'!G123</f>
        <v>0</v>
      </c>
      <c r="K546" s="41"/>
    </row>
    <row r="547" spans="2:14" x14ac:dyDescent="0.2">
      <c r="B547" s="38"/>
      <c r="C547" s="40" t="s">
        <v>322</v>
      </c>
      <c r="D547" s="40"/>
      <c r="E547" s="40"/>
      <c r="F547" s="40"/>
      <c r="G547" s="40"/>
      <c r="H547" s="40"/>
      <c r="I547" s="40"/>
      <c r="J547" s="264">
        <v>0</v>
      </c>
      <c r="K547" s="41"/>
    </row>
    <row r="548" spans="2:14" x14ac:dyDescent="0.2">
      <c r="B548" s="38"/>
      <c r="C548" s="40" t="s">
        <v>428</v>
      </c>
      <c r="D548" s="40"/>
      <c r="E548" s="40"/>
      <c r="F548" s="40"/>
      <c r="G548" s="40"/>
      <c r="H548" s="40"/>
      <c r="I548" s="40"/>
      <c r="J548" s="264">
        <v>0</v>
      </c>
      <c r="K548" s="41"/>
    </row>
    <row r="549" spans="2:14" x14ac:dyDescent="0.2">
      <c r="B549" s="38"/>
      <c r="C549" s="40" t="s">
        <v>260</v>
      </c>
      <c r="D549" s="40"/>
      <c r="E549" s="40"/>
      <c r="F549" s="40"/>
      <c r="G549" s="40"/>
      <c r="H549" s="40"/>
      <c r="I549" s="40"/>
      <c r="J549" s="248" t="str">
        <f>IF(OR(J546=0,J546="Not Calculated")=TRUE,"Not Calculated",IF(J546-J547=0,4,(IF(((J546+J548)/(J546-J547))&lt;=1,0,IF(((J546+J548)/(J546-J547))&lt;=1.05,1,IF(((J546+J548)/(J546-J547))&lt;=1.5, 2,IF(((J546+J548)/(J546-J547))&lt;=2,3,4)))))))</f>
        <v>Not Calculated</v>
      </c>
      <c r="K549" s="41"/>
    </row>
    <row r="550" spans="2:14" ht="9.75" customHeight="1" x14ac:dyDescent="0.2">
      <c r="B550" s="38"/>
      <c r="C550" s="279" t="str">
        <f>"0:"</f>
        <v>0:</v>
      </c>
      <c r="D550" s="278" t="s">
        <v>918</v>
      </c>
      <c r="E550" s="40"/>
      <c r="F550" s="40"/>
      <c r="G550" s="40"/>
      <c r="H550" s="40"/>
      <c r="I550" s="40"/>
      <c r="J550" s="251"/>
      <c r="K550" s="41"/>
    </row>
    <row r="551" spans="2:14" ht="9.75" customHeight="1" x14ac:dyDescent="0.2">
      <c r="B551" s="38"/>
      <c r="C551" s="280" t="str">
        <f>"1:"</f>
        <v>1:</v>
      </c>
      <c r="D551" s="278" t="s">
        <v>923</v>
      </c>
      <c r="E551" s="40"/>
      <c r="F551" s="40"/>
      <c r="G551" s="40"/>
      <c r="H551" s="40"/>
      <c r="I551" s="40"/>
      <c r="J551" s="251"/>
      <c r="K551" s="41"/>
    </row>
    <row r="552" spans="2:14" ht="9.75" customHeight="1" x14ac:dyDescent="0.2">
      <c r="B552" s="38"/>
      <c r="C552" s="280" t="str">
        <f>"2:"</f>
        <v>2:</v>
      </c>
      <c r="D552" s="278" t="s">
        <v>924</v>
      </c>
      <c r="E552" s="40"/>
      <c r="F552" s="40"/>
      <c r="G552" s="40"/>
      <c r="H552" s="40"/>
      <c r="I552" s="40"/>
      <c r="J552" s="251"/>
      <c r="K552" s="41"/>
    </row>
    <row r="553" spans="2:14" ht="9.75" customHeight="1" x14ac:dyDescent="0.2">
      <c r="B553" s="38"/>
      <c r="C553" s="280" t="str">
        <f>"3:"</f>
        <v>3:</v>
      </c>
      <c r="D553" s="278" t="s">
        <v>925</v>
      </c>
      <c r="E553" s="40"/>
      <c r="F553" s="40"/>
      <c r="G553" s="40"/>
      <c r="H553" s="40"/>
      <c r="I553" s="40"/>
      <c r="J553" s="251"/>
      <c r="K553" s="41"/>
    </row>
    <row r="554" spans="2:14" ht="9.75" customHeight="1" x14ac:dyDescent="0.2">
      <c r="B554" s="38"/>
      <c r="C554" s="280" t="str">
        <f>"4:"</f>
        <v>4:</v>
      </c>
      <c r="D554" s="278" t="s">
        <v>926</v>
      </c>
      <c r="E554" s="40"/>
      <c r="F554" s="40"/>
      <c r="G554" s="40"/>
      <c r="H554" s="40"/>
      <c r="I554" s="40"/>
      <c r="J554" s="40"/>
      <c r="K554" s="41"/>
      <c r="N554" s="12" t="s">
        <v>661</v>
      </c>
    </row>
    <row r="555" spans="2:14" x14ac:dyDescent="0.2">
      <c r="B555" s="38"/>
      <c r="C555" s="174" t="s">
        <v>662</v>
      </c>
      <c r="D555" s="40"/>
      <c r="E555" s="40"/>
      <c r="F555" s="40"/>
      <c r="G555" s="40"/>
      <c r="H555" s="40"/>
      <c r="I555" s="40"/>
      <c r="J555" s="265" t="s">
        <v>661</v>
      </c>
      <c r="K555" s="41"/>
      <c r="N555" s="12" t="s">
        <v>894</v>
      </c>
    </row>
    <row r="556" spans="2:14" x14ac:dyDescent="0.2">
      <c r="B556" s="38"/>
      <c r="C556" s="174" t="s">
        <v>660</v>
      </c>
      <c r="D556" s="40"/>
      <c r="E556" s="40"/>
      <c r="F556" s="40"/>
      <c r="G556" s="40"/>
      <c r="H556" s="40"/>
      <c r="I556" s="40"/>
      <c r="J556" s="247" t="str">
        <f>IF(J555=N554,"N/A",IF(J555=N555,0,IF(J555=N556,1,IF(J555=N557,2,IF(J555=N558,3,IF(J555=N559,4,"N/A"))))))</f>
        <v>N/A</v>
      </c>
      <c r="K556" s="41"/>
      <c r="N556" s="12" t="s">
        <v>899</v>
      </c>
    </row>
    <row r="557" spans="2:14" x14ac:dyDescent="0.2">
      <c r="B557" s="38"/>
      <c r="C557" s="40" t="s">
        <v>257</v>
      </c>
      <c r="D557" s="40"/>
      <c r="E557" s="40"/>
      <c r="F557" s="40"/>
      <c r="G557" s="40"/>
      <c r="H557" s="40"/>
      <c r="I557" s="40"/>
      <c r="J557" s="266" t="s">
        <v>870</v>
      </c>
      <c r="K557" s="41"/>
      <c r="N557" s="12" t="s">
        <v>900</v>
      </c>
    </row>
    <row r="558" spans="2:14" x14ac:dyDescent="0.2">
      <c r="B558" s="38"/>
      <c r="C558" s="40" t="s">
        <v>261</v>
      </c>
      <c r="D558" s="40"/>
      <c r="E558" s="40"/>
      <c r="F558" s="40"/>
      <c r="G558" s="40"/>
      <c r="H558" s="40"/>
      <c r="I558" s="40"/>
      <c r="J558" s="248">
        <f>IF(J557=$B$973,$A$973,IF(J557=$B$974,$A$974,IF(J557=$B$975,$A$975,IF(J557=$B$976,$A$976,IF(J557=$B$977,$A$977,"Not Calculated")))))</f>
        <v>0</v>
      </c>
      <c r="K558" s="41"/>
      <c r="N558" s="12" t="s">
        <v>901</v>
      </c>
    </row>
    <row r="559" spans="2:14" x14ac:dyDescent="0.2">
      <c r="B559" s="38"/>
      <c r="C559" s="40" t="s">
        <v>893</v>
      </c>
      <c r="D559" s="40"/>
      <c r="E559" s="40"/>
      <c r="F559" s="40"/>
      <c r="G559" s="40"/>
      <c r="H559" s="40"/>
      <c r="I559" s="40"/>
      <c r="J559" s="40"/>
      <c r="K559" s="41"/>
      <c r="N559" s="12" t="s">
        <v>902</v>
      </c>
    </row>
    <row r="560" spans="2:14" ht="30" customHeight="1" x14ac:dyDescent="0.2">
      <c r="B560" s="38"/>
      <c r="C560" s="399"/>
      <c r="D560" s="400"/>
      <c r="E560" s="400"/>
      <c r="F560" s="400"/>
      <c r="G560" s="400"/>
      <c r="H560" s="400"/>
      <c r="I560" s="400"/>
      <c r="J560" s="401"/>
      <c r="K560" s="41"/>
    </row>
    <row r="561" spans="2:11" x14ac:dyDescent="0.2">
      <c r="B561" s="38"/>
      <c r="C561" s="40"/>
      <c r="D561" s="40"/>
      <c r="E561" s="40"/>
      <c r="F561" s="40"/>
      <c r="G561" s="40"/>
      <c r="H561" s="40"/>
      <c r="I561" s="40"/>
      <c r="J561" s="40"/>
      <c r="K561" s="41"/>
    </row>
    <row r="562" spans="2:11" x14ac:dyDescent="0.2">
      <c r="B562" s="38"/>
      <c r="C562" s="179" t="s">
        <v>323</v>
      </c>
      <c r="D562" s="40"/>
      <c r="E562" s="40"/>
      <c r="F562" s="40"/>
      <c r="G562" s="40"/>
      <c r="H562" s="40"/>
      <c r="I562" s="40"/>
      <c r="J562" s="245" t="str">
        <f>IF(J556="N/A",IF(OR(J549="Not Calculated",J558="Not Calculated")=TRUE,"Not Calculated",AVERAGE(J549,J558)),AVERAGE(J556,J558))</f>
        <v>Not Calculated</v>
      </c>
      <c r="K562" s="41"/>
    </row>
    <row r="563" spans="2:11" x14ac:dyDescent="0.2">
      <c r="B563" s="38"/>
      <c r="C563" s="40"/>
      <c r="D563" s="40"/>
      <c r="E563" s="40"/>
      <c r="F563" s="40"/>
      <c r="G563" s="40"/>
      <c r="H563" s="40"/>
      <c r="I563" s="40"/>
      <c r="J563" s="40"/>
      <c r="K563" s="41"/>
    </row>
    <row r="564" spans="2:11" x14ac:dyDescent="0.2">
      <c r="B564" s="38"/>
      <c r="C564" s="40"/>
      <c r="D564" s="40"/>
      <c r="E564" s="40"/>
      <c r="F564" s="40"/>
      <c r="G564" s="40"/>
      <c r="H564" s="40"/>
      <c r="I564" s="40"/>
      <c r="J564" s="40"/>
      <c r="K564" s="41"/>
    </row>
    <row r="565" spans="2:11" ht="16" x14ac:dyDescent="0.2">
      <c r="B565" s="38"/>
      <c r="C565" s="45" t="s">
        <v>89</v>
      </c>
      <c r="D565" s="40"/>
      <c r="E565" s="40"/>
      <c r="F565" s="40"/>
      <c r="G565" s="40"/>
      <c r="H565" s="40"/>
      <c r="I565" s="40"/>
      <c r="J565" s="40"/>
      <c r="K565" s="41"/>
    </row>
    <row r="566" spans="2:11" ht="15" customHeight="1" x14ac:dyDescent="0.2">
      <c r="B566" s="38"/>
      <c r="C566" s="380" t="s">
        <v>333</v>
      </c>
      <c r="D566" s="380"/>
      <c r="E566" s="380"/>
      <c r="F566" s="380"/>
      <c r="G566" s="380"/>
      <c r="H566" s="380"/>
      <c r="I566" s="380"/>
      <c r="J566" s="40"/>
      <c r="K566" s="41"/>
    </row>
    <row r="567" spans="2:11" x14ac:dyDescent="0.2">
      <c r="B567" s="38"/>
      <c r="C567" s="380"/>
      <c r="D567" s="380"/>
      <c r="E567" s="380"/>
      <c r="F567" s="380"/>
      <c r="G567" s="380"/>
      <c r="H567" s="380"/>
      <c r="I567" s="380"/>
      <c r="J567" s="40"/>
      <c r="K567" s="41"/>
    </row>
    <row r="568" spans="2:11" x14ac:dyDescent="0.2">
      <c r="B568" s="38"/>
      <c r="C568" s="380"/>
      <c r="D568" s="380"/>
      <c r="E568" s="380"/>
      <c r="F568" s="380"/>
      <c r="G568" s="380"/>
      <c r="H568" s="380"/>
      <c r="I568" s="380"/>
      <c r="J568" s="251">
        <f>'Baseline Health'!G132</f>
        <v>0</v>
      </c>
      <c r="K568" s="41"/>
    </row>
    <row r="569" spans="2:11" ht="15" customHeight="1" x14ac:dyDescent="0.2">
      <c r="B569" s="38"/>
      <c r="C569" s="380" t="s">
        <v>334</v>
      </c>
      <c r="D569" s="380"/>
      <c r="E569" s="380"/>
      <c r="F569" s="380"/>
      <c r="G569" s="380"/>
      <c r="H569" s="380"/>
      <c r="I569" s="380"/>
      <c r="J569" s="245"/>
      <c r="K569" s="41"/>
    </row>
    <row r="570" spans="2:11" x14ac:dyDescent="0.2">
      <c r="B570" s="38"/>
      <c r="C570" s="380"/>
      <c r="D570" s="380"/>
      <c r="E570" s="380"/>
      <c r="F570" s="380"/>
      <c r="G570" s="380"/>
      <c r="H570" s="380"/>
      <c r="I570" s="380"/>
      <c r="J570" s="245"/>
      <c r="K570" s="41"/>
    </row>
    <row r="571" spans="2:11" x14ac:dyDescent="0.2">
      <c r="B571" s="38"/>
      <c r="C571" s="380"/>
      <c r="D571" s="380"/>
      <c r="E571" s="380"/>
      <c r="F571" s="380"/>
      <c r="G571" s="380"/>
      <c r="H571" s="380"/>
      <c r="I571" s="380"/>
      <c r="J571" s="264">
        <f>J568*0.1</f>
        <v>0</v>
      </c>
      <c r="K571" s="41"/>
    </row>
    <row r="572" spans="2:11" x14ac:dyDescent="0.2">
      <c r="B572" s="38"/>
      <c r="C572" s="40" t="s">
        <v>260</v>
      </c>
      <c r="D572" s="40"/>
      <c r="E572" s="40"/>
      <c r="F572" s="40"/>
      <c r="G572" s="40"/>
      <c r="H572" s="40"/>
      <c r="I572" s="40"/>
      <c r="J572" s="248" t="str">
        <f>IF(OR(J568=0,J568="Not Calculated")=TRUE,"Not Calculated",IF(((J568+J571)/J568)&lt;=1,0,IF(((J568+J571)/J568)&lt;=1.05,1,IF(((J568+J571)/J568)&lt;=1.5, 2,IF(((J568+J571)/J568)&lt;=2,3,4)))))</f>
        <v>Not Calculated</v>
      </c>
      <c r="K572" s="41"/>
    </row>
    <row r="573" spans="2:11" ht="9.75" customHeight="1" x14ac:dyDescent="0.2">
      <c r="B573" s="38"/>
      <c r="C573" s="279" t="str">
        <f>"0:"</f>
        <v>0:</v>
      </c>
      <c r="D573" s="281" t="s">
        <v>918</v>
      </c>
      <c r="E573" s="291"/>
      <c r="F573" s="291"/>
      <c r="G573" s="291"/>
      <c r="H573" s="291"/>
      <c r="I573" s="291"/>
      <c r="J573" s="251"/>
      <c r="K573" s="41"/>
    </row>
    <row r="574" spans="2:11" ht="9.75" customHeight="1" x14ac:dyDescent="0.2">
      <c r="B574" s="38"/>
      <c r="C574" s="280" t="str">
        <f>"1:"</f>
        <v>1:</v>
      </c>
      <c r="D574" s="281" t="s">
        <v>919</v>
      </c>
      <c r="E574" s="291"/>
      <c r="F574" s="291"/>
      <c r="G574" s="291"/>
      <c r="H574" s="291"/>
      <c r="I574" s="291"/>
      <c r="J574" s="251"/>
      <c r="K574" s="41"/>
    </row>
    <row r="575" spans="2:11" ht="9.75" customHeight="1" x14ac:dyDescent="0.2">
      <c r="B575" s="38"/>
      <c r="C575" s="280" t="str">
        <f>"2:"</f>
        <v>2:</v>
      </c>
      <c r="D575" s="281" t="s">
        <v>920</v>
      </c>
      <c r="E575" s="291"/>
      <c r="F575" s="291"/>
      <c r="G575" s="291"/>
      <c r="H575" s="291"/>
      <c r="I575" s="291"/>
      <c r="J575" s="251"/>
      <c r="K575" s="41"/>
    </row>
    <row r="576" spans="2:11" ht="9.75" customHeight="1" x14ac:dyDescent="0.2">
      <c r="B576" s="38"/>
      <c r="C576" s="280" t="str">
        <f>"3:"</f>
        <v>3:</v>
      </c>
      <c r="D576" s="281" t="s">
        <v>921</v>
      </c>
      <c r="E576" s="291"/>
      <c r="F576" s="291"/>
      <c r="G576" s="291"/>
      <c r="H576" s="291"/>
      <c r="I576" s="291"/>
      <c r="J576" s="251"/>
      <c r="K576" s="41"/>
    </row>
    <row r="577" spans="2:14" ht="9.75" customHeight="1" x14ac:dyDescent="0.2">
      <c r="B577" s="38"/>
      <c r="C577" s="280" t="str">
        <f>"4:"</f>
        <v>4:</v>
      </c>
      <c r="D577" s="281" t="s">
        <v>922</v>
      </c>
      <c r="E577" s="40"/>
      <c r="F577" s="40"/>
      <c r="G577" s="40"/>
      <c r="H577" s="40"/>
      <c r="I577" s="40"/>
      <c r="J577" s="40"/>
      <c r="K577" s="41"/>
      <c r="N577" s="12" t="s">
        <v>661</v>
      </c>
    </row>
    <row r="578" spans="2:14" ht="15" customHeight="1" x14ac:dyDescent="0.2">
      <c r="B578" s="38"/>
      <c r="C578" s="174" t="s">
        <v>662</v>
      </c>
      <c r="D578" s="40"/>
      <c r="E578" s="40"/>
      <c r="F578" s="40"/>
      <c r="G578" s="40"/>
      <c r="H578" s="40"/>
      <c r="I578" s="40"/>
      <c r="J578" s="265" t="s">
        <v>661</v>
      </c>
      <c r="K578" s="41"/>
      <c r="N578" s="12" t="s">
        <v>894</v>
      </c>
    </row>
    <row r="579" spans="2:14" ht="15" customHeight="1" x14ac:dyDescent="0.2">
      <c r="B579" s="38"/>
      <c r="C579" s="174" t="s">
        <v>660</v>
      </c>
      <c r="D579" s="40"/>
      <c r="E579" s="40"/>
      <c r="F579" s="40"/>
      <c r="G579" s="40"/>
      <c r="H579" s="40"/>
      <c r="I579" s="40"/>
      <c r="J579" s="247" t="str">
        <f>IF(J578=N577,"N/A",IF(J578=N578,0,IF(J578=N579,1,IF(J578=N580,2,IF(J578=N581,3,IF(J578=N582,4,"N/A"))))))</f>
        <v>N/A</v>
      </c>
      <c r="K579" s="41"/>
      <c r="N579" s="12" t="s">
        <v>895</v>
      </c>
    </row>
    <row r="580" spans="2:14" x14ac:dyDescent="0.2">
      <c r="B580" s="38"/>
      <c r="C580" s="40" t="s">
        <v>257</v>
      </c>
      <c r="D580" s="40"/>
      <c r="E580" s="40"/>
      <c r="F580" s="40"/>
      <c r="G580" s="40"/>
      <c r="H580" s="40"/>
      <c r="I580" s="40"/>
      <c r="J580" s="266" t="s">
        <v>874</v>
      </c>
      <c r="K580" s="41"/>
      <c r="N580" s="12" t="s">
        <v>896</v>
      </c>
    </row>
    <row r="581" spans="2:14" x14ac:dyDescent="0.2">
      <c r="B581" s="38"/>
      <c r="C581" s="40" t="s">
        <v>261</v>
      </c>
      <c r="D581" s="40"/>
      <c r="E581" s="40"/>
      <c r="F581" s="40"/>
      <c r="G581" s="40"/>
      <c r="H581" s="40"/>
      <c r="I581" s="40"/>
      <c r="J581" s="248">
        <f>IF(J580=$B$973,$A$973,IF(J580=$B$974,$A$974,IF(J580=$B$975,$A$975,IF(J580=$B$976,$A$976,IF(J580=$B$977,$A$977,"Not Calculated")))))</f>
        <v>4</v>
      </c>
      <c r="K581" s="41"/>
      <c r="N581" s="12" t="s">
        <v>897</v>
      </c>
    </row>
    <row r="582" spans="2:14" x14ac:dyDescent="0.2">
      <c r="B582" s="38"/>
      <c r="C582" s="40" t="s">
        <v>893</v>
      </c>
      <c r="D582" s="40"/>
      <c r="E582" s="40"/>
      <c r="F582" s="40"/>
      <c r="G582" s="40"/>
      <c r="H582" s="40"/>
      <c r="I582" s="40"/>
      <c r="J582" s="40"/>
      <c r="K582" s="41"/>
      <c r="N582" s="12" t="s">
        <v>898</v>
      </c>
    </row>
    <row r="583" spans="2:14" ht="165" customHeight="1" x14ac:dyDescent="0.2">
      <c r="B583" s="38"/>
      <c r="C583" s="399" t="s">
        <v>478</v>
      </c>
      <c r="D583" s="400"/>
      <c r="E583" s="400"/>
      <c r="F583" s="400"/>
      <c r="G583" s="400"/>
      <c r="H583" s="400"/>
      <c r="I583" s="400"/>
      <c r="J583" s="401"/>
      <c r="K583" s="41"/>
    </row>
    <row r="584" spans="2:14" x14ac:dyDescent="0.2">
      <c r="B584" s="38"/>
      <c r="C584" s="40"/>
      <c r="D584" s="40"/>
      <c r="E584" s="40"/>
      <c r="F584" s="40"/>
      <c r="G584" s="40"/>
      <c r="H584" s="40"/>
      <c r="I584" s="40"/>
      <c r="J584" s="40"/>
      <c r="K584" s="41"/>
    </row>
    <row r="585" spans="2:14" x14ac:dyDescent="0.2">
      <c r="B585" s="38"/>
      <c r="C585" s="179" t="s">
        <v>324</v>
      </c>
      <c r="D585" s="40"/>
      <c r="E585" s="40"/>
      <c r="F585" s="40"/>
      <c r="G585" s="40"/>
      <c r="H585" s="40"/>
      <c r="I585" s="40"/>
      <c r="J585" s="245" t="str">
        <f>IF(J579="N/A",IF(OR(J572="Not Calculated",J581="Not Calculated")=TRUE,"Not Calculated",AVERAGE(J572,J581)),AVERAGE(J579,J581))</f>
        <v>Not Calculated</v>
      </c>
      <c r="K585" s="41"/>
    </row>
    <row r="586" spans="2:14" x14ac:dyDescent="0.2">
      <c r="B586" s="38"/>
      <c r="C586" s="40"/>
      <c r="D586" s="40"/>
      <c r="E586" s="40"/>
      <c r="F586" s="40"/>
      <c r="G586" s="40"/>
      <c r="H586" s="40"/>
      <c r="I586" s="40"/>
      <c r="J586" s="40"/>
      <c r="K586" s="41"/>
    </row>
    <row r="587" spans="2:14" x14ac:dyDescent="0.2">
      <c r="B587" s="38"/>
      <c r="C587" s="40"/>
      <c r="D587" s="40"/>
      <c r="E587" s="40"/>
      <c r="F587" s="40"/>
      <c r="G587" s="40"/>
      <c r="H587" s="40"/>
      <c r="I587" s="40"/>
      <c r="J587" s="40"/>
      <c r="K587" s="41"/>
    </row>
    <row r="588" spans="2:14" ht="16" x14ac:dyDescent="0.2">
      <c r="B588" s="38"/>
      <c r="C588" s="45" t="s">
        <v>115</v>
      </c>
      <c r="D588" s="40"/>
      <c r="E588" s="40"/>
      <c r="F588" s="40"/>
      <c r="G588" s="40"/>
      <c r="H588" s="40"/>
      <c r="I588" s="40"/>
      <c r="J588" s="40"/>
      <c r="K588" s="41"/>
    </row>
    <row r="589" spans="2:14" x14ac:dyDescent="0.2">
      <c r="B589" s="38"/>
      <c r="C589" s="40" t="s">
        <v>335</v>
      </c>
      <c r="D589" s="40"/>
      <c r="E589" s="40"/>
      <c r="F589" s="40"/>
      <c r="G589" s="40"/>
      <c r="H589" s="40"/>
      <c r="I589" s="40"/>
      <c r="J589" s="264">
        <v>0</v>
      </c>
      <c r="K589" s="41"/>
    </row>
    <row r="590" spans="2:14" x14ac:dyDescent="0.2">
      <c r="B590" s="38"/>
      <c r="C590" s="40" t="s">
        <v>260</v>
      </c>
      <c r="D590" s="40"/>
      <c r="E590" s="40"/>
      <c r="F590" s="40"/>
      <c r="G590" s="40"/>
      <c r="H590" s="40"/>
      <c r="I590" s="40"/>
      <c r="J590" s="255">
        <f>IF(J589&lt;=0,0,IF(J589&lt;=1000,1,IF(J589&lt;=5000,2,IF(J589&lt;=25000,3,4))))</f>
        <v>0</v>
      </c>
      <c r="K590" s="41"/>
    </row>
    <row r="591" spans="2:14" ht="9.75" customHeight="1" x14ac:dyDescent="0.2">
      <c r="B591" s="38"/>
      <c r="C591" s="279" t="str">
        <f>"0:"</f>
        <v>0:</v>
      </c>
      <c r="D591" s="284" t="s">
        <v>970</v>
      </c>
      <c r="E591" s="40"/>
      <c r="F591" s="40"/>
      <c r="G591" s="40"/>
      <c r="H591" s="40"/>
      <c r="I591" s="40"/>
      <c r="J591" s="251"/>
      <c r="K591" s="41"/>
    </row>
    <row r="592" spans="2:14" ht="9.75" customHeight="1" x14ac:dyDescent="0.2">
      <c r="B592" s="38"/>
      <c r="C592" s="280" t="str">
        <f>"1:"</f>
        <v>1:</v>
      </c>
      <c r="D592" s="284" t="s">
        <v>961</v>
      </c>
      <c r="E592" s="40"/>
      <c r="F592" s="40"/>
      <c r="G592" s="40"/>
      <c r="H592" s="40"/>
      <c r="I592" s="40"/>
      <c r="J592" s="251"/>
      <c r="K592" s="41"/>
    </row>
    <row r="593" spans="2:11" ht="9.75" customHeight="1" x14ac:dyDescent="0.2">
      <c r="B593" s="38"/>
      <c r="C593" s="280" t="str">
        <f>"2:"</f>
        <v>2:</v>
      </c>
      <c r="D593" s="284" t="s">
        <v>971</v>
      </c>
      <c r="E593" s="40"/>
      <c r="F593" s="40"/>
      <c r="G593" s="40"/>
      <c r="H593" s="40"/>
      <c r="I593" s="40"/>
      <c r="J593" s="251"/>
      <c r="K593" s="41"/>
    </row>
    <row r="594" spans="2:11" ht="9.75" customHeight="1" x14ac:dyDescent="0.2">
      <c r="B594" s="38"/>
      <c r="C594" s="280" t="str">
        <f>"3:"</f>
        <v>3:</v>
      </c>
      <c r="D594" s="284" t="s">
        <v>963</v>
      </c>
      <c r="E594" s="40"/>
      <c r="F594" s="40"/>
      <c r="G594" s="40"/>
      <c r="H594" s="40"/>
      <c r="I594" s="40"/>
      <c r="J594" s="251"/>
      <c r="K594" s="41"/>
    </row>
    <row r="595" spans="2:11" ht="9.75" customHeight="1" x14ac:dyDescent="0.2">
      <c r="B595" s="38"/>
      <c r="C595" s="280" t="str">
        <f>"4:"</f>
        <v>4:</v>
      </c>
      <c r="D595" s="284" t="s">
        <v>964</v>
      </c>
      <c r="E595" s="40"/>
      <c r="F595" s="40"/>
      <c r="G595" s="40"/>
      <c r="H595" s="40"/>
      <c r="I595" s="40"/>
      <c r="J595" s="40"/>
      <c r="K595" s="41"/>
    </row>
    <row r="596" spans="2:11" ht="15" customHeight="1" x14ac:dyDescent="0.2">
      <c r="B596" s="38"/>
      <c r="C596" s="40" t="s">
        <v>257</v>
      </c>
      <c r="D596" s="40"/>
      <c r="E596" s="40"/>
      <c r="F596" s="40"/>
      <c r="G596" s="40"/>
      <c r="H596" s="40"/>
      <c r="I596" s="40"/>
      <c r="J596" s="266" t="s">
        <v>870</v>
      </c>
      <c r="K596" s="41"/>
    </row>
    <row r="597" spans="2:11" ht="15" customHeight="1" x14ac:dyDescent="0.2">
      <c r="B597" s="38"/>
      <c r="C597" s="40" t="s">
        <v>261</v>
      </c>
      <c r="D597" s="40"/>
      <c r="E597" s="40"/>
      <c r="F597" s="40"/>
      <c r="G597" s="40"/>
      <c r="H597" s="40"/>
      <c r="I597" s="40"/>
      <c r="J597" s="245">
        <f>IF(J596=$B$973,$A$973,IF(J596=$B$974,$A$974,IF(J596=$B$975,$A$975,IF(J596=$B$976,$A$976,IF(J596=$B$977,$A$977,"Not Calculated")))))</f>
        <v>0</v>
      </c>
      <c r="K597" s="41"/>
    </row>
    <row r="598" spans="2:11" x14ac:dyDescent="0.2">
      <c r="B598" s="38"/>
      <c r="C598" s="40" t="s">
        <v>893</v>
      </c>
      <c r="D598" s="40"/>
      <c r="E598" s="40"/>
      <c r="F598" s="40"/>
      <c r="G598" s="40"/>
      <c r="H598" s="40"/>
      <c r="I598" s="40"/>
      <c r="J598" s="40"/>
      <c r="K598" s="41"/>
    </row>
    <row r="599" spans="2:11" ht="30" customHeight="1" x14ac:dyDescent="0.2">
      <c r="B599" s="38"/>
      <c r="C599" s="399"/>
      <c r="D599" s="400"/>
      <c r="E599" s="400"/>
      <c r="F599" s="400"/>
      <c r="G599" s="400"/>
      <c r="H599" s="400"/>
      <c r="I599" s="400"/>
      <c r="J599" s="401"/>
      <c r="K599" s="41"/>
    </row>
    <row r="600" spans="2:11" x14ac:dyDescent="0.2">
      <c r="B600" s="38"/>
      <c r="C600" s="40"/>
      <c r="D600" s="40"/>
      <c r="E600" s="40"/>
      <c r="F600" s="40"/>
      <c r="G600" s="40"/>
      <c r="H600" s="40"/>
      <c r="I600" s="40"/>
      <c r="J600" s="40"/>
      <c r="K600" s="41"/>
    </row>
    <row r="601" spans="2:11" x14ac:dyDescent="0.2">
      <c r="B601" s="38"/>
      <c r="C601" s="179" t="s">
        <v>325</v>
      </c>
      <c r="D601" s="40"/>
      <c r="E601" s="40"/>
      <c r="F601" s="40"/>
      <c r="G601" s="40"/>
      <c r="H601" s="40"/>
      <c r="I601" s="40"/>
      <c r="J601" s="245">
        <f>IF(J590="Not Calculated","Not Calculated",AVERAGE(J590,J597))</f>
        <v>0</v>
      </c>
      <c r="K601" s="41"/>
    </row>
    <row r="602" spans="2:11" x14ac:dyDescent="0.2">
      <c r="B602" s="38"/>
      <c r="C602" s="40"/>
      <c r="D602" s="40"/>
      <c r="E602" s="40"/>
      <c r="F602" s="40"/>
      <c r="G602" s="40"/>
      <c r="H602" s="40"/>
      <c r="I602" s="40"/>
      <c r="J602" s="40"/>
      <c r="K602" s="41"/>
    </row>
    <row r="603" spans="2:11" x14ac:dyDescent="0.2">
      <c r="B603" s="38"/>
      <c r="C603" s="40"/>
      <c r="D603" s="40"/>
      <c r="E603" s="40"/>
      <c r="F603" s="40"/>
      <c r="G603" s="40"/>
      <c r="H603" s="40"/>
      <c r="I603" s="40"/>
      <c r="J603" s="40"/>
      <c r="K603" s="41"/>
    </row>
    <row r="604" spans="2:11" ht="16" x14ac:dyDescent="0.2">
      <c r="B604" s="38"/>
      <c r="C604" s="45" t="s">
        <v>326</v>
      </c>
      <c r="D604" s="40"/>
      <c r="E604" s="40"/>
      <c r="F604" s="40"/>
      <c r="G604" s="40"/>
      <c r="H604" s="40"/>
      <c r="I604" s="40"/>
      <c r="J604" s="40"/>
      <c r="K604" s="41"/>
    </row>
    <row r="605" spans="2:11" x14ac:dyDescent="0.2">
      <c r="B605" s="38"/>
      <c r="C605" s="40" t="s">
        <v>336</v>
      </c>
      <c r="D605" s="40"/>
      <c r="E605" s="40"/>
      <c r="F605" s="40"/>
      <c r="G605" s="40"/>
      <c r="H605" s="40"/>
      <c r="I605" s="40"/>
      <c r="J605" s="271">
        <v>0</v>
      </c>
      <c r="K605" s="41"/>
    </row>
    <row r="606" spans="2:11" x14ac:dyDescent="0.2">
      <c r="B606" s="38"/>
      <c r="C606" s="40" t="s">
        <v>260</v>
      </c>
      <c r="D606" s="40"/>
      <c r="E606" s="40"/>
      <c r="F606" s="40"/>
      <c r="G606" s="40"/>
      <c r="H606" s="40"/>
      <c r="I606" s="40"/>
      <c r="J606" s="248">
        <f>IF(J605&lt;=0,0,IF(J605&lt;=10,1,IF(J605&lt;=25,2,IF(J605&lt;=50,3,4))))</f>
        <v>0</v>
      </c>
      <c r="K606" s="41"/>
    </row>
    <row r="607" spans="2:11" ht="9.75" customHeight="1" x14ac:dyDescent="0.2">
      <c r="B607" s="38"/>
      <c r="C607" s="279" t="str">
        <f>"0:"</f>
        <v>0:</v>
      </c>
      <c r="D607" s="290" t="s">
        <v>944</v>
      </c>
      <c r="E607" s="40"/>
      <c r="F607" s="40"/>
      <c r="G607" s="40"/>
      <c r="H607" s="40"/>
      <c r="I607" s="40"/>
      <c r="J607" s="244"/>
      <c r="K607" s="41"/>
    </row>
    <row r="608" spans="2:11" ht="9.75" customHeight="1" x14ac:dyDescent="0.2">
      <c r="B608" s="38"/>
      <c r="C608" s="280" t="str">
        <f>"1:"</f>
        <v>1:</v>
      </c>
      <c r="D608" s="290" t="s">
        <v>947</v>
      </c>
      <c r="E608" s="40"/>
      <c r="F608" s="40"/>
      <c r="G608" s="40"/>
      <c r="H608" s="40"/>
      <c r="I608" s="40"/>
      <c r="J608" s="244"/>
      <c r="K608" s="41"/>
    </row>
    <row r="609" spans="2:11" ht="9.75" customHeight="1" x14ac:dyDescent="0.2">
      <c r="B609" s="38"/>
      <c r="C609" s="280" t="str">
        <f>"2:"</f>
        <v>2:</v>
      </c>
      <c r="D609" s="290" t="s">
        <v>972</v>
      </c>
      <c r="E609" s="40"/>
      <c r="F609" s="40"/>
      <c r="G609" s="40"/>
      <c r="H609" s="40"/>
      <c r="I609" s="40"/>
      <c r="J609" s="244"/>
      <c r="K609" s="41"/>
    </row>
    <row r="610" spans="2:11" ht="9.75" customHeight="1" x14ac:dyDescent="0.2">
      <c r="B610" s="38"/>
      <c r="C610" s="280" t="str">
        <f>"3:"</f>
        <v>3:</v>
      </c>
      <c r="D610" s="290" t="s">
        <v>973</v>
      </c>
      <c r="E610" s="40"/>
      <c r="F610" s="40"/>
      <c r="G610" s="40"/>
      <c r="H610" s="40"/>
      <c r="I610" s="40"/>
      <c r="J610" s="244"/>
      <c r="K610" s="41"/>
    </row>
    <row r="611" spans="2:11" ht="9.75" customHeight="1" x14ac:dyDescent="0.2">
      <c r="B611" s="38"/>
      <c r="C611" s="280" t="str">
        <f>"4:"</f>
        <v>4:</v>
      </c>
      <c r="D611" s="290" t="s">
        <v>974</v>
      </c>
      <c r="E611" s="40"/>
      <c r="F611" s="40"/>
      <c r="G611" s="40"/>
      <c r="H611" s="40"/>
      <c r="I611" s="40"/>
      <c r="J611" s="40"/>
      <c r="K611" s="41"/>
    </row>
    <row r="612" spans="2:11" x14ac:dyDescent="0.2">
      <c r="B612" s="38"/>
      <c r="C612" s="40" t="s">
        <v>893</v>
      </c>
      <c r="D612" s="40"/>
      <c r="E612" s="40"/>
      <c r="F612" s="40"/>
      <c r="G612" s="40"/>
      <c r="H612" s="40"/>
      <c r="I612" s="40"/>
      <c r="J612" s="40"/>
      <c r="K612" s="41"/>
    </row>
    <row r="613" spans="2:11" ht="30" customHeight="1" x14ac:dyDescent="0.2">
      <c r="B613" s="38"/>
      <c r="C613" s="399"/>
      <c r="D613" s="400"/>
      <c r="E613" s="400"/>
      <c r="F613" s="400"/>
      <c r="G613" s="400"/>
      <c r="H613" s="400"/>
      <c r="I613" s="400"/>
      <c r="J613" s="401"/>
      <c r="K613" s="41"/>
    </row>
    <row r="614" spans="2:11" x14ac:dyDescent="0.2">
      <c r="B614" s="38"/>
      <c r="C614" s="40"/>
      <c r="D614" s="40"/>
      <c r="E614" s="40"/>
      <c r="F614" s="40"/>
      <c r="G614" s="40"/>
      <c r="H614" s="40"/>
      <c r="I614" s="40"/>
      <c r="J614" s="40"/>
      <c r="K614" s="41"/>
    </row>
    <row r="615" spans="2:11" x14ac:dyDescent="0.2">
      <c r="B615" s="38"/>
      <c r="C615" s="179" t="s">
        <v>327</v>
      </c>
      <c r="D615" s="40"/>
      <c r="E615" s="40"/>
      <c r="F615" s="40"/>
      <c r="G615" s="40"/>
      <c r="H615" s="40"/>
      <c r="I615" s="40"/>
      <c r="J615" s="245">
        <f>J606</f>
        <v>0</v>
      </c>
      <c r="K615" s="41"/>
    </row>
    <row r="616" spans="2:11" x14ac:dyDescent="0.2">
      <c r="B616" s="38"/>
      <c r="C616" s="40"/>
      <c r="D616" s="40"/>
      <c r="E616" s="40"/>
      <c r="F616" s="40"/>
      <c r="G616" s="40"/>
      <c r="H616" s="40"/>
      <c r="I616" s="40"/>
      <c r="J616" s="40"/>
      <c r="K616" s="41"/>
    </row>
    <row r="617" spans="2:11" x14ac:dyDescent="0.2">
      <c r="B617" s="38"/>
      <c r="C617" s="40"/>
      <c r="D617" s="40"/>
      <c r="E617" s="40"/>
      <c r="F617" s="40"/>
      <c r="G617" s="40"/>
      <c r="H617" s="40"/>
      <c r="I617" s="40"/>
      <c r="J617" s="40"/>
      <c r="K617" s="41"/>
    </row>
    <row r="618" spans="2:11" ht="16" x14ac:dyDescent="0.2">
      <c r="B618" s="38"/>
      <c r="C618" s="45" t="s">
        <v>92</v>
      </c>
      <c r="D618" s="40"/>
      <c r="E618" s="40"/>
      <c r="F618" s="40"/>
      <c r="G618" s="40"/>
      <c r="H618" s="40"/>
      <c r="I618" s="40"/>
      <c r="J618" s="40"/>
      <c r="K618" s="41"/>
    </row>
    <row r="619" spans="2:11" x14ac:dyDescent="0.2">
      <c r="B619" s="38"/>
      <c r="C619" s="40" t="s">
        <v>337</v>
      </c>
      <c r="D619" s="40"/>
      <c r="E619" s="40"/>
      <c r="F619" s="40"/>
      <c r="G619" s="40"/>
      <c r="H619" s="40"/>
      <c r="I619" s="40"/>
      <c r="J619" s="251">
        <f>'Baseline Health'!G137</f>
        <v>1</v>
      </c>
      <c r="K619" s="41"/>
    </row>
    <row r="620" spans="2:11" ht="15" customHeight="1" x14ac:dyDescent="0.2">
      <c r="B620" s="38"/>
      <c r="C620" s="380" t="s">
        <v>338</v>
      </c>
      <c r="D620" s="380"/>
      <c r="E620" s="380"/>
      <c r="F620" s="380"/>
      <c r="G620" s="380"/>
      <c r="H620" s="380"/>
      <c r="I620" s="380"/>
      <c r="J620" s="251"/>
      <c r="K620" s="41"/>
    </row>
    <row r="621" spans="2:11" x14ac:dyDescent="0.2">
      <c r="B621" s="38"/>
      <c r="C621" s="380"/>
      <c r="D621" s="380"/>
      <c r="E621" s="380"/>
      <c r="F621" s="380"/>
      <c r="G621" s="380"/>
      <c r="H621" s="380"/>
      <c r="I621" s="380"/>
      <c r="J621" s="264">
        <v>0</v>
      </c>
      <c r="K621" s="41"/>
    </row>
    <row r="622" spans="2:11" x14ac:dyDescent="0.2">
      <c r="B622" s="38"/>
      <c r="C622" s="40" t="s">
        <v>260</v>
      </c>
      <c r="D622" s="40"/>
      <c r="E622" s="40"/>
      <c r="F622" s="40"/>
      <c r="G622" s="40"/>
      <c r="H622" s="40"/>
      <c r="I622" s="40"/>
      <c r="J622" s="248">
        <f>IF(OR(J619=0,J619="Not Calculated")=TRUE,"Not Calculated",IF(((J619+J621)/J619)&lt;=1,0,IF(((J619+J621)/J619)&lt;=1.05,1,IF(((J619+J621)/J619)&lt;=1.5, 2,IF(((J619+J621)/J619)&lt;=2,3,4)))))</f>
        <v>0</v>
      </c>
      <c r="K622" s="41"/>
    </row>
    <row r="623" spans="2:11" ht="9.75" customHeight="1" x14ac:dyDescent="0.2">
      <c r="B623" s="38"/>
      <c r="C623" s="279" t="str">
        <f>"0:"</f>
        <v>0:</v>
      </c>
      <c r="D623" s="281" t="s">
        <v>918</v>
      </c>
      <c r="E623" s="291"/>
      <c r="F623" s="291"/>
      <c r="G623" s="291"/>
      <c r="H623" s="291"/>
      <c r="I623" s="291"/>
      <c r="J623" s="251"/>
      <c r="K623" s="41"/>
    </row>
    <row r="624" spans="2:11" ht="9.75" customHeight="1" x14ac:dyDescent="0.2">
      <c r="B624" s="38"/>
      <c r="C624" s="280" t="str">
        <f>"1:"</f>
        <v>1:</v>
      </c>
      <c r="D624" s="281" t="s">
        <v>919</v>
      </c>
      <c r="E624" s="291"/>
      <c r="F624" s="291"/>
      <c r="G624" s="291"/>
      <c r="H624" s="291"/>
      <c r="I624" s="291"/>
      <c r="J624" s="251"/>
      <c r="K624" s="41"/>
    </row>
    <row r="625" spans="2:14" ht="9.75" customHeight="1" x14ac:dyDescent="0.2">
      <c r="B625" s="38"/>
      <c r="C625" s="280" t="str">
        <f>"2:"</f>
        <v>2:</v>
      </c>
      <c r="D625" s="281" t="s">
        <v>920</v>
      </c>
      <c r="E625" s="291"/>
      <c r="F625" s="291"/>
      <c r="G625" s="291"/>
      <c r="H625" s="291"/>
      <c r="I625" s="291"/>
      <c r="J625" s="251"/>
      <c r="K625" s="41"/>
    </row>
    <row r="626" spans="2:14" ht="9.75" customHeight="1" x14ac:dyDescent="0.2">
      <c r="B626" s="38"/>
      <c r="C626" s="280" t="str">
        <f>"3:"</f>
        <v>3:</v>
      </c>
      <c r="D626" s="281" t="s">
        <v>921</v>
      </c>
      <c r="E626" s="291"/>
      <c r="F626" s="291"/>
      <c r="G626" s="291"/>
      <c r="H626" s="291"/>
      <c r="I626" s="291"/>
      <c r="J626" s="251"/>
      <c r="K626" s="41"/>
    </row>
    <row r="627" spans="2:14" ht="9.75" customHeight="1" x14ac:dyDescent="0.2">
      <c r="B627" s="38"/>
      <c r="C627" s="280" t="str">
        <f>"4:"</f>
        <v>4:</v>
      </c>
      <c r="D627" s="281" t="s">
        <v>922</v>
      </c>
      <c r="E627" s="40"/>
      <c r="F627" s="40"/>
      <c r="G627" s="40"/>
      <c r="H627" s="40"/>
      <c r="I627" s="40"/>
      <c r="J627" s="40"/>
      <c r="K627" s="41"/>
      <c r="N627" s="12" t="s">
        <v>661</v>
      </c>
    </row>
    <row r="628" spans="2:14" x14ac:dyDescent="0.2">
      <c r="B628" s="38"/>
      <c r="C628" s="174" t="s">
        <v>662</v>
      </c>
      <c r="D628" s="40"/>
      <c r="E628" s="40"/>
      <c r="F628" s="40"/>
      <c r="G628" s="40"/>
      <c r="H628" s="40"/>
      <c r="I628" s="40"/>
      <c r="J628" s="265" t="s">
        <v>661</v>
      </c>
      <c r="K628" s="41"/>
      <c r="N628" s="12" t="s">
        <v>894</v>
      </c>
    </row>
    <row r="629" spans="2:14" x14ac:dyDescent="0.2">
      <c r="B629" s="38"/>
      <c r="C629" s="174" t="s">
        <v>660</v>
      </c>
      <c r="D629" s="40"/>
      <c r="E629" s="40"/>
      <c r="F629" s="40"/>
      <c r="G629" s="40"/>
      <c r="H629" s="40"/>
      <c r="I629" s="40"/>
      <c r="J629" s="247" t="str">
        <f>IF(J628=N627,"N/A",IF(J628=N628,0,IF(J628=N629,1,IF(J628=N630,2,IF(J628=N631,3,IF(J628=N632,4,"N/A"))))))</f>
        <v>N/A</v>
      </c>
      <c r="K629" s="41"/>
      <c r="N629" s="12" t="s">
        <v>895</v>
      </c>
    </row>
    <row r="630" spans="2:14" x14ac:dyDescent="0.2">
      <c r="B630" s="38"/>
      <c r="C630" s="40" t="s">
        <v>257</v>
      </c>
      <c r="D630" s="40"/>
      <c r="E630" s="40"/>
      <c r="F630" s="40"/>
      <c r="G630" s="40"/>
      <c r="H630" s="40"/>
      <c r="I630" s="40"/>
      <c r="J630" s="266" t="s">
        <v>870</v>
      </c>
      <c r="K630" s="41"/>
      <c r="N630" s="12" t="s">
        <v>896</v>
      </c>
    </row>
    <row r="631" spans="2:14" x14ac:dyDescent="0.2">
      <c r="B631" s="38"/>
      <c r="C631" s="40" t="s">
        <v>261</v>
      </c>
      <c r="D631" s="40"/>
      <c r="E631" s="40"/>
      <c r="F631" s="40"/>
      <c r="G631" s="40"/>
      <c r="H631" s="40"/>
      <c r="I631" s="40"/>
      <c r="J631" s="248">
        <f>IF(J630=$B$973,$A$973,IF(J630=$B$974,$A$974,IF(J630=$B$975,$A$975,IF(J630=$B$976,$A$976,IF(J630=$B$977,$A$977,"Not Calculated")))))</f>
        <v>0</v>
      </c>
      <c r="K631" s="41"/>
      <c r="N631" s="12" t="s">
        <v>897</v>
      </c>
    </row>
    <row r="632" spans="2:14" x14ac:dyDescent="0.2">
      <c r="B632" s="38"/>
      <c r="C632" s="40" t="s">
        <v>893</v>
      </c>
      <c r="D632" s="40"/>
      <c r="E632" s="40"/>
      <c r="F632" s="40"/>
      <c r="G632" s="40"/>
      <c r="H632" s="40"/>
      <c r="I632" s="40"/>
      <c r="J632" s="40"/>
      <c r="K632" s="41"/>
      <c r="N632" s="12" t="s">
        <v>898</v>
      </c>
    </row>
    <row r="633" spans="2:14" ht="30" customHeight="1" x14ac:dyDescent="0.2">
      <c r="B633" s="38"/>
      <c r="C633" s="399"/>
      <c r="D633" s="400"/>
      <c r="E633" s="400"/>
      <c r="F633" s="400"/>
      <c r="G633" s="400"/>
      <c r="H633" s="400"/>
      <c r="I633" s="400"/>
      <c r="J633" s="401"/>
      <c r="K633" s="41"/>
    </row>
    <row r="634" spans="2:14" x14ac:dyDescent="0.2">
      <c r="B634" s="38"/>
      <c r="C634" s="40"/>
      <c r="D634" s="40"/>
      <c r="E634" s="40"/>
      <c r="F634" s="40"/>
      <c r="G634" s="40"/>
      <c r="H634" s="40"/>
      <c r="I634" s="40"/>
      <c r="J634" s="40"/>
      <c r="K634" s="41"/>
    </row>
    <row r="635" spans="2:14" x14ac:dyDescent="0.2">
      <c r="B635" s="38"/>
      <c r="C635" s="179" t="s">
        <v>328</v>
      </c>
      <c r="D635" s="40"/>
      <c r="E635" s="40"/>
      <c r="F635" s="40"/>
      <c r="G635" s="40"/>
      <c r="H635" s="40"/>
      <c r="I635" s="40"/>
      <c r="J635" s="245">
        <f>IF(J629="N/A",IF(OR(J622="Not Calculated",J631="Not Calculated")=TRUE,"Not Calculated",AVERAGE(J622,J631)),AVERAGE(J629,J631))</f>
        <v>0</v>
      </c>
      <c r="K635" s="41"/>
    </row>
    <row r="636" spans="2:14" x14ac:dyDescent="0.2">
      <c r="B636" s="38"/>
      <c r="C636" s="40"/>
      <c r="D636" s="40"/>
      <c r="E636" s="40"/>
      <c r="F636" s="40"/>
      <c r="G636" s="40"/>
      <c r="H636" s="40"/>
      <c r="I636" s="40"/>
      <c r="J636" s="40"/>
      <c r="K636" s="41"/>
    </row>
    <row r="637" spans="2:14" x14ac:dyDescent="0.2">
      <c r="B637" s="38"/>
      <c r="C637" s="40"/>
      <c r="D637" s="40"/>
      <c r="E637" s="40"/>
      <c r="F637" s="40"/>
      <c r="G637" s="40"/>
      <c r="H637" s="40"/>
      <c r="I637" s="40"/>
      <c r="J637" s="40"/>
      <c r="K637" s="41"/>
    </row>
    <row r="638" spans="2:14" ht="16" x14ac:dyDescent="0.2">
      <c r="B638" s="38"/>
      <c r="C638" s="45" t="s">
        <v>329</v>
      </c>
      <c r="D638" s="40"/>
      <c r="E638" s="40"/>
      <c r="F638" s="40"/>
      <c r="G638" s="40"/>
      <c r="H638" s="40"/>
      <c r="I638" s="40"/>
      <c r="J638" s="40"/>
      <c r="K638" s="41"/>
    </row>
    <row r="639" spans="2:14" ht="15" customHeight="1" x14ac:dyDescent="0.2">
      <c r="B639" s="38"/>
      <c r="C639" s="380" t="s">
        <v>339</v>
      </c>
      <c r="D639" s="380"/>
      <c r="E639" s="380"/>
      <c r="F639" s="380"/>
      <c r="G639" s="380"/>
      <c r="H639" s="380"/>
      <c r="I639" s="380"/>
      <c r="J639" s="40"/>
      <c r="K639" s="41"/>
    </row>
    <row r="640" spans="2:14" x14ac:dyDescent="0.2">
      <c r="B640" s="38"/>
      <c r="C640" s="380"/>
      <c r="D640" s="380"/>
      <c r="E640" s="380"/>
      <c r="F640" s="380"/>
      <c r="G640" s="380"/>
      <c r="H640" s="380"/>
      <c r="I640" s="380"/>
      <c r="J640" s="250">
        <f>'Baseline Health'!G145</f>
        <v>0</v>
      </c>
      <c r="K640" s="41"/>
    </row>
    <row r="641" spans="2:14" ht="15" customHeight="1" x14ac:dyDescent="0.2">
      <c r="B641" s="38"/>
      <c r="C641" s="380" t="s">
        <v>340</v>
      </c>
      <c r="D641" s="380"/>
      <c r="E641" s="380"/>
      <c r="F641" s="380"/>
      <c r="G641" s="380"/>
      <c r="H641" s="380"/>
      <c r="I641" s="380"/>
      <c r="J641" s="245"/>
      <c r="K641" s="41"/>
    </row>
    <row r="642" spans="2:14" x14ac:dyDescent="0.2">
      <c r="B642" s="38"/>
      <c r="C642" s="380"/>
      <c r="D642" s="380"/>
      <c r="E642" s="380"/>
      <c r="F642" s="380"/>
      <c r="G642" s="380"/>
      <c r="H642" s="380"/>
      <c r="I642" s="380"/>
      <c r="J642" s="245"/>
      <c r="K642" s="41"/>
    </row>
    <row r="643" spans="2:14" x14ac:dyDescent="0.2">
      <c r="B643" s="38"/>
      <c r="C643" s="380"/>
      <c r="D643" s="380"/>
      <c r="E643" s="380"/>
      <c r="F643" s="380"/>
      <c r="G643" s="380"/>
      <c r="H643" s="380"/>
      <c r="I643" s="380"/>
      <c r="J643" s="272">
        <v>12</v>
      </c>
      <c r="K643" s="41"/>
    </row>
    <row r="644" spans="2:14" x14ac:dyDescent="0.2">
      <c r="B644" s="38"/>
      <c r="C644" s="40" t="s">
        <v>260</v>
      </c>
      <c r="D644" s="40"/>
      <c r="E644" s="40"/>
      <c r="F644" s="40"/>
      <c r="G644" s="40"/>
      <c r="H644" s="40"/>
      <c r="I644" s="40"/>
      <c r="J644" s="248" t="str">
        <f>IF(OR(J640=0,J640="Not Calculated")=TRUE,"Not Calculated",IF(((J640+J643)/J640)&lt;=1,0,IF(((J640+J643)/J640)&lt;=1.05,1,IF(((J640+J643)/J640)&lt;=1.5, 2,IF(((J640+J643)/J640)&lt;=2,3,4)))))</f>
        <v>Not Calculated</v>
      </c>
      <c r="K644" s="41"/>
    </row>
    <row r="645" spans="2:14" ht="9.75" customHeight="1" x14ac:dyDescent="0.2">
      <c r="B645" s="38"/>
      <c r="C645" s="279" t="str">
        <f>"0:"</f>
        <v>0:</v>
      </c>
      <c r="D645" s="281" t="s">
        <v>918</v>
      </c>
      <c r="E645" s="291"/>
      <c r="F645" s="291"/>
      <c r="G645" s="291"/>
      <c r="H645" s="291"/>
      <c r="I645" s="291"/>
      <c r="J645" s="250"/>
      <c r="K645" s="41"/>
    </row>
    <row r="646" spans="2:14" ht="9.75" customHeight="1" x14ac:dyDescent="0.2">
      <c r="B646" s="38"/>
      <c r="C646" s="280" t="str">
        <f>"1:"</f>
        <v>1:</v>
      </c>
      <c r="D646" s="281" t="s">
        <v>919</v>
      </c>
      <c r="E646" s="291"/>
      <c r="F646" s="291"/>
      <c r="G646" s="291"/>
      <c r="H646" s="291"/>
      <c r="I646" s="291"/>
      <c r="J646" s="250"/>
      <c r="K646" s="41"/>
    </row>
    <row r="647" spans="2:14" ht="9.75" customHeight="1" x14ac:dyDescent="0.2">
      <c r="B647" s="38"/>
      <c r="C647" s="280" t="str">
        <f>"2:"</f>
        <v>2:</v>
      </c>
      <c r="D647" s="281" t="s">
        <v>920</v>
      </c>
      <c r="E647" s="291"/>
      <c r="F647" s="291"/>
      <c r="G647" s="291"/>
      <c r="H647" s="291"/>
      <c r="I647" s="291"/>
      <c r="J647" s="250"/>
      <c r="K647" s="41"/>
    </row>
    <row r="648" spans="2:14" ht="9.75" customHeight="1" x14ac:dyDescent="0.2">
      <c r="B648" s="38"/>
      <c r="C648" s="280" t="str">
        <f>"3:"</f>
        <v>3:</v>
      </c>
      <c r="D648" s="281" t="s">
        <v>921</v>
      </c>
      <c r="E648" s="291"/>
      <c r="F648" s="291"/>
      <c r="G648" s="291"/>
      <c r="H648" s="291"/>
      <c r="I648" s="291"/>
      <c r="J648" s="250"/>
      <c r="K648" s="41"/>
    </row>
    <row r="649" spans="2:14" ht="9.75" customHeight="1" x14ac:dyDescent="0.2">
      <c r="B649" s="38"/>
      <c r="C649" s="280" t="str">
        <f>"4:"</f>
        <v>4:</v>
      </c>
      <c r="D649" s="281" t="s">
        <v>922</v>
      </c>
      <c r="E649" s="40"/>
      <c r="F649" s="40"/>
      <c r="G649" s="40"/>
      <c r="H649" s="40"/>
      <c r="I649" s="40"/>
      <c r="J649" s="40"/>
      <c r="K649" s="41"/>
      <c r="N649" s="12" t="s">
        <v>661</v>
      </c>
    </row>
    <row r="650" spans="2:14" x14ac:dyDescent="0.2">
      <c r="B650" s="38"/>
      <c r="C650" s="174" t="s">
        <v>662</v>
      </c>
      <c r="D650" s="40"/>
      <c r="E650" s="40"/>
      <c r="F650" s="40"/>
      <c r="G650" s="40"/>
      <c r="H650" s="40"/>
      <c r="I650" s="40"/>
      <c r="J650" s="265" t="s">
        <v>661</v>
      </c>
      <c r="K650" s="41"/>
      <c r="N650" s="12" t="s">
        <v>894</v>
      </c>
    </row>
    <row r="651" spans="2:14" x14ac:dyDescent="0.2">
      <c r="B651" s="38"/>
      <c r="C651" s="174" t="s">
        <v>660</v>
      </c>
      <c r="D651" s="40"/>
      <c r="E651" s="40"/>
      <c r="F651" s="40"/>
      <c r="G651" s="40"/>
      <c r="H651" s="40"/>
      <c r="I651" s="40"/>
      <c r="J651" s="247" t="str">
        <f>IF(J650=N649,"N/A",IF(J650=N650,0,IF(J650=N651,1,IF(J650=N652,2,IF(J650=N653,3,IF(J650=N654,4,"N/A"))))))</f>
        <v>N/A</v>
      </c>
      <c r="K651" s="41"/>
      <c r="N651" s="12" t="s">
        <v>895</v>
      </c>
    </row>
    <row r="652" spans="2:14" ht="15" customHeight="1" x14ac:dyDescent="0.2">
      <c r="B652" s="38"/>
      <c r="C652" s="40" t="s">
        <v>257</v>
      </c>
      <c r="D652" s="40"/>
      <c r="E652" s="40"/>
      <c r="F652" s="40"/>
      <c r="G652" s="40"/>
      <c r="H652" s="40"/>
      <c r="I652" s="40"/>
      <c r="J652" s="266" t="s">
        <v>874</v>
      </c>
      <c r="K652" s="41"/>
      <c r="N652" s="12" t="s">
        <v>896</v>
      </c>
    </row>
    <row r="653" spans="2:14" x14ac:dyDescent="0.2">
      <c r="B653" s="38"/>
      <c r="C653" s="40" t="s">
        <v>261</v>
      </c>
      <c r="D653" s="40"/>
      <c r="E653" s="40"/>
      <c r="F653" s="40"/>
      <c r="G653" s="40"/>
      <c r="H653" s="40"/>
      <c r="I653" s="40"/>
      <c r="J653" s="248">
        <f>IF(J652=$B$973,$A$973,IF(J652=$B$974,$A$974,IF(J652=$B$975,$A$975,IF(J652=$B$976,$A$976,IF(J652=$B$977,$A$977,"Not Calculated")))))</f>
        <v>4</v>
      </c>
      <c r="K653" s="41"/>
      <c r="N653" s="12" t="s">
        <v>897</v>
      </c>
    </row>
    <row r="654" spans="2:14" x14ac:dyDescent="0.2">
      <c r="B654" s="38"/>
      <c r="C654" s="40" t="s">
        <v>893</v>
      </c>
      <c r="D654" s="40"/>
      <c r="E654" s="40"/>
      <c r="F654" s="40"/>
      <c r="G654" s="40"/>
      <c r="H654" s="40"/>
      <c r="I654" s="40"/>
      <c r="J654" s="40"/>
      <c r="K654" s="41"/>
      <c r="N654" s="12" t="s">
        <v>898</v>
      </c>
    </row>
    <row r="655" spans="2:14" ht="105" customHeight="1" x14ac:dyDescent="0.2">
      <c r="B655" s="38"/>
      <c r="C655" s="399" t="s">
        <v>484</v>
      </c>
      <c r="D655" s="400"/>
      <c r="E655" s="400"/>
      <c r="F655" s="400"/>
      <c r="G655" s="400"/>
      <c r="H655" s="400"/>
      <c r="I655" s="400"/>
      <c r="J655" s="401"/>
      <c r="K655" s="41"/>
    </row>
    <row r="656" spans="2:14" x14ac:dyDescent="0.2">
      <c r="B656" s="38"/>
      <c r="C656" s="40"/>
      <c r="D656" s="40"/>
      <c r="E656" s="40"/>
      <c r="F656" s="40"/>
      <c r="G656" s="40"/>
      <c r="H656" s="40"/>
      <c r="I656" s="40"/>
      <c r="J656" s="40"/>
      <c r="K656" s="41"/>
    </row>
    <row r="657" spans="2:14" x14ac:dyDescent="0.2">
      <c r="B657" s="38"/>
      <c r="C657" s="179" t="s">
        <v>330</v>
      </c>
      <c r="D657" s="40"/>
      <c r="E657" s="40"/>
      <c r="F657" s="40"/>
      <c r="G657" s="40"/>
      <c r="H657" s="40"/>
      <c r="I657" s="40"/>
      <c r="J657" s="245" t="str">
        <f>IF(J651="N/A",IF(OR(J644="Not Calculated",J653="Not Calculated")=TRUE,"Not Calculated",AVERAGE(J644,J653)),AVERAGE(J651,J653))</f>
        <v>Not Calculated</v>
      </c>
      <c r="K657" s="41"/>
    </row>
    <row r="658" spans="2:14" x14ac:dyDescent="0.2">
      <c r="B658" s="38"/>
      <c r="C658" s="40"/>
      <c r="D658" s="40"/>
      <c r="E658" s="40"/>
      <c r="F658" s="40"/>
      <c r="G658" s="40"/>
      <c r="H658" s="40"/>
      <c r="I658" s="40"/>
      <c r="J658" s="40"/>
      <c r="K658" s="41"/>
    </row>
    <row r="659" spans="2:14" x14ac:dyDescent="0.2">
      <c r="B659" s="38"/>
      <c r="C659" s="40"/>
      <c r="D659" s="40"/>
      <c r="E659" s="40"/>
      <c r="F659" s="40"/>
      <c r="G659" s="40"/>
      <c r="H659" s="40"/>
      <c r="I659" s="40"/>
      <c r="J659" s="40"/>
      <c r="K659" s="41"/>
    </row>
    <row r="660" spans="2:14" ht="16" x14ac:dyDescent="0.2">
      <c r="B660" s="38"/>
      <c r="C660" s="45" t="s">
        <v>97</v>
      </c>
      <c r="D660" s="40"/>
      <c r="E660" s="40"/>
      <c r="F660" s="40"/>
      <c r="G660" s="40"/>
      <c r="H660" s="40"/>
      <c r="I660" s="40"/>
      <c r="J660" s="40"/>
      <c r="K660" s="41"/>
    </row>
    <row r="661" spans="2:14" x14ac:dyDescent="0.2">
      <c r="B661" s="38"/>
      <c r="C661" s="40" t="s">
        <v>449</v>
      </c>
      <c r="D661" s="40"/>
      <c r="E661" s="40"/>
      <c r="F661" s="40"/>
      <c r="G661" s="40"/>
      <c r="H661" s="40"/>
      <c r="I661" s="40"/>
      <c r="J661" s="249">
        <f>'Baseline Health'!G150</f>
        <v>0</v>
      </c>
      <c r="K661" s="41"/>
    </row>
    <row r="662" spans="2:14" x14ac:dyDescent="0.2">
      <c r="B662" s="38"/>
      <c r="C662" s="40" t="s">
        <v>341</v>
      </c>
      <c r="D662" s="40"/>
      <c r="E662" s="40"/>
      <c r="F662" s="40"/>
      <c r="G662" s="40"/>
      <c r="H662" s="40"/>
      <c r="I662" s="40"/>
      <c r="J662" s="273">
        <v>0</v>
      </c>
      <c r="K662" s="41"/>
    </row>
    <row r="663" spans="2:14" x14ac:dyDescent="0.2">
      <c r="B663" s="38"/>
      <c r="C663" s="40" t="s">
        <v>450</v>
      </c>
      <c r="D663" s="40"/>
      <c r="E663" s="40"/>
      <c r="F663" s="40"/>
      <c r="G663" s="40"/>
      <c r="H663" s="40"/>
      <c r="I663" s="40"/>
      <c r="J663" s="243">
        <f>J26</f>
        <v>0</v>
      </c>
      <c r="K663" s="41"/>
    </row>
    <row r="664" spans="2:14" ht="15" customHeight="1" x14ac:dyDescent="0.2">
      <c r="B664" s="38"/>
      <c r="C664" s="291"/>
      <c r="D664" s="380" t="s">
        <v>342</v>
      </c>
      <c r="E664" s="380"/>
      <c r="F664" s="380"/>
      <c r="G664" s="380"/>
      <c r="H664" s="380"/>
      <c r="I664" s="380"/>
      <c r="J664" s="245"/>
      <c r="K664" s="41"/>
    </row>
    <row r="665" spans="2:14" x14ac:dyDescent="0.2">
      <c r="B665" s="38"/>
      <c r="C665" s="291"/>
      <c r="D665" s="380"/>
      <c r="E665" s="380"/>
      <c r="F665" s="380"/>
      <c r="G665" s="380"/>
      <c r="H665" s="380"/>
      <c r="I665" s="380"/>
      <c r="J665" s="245"/>
      <c r="K665" s="41"/>
    </row>
    <row r="666" spans="2:14" x14ac:dyDescent="0.2">
      <c r="B666" s="38"/>
      <c r="C666" s="40" t="s">
        <v>260</v>
      </c>
      <c r="D666" s="40"/>
      <c r="E666" s="40"/>
      <c r="F666" s="40"/>
      <c r="G666" s="40"/>
      <c r="H666" s="40"/>
      <c r="I666" s="40"/>
      <c r="J666" s="245" t="str">
        <f>IF(OR(J661=0,J661="Not Calculated")=TRUE,"Not Calculated",IF(((J661+J663)/(J661-J662))&lt;=1,0,IF(((J661+J663)/(J661-J662))&lt;=1.1,1,IF(((J661+J663)/(J661-J662))&lt;=1.5, 2,IF(((J661+J663)/(J661-J662))&lt;=2,3,4)))))</f>
        <v>Not Calculated</v>
      </c>
      <c r="K666" s="41"/>
    </row>
    <row r="667" spans="2:14" ht="9.75" customHeight="1" x14ac:dyDescent="0.2">
      <c r="B667" s="38"/>
      <c r="C667" s="279" t="str">
        <f>"0:"</f>
        <v>0:</v>
      </c>
      <c r="D667" s="278" t="s">
        <v>918</v>
      </c>
      <c r="E667" s="291"/>
      <c r="F667" s="291"/>
      <c r="G667" s="291"/>
      <c r="H667" s="291"/>
      <c r="I667" s="291"/>
      <c r="J667" s="245"/>
      <c r="K667" s="41"/>
    </row>
    <row r="668" spans="2:14" ht="9.75" customHeight="1" x14ac:dyDescent="0.2">
      <c r="B668" s="38"/>
      <c r="C668" s="280" t="str">
        <f>"1:"</f>
        <v>1:</v>
      </c>
      <c r="D668" s="278" t="s">
        <v>923</v>
      </c>
      <c r="E668" s="291"/>
      <c r="F668" s="291"/>
      <c r="G668" s="291"/>
      <c r="H668" s="291"/>
      <c r="I668" s="291"/>
      <c r="J668" s="245"/>
      <c r="K668" s="41"/>
    </row>
    <row r="669" spans="2:14" ht="9.75" customHeight="1" x14ac:dyDescent="0.2">
      <c r="B669" s="38"/>
      <c r="C669" s="280" t="str">
        <f>"2:"</f>
        <v>2:</v>
      </c>
      <c r="D669" s="278" t="s">
        <v>924</v>
      </c>
      <c r="E669" s="291"/>
      <c r="F669" s="291"/>
      <c r="G669" s="291"/>
      <c r="H669" s="291"/>
      <c r="I669" s="291"/>
      <c r="J669" s="245"/>
      <c r="K669" s="41"/>
    </row>
    <row r="670" spans="2:14" ht="9.75" customHeight="1" x14ac:dyDescent="0.2">
      <c r="B670" s="38"/>
      <c r="C670" s="280" t="str">
        <f>"3:"</f>
        <v>3:</v>
      </c>
      <c r="D670" s="278" t="s">
        <v>925</v>
      </c>
      <c r="E670" s="291"/>
      <c r="F670" s="291"/>
      <c r="G670" s="291"/>
      <c r="H670" s="291"/>
      <c r="I670" s="291"/>
      <c r="J670" s="245"/>
      <c r="K670" s="41"/>
    </row>
    <row r="671" spans="2:14" ht="9.75" customHeight="1" x14ac:dyDescent="0.2">
      <c r="B671" s="38"/>
      <c r="C671" s="280" t="str">
        <f>"4:"</f>
        <v>4:</v>
      </c>
      <c r="D671" s="278" t="s">
        <v>926</v>
      </c>
      <c r="E671" s="40"/>
      <c r="F671" s="40"/>
      <c r="G671" s="40"/>
      <c r="H671" s="40"/>
      <c r="I671" s="40"/>
      <c r="J671" s="40"/>
      <c r="K671" s="41"/>
      <c r="N671" s="12" t="s">
        <v>661</v>
      </c>
    </row>
    <row r="672" spans="2:14" ht="15" customHeight="1" x14ac:dyDescent="0.2">
      <c r="B672" s="38"/>
      <c r="C672" s="174" t="s">
        <v>662</v>
      </c>
      <c r="D672" s="40"/>
      <c r="E672" s="40"/>
      <c r="F672" s="40"/>
      <c r="G672" s="40"/>
      <c r="H672" s="40"/>
      <c r="I672" s="40"/>
      <c r="J672" s="265" t="s">
        <v>661</v>
      </c>
      <c r="K672" s="41"/>
      <c r="N672" s="12" t="s">
        <v>894</v>
      </c>
    </row>
    <row r="673" spans="2:14" ht="15" customHeight="1" x14ac:dyDescent="0.2">
      <c r="B673" s="38"/>
      <c r="C673" s="174" t="s">
        <v>660</v>
      </c>
      <c r="D673" s="40"/>
      <c r="E673" s="40"/>
      <c r="F673" s="40"/>
      <c r="G673" s="40"/>
      <c r="H673" s="40"/>
      <c r="I673" s="40"/>
      <c r="J673" s="246" t="str">
        <f>IF(J672=N671,"N/A",IF(J672=N672,0,IF(J672=N673,1,IF(J672=N674,2,IF(J672=N675,3,IF(J672=N676,4,"N/A"))))))</f>
        <v>N/A</v>
      </c>
      <c r="K673" s="41"/>
      <c r="N673" s="12" t="s">
        <v>908</v>
      </c>
    </row>
    <row r="674" spans="2:14" ht="15" customHeight="1" x14ac:dyDescent="0.2">
      <c r="B674" s="38"/>
      <c r="C674" s="40" t="s">
        <v>257</v>
      </c>
      <c r="D674" s="40"/>
      <c r="E674" s="40"/>
      <c r="F674" s="40"/>
      <c r="G674" s="40"/>
      <c r="H674" s="40"/>
      <c r="I674" s="40"/>
      <c r="J674" s="266" t="s">
        <v>870</v>
      </c>
      <c r="K674" s="41"/>
      <c r="N674" s="12" t="s">
        <v>900</v>
      </c>
    </row>
    <row r="675" spans="2:14" x14ac:dyDescent="0.2">
      <c r="B675" s="38"/>
      <c r="C675" s="40" t="s">
        <v>261</v>
      </c>
      <c r="D675" s="40"/>
      <c r="E675" s="40"/>
      <c r="F675" s="40"/>
      <c r="G675" s="40"/>
      <c r="H675" s="40"/>
      <c r="I675" s="40"/>
      <c r="J675" s="248">
        <f>IF(J674=$B$973,$A$973,IF(J674=$B$974,$A$974,IF(J674=$B$975,$A$975,IF(J674=$B$976,$A$976,IF(J674=$B$977,$A$977,"Not Calculated")))))</f>
        <v>0</v>
      </c>
      <c r="K675" s="41"/>
      <c r="N675" s="12" t="s">
        <v>901</v>
      </c>
    </row>
    <row r="676" spans="2:14" ht="15" customHeight="1" x14ac:dyDescent="0.2">
      <c r="B676" s="38"/>
      <c r="C676" s="40" t="s">
        <v>893</v>
      </c>
      <c r="D676" s="40"/>
      <c r="E676" s="40"/>
      <c r="F676" s="40"/>
      <c r="G676" s="40"/>
      <c r="H676" s="40"/>
      <c r="I676" s="40"/>
      <c r="J676" s="40"/>
      <c r="K676" s="41"/>
      <c r="N676" s="12" t="s">
        <v>909</v>
      </c>
    </row>
    <row r="677" spans="2:14" ht="30" customHeight="1" x14ac:dyDescent="0.2">
      <c r="B677" s="38"/>
      <c r="C677" s="399"/>
      <c r="D677" s="400"/>
      <c r="E677" s="400"/>
      <c r="F677" s="400"/>
      <c r="G677" s="400"/>
      <c r="H677" s="400"/>
      <c r="I677" s="400"/>
      <c r="J677" s="401"/>
      <c r="K677" s="41"/>
    </row>
    <row r="678" spans="2:14" x14ac:dyDescent="0.2">
      <c r="B678" s="38"/>
      <c r="C678" s="40"/>
      <c r="D678" s="40"/>
      <c r="E678" s="40"/>
      <c r="F678" s="40"/>
      <c r="G678" s="40"/>
      <c r="H678" s="40"/>
      <c r="I678" s="40"/>
      <c r="J678" s="40"/>
      <c r="K678" s="41"/>
    </row>
    <row r="679" spans="2:14" x14ac:dyDescent="0.2">
      <c r="B679" s="38"/>
      <c r="C679" s="179" t="s">
        <v>331</v>
      </c>
      <c r="D679" s="40"/>
      <c r="E679" s="40"/>
      <c r="F679" s="40"/>
      <c r="G679" s="40"/>
      <c r="H679" s="40"/>
      <c r="I679" s="40"/>
      <c r="J679" s="245" t="str">
        <f>IF(J673="N/A",IF(OR(J666="Not Calculated",J675="Not Calculated")=TRUE,"Not Calculated",AVERAGE(J666,J675)),AVERAGE(J673,J675))</f>
        <v>Not Calculated</v>
      </c>
      <c r="K679" s="41"/>
    </row>
    <row r="680" spans="2:14" x14ac:dyDescent="0.2">
      <c r="B680" s="38"/>
      <c r="C680" s="40"/>
      <c r="D680" s="40"/>
      <c r="E680" s="40"/>
      <c r="F680" s="40"/>
      <c r="G680" s="40"/>
      <c r="H680" s="40"/>
      <c r="I680" s="40"/>
      <c r="J680" s="40"/>
      <c r="K680" s="41"/>
    </row>
    <row r="681" spans="2:14" ht="18" x14ac:dyDescent="0.2">
      <c r="B681" s="38"/>
      <c r="C681" s="180" t="s">
        <v>332</v>
      </c>
      <c r="D681" s="40"/>
      <c r="E681" s="40"/>
      <c r="F681" s="40"/>
      <c r="G681" s="40"/>
      <c r="H681" s="40"/>
      <c r="I681" s="40"/>
      <c r="J681" s="244" t="str">
        <f>IF(OR(J562="Not Calculated",J585="Not Calculated",J601="Not Calculated",J615="Not Calculated",J635="Not Calculated",J657="Not Calculated",J679="Not Calculated")=TRUE,"Not Calculated",AVERAGE(J562,J585,J601,J615,J635,J657,J679))</f>
        <v>Not Calculated</v>
      </c>
      <c r="K681" s="41"/>
    </row>
    <row r="682" spans="2:14" ht="16" thickBot="1" x14ac:dyDescent="0.25">
      <c r="B682" s="46"/>
      <c r="C682" s="47"/>
      <c r="D682" s="47"/>
      <c r="E682" s="47"/>
      <c r="F682" s="47"/>
      <c r="G682" s="47"/>
      <c r="H682" s="47"/>
      <c r="I682" s="47"/>
      <c r="J682" s="47"/>
      <c r="K682" s="49"/>
    </row>
    <row r="683" spans="2:14" ht="16" thickBot="1" x14ac:dyDescent="0.25"/>
    <row r="684" spans="2:14" x14ac:dyDescent="0.2">
      <c r="B684" s="33"/>
      <c r="C684" s="34"/>
      <c r="D684" s="34"/>
      <c r="E684" s="34"/>
      <c r="F684" s="34"/>
      <c r="G684" s="34"/>
      <c r="H684" s="34"/>
      <c r="I684" s="34"/>
      <c r="J684" s="34"/>
      <c r="K684" s="37"/>
    </row>
    <row r="685" spans="2:14" ht="21" x14ac:dyDescent="0.25">
      <c r="B685" s="38"/>
      <c r="C685" s="40"/>
      <c r="D685" s="40"/>
      <c r="E685" s="40"/>
      <c r="F685" s="40"/>
      <c r="G685" s="172" t="s">
        <v>346</v>
      </c>
      <c r="H685" s="40"/>
      <c r="I685" s="40"/>
      <c r="J685" s="40"/>
      <c r="K685" s="41"/>
    </row>
    <row r="686" spans="2:14" x14ac:dyDescent="0.2">
      <c r="B686" s="38"/>
      <c r="C686" s="40"/>
      <c r="D686" s="40"/>
      <c r="E686" s="40"/>
      <c r="F686" s="40"/>
      <c r="G686" s="40"/>
      <c r="H686" s="40"/>
      <c r="I686" s="40"/>
      <c r="J686" s="40"/>
      <c r="K686" s="41"/>
    </row>
    <row r="687" spans="2:14" ht="16" x14ac:dyDescent="0.2">
      <c r="B687" s="38"/>
      <c r="C687" s="182" t="s">
        <v>986</v>
      </c>
      <c r="D687" s="40"/>
      <c r="E687" s="40"/>
      <c r="F687" s="40"/>
      <c r="G687" s="40"/>
      <c r="H687" s="40"/>
      <c r="I687" s="40"/>
      <c r="J687" s="257" t="str">
        <f>IF(OR($J$133="Not Calculated",$J$261="Not Calculated",$J$421="Not Calculated",$J$539="Not Calculated",$J$681="Not Calculated")=TRUE,"Not Calculated",AVERAGE($J$133,$J$261,$J$421,$J$539,$J$681))</f>
        <v>Not Calculated</v>
      </c>
      <c r="K687" s="41"/>
    </row>
    <row r="688" spans="2:14" x14ac:dyDescent="0.2">
      <c r="B688" s="38"/>
      <c r="C688" s="40"/>
      <c r="D688" s="40" t="s">
        <v>343</v>
      </c>
      <c r="E688" s="40"/>
      <c r="F688" s="40"/>
      <c r="G688" s="40"/>
      <c r="H688" s="40"/>
      <c r="I688" s="40"/>
      <c r="J688" s="40"/>
      <c r="K688" s="41"/>
    </row>
    <row r="689" spans="2:11" ht="15" customHeight="1" x14ac:dyDescent="0.2">
      <c r="B689" s="38"/>
      <c r="C689" s="40"/>
      <c r="D689" s="40"/>
      <c r="E689" s="40"/>
      <c r="F689" s="40"/>
      <c r="G689" s="40"/>
      <c r="H689" s="40"/>
      <c r="I689" s="40"/>
      <c r="J689" s="40"/>
      <c r="K689" s="41"/>
    </row>
    <row r="690" spans="2:11" ht="16" x14ac:dyDescent="0.2">
      <c r="B690" s="38"/>
      <c r="C690" s="182" t="s">
        <v>987</v>
      </c>
      <c r="D690" s="40"/>
      <c r="E690" s="40"/>
      <c r="F690" s="40"/>
      <c r="G690" s="40"/>
      <c r="H690" s="40"/>
      <c r="I690" s="40"/>
      <c r="J690" s="257" t="str">
        <f>IF(OR($J$133="Not Calculated",$J$261="Not Calculated",$J$539="Not Calculated",$J$681="Not Calculated")=TRUE,"Not Calculated",AVERAGE($J$133,$J$261,$J$539,$J$681))</f>
        <v>Not Calculated</v>
      </c>
      <c r="K690" s="41"/>
    </row>
    <row r="691" spans="2:11" ht="15" customHeight="1" x14ac:dyDescent="0.2">
      <c r="B691" s="38"/>
      <c r="C691" s="40"/>
      <c r="D691" s="40" t="s">
        <v>344</v>
      </c>
      <c r="E691" s="40"/>
      <c r="F691" s="40"/>
      <c r="G691" s="40"/>
      <c r="H691" s="40"/>
      <c r="I691" s="40"/>
      <c r="J691" s="40"/>
      <c r="K691" s="41"/>
    </row>
    <row r="692" spans="2:11" x14ac:dyDescent="0.2">
      <c r="B692" s="38"/>
      <c r="C692" s="40"/>
      <c r="D692" s="40"/>
      <c r="E692" s="40"/>
      <c r="F692" s="40"/>
      <c r="G692" s="40"/>
      <c r="H692" s="40"/>
      <c r="I692" s="40"/>
      <c r="J692" s="40"/>
      <c r="K692" s="41"/>
    </row>
    <row r="693" spans="2:11" ht="16" x14ac:dyDescent="0.2">
      <c r="B693" s="38"/>
      <c r="C693" s="182" t="s">
        <v>988</v>
      </c>
      <c r="D693" s="40"/>
      <c r="E693" s="40"/>
      <c r="F693" s="40"/>
      <c r="G693" s="40"/>
      <c r="H693" s="40"/>
      <c r="I693" s="40"/>
      <c r="J693" s="257" t="str">
        <f>IF(OR($J$133="Not Calculated",$J$261="Not Calculated",$J$421="Not Calculated")=TRUE,"Not Calculated",AVERAGE($J$133,$J$261,$J$421))</f>
        <v>Not Calculated</v>
      </c>
      <c r="K693" s="41"/>
    </row>
    <row r="694" spans="2:11" x14ac:dyDescent="0.2">
      <c r="B694" s="38"/>
      <c r="C694" s="40"/>
      <c r="D694" s="40" t="s">
        <v>345</v>
      </c>
      <c r="E694" s="40"/>
      <c r="F694" s="40"/>
      <c r="G694" s="40"/>
      <c r="H694" s="40"/>
      <c r="I694" s="40"/>
      <c r="J694" s="40"/>
      <c r="K694" s="41"/>
    </row>
    <row r="695" spans="2:11" ht="16" thickBot="1" x14ac:dyDescent="0.25">
      <c r="B695" s="46"/>
      <c r="C695" s="47"/>
      <c r="D695" s="47"/>
      <c r="E695" s="47"/>
      <c r="F695" s="47"/>
      <c r="G695" s="47"/>
      <c r="H695" s="47"/>
      <c r="I695" s="47"/>
      <c r="J695" s="47"/>
      <c r="K695" s="49"/>
    </row>
    <row r="696" spans="2:11" ht="16" thickBot="1" x14ac:dyDescent="0.25"/>
    <row r="697" spans="2:11" x14ac:dyDescent="0.2">
      <c r="B697" s="183"/>
      <c r="C697" s="184"/>
      <c r="D697" s="184"/>
      <c r="E697" s="184"/>
      <c r="F697" s="184"/>
      <c r="G697" s="184"/>
      <c r="H697" s="184"/>
      <c r="I697" s="184"/>
      <c r="J697" s="184"/>
      <c r="K697" s="185"/>
    </row>
    <row r="698" spans="2:11" ht="21" x14ac:dyDescent="0.25">
      <c r="B698" s="186"/>
      <c r="C698" s="187"/>
      <c r="D698" s="187"/>
      <c r="E698" s="187"/>
      <c r="F698" s="187"/>
      <c r="G698" s="188" t="s">
        <v>231</v>
      </c>
      <c r="H698" s="187"/>
      <c r="I698" s="187"/>
      <c r="J698" s="187"/>
      <c r="K698" s="189"/>
    </row>
    <row r="699" spans="2:11" x14ac:dyDescent="0.2">
      <c r="B699" s="186"/>
      <c r="C699" s="187"/>
      <c r="D699" s="187"/>
      <c r="E699" s="187"/>
      <c r="F699" s="187"/>
      <c r="G699" s="187"/>
      <c r="H699" s="187"/>
      <c r="I699" s="187"/>
      <c r="J699" s="187"/>
      <c r="K699" s="189"/>
    </row>
    <row r="700" spans="2:11" ht="16" x14ac:dyDescent="0.2">
      <c r="B700" s="186"/>
      <c r="C700" s="190" t="s">
        <v>989</v>
      </c>
      <c r="D700" s="187"/>
      <c r="E700" s="187"/>
      <c r="F700" s="187"/>
      <c r="G700" s="187"/>
      <c r="H700" s="187"/>
      <c r="I700" s="187"/>
      <c r="J700" s="256" t="str">
        <f>IF(OR(J687="Not Calculated",$E$17="Not Calculated")=TRUE,"Not Calculated",(J687*$E$17*100/16))</f>
        <v>Not Calculated</v>
      </c>
      <c r="K700" s="189"/>
    </row>
    <row r="701" spans="2:11" x14ac:dyDescent="0.2">
      <c r="B701" s="186"/>
      <c r="C701" s="187"/>
      <c r="D701" s="187" t="s">
        <v>377</v>
      </c>
      <c r="E701" s="187"/>
      <c r="F701" s="187"/>
      <c r="G701" s="187"/>
      <c r="H701" s="187"/>
      <c r="I701" s="187"/>
      <c r="J701" s="187"/>
      <c r="K701" s="189"/>
    </row>
    <row r="702" spans="2:11" x14ac:dyDescent="0.2">
      <c r="B702" s="186"/>
      <c r="C702" s="187"/>
      <c r="D702" s="187"/>
      <c r="E702" s="187"/>
      <c r="F702" s="187"/>
      <c r="G702" s="187"/>
      <c r="H702" s="187"/>
      <c r="I702" s="187"/>
      <c r="J702" s="187"/>
      <c r="K702" s="189"/>
    </row>
    <row r="703" spans="2:11" ht="16" x14ac:dyDescent="0.2">
      <c r="B703" s="186"/>
      <c r="C703" s="190" t="s">
        <v>990</v>
      </c>
      <c r="D703" s="187"/>
      <c r="E703" s="187"/>
      <c r="F703" s="187"/>
      <c r="G703" s="187"/>
      <c r="H703" s="187"/>
      <c r="I703" s="187"/>
      <c r="J703" s="256" t="str">
        <f>IF(OR(J690="Not Calculated",$E$17="Not Calculated")=TRUE,"Not Calculated",(J690*$E$17*100/16))</f>
        <v>Not Calculated</v>
      </c>
      <c r="K703" s="189"/>
    </row>
    <row r="704" spans="2:11" x14ac:dyDescent="0.2">
      <c r="B704" s="186"/>
      <c r="C704" s="187"/>
      <c r="D704" s="187" t="s">
        <v>378</v>
      </c>
      <c r="E704" s="187"/>
      <c r="F704" s="187"/>
      <c r="G704" s="187"/>
      <c r="H704" s="187"/>
      <c r="I704" s="187"/>
      <c r="J704" s="187"/>
      <c r="K704" s="189"/>
    </row>
    <row r="705" spans="2:11" x14ac:dyDescent="0.2">
      <c r="B705" s="186"/>
      <c r="C705" s="187"/>
      <c r="D705" s="187"/>
      <c r="E705" s="187"/>
      <c r="F705" s="187"/>
      <c r="G705" s="187"/>
      <c r="H705" s="187"/>
      <c r="I705" s="187"/>
      <c r="J705" s="187"/>
      <c r="K705" s="189"/>
    </row>
    <row r="706" spans="2:11" ht="16" x14ac:dyDescent="0.2">
      <c r="B706" s="186"/>
      <c r="C706" s="190" t="s">
        <v>991</v>
      </c>
      <c r="D706" s="187"/>
      <c r="E706" s="187"/>
      <c r="F706" s="187"/>
      <c r="G706" s="187"/>
      <c r="H706" s="187"/>
      <c r="I706" s="187"/>
      <c r="J706" s="256" t="str">
        <f>IF(OR(J693="Not Calculated",$E$17="Not Calculated")=TRUE,"Not Calculated",(J693*$E$17*100/16))</f>
        <v>Not Calculated</v>
      </c>
      <c r="K706" s="189"/>
    </row>
    <row r="707" spans="2:11" x14ac:dyDescent="0.2">
      <c r="B707" s="186"/>
      <c r="C707" s="187"/>
      <c r="D707" s="187" t="s">
        <v>379</v>
      </c>
      <c r="E707" s="187"/>
      <c r="F707" s="187"/>
      <c r="G707" s="187"/>
      <c r="H707" s="187"/>
      <c r="I707" s="187"/>
      <c r="J707" s="187"/>
      <c r="K707" s="189"/>
    </row>
    <row r="708" spans="2:11" ht="16" thickBot="1" x14ac:dyDescent="0.25">
      <c r="B708" s="191"/>
      <c r="C708" s="192"/>
      <c r="D708" s="192"/>
      <c r="E708" s="192"/>
      <c r="F708" s="192"/>
      <c r="G708" s="192"/>
      <c r="H708" s="192"/>
      <c r="I708" s="192"/>
      <c r="J708" s="192"/>
      <c r="K708" s="193"/>
    </row>
    <row r="709" spans="2:11" ht="16" thickBot="1" x14ac:dyDescent="0.25"/>
    <row r="710" spans="2:11" x14ac:dyDescent="0.2">
      <c r="B710" s="53"/>
      <c r="C710" s="54"/>
      <c r="D710" s="54"/>
      <c r="E710" s="54"/>
      <c r="F710" s="54"/>
      <c r="G710" s="54"/>
      <c r="H710" s="54"/>
      <c r="I710" s="54"/>
      <c r="J710" s="54"/>
      <c r="K710" s="56"/>
    </row>
    <row r="711" spans="2:11" ht="21" x14ac:dyDescent="0.25">
      <c r="B711" s="57"/>
      <c r="C711" s="59"/>
      <c r="D711" s="59"/>
      <c r="E711" s="59"/>
      <c r="F711" s="59"/>
      <c r="G711" s="194" t="s">
        <v>232</v>
      </c>
      <c r="H711" s="59"/>
      <c r="I711" s="59"/>
      <c r="J711" s="59"/>
      <c r="K711" s="61"/>
    </row>
    <row r="712" spans="2:11" x14ac:dyDescent="0.2">
      <c r="B712" s="57"/>
      <c r="C712" s="59"/>
      <c r="D712" s="59"/>
      <c r="E712" s="59"/>
      <c r="F712" s="59"/>
      <c r="G712" s="59"/>
      <c r="H712" s="59"/>
      <c r="I712" s="59"/>
      <c r="J712" s="59"/>
      <c r="K712" s="61"/>
    </row>
    <row r="713" spans="2:11" ht="16" x14ac:dyDescent="0.2">
      <c r="B713" s="57"/>
      <c r="C713" s="195" t="s">
        <v>363</v>
      </c>
      <c r="D713" s="59"/>
      <c r="E713" s="59"/>
      <c r="F713" s="59"/>
      <c r="G713" s="59"/>
      <c r="H713" s="59"/>
      <c r="I713" s="59"/>
      <c r="J713" s="59"/>
      <c r="K713" s="61"/>
    </row>
    <row r="714" spans="2:11" ht="15" customHeight="1" x14ac:dyDescent="0.2">
      <c r="B714" s="57"/>
      <c r="C714" s="411" t="s">
        <v>364</v>
      </c>
      <c r="D714" s="411"/>
      <c r="E714" s="411"/>
      <c r="F714" s="411"/>
      <c r="G714" s="411"/>
      <c r="H714" s="411"/>
      <c r="I714" s="411"/>
      <c r="J714" s="411"/>
      <c r="K714" s="61"/>
    </row>
    <row r="715" spans="2:11" x14ac:dyDescent="0.2">
      <c r="B715" s="57"/>
      <c r="C715" s="411"/>
      <c r="D715" s="411"/>
      <c r="E715" s="411"/>
      <c r="F715" s="411"/>
      <c r="G715" s="411"/>
      <c r="H715" s="411"/>
      <c r="I715" s="411"/>
      <c r="J715" s="411"/>
      <c r="K715" s="61"/>
    </row>
    <row r="716" spans="2:11" x14ac:dyDescent="0.2">
      <c r="B716" s="57"/>
      <c r="C716" s="411"/>
      <c r="D716" s="411"/>
      <c r="E716" s="411"/>
      <c r="F716" s="411"/>
      <c r="G716" s="411"/>
      <c r="H716" s="411"/>
      <c r="I716" s="411"/>
      <c r="J716" s="411"/>
      <c r="K716" s="61"/>
    </row>
    <row r="717" spans="2:11" x14ac:dyDescent="0.2">
      <c r="B717" s="57"/>
      <c r="C717" s="196" t="s">
        <v>30</v>
      </c>
      <c r="D717" s="59"/>
      <c r="E717" s="59"/>
      <c r="F717" s="59"/>
      <c r="G717" s="408" t="s">
        <v>190</v>
      </c>
      <c r="H717" s="409"/>
      <c r="I717" s="59"/>
      <c r="J717" s="260">
        <f>IF(G717=$B$994,$A$994,IF(G717=$B$995,$A$995,"Not Calculated"))</f>
        <v>1</v>
      </c>
      <c r="K717" s="61"/>
    </row>
    <row r="718" spans="2:11" x14ac:dyDescent="0.2">
      <c r="B718" s="57"/>
      <c r="C718" s="196" t="s">
        <v>32</v>
      </c>
      <c r="D718" s="59"/>
      <c r="E718" s="59"/>
      <c r="F718" s="59"/>
      <c r="G718" s="408" t="s">
        <v>190</v>
      </c>
      <c r="H718" s="409"/>
      <c r="I718" s="59"/>
      <c r="J718" s="260">
        <f t="shared" ref="J718:J725" si="0">IF(G718=$B$994,$A$994,IF(G718=$B$995,$A$995,"Not Calculated"))</f>
        <v>1</v>
      </c>
      <c r="K718" s="61"/>
    </row>
    <row r="719" spans="2:11" x14ac:dyDescent="0.2">
      <c r="B719" s="57"/>
      <c r="C719" s="196" t="s">
        <v>34</v>
      </c>
      <c r="D719" s="59"/>
      <c r="E719" s="59"/>
      <c r="F719" s="59"/>
      <c r="G719" s="408" t="s">
        <v>202</v>
      </c>
      <c r="H719" s="409"/>
      <c r="I719" s="59"/>
      <c r="J719" s="260">
        <f t="shared" si="0"/>
        <v>0</v>
      </c>
      <c r="K719" s="61"/>
    </row>
    <row r="720" spans="2:11" x14ac:dyDescent="0.2">
      <c r="B720" s="57"/>
      <c r="C720" s="196" t="s">
        <v>35</v>
      </c>
      <c r="D720" s="59"/>
      <c r="E720" s="59"/>
      <c r="F720" s="59"/>
      <c r="G720" s="408" t="s">
        <v>190</v>
      </c>
      <c r="H720" s="409"/>
      <c r="I720" s="59"/>
      <c r="J720" s="260">
        <f t="shared" si="0"/>
        <v>1</v>
      </c>
      <c r="K720" s="61"/>
    </row>
    <row r="721" spans="2:11" x14ac:dyDescent="0.2">
      <c r="B721" s="57"/>
      <c r="C721" s="196" t="s">
        <v>37</v>
      </c>
      <c r="D721" s="59"/>
      <c r="E721" s="59"/>
      <c r="F721" s="59"/>
      <c r="G721" s="408" t="s">
        <v>190</v>
      </c>
      <c r="H721" s="409"/>
      <c r="I721" s="59"/>
      <c r="J721" s="260">
        <f t="shared" si="0"/>
        <v>1</v>
      </c>
      <c r="K721" s="61"/>
    </row>
    <row r="722" spans="2:11" x14ac:dyDescent="0.2">
      <c r="B722" s="57"/>
      <c r="C722" s="196" t="s">
        <v>38</v>
      </c>
      <c r="D722" s="59"/>
      <c r="E722" s="59"/>
      <c r="F722" s="59"/>
      <c r="G722" s="408" t="s">
        <v>190</v>
      </c>
      <c r="H722" s="409"/>
      <c r="I722" s="59"/>
      <c r="J722" s="260">
        <f t="shared" si="0"/>
        <v>1</v>
      </c>
      <c r="K722" s="61"/>
    </row>
    <row r="723" spans="2:11" x14ac:dyDescent="0.2">
      <c r="B723" s="57"/>
      <c r="C723" s="196" t="s">
        <v>40</v>
      </c>
      <c r="D723" s="59"/>
      <c r="E723" s="59"/>
      <c r="F723" s="59"/>
      <c r="G723" s="408" t="s">
        <v>202</v>
      </c>
      <c r="H723" s="409"/>
      <c r="I723" s="59"/>
      <c r="J723" s="260">
        <f t="shared" si="0"/>
        <v>0</v>
      </c>
      <c r="K723" s="61"/>
    </row>
    <row r="724" spans="2:11" x14ac:dyDescent="0.2">
      <c r="B724" s="57"/>
      <c r="C724" s="196" t="s">
        <v>41</v>
      </c>
      <c r="D724" s="59"/>
      <c r="E724" s="59"/>
      <c r="F724" s="59"/>
      <c r="G724" s="408" t="s">
        <v>190</v>
      </c>
      <c r="H724" s="409"/>
      <c r="I724" s="59"/>
      <c r="J724" s="260">
        <f t="shared" si="0"/>
        <v>1</v>
      </c>
      <c r="K724" s="61"/>
    </row>
    <row r="725" spans="2:11" x14ac:dyDescent="0.2">
      <c r="B725" s="57"/>
      <c r="C725" s="196" t="s">
        <v>43</v>
      </c>
      <c r="D725" s="59"/>
      <c r="E725" s="59"/>
      <c r="F725" s="59"/>
      <c r="G725" s="408" t="s">
        <v>202</v>
      </c>
      <c r="H725" s="409"/>
      <c r="I725" s="59"/>
      <c r="J725" s="260">
        <f t="shared" si="0"/>
        <v>0</v>
      </c>
      <c r="K725" s="61"/>
    </row>
    <row r="726" spans="2:11" x14ac:dyDescent="0.2">
      <c r="B726" s="57"/>
      <c r="C726" s="59"/>
      <c r="D726" s="59"/>
      <c r="E726" s="59"/>
      <c r="F726" s="59"/>
      <c r="G726" s="59"/>
      <c r="H726" s="59"/>
      <c r="I726" s="59"/>
      <c r="J726" s="59"/>
      <c r="K726" s="61"/>
    </row>
    <row r="727" spans="2:11" x14ac:dyDescent="0.2">
      <c r="B727" s="57"/>
      <c r="C727" s="59"/>
      <c r="D727" s="59"/>
      <c r="E727" s="59"/>
      <c r="F727" s="59"/>
      <c r="G727" s="59"/>
      <c r="H727" s="59"/>
      <c r="I727" s="59"/>
      <c r="J727" s="59"/>
      <c r="K727" s="61"/>
    </row>
    <row r="728" spans="2:11" ht="16" x14ac:dyDescent="0.2">
      <c r="B728" s="57"/>
      <c r="C728" s="195" t="s">
        <v>115</v>
      </c>
      <c r="D728" s="59"/>
      <c r="E728" s="59"/>
      <c r="F728" s="59"/>
      <c r="G728" s="59"/>
      <c r="H728" s="59"/>
      <c r="I728" s="59"/>
      <c r="J728" s="59"/>
      <c r="K728" s="61"/>
    </row>
    <row r="729" spans="2:11" ht="15" customHeight="1" x14ac:dyDescent="0.2">
      <c r="B729" s="57"/>
      <c r="C729" s="411" t="s">
        <v>365</v>
      </c>
      <c r="D729" s="411"/>
      <c r="E729" s="411"/>
      <c r="F729" s="411"/>
      <c r="G729" s="411"/>
      <c r="H729" s="411"/>
      <c r="I729" s="411"/>
      <c r="J729" s="411"/>
      <c r="K729" s="61"/>
    </row>
    <row r="730" spans="2:11" x14ac:dyDescent="0.2">
      <c r="B730" s="57"/>
      <c r="C730" s="411"/>
      <c r="D730" s="411"/>
      <c r="E730" s="411"/>
      <c r="F730" s="411"/>
      <c r="G730" s="411"/>
      <c r="H730" s="411"/>
      <c r="I730" s="411"/>
      <c r="J730" s="411"/>
      <c r="K730" s="61"/>
    </row>
    <row r="731" spans="2:11" x14ac:dyDescent="0.2">
      <c r="B731" s="57"/>
      <c r="C731" s="411"/>
      <c r="D731" s="411"/>
      <c r="E731" s="411"/>
      <c r="F731" s="411"/>
      <c r="G731" s="411"/>
      <c r="H731" s="411"/>
      <c r="I731" s="411"/>
      <c r="J731" s="411"/>
      <c r="K731" s="61"/>
    </row>
    <row r="732" spans="2:11" x14ac:dyDescent="0.2">
      <c r="B732" s="57"/>
      <c r="C732" s="196" t="s">
        <v>30</v>
      </c>
      <c r="D732" s="59"/>
      <c r="E732" s="59"/>
      <c r="F732" s="59"/>
      <c r="G732" s="408" t="s">
        <v>202</v>
      </c>
      <c r="H732" s="409"/>
      <c r="I732" s="59"/>
      <c r="J732" s="260">
        <f>IF(G732=$B$994,$A$994,IF(G732=$B$995,$A$995,"Not Calculated"))</f>
        <v>0</v>
      </c>
      <c r="K732" s="61"/>
    </row>
    <row r="733" spans="2:11" x14ac:dyDescent="0.2">
      <c r="B733" s="57"/>
      <c r="C733" s="196" t="s">
        <v>32</v>
      </c>
      <c r="D733" s="59"/>
      <c r="E733" s="59"/>
      <c r="F733" s="59"/>
      <c r="G733" s="408" t="s">
        <v>202</v>
      </c>
      <c r="H733" s="409"/>
      <c r="I733" s="59"/>
      <c r="J733" s="260">
        <f t="shared" ref="J733:J740" si="1">IF(G733=$B$994,$A$994,IF(G733=$B$995,$A$995,"Not Calculated"))</f>
        <v>0</v>
      </c>
      <c r="K733" s="61"/>
    </row>
    <row r="734" spans="2:11" ht="15" customHeight="1" x14ac:dyDescent="0.2">
      <c r="B734" s="57"/>
      <c r="C734" s="196" t="s">
        <v>34</v>
      </c>
      <c r="D734" s="59"/>
      <c r="E734" s="59"/>
      <c r="F734" s="59"/>
      <c r="G734" s="408" t="s">
        <v>202</v>
      </c>
      <c r="H734" s="409"/>
      <c r="I734" s="59"/>
      <c r="J734" s="260">
        <f t="shared" si="1"/>
        <v>0</v>
      </c>
      <c r="K734" s="61"/>
    </row>
    <row r="735" spans="2:11" x14ac:dyDescent="0.2">
      <c r="B735" s="57"/>
      <c r="C735" s="196" t="s">
        <v>35</v>
      </c>
      <c r="D735" s="59"/>
      <c r="E735" s="59"/>
      <c r="F735" s="59"/>
      <c r="G735" s="408" t="s">
        <v>202</v>
      </c>
      <c r="H735" s="409"/>
      <c r="I735" s="59"/>
      <c r="J735" s="260">
        <f t="shared" si="1"/>
        <v>0</v>
      </c>
      <c r="K735" s="61"/>
    </row>
    <row r="736" spans="2:11" x14ac:dyDescent="0.2">
      <c r="B736" s="57"/>
      <c r="C736" s="196" t="s">
        <v>37</v>
      </c>
      <c r="D736" s="59"/>
      <c r="E736" s="59"/>
      <c r="F736" s="59"/>
      <c r="G736" s="408" t="s">
        <v>202</v>
      </c>
      <c r="H736" s="409"/>
      <c r="I736" s="59"/>
      <c r="J736" s="260">
        <f t="shared" si="1"/>
        <v>0</v>
      </c>
      <c r="K736" s="61"/>
    </row>
    <row r="737" spans="2:11" x14ac:dyDescent="0.2">
      <c r="B737" s="57"/>
      <c r="C737" s="196" t="s">
        <v>38</v>
      </c>
      <c r="D737" s="59"/>
      <c r="E737" s="59"/>
      <c r="F737" s="59"/>
      <c r="G737" s="408" t="s">
        <v>202</v>
      </c>
      <c r="H737" s="409"/>
      <c r="I737" s="59"/>
      <c r="J737" s="260">
        <f t="shared" si="1"/>
        <v>0</v>
      </c>
      <c r="K737" s="61"/>
    </row>
    <row r="738" spans="2:11" x14ac:dyDescent="0.2">
      <c r="B738" s="57"/>
      <c r="C738" s="196" t="s">
        <v>40</v>
      </c>
      <c r="D738" s="59"/>
      <c r="E738" s="59"/>
      <c r="F738" s="59"/>
      <c r="G738" s="408" t="s">
        <v>202</v>
      </c>
      <c r="H738" s="409"/>
      <c r="I738" s="59"/>
      <c r="J738" s="260">
        <f t="shared" si="1"/>
        <v>0</v>
      </c>
      <c r="K738" s="61"/>
    </row>
    <row r="739" spans="2:11" x14ac:dyDescent="0.2">
      <c r="B739" s="57"/>
      <c r="C739" s="196" t="s">
        <v>41</v>
      </c>
      <c r="D739" s="59"/>
      <c r="E739" s="59"/>
      <c r="F739" s="59"/>
      <c r="G739" s="408" t="s">
        <v>202</v>
      </c>
      <c r="H739" s="409"/>
      <c r="I739" s="59"/>
      <c r="J739" s="260">
        <f t="shared" si="1"/>
        <v>0</v>
      </c>
      <c r="K739" s="61"/>
    </row>
    <row r="740" spans="2:11" x14ac:dyDescent="0.2">
      <c r="B740" s="57"/>
      <c r="C740" s="196" t="s">
        <v>43</v>
      </c>
      <c r="D740" s="59"/>
      <c r="E740" s="59"/>
      <c r="F740" s="59"/>
      <c r="G740" s="408" t="s">
        <v>202</v>
      </c>
      <c r="H740" s="409"/>
      <c r="I740" s="59"/>
      <c r="J740" s="260">
        <f t="shared" si="1"/>
        <v>0</v>
      </c>
      <c r="K740" s="61"/>
    </row>
    <row r="741" spans="2:11" x14ac:dyDescent="0.2">
      <c r="B741" s="57"/>
      <c r="C741" s="59"/>
      <c r="D741" s="59"/>
      <c r="E741" s="59"/>
      <c r="F741" s="59"/>
      <c r="G741" s="59"/>
      <c r="H741" s="59"/>
      <c r="I741" s="59"/>
      <c r="J741" s="59"/>
      <c r="K741" s="61"/>
    </row>
    <row r="742" spans="2:11" x14ac:dyDescent="0.2">
      <c r="B742" s="57"/>
      <c r="C742" s="59"/>
      <c r="D742" s="59"/>
      <c r="E742" s="59"/>
      <c r="F742" s="59"/>
      <c r="G742" s="59"/>
      <c r="H742" s="59"/>
      <c r="I742" s="59"/>
      <c r="J742" s="59"/>
      <c r="K742" s="61"/>
    </row>
    <row r="743" spans="2:11" ht="16" x14ac:dyDescent="0.2">
      <c r="B743" s="57"/>
      <c r="C743" s="195" t="s">
        <v>366</v>
      </c>
      <c r="D743" s="59"/>
      <c r="E743" s="59"/>
      <c r="F743" s="59"/>
      <c r="G743" s="59"/>
      <c r="H743" s="59"/>
      <c r="I743" s="59"/>
      <c r="J743" s="59"/>
      <c r="K743" s="61"/>
    </row>
    <row r="744" spans="2:11" ht="15" customHeight="1" x14ac:dyDescent="0.2">
      <c r="B744" s="57"/>
      <c r="C744" s="411" t="s">
        <v>367</v>
      </c>
      <c r="D744" s="411"/>
      <c r="E744" s="411"/>
      <c r="F744" s="411"/>
      <c r="G744" s="411"/>
      <c r="H744" s="411"/>
      <c r="I744" s="411"/>
      <c r="J744" s="411"/>
      <c r="K744" s="61"/>
    </row>
    <row r="745" spans="2:11" x14ac:dyDescent="0.2">
      <c r="B745" s="57"/>
      <c r="C745" s="411"/>
      <c r="D745" s="411"/>
      <c r="E745" s="411"/>
      <c r="F745" s="411"/>
      <c r="G745" s="411"/>
      <c r="H745" s="411"/>
      <c r="I745" s="411"/>
      <c r="J745" s="411"/>
      <c r="K745" s="61"/>
    </row>
    <row r="746" spans="2:11" x14ac:dyDescent="0.2">
      <c r="B746" s="57"/>
      <c r="C746" s="411"/>
      <c r="D746" s="411"/>
      <c r="E746" s="411"/>
      <c r="F746" s="411"/>
      <c r="G746" s="411"/>
      <c r="H746" s="411"/>
      <c r="I746" s="411"/>
      <c r="J746" s="411"/>
      <c r="K746" s="61"/>
    </row>
    <row r="747" spans="2:11" x14ac:dyDescent="0.2">
      <c r="B747" s="57"/>
      <c r="C747" s="196" t="s">
        <v>30</v>
      </c>
      <c r="D747" s="59"/>
      <c r="E747" s="59"/>
      <c r="F747" s="59"/>
      <c r="G747" s="408" t="s">
        <v>202</v>
      </c>
      <c r="H747" s="409"/>
      <c r="I747" s="59"/>
      <c r="J747" s="260">
        <f>IF(G747=$B$994,$A$994,IF(G747=$B$995,$A$995,"Not Calculated"))</f>
        <v>0</v>
      </c>
      <c r="K747" s="61"/>
    </row>
    <row r="748" spans="2:11" x14ac:dyDescent="0.2">
      <c r="B748" s="57"/>
      <c r="C748" s="196" t="s">
        <v>32</v>
      </c>
      <c r="D748" s="59"/>
      <c r="E748" s="59"/>
      <c r="F748" s="59"/>
      <c r="G748" s="408" t="s">
        <v>202</v>
      </c>
      <c r="H748" s="409"/>
      <c r="I748" s="59"/>
      <c r="J748" s="260">
        <f t="shared" ref="J748:J755" si="2">IF(G748=$B$994,$A$994,IF(G748=$B$995,$A$995,"Not Calculated"))</f>
        <v>0</v>
      </c>
      <c r="K748" s="61"/>
    </row>
    <row r="749" spans="2:11" ht="15" customHeight="1" x14ac:dyDescent="0.2">
      <c r="B749" s="57"/>
      <c r="C749" s="196" t="s">
        <v>34</v>
      </c>
      <c r="D749" s="59"/>
      <c r="E749" s="59"/>
      <c r="F749" s="59"/>
      <c r="G749" s="408" t="s">
        <v>202</v>
      </c>
      <c r="H749" s="409"/>
      <c r="I749" s="59"/>
      <c r="J749" s="260">
        <f t="shared" si="2"/>
        <v>0</v>
      </c>
      <c r="K749" s="61"/>
    </row>
    <row r="750" spans="2:11" x14ac:dyDescent="0.2">
      <c r="B750" s="57"/>
      <c r="C750" s="196" t="s">
        <v>35</v>
      </c>
      <c r="D750" s="59"/>
      <c r="E750" s="59"/>
      <c r="F750" s="59"/>
      <c r="G750" s="408" t="s">
        <v>202</v>
      </c>
      <c r="H750" s="409"/>
      <c r="I750" s="59"/>
      <c r="J750" s="260">
        <f t="shared" si="2"/>
        <v>0</v>
      </c>
      <c r="K750" s="61"/>
    </row>
    <row r="751" spans="2:11" x14ac:dyDescent="0.2">
      <c r="B751" s="57"/>
      <c r="C751" s="196" t="s">
        <v>37</v>
      </c>
      <c r="D751" s="59"/>
      <c r="E751" s="59"/>
      <c r="F751" s="59"/>
      <c r="G751" s="408" t="s">
        <v>202</v>
      </c>
      <c r="H751" s="409"/>
      <c r="I751" s="59"/>
      <c r="J751" s="260">
        <f t="shared" si="2"/>
        <v>0</v>
      </c>
      <c r="K751" s="61"/>
    </row>
    <row r="752" spans="2:11" x14ac:dyDescent="0.2">
      <c r="B752" s="57"/>
      <c r="C752" s="196" t="s">
        <v>38</v>
      </c>
      <c r="D752" s="59"/>
      <c r="E752" s="59"/>
      <c r="F752" s="59"/>
      <c r="G752" s="408" t="s">
        <v>202</v>
      </c>
      <c r="H752" s="409"/>
      <c r="I752" s="59"/>
      <c r="J752" s="260">
        <f t="shared" si="2"/>
        <v>0</v>
      </c>
      <c r="K752" s="61"/>
    </row>
    <row r="753" spans="2:11" x14ac:dyDescent="0.2">
      <c r="B753" s="57"/>
      <c r="C753" s="196" t="s">
        <v>40</v>
      </c>
      <c r="D753" s="59"/>
      <c r="E753" s="59"/>
      <c r="F753" s="59"/>
      <c r="G753" s="408" t="s">
        <v>202</v>
      </c>
      <c r="H753" s="409"/>
      <c r="I753" s="59"/>
      <c r="J753" s="260">
        <f t="shared" si="2"/>
        <v>0</v>
      </c>
      <c r="K753" s="61"/>
    </row>
    <row r="754" spans="2:11" x14ac:dyDescent="0.2">
      <c r="B754" s="57"/>
      <c r="C754" s="196" t="s">
        <v>41</v>
      </c>
      <c r="D754" s="59"/>
      <c r="E754" s="59"/>
      <c r="F754" s="59"/>
      <c r="G754" s="408" t="s">
        <v>202</v>
      </c>
      <c r="H754" s="409"/>
      <c r="I754" s="59"/>
      <c r="J754" s="260">
        <f t="shared" si="2"/>
        <v>0</v>
      </c>
      <c r="K754" s="61"/>
    </row>
    <row r="755" spans="2:11" x14ac:dyDescent="0.2">
      <c r="B755" s="57"/>
      <c r="C755" s="196" t="s">
        <v>43</v>
      </c>
      <c r="D755" s="59"/>
      <c r="E755" s="59"/>
      <c r="F755" s="59"/>
      <c r="G755" s="408" t="s">
        <v>202</v>
      </c>
      <c r="H755" s="409"/>
      <c r="I755" s="59"/>
      <c r="J755" s="260">
        <f t="shared" si="2"/>
        <v>0</v>
      </c>
      <c r="K755" s="61"/>
    </row>
    <row r="756" spans="2:11" x14ac:dyDescent="0.2">
      <c r="B756" s="57"/>
      <c r="C756" s="59"/>
      <c r="D756" s="59"/>
      <c r="E756" s="59"/>
      <c r="F756" s="59"/>
      <c r="G756" s="59"/>
      <c r="H756" s="59"/>
      <c r="I756" s="59"/>
      <c r="J756" s="59"/>
      <c r="K756" s="61"/>
    </row>
    <row r="757" spans="2:11" x14ac:dyDescent="0.2">
      <c r="B757" s="57"/>
      <c r="C757" s="59"/>
      <c r="D757" s="59"/>
      <c r="E757" s="59"/>
      <c r="F757" s="59"/>
      <c r="G757" s="59"/>
      <c r="H757" s="59"/>
      <c r="I757" s="59"/>
      <c r="J757" s="59"/>
      <c r="K757" s="61"/>
    </row>
    <row r="758" spans="2:11" ht="16" x14ac:dyDescent="0.2">
      <c r="B758" s="57"/>
      <c r="C758" s="195" t="s">
        <v>368</v>
      </c>
      <c r="D758" s="59"/>
      <c r="E758" s="59"/>
      <c r="F758" s="59"/>
      <c r="G758" s="59"/>
      <c r="H758" s="59"/>
      <c r="I758" s="59"/>
      <c r="J758" s="59"/>
      <c r="K758" s="61"/>
    </row>
    <row r="759" spans="2:11" ht="15" customHeight="1" x14ac:dyDescent="0.2">
      <c r="B759" s="57"/>
      <c r="C759" s="411" t="s">
        <v>369</v>
      </c>
      <c r="D759" s="411"/>
      <c r="E759" s="411"/>
      <c r="F759" s="411"/>
      <c r="G759" s="411"/>
      <c r="H759" s="411"/>
      <c r="I759" s="411"/>
      <c r="J759" s="411"/>
      <c r="K759" s="61"/>
    </row>
    <row r="760" spans="2:11" x14ac:dyDescent="0.2">
      <c r="B760" s="57"/>
      <c r="C760" s="411"/>
      <c r="D760" s="411"/>
      <c r="E760" s="411"/>
      <c r="F760" s="411"/>
      <c r="G760" s="411"/>
      <c r="H760" s="411"/>
      <c r="I760" s="411"/>
      <c r="J760" s="411"/>
      <c r="K760" s="61"/>
    </row>
    <row r="761" spans="2:11" x14ac:dyDescent="0.2">
      <c r="B761" s="57"/>
      <c r="C761" s="411"/>
      <c r="D761" s="411"/>
      <c r="E761" s="411"/>
      <c r="F761" s="411"/>
      <c r="G761" s="411"/>
      <c r="H761" s="411"/>
      <c r="I761" s="411"/>
      <c r="J761" s="411"/>
      <c r="K761" s="61"/>
    </row>
    <row r="762" spans="2:11" x14ac:dyDescent="0.2">
      <c r="B762" s="57"/>
      <c r="C762" s="196" t="s">
        <v>30</v>
      </c>
      <c r="D762" s="59"/>
      <c r="E762" s="59"/>
      <c r="F762" s="59"/>
      <c r="G762" s="408" t="s">
        <v>190</v>
      </c>
      <c r="H762" s="409"/>
      <c r="I762" s="59"/>
      <c r="J762" s="260">
        <f>IF(G762=$B$994,$A$994,IF(G762=$B$995,$A$995,"Not Calculated"))</f>
        <v>1</v>
      </c>
      <c r="K762" s="61"/>
    </row>
    <row r="763" spans="2:11" x14ac:dyDescent="0.2">
      <c r="B763" s="57"/>
      <c r="C763" s="196" t="s">
        <v>32</v>
      </c>
      <c r="D763" s="59"/>
      <c r="E763" s="59"/>
      <c r="F763" s="59"/>
      <c r="G763" s="408" t="s">
        <v>190</v>
      </c>
      <c r="H763" s="409"/>
      <c r="I763" s="59"/>
      <c r="J763" s="260">
        <f t="shared" ref="J763:J770" si="3">IF(G763=$B$994,$A$994,IF(G763=$B$995,$A$995,"Not Calculated"))</f>
        <v>1</v>
      </c>
      <c r="K763" s="61"/>
    </row>
    <row r="764" spans="2:11" ht="15" customHeight="1" x14ac:dyDescent="0.2">
      <c r="B764" s="57"/>
      <c r="C764" s="196" t="s">
        <v>34</v>
      </c>
      <c r="D764" s="59"/>
      <c r="E764" s="59"/>
      <c r="F764" s="59"/>
      <c r="G764" s="408" t="s">
        <v>190</v>
      </c>
      <c r="H764" s="409"/>
      <c r="I764" s="59"/>
      <c r="J764" s="260">
        <f t="shared" si="3"/>
        <v>1</v>
      </c>
      <c r="K764" s="61"/>
    </row>
    <row r="765" spans="2:11" x14ac:dyDescent="0.2">
      <c r="B765" s="57"/>
      <c r="C765" s="196" t="s">
        <v>35</v>
      </c>
      <c r="D765" s="59"/>
      <c r="E765" s="59"/>
      <c r="F765" s="59"/>
      <c r="G765" s="408" t="s">
        <v>190</v>
      </c>
      <c r="H765" s="409"/>
      <c r="I765" s="59"/>
      <c r="J765" s="260">
        <f t="shared" si="3"/>
        <v>1</v>
      </c>
      <c r="K765" s="61"/>
    </row>
    <row r="766" spans="2:11" x14ac:dyDescent="0.2">
      <c r="B766" s="57"/>
      <c r="C766" s="196" t="s">
        <v>37</v>
      </c>
      <c r="D766" s="59"/>
      <c r="E766" s="59"/>
      <c r="F766" s="59"/>
      <c r="G766" s="408" t="s">
        <v>190</v>
      </c>
      <c r="H766" s="409"/>
      <c r="I766" s="59"/>
      <c r="J766" s="260">
        <f t="shared" si="3"/>
        <v>1</v>
      </c>
      <c r="K766" s="61"/>
    </row>
    <row r="767" spans="2:11" x14ac:dyDescent="0.2">
      <c r="B767" s="57"/>
      <c r="C767" s="196" t="s">
        <v>38</v>
      </c>
      <c r="D767" s="59"/>
      <c r="E767" s="59"/>
      <c r="F767" s="59"/>
      <c r="G767" s="408" t="s">
        <v>190</v>
      </c>
      <c r="H767" s="409"/>
      <c r="I767" s="59"/>
      <c r="J767" s="260">
        <f t="shared" si="3"/>
        <v>1</v>
      </c>
      <c r="K767" s="61"/>
    </row>
    <row r="768" spans="2:11" x14ac:dyDescent="0.2">
      <c r="B768" s="57"/>
      <c r="C768" s="196" t="s">
        <v>40</v>
      </c>
      <c r="D768" s="59"/>
      <c r="E768" s="59"/>
      <c r="F768" s="59"/>
      <c r="G768" s="408" t="s">
        <v>190</v>
      </c>
      <c r="H768" s="409"/>
      <c r="I768" s="59"/>
      <c r="J768" s="260">
        <f t="shared" si="3"/>
        <v>1</v>
      </c>
      <c r="K768" s="61"/>
    </row>
    <row r="769" spans="2:11" x14ac:dyDescent="0.2">
      <c r="B769" s="57"/>
      <c r="C769" s="196" t="s">
        <v>41</v>
      </c>
      <c r="D769" s="59"/>
      <c r="E769" s="59"/>
      <c r="F769" s="59"/>
      <c r="G769" s="408" t="s">
        <v>190</v>
      </c>
      <c r="H769" s="409"/>
      <c r="I769" s="59"/>
      <c r="J769" s="260">
        <f t="shared" si="3"/>
        <v>1</v>
      </c>
      <c r="K769" s="61"/>
    </row>
    <row r="770" spans="2:11" x14ac:dyDescent="0.2">
      <c r="B770" s="57"/>
      <c r="C770" s="196" t="s">
        <v>43</v>
      </c>
      <c r="D770" s="59"/>
      <c r="E770" s="59"/>
      <c r="F770" s="59"/>
      <c r="G770" s="408" t="s">
        <v>190</v>
      </c>
      <c r="H770" s="409"/>
      <c r="I770" s="59"/>
      <c r="J770" s="260">
        <f t="shared" si="3"/>
        <v>1</v>
      </c>
      <c r="K770" s="61"/>
    </row>
    <row r="771" spans="2:11" x14ac:dyDescent="0.2">
      <c r="B771" s="57"/>
      <c r="C771" s="59"/>
      <c r="D771" s="59"/>
      <c r="E771" s="59"/>
      <c r="F771" s="59"/>
      <c r="G771" s="59"/>
      <c r="H771" s="59"/>
      <c r="I771" s="59"/>
      <c r="J771" s="59"/>
      <c r="K771" s="61"/>
    </row>
    <row r="772" spans="2:11" x14ac:dyDescent="0.2">
      <c r="B772" s="57"/>
      <c r="C772" s="59"/>
      <c r="D772" s="59"/>
      <c r="E772" s="59"/>
      <c r="F772" s="59"/>
      <c r="G772" s="59"/>
      <c r="H772" s="59"/>
      <c r="I772" s="59"/>
      <c r="J772" s="59"/>
      <c r="K772" s="61"/>
    </row>
    <row r="773" spans="2:11" ht="16" x14ac:dyDescent="0.2">
      <c r="B773" s="57"/>
      <c r="C773" s="197" t="s">
        <v>30</v>
      </c>
      <c r="D773" s="59"/>
      <c r="E773" s="59"/>
      <c r="F773" s="59"/>
      <c r="G773" s="59"/>
      <c r="H773" s="59"/>
      <c r="I773" s="59"/>
      <c r="J773" s="59"/>
      <c r="K773" s="61"/>
    </row>
    <row r="774" spans="2:11" x14ac:dyDescent="0.2">
      <c r="B774" s="57"/>
      <c r="C774" s="59"/>
      <c r="D774" s="59" t="s">
        <v>370</v>
      </c>
      <c r="E774" s="59"/>
      <c r="F774" s="59"/>
      <c r="G774" s="59"/>
      <c r="H774" s="59"/>
      <c r="I774" s="59"/>
      <c r="J774" s="60">
        <f>'Baseline At-Risk Pops'!H8</f>
        <v>0</v>
      </c>
      <c r="K774" s="61"/>
    </row>
    <row r="775" spans="2:11" x14ac:dyDescent="0.2">
      <c r="B775" s="57"/>
      <c r="C775" s="59"/>
      <c r="D775" s="59" t="s">
        <v>371</v>
      </c>
      <c r="E775" s="59"/>
      <c r="F775" s="59"/>
      <c r="G775" s="59"/>
      <c r="H775" s="59"/>
      <c r="I775" s="59"/>
      <c r="J775" s="60">
        <f>SUM(J717,J732,J747,J762)</f>
        <v>2</v>
      </c>
      <c r="K775" s="61"/>
    </row>
    <row r="776" spans="2:11" x14ac:dyDescent="0.2">
      <c r="B776" s="57"/>
      <c r="C776" s="59"/>
      <c r="D776" s="196" t="s">
        <v>372</v>
      </c>
      <c r="E776" s="59"/>
      <c r="F776" s="59"/>
      <c r="G776" s="59"/>
      <c r="H776" s="59"/>
      <c r="I776" s="59"/>
      <c r="J776" s="60">
        <f>AVERAGE(J774,J775)</f>
        <v>1</v>
      </c>
      <c r="K776" s="61"/>
    </row>
    <row r="777" spans="2:11" ht="16" x14ac:dyDescent="0.2">
      <c r="B777" s="57"/>
      <c r="C777" s="197" t="s">
        <v>32</v>
      </c>
      <c r="D777" s="59"/>
      <c r="E777" s="59"/>
      <c r="F777" s="59"/>
      <c r="G777" s="59"/>
      <c r="H777" s="59"/>
      <c r="I777" s="59"/>
      <c r="J777" s="60"/>
      <c r="K777" s="61"/>
    </row>
    <row r="778" spans="2:11" x14ac:dyDescent="0.2">
      <c r="B778" s="57"/>
      <c r="C778" s="59"/>
      <c r="D778" s="59" t="s">
        <v>370</v>
      </c>
      <c r="E778" s="59"/>
      <c r="F778" s="59"/>
      <c r="G778" s="59"/>
      <c r="H778" s="59"/>
      <c r="I778" s="59"/>
      <c r="J778" s="60">
        <f>'Baseline At-Risk Pops'!H14</f>
        <v>0</v>
      </c>
      <c r="K778" s="61"/>
    </row>
    <row r="779" spans="2:11" ht="15" customHeight="1" x14ac:dyDescent="0.2">
      <c r="B779" s="57"/>
      <c r="C779" s="59"/>
      <c r="D779" s="59" t="s">
        <v>371</v>
      </c>
      <c r="E779" s="59"/>
      <c r="F779" s="59"/>
      <c r="G779" s="59"/>
      <c r="H779" s="59"/>
      <c r="I779" s="59"/>
      <c r="J779" s="60">
        <f>SUM(J718,J733,J748,J763)</f>
        <v>2</v>
      </c>
      <c r="K779" s="61"/>
    </row>
    <row r="780" spans="2:11" x14ac:dyDescent="0.2">
      <c r="B780" s="57"/>
      <c r="C780" s="59"/>
      <c r="D780" s="196" t="s">
        <v>372</v>
      </c>
      <c r="E780" s="59"/>
      <c r="F780" s="59"/>
      <c r="G780" s="59"/>
      <c r="H780" s="59"/>
      <c r="I780" s="59"/>
      <c r="J780" s="60">
        <f>AVERAGE(J778,J779)</f>
        <v>1</v>
      </c>
      <c r="K780" s="61"/>
    </row>
    <row r="781" spans="2:11" ht="16" x14ac:dyDescent="0.2">
      <c r="B781" s="57"/>
      <c r="C781" s="197" t="s">
        <v>34</v>
      </c>
      <c r="D781" s="59"/>
      <c r="E781" s="59"/>
      <c r="F781" s="59"/>
      <c r="G781" s="59"/>
      <c r="H781" s="59"/>
      <c r="I781" s="59"/>
      <c r="J781" s="60"/>
      <c r="K781" s="61"/>
    </row>
    <row r="782" spans="2:11" ht="16" x14ac:dyDescent="0.2">
      <c r="B782" s="57"/>
      <c r="C782" s="197"/>
      <c r="D782" s="59" t="s">
        <v>370</v>
      </c>
      <c r="E782" s="59"/>
      <c r="F782" s="59"/>
      <c r="G782" s="59"/>
      <c r="H782" s="59"/>
      <c r="I782" s="59"/>
      <c r="J782" s="60">
        <f>'Baseline At-Risk Pops'!H21</f>
        <v>0</v>
      </c>
      <c r="K782" s="61"/>
    </row>
    <row r="783" spans="2:11" x14ac:dyDescent="0.2">
      <c r="B783" s="57"/>
      <c r="C783" s="59"/>
      <c r="D783" s="59" t="s">
        <v>371</v>
      </c>
      <c r="E783" s="59"/>
      <c r="F783" s="59"/>
      <c r="G783" s="59"/>
      <c r="H783" s="59"/>
      <c r="I783" s="59"/>
      <c r="J783" s="60">
        <f>SUM(J719,J734,J749,J764)</f>
        <v>1</v>
      </c>
      <c r="K783" s="61"/>
    </row>
    <row r="784" spans="2:11" x14ac:dyDescent="0.2">
      <c r="B784" s="57"/>
      <c r="C784" s="59"/>
      <c r="D784" s="196" t="s">
        <v>372</v>
      </c>
      <c r="E784" s="59"/>
      <c r="F784" s="59"/>
      <c r="G784" s="59"/>
      <c r="H784" s="59"/>
      <c r="I784" s="59"/>
      <c r="J784" s="60">
        <f>AVERAGE(J782,J783)</f>
        <v>0.5</v>
      </c>
      <c r="K784" s="61"/>
    </row>
    <row r="785" spans="2:11" ht="16" x14ac:dyDescent="0.2">
      <c r="B785" s="57"/>
      <c r="C785" s="197" t="s">
        <v>35</v>
      </c>
      <c r="D785" s="59"/>
      <c r="E785" s="59"/>
      <c r="F785" s="59"/>
      <c r="G785" s="59"/>
      <c r="H785" s="59"/>
      <c r="I785" s="59"/>
      <c r="J785" s="60"/>
      <c r="K785" s="61"/>
    </row>
    <row r="786" spans="2:11" x14ac:dyDescent="0.2">
      <c r="B786" s="57"/>
      <c r="C786" s="59"/>
      <c r="D786" s="59" t="s">
        <v>370</v>
      </c>
      <c r="E786" s="59"/>
      <c r="F786" s="59"/>
      <c r="G786" s="59"/>
      <c r="H786" s="59"/>
      <c r="I786" s="59"/>
      <c r="J786" s="60">
        <f>'Baseline At-Risk Pops'!H27</f>
        <v>0</v>
      </c>
      <c r="K786" s="61"/>
    </row>
    <row r="787" spans="2:11" x14ac:dyDescent="0.2">
      <c r="B787" s="57"/>
      <c r="C787" s="59"/>
      <c r="D787" s="59" t="s">
        <v>371</v>
      </c>
      <c r="E787" s="59"/>
      <c r="F787" s="59"/>
      <c r="G787" s="59"/>
      <c r="H787" s="59"/>
      <c r="I787" s="59"/>
      <c r="J787" s="60">
        <f>SUM(J720,J735,J750,J765)</f>
        <v>2</v>
      </c>
      <c r="K787" s="61"/>
    </row>
    <row r="788" spans="2:11" x14ac:dyDescent="0.2">
      <c r="B788" s="57"/>
      <c r="C788" s="59"/>
      <c r="D788" s="196" t="s">
        <v>372</v>
      </c>
      <c r="E788" s="59"/>
      <c r="F788" s="59"/>
      <c r="G788" s="59"/>
      <c r="H788" s="59"/>
      <c r="I788" s="59"/>
      <c r="J788" s="60">
        <f>AVERAGE(J786,J787)</f>
        <v>1</v>
      </c>
      <c r="K788" s="61"/>
    </row>
    <row r="789" spans="2:11" ht="16" x14ac:dyDescent="0.2">
      <c r="B789" s="57"/>
      <c r="C789" s="197" t="s">
        <v>37</v>
      </c>
      <c r="D789" s="59"/>
      <c r="E789" s="59"/>
      <c r="F789" s="59"/>
      <c r="G789" s="59"/>
      <c r="H789" s="59"/>
      <c r="I789" s="59"/>
      <c r="J789" s="60"/>
      <c r="K789" s="61"/>
    </row>
    <row r="790" spans="2:11" x14ac:dyDescent="0.2">
      <c r="B790" s="57"/>
      <c r="C790" s="59"/>
      <c r="D790" s="59" t="s">
        <v>370</v>
      </c>
      <c r="E790" s="59"/>
      <c r="F790" s="59"/>
      <c r="G790" s="59"/>
      <c r="H790" s="59"/>
      <c r="I790" s="59"/>
      <c r="J790" s="60">
        <f>'Baseline At-Risk Pops'!H34</f>
        <v>0</v>
      </c>
      <c r="K790" s="61"/>
    </row>
    <row r="791" spans="2:11" x14ac:dyDescent="0.2">
      <c r="B791" s="57"/>
      <c r="C791" s="59"/>
      <c r="D791" s="59" t="s">
        <v>371</v>
      </c>
      <c r="E791" s="59"/>
      <c r="F791" s="59"/>
      <c r="G791" s="59"/>
      <c r="H791" s="59"/>
      <c r="I791" s="59"/>
      <c r="J791" s="60">
        <f>SUM(J721,J736,J751,J766)</f>
        <v>2</v>
      </c>
      <c r="K791" s="61"/>
    </row>
    <row r="792" spans="2:11" x14ac:dyDescent="0.2">
      <c r="B792" s="57"/>
      <c r="C792" s="59"/>
      <c r="D792" s="196" t="s">
        <v>372</v>
      </c>
      <c r="E792" s="59"/>
      <c r="F792" s="59"/>
      <c r="G792" s="59"/>
      <c r="H792" s="59"/>
      <c r="I792" s="59"/>
      <c r="J792" s="60">
        <f>AVERAGE(J790,J791)</f>
        <v>1</v>
      </c>
      <c r="K792" s="61"/>
    </row>
    <row r="793" spans="2:11" ht="16" x14ac:dyDescent="0.2">
      <c r="B793" s="57"/>
      <c r="C793" s="197" t="s">
        <v>38</v>
      </c>
      <c r="D793" s="59"/>
      <c r="E793" s="59"/>
      <c r="F793" s="59"/>
      <c r="G793" s="59"/>
      <c r="H793" s="59"/>
      <c r="I793" s="59"/>
      <c r="J793" s="60"/>
      <c r="K793" s="61"/>
    </row>
    <row r="794" spans="2:11" x14ac:dyDescent="0.2">
      <c r="B794" s="57"/>
      <c r="C794" s="59"/>
      <c r="D794" s="59" t="s">
        <v>370</v>
      </c>
      <c r="E794" s="59"/>
      <c r="F794" s="59"/>
      <c r="G794" s="59"/>
      <c r="H794" s="59"/>
      <c r="I794" s="59"/>
      <c r="J794" s="60">
        <f>'Baseline At-Risk Pops'!H40</f>
        <v>0</v>
      </c>
      <c r="K794" s="61"/>
    </row>
    <row r="795" spans="2:11" x14ac:dyDescent="0.2">
      <c r="B795" s="57"/>
      <c r="C795" s="59"/>
      <c r="D795" s="59" t="s">
        <v>371</v>
      </c>
      <c r="E795" s="59"/>
      <c r="F795" s="59"/>
      <c r="G795" s="59"/>
      <c r="H795" s="59"/>
      <c r="I795" s="59"/>
      <c r="J795" s="60">
        <f>SUM(J722,J737,J752,J767)</f>
        <v>2</v>
      </c>
      <c r="K795" s="61"/>
    </row>
    <row r="796" spans="2:11" x14ac:dyDescent="0.2">
      <c r="B796" s="57"/>
      <c r="C796" s="59"/>
      <c r="D796" s="196" t="s">
        <v>372</v>
      </c>
      <c r="E796" s="59"/>
      <c r="F796" s="59"/>
      <c r="G796" s="59"/>
      <c r="H796" s="59"/>
      <c r="I796" s="59"/>
      <c r="J796" s="60">
        <f>AVERAGE(J794,J795)</f>
        <v>1</v>
      </c>
      <c r="K796" s="61"/>
    </row>
    <row r="797" spans="2:11" ht="16" x14ac:dyDescent="0.2">
      <c r="B797" s="57"/>
      <c r="C797" s="197" t="s">
        <v>40</v>
      </c>
      <c r="D797" s="59"/>
      <c r="E797" s="59"/>
      <c r="F797" s="59"/>
      <c r="G797" s="59"/>
      <c r="H797" s="59"/>
      <c r="I797" s="59"/>
      <c r="J797" s="60"/>
      <c r="K797" s="61"/>
    </row>
    <row r="798" spans="2:11" x14ac:dyDescent="0.2">
      <c r="B798" s="57"/>
      <c r="C798" s="59"/>
      <c r="D798" s="59" t="s">
        <v>370</v>
      </c>
      <c r="E798" s="59"/>
      <c r="F798" s="59"/>
      <c r="G798" s="59"/>
      <c r="H798" s="59"/>
      <c r="I798" s="59"/>
      <c r="J798" s="60">
        <f>'Baseline At-Risk Pops'!H46</f>
        <v>0</v>
      </c>
      <c r="K798" s="61"/>
    </row>
    <row r="799" spans="2:11" x14ac:dyDescent="0.2">
      <c r="B799" s="57"/>
      <c r="C799" s="59"/>
      <c r="D799" s="59" t="s">
        <v>371</v>
      </c>
      <c r="E799" s="59"/>
      <c r="F799" s="59"/>
      <c r="G799" s="59"/>
      <c r="H799" s="59"/>
      <c r="I799" s="59"/>
      <c r="J799" s="60">
        <f>SUM(J723,J738,J753,J768)</f>
        <v>1</v>
      </c>
      <c r="K799" s="61"/>
    </row>
    <row r="800" spans="2:11" x14ac:dyDescent="0.2">
      <c r="B800" s="57"/>
      <c r="C800" s="59"/>
      <c r="D800" s="196" t="s">
        <v>372</v>
      </c>
      <c r="E800" s="59"/>
      <c r="F800" s="59"/>
      <c r="G800" s="59"/>
      <c r="H800" s="59"/>
      <c r="I800" s="59"/>
      <c r="J800" s="60">
        <f>AVERAGE(J798,J799)</f>
        <v>0.5</v>
      </c>
      <c r="K800" s="61"/>
    </row>
    <row r="801" spans="2:11" ht="16" x14ac:dyDescent="0.2">
      <c r="B801" s="57"/>
      <c r="C801" s="197" t="s">
        <v>41</v>
      </c>
      <c r="D801" s="59"/>
      <c r="E801" s="59"/>
      <c r="F801" s="59"/>
      <c r="G801" s="59"/>
      <c r="H801" s="59"/>
      <c r="I801" s="59"/>
      <c r="J801" s="60"/>
      <c r="K801" s="61"/>
    </row>
    <row r="802" spans="2:11" ht="16" x14ac:dyDescent="0.2">
      <c r="B802" s="57"/>
      <c r="C802" s="197"/>
      <c r="D802" s="59" t="s">
        <v>370</v>
      </c>
      <c r="E802" s="59"/>
      <c r="F802" s="59"/>
      <c r="G802" s="59"/>
      <c r="H802" s="59"/>
      <c r="I802" s="59"/>
      <c r="J802" s="60">
        <f>'Baseline At-Risk Pops'!H52</f>
        <v>0</v>
      </c>
      <c r="K802" s="61"/>
    </row>
    <row r="803" spans="2:11" x14ac:dyDescent="0.2">
      <c r="B803" s="57"/>
      <c r="C803" s="59"/>
      <c r="D803" s="59" t="s">
        <v>371</v>
      </c>
      <c r="E803" s="59"/>
      <c r="F803" s="59"/>
      <c r="G803" s="59"/>
      <c r="H803" s="59"/>
      <c r="I803" s="59"/>
      <c r="J803" s="60">
        <f>SUM(J724,J739,J754,J769)</f>
        <v>2</v>
      </c>
      <c r="K803" s="61"/>
    </row>
    <row r="804" spans="2:11" x14ac:dyDescent="0.2">
      <c r="B804" s="57"/>
      <c r="C804" s="59"/>
      <c r="D804" s="196" t="s">
        <v>372</v>
      </c>
      <c r="E804" s="59"/>
      <c r="F804" s="59"/>
      <c r="G804" s="59"/>
      <c r="H804" s="59"/>
      <c r="I804" s="59"/>
      <c r="J804" s="60">
        <f>AVERAGE(J802,J803)</f>
        <v>1</v>
      </c>
      <c r="K804" s="61"/>
    </row>
    <row r="805" spans="2:11" ht="16" x14ac:dyDescent="0.2">
      <c r="B805" s="57"/>
      <c r="C805" s="197" t="s">
        <v>43</v>
      </c>
      <c r="D805" s="59"/>
      <c r="E805" s="59"/>
      <c r="F805" s="59"/>
      <c r="G805" s="59"/>
      <c r="H805" s="59"/>
      <c r="I805" s="59"/>
      <c r="J805" s="60"/>
      <c r="K805" s="61"/>
    </row>
    <row r="806" spans="2:11" x14ac:dyDescent="0.2">
      <c r="B806" s="57"/>
      <c r="C806" s="59"/>
      <c r="D806" s="59" t="s">
        <v>370</v>
      </c>
      <c r="E806" s="59"/>
      <c r="F806" s="59"/>
      <c r="G806" s="59"/>
      <c r="H806" s="59"/>
      <c r="I806" s="59"/>
      <c r="J806" s="60">
        <f>'Baseline At-Risk Pops'!H58</f>
        <v>0</v>
      </c>
      <c r="K806" s="61"/>
    </row>
    <row r="807" spans="2:11" x14ac:dyDescent="0.2">
      <c r="B807" s="57"/>
      <c r="C807" s="59"/>
      <c r="D807" s="59" t="s">
        <v>371</v>
      </c>
      <c r="E807" s="59"/>
      <c r="F807" s="59"/>
      <c r="G807" s="59"/>
      <c r="H807" s="59"/>
      <c r="I807" s="59"/>
      <c r="J807" s="60">
        <f>SUM(J725,J740,J755,J770)</f>
        <v>1</v>
      </c>
      <c r="K807" s="61"/>
    </row>
    <row r="808" spans="2:11" x14ac:dyDescent="0.2">
      <c r="B808" s="57"/>
      <c r="C808" s="59"/>
      <c r="D808" s="196" t="s">
        <v>372</v>
      </c>
      <c r="E808" s="59"/>
      <c r="F808" s="59"/>
      <c r="G808" s="59"/>
      <c r="H808" s="59"/>
      <c r="I808" s="59"/>
      <c r="J808" s="60">
        <f>AVERAGE(J806,J807)</f>
        <v>0.5</v>
      </c>
      <c r="K808" s="61"/>
    </row>
    <row r="809" spans="2:11" x14ac:dyDescent="0.2">
      <c r="B809" s="57"/>
      <c r="C809" s="59"/>
      <c r="D809" s="59"/>
      <c r="E809" s="59"/>
      <c r="F809" s="59"/>
      <c r="G809" s="59"/>
      <c r="H809" s="59"/>
      <c r="I809" s="59"/>
      <c r="J809" s="59"/>
      <c r="K809" s="61"/>
    </row>
    <row r="810" spans="2:11" x14ac:dyDescent="0.2">
      <c r="B810" s="57"/>
      <c r="C810" s="59"/>
      <c r="D810" s="59"/>
      <c r="E810" s="59"/>
      <c r="F810" s="59"/>
      <c r="G810" s="59"/>
      <c r="H810" s="59"/>
      <c r="I810" s="59"/>
      <c r="J810" s="59"/>
      <c r="K810" s="61"/>
    </row>
    <row r="811" spans="2:11" ht="16" x14ac:dyDescent="0.2">
      <c r="B811" s="57"/>
      <c r="C811" s="198" t="s">
        <v>373</v>
      </c>
      <c r="D811" s="59"/>
      <c r="E811" s="59"/>
      <c r="F811" s="59"/>
      <c r="G811" s="59"/>
      <c r="H811" s="59"/>
      <c r="I811" s="59"/>
      <c r="J811" s="261">
        <f>AVERAGE(J776,J780,J784,J788,J792,J796,J800,J804,J808)</f>
        <v>0.83333333333333337</v>
      </c>
      <c r="K811" s="61"/>
    </row>
    <row r="812" spans="2:11" ht="16" thickBot="1" x14ac:dyDescent="0.25">
      <c r="B812" s="73"/>
      <c r="C812" s="74"/>
      <c r="D812" s="74"/>
      <c r="E812" s="74"/>
      <c r="F812" s="74"/>
      <c r="G812" s="74"/>
      <c r="H812" s="74"/>
      <c r="I812" s="74"/>
      <c r="J812" s="74"/>
      <c r="K812" s="76"/>
    </row>
    <row r="813" spans="2:11" ht="16" thickBot="1" x14ac:dyDescent="0.25"/>
    <row r="814" spans="2:11" x14ac:dyDescent="0.2">
      <c r="B814" s="199"/>
      <c r="C814" s="200"/>
      <c r="D814" s="200"/>
      <c r="E814" s="200"/>
      <c r="F814" s="200"/>
      <c r="G814" s="200"/>
      <c r="H814" s="200"/>
      <c r="I814" s="200"/>
      <c r="J814" s="200"/>
      <c r="K814" s="201"/>
    </row>
    <row r="815" spans="2:11" ht="21" x14ac:dyDescent="0.25">
      <c r="B815" s="202"/>
      <c r="C815" s="203"/>
      <c r="D815" s="203"/>
      <c r="E815" s="203"/>
      <c r="F815" s="203"/>
      <c r="G815" s="204" t="s">
        <v>233</v>
      </c>
      <c r="H815" s="203"/>
      <c r="I815" s="203"/>
      <c r="J815" s="203"/>
      <c r="K815" s="205"/>
    </row>
    <row r="816" spans="2:11" x14ac:dyDescent="0.2">
      <c r="B816" s="202"/>
      <c r="C816" s="203"/>
      <c r="D816" s="203"/>
      <c r="E816" s="203"/>
      <c r="F816" s="203"/>
      <c r="G816" s="203"/>
      <c r="H816" s="203"/>
      <c r="I816" s="203"/>
      <c r="J816" s="203"/>
      <c r="K816" s="205"/>
    </row>
    <row r="817" spans="2:11" ht="16" x14ac:dyDescent="0.2">
      <c r="B817" s="202"/>
      <c r="C817" s="206" t="s">
        <v>992</v>
      </c>
      <c r="D817" s="203"/>
      <c r="E817" s="203"/>
      <c r="F817" s="203"/>
      <c r="G817" s="203"/>
      <c r="H817" s="203"/>
      <c r="I817" s="203"/>
      <c r="J817" s="262" t="str">
        <f>IF(J700="Not Calculated","Not Calculated",J700*(($J$811/4)+1))</f>
        <v>Not Calculated</v>
      </c>
      <c r="K817" s="205"/>
    </row>
    <row r="818" spans="2:11" x14ac:dyDescent="0.2">
      <c r="B818" s="202"/>
      <c r="C818" s="203"/>
      <c r="D818" s="203" t="s">
        <v>1119</v>
      </c>
      <c r="E818" s="203"/>
      <c r="F818" s="203"/>
      <c r="G818" s="203"/>
      <c r="H818" s="203"/>
      <c r="I818" s="203"/>
      <c r="J818" s="203"/>
      <c r="K818" s="205"/>
    </row>
    <row r="819" spans="2:11" x14ac:dyDescent="0.2">
      <c r="B819" s="202"/>
      <c r="C819" s="203"/>
      <c r="D819" s="203"/>
      <c r="E819" s="203"/>
      <c r="F819" s="203"/>
      <c r="G819" s="203"/>
      <c r="H819" s="203"/>
      <c r="I819" s="203"/>
      <c r="J819" s="203"/>
      <c r="K819" s="205"/>
    </row>
    <row r="820" spans="2:11" ht="16" x14ac:dyDescent="0.2">
      <c r="B820" s="202"/>
      <c r="C820" s="206" t="s">
        <v>993</v>
      </c>
      <c r="D820" s="203"/>
      <c r="E820" s="203"/>
      <c r="F820" s="203"/>
      <c r="G820" s="203"/>
      <c r="H820" s="203"/>
      <c r="I820" s="203"/>
      <c r="J820" s="262" t="str">
        <f>IF(J703="Not Calculated","Not Calculated",J703*(($J$811/4)+1))</f>
        <v>Not Calculated</v>
      </c>
      <c r="K820" s="205"/>
    </row>
    <row r="821" spans="2:11" x14ac:dyDescent="0.2">
      <c r="B821" s="202"/>
      <c r="C821" s="203"/>
      <c r="D821" s="203" t="s">
        <v>1120</v>
      </c>
      <c r="E821" s="203"/>
      <c r="F821" s="203"/>
      <c r="G821" s="203"/>
      <c r="H821" s="203"/>
      <c r="I821" s="203"/>
      <c r="J821" s="203"/>
      <c r="K821" s="205"/>
    </row>
    <row r="822" spans="2:11" x14ac:dyDescent="0.2">
      <c r="B822" s="202"/>
      <c r="C822" s="203"/>
      <c r="D822" s="203"/>
      <c r="E822" s="203"/>
      <c r="F822" s="203"/>
      <c r="G822" s="203"/>
      <c r="H822" s="203"/>
      <c r="I822" s="203"/>
      <c r="J822" s="203"/>
      <c r="K822" s="205"/>
    </row>
    <row r="823" spans="2:11" ht="16" x14ac:dyDescent="0.2">
      <c r="B823" s="202"/>
      <c r="C823" s="206" t="s">
        <v>994</v>
      </c>
      <c r="D823" s="203"/>
      <c r="E823" s="203"/>
      <c r="F823" s="203"/>
      <c r="G823" s="203"/>
      <c r="H823" s="203"/>
      <c r="I823" s="203"/>
      <c r="J823" s="262" t="str">
        <f>IF(J706="Not Calculated","Not Calculated",J706*(($J$811/4)+1))</f>
        <v>Not Calculated</v>
      </c>
      <c r="K823" s="205"/>
    </row>
    <row r="824" spans="2:11" x14ac:dyDescent="0.2">
      <c r="B824" s="202"/>
      <c r="C824" s="203"/>
      <c r="D824" s="203" t="s">
        <v>1121</v>
      </c>
      <c r="E824" s="203"/>
      <c r="F824" s="203"/>
      <c r="G824" s="203"/>
      <c r="H824" s="203"/>
      <c r="I824" s="203"/>
      <c r="J824" s="203"/>
      <c r="K824" s="205"/>
    </row>
    <row r="825" spans="2:11" ht="16" thickBot="1" x14ac:dyDescent="0.25">
      <c r="B825" s="207"/>
      <c r="C825" s="208"/>
      <c r="D825" s="208"/>
      <c r="E825" s="208"/>
      <c r="F825" s="208"/>
      <c r="G825" s="208"/>
      <c r="H825" s="208"/>
      <c r="I825" s="208"/>
      <c r="J825" s="208"/>
      <c r="K825" s="209"/>
    </row>
    <row r="826" spans="2:11" ht="16" thickBot="1" x14ac:dyDescent="0.25"/>
    <row r="827" spans="2:11" x14ac:dyDescent="0.2">
      <c r="B827" s="77"/>
      <c r="C827" s="78"/>
      <c r="D827" s="78"/>
      <c r="E827" s="78"/>
      <c r="F827" s="78"/>
      <c r="G827" s="78"/>
      <c r="H827" s="78"/>
      <c r="I827" s="78"/>
      <c r="J827" s="78"/>
      <c r="K827" s="80"/>
    </row>
    <row r="828" spans="2:11" ht="21" x14ac:dyDescent="0.25">
      <c r="B828" s="81"/>
      <c r="C828" s="85"/>
      <c r="D828" s="85"/>
      <c r="E828" s="85"/>
      <c r="F828" s="85"/>
      <c r="G828" s="210" t="s">
        <v>806</v>
      </c>
      <c r="H828" s="85"/>
      <c r="I828" s="85"/>
      <c r="J828" s="85"/>
      <c r="K828" s="87"/>
    </row>
    <row r="829" spans="2:11" x14ac:dyDescent="0.2">
      <c r="B829" s="81"/>
      <c r="C829" s="85"/>
      <c r="D829" s="85"/>
      <c r="E829" s="85"/>
      <c r="F829" s="85"/>
      <c r="G829" s="85"/>
      <c r="H829" s="85"/>
      <c r="I829" s="85"/>
      <c r="J829" s="85"/>
      <c r="K829" s="87"/>
    </row>
    <row r="830" spans="2:11" ht="15" customHeight="1" x14ac:dyDescent="0.2">
      <c r="B830" s="81"/>
      <c r="C830" s="424" t="s">
        <v>808</v>
      </c>
      <c r="D830" s="424"/>
      <c r="E830" s="424"/>
      <c r="F830" s="424"/>
      <c r="G830" s="424"/>
      <c r="H830" s="424"/>
      <c r="I830" s="424"/>
      <c r="J830" s="424"/>
      <c r="K830" s="87"/>
    </row>
    <row r="831" spans="2:11" x14ac:dyDescent="0.2">
      <c r="B831" s="81"/>
      <c r="C831" s="424"/>
      <c r="D831" s="424"/>
      <c r="E831" s="424"/>
      <c r="F831" s="424"/>
      <c r="G831" s="424"/>
      <c r="H831" s="424"/>
      <c r="I831" s="424"/>
      <c r="J831" s="424"/>
      <c r="K831" s="87"/>
    </row>
    <row r="832" spans="2:11" x14ac:dyDescent="0.2">
      <c r="B832" s="81"/>
      <c r="C832" s="85"/>
      <c r="D832" s="85"/>
      <c r="E832" s="85"/>
      <c r="F832" s="85"/>
      <c r="G832" s="85"/>
      <c r="H832" s="85"/>
      <c r="I832" s="85"/>
      <c r="J832" s="85"/>
      <c r="K832" s="87"/>
    </row>
    <row r="833" spans="2:11" ht="16" x14ac:dyDescent="0.2">
      <c r="B833" s="81"/>
      <c r="C833" s="211" t="s">
        <v>654</v>
      </c>
      <c r="D833" s="85"/>
      <c r="E833" s="85"/>
      <c r="F833" s="85"/>
      <c r="G833" s="85"/>
      <c r="H833" s="85"/>
      <c r="I833" s="85"/>
      <c r="J833" s="85"/>
      <c r="K833" s="87"/>
    </row>
    <row r="834" spans="2:11" x14ac:dyDescent="0.2">
      <c r="B834" s="81"/>
      <c r="C834" s="85" t="s">
        <v>380</v>
      </c>
      <c r="D834" s="85"/>
      <c r="E834" s="85"/>
      <c r="F834" s="85"/>
      <c r="G834" s="406" t="s">
        <v>234</v>
      </c>
      <c r="H834" s="407"/>
      <c r="I834" s="85"/>
      <c r="J834" s="83">
        <f>IF(G834=$B$998,$A$998,IF(G834=$B$999,$A$999,IF(G834=$B$1000,$A$1000,IF(G834=$B$1001,$A$1001,IF(G834=$B$1002,$A$1002,"Not Calculated")))))</f>
        <v>4</v>
      </c>
      <c r="K834" s="87"/>
    </row>
    <row r="835" spans="2:11" x14ac:dyDescent="0.2">
      <c r="B835" s="81"/>
      <c r="C835" s="85" t="s">
        <v>134</v>
      </c>
      <c r="D835" s="85"/>
      <c r="E835" s="85"/>
      <c r="F835" s="85"/>
      <c r="G835" s="85"/>
      <c r="H835" s="85"/>
      <c r="I835" s="85"/>
      <c r="J835" s="240">
        <f>'Baseline PHP'!J16</f>
        <v>0</v>
      </c>
      <c r="K835" s="87"/>
    </row>
    <row r="836" spans="2:11" x14ac:dyDescent="0.2">
      <c r="B836" s="81"/>
      <c r="C836" s="85"/>
      <c r="D836" s="85"/>
      <c r="E836" s="85"/>
      <c r="F836" s="85"/>
      <c r="G836" s="85"/>
      <c r="H836" s="85"/>
      <c r="I836" s="85"/>
      <c r="J836" s="85"/>
      <c r="K836" s="87"/>
    </row>
    <row r="837" spans="2:11" ht="16" x14ac:dyDescent="0.2">
      <c r="B837" s="81"/>
      <c r="C837" s="211" t="s">
        <v>655</v>
      </c>
      <c r="D837" s="85"/>
      <c r="E837" s="85"/>
      <c r="F837" s="85"/>
      <c r="G837" s="85"/>
      <c r="H837" s="85"/>
      <c r="I837" s="85"/>
      <c r="J837" s="85"/>
      <c r="K837" s="87"/>
    </row>
    <row r="838" spans="2:11" x14ac:dyDescent="0.2">
      <c r="B838" s="81"/>
      <c r="C838" s="85" t="s">
        <v>380</v>
      </c>
      <c r="D838" s="85"/>
      <c r="E838" s="85"/>
      <c r="F838" s="85"/>
      <c r="G838" s="406" t="s">
        <v>234</v>
      </c>
      <c r="H838" s="407"/>
      <c r="I838" s="85"/>
      <c r="J838" s="83">
        <f>IF(G838=$B$998,$A$998,IF(G838=$B$999,$A$999,IF(G838=$B$1000,$A$1000,IF(G838=$B$1001,$A$1001,IF(G838=$B$1002,$A$1002,"Not Calculated")))))</f>
        <v>4</v>
      </c>
      <c r="K838" s="87"/>
    </row>
    <row r="839" spans="2:11" x14ac:dyDescent="0.2">
      <c r="B839" s="81"/>
      <c r="C839" s="85" t="s">
        <v>134</v>
      </c>
      <c r="D839" s="85"/>
      <c r="E839" s="85"/>
      <c r="F839" s="85"/>
      <c r="G839" s="85"/>
      <c r="H839" s="85"/>
      <c r="I839" s="85"/>
      <c r="J839" s="240">
        <f>'Baseline PHP'!J28</f>
        <v>0</v>
      </c>
      <c r="K839" s="87"/>
    </row>
    <row r="840" spans="2:11" x14ac:dyDescent="0.2">
      <c r="B840" s="81"/>
      <c r="C840" s="85"/>
      <c r="D840" s="85"/>
      <c r="E840" s="85"/>
      <c r="F840" s="85"/>
      <c r="G840" s="85"/>
      <c r="H840" s="85"/>
      <c r="I840" s="85"/>
      <c r="J840" s="85"/>
      <c r="K840" s="87"/>
    </row>
    <row r="841" spans="2:11" ht="16" x14ac:dyDescent="0.2">
      <c r="B841" s="81"/>
      <c r="C841" s="211" t="s">
        <v>645</v>
      </c>
      <c r="D841" s="85"/>
      <c r="E841" s="85"/>
      <c r="F841" s="85"/>
      <c r="G841" s="85"/>
      <c r="H841" s="85"/>
      <c r="I841" s="85"/>
      <c r="J841" s="85"/>
      <c r="K841" s="87"/>
    </row>
    <row r="842" spans="2:11" x14ac:dyDescent="0.2">
      <c r="B842" s="81"/>
      <c r="C842" s="85" t="s">
        <v>380</v>
      </c>
      <c r="D842" s="85"/>
      <c r="E842" s="85"/>
      <c r="F842" s="85"/>
      <c r="G842" s="406" t="s">
        <v>236</v>
      </c>
      <c r="H842" s="407"/>
      <c r="I842" s="85"/>
      <c r="J842" s="83">
        <f>IF(G842=$B$998,$A$998,IF(G842=$B$999,$A$999,IF(G842=$B$1000,$A$1000,IF(G842=$B$1001,$A$1001,IF(G842=$B$1002,$A$1002,"Not Calculated")))))</f>
        <v>0</v>
      </c>
      <c r="K842" s="87"/>
    </row>
    <row r="843" spans="2:11" x14ac:dyDescent="0.2">
      <c r="B843" s="81"/>
      <c r="C843" s="85" t="s">
        <v>134</v>
      </c>
      <c r="D843" s="85"/>
      <c r="E843" s="85"/>
      <c r="F843" s="85"/>
      <c r="G843" s="85"/>
      <c r="H843" s="85"/>
      <c r="I843" s="85"/>
      <c r="J843" s="240">
        <f>'Baseline PHP'!J44</f>
        <v>0</v>
      </c>
      <c r="K843" s="87"/>
    </row>
    <row r="844" spans="2:11" x14ac:dyDescent="0.2">
      <c r="B844" s="81"/>
      <c r="C844" s="85"/>
      <c r="D844" s="85"/>
      <c r="E844" s="85"/>
      <c r="F844" s="85"/>
      <c r="G844" s="85"/>
      <c r="H844" s="85"/>
      <c r="I844" s="85"/>
      <c r="J844" s="85"/>
      <c r="K844" s="87"/>
    </row>
    <row r="845" spans="2:11" ht="16" x14ac:dyDescent="0.2">
      <c r="B845" s="81"/>
      <c r="C845" s="211" t="s">
        <v>646</v>
      </c>
      <c r="D845" s="85"/>
      <c r="E845" s="85"/>
      <c r="F845" s="85"/>
      <c r="G845" s="85"/>
      <c r="H845" s="85"/>
      <c r="I845" s="85"/>
      <c r="J845" s="85"/>
      <c r="K845" s="87"/>
    </row>
    <row r="846" spans="2:11" x14ac:dyDescent="0.2">
      <c r="B846" s="81"/>
      <c r="C846" s="85" t="s">
        <v>380</v>
      </c>
      <c r="D846" s="85"/>
      <c r="E846" s="85"/>
      <c r="F846" s="85"/>
      <c r="G846" s="406" t="s">
        <v>238</v>
      </c>
      <c r="H846" s="407"/>
      <c r="I846" s="85"/>
      <c r="J846" s="83">
        <f>IF(G846=$B$998,$A$998,IF(G846=$B$999,$A$999,IF(G846=$B$1000,$A$1000,IF(G846=$B$1001,$A$1001,IF(G846=$B$1002,$A$1002,"Not Calculated")))))</f>
        <v>3</v>
      </c>
      <c r="K846" s="87"/>
    </row>
    <row r="847" spans="2:11" x14ac:dyDescent="0.2">
      <c r="B847" s="81"/>
      <c r="C847" s="85" t="s">
        <v>134</v>
      </c>
      <c r="D847" s="85"/>
      <c r="E847" s="85"/>
      <c r="F847" s="85"/>
      <c r="G847" s="85"/>
      <c r="H847" s="85"/>
      <c r="I847" s="85"/>
      <c r="J847" s="240">
        <f>'Baseline PHP'!J60</f>
        <v>0</v>
      </c>
      <c r="K847" s="87"/>
    </row>
    <row r="848" spans="2:11" x14ac:dyDescent="0.2">
      <c r="B848" s="81"/>
      <c r="C848" s="85"/>
      <c r="D848" s="85"/>
      <c r="E848" s="85"/>
      <c r="F848" s="85"/>
      <c r="G848" s="85"/>
      <c r="H848" s="85"/>
      <c r="I848" s="85"/>
      <c r="J848" s="85"/>
      <c r="K848" s="87"/>
    </row>
    <row r="849" spans="2:11" ht="16" x14ac:dyDescent="0.2">
      <c r="B849" s="81"/>
      <c r="C849" s="211" t="s">
        <v>648</v>
      </c>
      <c r="D849" s="85"/>
      <c r="E849" s="85"/>
      <c r="F849" s="85"/>
      <c r="G849" s="85"/>
      <c r="H849" s="85"/>
      <c r="I849" s="85"/>
      <c r="J849" s="85"/>
      <c r="K849" s="87"/>
    </row>
    <row r="850" spans="2:11" ht="15" customHeight="1" x14ac:dyDescent="0.2">
      <c r="B850" s="81"/>
      <c r="C850" s="85" t="s">
        <v>380</v>
      </c>
      <c r="D850" s="85"/>
      <c r="E850" s="85"/>
      <c r="F850" s="85"/>
      <c r="G850" s="406" t="s">
        <v>236</v>
      </c>
      <c r="H850" s="407"/>
      <c r="I850" s="85"/>
      <c r="J850" s="83">
        <f>IF(G850=$B$998,$A$998,IF(G850=$B$999,$A$999,IF(G850=$B$1000,$A$1000,IF(G850=$B$1001,$A$1001,IF(G850=$B$1002,$A$1002,"Not Calculated")))))</f>
        <v>0</v>
      </c>
      <c r="K850" s="87"/>
    </row>
    <row r="851" spans="2:11" x14ac:dyDescent="0.2">
      <c r="B851" s="81"/>
      <c r="C851" s="85" t="s">
        <v>134</v>
      </c>
      <c r="D851" s="85"/>
      <c r="E851" s="85"/>
      <c r="F851" s="85"/>
      <c r="G851" s="85"/>
      <c r="H851" s="85"/>
      <c r="I851" s="85"/>
      <c r="J851" s="240">
        <f>'Baseline PHP'!J76</f>
        <v>0</v>
      </c>
      <c r="K851" s="87"/>
    </row>
    <row r="852" spans="2:11" x14ac:dyDescent="0.2">
      <c r="B852" s="81"/>
      <c r="C852" s="85"/>
      <c r="D852" s="85"/>
      <c r="E852" s="85"/>
      <c r="F852" s="85"/>
      <c r="G852" s="85"/>
      <c r="H852" s="85"/>
      <c r="I852" s="85"/>
      <c r="J852" s="85"/>
      <c r="K852" s="87"/>
    </row>
    <row r="853" spans="2:11" ht="16" x14ac:dyDescent="0.2">
      <c r="B853" s="81"/>
      <c r="C853" s="211" t="s">
        <v>647</v>
      </c>
      <c r="D853" s="85"/>
      <c r="E853" s="85"/>
      <c r="F853" s="85"/>
      <c r="G853" s="85"/>
      <c r="H853" s="85"/>
      <c r="I853" s="85"/>
      <c r="J853" s="85"/>
      <c r="K853" s="87"/>
    </row>
    <row r="854" spans="2:11" x14ac:dyDescent="0.2">
      <c r="B854" s="81"/>
      <c r="C854" s="85" t="s">
        <v>380</v>
      </c>
      <c r="D854" s="85"/>
      <c r="E854" s="85"/>
      <c r="F854" s="85"/>
      <c r="G854" s="406" t="s">
        <v>238</v>
      </c>
      <c r="H854" s="407"/>
      <c r="I854" s="85"/>
      <c r="J854" s="83">
        <f>IF(G854=$B$998,$A$998,IF(G854=$B$999,$A$999,IF(G854=$B$1000,$A$1000,IF(G854=$B$1001,$A$1001,IF(G854=$B$1002,$A$1002,"Not Calculated")))))</f>
        <v>3</v>
      </c>
      <c r="K854" s="87"/>
    </row>
    <row r="855" spans="2:11" x14ac:dyDescent="0.2">
      <c r="B855" s="81"/>
      <c r="C855" s="85" t="s">
        <v>134</v>
      </c>
      <c r="D855" s="85"/>
      <c r="E855" s="85"/>
      <c r="F855" s="85"/>
      <c r="G855" s="85"/>
      <c r="H855" s="85"/>
      <c r="I855" s="85"/>
      <c r="J855" s="240">
        <f>'Baseline PHP'!J88</f>
        <v>0</v>
      </c>
      <c r="K855" s="87"/>
    </row>
    <row r="856" spans="2:11" x14ac:dyDescent="0.2">
      <c r="B856" s="81"/>
      <c r="C856" s="85"/>
      <c r="D856" s="85"/>
      <c r="E856" s="85"/>
      <c r="F856" s="85"/>
      <c r="G856" s="85"/>
      <c r="H856" s="85"/>
      <c r="I856" s="85"/>
      <c r="J856" s="85"/>
      <c r="K856" s="87"/>
    </row>
    <row r="857" spans="2:11" ht="16" x14ac:dyDescent="0.2">
      <c r="B857" s="81"/>
      <c r="C857" s="211" t="s">
        <v>115</v>
      </c>
      <c r="D857" s="85"/>
      <c r="E857" s="85"/>
      <c r="F857" s="85"/>
      <c r="G857" s="85"/>
      <c r="H857" s="85"/>
      <c r="I857" s="85"/>
      <c r="J857" s="85"/>
      <c r="K857" s="87"/>
    </row>
    <row r="858" spans="2:11" x14ac:dyDescent="0.2">
      <c r="B858" s="81"/>
      <c r="C858" s="85" t="s">
        <v>380</v>
      </c>
      <c r="D858" s="85"/>
      <c r="E858" s="85"/>
      <c r="F858" s="85"/>
      <c r="G858" s="406" t="s">
        <v>236</v>
      </c>
      <c r="H858" s="407"/>
      <c r="I858" s="85"/>
      <c r="J858" s="83">
        <f>IF(G858=$B$998,$A$998,IF(G858=$B$999,$A$999,IF(G858=$B$1000,$A$1000,IF(G858=$B$1001,$A$1001,IF(G858=$B$1002,$A$1002,"Not Calculated")))))</f>
        <v>0</v>
      </c>
      <c r="K858" s="87"/>
    </row>
    <row r="859" spans="2:11" x14ac:dyDescent="0.2">
      <c r="B859" s="81"/>
      <c r="C859" s="85" t="s">
        <v>134</v>
      </c>
      <c r="D859" s="85"/>
      <c r="E859" s="85"/>
      <c r="F859" s="85"/>
      <c r="G859" s="85"/>
      <c r="H859" s="85"/>
      <c r="I859" s="85"/>
      <c r="J859" s="240">
        <f>'Baseline PHP'!J102</f>
        <v>0</v>
      </c>
      <c r="K859" s="87"/>
    </row>
    <row r="860" spans="2:11" x14ac:dyDescent="0.2">
      <c r="B860" s="81"/>
      <c r="C860" s="85"/>
      <c r="D860" s="85"/>
      <c r="E860" s="85"/>
      <c r="F860" s="85"/>
      <c r="G860" s="85"/>
      <c r="H860" s="85"/>
      <c r="I860" s="85"/>
      <c r="J860" s="85"/>
      <c r="K860" s="87"/>
    </row>
    <row r="861" spans="2:11" ht="16" x14ac:dyDescent="0.2">
      <c r="B861" s="81"/>
      <c r="C861" s="211" t="s">
        <v>649</v>
      </c>
      <c r="D861" s="85"/>
      <c r="E861" s="85"/>
      <c r="F861" s="85"/>
      <c r="G861" s="85"/>
      <c r="H861" s="85"/>
      <c r="I861" s="85"/>
      <c r="J861" s="85"/>
      <c r="K861" s="87"/>
    </row>
    <row r="862" spans="2:11" x14ac:dyDescent="0.2">
      <c r="B862" s="81"/>
      <c r="C862" s="85" t="s">
        <v>380</v>
      </c>
      <c r="D862" s="85"/>
      <c r="E862" s="85"/>
      <c r="F862" s="85"/>
      <c r="G862" s="406" t="s">
        <v>236</v>
      </c>
      <c r="H862" s="407"/>
      <c r="I862" s="85"/>
      <c r="J862" s="83">
        <f>IF(G862=$B$998,$A$998,IF(G862=$B$999,$A$999,IF(G862=$B$1000,$A$1000,IF(G862=$B$1001,$A$1001,IF(G862=$B$1002,$A$1002,"Not Calculated")))))</f>
        <v>0</v>
      </c>
      <c r="K862" s="87"/>
    </row>
    <row r="863" spans="2:11" x14ac:dyDescent="0.2">
      <c r="B863" s="81"/>
      <c r="C863" s="85" t="s">
        <v>134</v>
      </c>
      <c r="D863" s="85"/>
      <c r="E863" s="85"/>
      <c r="F863" s="85"/>
      <c r="G863" s="85"/>
      <c r="H863" s="85"/>
      <c r="I863" s="85"/>
      <c r="J863" s="240">
        <f>'Baseline PHP'!J118</f>
        <v>0</v>
      </c>
      <c r="K863" s="87"/>
    </row>
    <row r="864" spans="2:11" x14ac:dyDescent="0.2">
      <c r="B864" s="81"/>
      <c r="C864" s="85"/>
      <c r="D864" s="85"/>
      <c r="E864" s="85"/>
      <c r="F864" s="85"/>
      <c r="G864" s="85"/>
      <c r="H864" s="85"/>
      <c r="I864" s="85"/>
      <c r="J864" s="85"/>
      <c r="K864" s="87"/>
    </row>
    <row r="865" spans="2:11" ht="16" x14ac:dyDescent="0.2">
      <c r="B865" s="81"/>
      <c r="C865" s="211" t="s">
        <v>656</v>
      </c>
      <c r="D865" s="85"/>
      <c r="E865" s="85"/>
      <c r="F865" s="85"/>
      <c r="G865" s="85"/>
      <c r="H865" s="85"/>
      <c r="I865" s="85"/>
      <c r="J865" s="85"/>
      <c r="K865" s="87"/>
    </row>
    <row r="866" spans="2:11" x14ac:dyDescent="0.2">
      <c r="B866" s="81"/>
      <c r="C866" s="85" t="s">
        <v>380</v>
      </c>
      <c r="D866" s="85"/>
      <c r="E866" s="85"/>
      <c r="F866" s="85"/>
      <c r="G866" s="406" t="s">
        <v>236</v>
      </c>
      <c r="H866" s="407"/>
      <c r="I866" s="85"/>
      <c r="J866" s="83">
        <f>IF(G866=$B$998,$A$998,IF(G866=$B$999,$A$999,IF(G866=$B$1000,$A$1000,IF(G866=$B$1001,$A$1001,IF(G866=$B$1002,$A$1002,"Not Calculated")))))</f>
        <v>0</v>
      </c>
      <c r="K866" s="87"/>
    </row>
    <row r="867" spans="2:11" x14ac:dyDescent="0.2">
      <c r="B867" s="81"/>
      <c r="C867" s="85" t="s">
        <v>134</v>
      </c>
      <c r="D867" s="85"/>
      <c r="E867" s="85"/>
      <c r="F867" s="85"/>
      <c r="G867" s="85"/>
      <c r="H867" s="85"/>
      <c r="I867" s="85"/>
      <c r="J867" s="240">
        <f>'Baseline PHP'!J136</f>
        <v>0</v>
      </c>
      <c r="K867" s="87"/>
    </row>
    <row r="868" spans="2:11" x14ac:dyDescent="0.2">
      <c r="B868" s="81"/>
      <c r="C868" s="85"/>
      <c r="D868" s="85"/>
      <c r="E868" s="85"/>
      <c r="F868" s="85"/>
      <c r="G868" s="85"/>
      <c r="H868" s="85"/>
      <c r="I868" s="85"/>
      <c r="J868" s="85"/>
      <c r="K868" s="87"/>
    </row>
    <row r="869" spans="2:11" ht="16" x14ac:dyDescent="0.2">
      <c r="B869" s="81"/>
      <c r="C869" s="211" t="s">
        <v>121</v>
      </c>
      <c r="D869" s="85"/>
      <c r="E869" s="85"/>
      <c r="F869" s="85"/>
      <c r="G869" s="85"/>
      <c r="H869" s="85"/>
      <c r="I869" s="85"/>
      <c r="J869" s="85"/>
      <c r="K869" s="87"/>
    </row>
    <row r="870" spans="2:11" x14ac:dyDescent="0.2">
      <c r="B870" s="81"/>
      <c r="C870" s="85" t="s">
        <v>380</v>
      </c>
      <c r="D870" s="85"/>
      <c r="E870" s="85"/>
      <c r="F870" s="85"/>
      <c r="G870" s="406" t="s">
        <v>236</v>
      </c>
      <c r="H870" s="407"/>
      <c r="I870" s="85"/>
      <c r="J870" s="83">
        <f>IF(G870=$B$998,$A$998,IF(G870=$B$999,$A$999,IF(G870=$B$1000,$A$1000,IF(G870=$B$1001,$A$1001,IF(G870=$B$1002,$A$1002,"Not Calculated")))))</f>
        <v>0</v>
      </c>
      <c r="K870" s="87"/>
    </row>
    <row r="871" spans="2:11" x14ac:dyDescent="0.2">
      <c r="B871" s="81"/>
      <c r="C871" s="85" t="s">
        <v>134</v>
      </c>
      <c r="D871" s="85"/>
      <c r="E871" s="85"/>
      <c r="F871" s="85"/>
      <c r="G871" s="85"/>
      <c r="H871" s="85"/>
      <c r="I871" s="85"/>
      <c r="J871" s="240">
        <f>'Baseline PHP'!J150</f>
        <v>0</v>
      </c>
      <c r="K871" s="87"/>
    </row>
    <row r="872" spans="2:11" x14ac:dyDescent="0.2">
      <c r="B872" s="81"/>
      <c r="C872" s="85"/>
      <c r="D872" s="85"/>
      <c r="E872" s="85"/>
      <c r="F872" s="85"/>
      <c r="G872" s="85"/>
      <c r="H872" s="85"/>
      <c r="I872" s="85"/>
      <c r="J872" s="85"/>
      <c r="K872" s="87"/>
    </row>
    <row r="873" spans="2:11" ht="16" x14ac:dyDescent="0.2">
      <c r="B873" s="81"/>
      <c r="C873" s="211" t="s">
        <v>657</v>
      </c>
      <c r="D873" s="85"/>
      <c r="E873" s="85"/>
      <c r="F873" s="85"/>
      <c r="G873" s="85"/>
      <c r="H873" s="85"/>
      <c r="I873" s="85"/>
      <c r="J873" s="85"/>
      <c r="K873" s="87"/>
    </row>
    <row r="874" spans="2:11" x14ac:dyDescent="0.2">
      <c r="B874" s="81"/>
      <c r="C874" s="85" t="s">
        <v>380</v>
      </c>
      <c r="D874" s="85"/>
      <c r="E874" s="85"/>
      <c r="F874" s="85"/>
      <c r="G874" s="406" t="s">
        <v>236</v>
      </c>
      <c r="H874" s="407"/>
      <c r="I874" s="85"/>
      <c r="J874" s="83">
        <f>IF(G874=$B$998,$A$998,IF(G874=$B$999,$A$999,IF(G874=$B$1000,$A$1000,IF(G874=$B$1001,$A$1001,IF(G874=$B$1002,$A$1002,"Not Calculated")))))</f>
        <v>0</v>
      </c>
      <c r="K874" s="87"/>
    </row>
    <row r="875" spans="2:11" x14ac:dyDescent="0.2">
      <c r="B875" s="81"/>
      <c r="C875" s="85" t="s">
        <v>134</v>
      </c>
      <c r="D875" s="85"/>
      <c r="E875" s="85"/>
      <c r="F875" s="85"/>
      <c r="G875" s="85"/>
      <c r="H875" s="85"/>
      <c r="I875" s="85"/>
      <c r="J875" s="240">
        <f>'Baseline PHP'!J164</f>
        <v>0</v>
      </c>
      <c r="K875" s="87"/>
    </row>
    <row r="876" spans="2:11" x14ac:dyDescent="0.2">
      <c r="B876" s="81"/>
      <c r="C876" s="85"/>
      <c r="D876" s="85"/>
      <c r="E876" s="85"/>
      <c r="F876" s="85"/>
      <c r="G876" s="85"/>
      <c r="H876" s="85"/>
      <c r="I876" s="85"/>
      <c r="J876" s="85"/>
      <c r="K876" s="87"/>
    </row>
    <row r="877" spans="2:11" ht="16" x14ac:dyDescent="0.2">
      <c r="B877" s="81"/>
      <c r="C877" s="211" t="s">
        <v>650</v>
      </c>
      <c r="D877" s="85"/>
      <c r="E877" s="85"/>
      <c r="F877" s="85"/>
      <c r="G877" s="85"/>
      <c r="H877" s="85"/>
      <c r="I877" s="85"/>
      <c r="J877" s="85"/>
      <c r="K877" s="87"/>
    </row>
    <row r="878" spans="2:11" x14ac:dyDescent="0.2">
      <c r="B878" s="81"/>
      <c r="C878" s="85" t="s">
        <v>380</v>
      </c>
      <c r="D878" s="85"/>
      <c r="E878" s="85"/>
      <c r="F878" s="85"/>
      <c r="G878" s="406" t="s">
        <v>236</v>
      </c>
      <c r="H878" s="407"/>
      <c r="I878" s="85"/>
      <c r="J878" s="83">
        <f>IF(G878=$B$998,$A$998,IF(G878=$B$999,$A$999,IF(G878=$B$1000,$A$1000,IF(G878=$B$1001,$A$1001,IF(G878=$B$1002,$A$1002,"Not Calculated")))))</f>
        <v>0</v>
      </c>
      <c r="K878" s="87"/>
    </row>
    <row r="879" spans="2:11" x14ac:dyDescent="0.2">
      <c r="B879" s="81"/>
      <c r="C879" s="85" t="s">
        <v>134</v>
      </c>
      <c r="D879" s="85"/>
      <c r="E879" s="85"/>
      <c r="F879" s="85"/>
      <c r="G879" s="85"/>
      <c r="H879" s="85"/>
      <c r="I879" s="85"/>
      <c r="J879" s="240">
        <f>'Baseline PHP'!J180</f>
        <v>0</v>
      </c>
      <c r="K879" s="87"/>
    </row>
    <row r="880" spans="2:11" x14ac:dyDescent="0.2">
      <c r="B880" s="81"/>
      <c r="C880" s="85"/>
      <c r="D880" s="85"/>
      <c r="E880" s="85"/>
      <c r="F880" s="85"/>
      <c r="G880" s="85"/>
      <c r="H880" s="85"/>
      <c r="I880" s="85"/>
      <c r="J880" s="85"/>
      <c r="K880" s="87"/>
    </row>
    <row r="881" spans="2:11" ht="16" x14ac:dyDescent="0.2">
      <c r="B881" s="81"/>
      <c r="C881" s="211" t="s">
        <v>651</v>
      </c>
      <c r="D881" s="85"/>
      <c r="E881" s="85"/>
      <c r="F881" s="85"/>
      <c r="G881" s="85"/>
      <c r="H881" s="85"/>
      <c r="I881" s="85"/>
      <c r="J881" s="85"/>
      <c r="K881" s="87"/>
    </row>
    <row r="882" spans="2:11" x14ac:dyDescent="0.2">
      <c r="B882" s="81"/>
      <c r="C882" s="85" t="s">
        <v>380</v>
      </c>
      <c r="D882" s="85"/>
      <c r="E882" s="85"/>
      <c r="F882" s="85"/>
      <c r="G882" s="406" t="s">
        <v>238</v>
      </c>
      <c r="H882" s="407"/>
      <c r="I882" s="85"/>
      <c r="J882" s="83">
        <f>IF(G882=$B$998,$A$998,IF(G882=$B$999,$A$999,IF(G882=$B$1000,$A$1000,IF(G882=$B$1001,$A$1001,IF(G882=$B$1002,$A$1002,"Not Calculated")))))</f>
        <v>3</v>
      </c>
      <c r="K882" s="87"/>
    </row>
    <row r="883" spans="2:11" x14ac:dyDescent="0.2">
      <c r="B883" s="81"/>
      <c r="C883" s="85" t="s">
        <v>134</v>
      </c>
      <c r="D883" s="85"/>
      <c r="E883" s="85"/>
      <c r="F883" s="85"/>
      <c r="G883" s="85"/>
      <c r="H883" s="85"/>
      <c r="I883" s="85"/>
      <c r="J883" s="240">
        <f>'Baseline PHP'!J194</f>
        <v>0</v>
      </c>
      <c r="K883" s="87"/>
    </row>
    <row r="884" spans="2:11" x14ac:dyDescent="0.2">
      <c r="B884" s="81"/>
      <c r="C884" s="85"/>
      <c r="D884" s="85"/>
      <c r="E884" s="85"/>
      <c r="F884" s="85"/>
      <c r="G884" s="85"/>
      <c r="H884" s="85"/>
      <c r="I884" s="85"/>
      <c r="J884" s="85"/>
      <c r="K884" s="87"/>
    </row>
    <row r="885" spans="2:11" ht="16" x14ac:dyDescent="0.2">
      <c r="B885" s="81"/>
      <c r="C885" s="211" t="s">
        <v>652</v>
      </c>
      <c r="D885" s="85"/>
      <c r="E885" s="85"/>
      <c r="F885" s="85"/>
      <c r="G885" s="85"/>
      <c r="H885" s="85"/>
      <c r="I885" s="85"/>
      <c r="J885" s="85"/>
      <c r="K885" s="87"/>
    </row>
    <row r="886" spans="2:11" x14ac:dyDescent="0.2">
      <c r="B886" s="81"/>
      <c r="C886" s="85" t="s">
        <v>380</v>
      </c>
      <c r="D886" s="85"/>
      <c r="E886" s="85"/>
      <c r="F886" s="85"/>
      <c r="G886" s="406" t="s">
        <v>236</v>
      </c>
      <c r="H886" s="407"/>
      <c r="I886" s="85"/>
      <c r="J886" s="83">
        <f>IF(G886=$B$998,$A$998,IF(G886=$B$999,$A$999,IF(G886=$B$1000,$A$1000,IF(G886=$B$1001,$A$1001,IF(G886=$B$1002,$A$1002,"Not Calculated")))))</f>
        <v>0</v>
      </c>
      <c r="K886" s="87"/>
    </row>
    <row r="887" spans="2:11" x14ac:dyDescent="0.2">
      <c r="B887" s="81"/>
      <c r="C887" s="85" t="s">
        <v>134</v>
      </c>
      <c r="D887" s="85"/>
      <c r="E887" s="85"/>
      <c r="F887" s="85"/>
      <c r="G887" s="85"/>
      <c r="H887" s="85"/>
      <c r="I887" s="85"/>
      <c r="J887" s="240">
        <f>'Baseline PHP'!J208</f>
        <v>0</v>
      </c>
      <c r="K887" s="87"/>
    </row>
    <row r="888" spans="2:11" x14ac:dyDescent="0.2">
      <c r="B888" s="81"/>
      <c r="C888" s="85"/>
      <c r="D888" s="85"/>
      <c r="E888" s="85"/>
      <c r="F888" s="85"/>
      <c r="G888" s="85"/>
      <c r="H888" s="85"/>
      <c r="I888" s="85"/>
      <c r="J888" s="85"/>
      <c r="K888" s="87"/>
    </row>
    <row r="889" spans="2:11" ht="16" x14ac:dyDescent="0.2">
      <c r="B889" s="81"/>
      <c r="C889" s="211" t="s">
        <v>653</v>
      </c>
      <c r="D889" s="85"/>
      <c r="E889" s="85"/>
      <c r="F889" s="85"/>
      <c r="G889" s="85"/>
      <c r="H889" s="85"/>
      <c r="I889" s="85"/>
      <c r="J889" s="85"/>
      <c r="K889" s="87"/>
    </row>
    <row r="890" spans="2:11" x14ac:dyDescent="0.2">
      <c r="B890" s="81"/>
      <c r="C890" s="85" t="s">
        <v>380</v>
      </c>
      <c r="D890" s="85"/>
      <c r="E890" s="85"/>
      <c r="F890" s="85"/>
      <c r="G890" s="406" t="s">
        <v>236</v>
      </c>
      <c r="H890" s="407"/>
      <c r="I890" s="85"/>
      <c r="J890" s="83">
        <f>IF(G890=$B$998,$A$998,IF(G890=$B$999,$A$999,IF(G890=$B$1000,$A$1000,IF(G890=$B$1001,$A$1001,IF(G890=$B$1002,$A$1002,"Not Calculated")))))</f>
        <v>0</v>
      </c>
      <c r="K890" s="87"/>
    </row>
    <row r="891" spans="2:11" x14ac:dyDescent="0.2">
      <c r="B891" s="81"/>
      <c r="C891" s="85" t="s">
        <v>134</v>
      </c>
      <c r="D891" s="85"/>
      <c r="E891" s="85"/>
      <c r="F891" s="85"/>
      <c r="G891" s="85"/>
      <c r="H891" s="85"/>
      <c r="I891" s="85"/>
      <c r="J891" s="240">
        <f>'Baseline PHP'!J222</f>
        <v>0</v>
      </c>
      <c r="K891" s="87"/>
    </row>
    <row r="892" spans="2:11" x14ac:dyDescent="0.2">
      <c r="B892" s="81"/>
      <c r="C892" s="85"/>
      <c r="D892" s="85"/>
      <c r="E892" s="85"/>
      <c r="F892" s="85"/>
      <c r="G892" s="85"/>
      <c r="H892" s="85"/>
      <c r="I892" s="85"/>
      <c r="J892" s="85"/>
      <c r="K892" s="87"/>
    </row>
    <row r="893" spans="2:11" x14ac:dyDescent="0.2">
      <c r="B893" s="81"/>
      <c r="C893" s="85"/>
      <c r="D893" s="85"/>
      <c r="E893" s="85"/>
      <c r="F893" s="85"/>
      <c r="G893" s="85"/>
      <c r="H893" s="85"/>
      <c r="I893" s="85"/>
      <c r="J893" s="85"/>
      <c r="K893" s="87"/>
    </row>
    <row r="894" spans="2:11" ht="16" x14ac:dyDescent="0.2">
      <c r="B894" s="81"/>
      <c r="C894" s="212" t="s">
        <v>813</v>
      </c>
      <c r="D894" s="85"/>
      <c r="E894" s="85"/>
      <c r="F894" s="85"/>
      <c r="G894" s="85"/>
      <c r="H894" s="85"/>
      <c r="I894" s="85"/>
      <c r="J894" s="241">
        <f>IF(OR(J854="Not Calculated",J858="Not Calculated",J862="Not Calculated",J866="Not Calculated",J870="Not Calculated",J874="Not Calculated",J878="Not Calculated",J882="Not Calculated",J886="Not Calculated",J890="Not Calculated",J834="Not Calculated",J838="Not Calculated",J842="Not Calculated",J846="Not Calculated",J850="Not Calculated",J855="Not Calculated",J859="Not Calculated",J863="Not Calculated",J867="Not Calculated",J871="Not Calculated",J875="Not Calculated",J879="Not Calculated",J883="Not Calculated",J887="Not Calculated",J891="Not Calculated",J835="Not Calculated",J839="Not Calculated",J843="Not Calculated",J847="Not Calculated",J851="Not Calculated")=TRUE,"Not Calculated",((J834*J835)+(J838*J839)+(J842*J843)+(J846*J847)+(J850*J851)+(J854*J855)+(J858*J859)+(J862*J863)+(J866*J867)+(J870*J871)+(J874*J875)+(J878*J879)+(J882*J883)+(J886*J887)+(J890*J891))/(J834+J838+J842+J846+J850+J854+J858+J862+J866+J870+J874+J878+J882+J886+J890))</f>
        <v>0</v>
      </c>
      <c r="K894" s="87"/>
    </row>
    <row r="895" spans="2:11" ht="16" thickBot="1" x14ac:dyDescent="0.25">
      <c r="B895" s="213"/>
      <c r="C895" s="94"/>
      <c r="D895" s="94"/>
      <c r="E895" s="94"/>
      <c r="F895" s="94"/>
      <c r="G895" s="94"/>
      <c r="H895" s="94"/>
      <c r="I895" s="94"/>
      <c r="J895" s="94"/>
      <c r="K895" s="96"/>
    </row>
    <row r="896" spans="2:11" ht="16" thickBot="1" x14ac:dyDescent="0.25"/>
    <row r="897" spans="2:11" x14ac:dyDescent="0.2">
      <c r="B897" s="77"/>
      <c r="C897" s="78"/>
      <c r="D897" s="78"/>
      <c r="E897" s="78"/>
      <c r="F897" s="78"/>
      <c r="G897" s="78"/>
      <c r="H897" s="78"/>
      <c r="I897" s="78"/>
      <c r="J897" s="78"/>
      <c r="K897" s="80"/>
    </row>
    <row r="898" spans="2:11" ht="21" x14ac:dyDescent="0.25">
      <c r="B898" s="81"/>
      <c r="C898" s="85"/>
      <c r="D898" s="85"/>
      <c r="E898" s="85"/>
      <c r="F898" s="85"/>
      <c r="G898" s="210" t="s">
        <v>807</v>
      </c>
      <c r="H898" s="85"/>
      <c r="I898" s="85"/>
      <c r="J898" s="85"/>
      <c r="K898" s="87"/>
    </row>
    <row r="899" spans="2:11" x14ac:dyDescent="0.2">
      <c r="B899" s="81"/>
      <c r="C899" s="85"/>
      <c r="D899" s="85"/>
      <c r="E899" s="85"/>
      <c r="F899" s="85"/>
      <c r="G899" s="85"/>
      <c r="H899" s="85"/>
      <c r="I899" s="85"/>
      <c r="J899" s="85"/>
      <c r="K899" s="87"/>
    </row>
    <row r="900" spans="2:11" ht="15" customHeight="1" x14ac:dyDescent="0.2">
      <c r="B900" s="81"/>
      <c r="C900" s="424" t="s">
        <v>809</v>
      </c>
      <c r="D900" s="424"/>
      <c r="E900" s="424"/>
      <c r="F900" s="424"/>
      <c r="G900" s="424"/>
      <c r="H900" s="424"/>
      <c r="I900" s="424"/>
      <c r="J900" s="424"/>
      <c r="K900" s="87"/>
    </row>
    <row r="901" spans="2:11" x14ac:dyDescent="0.2">
      <c r="B901" s="81"/>
      <c r="C901" s="424"/>
      <c r="D901" s="424"/>
      <c r="E901" s="424"/>
      <c r="F901" s="424"/>
      <c r="G901" s="424"/>
      <c r="H901" s="424"/>
      <c r="I901" s="424"/>
      <c r="J901" s="424"/>
      <c r="K901" s="87"/>
    </row>
    <row r="902" spans="2:11" x14ac:dyDescent="0.2">
      <c r="B902" s="81"/>
      <c r="C902" s="85"/>
      <c r="D902" s="85"/>
      <c r="E902" s="85"/>
      <c r="F902" s="85"/>
      <c r="G902" s="85"/>
      <c r="H902" s="85"/>
      <c r="I902" s="85"/>
      <c r="J902" s="85"/>
      <c r="K902" s="87"/>
    </row>
    <row r="903" spans="2:11" ht="16" x14ac:dyDescent="0.2">
      <c r="B903" s="81"/>
      <c r="C903" s="211" t="s">
        <v>810</v>
      </c>
      <c r="D903" s="85"/>
      <c r="E903" s="85"/>
      <c r="F903" s="85"/>
      <c r="G903" s="85"/>
      <c r="H903" s="85"/>
      <c r="I903" s="85"/>
      <c r="J903" s="85"/>
      <c r="K903" s="87"/>
    </row>
    <row r="904" spans="2:11" x14ac:dyDescent="0.2">
      <c r="B904" s="81"/>
      <c r="C904" s="85" t="s">
        <v>380</v>
      </c>
      <c r="D904" s="85"/>
      <c r="E904" s="85"/>
      <c r="F904" s="85"/>
      <c r="G904" s="406" t="s">
        <v>234</v>
      </c>
      <c r="H904" s="407"/>
      <c r="I904" s="85"/>
      <c r="J904" s="83">
        <f>IF(G904=$B$998,$A$998,IF(G904=$B$999,$A$999,IF(G904=$B$1000,$A$1000,IF(G904=$B$1001,$A$1001,IF(G904=$B$1002,$A$1002,"Not Calculated")))))</f>
        <v>4</v>
      </c>
      <c r="K904" s="87"/>
    </row>
    <row r="905" spans="2:11" x14ac:dyDescent="0.2">
      <c r="B905" s="81"/>
      <c r="C905" s="85" t="s">
        <v>134</v>
      </c>
      <c r="D905" s="85"/>
      <c r="E905" s="85"/>
      <c r="F905" s="85"/>
      <c r="G905" s="85"/>
      <c r="H905" s="85"/>
      <c r="I905" s="85"/>
      <c r="J905" s="240">
        <f>'Baseline HP'!J22</f>
        <v>0</v>
      </c>
      <c r="K905" s="87"/>
    </row>
    <row r="906" spans="2:11" x14ac:dyDescent="0.2">
      <c r="B906" s="81"/>
      <c r="C906" s="85"/>
      <c r="D906" s="85"/>
      <c r="E906" s="85"/>
      <c r="F906" s="85"/>
      <c r="G906" s="85"/>
      <c r="H906" s="85"/>
      <c r="I906" s="85"/>
      <c r="J906" s="85"/>
      <c r="K906" s="87"/>
    </row>
    <row r="907" spans="2:11" ht="16" x14ac:dyDescent="0.2">
      <c r="B907" s="81"/>
      <c r="C907" s="211" t="s">
        <v>811</v>
      </c>
      <c r="D907" s="85"/>
      <c r="E907" s="85"/>
      <c r="F907" s="85"/>
      <c r="G907" s="85"/>
      <c r="H907" s="85"/>
      <c r="I907" s="85"/>
      <c r="J907" s="85"/>
      <c r="K907" s="87"/>
    </row>
    <row r="908" spans="2:11" x14ac:dyDescent="0.2">
      <c r="B908" s="81"/>
      <c r="C908" s="85" t="s">
        <v>380</v>
      </c>
      <c r="D908" s="85"/>
      <c r="E908" s="85"/>
      <c r="F908" s="85"/>
      <c r="G908" s="406" t="s">
        <v>234</v>
      </c>
      <c r="H908" s="407"/>
      <c r="I908" s="85"/>
      <c r="J908" s="83">
        <f>IF(G908=$B$998,$A$998,IF(G908=$B$999,$A$999,IF(G908=$B$1000,$A$1000,IF(G908=$B$1001,$A$1001,IF(G908=$B$1002,$A$1002,"Not Calculated")))))</f>
        <v>4</v>
      </c>
      <c r="K908" s="87"/>
    </row>
    <row r="909" spans="2:11" x14ac:dyDescent="0.2">
      <c r="B909" s="81"/>
      <c r="C909" s="85" t="s">
        <v>134</v>
      </c>
      <c r="D909" s="85"/>
      <c r="E909" s="85"/>
      <c r="F909" s="85"/>
      <c r="G909" s="85"/>
      <c r="H909" s="85"/>
      <c r="I909" s="85"/>
      <c r="J909" s="240">
        <f>'Baseline HP'!J32</f>
        <v>0</v>
      </c>
      <c r="K909" s="87"/>
    </row>
    <row r="910" spans="2:11" x14ac:dyDescent="0.2">
      <c r="B910" s="81"/>
      <c r="C910" s="85"/>
      <c r="D910" s="85"/>
      <c r="E910" s="85"/>
      <c r="F910" s="85"/>
      <c r="G910" s="85"/>
      <c r="H910" s="85"/>
      <c r="I910" s="85"/>
      <c r="J910" s="85"/>
      <c r="K910" s="87"/>
    </row>
    <row r="911" spans="2:11" ht="16" x14ac:dyDescent="0.2">
      <c r="B911" s="81"/>
      <c r="C911" s="211" t="s">
        <v>645</v>
      </c>
      <c r="D911" s="85"/>
      <c r="E911" s="85"/>
      <c r="F911" s="85"/>
      <c r="G911" s="85"/>
      <c r="H911" s="85"/>
      <c r="I911" s="85"/>
      <c r="J911" s="85"/>
      <c r="K911" s="87"/>
    </row>
    <row r="912" spans="2:11" x14ac:dyDescent="0.2">
      <c r="B912" s="81"/>
      <c r="C912" s="85" t="s">
        <v>380</v>
      </c>
      <c r="D912" s="85"/>
      <c r="E912" s="85"/>
      <c r="F912" s="85"/>
      <c r="G912" s="406" t="s">
        <v>236</v>
      </c>
      <c r="H912" s="407"/>
      <c r="I912" s="85"/>
      <c r="J912" s="83">
        <f>IF(G912=$B$998,$A$998,IF(G912=$B$999,$A$999,IF(G912=$B$1000,$A$1000,IF(G912=$B$1001,$A$1001,IF(G912=$B$1002,$A$1002,"Not Calculated")))))</f>
        <v>0</v>
      </c>
      <c r="K912" s="87"/>
    </row>
    <row r="913" spans="2:11" x14ac:dyDescent="0.2">
      <c r="B913" s="81"/>
      <c r="C913" s="85" t="s">
        <v>134</v>
      </c>
      <c r="D913" s="85"/>
      <c r="E913" s="85"/>
      <c r="F913" s="85"/>
      <c r="G913" s="85"/>
      <c r="H913" s="85"/>
      <c r="I913" s="85"/>
      <c r="J913" s="240">
        <f>'Baseline HP'!J46</f>
        <v>0</v>
      </c>
      <c r="K913" s="87"/>
    </row>
    <row r="914" spans="2:11" x14ac:dyDescent="0.2">
      <c r="B914" s="81"/>
      <c r="C914" s="85"/>
      <c r="D914" s="85"/>
      <c r="E914" s="85"/>
      <c r="F914" s="85"/>
      <c r="G914" s="85"/>
      <c r="H914" s="85"/>
      <c r="I914" s="85"/>
      <c r="J914" s="85"/>
      <c r="K914" s="87"/>
    </row>
    <row r="915" spans="2:11" ht="16" x14ac:dyDescent="0.2">
      <c r="B915" s="81"/>
      <c r="C915" s="211" t="s">
        <v>648</v>
      </c>
      <c r="D915" s="85"/>
      <c r="E915" s="85"/>
      <c r="F915" s="85"/>
      <c r="G915" s="85"/>
      <c r="H915" s="85"/>
      <c r="I915" s="85"/>
      <c r="J915" s="85"/>
      <c r="K915" s="87"/>
    </row>
    <row r="916" spans="2:11" ht="15" customHeight="1" x14ac:dyDescent="0.2">
      <c r="B916" s="81"/>
      <c r="C916" s="85" t="s">
        <v>380</v>
      </c>
      <c r="D916" s="85"/>
      <c r="E916" s="85"/>
      <c r="F916" s="85"/>
      <c r="G916" s="406" t="s">
        <v>236</v>
      </c>
      <c r="H916" s="407"/>
      <c r="I916" s="85"/>
      <c r="J916" s="83">
        <f>IF(G916=$B$998,$A$998,IF(G916=$B$999,$A$999,IF(G916=$B$1000,$A$1000,IF(G916=$B$1001,$A$1001,IF(G916=$B$1002,$A$1002,"Not Calculated")))))</f>
        <v>0</v>
      </c>
      <c r="K916" s="87"/>
    </row>
    <row r="917" spans="2:11" x14ac:dyDescent="0.2">
      <c r="B917" s="81"/>
      <c r="C917" s="85" t="s">
        <v>134</v>
      </c>
      <c r="D917" s="85"/>
      <c r="E917" s="85"/>
      <c r="F917" s="85"/>
      <c r="G917" s="85"/>
      <c r="H917" s="85"/>
      <c r="I917" s="85"/>
      <c r="J917" s="240">
        <f>'Baseline HP'!J58</f>
        <v>0</v>
      </c>
      <c r="K917" s="87"/>
    </row>
    <row r="918" spans="2:11" x14ac:dyDescent="0.2">
      <c r="B918" s="81"/>
      <c r="C918" s="85"/>
      <c r="D918" s="85"/>
      <c r="E918" s="85"/>
      <c r="F918" s="85"/>
      <c r="G918" s="85"/>
      <c r="H918" s="85"/>
      <c r="I918" s="85"/>
      <c r="J918" s="85"/>
      <c r="K918" s="87"/>
    </row>
    <row r="919" spans="2:11" ht="16" x14ac:dyDescent="0.2">
      <c r="B919" s="81"/>
      <c r="C919" s="211" t="s">
        <v>647</v>
      </c>
      <c r="D919" s="85"/>
      <c r="E919" s="85"/>
      <c r="F919" s="85"/>
      <c r="G919" s="85"/>
      <c r="H919" s="85"/>
      <c r="I919" s="85"/>
      <c r="J919" s="85"/>
      <c r="K919" s="87"/>
    </row>
    <row r="920" spans="2:11" x14ac:dyDescent="0.2">
      <c r="B920" s="81"/>
      <c r="C920" s="85" t="s">
        <v>380</v>
      </c>
      <c r="D920" s="85"/>
      <c r="E920" s="85"/>
      <c r="F920" s="85"/>
      <c r="G920" s="406" t="s">
        <v>238</v>
      </c>
      <c r="H920" s="407"/>
      <c r="I920" s="85"/>
      <c r="J920" s="83">
        <f>IF(G920=$B$998,$A$998,IF(G920=$B$999,$A$999,IF(G920=$B$1000,$A$1000,IF(G920=$B$1001,$A$1001,IF(G920=$B$1002,$A$1002,"Not Calculated")))))</f>
        <v>3</v>
      </c>
      <c r="K920" s="87"/>
    </row>
    <row r="921" spans="2:11" x14ac:dyDescent="0.2">
      <c r="B921" s="81"/>
      <c r="C921" s="85" t="s">
        <v>134</v>
      </c>
      <c r="D921" s="85"/>
      <c r="E921" s="85"/>
      <c r="F921" s="85"/>
      <c r="G921" s="85"/>
      <c r="H921" s="85"/>
      <c r="I921" s="85"/>
      <c r="J921" s="240">
        <f>'Baseline HP'!J68</f>
        <v>0</v>
      </c>
      <c r="K921" s="87"/>
    </row>
    <row r="922" spans="2:11" x14ac:dyDescent="0.2">
      <c r="B922" s="81"/>
      <c r="C922" s="85"/>
      <c r="D922" s="85"/>
      <c r="E922" s="85"/>
      <c r="F922" s="85"/>
      <c r="G922" s="85"/>
      <c r="H922" s="85"/>
      <c r="I922" s="85"/>
      <c r="J922" s="85"/>
      <c r="K922" s="87"/>
    </row>
    <row r="923" spans="2:11" ht="16" x14ac:dyDescent="0.2">
      <c r="B923" s="81"/>
      <c r="C923" s="211" t="s">
        <v>121</v>
      </c>
      <c r="D923" s="85"/>
      <c r="E923" s="85"/>
      <c r="F923" s="85"/>
      <c r="G923" s="85"/>
      <c r="H923" s="85"/>
      <c r="I923" s="85"/>
      <c r="J923" s="85"/>
      <c r="K923" s="87"/>
    </row>
    <row r="924" spans="2:11" x14ac:dyDescent="0.2">
      <c r="B924" s="81"/>
      <c r="C924" s="85" t="s">
        <v>380</v>
      </c>
      <c r="D924" s="85"/>
      <c r="E924" s="85"/>
      <c r="F924" s="85"/>
      <c r="G924" s="406" t="s">
        <v>236</v>
      </c>
      <c r="H924" s="407"/>
      <c r="I924" s="85"/>
      <c r="J924" s="83">
        <f>IF(G924=$B$998,$A$998,IF(G924=$B$999,$A$999,IF(G924=$B$1000,$A$1000,IF(G924=$B$1001,$A$1001,IF(G924=$B$1002,$A$1002,"Not Calculated")))))</f>
        <v>0</v>
      </c>
      <c r="K924" s="87"/>
    </row>
    <row r="925" spans="2:11" x14ac:dyDescent="0.2">
      <c r="B925" s="81"/>
      <c r="C925" s="85" t="s">
        <v>134</v>
      </c>
      <c r="D925" s="85"/>
      <c r="E925" s="85"/>
      <c r="F925" s="85"/>
      <c r="G925" s="85"/>
      <c r="H925" s="85"/>
      <c r="I925" s="85"/>
      <c r="J925" s="240">
        <f>'Baseline HP'!J84</f>
        <v>0</v>
      </c>
      <c r="K925" s="87"/>
    </row>
    <row r="926" spans="2:11" x14ac:dyDescent="0.2">
      <c r="B926" s="81"/>
      <c r="C926" s="85"/>
      <c r="D926" s="85"/>
      <c r="E926" s="85"/>
      <c r="F926" s="85"/>
      <c r="G926" s="85"/>
      <c r="H926" s="85"/>
      <c r="I926" s="85"/>
      <c r="J926" s="85"/>
      <c r="K926" s="87"/>
    </row>
    <row r="927" spans="2:11" ht="16" x14ac:dyDescent="0.2">
      <c r="B927" s="81"/>
      <c r="C927" s="211" t="s">
        <v>652</v>
      </c>
      <c r="D927" s="85"/>
      <c r="E927" s="85"/>
      <c r="F927" s="85"/>
      <c r="G927" s="85"/>
      <c r="H927" s="85"/>
      <c r="I927" s="85"/>
      <c r="J927" s="85"/>
      <c r="K927" s="87"/>
    </row>
    <row r="928" spans="2:11" x14ac:dyDescent="0.2">
      <c r="B928" s="81"/>
      <c r="C928" s="85" t="s">
        <v>380</v>
      </c>
      <c r="D928" s="85"/>
      <c r="E928" s="85"/>
      <c r="F928" s="85"/>
      <c r="G928" s="406" t="s">
        <v>236</v>
      </c>
      <c r="H928" s="407"/>
      <c r="I928" s="85"/>
      <c r="J928" s="83">
        <f>IF(G928=$B$998,$A$998,IF(G928=$B$999,$A$999,IF(G928=$B$1000,$A$1000,IF(G928=$B$1001,$A$1001,IF(G928=$B$1002,$A$1002,"Not Calculated")))))</f>
        <v>0</v>
      </c>
      <c r="K928" s="87"/>
    </row>
    <row r="929" spans="2:11" x14ac:dyDescent="0.2">
      <c r="B929" s="81"/>
      <c r="C929" s="85" t="s">
        <v>134</v>
      </c>
      <c r="D929" s="85"/>
      <c r="E929" s="85"/>
      <c r="F929" s="85"/>
      <c r="G929" s="85"/>
      <c r="H929" s="85"/>
      <c r="I929" s="85"/>
      <c r="J929" s="240">
        <f>'Baseline HP'!J94</f>
        <v>0</v>
      </c>
      <c r="K929" s="87"/>
    </row>
    <row r="930" spans="2:11" x14ac:dyDescent="0.2">
      <c r="B930" s="81"/>
      <c r="C930" s="85"/>
      <c r="D930" s="85"/>
      <c r="E930" s="85"/>
      <c r="F930" s="85"/>
      <c r="G930" s="85"/>
      <c r="H930" s="85"/>
      <c r="I930" s="85"/>
      <c r="J930" s="85"/>
      <c r="K930" s="87"/>
    </row>
    <row r="931" spans="2:11" ht="16" x14ac:dyDescent="0.2">
      <c r="B931" s="81"/>
      <c r="C931" s="211" t="s">
        <v>653</v>
      </c>
      <c r="D931" s="85"/>
      <c r="E931" s="85"/>
      <c r="F931" s="85"/>
      <c r="G931" s="85"/>
      <c r="H931" s="85"/>
      <c r="I931" s="85"/>
      <c r="J931" s="85"/>
      <c r="K931" s="87"/>
    </row>
    <row r="932" spans="2:11" x14ac:dyDescent="0.2">
      <c r="B932" s="81"/>
      <c r="C932" s="85" t="s">
        <v>380</v>
      </c>
      <c r="D932" s="85"/>
      <c r="E932" s="85"/>
      <c r="F932" s="85"/>
      <c r="G932" s="406" t="s">
        <v>236</v>
      </c>
      <c r="H932" s="407"/>
      <c r="I932" s="85"/>
      <c r="J932" s="83">
        <f>IF(G932=$B$998,$A$998,IF(G932=$B$999,$A$999,IF(G932=$B$1000,$A$1000,IF(G932=$B$1001,$A$1001,IF(G932=$B$1002,$A$1002,"Not Calculated")))))</f>
        <v>0</v>
      </c>
      <c r="K932" s="87"/>
    </row>
    <row r="933" spans="2:11" x14ac:dyDescent="0.2">
      <c r="B933" s="81"/>
      <c r="C933" s="85" t="s">
        <v>134</v>
      </c>
      <c r="D933" s="85"/>
      <c r="E933" s="85"/>
      <c r="F933" s="85"/>
      <c r="G933" s="85"/>
      <c r="H933" s="85"/>
      <c r="I933" s="85"/>
      <c r="J933" s="240">
        <f>'Baseline HP'!J108</f>
        <v>0</v>
      </c>
      <c r="K933" s="87"/>
    </row>
    <row r="934" spans="2:11" x14ac:dyDescent="0.2">
      <c r="B934" s="81"/>
      <c r="C934" s="85"/>
      <c r="D934" s="85"/>
      <c r="E934" s="85"/>
      <c r="F934" s="85"/>
      <c r="G934" s="85"/>
      <c r="H934" s="85"/>
      <c r="I934" s="85"/>
      <c r="J934" s="85"/>
      <c r="K934" s="87"/>
    </row>
    <row r="935" spans="2:11" x14ac:dyDescent="0.2">
      <c r="B935" s="81"/>
      <c r="C935" s="85"/>
      <c r="D935" s="85"/>
      <c r="E935" s="85"/>
      <c r="F935" s="85"/>
      <c r="G935" s="85"/>
      <c r="H935" s="85"/>
      <c r="I935" s="85"/>
      <c r="J935" s="85"/>
      <c r="K935" s="87"/>
    </row>
    <row r="936" spans="2:11" ht="16" x14ac:dyDescent="0.2">
      <c r="B936" s="81"/>
      <c r="C936" s="212" t="s">
        <v>812</v>
      </c>
      <c r="D936" s="85"/>
      <c r="E936" s="85"/>
      <c r="F936" s="85"/>
      <c r="G936" s="85"/>
      <c r="H936" s="85"/>
      <c r="I936" s="85"/>
      <c r="J936" s="241">
        <f>IF(OR(J920="Not Calculated",J924="Not Calculated",J928="Not Calculated",J932="Not Calculated",J904="Not Calculated",J908="Not Calculated",J912="Not Calculated",J916="Not Calculated",J921="Not Calculated",J925="Not Calculated",J929="Not Calculated",J933="Not Calculated",J905="Not Calculated",J909="Not Calculated",J913="Not Calculated",J917="Not Calculated")=TRUE,"Not Calculated",((J904*J905)+(J908*J909)+(J912*J913)+(J916*J917)+(J920*J921)+(J924*J925)+(J928*J929)+(J932*J933))/(J904+J908+J912+J916+J920+J924+J928+J932))</f>
        <v>0</v>
      </c>
      <c r="K936" s="87"/>
    </row>
    <row r="937" spans="2:11" ht="16" thickBot="1" x14ac:dyDescent="0.25">
      <c r="B937" s="213"/>
      <c r="C937" s="94"/>
      <c r="D937" s="94"/>
      <c r="E937" s="94"/>
      <c r="F937" s="94"/>
      <c r="G937" s="94"/>
      <c r="H937" s="94"/>
      <c r="I937" s="94"/>
      <c r="J937" s="94"/>
      <c r="K937" s="96"/>
    </row>
    <row r="938" spans="2:11" ht="16" thickBot="1" x14ac:dyDescent="0.25"/>
    <row r="939" spans="2:11" x14ac:dyDescent="0.2">
      <c r="B939" s="77"/>
      <c r="C939" s="78"/>
      <c r="D939" s="78"/>
      <c r="E939" s="78"/>
      <c r="F939" s="78"/>
      <c r="G939" s="78"/>
      <c r="H939" s="78"/>
      <c r="I939" s="78"/>
      <c r="J939" s="78"/>
      <c r="K939" s="80"/>
    </row>
    <row r="940" spans="2:11" ht="21" x14ac:dyDescent="0.25">
      <c r="B940" s="81"/>
      <c r="C940" s="85"/>
      <c r="D940" s="85"/>
      <c r="E940" s="85"/>
      <c r="F940" s="85"/>
      <c r="G940" s="210" t="s">
        <v>815</v>
      </c>
      <c r="H940" s="85"/>
      <c r="I940" s="85"/>
      <c r="J940" s="85"/>
      <c r="K940" s="87"/>
    </row>
    <row r="941" spans="2:11" ht="21" x14ac:dyDescent="0.25">
      <c r="B941" s="81"/>
      <c r="C941" s="85"/>
      <c r="D941" s="85"/>
      <c r="E941" s="85"/>
      <c r="F941" s="85"/>
      <c r="G941" s="210"/>
      <c r="H941" s="85"/>
      <c r="I941" s="85"/>
      <c r="J941" s="85"/>
      <c r="K941" s="87"/>
    </row>
    <row r="942" spans="2:11" ht="16" x14ac:dyDescent="0.2">
      <c r="B942" s="81"/>
      <c r="C942" s="212" t="s">
        <v>995</v>
      </c>
      <c r="D942" s="85"/>
      <c r="E942" s="85"/>
      <c r="F942" s="85"/>
      <c r="G942" s="85"/>
      <c r="H942" s="85"/>
      <c r="I942" s="85"/>
      <c r="J942" s="241">
        <f>IF(OR(J936="Not Calculated",J894="Not Calculated")=TRUE,"Not Calculated",AVERAGE(J936,J894))</f>
        <v>0</v>
      </c>
      <c r="K942" s="87"/>
    </row>
    <row r="943" spans="2:11" ht="16" x14ac:dyDescent="0.2">
      <c r="B943" s="81"/>
      <c r="C943" s="212"/>
      <c r="D943" s="85" t="s">
        <v>814</v>
      </c>
      <c r="E943" s="85"/>
      <c r="F943" s="85"/>
      <c r="G943" s="85"/>
      <c r="H943" s="85"/>
      <c r="I943" s="85"/>
      <c r="J943" s="241"/>
      <c r="K943" s="87"/>
    </row>
    <row r="944" spans="2:11" ht="17" thickBot="1" x14ac:dyDescent="0.25">
      <c r="B944" s="213"/>
      <c r="C944" s="227"/>
      <c r="D944" s="94"/>
      <c r="E944" s="94"/>
      <c r="F944" s="94"/>
      <c r="G944" s="94"/>
      <c r="H944" s="94"/>
      <c r="I944" s="94"/>
      <c r="J944" s="228"/>
      <c r="K944" s="96"/>
    </row>
    <row r="945" spans="2:11" ht="16" thickBot="1" x14ac:dyDescent="0.25"/>
    <row r="946" spans="2:11" x14ac:dyDescent="0.2">
      <c r="B946" s="214"/>
      <c r="C946" s="215"/>
      <c r="D946" s="215"/>
      <c r="E946" s="215"/>
      <c r="F946" s="215"/>
      <c r="G946" s="215"/>
      <c r="H946" s="215"/>
      <c r="I946" s="215"/>
      <c r="J946" s="215"/>
      <c r="K946" s="216"/>
    </row>
    <row r="947" spans="2:11" ht="21" x14ac:dyDescent="0.25">
      <c r="B947" s="217"/>
      <c r="C947" s="218"/>
      <c r="D947" s="218"/>
      <c r="E947" s="218"/>
      <c r="F947" s="218"/>
      <c r="G947" s="219" t="s">
        <v>239</v>
      </c>
      <c r="H947" s="218"/>
      <c r="I947" s="218"/>
      <c r="J947" s="218"/>
      <c r="K947" s="220"/>
    </row>
    <row r="948" spans="2:11" x14ac:dyDescent="0.2">
      <c r="B948" s="217"/>
      <c r="C948" s="218"/>
      <c r="D948" s="218"/>
      <c r="E948" s="218"/>
      <c r="F948" s="218"/>
      <c r="G948" s="218"/>
      <c r="H948" s="218"/>
      <c r="I948" s="218"/>
      <c r="J948" s="218"/>
      <c r="K948" s="220"/>
    </row>
    <row r="949" spans="2:11" ht="16" x14ac:dyDescent="0.2">
      <c r="B949" s="217"/>
      <c r="C949" s="221" t="s">
        <v>393</v>
      </c>
      <c r="D949" s="218"/>
      <c r="E949" s="218"/>
      <c r="F949" s="218"/>
      <c r="G949" s="218"/>
      <c r="H949" s="218"/>
      <c r="I949" s="218"/>
      <c r="J949" s="242" t="str">
        <f>IF(OR(J817="Not Calculated",J942="Not Calculated")=TRUE,"Not Calculated",J817/J942)</f>
        <v>Not Calculated</v>
      </c>
      <c r="K949" s="220"/>
    </row>
    <row r="950" spans="2:11" x14ac:dyDescent="0.2">
      <c r="B950" s="217"/>
      <c r="C950" s="218"/>
      <c r="D950" s="218" t="s">
        <v>816</v>
      </c>
      <c r="E950" s="218"/>
      <c r="F950" s="218"/>
      <c r="G950" s="218"/>
      <c r="H950" s="218"/>
      <c r="I950" s="218"/>
      <c r="J950" s="218"/>
      <c r="K950" s="220"/>
    </row>
    <row r="951" spans="2:11" x14ac:dyDescent="0.2">
      <c r="B951" s="217"/>
      <c r="C951" s="218"/>
      <c r="D951" s="218"/>
      <c r="E951" s="218"/>
      <c r="F951" s="218"/>
      <c r="G951" s="218"/>
      <c r="H951" s="218"/>
      <c r="I951" s="218"/>
      <c r="J951" s="218"/>
      <c r="K951" s="220"/>
    </row>
    <row r="952" spans="2:11" ht="16" x14ac:dyDescent="0.2">
      <c r="B952" s="217"/>
      <c r="C952" s="221" t="s">
        <v>996</v>
      </c>
      <c r="D952" s="218"/>
      <c r="E952" s="218"/>
      <c r="F952" s="218"/>
      <c r="G952" s="218"/>
      <c r="H952" s="218"/>
      <c r="I952" s="218"/>
      <c r="J952" s="242" t="str">
        <f>IF(OR(J820="Not Calculated",J894="Not Calculated")=TRUE,"Not Calculated",J820/J894)</f>
        <v>Not Calculated</v>
      </c>
      <c r="K952" s="220"/>
    </row>
    <row r="953" spans="2:11" x14ac:dyDescent="0.2">
      <c r="B953" s="217"/>
      <c r="C953" s="218"/>
      <c r="D953" s="218" t="s">
        <v>817</v>
      </c>
      <c r="E953" s="218"/>
      <c r="F953" s="218"/>
      <c r="G953" s="218"/>
      <c r="H953" s="218"/>
      <c r="I953" s="218"/>
      <c r="J953" s="218"/>
      <c r="K953" s="220"/>
    </row>
    <row r="954" spans="2:11" x14ac:dyDescent="0.2">
      <c r="B954" s="217"/>
      <c r="C954" s="218"/>
      <c r="D954" s="218"/>
      <c r="E954" s="218"/>
      <c r="F954" s="218"/>
      <c r="G954" s="218"/>
      <c r="H954" s="218"/>
      <c r="I954" s="218"/>
      <c r="J954" s="218"/>
      <c r="K954" s="220"/>
    </row>
    <row r="955" spans="2:11" ht="16" x14ac:dyDescent="0.2">
      <c r="B955" s="217"/>
      <c r="C955" s="221" t="s">
        <v>997</v>
      </c>
      <c r="D955" s="218"/>
      <c r="E955" s="218"/>
      <c r="F955" s="218"/>
      <c r="G955" s="218"/>
      <c r="H955" s="218"/>
      <c r="I955" s="218"/>
      <c r="J955" s="242" t="str">
        <f>IF(OR(J936="Not Calculated",J823="Not Calculated")=TRUE,"Not Calculated",J823/J936)</f>
        <v>Not Calculated</v>
      </c>
      <c r="K955" s="220"/>
    </row>
    <row r="956" spans="2:11" x14ac:dyDescent="0.2">
      <c r="B956" s="217"/>
      <c r="C956" s="218"/>
      <c r="D956" s="218" t="s">
        <v>818</v>
      </c>
      <c r="E956" s="218"/>
      <c r="F956" s="218"/>
      <c r="G956" s="218"/>
      <c r="H956" s="218"/>
      <c r="I956" s="218"/>
      <c r="J956" s="218"/>
      <c r="K956" s="220"/>
    </row>
    <row r="957" spans="2:11" ht="16" thickBot="1" x14ac:dyDescent="0.25">
      <c r="B957" s="222"/>
      <c r="C957" s="223"/>
      <c r="D957" s="223"/>
      <c r="E957" s="223"/>
      <c r="F957" s="223"/>
      <c r="G957" s="223"/>
      <c r="H957" s="223"/>
      <c r="I957" s="223"/>
      <c r="J957" s="223"/>
      <c r="K957" s="224"/>
    </row>
    <row r="959" spans="2:11" ht="15" customHeight="1" x14ac:dyDescent="0.2">
      <c r="F959" s="405"/>
      <c r="G959" s="405"/>
      <c r="H959" s="405"/>
    </row>
    <row r="960" spans="2:11" x14ac:dyDescent="0.2">
      <c r="F960" s="405"/>
      <c r="G960" s="405"/>
      <c r="H960" s="405"/>
    </row>
    <row r="965" spans="1:3" ht="15" hidden="1" customHeight="1" x14ac:dyDescent="0.2">
      <c r="A965" s="12" t="s">
        <v>228</v>
      </c>
    </row>
    <row r="966" spans="1:3" ht="15" hidden="1" customHeight="1" x14ac:dyDescent="0.2">
      <c r="A966" s="12">
        <v>0</v>
      </c>
      <c r="B966" s="12" t="s">
        <v>250</v>
      </c>
      <c r="C966" s="12" t="s">
        <v>240</v>
      </c>
    </row>
    <row r="967" spans="1:3" ht="15" hidden="1" customHeight="1" x14ac:dyDescent="0.2">
      <c r="A967" s="12">
        <v>1</v>
      </c>
      <c r="B967" s="12" t="s">
        <v>251</v>
      </c>
      <c r="C967" s="12" t="s">
        <v>241</v>
      </c>
    </row>
    <row r="968" spans="1:3" ht="15" hidden="1" customHeight="1" x14ac:dyDescent="0.2">
      <c r="A968" s="12">
        <v>2</v>
      </c>
      <c r="B968" s="12" t="s">
        <v>252</v>
      </c>
      <c r="C968" s="12" t="s">
        <v>242</v>
      </c>
    </row>
    <row r="969" spans="1:3" ht="15" hidden="1" customHeight="1" x14ac:dyDescent="0.2">
      <c r="A969" s="12">
        <v>3</v>
      </c>
      <c r="B969" s="12" t="s">
        <v>253</v>
      </c>
      <c r="C969" s="12" t="s">
        <v>227</v>
      </c>
    </row>
    <row r="970" spans="1:3" ht="15" hidden="1" customHeight="1" x14ac:dyDescent="0.2">
      <c r="A970" s="12">
        <v>4</v>
      </c>
      <c r="B970" s="12" t="s">
        <v>254</v>
      </c>
      <c r="C970" s="12" t="s">
        <v>243</v>
      </c>
    </row>
    <row r="971" spans="1:3" ht="15" hidden="1" customHeight="1" x14ac:dyDescent="0.2"/>
    <row r="972" spans="1:3" ht="15" hidden="1" customHeight="1" x14ac:dyDescent="0.2">
      <c r="A972" s="12" t="s">
        <v>259</v>
      </c>
    </row>
    <row r="973" spans="1:3" ht="15" hidden="1" customHeight="1" x14ac:dyDescent="0.2">
      <c r="A973" s="12">
        <v>0</v>
      </c>
      <c r="B973" s="225" t="s">
        <v>870</v>
      </c>
    </row>
    <row r="974" spans="1:3" ht="15" hidden="1" customHeight="1" x14ac:dyDescent="0.2">
      <c r="A974" s="12">
        <v>1</v>
      </c>
      <c r="B974" s="12" t="s">
        <v>880</v>
      </c>
    </row>
    <row r="975" spans="1:3" ht="15" hidden="1" customHeight="1" x14ac:dyDescent="0.2">
      <c r="A975" s="12">
        <v>2</v>
      </c>
      <c r="B975" s="12" t="s">
        <v>872</v>
      </c>
    </row>
    <row r="976" spans="1:3" ht="15" hidden="1" customHeight="1" x14ac:dyDescent="0.2">
      <c r="A976" s="12">
        <v>3</v>
      </c>
      <c r="B976" s="12" t="s">
        <v>873</v>
      </c>
    </row>
    <row r="977" spans="1:2" ht="15" hidden="1" customHeight="1" x14ac:dyDescent="0.2">
      <c r="A977" s="12">
        <v>4</v>
      </c>
      <c r="B977" s="12" t="s">
        <v>874</v>
      </c>
    </row>
    <row r="978" spans="1:2" ht="15" hidden="1" customHeight="1" x14ac:dyDescent="0.2"/>
    <row r="979" spans="1:2" ht="15" hidden="1" customHeight="1" x14ac:dyDescent="0.2">
      <c r="A979" s="12" t="s">
        <v>294</v>
      </c>
    </row>
    <row r="980" spans="1:2" ht="15" hidden="1" customHeight="1" x14ac:dyDescent="0.2">
      <c r="A980" s="12">
        <v>0</v>
      </c>
      <c r="B980" s="225" t="s">
        <v>870</v>
      </c>
    </row>
    <row r="981" spans="1:2" ht="15" hidden="1" customHeight="1" x14ac:dyDescent="0.2">
      <c r="A981" s="12">
        <v>1</v>
      </c>
      <c r="B981" s="12" t="s">
        <v>875</v>
      </c>
    </row>
    <row r="982" spans="1:2" ht="15" hidden="1" customHeight="1" x14ac:dyDescent="0.2">
      <c r="A982" s="12">
        <v>2</v>
      </c>
      <c r="B982" s="12" t="s">
        <v>876</v>
      </c>
    </row>
    <row r="983" spans="1:2" ht="15" hidden="1" customHeight="1" x14ac:dyDescent="0.2">
      <c r="A983" s="12">
        <v>3</v>
      </c>
      <c r="B983" s="12" t="s">
        <v>877</v>
      </c>
    </row>
    <row r="984" spans="1:2" ht="15" hidden="1" customHeight="1" x14ac:dyDescent="0.2">
      <c r="A984" s="12">
        <v>4</v>
      </c>
      <c r="B984" s="12" t="s">
        <v>878</v>
      </c>
    </row>
    <row r="985" spans="1:2" ht="15" hidden="1" customHeight="1" x14ac:dyDescent="0.2"/>
    <row r="986" spans="1:2" ht="15" hidden="1" customHeight="1" x14ac:dyDescent="0.2">
      <c r="A986" s="12" t="s">
        <v>244</v>
      </c>
    </row>
    <row r="987" spans="1:2" ht="15" hidden="1" customHeight="1" x14ac:dyDescent="0.2">
      <c r="A987" s="12">
        <v>0</v>
      </c>
      <c r="B987" s="12" t="s">
        <v>245</v>
      </c>
    </row>
    <row r="988" spans="1:2" ht="15" hidden="1" customHeight="1" x14ac:dyDescent="0.2">
      <c r="A988" s="12">
        <v>1</v>
      </c>
      <c r="B988" s="12" t="s">
        <v>246</v>
      </c>
    </row>
    <row r="989" spans="1:2" ht="15" hidden="1" customHeight="1" x14ac:dyDescent="0.2">
      <c r="A989" s="12">
        <v>2</v>
      </c>
      <c r="B989" s="12" t="s">
        <v>247</v>
      </c>
    </row>
    <row r="990" spans="1:2" ht="15" hidden="1" customHeight="1" x14ac:dyDescent="0.2">
      <c r="A990" s="12">
        <v>3</v>
      </c>
      <c r="B990" s="12" t="s">
        <v>229</v>
      </c>
    </row>
    <row r="991" spans="1:2" ht="15" hidden="1" customHeight="1" x14ac:dyDescent="0.2">
      <c r="A991" s="12">
        <v>4</v>
      </c>
      <c r="B991" s="12" t="s">
        <v>248</v>
      </c>
    </row>
    <row r="992" spans="1:2" ht="15" hidden="1" customHeight="1" x14ac:dyDescent="0.2"/>
    <row r="993" spans="1:11" ht="15" hidden="1" customHeight="1" x14ac:dyDescent="0.2">
      <c r="A993" s="12" t="s">
        <v>381</v>
      </c>
    </row>
    <row r="994" spans="1:11" ht="15" hidden="1" customHeight="1" x14ac:dyDescent="0.2">
      <c r="A994" s="12">
        <v>0</v>
      </c>
      <c r="B994" s="12" t="s">
        <v>202</v>
      </c>
    </row>
    <row r="995" spans="1:11" ht="15" hidden="1" customHeight="1" x14ac:dyDescent="0.2">
      <c r="A995" s="12">
        <v>1</v>
      </c>
      <c r="B995" s="12" t="s">
        <v>190</v>
      </c>
    </row>
    <row r="996" spans="1:11" ht="15" hidden="1" customHeight="1" x14ac:dyDescent="0.2"/>
    <row r="997" spans="1:11" ht="15" hidden="1" customHeight="1" x14ac:dyDescent="0.2">
      <c r="A997" s="12" t="s">
        <v>249</v>
      </c>
    </row>
    <row r="998" spans="1:11" ht="15" hidden="1" customHeight="1" x14ac:dyDescent="0.2">
      <c r="A998" s="12">
        <v>0</v>
      </c>
      <c r="B998" s="12" t="s">
        <v>236</v>
      </c>
    </row>
    <row r="999" spans="1:11" ht="15" hidden="1" customHeight="1" x14ac:dyDescent="0.2">
      <c r="A999" s="12">
        <v>1</v>
      </c>
      <c r="B999" s="12" t="s">
        <v>237</v>
      </c>
    </row>
    <row r="1000" spans="1:11" ht="15" hidden="1" customHeight="1" x14ac:dyDescent="0.2">
      <c r="A1000" s="12">
        <v>2</v>
      </c>
      <c r="B1000" s="12" t="s">
        <v>235</v>
      </c>
    </row>
    <row r="1001" spans="1:11" ht="15" hidden="1" customHeight="1" x14ac:dyDescent="0.2">
      <c r="A1001" s="12">
        <v>3</v>
      </c>
      <c r="B1001" s="12" t="s">
        <v>238</v>
      </c>
    </row>
    <row r="1002" spans="1:11" ht="15" hidden="1" customHeight="1" x14ac:dyDescent="0.2">
      <c r="A1002" s="12">
        <v>4</v>
      </c>
      <c r="B1002" s="12" t="s">
        <v>234</v>
      </c>
    </row>
    <row r="1003" spans="1:11" ht="15" customHeight="1" x14ac:dyDescent="0.2">
      <c r="B1003" s="12" t="s">
        <v>685</v>
      </c>
    </row>
    <row r="1004" spans="1:11" ht="15" customHeight="1" x14ac:dyDescent="0.2">
      <c r="B1004" s="402" t="s">
        <v>761</v>
      </c>
      <c r="C1004" s="403"/>
      <c r="D1004" s="403"/>
      <c r="E1004" s="403"/>
      <c r="F1004" s="403"/>
      <c r="G1004" s="403"/>
      <c r="H1004" s="403"/>
      <c r="I1004" s="403"/>
      <c r="J1004" s="403"/>
      <c r="K1004" s="404"/>
    </row>
    <row r="1005" spans="1:11" ht="15" customHeight="1" x14ac:dyDescent="0.2">
      <c r="B1005" s="396"/>
      <c r="C1005" s="397"/>
      <c r="D1005" s="397"/>
      <c r="E1005" s="397"/>
      <c r="F1005" s="397"/>
      <c r="G1005" s="397"/>
      <c r="H1005" s="397"/>
      <c r="I1005" s="397"/>
      <c r="J1005" s="397"/>
      <c r="K1005" s="398"/>
    </row>
    <row r="1006" spans="1:11" ht="60" customHeight="1" x14ac:dyDescent="0.2">
      <c r="B1006" s="396" t="s">
        <v>762</v>
      </c>
      <c r="C1006" s="397"/>
      <c r="D1006" s="397"/>
      <c r="E1006" s="397"/>
      <c r="F1006" s="397"/>
      <c r="G1006" s="397"/>
      <c r="H1006" s="397"/>
      <c r="I1006" s="397"/>
      <c r="J1006" s="397"/>
      <c r="K1006" s="398"/>
    </row>
    <row r="1007" spans="1:11" ht="15" customHeight="1" x14ac:dyDescent="0.2">
      <c r="B1007" s="396"/>
      <c r="C1007" s="397"/>
      <c r="D1007" s="397"/>
      <c r="E1007" s="397"/>
      <c r="F1007" s="397"/>
      <c r="G1007" s="397"/>
      <c r="H1007" s="397"/>
      <c r="I1007" s="397"/>
      <c r="J1007" s="397"/>
      <c r="K1007" s="398"/>
    </row>
    <row r="1008" spans="1:11" ht="15" customHeight="1" x14ac:dyDescent="0.2">
      <c r="B1008" s="396"/>
      <c r="C1008" s="397"/>
      <c r="D1008" s="397"/>
      <c r="E1008" s="397"/>
      <c r="F1008" s="397"/>
      <c r="G1008" s="397"/>
      <c r="H1008" s="397"/>
      <c r="I1008" s="397"/>
      <c r="J1008" s="397"/>
      <c r="K1008" s="398"/>
    </row>
    <row r="1009" spans="2:11" ht="15" customHeight="1" x14ac:dyDescent="0.2">
      <c r="B1009" s="396"/>
      <c r="C1009" s="397"/>
      <c r="D1009" s="397"/>
      <c r="E1009" s="397"/>
      <c r="F1009" s="397"/>
      <c r="G1009" s="397"/>
      <c r="H1009" s="397"/>
      <c r="I1009" s="397"/>
      <c r="J1009" s="397"/>
      <c r="K1009" s="398"/>
    </row>
    <row r="1010" spans="2:11" ht="15" customHeight="1" x14ac:dyDescent="0.2">
      <c r="B1010" s="396"/>
      <c r="C1010" s="397"/>
      <c r="D1010" s="397"/>
      <c r="E1010" s="397"/>
      <c r="F1010" s="397"/>
      <c r="G1010" s="397"/>
      <c r="H1010" s="397"/>
      <c r="I1010" s="397"/>
      <c r="J1010" s="397"/>
      <c r="K1010" s="398"/>
    </row>
    <row r="1011" spans="2:11" ht="15" customHeight="1" x14ac:dyDescent="0.2">
      <c r="B1011" s="396"/>
      <c r="C1011" s="397"/>
      <c r="D1011" s="397"/>
      <c r="E1011" s="397"/>
      <c r="F1011" s="397"/>
      <c r="G1011" s="397"/>
      <c r="H1011" s="397"/>
      <c r="I1011" s="397"/>
      <c r="J1011" s="397"/>
      <c r="K1011" s="398"/>
    </row>
    <row r="1012" spans="2:11" ht="15" customHeight="1" x14ac:dyDescent="0.2">
      <c r="B1012" s="396"/>
      <c r="C1012" s="397"/>
      <c r="D1012" s="397"/>
      <c r="E1012" s="397"/>
      <c r="F1012" s="397"/>
      <c r="G1012" s="397"/>
      <c r="H1012" s="397"/>
      <c r="I1012" s="397"/>
      <c r="J1012" s="397"/>
      <c r="K1012" s="398"/>
    </row>
    <row r="1013" spans="2:11" ht="15" customHeight="1" x14ac:dyDescent="0.2">
      <c r="B1013" s="396"/>
      <c r="C1013" s="397"/>
      <c r="D1013" s="397"/>
      <c r="E1013" s="397"/>
      <c r="F1013" s="397"/>
      <c r="G1013" s="397"/>
      <c r="H1013" s="397"/>
      <c r="I1013" s="397"/>
      <c r="J1013" s="397"/>
      <c r="K1013" s="398"/>
    </row>
    <row r="1014" spans="2:11" ht="15" customHeight="1" x14ac:dyDescent="0.2">
      <c r="B1014" s="396"/>
      <c r="C1014" s="397"/>
      <c r="D1014" s="397"/>
      <c r="E1014" s="397"/>
      <c r="F1014" s="397"/>
      <c r="G1014" s="397"/>
      <c r="H1014" s="397"/>
      <c r="I1014" s="397"/>
      <c r="J1014" s="397"/>
      <c r="K1014" s="398"/>
    </row>
    <row r="1015" spans="2:11" ht="15" customHeight="1" x14ac:dyDescent="0.2">
      <c r="B1015" s="396"/>
      <c r="C1015" s="397"/>
      <c r="D1015" s="397"/>
      <c r="E1015" s="397"/>
      <c r="F1015" s="397"/>
      <c r="G1015" s="397"/>
      <c r="H1015" s="397"/>
      <c r="I1015" s="397"/>
      <c r="J1015" s="397"/>
      <c r="K1015" s="398"/>
    </row>
    <row r="1016" spans="2:11" ht="15" customHeight="1" x14ac:dyDescent="0.2">
      <c r="B1016" s="396"/>
      <c r="C1016" s="397"/>
      <c r="D1016" s="397"/>
      <c r="E1016" s="397"/>
      <c r="F1016" s="397"/>
      <c r="G1016" s="397"/>
      <c r="H1016" s="397"/>
      <c r="I1016" s="397"/>
      <c r="J1016" s="397"/>
      <c r="K1016" s="398"/>
    </row>
    <row r="1017" spans="2:11" ht="15" customHeight="1" x14ac:dyDescent="0.2">
      <c r="B1017" s="396"/>
      <c r="C1017" s="397"/>
      <c r="D1017" s="397"/>
      <c r="E1017" s="397"/>
      <c r="F1017" s="397"/>
      <c r="G1017" s="397"/>
      <c r="H1017" s="397"/>
      <c r="I1017" s="397"/>
      <c r="J1017" s="397"/>
      <c r="K1017" s="398"/>
    </row>
    <row r="1018" spans="2:11" ht="15" customHeight="1" x14ac:dyDescent="0.2">
      <c r="B1018" s="396"/>
      <c r="C1018" s="397"/>
      <c r="D1018" s="397"/>
      <c r="E1018" s="397"/>
      <c r="F1018" s="397"/>
      <c r="G1018" s="397"/>
      <c r="H1018" s="397"/>
      <c r="I1018" s="397"/>
      <c r="J1018" s="397"/>
      <c r="K1018" s="398"/>
    </row>
    <row r="1019" spans="2:11" ht="15" customHeight="1" x14ac:dyDescent="0.2">
      <c r="B1019" s="396"/>
      <c r="C1019" s="397"/>
      <c r="D1019" s="397"/>
      <c r="E1019" s="397"/>
      <c r="F1019" s="397"/>
      <c r="G1019" s="397"/>
      <c r="H1019" s="397"/>
      <c r="I1019" s="397"/>
      <c r="J1019" s="397"/>
      <c r="K1019" s="398"/>
    </row>
    <row r="1020" spans="2:11" ht="15" customHeight="1" x14ac:dyDescent="0.2">
      <c r="B1020" s="396"/>
      <c r="C1020" s="397"/>
      <c r="D1020" s="397"/>
      <c r="E1020" s="397"/>
      <c r="F1020" s="397"/>
      <c r="G1020" s="397"/>
      <c r="H1020" s="397"/>
      <c r="I1020" s="397"/>
      <c r="J1020" s="397"/>
      <c r="K1020" s="398"/>
    </row>
    <row r="1021" spans="2:11" ht="15" customHeight="1" x14ac:dyDescent="0.2">
      <c r="B1021" s="396"/>
      <c r="C1021" s="397"/>
      <c r="D1021" s="397"/>
      <c r="E1021" s="397"/>
      <c r="F1021" s="397"/>
      <c r="G1021" s="397"/>
      <c r="H1021" s="397"/>
      <c r="I1021" s="397"/>
      <c r="J1021" s="397"/>
      <c r="K1021" s="398"/>
    </row>
    <row r="1022" spans="2:11" ht="15" customHeight="1" x14ac:dyDescent="0.2">
      <c r="B1022" s="396"/>
      <c r="C1022" s="397"/>
      <c r="D1022" s="397"/>
      <c r="E1022" s="397"/>
      <c r="F1022" s="397"/>
      <c r="G1022" s="397"/>
      <c r="H1022" s="397"/>
      <c r="I1022" s="397"/>
      <c r="J1022" s="397"/>
      <c r="K1022" s="398"/>
    </row>
    <row r="1023" spans="2:11" ht="15" customHeight="1" x14ac:dyDescent="0.2">
      <c r="B1023" s="396"/>
      <c r="C1023" s="397"/>
      <c r="D1023" s="397"/>
      <c r="E1023" s="397"/>
      <c r="F1023" s="397"/>
      <c r="G1023" s="397"/>
      <c r="H1023" s="397"/>
      <c r="I1023" s="397"/>
      <c r="J1023" s="397"/>
      <c r="K1023" s="398"/>
    </row>
    <row r="1024" spans="2:11" ht="15" customHeight="1" x14ac:dyDescent="0.2">
      <c r="B1024" s="396"/>
      <c r="C1024" s="397"/>
      <c r="D1024" s="397"/>
      <c r="E1024" s="397"/>
      <c r="F1024" s="397"/>
      <c r="G1024" s="397"/>
      <c r="H1024" s="397"/>
      <c r="I1024" s="397"/>
      <c r="J1024" s="397"/>
      <c r="K1024" s="398"/>
    </row>
    <row r="1025" spans="2:11" ht="15" customHeight="1" x14ac:dyDescent="0.2">
      <c r="B1025" s="396"/>
      <c r="C1025" s="397"/>
      <c r="D1025" s="397"/>
      <c r="E1025" s="397"/>
      <c r="F1025" s="397"/>
      <c r="G1025" s="397"/>
      <c r="H1025" s="397"/>
      <c r="I1025" s="397"/>
      <c r="J1025" s="397"/>
      <c r="K1025" s="398"/>
    </row>
    <row r="1026" spans="2:11" ht="15" customHeight="1" x14ac:dyDescent="0.2">
      <c r="B1026" s="396"/>
      <c r="C1026" s="397"/>
      <c r="D1026" s="397"/>
      <c r="E1026" s="397"/>
      <c r="F1026" s="397"/>
      <c r="G1026" s="397"/>
      <c r="H1026" s="397"/>
      <c r="I1026" s="397"/>
      <c r="J1026" s="397"/>
      <c r="K1026" s="398"/>
    </row>
    <row r="1027" spans="2:11" ht="15" customHeight="1" x14ac:dyDescent="0.2">
      <c r="B1027" s="396"/>
      <c r="C1027" s="397"/>
      <c r="D1027" s="397"/>
      <c r="E1027" s="397"/>
      <c r="F1027" s="397"/>
      <c r="G1027" s="397"/>
      <c r="H1027" s="397"/>
      <c r="I1027" s="397"/>
      <c r="J1027" s="397"/>
      <c r="K1027" s="398"/>
    </row>
    <row r="1028" spans="2:11" ht="15" customHeight="1" x14ac:dyDescent="0.2">
      <c r="B1028" s="396"/>
      <c r="C1028" s="397"/>
      <c r="D1028" s="397"/>
      <c r="E1028" s="397"/>
      <c r="F1028" s="397"/>
      <c r="G1028" s="397"/>
      <c r="H1028" s="397"/>
      <c r="I1028" s="397"/>
      <c r="J1028" s="397"/>
      <c r="K1028" s="398"/>
    </row>
    <row r="1029" spans="2:11" ht="15" customHeight="1" x14ac:dyDescent="0.2">
      <c r="B1029" s="393"/>
      <c r="C1029" s="394"/>
      <c r="D1029" s="394"/>
      <c r="E1029" s="394"/>
      <c r="F1029" s="394"/>
      <c r="G1029" s="394"/>
      <c r="H1029" s="394"/>
      <c r="I1029" s="394"/>
      <c r="J1029" s="394"/>
      <c r="K1029" s="395"/>
    </row>
  </sheetData>
  <sheetProtection formatCells="0" formatColumns="0" formatRows="0" selectLockedCells="1"/>
  <mergeCells count="152">
    <mergeCell ref="C95:J95"/>
    <mergeCell ref="C114:J114"/>
    <mergeCell ref="E15:J15"/>
    <mergeCell ref="C38:J38"/>
    <mergeCell ref="C57:J57"/>
    <mergeCell ref="C76:J76"/>
    <mergeCell ref="C385:J385"/>
    <mergeCell ref="C324:J324"/>
    <mergeCell ref="B5:K5"/>
    <mergeCell ref="B6:K6"/>
    <mergeCell ref="B7:K7"/>
    <mergeCell ref="B8:K8"/>
    <mergeCell ref="B9:K9"/>
    <mergeCell ref="B10:K10"/>
    <mergeCell ref="C292:I293"/>
    <mergeCell ref="C311:I312"/>
    <mergeCell ref="C340:I341"/>
    <mergeCell ref="C305:J305"/>
    <mergeCell ref="C257:J257"/>
    <mergeCell ref="C237:J237"/>
    <mergeCell ref="C216:J216"/>
    <mergeCell ref="C176:J176"/>
    <mergeCell ref="C196:J196"/>
    <mergeCell ref="C155:J155"/>
    <mergeCell ref="C120:J122"/>
    <mergeCell ref="C123:J124"/>
    <mergeCell ref="C129:J129"/>
    <mergeCell ref="C455:J455"/>
    <mergeCell ref="C402:J402"/>
    <mergeCell ref="C416:J416"/>
    <mergeCell ref="C438:J438"/>
    <mergeCell ref="C444:I445"/>
    <mergeCell ref="C420:I421"/>
    <mergeCell ref="C365:J365"/>
    <mergeCell ref="C371:I372"/>
    <mergeCell ref="C330:I331"/>
    <mergeCell ref="C347:J347"/>
    <mergeCell ref="D343:I344"/>
    <mergeCell ref="C391:I392"/>
    <mergeCell ref="C286:J286"/>
    <mergeCell ref="C613:J613"/>
    <mergeCell ref="C560:J560"/>
    <mergeCell ref="C566:I568"/>
    <mergeCell ref="C569:I571"/>
    <mergeCell ref="C583:J583"/>
    <mergeCell ref="C524:I525"/>
    <mergeCell ref="C535:J535"/>
    <mergeCell ref="C518:J518"/>
    <mergeCell ref="C471:J471"/>
    <mergeCell ref="C477:I478"/>
    <mergeCell ref="C486:J486"/>
    <mergeCell ref="C502:J502"/>
    <mergeCell ref="C599:J599"/>
    <mergeCell ref="G717:H717"/>
    <mergeCell ref="G718:H718"/>
    <mergeCell ref="C729:J731"/>
    <mergeCell ref="G732:H732"/>
    <mergeCell ref="G733:H733"/>
    <mergeCell ref="C620:I621"/>
    <mergeCell ref="C633:J633"/>
    <mergeCell ref="C639:I640"/>
    <mergeCell ref="C641:I643"/>
    <mergeCell ref="C714:J716"/>
    <mergeCell ref="C655:J655"/>
    <mergeCell ref="D664:I665"/>
    <mergeCell ref="C677:J677"/>
    <mergeCell ref="G737:H737"/>
    <mergeCell ref="G738:H738"/>
    <mergeCell ref="G734:H734"/>
    <mergeCell ref="G735:H735"/>
    <mergeCell ref="G724:H724"/>
    <mergeCell ref="G725:H725"/>
    <mergeCell ref="G719:H719"/>
    <mergeCell ref="G720:H720"/>
    <mergeCell ref="G721:H721"/>
    <mergeCell ref="G846:H846"/>
    <mergeCell ref="C830:J831"/>
    <mergeCell ref="G834:H834"/>
    <mergeCell ref="G838:H838"/>
    <mergeCell ref="G842:H842"/>
    <mergeCell ref="G769:H769"/>
    <mergeCell ref="G770:H770"/>
    <mergeCell ref="G767:H767"/>
    <mergeCell ref="G768:H768"/>
    <mergeCell ref="G766:H766"/>
    <mergeCell ref="G754:H754"/>
    <mergeCell ref="G755:H755"/>
    <mergeCell ref="G752:H752"/>
    <mergeCell ref="G753:H753"/>
    <mergeCell ref="C759:J761"/>
    <mergeCell ref="G762:H762"/>
    <mergeCell ref="G763:H763"/>
    <mergeCell ref="G764:H764"/>
    <mergeCell ref="G878:H878"/>
    <mergeCell ref="G722:H722"/>
    <mergeCell ref="G723:H723"/>
    <mergeCell ref="G850:H850"/>
    <mergeCell ref="G862:H862"/>
    <mergeCell ref="G866:H866"/>
    <mergeCell ref="G854:H854"/>
    <mergeCell ref="G858:H858"/>
    <mergeCell ref="F959:H960"/>
    <mergeCell ref="G736:H736"/>
    <mergeCell ref="C744:J746"/>
    <mergeCell ref="G747:H747"/>
    <mergeCell ref="G748:H748"/>
    <mergeCell ref="G749:H749"/>
    <mergeCell ref="G886:H886"/>
    <mergeCell ref="G890:H890"/>
    <mergeCell ref="G882:H882"/>
    <mergeCell ref="G870:H870"/>
    <mergeCell ref="G874:H874"/>
    <mergeCell ref="G765:H765"/>
    <mergeCell ref="G750:H750"/>
    <mergeCell ref="G751:H751"/>
    <mergeCell ref="G739:H739"/>
    <mergeCell ref="G740:H740"/>
    <mergeCell ref="B1004:K1004"/>
    <mergeCell ref="B1005:K1005"/>
    <mergeCell ref="B1006:K1006"/>
    <mergeCell ref="B1007:K1007"/>
    <mergeCell ref="B1008:K1008"/>
    <mergeCell ref="B1009:K1009"/>
    <mergeCell ref="B1010:K1010"/>
    <mergeCell ref="B1011:K1011"/>
    <mergeCell ref="B1012:K1012"/>
    <mergeCell ref="B1022:K1022"/>
    <mergeCell ref="B1023:K1023"/>
    <mergeCell ref="B1024:K1024"/>
    <mergeCell ref="B1025:K1025"/>
    <mergeCell ref="B1026:K1026"/>
    <mergeCell ref="B1027:K1027"/>
    <mergeCell ref="B1028:K1028"/>
    <mergeCell ref="B1029:K1029"/>
    <mergeCell ref="B1013:K1013"/>
    <mergeCell ref="B1014:K1014"/>
    <mergeCell ref="B1015:K1015"/>
    <mergeCell ref="B1016:K1016"/>
    <mergeCell ref="B1017:K1017"/>
    <mergeCell ref="B1018:K1018"/>
    <mergeCell ref="B1019:K1019"/>
    <mergeCell ref="B1020:K1020"/>
    <mergeCell ref="B1021:K1021"/>
    <mergeCell ref="G928:H928"/>
    <mergeCell ref="G932:H932"/>
    <mergeCell ref="G924:H924"/>
    <mergeCell ref="G916:H916"/>
    <mergeCell ref="G920:H920"/>
    <mergeCell ref="C900:J901"/>
    <mergeCell ref="G904:H904"/>
    <mergeCell ref="G908:H908"/>
    <mergeCell ref="G912:H912"/>
  </mergeCells>
  <dataValidations count="23">
    <dataValidation type="list" allowBlank="1" showInputMessage="1" showErrorMessage="1" sqref="E15:J15" xr:uid="{00000000-0002-0000-1000-000000000000}">
      <formula1>$C$966:$C$970</formula1>
    </dataValidation>
    <dataValidation type="list" allowBlank="1" showInputMessage="1" showErrorMessage="1" sqref="G834:H834 G890:H890 G886:H886 G882:H882 G878:H878 G874:H874 G870:H870 G866:H866 G862:H862 G858:H858 G854:H854 G850:H850 G846:H846 G842:H842 G838:H838 G904:H904 G932:H932 G928:H928 G924:H924 G920:H920 G916:H916 G912:H912 G908:H908" xr:uid="{00000000-0002-0000-1000-000001000000}">
      <formula1>$B$998:$B$1002</formula1>
    </dataValidation>
    <dataValidation type="list" allowBlank="1" showInputMessage="1" showErrorMessage="1" sqref="G717:H725 G762:H770 G732:H740 G747:H755" xr:uid="{00000000-0002-0000-1000-000002000000}">
      <formula1>$B$994:$B$995</formula1>
    </dataValidation>
    <dataValidation type="list" allowBlank="1" showInputMessage="1" showErrorMessage="1" sqref="J302 J362" xr:uid="{00000000-0002-0000-1000-000003000000}">
      <formula1>$B$980:$B$984</formula1>
    </dataValidation>
    <dataValidation type="list" allowBlank="1" showInputMessage="1" showErrorMessage="1" sqref="C123:J124" xr:uid="{00000000-0002-0000-1000-000004000000}">
      <formula1>$B$987:$B$991</formula1>
    </dataValidation>
    <dataValidation type="list" allowBlank="1" showInputMessage="1" showErrorMessage="1" sqref="J35 J213 J283 J652 J234 J54 J193 J173 J152 J126 J111 J92 J73 J254 J435 J452 J468 J499 J515 J532 J557 J580 J596 J674 J630" xr:uid="{00000000-0002-0000-1000-000005000000}">
      <formula1>$B$973:$B$977</formula1>
    </dataValidation>
    <dataValidation type="list" allowBlank="1" showInputMessage="1" showErrorMessage="1" sqref="J33" xr:uid="{00000000-0002-0000-1000-000006000000}">
      <formula1>$N$32:$N$37</formula1>
    </dataValidation>
    <dataValidation type="list" allowBlank="1" showInputMessage="1" showErrorMessage="1" sqref="J52" xr:uid="{00000000-0002-0000-1000-000007000000}">
      <formula1>$N$51:$N$56</formula1>
    </dataValidation>
    <dataValidation type="list" allowBlank="1" showInputMessage="1" showErrorMessage="1" sqref="J71" xr:uid="{00000000-0002-0000-1000-000008000000}">
      <formula1>$N$70:$N$75</formula1>
    </dataValidation>
    <dataValidation type="list" allowBlank="1" showInputMessage="1" showErrorMessage="1" sqref="J90" xr:uid="{00000000-0002-0000-1000-000009000000}">
      <formula1>$N$89:$N$94</formula1>
    </dataValidation>
    <dataValidation type="list" allowBlank="1" showInputMessage="1" showErrorMessage="1" sqref="J109" xr:uid="{00000000-0002-0000-1000-00000A000000}">
      <formula1>$N$108:$N$113</formula1>
    </dataValidation>
    <dataValidation type="list" allowBlank="1" showInputMessage="1" showErrorMessage="1" sqref="J150" xr:uid="{00000000-0002-0000-1000-00000B000000}">
      <formula1>$N$149:$N$154</formula1>
    </dataValidation>
    <dataValidation type="list" allowBlank="1" showInputMessage="1" showErrorMessage="1" sqref="J171" xr:uid="{00000000-0002-0000-1000-00000C000000}">
      <formula1>$N$170:$N$175</formula1>
    </dataValidation>
    <dataValidation type="list" allowBlank="1" showInputMessage="1" showErrorMessage="1" sqref="J191" xr:uid="{00000000-0002-0000-1000-00000D000000}">
      <formula1>$N$190:$N$195</formula1>
    </dataValidation>
    <dataValidation type="list" allowBlank="1" showInputMessage="1" showErrorMessage="1" sqref="J211" xr:uid="{00000000-0002-0000-1000-00000E000000}">
      <formula1>$N$210:$N$215</formula1>
    </dataValidation>
    <dataValidation type="list" allowBlank="1" showInputMessage="1" showErrorMessage="1" sqref="J232" xr:uid="{00000000-0002-0000-1000-00000F000000}">
      <formula1>$N$231:$N$236</formula1>
    </dataValidation>
    <dataValidation type="list" allowBlank="1" showInputMessage="1" showErrorMessage="1" sqref="J252" xr:uid="{00000000-0002-0000-1000-000010000000}">
      <formula1>$N$251:$N$256</formula1>
    </dataValidation>
    <dataValidation type="list" allowBlank="1" showInputMessage="1" showErrorMessage="1" sqref="J281" xr:uid="{00000000-0002-0000-1000-000011000000}">
      <formula1>$N$280:$N$285</formula1>
    </dataValidation>
    <dataValidation type="list" allowBlank="1" showInputMessage="1" showErrorMessage="1" sqref="J555" xr:uid="{00000000-0002-0000-1000-000012000000}">
      <formula1>$N$554:$N$559</formula1>
    </dataValidation>
    <dataValidation type="list" allowBlank="1" showInputMessage="1" showErrorMessage="1" sqref="J578" xr:uid="{00000000-0002-0000-1000-000013000000}">
      <formula1>$N$577:$N$582</formula1>
    </dataValidation>
    <dataValidation type="list" allowBlank="1" showInputMessage="1" showErrorMessage="1" sqref="J628" xr:uid="{00000000-0002-0000-1000-000014000000}">
      <formula1>$N$627:$N$632</formula1>
    </dataValidation>
    <dataValidation type="list" allowBlank="1" showInputMessage="1" showErrorMessage="1" sqref="J650" xr:uid="{00000000-0002-0000-1000-000015000000}">
      <formula1>$N$649:$N$654</formula1>
    </dataValidation>
    <dataValidation type="list" allowBlank="1" showInputMessage="1" showErrorMessage="1" sqref="J672" xr:uid="{00000000-0002-0000-1000-000016000000}">
      <formula1>$N$671:$N$676</formula1>
    </dataValidation>
  </dataValidations>
  <pageMargins left="0.7" right="0.7" top="0.75" bottom="0.75" header="0.3" footer="0.3"/>
  <pageSetup scale="7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dimension ref="A1:N1029"/>
  <sheetViews>
    <sheetView showGridLines="0" showRowColHeaders="0" zoomScaleNormal="100" workbookViewId="0">
      <selection activeCell="P683" sqref="P683"/>
    </sheetView>
  </sheetViews>
  <sheetFormatPr baseColWidth="10" defaultColWidth="9.1640625" defaultRowHeight="15" x14ac:dyDescent="0.2"/>
  <cols>
    <col min="1" max="1" width="9.1640625" style="12"/>
    <col min="2" max="3" width="9.1640625" style="12" customWidth="1"/>
    <col min="4" max="4" width="9.1640625" style="12"/>
    <col min="5" max="5" width="9.1640625" style="12" customWidth="1"/>
    <col min="6" max="9" width="9.1640625" style="12"/>
    <col min="10" max="10" width="25.6640625" style="12" customWidth="1"/>
    <col min="11" max="13" width="9.1640625" style="12"/>
    <col min="14" max="14" width="9.1640625" style="12" hidden="1" customWidth="1"/>
    <col min="15" max="16384" width="9.1640625" style="12"/>
  </cols>
  <sheetData>
    <row r="1" spans="2:13" x14ac:dyDescent="0.2">
      <c r="I1" s="29"/>
    </row>
    <row r="2" spans="2:13" ht="33" x14ac:dyDescent="0.2">
      <c r="G2" s="16" t="s">
        <v>1038</v>
      </c>
      <c r="I2" s="29"/>
    </row>
    <row r="3" spans="2:13" ht="23" x14ac:dyDescent="0.25">
      <c r="G3" s="30" t="s">
        <v>11</v>
      </c>
      <c r="I3" s="29"/>
      <c r="L3" s="157"/>
      <c r="M3" s="157"/>
    </row>
    <row r="4" spans="2:13" x14ac:dyDescent="0.2">
      <c r="G4" s="98"/>
      <c r="I4" s="29"/>
      <c r="L4" s="158"/>
      <c r="M4" s="157"/>
    </row>
    <row r="5" spans="2:13" ht="120" customHeight="1" x14ac:dyDescent="0.2">
      <c r="B5" s="426" t="s">
        <v>680</v>
      </c>
      <c r="C5" s="427"/>
      <c r="D5" s="427"/>
      <c r="E5" s="427"/>
      <c r="F5" s="427"/>
      <c r="G5" s="427"/>
      <c r="H5" s="427"/>
      <c r="I5" s="427"/>
      <c r="J5" s="427"/>
      <c r="K5" s="427"/>
      <c r="L5" s="158"/>
      <c r="M5" s="157"/>
    </row>
    <row r="6" spans="2:13" x14ac:dyDescent="0.2">
      <c r="B6" s="426"/>
      <c r="C6" s="426"/>
      <c r="D6" s="426"/>
      <c r="E6" s="426"/>
      <c r="F6" s="426"/>
      <c r="G6" s="426"/>
      <c r="H6" s="426"/>
      <c r="I6" s="426"/>
      <c r="J6" s="426"/>
      <c r="K6" s="426"/>
      <c r="L6" s="158"/>
    </row>
    <row r="7" spans="2:13" ht="60" customHeight="1" x14ac:dyDescent="0.2">
      <c r="B7" s="425" t="s">
        <v>664</v>
      </c>
      <c r="C7" s="341"/>
      <c r="D7" s="341"/>
      <c r="E7" s="341"/>
      <c r="F7" s="341"/>
      <c r="G7" s="341"/>
      <c r="H7" s="341"/>
      <c r="I7" s="341"/>
      <c r="J7" s="341"/>
      <c r="K7" s="341"/>
    </row>
    <row r="8" spans="2:13" x14ac:dyDescent="0.2">
      <c r="B8" s="426"/>
      <c r="C8" s="426"/>
      <c r="D8" s="426"/>
      <c r="E8" s="426"/>
      <c r="F8" s="426"/>
      <c r="G8" s="426"/>
      <c r="H8" s="426"/>
      <c r="I8" s="426"/>
      <c r="J8" s="426"/>
      <c r="K8" s="426"/>
    </row>
    <row r="9" spans="2:13" ht="30" customHeight="1" x14ac:dyDescent="0.2">
      <c r="B9" s="445" t="s">
        <v>665</v>
      </c>
      <c r="C9" s="446"/>
      <c r="D9" s="446"/>
      <c r="E9" s="446"/>
      <c r="F9" s="446"/>
      <c r="G9" s="446"/>
      <c r="H9" s="446"/>
      <c r="I9" s="446"/>
      <c r="J9" s="446"/>
      <c r="K9" s="446"/>
    </row>
    <row r="10" spans="2:13" ht="90" customHeight="1" x14ac:dyDescent="0.2">
      <c r="B10" s="447" t="s">
        <v>1321</v>
      </c>
      <c r="C10" s="448"/>
      <c r="D10" s="448"/>
      <c r="E10" s="448"/>
      <c r="F10" s="448"/>
      <c r="G10" s="448"/>
      <c r="H10" s="448"/>
      <c r="I10" s="448"/>
      <c r="J10" s="448"/>
      <c r="K10" s="449"/>
    </row>
    <row r="11" spans="2:13" ht="16" thickBot="1" x14ac:dyDescent="0.25"/>
    <row r="12" spans="2:13" x14ac:dyDescent="0.2">
      <c r="B12" s="159"/>
      <c r="C12" s="160"/>
      <c r="D12" s="160"/>
      <c r="E12" s="160"/>
      <c r="F12" s="160"/>
      <c r="G12" s="160"/>
      <c r="H12" s="160"/>
      <c r="I12" s="160"/>
      <c r="J12" s="160"/>
      <c r="K12" s="161"/>
    </row>
    <row r="13" spans="2:13" ht="21" x14ac:dyDescent="0.25">
      <c r="B13" s="162"/>
      <c r="C13" s="163"/>
      <c r="D13" s="163"/>
      <c r="E13" s="163"/>
      <c r="F13" s="163"/>
      <c r="G13" s="164" t="s">
        <v>226</v>
      </c>
      <c r="H13" s="163"/>
      <c r="I13" s="163"/>
      <c r="J13" s="163"/>
      <c r="K13" s="165"/>
    </row>
    <row r="14" spans="2:13" ht="21" x14ac:dyDescent="0.25">
      <c r="B14" s="162"/>
      <c r="C14" s="163"/>
      <c r="D14" s="163"/>
      <c r="E14" s="163"/>
      <c r="F14" s="163"/>
      <c r="G14" s="164"/>
      <c r="H14" s="163"/>
      <c r="I14" s="163"/>
      <c r="J14" s="163"/>
      <c r="K14" s="165"/>
    </row>
    <row r="15" spans="2:13" ht="26.25" customHeight="1" x14ac:dyDescent="0.2">
      <c r="B15" s="162"/>
      <c r="C15" s="163" t="s">
        <v>255</v>
      </c>
      <c r="D15" s="163"/>
      <c r="E15" s="412" t="s">
        <v>242</v>
      </c>
      <c r="F15" s="437"/>
      <c r="G15" s="437"/>
      <c r="H15" s="437"/>
      <c r="I15" s="437"/>
      <c r="J15" s="438"/>
      <c r="K15" s="165"/>
    </row>
    <row r="16" spans="2:13" x14ac:dyDescent="0.2">
      <c r="B16" s="162"/>
      <c r="C16" s="163"/>
      <c r="D16" s="163"/>
      <c r="E16" s="163"/>
      <c r="F16" s="163"/>
      <c r="G16" s="163"/>
      <c r="H16" s="163"/>
      <c r="I16" s="163"/>
      <c r="J16" s="163"/>
      <c r="K16" s="165"/>
    </row>
    <row r="17" spans="2:14" x14ac:dyDescent="0.2">
      <c r="B17" s="162"/>
      <c r="C17" s="166" t="s">
        <v>256</v>
      </c>
      <c r="D17" s="163"/>
      <c r="E17" s="167">
        <f>IF(E15=$C$966,$A$966,IF(E15=$C$967,$A$967,IF(E15=$C$968,$A$968,IF(E15=$C$969,$A$969,IF(E15=$C$970,$A$970,"Not Calculated")))))</f>
        <v>2</v>
      </c>
      <c r="F17" s="163"/>
      <c r="G17" s="163"/>
      <c r="H17" s="163"/>
      <c r="I17" s="163"/>
      <c r="J17" s="163"/>
      <c r="K17" s="165"/>
    </row>
    <row r="18" spans="2:14" x14ac:dyDescent="0.2">
      <c r="B18" s="162"/>
      <c r="C18" s="163"/>
      <c r="D18" s="163"/>
      <c r="E18" s="167" t="str">
        <f>IF(E15=$C$966,$B$966,IF(E15=$C$967,$B$967,IF(E15=$C$968,$B$968,IF(E15=$C$969,$B$969,IF(E15=$C$970,$B$970,"Not Calculated")))))</f>
        <v>Occasional</v>
      </c>
      <c r="F18" s="163"/>
      <c r="G18" s="163"/>
      <c r="H18" s="163"/>
      <c r="I18" s="163"/>
      <c r="J18" s="163"/>
      <c r="K18" s="165"/>
    </row>
    <row r="19" spans="2:14" ht="16" thickBot="1" x14ac:dyDescent="0.25">
      <c r="B19" s="168"/>
      <c r="C19" s="169"/>
      <c r="D19" s="169"/>
      <c r="E19" s="169"/>
      <c r="F19" s="169"/>
      <c r="G19" s="169"/>
      <c r="H19" s="169"/>
      <c r="I19" s="169"/>
      <c r="J19" s="169"/>
      <c r="K19" s="170"/>
    </row>
    <row r="20" spans="2:14" ht="16" thickBot="1" x14ac:dyDescent="0.25"/>
    <row r="21" spans="2:14" x14ac:dyDescent="0.2">
      <c r="B21" s="33"/>
      <c r="C21" s="34"/>
      <c r="D21" s="34"/>
      <c r="E21" s="34"/>
      <c r="F21" s="34"/>
      <c r="G21" s="34"/>
      <c r="H21" s="34"/>
      <c r="I21" s="34"/>
      <c r="J21" s="34"/>
      <c r="K21" s="37"/>
    </row>
    <row r="22" spans="2:14" ht="21" x14ac:dyDescent="0.25">
      <c r="B22" s="38"/>
      <c r="C22" s="171"/>
      <c r="D22" s="40"/>
      <c r="E22" s="40"/>
      <c r="F22" s="40"/>
      <c r="G22" s="172" t="s">
        <v>26</v>
      </c>
      <c r="H22" s="40"/>
      <c r="I22" s="40"/>
      <c r="J22" s="40"/>
      <c r="K22" s="41"/>
    </row>
    <row r="23" spans="2:14" x14ac:dyDescent="0.2">
      <c r="B23" s="38"/>
      <c r="C23" s="40"/>
      <c r="D23" s="40"/>
      <c r="E23" s="40"/>
      <c r="F23" s="40"/>
      <c r="G23" s="40"/>
      <c r="H23" s="40"/>
      <c r="I23" s="40"/>
      <c r="J23" s="40"/>
      <c r="K23" s="41"/>
    </row>
    <row r="24" spans="2:14" ht="16" x14ac:dyDescent="0.2">
      <c r="B24" s="38"/>
      <c r="C24" s="45" t="s">
        <v>61</v>
      </c>
      <c r="D24" s="40"/>
      <c r="E24" s="40"/>
      <c r="F24" s="40"/>
      <c r="G24" s="40"/>
      <c r="H24" s="40"/>
      <c r="I24" s="40"/>
      <c r="J24" s="40"/>
      <c r="K24" s="41"/>
    </row>
    <row r="25" spans="2:14" x14ac:dyDescent="0.2">
      <c r="B25" s="38"/>
      <c r="C25" s="40" t="s">
        <v>434</v>
      </c>
      <c r="D25" s="40"/>
      <c r="E25" s="40"/>
      <c r="F25" s="40"/>
      <c r="G25" s="40"/>
      <c r="H25" s="40"/>
      <c r="I25" s="40"/>
      <c r="J25" s="252">
        <f>'Baseline Health'!G11</f>
        <v>0</v>
      </c>
      <c r="K25" s="41"/>
    </row>
    <row r="26" spans="2:14" x14ac:dyDescent="0.2">
      <c r="B26" s="38"/>
      <c r="C26" s="40" t="s">
        <v>288</v>
      </c>
      <c r="D26" s="40"/>
      <c r="E26" s="40"/>
      <c r="F26" s="40"/>
      <c r="G26" s="40"/>
      <c r="H26" s="40"/>
      <c r="I26" s="40"/>
      <c r="J26" s="264">
        <v>10</v>
      </c>
      <c r="K26" s="41"/>
      <c r="L26" s="12" t="s">
        <v>1322</v>
      </c>
    </row>
    <row r="27" spans="2:14" x14ac:dyDescent="0.2">
      <c r="B27" s="38"/>
      <c r="C27" s="40" t="s">
        <v>260</v>
      </c>
      <c r="D27" s="40"/>
      <c r="E27" s="40"/>
      <c r="F27" s="40"/>
      <c r="G27" s="40"/>
      <c r="H27" s="40"/>
      <c r="I27" s="40"/>
      <c r="J27" s="248" t="str">
        <f>IF(OR(J25=0,J25="Not Calculated")=TRUE,"Not Calculated",(IF(((J26+J25)/J25)&lt;=1,0,IF(((J26+J25)/J25)&lt;=1.05,1,IF(((J26+J25)/J25)&lt;=1.5, 2,IF(((J26+J25)/J25)&lt;=2,3,4))))))</f>
        <v>Not Calculated</v>
      </c>
      <c r="K27" s="41"/>
    </row>
    <row r="28" spans="2:14" ht="9.75" customHeight="1" x14ac:dyDescent="0.2">
      <c r="B28" s="38"/>
      <c r="C28" s="279" t="str">
        <f>"0:"</f>
        <v>0:</v>
      </c>
      <c r="D28" s="281" t="s">
        <v>918</v>
      </c>
      <c r="E28" s="40"/>
      <c r="F28" s="40"/>
      <c r="G28" s="40"/>
      <c r="H28" s="40"/>
      <c r="I28" s="40"/>
      <c r="J28" s="40"/>
      <c r="K28" s="41"/>
    </row>
    <row r="29" spans="2:14" ht="9.75" customHeight="1" x14ac:dyDescent="0.2">
      <c r="B29" s="38"/>
      <c r="C29" s="280" t="str">
        <f>"1:"</f>
        <v>1:</v>
      </c>
      <c r="D29" s="281" t="s">
        <v>919</v>
      </c>
      <c r="E29" s="40"/>
      <c r="F29" s="40"/>
      <c r="G29" s="40"/>
      <c r="H29" s="40"/>
      <c r="I29" s="40"/>
      <c r="J29" s="40"/>
      <c r="K29" s="41"/>
    </row>
    <row r="30" spans="2:14" ht="9.75" customHeight="1" x14ac:dyDescent="0.2">
      <c r="B30" s="38"/>
      <c r="C30" s="280" t="str">
        <f>"2:"</f>
        <v>2:</v>
      </c>
      <c r="D30" s="281" t="s">
        <v>920</v>
      </c>
      <c r="E30" s="40"/>
      <c r="F30" s="40"/>
      <c r="G30" s="40"/>
      <c r="H30" s="40"/>
      <c r="I30" s="40"/>
      <c r="J30" s="40"/>
      <c r="K30" s="41"/>
    </row>
    <row r="31" spans="2:14" ht="9.75" customHeight="1" x14ac:dyDescent="0.2">
      <c r="B31" s="38"/>
      <c r="C31" s="280" t="str">
        <f>"3:"</f>
        <v>3:</v>
      </c>
      <c r="D31" s="281" t="s">
        <v>921</v>
      </c>
      <c r="E31" s="40"/>
      <c r="F31" s="40"/>
      <c r="G31" s="40"/>
      <c r="H31" s="40"/>
      <c r="I31" s="40"/>
      <c r="J31" s="40"/>
      <c r="K31" s="41"/>
    </row>
    <row r="32" spans="2:14" ht="9.75" customHeight="1" x14ac:dyDescent="0.2">
      <c r="B32" s="38"/>
      <c r="C32" s="280" t="str">
        <f>"4:"</f>
        <v>4:</v>
      </c>
      <c r="D32" s="281" t="s">
        <v>922</v>
      </c>
      <c r="E32" s="40"/>
      <c r="F32" s="40"/>
      <c r="G32" s="40"/>
      <c r="H32" s="40"/>
      <c r="I32" s="40"/>
      <c r="J32" s="40"/>
      <c r="K32" s="41"/>
      <c r="N32" s="12" t="s">
        <v>661</v>
      </c>
    </row>
    <row r="33" spans="2:14" x14ac:dyDescent="0.2">
      <c r="B33" s="38"/>
      <c r="C33" s="174" t="s">
        <v>662</v>
      </c>
      <c r="D33" s="40"/>
      <c r="E33" s="40"/>
      <c r="F33" s="40"/>
      <c r="G33" s="40"/>
      <c r="H33" s="40"/>
      <c r="I33" s="40"/>
      <c r="J33" s="265" t="s">
        <v>661</v>
      </c>
      <c r="K33" s="41"/>
      <c r="N33" s="12" t="s">
        <v>894</v>
      </c>
    </row>
    <row r="34" spans="2:14" x14ac:dyDescent="0.2">
      <c r="B34" s="38"/>
      <c r="C34" s="174" t="s">
        <v>660</v>
      </c>
      <c r="D34" s="40"/>
      <c r="E34" s="40"/>
      <c r="F34" s="40"/>
      <c r="G34" s="40"/>
      <c r="H34" s="40"/>
      <c r="I34" s="40"/>
      <c r="J34" s="246" t="str">
        <f>IF(J33=N32,"N/A",IF(J33=N33,0,IF(J33=N34,1,IF(J33=N35,2,IF(J33=N36,3,IF(J33=N37,4,"N/A"))))))</f>
        <v>N/A</v>
      </c>
      <c r="K34" s="41"/>
      <c r="N34" s="12" t="s">
        <v>895</v>
      </c>
    </row>
    <row r="35" spans="2:14" x14ac:dyDescent="0.2">
      <c r="B35" s="38"/>
      <c r="C35" s="40" t="s">
        <v>257</v>
      </c>
      <c r="D35" s="40"/>
      <c r="E35" s="40"/>
      <c r="F35" s="40"/>
      <c r="G35" s="40"/>
      <c r="H35" s="40"/>
      <c r="I35" s="40"/>
      <c r="J35" s="266" t="s">
        <v>870</v>
      </c>
      <c r="K35" s="41"/>
      <c r="N35" s="12" t="s">
        <v>896</v>
      </c>
    </row>
    <row r="36" spans="2:14" x14ac:dyDescent="0.2">
      <c r="B36" s="38"/>
      <c r="C36" s="40" t="s">
        <v>261</v>
      </c>
      <c r="D36" s="40"/>
      <c r="E36" s="40"/>
      <c r="F36" s="40"/>
      <c r="G36" s="40"/>
      <c r="H36" s="40"/>
      <c r="I36" s="40"/>
      <c r="J36" s="245">
        <f>IF(J35=$B$973,$A$973,IF(J35=$B$974,$A$974,IF(J35=$B$975,$A$975,IF(J35=$B$976,$A$976,IF(J35=$B$977,$A$977,"Not Calculated")))))</f>
        <v>0</v>
      </c>
      <c r="K36" s="41"/>
      <c r="N36" s="12" t="s">
        <v>897</v>
      </c>
    </row>
    <row r="37" spans="2:14" x14ac:dyDescent="0.2">
      <c r="B37" s="38"/>
      <c r="C37" s="40" t="s">
        <v>893</v>
      </c>
      <c r="D37" s="40"/>
      <c r="E37" s="40"/>
      <c r="F37" s="40"/>
      <c r="G37" s="40"/>
      <c r="H37" s="40"/>
      <c r="I37" s="40"/>
      <c r="J37" s="175"/>
      <c r="K37" s="41"/>
      <c r="N37" s="12" t="s">
        <v>898</v>
      </c>
    </row>
    <row r="38" spans="2:14" s="178" customFormat="1" ht="160" customHeight="1" x14ac:dyDescent="0.2">
      <c r="B38" s="176"/>
      <c r="C38" s="415" t="s">
        <v>1133</v>
      </c>
      <c r="D38" s="400"/>
      <c r="E38" s="400"/>
      <c r="F38" s="400"/>
      <c r="G38" s="400"/>
      <c r="H38" s="400"/>
      <c r="I38" s="400"/>
      <c r="J38" s="401"/>
      <c r="K38" s="177"/>
    </row>
    <row r="39" spans="2:14" x14ac:dyDescent="0.2">
      <c r="B39" s="38"/>
      <c r="C39" s="40"/>
      <c r="D39" s="40"/>
      <c r="E39" s="40"/>
      <c r="F39" s="40"/>
      <c r="G39" s="40"/>
      <c r="H39" s="40"/>
      <c r="I39" s="40"/>
      <c r="J39" s="40"/>
      <c r="K39" s="41"/>
    </row>
    <row r="40" spans="2:14" x14ac:dyDescent="0.2">
      <c r="B40" s="38"/>
      <c r="C40" s="179" t="s">
        <v>258</v>
      </c>
      <c r="D40" s="40"/>
      <c r="E40" s="40"/>
      <c r="F40" s="40"/>
      <c r="G40" s="40"/>
      <c r="H40" s="40"/>
      <c r="I40" s="40"/>
      <c r="J40" s="245" t="str">
        <f>IF(J34="N/A",IF(OR(J27="Not Calculated",J36="Not Calculated")=TRUE,"Not Calculated",AVERAGE(J27,J36)),AVERAGE(J34,J36))</f>
        <v>Not Calculated</v>
      </c>
      <c r="K40" s="41"/>
    </row>
    <row r="41" spans="2:14" x14ac:dyDescent="0.2">
      <c r="B41" s="38"/>
      <c r="C41" s="179"/>
      <c r="D41" s="40"/>
      <c r="E41" s="40"/>
      <c r="F41" s="40"/>
      <c r="G41" s="40"/>
      <c r="H41" s="40"/>
      <c r="I41" s="40"/>
      <c r="J41" s="245"/>
      <c r="K41" s="41"/>
    </row>
    <row r="42" spans="2:14" x14ac:dyDescent="0.2">
      <c r="B42" s="38"/>
      <c r="C42" s="40"/>
      <c r="D42" s="40"/>
      <c r="E42" s="40"/>
      <c r="F42" s="40"/>
      <c r="G42" s="40"/>
      <c r="H42" s="40"/>
      <c r="I42" s="40"/>
      <c r="J42" s="40"/>
      <c r="K42" s="41"/>
    </row>
    <row r="43" spans="2:14" ht="16" x14ac:dyDescent="0.2">
      <c r="B43" s="38"/>
      <c r="C43" s="45" t="s">
        <v>51</v>
      </c>
      <c r="D43" s="40"/>
      <c r="E43" s="40"/>
      <c r="F43" s="40"/>
      <c r="G43" s="40"/>
      <c r="H43" s="40"/>
      <c r="I43" s="40"/>
      <c r="J43" s="40"/>
      <c r="K43" s="41"/>
    </row>
    <row r="44" spans="2:14" x14ac:dyDescent="0.2">
      <c r="B44" s="38"/>
      <c r="C44" s="40" t="s">
        <v>435</v>
      </c>
      <c r="D44" s="40"/>
      <c r="E44" s="40"/>
      <c r="F44" s="40"/>
      <c r="G44" s="40"/>
      <c r="H44" s="40"/>
      <c r="I44" s="40"/>
      <c r="J44" s="252">
        <f>'Baseline Health'!G17</f>
        <v>0</v>
      </c>
      <c r="K44" s="41"/>
    </row>
    <row r="45" spans="2:14" x14ac:dyDescent="0.2">
      <c r="B45" s="38"/>
      <c r="C45" s="40" t="s">
        <v>287</v>
      </c>
      <c r="D45" s="40"/>
      <c r="E45" s="40"/>
      <c r="F45" s="40"/>
      <c r="G45" s="40"/>
      <c r="H45" s="40"/>
      <c r="I45" s="40"/>
      <c r="J45" s="264">
        <v>50</v>
      </c>
      <c r="K45" s="41"/>
    </row>
    <row r="46" spans="2:14" x14ac:dyDescent="0.2">
      <c r="B46" s="38"/>
      <c r="C46" s="40" t="s">
        <v>260</v>
      </c>
      <c r="D46" s="40"/>
      <c r="E46" s="40"/>
      <c r="F46" s="40"/>
      <c r="G46" s="40"/>
      <c r="H46" s="40"/>
      <c r="I46" s="40"/>
      <c r="J46" s="248" t="str">
        <f>IF(OR(J44=0,J44="Not Calculated")=TRUE,"Not Calculated",(IF(((J45+J44)/J44)&lt;=1,0,IF(((J45+J44)/J44)&lt;=1.05,1,IF(((J45+J44)/J44)&lt;=1.5, 2,IF(((J45+J44)/J44)&lt;=2,3,4))))))</f>
        <v>Not Calculated</v>
      </c>
      <c r="K46" s="41"/>
    </row>
    <row r="47" spans="2:14" ht="9.75" customHeight="1" x14ac:dyDescent="0.2">
      <c r="B47" s="38"/>
      <c r="C47" s="279" t="str">
        <f>"0:"</f>
        <v>0:</v>
      </c>
      <c r="D47" s="281" t="s">
        <v>918</v>
      </c>
      <c r="E47" s="40"/>
      <c r="F47" s="40"/>
      <c r="G47" s="40"/>
      <c r="H47" s="40"/>
      <c r="I47" s="40"/>
      <c r="J47" s="40"/>
      <c r="K47" s="41"/>
    </row>
    <row r="48" spans="2:14" ht="9.75" customHeight="1" x14ac:dyDescent="0.2">
      <c r="B48" s="38"/>
      <c r="C48" s="280" t="str">
        <f>"1:"</f>
        <v>1:</v>
      </c>
      <c r="D48" s="281" t="s">
        <v>919</v>
      </c>
      <c r="E48" s="40"/>
      <c r="F48" s="40"/>
      <c r="G48" s="40"/>
      <c r="H48" s="40"/>
      <c r="I48" s="40"/>
      <c r="J48" s="40"/>
      <c r="K48" s="41"/>
    </row>
    <row r="49" spans="2:14" ht="9.75" customHeight="1" x14ac:dyDescent="0.2">
      <c r="B49" s="38"/>
      <c r="C49" s="280" t="str">
        <f>"2:"</f>
        <v>2:</v>
      </c>
      <c r="D49" s="281" t="s">
        <v>920</v>
      </c>
      <c r="E49" s="40"/>
      <c r="F49" s="40"/>
      <c r="G49" s="40"/>
      <c r="H49" s="40"/>
      <c r="I49" s="40"/>
      <c r="J49" s="40"/>
      <c r="K49" s="41"/>
    </row>
    <row r="50" spans="2:14" ht="9.75" customHeight="1" x14ac:dyDescent="0.2">
      <c r="B50" s="38"/>
      <c r="C50" s="280" t="str">
        <f>"3:"</f>
        <v>3:</v>
      </c>
      <c r="D50" s="281" t="s">
        <v>921</v>
      </c>
      <c r="E50" s="40"/>
      <c r="F50" s="40"/>
      <c r="G50" s="40"/>
      <c r="H50" s="40"/>
      <c r="I50" s="40"/>
      <c r="J50" s="40"/>
      <c r="K50" s="41"/>
    </row>
    <row r="51" spans="2:14" ht="9.75" customHeight="1" x14ac:dyDescent="0.2">
      <c r="B51" s="38"/>
      <c r="C51" s="280" t="str">
        <f>"4:"</f>
        <v>4:</v>
      </c>
      <c r="D51" s="281" t="s">
        <v>922</v>
      </c>
      <c r="E51" s="40"/>
      <c r="F51" s="40"/>
      <c r="G51" s="40"/>
      <c r="H51" s="40"/>
      <c r="I51" s="40"/>
      <c r="J51" s="40"/>
      <c r="K51" s="41"/>
      <c r="N51" s="12" t="s">
        <v>661</v>
      </c>
    </row>
    <row r="52" spans="2:14" x14ac:dyDescent="0.2">
      <c r="B52" s="38"/>
      <c r="C52" s="174" t="s">
        <v>662</v>
      </c>
      <c r="D52" s="40"/>
      <c r="E52" s="40"/>
      <c r="F52" s="40"/>
      <c r="G52" s="40"/>
      <c r="H52" s="40"/>
      <c r="I52" s="40"/>
      <c r="J52" s="265" t="s">
        <v>661</v>
      </c>
      <c r="K52" s="41"/>
      <c r="N52" s="12" t="s">
        <v>894</v>
      </c>
    </row>
    <row r="53" spans="2:14" x14ac:dyDescent="0.2">
      <c r="B53" s="38"/>
      <c r="C53" s="174" t="s">
        <v>660</v>
      </c>
      <c r="D53" s="40"/>
      <c r="E53" s="40"/>
      <c r="F53" s="40"/>
      <c r="G53" s="40"/>
      <c r="H53" s="40"/>
      <c r="I53" s="40"/>
      <c r="J53" s="246" t="str">
        <f>IF(J52=N51,"N/A",IF(J52=N52,0,IF(J52=N53,1,IF(J52=N54,2,IF(J52=N55,3,IF(J52=N56,4,"N/A"))))))</f>
        <v>N/A</v>
      </c>
      <c r="K53" s="41"/>
      <c r="N53" s="12" t="s">
        <v>895</v>
      </c>
    </row>
    <row r="54" spans="2:14" x14ac:dyDescent="0.2">
      <c r="B54" s="38"/>
      <c r="C54" s="40" t="s">
        <v>257</v>
      </c>
      <c r="D54" s="40"/>
      <c r="E54" s="40"/>
      <c r="F54" s="40"/>
      <c r="G54" s="40"/>
      <c r="H54" s="40"/>
      <c r="I54" s="40"/>
      <c r="J54" s="266" t="s">
        <v>882</v>
      </c>
      <c r="K54" s="41"/>
      <c r="N54" s="12" t="s">
        <v>896</v>
      </c>
    </row>
    <row r="55" spans="2:14" x14ac:dyDescent="0.2">
      <c r="B55" s="38"/>
      <c r="C55" s="40" t="s">
        <v>261</v>
      </c>
      <c r="D55" s="40"/>
      <c r="E55" s="40"/>
      <c r="F55" s="40"/>
      <c r="G55" s="40"/>
      <c r="H55" s="40"/>
      <c r="I55" s="40"/>
      <c r="J55" s="245">
        <f>IF(J54=$B$973,$A$973,IF(J54=$B$974,$A$974,IF(J54=$B$975,$A$975,IF(J54=$B$976,$A$976,IF(J54=$B$977,$A$977,"Not Calculated")))))</f>
        <v>1</v>
      </c>
      <c r="K55" s="41"/>
      <c r="N55" s="12" t="s">
        <v>897</v>
      </c>
    </row>
    <row r="56" spans="2:14" x14ac:dyDescent="0.2">
      <c r="B56" s="38"/>
      <c r="C56" s="40" t="s">
        <v>893</v>
      </c>
      <c r="D56" s="40"/>
      <c r="E56" s="40"/>
      <c r="F56" s="40"/>
      <c r="G56" s="40"/>
      <c r="H56" s="40"/>
      <c r="I56" s="40"/>
      <c r="J56" s="175"/>
      <c r="K56" s="41"/>
      <c r="N56" s="12" t="s">
        <v>898</v>
      </c>
    </row>
    <row r="57" spans="2:14" s="178" customFormat="1" ht="30" customHeight="1" x14ac:dyDescent="0.2">
      <c r="B57" s="176"/>
      <c r="C57" s="415"/>
      <c r="D57" s="400"/>
      <c r="E57" s="400"/>
      <c r="F57" s="400"/>
      <c r="G57" s="400"/>
      <c r="H57" s="400"/>
      <c r="I57" s="400"/>
      <c r="J57" s="401"/>
      <c r="K57" s="177"/>
    </row>
    <row r="58" spans="2:14" x14ac:dyDescent="0.2">
      <c r="B58" s="38"/>
      <c r="C58" s="40"/>
      <c r="D58" s="40"/>
      <c r="E58" s="40"/>
      <c r="F58" s="40"/>
      <c r="G58" s="40"/>
      <c r="H58" s="40"/>
      <c r="I58" s="40"/>
      <c r="J58" s="40"/>
      <c r="K58" s="41"/>
    </row>
    <row r="59" spans="2:14" x14ac:dyDescent="0.2">
      <c r="B59" s="38"/>
      <c r="C59" s="179" t="s">
        <v>263</v>
      </c>
      <c r="D59" s="40"/>
      <c r="E59" s="40"/>
      <c r="F59" s="40"/>
      <c r="G59" s="40"/>
      <c r="H59" s="40"/>
      <c r="I59" s="40"/>
      <c r="J59" s="245" t="str">
        <f>IF(J53="N/A",IF(OR(J46="Not Calculated",J55="Not Calculated")=TRUE,"Not Calculated",AVERAGE(J46,J55)),AVERAGE(J53,J55))</f>
        <v>Not Calculated</v>
      </c>
      <c r="K59" s="41"/>
    </row>
    <row r="60" spans="2:14" x14ac:dyDescent="0.2">
      <c r="B60" s="38"/>
      <c r="C60" s="40"/>
      <c r="D60" s="40"/>
      <c r="E60" s="40"/>
      <c r="F60" s="40"/>
      <c r="G60" s="40"/>
      <c r="H60" s="40"/>
      <c r="I60" s="40"/>
      <c r="J60" s="40"/>
      <c r="K60" s="41"/>
    </row>
    <row r="61" spans="2:14" x14ac:dyDescent="0.2">
      <c r="B61" s="38"/>
      <c r="C61" s="40"/>
      <c r="D61" s="40"/>
      <c r="E61" s="40"/>
      <c r="F61" s="40"/>
      <c r="G61" s="40"/>
      <c r="H61" s="40"/>
      <c r="I61" s="40"/>
      <c r="J61" s="40"/>
      <c r="K61" s="41"/>
    </row>
    <row r="62" spans="2:14" ht="16" x14ac:dyDescent="0.2">
      <c r="B62" s="38"/>
      <c r="C62" s="45" t="s">
        <v>54</v>
      </c>
      <c r="D62" s="40"/>
      <c r="E62" s="40"/>
      <c r="F62" s="40"/>
      <c r="G62" s="40"/>
      <c r="H62" s="40"/>
      <c r="I62" s="40"/>
      <c r="J62" s="40"/>
      <c r="K62" s="41"/>
    </row>
    <row r="63" spans="2:14" x14ac:dyDescent="0.2">
      <c r="B63" s="38"/>
      <c r="C63" s="40" t="s">
        <v>436</v>
      </c>
      <c r="D63" s="40"/>
      <c r="E63" s="40"/>
      <c r="F63" s="40"/>
      <c r="G63" s="40"/>
      <c r="H63" s="40"/>
      <c r="I63" s="40"/>
      <c r="J63" s="252">
        <f>'Baseline Health'!G23</f>
        <v>0</v>
      </c>
      <c r="K63" s="41"/>
    </row>
    <row r="64" spans="2:14" x14ac:dyDescent="0.2">
      <c r="B64" s="38"/>
      <c r="C64" s="40" t="s">
        <v>289</v>
      </c>
      <c r="D64" s="40"/>
      <c r="E64" s="40"/>
      <c r="F64" s="40"/>
      <c r="G64" s="40"/>
      <c r="H64" s="40"/>
      <c r="I64" s="40"/>
      <c r="J64" s="264">
        <v>1</v>
      </c>
      <c r="K64" s="41"/>
    </row>
    <row r="65" spans="2:14" x14ac:dyDescent="0.2">
      <c r="B65" s="38"/>
      <c r="C65" s="40" t="s">
        <v>260</v>
      </c>
      <c r="D65" s="40"/>
      <c r="E65" s="40"/>
      <c r="F65" s="40"/>
      <c r="G65" s="40"/>
      <c r="H65" s="40"/>
      <c r="I65" s="40"/>
      <c r="J65" s="248" t="str">
        <f>IF(OR(J63=0,J63="Not Calculated")=TRUE,"Not Calculated",(IF(((J64+J63)/J63)&lt;=1,0,IF(((J64+J63)/J63)&lt;=1.05,1,IF(((J64+J63)/J63)&lt;=1.5, 2,IF(((J64+J63)/J63)&lt;=2,3,4))))))</f>
        <v>Not Calculated</v>
      </c>
      <c r="K65" s="41"/>
    </row>
    <row r="66" spans="2:14" ht="9.75" customHeight="1" x14ac:dyDescent="0.2">
      <c r="B66" s="38"/>
      <c r="C66" s="279" t="str">
        <f>"0:"</f>
        <v>0:</v>
      </c>
      <c r="D66" s="281" t="s">
        <v>918</v>
      </c>
      <c r="E66" s="40"/>
      <c r="F66" s="40"/>
      <c r="G66" s="40"/>
      <c r="H66" s="40"/>
      <c r="I66" s="40"/>
      <c r="J66" s="40"/>
      <c r="K66" s="41"/>
    </row>
    <row r="67" spans="2:14" ht="9.75" customHeight="1" x14ac:dyDescent="0.2">
      <c r="B67" s="38"/>
      <c r="C67" s="280" t="str">
        <f>"1:"</f>
        <v>1:</v>
      </c>
      <c r="D67" s="281" t="s">
        <v>919</v>
      </c>
      <c r="E67" s="40"/>
      <c r="F67" s="40"/>
      <c r="G67" s="40"/>
      <c r="H67" s="40"/>
      <c r="I67" s="40"/>
      <c r="J67" s="40"/>
      <c r="K67" s="41"/>
    </row>
    <row r="68" spans="2:14" ht="9.75" customHeight="1" x14ac:dyDescent="0.2">
      <c r="B68" s="38"/>
      <c r="C68" s="280" t="str">
        <f>"2:"</f>
        <v>2:</v>
      </c>
      <c r="D68" s="281" t="s">
        <v>920</v>
      </c>
      <c r="E68" s="40"/>
      <c r="F68" s="40"/>
      <c r="G68" s="40"/>
      <c r="H68" s="40"/>
      <c r="I68" s="40"/>
      <c r="J68" s="40"/>
      <c r="K68" s="41"/>
    </row>
    <row r="69" spans="2:14" ht="9.75" customHeight="1" x14ac:dyDescent="0.2">
      <c r="B69" s="38"/>
      <c r="C69" s="280" t="str">
        <f>"3:"</f>
        <v>3:</v>
      </c>
      <c r="D69" s="281" t="s">
        <v>921</v>
      </c>
      <c r="E69" s="40"/>
      <c r="F69" s="40"/>
      <c r="G69" s="40"/>
      <c r="H69" s="40"/>
      <c r="I69" s="40"/>
      <c r="J69" s="40"/>
      <c r="K69" s="41"/>
    </row>
    <row r="70" spans="2:14" ht="9.75" customHeight="1" x14ac:dyDescent="0.2">
      <c r="B70" s="38"/>
      <c r="C70" s="280" t="str">
        <f>"4:"</f>
        <v>4:</v>
      </c>
      <c r="D70" s="281" t="s">
        <v>922</v>
      </c>
      <c r="E70" s="40"/>
      <c r="F70" s="40"/>
      <c r="G70" s="40"/>
      <c r="H70" s="40"/>
      <c r="I70" s="40"/>
      <c r="J70" s="40"/>
      <c r="K70" s="41"/>
      <c r="N70" s="12" t="s">
        <v>661</v>
      </c>
    </row>
    <row r="71" spans="2:14" x14ac:dyDescent="0.2">
      <c r="B71" s="38"/>
      <c r="C71" s="174" t="s">
        <v>662</v>
      </c>
      <c r="D71" s="40"/>
      <c r="E71" s="40"/>
      <c r="F71" s="40"/>
      <c r="G71" s="40"/>
      <c r="H71" s="40"/>
      <c r="I71" s="40"/>
      <c r="J71" s="265" t="s">
        <v>661</v>
      </c>
      <c r="K71" s="41"/>
      <c r="N71" s="12" t="s">
        <v>894</v>
      </c>
    </row>
    <row r="72" spans="2:14" x14ac:dyDescent="0.2">
      <c r="B72" s="38"/>
      <c r="C72" s="174" t="s">
        <v>660</v>
      </c>
      <c r="D72" s="40"/>
      <c r="E72" s="40"/>
      <c r="F72" s="40"/>
      <c r="G72" s="40"/>
      <c r="H72" s="40"/>
      <c r="I72" s="40"/>
      <c r="J72" s="246" t="str">
        <f>IF(J71=N70,"N/A",IF(J71=N71,0,IF(J71=N72,1,IF(J71=N73,2,IF(J71=N74,3,IF(J71=N75,4,"N/A"))))))</f>
        <v>N/A</v>
      </c>
      <c r="K72" s="41"/>
      <c r="N72" s="12" t="s">
        <v>895</v>
      </c>
    </row>
    <row r="73" spans="2:14" x14ac:dyDescent="0.2">
      <c r="B73" s="38"/>
      <c r="C73" s="40" t="s">
        <v>257</v>
      </c>
      <c r="D73" s="40"/>
      <c r="E73" s="40"/>
      <c r="F73" s="40"/>
      <c r="G73" s="40"/>
      <c r="H73" s="40"/>
      <c r="I73" s="40"/>
      <c r="J73" s="266" t="s">
        <v>882</v>
      </c>
      <c r="K73" s="41"/>
      <c r="N73" s="12" t="s">
        <v>896</v>
      </c>
    </row>
    <row r="74" spans="2:14" x14ac:dyDescent="0.2">
      <c r="B74" s="38"/>
      <c r="C74" s="40" t="s">
        <v>261</v>
      </c>
      <c r="D74" s="40"/>
      <c r="E74" s="40"/>
      <c r="F74" s="40"/>
      <c r="G74" s="40"/>
      <c r="H74" s="40"/>
      <c r="I74" s="40"/>
      <c r="J74" s="245">
        <f>IF(J73=$B$973,$A$973,IF(J73=$B$974,$A$974,IF(J73=$B$975,$A$975,IF(J73=$B$976,$A$976,IF(J73=$B$977,$A$977,"Not Calculated")))))</f>
        <v>1</v>
      </c>
      <c r="K74" s="41"/>
      <c r="N74" s="12" t="s">
        <v>897</v>
      </c>
    </row>
    <row r="75" spans="2:14" x14ac:dyDescent="0.2">
      <c r="B75" s="38"/>
      <c r="C75" s="40" t="s">
        <v>893</v>
      </c>
      <c r="D75" s="40"/>
      <c r="E75" s="40"/>
      <c r="F75" s="40"/>
      <c r="G75" s="40"/>
      <c r="H75" s="40"/>
      <c r="I75" s="40"/>
      <c r="J75" s="175"/>
      <c r="K75" s="41"/>
      <c r="N75" s="12" t="s">
        <v>898</v>
      </c>
    </row>
    <row r="76" spans="2:14" s="178" customFormat="1" ht="30" customHeight="1" x14ac:dyDescent="0.2">
      <c r="B76" s="176"/>
      <c r="C76" s="415"/>
      <c r="D76" s="400"/>
      <c r="E76" s="400"/>
      <c r="F76" s="400"/>
      <c r="G76" s="400"/>
      <c r="H76" s="400"/>
      <c r="I76" s="400"/>
      <c r="J76" s="401"/>
      <c r="K76" s="177"/>
    </row>
    <row r="77" spans="2:14" x14ac:dyDescent="0.2">
      <c r="B77" s="38"/>
      <c r="C77" s="40"/>
      <c r="D77" s="40"/>
      <c r="E77" s="40"/>
      <c r="F77" s="40"/>
      <c r="G77" s="40"/>
      <c r="H77" s="40"/>
      <c r="I77" s="40"/>
      <c r="J77" s="40"/>
      <c r="K77" s="41"/>
    </row>
    <row r="78" spans="2:14" x14ac:dyDescent="0.2">
      <c r="B78" s="38"/>
      <c r="C78" s="179" t="s">
        <v>264</v>
      </c>
      <c r="D78" s="40"/>
      <c r="E78" s="40"/>
      <c r="F78" s="40"/>
      <c r="G78" s="40"/>
      <c r="H78" s="40"/>
      <c r="I78" s="40"/>
      <c r="J78" s="245" t="str">
        <f>IF(J72="N/A",IF(OR(J65="Not Calculated",J74="Not Calculated")=TRUE,"Not Calculated",AVERAGE(J65,J74)),AVERAGE(J72,J74))</f>
        <v>Not Calculated</v>
      </c>
      <c r="K78" s="41"/>
    </row>
    <row r="79" spans="2:14" x14ac:dyDescent="0.2">
      <c r="B79" s="38"/>
      <c r="C79" s="40"/>
      <c r="D79" s="40"/>
      <c r="E79" s="40"/>
      <c r="F79" s="40"/>
      <c r="G79" s="40"/>
      <c r="H79" s="40"/>
      <c r="I79" s="40"/>
      <c r="J79" s="40"/>
      <c r="K79" s="41"/>
    </row>
    <row r="80" spans="2:14" x14ac:dyDescent="0.2">
      <c r="B80" s="38"/>
      <c r="C80" s="40"/>
      <c r="D80" s="40"/>
      <c r="E80" s="40"/>
      <c r="F80" s="40"/>
      <c r="G80" s="40"/>
      <c r="H80" s="40"/>
      <c r="I80" s="40"/>
      <c r="J80" s="40"/>
      <c r="K80" s="41"/>
    </row>
    <row r="81" spans="2:14" ht="16" x14ac:dyDescent="0.2">
      <c r="B81" s="38"/>
      <c r="C81" s="45" t="s">
        <v>57</v>
      </c>
      <c r="D81" s="40"/>
      <c r="E81" s="40"/>
      <c r="F81" s="40"/>
      <c r="G81" s="40"/>
      <c r="H81" s="40"/>
      <c r="I81" s="40"/>
      <c r="J81" s="40"/>
      <c r="K81" s="41"/>
    </row>
    <row r="82" spans="2:14" x14ac:dyDescent="0.2">
      <c r="B82" s="38"/>
      <c r="C82" s="40" t="s">
        <v>437</v>
      </c>
      <c r="D82" s="40"/>
      <c r="E82" s="40"/>
      <c r="F82" s="40"/>
      <c r="G82" s="40"/>
      <c r="H82" s="40"/>
      <c r="I82" s="40"/>
      <c r="J82" s="252">
        <f>'Baseline Health'!G29</f>
        <v>0</v>
      </c>
      <c r="K82" s="41"/>
    </row>
    <row r="83" spans="2:14" x14ac:dyDescent="0.2">
      <c r="B83" s="38"/>
      <c r="C83" s="40" t="s">
        <v>290</v>
      </c>
      <c r="D83" s="40"/>
      <c r="E83" s="40"/>
      <c r="F83" s="40"/>
      <c r="G83" s="40"/>
      <c r="H83" s="40"/>
      <c r="I83" s="40"/>
      <c r="J83" s="264">
        <v>0</v>
      </c>
      <c r="K83" s="41"/>
    </row>
    <row r="84" spans="2:14" x14ac:dyDescent="0.2">
      <c r="B84" s="38"/>
      <c r="C84" s="40" t="s">
        <v>260</v>
      </c>
      <c r="D84" s="40"/>
      <c r="E84" s="40"/>
      <c r="F84" s="40"/>
      <c r="G84" s="40"/>
      <c r="H84" s="40"/>
      <c r="I84" s="40"/>
      <c r="J84" s="248" t="str">
        <f>IF(OR(J82=0,J82="Not Calculated")=TRUE,"Not Calculated",(IF(((J83+J82)/J82)&lt;=1,0,IF(((J83+J82)/J82)&lt;=1.05,1,IF(((J83+J82)/J82)&lt;=1.5, 2,IF(((J83+J82)/J82)&lt;=2,3,4))))))</f>
        <v>Not Calculated</v>
      </c>
      <c r="K84" s="41"/>
    </row>
    <row r="85" spans="2:14" ht="9.75" customHeight="1" x14ac:dyDescent="0.2">
      <c r="B85" s="38"/>
      <c r="C85" s="279" t="str">
        <f>"0:"</f>
        <v>0:</v>
      </c>
      <c r="D85" s="281" t="s">
        <v>918</v>
      </c>
      <c r="E85" s="40"/>
      <c r="F85" s="40"/>
      <c r="G85" s="40"/>
      <c r="H85" s="40"/>
      <c r="I85" s="40"/>
      <c r="J85" s="40"/>
      <c r="K85" s="41"/>
    </row>
    <row r="86" spans="2:14" ht="9.75" customHeight="1" x14ac:dyDescent="0.2">
      <c r="B86" s="38"/>
      <c r="C86" s="280" t="str">
        <f>"1:"</f>
        <v>1:</v>
      </c>
      <c r="D86" s="281" t="s">
        <v>919</v>
      </c>
      <c r="E86" s="40"/>
      <c r="F86" s="40"/>
      <c r="G86" s="40"/>
      <c r="H86" s="40"/>
      <c r="I86" s="40"/>
      <c r="J86" s="40"/>
      <c r="K86" s="41"/>
    </row>
    <row r="87" spans="2:14" ht="9.75" customHeight="1" x14ac:dyDescent="0.2">
      <c r="B87" s="38"/>
      <c r="C87" s="280" t="str">
        <f>"2:"</f>
        <v>2:</v>
      </c>
      <c r="D87" s="281" t="s">
        <v>920</v>
      </c>
      <c r="E87" s="40"/>
      <c r="F87" s="40"/>
      <c r="G87" s="40"/>
      <c r="H87" s="40"/>
      <c r="I87" s="40"/>
      <c r="J87" s="40"/>
      <c r="K87" s="41"/>
    </row>
    <row r="88" spans="2:14" ht="9.75" customHeight="1" x14ac:dyDescent="0.2">
      <c r="B88" s="38"/>
      <c r="C88" s="280" t="str">
        <f>"3:"</f>
        <v>3:</v>
      </c>
      <c r="D88" s="281" t="s">
        <v>921</v>
      </c>
      <c r="E88" s="40"/>
      <c r="F88" s="40"/>
      <c r="G88" s="40"/>
      <c r="H88" s="40"/>
      <c r="I88" s="40"/>
      <c r="J88" s="40"/>
      <c r="K88" s="41"/>
    </row>
    <row r="89" spans="2:14" ht="9.75" customHeight="1" x14ac:dyDescent="0.2">
      <c r="B89" s="38"/>
      <c r="C89" s="280" t="str">
        <f>"4:"</f>
        <v>4:</v>
      </c>
      <c r="D89" s="281" t="s">
        <v>922</v>
      </c>
      <c r="E89" s="40"/>
      <c r="F89" s="40"/>
      <c r="G89" s="40"/>
      <c r="H89" s="40"/>
      <c r="I89" s="40"/>
      <c r="J89" s="40"/>
      <c r="K89" s="41"/>
      <c r="N89" s="12" t="s">
        <v>661</v>
      </c>
    </row>
    <row r="90" spans="2:14" x14ac:dyDescent="0.2">
      <c r="B90" s="38"/>
      <c r="C90" s="174" t="s">
        <v>662</v>
      </c>
      <c r="D90" s="40"/>
      <c r="E90" s="40"/>
      <c r="F90" s="40"/>
      <c r="G90" s="40"/>
      <c r="H90" s="40"/>
      <c r="I90" s="40"/>
      <c r="J90" s="265" t="s">
        <v>661</v>
      </c>
      <c r="K90" s="41"/>
      <c r="N90" s="12" t="s">
        <v>894</v>
      </c>
    </row>
    <row r="91" spans="2:14" x14ac:dyDescent="0.2">
      <c r="B91" s="38"/>
      <c r="C91" s="174" t="s">
        <v>660</v>
      </c>
      <c r="D91" s="40"/>
      <c r="E91" s="40"/>
      <c r="F91" s="40"/>
      <c r="G91" s="40"/>
      <c r="H91" s="40"/>
      <c r="I91" s="40"/>
      <c r="J91" s="246" t="str">
        <f>IF(J90=N89,"N/A",IF(J90=N90,0,IF(J90=N91,1,IF(J90=N92,2,IF(J90=N93,3,IF(J90=N94,4,"N/A"))))))</f>
        <v>N/A</v>
      </c>
      <c r="K91" s="41"/>
      <c r="N91" s="12" t="s">
        <v>895</v>
      </c>
    </row>
    <row r="92" spans="2:14" x14ac:dyDescent="0.2">
      <c r="B92" s="38"/>
      <c r="C92" s="40" t="s">
        <v>257</v>
      </c>
      <c r="D92" s="40"/>
      <c r="E92" s="40"/>
      <c r="F92" s="40"/>
      <c r="G92" s="40"/>
      <c r="H92" s="40"/>
      <c r="I92" s="40"/>
      <c r="J92" s="266" t="s">
        <v>870</v>
      </c>
      <c r="K92" s="41"/>
      <c r="N92" s="12" t="s">
        <v>896</v>
      </c>
    </row>
    <row r="93" spans="2:14" x14ac:dyDescent="0.2">
      <c r="B93" s="38"/>
      <c r="C93" s="40" t="s">
        <v>261</v>
      </c>
      <c r="D93" s="40"/>
      <c r="E93" s="40"/>
      <c r="F93" s="40"/>
      <c r="G93" s="40"/>
      <c r="H93" s="40"/>
      <c r="I93" s="40"/>
      <c r="J93" s="245">
        <f>IF(J92=$B$973,$A$973,IF(J92=$B$974,$A$974,IF(J92=$B$975,$A$975,IF(J92=$B$976,$A$976,IF(J92=$B$977,$A$977,"Not Calculated")))))</f>
        <v>0</v>
      </c>
      <c r="K93" s="41"/>
      <c r="N93" s="12" t="s">
        <v>897</v>
      </c>
    </row>
    <row r="94" spans="2:14" x14ac:dyDescent="0.2">
      <c r="B94" s="38"/>
      <c r="C94" s="40" t="s">
        <v>893</v>
      </c>
      <c r="D94" s="40"/>
      <c r="E94" s="40"/>
      <c r="F94" s="40"/>
      <c r="G94" s="40"/>
      <c r="H94" s="40"/>
      <c r="I94" s="40"/>
      <c r="J94" s="175"/>
      <c r="K94" s="41"/>
      <c r="N94" s="12" t="s">
        <v>898</v>
      </c>
    </row>
    <row r="95" spans="2:14" s="178" customFormat="1" ht="30" customHeight="1" x14ac:dyDescent="0.2">
      <c r="B95" s="176"/>
      <c r="C95" s="415"/>
      <c r="D95" s="400"/>
      <c r="E95" s="400"/>
      <c r="F95" s="400"/>
      <c r="G95" s="400"/>
      <c r="H95" s="400"/>
      <c r="I95" s="400"/>
      <c r="J95" s="401"/>
      <c r="K95" s="177"/>
    </row>
    <row r="96" spans="2:14" x14ac:dyDescent="0.2">
      <c r="B96" s="38"/>
      <c r="C96" s="40"/>
      <c r="D96" s="40"/>
      <c r="E96" s="40"/>
      <c r="F96" s="40"/>
      <c r="G96" s="40"/>
      <c r="H96" s="40"/>
      <c r="I96" s="40"/>
      <c r="J96" s="40"/>
      <c r="K96" s="41"/>
    </row>
    <row r="97" spans="2:14" x14ac:dyDescent="0.2">
      <c r="B97" s="38"/>
      <c r="C97" s="179" t="s">
        <v>265</v>
      </c>
      <c r="D97" s="40"/>
      <c r="E97" s="40"/>
      <c r="F97" s="40"/>
      <c r="G97" s="40"/>
      <c r="H97" s="40"/>
      <c r="I97" s="40"/>
      <c r="J97" s="245" t="str">
        <f>IF(J91="N/A",IF(OR(J84="Not Calculated",J93="Not Calculated")=TRUE,"Not Calculated",AVERAGE(J84,J93)),AVERAGE(J91,J93))</f>
        <v>Not Calculated</v>
      </c>
      <c r="K97" s="41"/>
    </row>
    <row r="98" spans="2:14" x14ac:dyDescent="0.2">
      <c r="B98" s="38"/>
      <c r="C98" s="40"/>
      <c r="D98" s="40"/>
      <c r="E98" s="40"/>
      <c r="F98" s="40"/>
      <c r="G98" s="40"/>
      <c r="H98" s="40"/>
      <c r="I98" s="40"/>
      <c r="J98" s="40"/>
      <c r="K98" s="41"/>
    </row>
    <row r="99" spans="2:14" x14ac:dyDescent="0.2">
      <c r="B99" s="38"/>
      <c r="C99" s="40"/>
      <c r="D99" s="40"/>
      <c r="E99" s="40"/>
      <c r="F99" s="40"/>
      <c r="G99" s="40"/>
      <c r="H99" s="40"/>
      <c r="I99" s="40"/>
      <c r="J99" s="40"/>
      <c r="K99" s="41"/>
    </row>
    <row r="100" spans="2:14" ht="16" x14ac:dyDescent="0.2">
      <c r="B100" s="38"/>
      <c r="C100" s="45" t="s">
        <v>60</v>
      </c>
      <c r="D100" s="40"/>
      <c r="E100" s="40"/>
      <c r="F100" s="40"/>
      <c r="G100" s="40"/>
      <c r="H100" s="40"/>
      <c r="I100" s="40"/>
      <c r="J100" s="40"/>
      <c r="K100" s="41"/>
    </row>
    <row r="101" spans="2:14" x14ac:dyDescent="0.2">
      <c r="B101" s="38"/>
      <c r="C101" s="40" t="s">
        <v>438</v>
      </c>
      <c r="D101" s="40"/>
      <c r="E101" s="40"/>
      <c r="F101" s="40"/>
      <c r="G101" s="40"/>
      <c r="H101" s="40"/>
      <c r="I101" s="40"/>
      <c r="J101" s="252">
        <f>'Baseline Health'!G35</f>
        <v>0</v>
      </c>
      <c r="K101" s="41"/>
    </row>
    <row r="102" spans="2:14" x14ac:dyDescent="0.2">
      <c r="B102" s="38"/>
      <c r="C102" s="40" t="s">
        <v>291</v>
      </c>
      <c r="D102" s="40"/>
      <c r="E102" s="40"/>
      <c r="F102" s="40"/>
      <c r="G102" s="40"/>
      <c r="H102" s="40"/>
      <c r="I102" s="40"/>
      <c r="J102" s="264">
        <v>0</v>
      </c>
      <c r="K102" s="41"/>
    </row>
    <row r="103" spans="2:14" x14ac:dyDescent="0.2">
      <c r="B103" s="38"/>
      <c r="C103" s="40" t="s">
        <v>260</v>
      </c>
      <c r="D103" s="40"/>
      <c r="E103" s="40"/>
      <c r="F103" s="40"/>
      <c r="G103" s="40"/>
      <c r="H103" s="40"/>
      <c r="I103" s="40"/>
      <c r="J103" s="248" t="str">
        <f>IF(OR(J101=0,J101="Not Calculated")=TRUE,"Not Calculated",(IF(((J102+J101)/J101)&lt;=1,0,IF(((J102+J101)/J101)&lt;=1.05,1,IF(((J102+J101)/J101)&lt;=1.5, 2,IF(((J102+J101)/J101)&lt;=2,3,4))))))</f>
        <v>Not Calculated</v>
      </c>
      <c r="K103" s="41"/>
    </row>
    <row r="104" spans="2:14" ht="9.75" customHeight="1" x14ac:dyDescent="0.2">
      <c r="B104" s="38"/>
      <c r="C104" s="279" t="str">
        <f>"0:"</f>
        <v>0:</v>
      </c>
      <c r="D104" s="281" t="s">
        <v>918</v>
      </c>
      <c r="E104" s="40"/>
      <c r="F104" s="40"/>
      <c r="G104" s="40"/>
      <c r="H104" s="40"/>
      <c r="I104" s="40"/>
      <c r="J104" s="40"/>
      <c r="K104" s="41"/>
    </row>
    <row r="105" spans="2:14" ht="9.75" customHeight="1" x14ac:dyDescent="0.2">
      <c r="B105" s="38"/>
      <c r="C105" s="280" t="str">
        <f>"1:"</f>
        <v>1:</v>
      </c>
      <c r="D105" s="281" t="s">
        <v>919</v>
      </c>
      <c r="E105" s="40"/>
      <c r="F105" s="40"/>
      <c r="G105" s="40"/>
      <c r="H105" s="40"/>
      <c r="I105" s="40"/>
      <c r="J105" s="40"/>
      <c r="K105" s="41"/>
    </row>
    <row r="106" spans="2:14" ht="9.75" customHeight="1" x14ac:dyDescent="0.2">
      <c r="B106" s="38"/>
      <c r="C106" s="280" t="str">
        <f>"2:"</f>
        <v>2:</v>
      </c>
      <c r="D106" s="281" t="s">
        <v>920</v>
      </c>
      <c r="E106" s="40"/>
      <c r="F106" s="40"/>
      <c r="G106" s="40"/>
      <c r="H106" s="40"/>
      <c r="I106" s="40"/>
      <c r="J106" s="40"/>
      <c r="K106" s="41"/>
    </row>
    <row r="107" spans="2:14" ht="9.75" customHeight="1" x14ac:dyDescent="0.2">
      <c r="B107" s="38"/>
      <c r="C107" s="280" t="str">
        <f>"3:"</f>
        <v>3:</v>
      </c>
      <c r="D107" s="281" t="s">
        <v>921</v>
      </c>
      <c r="E107" s="40"/>
      <c r="F107" s="40"/>
      <c r="G107" s="40"/>
      <c r="H107" s="40"/>
      <c r="I107" s="40"/>
      <c r="J107" s="40"/>
      <c r="K107" s="41"/>
    </row>
    <row r="108" spans="2:14" ht="9.75" customHeight="1" x14ac:dyDescent="0.2">
      <c r="B108" s="38"/>
      <c r="C108" s="280" t="str">
        <f>"4:"</f>
        <v>4:</v>
      </c>
      <c r="D108" s="281" t="s">
        <v>922</v>
      </c>
      <c r="E108" s="40"/>
      <c r="F108" s="40"/>
      <c r="G108" s="40"/>
      <c r="H108" s="40"/>
      <c r="I108" s="40"/>
      <c r="J108" s="40"/>
      <c r="K108" s="41"/>
      <c r="N108" s="12" t="s">
        <v>661</v>
      </c>
    </row>
    <row r="109" spans="2:14" x14ac:dyDescent="0.2">
      <c r="B109" s="38"/>
      <c r="C109" s="174" t="s">
        <v>662</v>
      </c>
      <c r="D109" s="40"/>
      <c r="E109" s="40"/>
      <c r="F109" s="40"/>
      <c r="G109" s="40"/>
      <c r="H109" s="40"/>
      <c r="I109" s="40"/>
      <c r="J109" s="265" t="s">
        <v>661</v>
      </c>
      <c r="K109" s="41"/>
      <c r="N109" s="12" t="s">
        <v>894</v>
      </c>
    </row>
    <row r="110" spans="2:14" x14ac:dyDescent="0.2">
      <c r="B110" s="38"/>
      <c r="C110" s="174" t="s">
        <v>660</v>
      </c>
      <c r="D110" s="40"/>
      <c r="E110" s="40"/>
      <c r="F110" s="40"/>
      <c r="G110" s="40"/>
      <c r="H110" s="40"/>
      <c r="I110" s="40"/>
      <c r="J110" s="246" t="str">
        <f>IF(J109=N108,"N/A",IF(J109=N109,0,IF(J109=N110,1,IF(J109=N111,2,IF(J109=N112,3,IF(J109=N113,4,"N/A"))))))</f>
        <v>N/A</v>
      </c>
      <c r="K110" s="41"/>
      <c r="N110" s="12" t="s">
        <v>895</v>
      </c>
    </row>
    <row r="111" spans="2:14" x14ac:dyDescent="0.2">
      <c r="B111" s="38"/>
      <c r="C111" s="40" t="s">
        <v>257</v>
      </c>
      <c r="D111" s="40"/>
      <c r="E111" s="40"/>
      <c r="F111" s="40"/>
      <c r="G111" s="40"/>
      <c r="H111" s="40"/>
      <c r="I111" s="40"/>
      <c r="J111" s="266" t="s">
        <v>870</v>
      </c>
      <c r="K111" s="41"/>
      <c r="N111" s="12" t="s">
        <v>896</v>
      </c>
    </row>
    <row r="112" spans="2:14" x14ac:dyDescent="0.2">
      <c r="B112" s="38"/>
      <c r="C112" s="40" t="s">
        <v>261</v>
      </c>
      <c r="D112" s="40"/>
      <c r="E112" s="40"/>
      <c r="F112" s="40"/>
      <c r="G112" s="40"/>
      <c r="H112" s="40"/>
      <c r="I112" s="40"/>
      <c r="J112" s="245">
        <f>IF(J111=$B$973,$A$973,IF(J111=$B$974,$A$974,IF(J111=$B$975,$A$975,IF(J111=$B$976,$A$976,IF(J111=$B$977,$A$977,"Not Calculated")))))</f>
        <v>0</v>
      </c>
      <c r="K112" s="41"/>
      <c r="N112" s="12" t="s">
        <v>897</v>
      </c>
    </row>
    <row r="113" spans="2:14" x14ac:dyDescent="0.2">
      <c r="B113" s="38"/>
      <c r="C113" s="40" t="s">
        <v>893</v>
      </c>
      <c r="D113" s="40"/>
      <c r="E113" s="40"/>
      <c r="F113" s="40"/>
      <c r="G113" s="40"/>
      <c r="H113" s="40"/>
      <c r="I113" s="40"/>
      <c r="J113" s="175"/>
      <c r="K113" s="41"/>
      <c r="N113" s="12" t="s">
        <v>898</v>
      </c>
    </row>
    <row r="114" spans="2:14" s="178" customFormat="1" ht="30" customHeight="1" x14ac:dyDescent="0.2">
      <c r="B114" s="176"/>
      <c r="C114" s="415"/>
      <c r="D114" s="400"/>
      <c r="E114" s="400"/>
      <c r="F114" s="400"/>
      <c r="G114" s="400"/>
      <c r="H114" s="400"/>
      <c r="I114" s="400"/>
      <c r="J114" s="400"/>
      <c r="K114" s="177"/>
    </row>
    <row r="115" spans="2:14" x14ac:dyDescent="0.2">
      <c r="B115" s="38"/>
      <c r="C115" s="40"/>
      <c r="D115" s="40"/>
      <c r="E115" s="40"/>
      <c r="F115" s="40"/>
      <c r="G115" s="40"/>
      <c r="H115" s="40"/>
      <c r="I115" s="40"/>
      <c r="J115" s="40"/>
      <c r="K115" s="41"/>
    </row>
    <row r="116" spans="2:14" x14ac:dyDescent="0.2">
      <c r="B116" s="38"/>
      <c r="C116" s="179" t="s">
        <v>266</v>
      </c>
      <c r="D116" s="40"/>
      <c r="E116" s="40"/>
      <c r="F116" s="40"/>
      <c r="G116" s="40"/>
      <c r="H116" s="40"/>
      <c r="I116" s="40"/>
      <c r="J116" s="245" t="str">
        <f>IF(J110="N/A",IF(OR(J103="Not Calculated",J112="Not Calculated")=TRUE,"Not Calculated",AVERAGE(J103,J112)),AVERAGE(J110,J112))</f>
        <v>Not Calculated</v>
      </c>
      <c r="K116" s="41"/>
    </row>
    <row r="117" spans="2:14" x14ac:dyDescent="0.2">
      <c r="B117" s="38"/>
      <c r="C117" s="40"/>
      <c r="D117" s="40"/>
      <c r="E117" s="40"/>
      <c r="F117" s="40"/>
      <c r="G117" s="40"/>
      <c r="H117" s="40"/>
      <c r="I117" s="40"/>
      <c r="J117" s="40"/>
      <c r="K117" s="41"/>
    </row>
    <row r="118" spans="2:14" x14ac:dyDescent="0.2">
      <c r="B118" s="38"/>
      <c r="C118" s="40"/>
      <c r="D118" s="40"/>
      <c r="E118" s="40"/>
      <c r="F118" s="40"/>
      <c r="G118" s="40"/>
      <c r="H118" s="40"/>
      <c r="I118" s="40"/>
      <c r="J118" s="40"/>
      <c r="K118" s="41"/>
    </row>
    <row r="119" spans="2:14" ht="16" x14ac:dyDescent="0.2">
      <c r="B119" s="38"/>
      <c r="C119" s="45" t="s">
        <v>262</v>
      </c>
      <c r="D119" s="40"/>
      <c r="E119" s="40"/>
      <c r="F119" s="40"/>
      <c r="G119" s="40"/>
      <c r="H119" s="40"/>
      <c r="I119" s="40"/>
      <c r="J119" s="40"/>
      <c r="K119" s="41"/>
    </row>
    <row r="120" spans="2:14" ht="15" customHeight="1" x14ac:dyDescent="0.2">
      <c r="B120" s="38"/>
      <c r="C120" s="422" t="s">
        <v>268</v>
      </c>
      <c r="D120" s="422"/>
      <c r="E120" s="422"/>
      <c r="F120" s="422"/>
      <c r="G120" s="422"/>
      <c r="H120" s="422"/>
      <c r="I120" s="422"/>
      <c r="J120" s="422"/>
      <c r="K120" s="41"/>
    </row>
    <row r="121" spans="2:14" x14ac:dyDescent="0.2">
      <c r="B121" s="38"/>
      <c r="C121" s="422"/>
      <c r="D121" s="422"/>
      <c r="E121" s="422"/>
      <c r="F121" s="422"/>
      <c r="G121" s="422"/>
      <c r="H121" s="422"/>
      <c r="I121" s="422"/>
      <c r="J121" s="422"/>
      <c r="K121" s="41"/>
    </row>
    <row r="122" spans="2:14" x14ac:dyDescent="0.2">
      <c r="B122" s="38"/>
      <c r="C122" s="423"/>
      <c r="D122" s="423"/>
      <c r="E122" s="423"/>
      <c r="F122" s="423"/>
      <c r="G122" s="423"/>
      <c r="H122" s="423"/>
      <c r="I122" s="423"/>
      <c r="J122" s="423"/>
      <c r="K122" s="41"/>
    </row>
    <row r="123" spans="2:14" ht="15" customHeight="1" x14ac:dyDescent="0.2">
      <c r="B123" s="38"/>
      <c r="C123" s="416" t="s">
        <v>245</v>
      </c>
      <c r="D123" s="417"/>
      <c r="E123" s="417"/>
      <c r="F123" s="417"/>
      <c r="G123" s="417"/>
      <c r="H123" s="417"/>
      <c r="I123" s="417"/>
      <c r="J123" s="418"/>
      <c r="K123" s="41"/>
    </row>
    <row r="124" spans="2:14" x14ac:dyDescent="0.2">
      <c r="B124" s="38"/>
      <c r="C124" s="419"/>
      <c r="D124" s="420"/>
      <c r="E124" s="420"/>
      <c r="F124" s="420"/>
      <c r="G124" s="420"/>
      <c r="H124" s="420"/>
      <c r="I124" s="420"/>
      <c r="J124" s="421"/>
      <c r="K124" s="41"/>
    </row>
    <row r="125" spans="2:14" ht="15" customHeight="1" x14ac:dyDescent="0.2">
      <c r="B125" s="38"/>
      <c r="C125" s="40" t="s">
        <v>260</v>
      </c>
      <c r="D125" s="40"/>
      <c r="E125" s="40"/>
      <c r="F125" s="40"/>
      <c r="G125" s="40"/>
      <c r="H125" s="40"/>
      <c r="I125" s="40"/>
      <c r="J125" s="247">
        <f>IF(C123=B987,A987,IF(C123=B988,A988,IF(C123=B989,A989,IF(C123=B990,A990,IF(C123=B991,A991,"Not Calculated")))))</f>
        <v>0</v>
      </c>
      <c r="K125" s="41"/>
    </row>
    <row r="126" spans="2:14" ht="15" customHeight="1" x14ac:dyDescent="0.2">
      <c r="B126" s="38"/>
      <c r="C126" s="40" t="s">
        <v>257</v>
      </c>
      <c r="D126" s="40"/>
      <c r="E126" s="40"/>
      <c r="F126" s="40"/>
      <c r="G126" s="40"/>
      <c r="H126" s="40"/>
      <c r="I126" s="40"/>
      <c r="J126" s="266" t="s">
        <v>870</v>
      </c>
      <c r="K126" s="41"/>
    </row>
    <row r="127" spans="2:14" x14ac:dyDescent="0.2">
      <c r="B127" s="38"/>
      <c r="C127" s="40" t="s">
        <v>261</v>
      </c>
      <c r="D127" s="40"/>
      <c r="E127" s="40"/>
      <c r="F127" s="40"/>
      <c r="G127" s="40"/>
      <c r="H127" s="40"/>
      <c r="I127" s="40"/>
      <c r="J127" s="245">
        <f>IF(J126=$B$973,$A$973,IF(J126=$B$974,$A$974,IF(J126=$B$975,$A$975,IF(J126=$B$976,$A$976,IF(J126=$B$977,$A$977,"Not Calculated")))))</f>
        <v>0</v>
      </c>
      <c r="K127" s="41"/>
    </row>
    <row r="128" spans="2:14" ht="15" customHeight="1" x14ac:dyDescent="0.2">
      <c r="B128" s="38"/>
      <c r="C128" s="40" t="s">
        <v>893</v>
      </c>
      <c r="D128" s="40"/>
      <c r="E128" s="40"/>
      <c r="F128" s="40"/>
      <c r="G128" s="40"/>
      <c r="H128" s="40"/>
      <c r="I128" s="40"/>
      <c r="J128" s="175"/>
      <c r="K128" s="41"/>
    </row>
    <row r="129" spans="2:11" s="178" customFormat="1" ht="30" customHeight="1" x14ac:dyDescent="0.2">
      <c r="B129" s="176"/>
      <c r="C129" s="415"/>
      <c r="D129" s="400"/>
      <c r="E129" s="400"/>
      <c r="F129" s="400"/>
      <c r="G129" s="400"/>
      <c r="H129" s="400"/>
      <c r="I129" s="400"/>
      <c r="J129" s="401"/>
      <c r="K129" s="177"/>
    </row>
    <row r="130" spans="2:11" x14ac:dyDescent="0.2">
      <c r="B130" s="38"/>
      <c r="C130" s="40"/>
      <c r="D130" s="40"/>
      <c r="E130" s="40"/>
      <c r="F130" s="40"/>
      <c r="G130" s="40"/>
      <c r="H130" s="40"/>
      <c r="I130" s="40"/>
      <c r="J130" s="40"/>
      <c r="K130" s="41"/>
    </row>
    <row r="131" spans="2:11" x14ac:dyDescent="0.2">
      <c r="B131" s="38"/>
      <c r="C131" s="179" t="s">
        <v>267</v>
      </c>
      <c r="D131" s="40"/>
      <c r="E131" s="40"/>
      <c r="F131" s="40"/>
      <c r="G131" s="40"/>
      <c r="H131" s="40"/>
      <c r="I131" s="40"/>
      <c r="J131" s="245">
        <f>IF(OR(J125="Not Calculated",J127="Not Calculated")=TRUE,"Not Calculated",AVERAGE(J125,J127))</f>
        <v>0</v>
      </c>
      <c r="K131" s="41"/>
    </row>
    <row r="132" spans="2:11" x14ac:dyDescent="0.2">
      <c r="B132" s="38"/>
      <c r="C132" s="179"/>
      <c r="D132" s="40"/>
      <c r="E132" s="40"/>
      <c r="F132" s="40"/>
      <c r="G132" s="40"/>
      <c r="H132" s="40"/>
      <c r="I132" s="40"/>
      <c r="J132" s="245"/>
      <c r="K132" s="41"/>
    </row>
    <row r="133" spans="2:11" ht="18" x14ac:dyDescent="0.2">
      <c r="B133" s="38"/>
      <c r="C133" s="180" t="s">
        <v>269</v>
      </c>
      <c r="D133" s="40"/>
      <c r="E133" s="40"/>
      <c r="F133" s="40"/>
      <c r="G133" s="40"/>
      <c r="H133" s="40"/>
      <c r="I133" s="40"/>
      <c r="J133" s="244" t="str">
        <f>IF(OR(J40="Not Calculated",J59="Not Calculated",J78="Not Calculated",J97="Not Calculated",J116="Not Calculated",J131="Not Calculated",)=TRUE,"Not Calculated",AVERAGE(J40,J59,J78,J97,J116,J131))</f>
        <v>Not Calculated</v>
      </c>
      <c r="K133" s="41"/>
    </row>
    <row r="134" spans="2:11" ht="16" thickBot="1" x14ac:dyDescent="0.25">
      <c r="B134" s="46"/>
      <c r="C134" s="47"/>
      <c r="D134" s="47"/>
      <c r="E134" s="47"/>
      <c r="F134" s="47"/>
      <c r="G134" s="47"/>
      <c r="H134" s="47"/>
      <c r="I134" s="47"/>
      <c r="J134" s="47"/>
      <c r="K134" s="49"/>
    </row>
    <row r="135" spans="2:11" ht="16" thickBot="1" x14ac:dyDescent="0.25"/>
    <row r="136" spans="2:11" x14ac:dyDescent="0.2">
      <c r="B136" s="33"/>
      <c r="C136" s="34"/>
      <c r="D136" s="34"/>
      <c r="E136" s="34"/>
      <c r="F136" s="34"/>
      <c r="G136" s="34"/>
      <c r="H136" s="34"/>
      <c r="I136" s="34"/>
      <c r="J136" s="34"/>
      <c r="K136" s="37"/>
    </row>
    <row r="137" spans="2:11" ht="21" x14ac:dyDescent="0.25">
      <c r="B137" s="38"/>
      <c r="C137" s="171"/>
      <c r="D137" s="40"/>
      <c r="E137" s="40"/>
      <c r="F137" s="40"/>
      <c r="G137" s="172" t="s">
        <v>27</v>
      </c>
      <c r="H137" s="40"/>
      <c r="I137" s="40"/>
      <c r="J137" s="40"/>
      <c r="K137" s="41"/>
    </row>
    <row r="138" spans="2:11" x14ac:dyDescent="0.2">
      <c r="B138" s="38"/>
      <c r="C138" s="40"/>
      <c r="D138" s="40"/>
      <c r="E138" s="40"/>
      <c r="F138" s="40"/>
      <c r="G138" s="40"/>
      <c r="H138" s="40"/>
      <c r="I138" s="40"/>
      <c r="J138" s="40"/>
      <c r="K138" s="41"/>
    </row>
    <row r="139" spans="2:11" ht="16" x14ac:dyDescent="0.2">
      <c r="B139" s="38"/>
      <c r="C139" s="45" t="s">
        <v>72</v>
      </c>
      <c r="D139" s="40"/>
      <c r="E139" s="40"/>
      <c r="F139" s="40"/>
      <c r="G139" s="40"/>
      <c r="H139" s="40"/>
      <c r="I139" s="40"/>
      <c r="J139" s="40"/>
      <c r="K139" s="41"/>
    </row>
    <row r="140" spans="2:11" x14ac:dyDescent="0.2">
      <c r="B140" s="38"/>
      <c r="C140" s="40" t="s">
        <v>440</v>
      </c>
      <c r="D140" s="40"/>
      <c r="E140" s="40"/>
      <c r="F140" s="40"/>
      <c r="G140" s="40"/>
      <c r="H140" s="40"/>
      <c r="I140" s="40"/>
      <c r="J140" s="252">
        <f>'Baseline Health'!G45</f>
        <v>0</v>
      </c>
      <c r="K140" s="41"/>
    </row>
    <row r="141" spans="2:11" x14ac:dyDescent="0.2">
      <c r="B141" s="38"/>
      <c r="C141" s="40" t="s">
        <v>270</v>
      </c>
      <c r="D141" s="40"/>
      <c r="E141" s="40"/>
      <c r="F141" s="40"/>
      <c r="G141" s="40"/>
      <c r="H141" s="40"/>
      <c r="I141" s="40"/>
      <c r="J141" s="264">
        <v>0</v>
      </c>
      <c r="K141" s="41"/>
    </row>
    <row r="142" spans="2:11" x14ac:dyDescent="0.2">
      <c r="B142" s="38"/>
      <c r="C142" s="40" t="s">
        <v>439</v>
      </c>
      <c r="D142" s="40"/>
      <c r="E142" s="40"/>
      <c r="F142" s="40"/>
      <c r="G142" s="40"/>
      <c r="H142" s="40"/>
      <c r="I142" s="40"/>
      <c r="J142" s="251">
        <f>J83/20</f>
        <v>0</v>
      </c>
      <c r="K142" s="41"/>
    </row>
    <row r="143" spans="2:11" x14ac:dyDescent="0.2">
      <c r="B143" s="38"/>
      <c r="C143" s="40"/>
      <c r="D143" s="40" t="s">
        <v>351</v>
      </c>
      <c r="E143" s="40"/>
      <c r="F143" s="40"/>
      <c r="G143" s="40"/>
      <c r="H143" s="40"/>
      <c r="I143" s="40"/>
      <c r="J143" s="40"/>
      <c r="K143" s="41"/>
    </row>
    <row r="144" spans="2:11" x14ac:dyDescent="0.2">
      <c r="B144" s="38"/>
      <c r="C144" s="40" t="s">
        <v>260</v>
      </c>
      <c r="D144" s="40"/>
      <c r="E144" s="40"/>
      <c r="F144" s="40"/>
      <c r="G144" s="40"/>
      <c r="H144" s="40"/>
      <c r="I144" s="40"/>
      <c r="J144" s="245" t="str">
        <f>IF(OR(J140=0,J140="Not Calculated")=TRUE,"Not Calculated",IF((J140-J141)&lt;=0,4,IF(((J140+J142)/(J140-J141))&lt;=1,0,IF(((J140+J142)/(J140-J141))&lt;=1.05,1,IF(((J140+J142)/(J140-J141))&lt;=1.5, 2,IF(((J140+J142)/(J140-J141))&lt;=2,3,4))))))</f>
        <v>Not Calculated</v>
      </c>
      <c r="K144" s="41"/>
    </row>
    <row r="145" spans="2:14" ht="9.75" customHeight="1" x14ac:dyDescent="0.2">
      <c r="B145" s="38"/>
      <c r="C145" s="279" t="str">
        <f>"0:"</f>
        <v>0:</v>
      </c>
      <c r="D145" s="278" t="s">
        <v>918</v>
      </c>
      <c r="E145" s="40"/>
      <c r="F145" s="40"/>
      <c r="G145" s="40"/>
      <c r="H145" s="40"/>
      <c r="I145" s="40"/>
      <c r="J145" s="40"/>
      <c r="K145" s="41"/>
    </row>
    <row r="146" spans="2:14" ht="9.75" customHeight="1" x14ac:dyDescent="0.2">
      <c r="B146" s="38"/>
      <c r="C146" s="280" t="str">
        <f>"1:"</f>
        <v>1:</v>
      </c>
      <c r="D146" s="278" t="s">
        <v>923</v>
      </c>
      <c r="E146" s="40"/>
      <c r="F146" s="40"/>
      <c r="G146" s="40"/>
      <c r="H146" s="40"/>
      <c r="I146" s="40"/>
      <c r="J146" s="40"/>
      <c r="K146" s="41"/>
    </row>
    <row r="147" spans="2:14" ht="9.75" customHeight="1" x14ac:dyDescent="0.2">
      <c r="B147" s="38"/>
      <c r="C147" s="280" t="str">
        <f>"2:"</f>
        <v>2:</v>
      </c>
      <c r="D147" s="278" t="s">
        <v>924</v>
      </c>
      <c r="E147" s="40"/>
      <c r="F147" s="40"/>
      <c r="G147" s="40"/>
      <c r="H147" s="40"/>
      <c r="I147" s="40"/>
      <c r="J147" s="40"/>
      <c r="K147" s="41"/>
    </row>
    <row r="148" spans="2:14" ht="9.75" customHeight="1" x14ac:dyDescent="0.2">
      <c r="B148" s="38"/>
      <c r="C148" s="280" t="str">
        <f>"3:"</f>
        <v>3:</v>
      </c>
      <c r="D148" s="278" t="s">
        <v>925</v>
      </c>
      <c r="E148" s="40"/>
      <c r="F148" s="40"/>
      <c r="G148" s="40"/>
      <c r="H148" s="40"/>
      <c r="I148" s="40"/>
      <c r="J148" s="40"/>
      <c r="K148" s="41"/>
    </row>
    <row r="149" spans="2:14" ht="9.75" customHeight="1" x14ac:dyDescent="0.2">
      <c r="B149" s="38"/>
      <c r="C149" s="280" t="str">
        <f>"4:"</f>
        <v>4:</v>
      </c>
      <c r="D149" s="278" t="s">
        <v>926</v>
      </c>
      <c r="E149" s="40"/>
      <c r="F149" s="40"/>
      <c r="G149" s="40"/>
      <c r="H149" s="40"/>
      <c r="I149" s="40"/>
      <c r="J149" s="40"/>
      <c r="K149" s="41"/>
      <c r="N149" s="12" t="s">
        <v>661</v>
      </c>
    </row>
    <row r="150" spans="2:14" x14ac:dyDescent="0.2">
      <c r="B150" s="38"/>
      <c r="C150" s="174" t="s">
        <v>662</v>
      </c>
      <c r="D150" s="40"/>
      <c r="E150" s="40"/>
      <c r="F150" s="40"/>
      <c r="G150" s="40"/>
      <c r="H150" s="40"/>
      <c r="I150" s="40"/>
      <c r="J150" s="265" t="s">
        <v>661</v>
      </c>
      <c r="K150" s="41"/>
      <c r="N150" s="12" t="s">
        <v>894</v>
      </c>
    </row>
    <row r="151" spans="2:14" x14ac:dyDescent="0.2">
      <c r="B151" s="38"/>
      <c r="C151" s="174" t="s">
        <v>660</v>
      </c>
      <c r="D151" s="40"/>
      <c r="E151" s="40"/>
      <c r="F151" s="40"/>
      <c r="G151" s="40"/>
      <c r="H151" s="40"/>
      <c r="I151" s="40"/>
      <c r="J151" s="246" t="str">
        <f>IF(J150=N149,"N/A",IF(J150=N150,0,IF(J150=N151,1,IF(J150=N152,2,IF(J150=N153,3,IF(J150=N154,4,"N/A"))))))</f>
        <v>N/A</v>
      </c>
      <c r="K151" s="41"/>
      <c r="N151" s="12" t="s">
        <v>899</v>
      </c>
    </row>
    <row r="152" spans="2:14" x14ac:dyDescent="0.2">
      <c r="B152" s="38"/>
      <c r="C152" s="40" t="s">
        <v>257</v>
      </c>
      <c r="D152" s="40"/>
      <c r="E152" s="40"/>
      <c r="F152" s="40"/>
      <c r="G152" s="40"/>
      <c r="H152" s="40"/>
      <c r="I152" s="40"/>
      <c r="J152" s="266" t="s">
        <v>870</v>
      </c>
      <c r="K152" s="41"/>
      <c r="N152" s="12" t="s">
        <v>900</v>
      </c>
    </row>
    <row r="153" spans="2:14" x14ac:dyDescent="0.2">
      <c r="B153" s="38"/>
      <c r="C153" s="40" t="s">
        <v>261</v>
      </c>
      <c r="D153" s="40"/>
      <c r="E153" s="40"/>
      <c r="F153" s="40"/>
      <c r="G153" s="40"/>
      <c r="H153" s="40"/>
      <c r="I153" s="40"/>
      <c r="J153" s="245">
        <f>IF(J152=$B$973,$A$973,IF(J152=$B$974,$A$974,IF(J152=$B$975,$A$975,IF(J152=$B$976,$A$976,IF(J152=$B$977,$A$977,"Not Calculated")))))</f>
        <v>0</v>
      </c>
      <c r="K153" s="41"/>
      <c r="N153" s="12" t="s">
        <v>901</v>
      </c>
    </row>
    <row r="154" spans="2:14" x14ac:dyDescent="0.2">
      <c r="B154" s="38"/>
      <c r="C154" s="40" t="s">
        <v>893</v>
      </c>
      <c r="D154" s="40"/>
      <c r="E154" s="40"/>
      <c r="F154" s="40"/>
      <c r="G154" s="40"/>
      <c r="H154" s="40"/>
      <c r="I154" s="40"/>
      <c r="J154" s="40"/>
      <c r="K154" s="41"/>
      <c r="N154" s="12" t="s">
        <v>902</v>
      </c>
    </row>
    <row r="155" spans="2:14" ht="30" customHeight="1" x14ac:dyDescent="0.2">
      <c r="B155" s="38"/>
      <c r="C155" s="399"/>
      <c r="D155" s="400"/>
      <c r="E155" s="400"/>
      <c r="F155" s="400"/>
      <c r="G155" s="400"/>
      <c r="H155" s="400"/>
      <c r="I155" s="400"/>
      <c r="J155" s="401"/>
      <c r="K155" s="41"/>
    </row>
    <row r="156" spans="2:14" x14ac:dyDescent="0.2">
      <c r="B156" s="38"/>
      <c r="C156" s="40"/>
      <c r="D156" s="40"/>
      <c r="E156" s="40"/>
      <c r="F156" s="40"/>
      <c r="G156" s="40"/>
      <c r="H156" s="40"/>
      <c r="I156" s="40"/>
      <c r="J156" s="40"/>
      <c r="K156" s="41"/>
    </row>
    <row r="157" spans="2:14" x14ac:dyDescent="0.2">
      <c r="B157" s="38"/>
      <c r="C157" s="179" t="s">
        <v>271</v>
      </c>
      <c r="D157" s="40"/>
      <c r="E157" s="40"/>
      <c r="F157" s="40"/>
      <c r="G157" s="40"/>
      <c r="H157" s="40"/>
      <c r="I157" s="40"/>
      <c r="J157" s="245" t="str">
        <f>IF(J151="N/A",IF(OR(J144="Not Calculated",J153="Not Calculated")=TRUE,"Not Calculated",AVERAGE(J144,J153)),AVERAGE(J151,J153))</f>
        <v>Not Calculated</v>
      </c>
      <c r="K157" s="41"/>
    </row>
    <row r="158" spans="2:14" x14ac:dyDescent="0.2">
      <c r="B158" s="38"/>
      <c r="C158" s="40"/>
      <c r="D158" s="40"/>
      <c r="E158" s="40"/>
      <c r="F158" s="40"/>
      <c r="G158" s="40"/>
      <c r="H158" s="40"/>
      <c r="I158" s="40"/>
      <c r="J158" s="40"/>
      <c r="K158" s="41"/>
    </row>
    <row r="159" spans="2:14" x14ac:dyDescent="0.2">
      <c r="B159" s="38"/>
      <c r="C159" s="40"/>
      <c r="D159" s="40"/>
      <c r="E159" s="40"/>
      <c r="F159" s="40"/>
      <c r="G159" s="40"/>
      <c r="H159" s="40"/>
      <c r="I159" s="40"/>
      <c r="J159" s="40"/>
      <c r="K159" s="41"/>
    </row>
    <row r="160" spans="2:14" ht="16" x14ac:dyDescent="0.2">
      <c r="B160" s="38"/>
      <c r="C160" s="45" t="s">
        <v>273</v>
      </c>
      <c r="D160" s="40"/>
      <c r="E160" s="40"/>
      <c r="F160" s="40"/>
      <c r="G160" s="40"/>
      <c r="H160" s="40"/>
      <c r="I160" s="40"/>
      <c r="J160" s="40"/>
      <c r="K160" s="41"/>
    </row>
    <row r="161" spans="2:14" x14ac:dyDescent="0.2">
      <c r="B161" s="38"/>
      <c r="C161" s="40" t="s">
        <v>441</v>
      </c>
      <c r="D161" s="40"/>
      <c r="E161" s="40"/>
      <c r="F161" s="40"/>
      <c r="G161" s="40"/>
      <c r="H161" s="40"/>
      <c r="I161" s="40"/>
      <c r="J161" s="252">
        <f>'Baseline Health'!G51</f>
        <v>0</v>
      </c>
      <c r="K161" s="41"/>
    </row>
    <row r="162" spans="2:14" x14ac:dyDescent="0.2">
      <c r="B162" s="38"/>
      <c r="C162" s="40" t="s">
        <v>280</v>
      </c>
      <c r="D162" s="40"/>
      <c r="E162" s="40"/>
      <c r="F162" s="40"/>
      <c r="G162" s="40"/>
      <c r="H162" s="40"/>
      <c r="I162" s="40"/>
      <c r="J162" s="264">
        <v>0</v>
      </c>
      <c r="K162" s="41"/>
    </row>
    <row r="163" spans="2:14" x14ac:dyDescent="0.2">
      <c r="B163" s="38"/>
      <c r="C163" s="40" t="s">
        <v>442</v>
      </c>
      <c r="D163" s="40"/>
      <c r="E163" s="40"/>
      <c r="F163" s="40"/>
      <c r="G163" s="40"/>
      <c r="H163" s="40"/>
      <c r="I163" s="40"/>
      <c r="J163" s="251">
        <f>(J64)/4.5</f>
        <v>0.22222222222222221</v>
      </c>
      <c r="K163" s="41"/>
    </row>
    <row r="164" spans="2:14" x14ac:dyDescent="0.2">
      <c r="B164" s="38"/>
      <c r="C164" s="40"/>
      <c r="D164" s="40" t="s">
        <v>353</v>
      </c>
      <c r="E164" s="40"/>
      <c r="F164" s="40"/>
      <c r="G164" s="40"/>
      <c r="H164" s="40"/>
      <c r="I164" s="40"/>
      <c r="J164" s="40"/>
      <c r="K164" s="41"/>
    </row>
    <row r="165" spans="2:14" x14ac:dyDescent="0.2">
      <c r="B165" s="38"/>
      <c r="C165" s="40" t="s">
        <v>260</v>
      </c>
      <c r="D165" s="40"/>
      <c r="E165" s="40"/>
      <c r="F165" s="40"/>
      <c r="G165" s="40"/>
      <c r="H165" s="40"/>
      <c r="I165" s="40"/>
      <c r="J165" s="245" t="str">
        <f>IF(OR(J161=0,J161="Not Calculated")=TRUE,"Not Calculated",IF((J161-J162)&lt;=0,4,IF(((J161+J163)/(J161-J162))&lt;=1,0,IF(((J161+J163)/(J161-J162))&lt;=1.05,1,IF(((J161+J163)/(J161-J162))&lt;=1.5, 2,IF(((J161+J163)/(J161-J162))&lt;=2,3,4))))))</f>
        <v>Not Calculated</v>
      </c>
      <c r="K165" s="41"/>
    </row>
    <row r="166" spans="2:14" ht="9.75" customHeight="1" x14ac:dyDescent="0.2">
      <c r="B166" s="38"/>
      <c r="C166" s="279" t="str">
        <f>"0:"</f>
        <v>0:</v>
      </c>
      <c r="D166" s="278" t="s">
        <v>918</v>
      </c>
      <c r="E166" s="40"/>
      <c r="F166" s="40"/>
      <c r="G166" s="40"/>
      <c r="H166" s="40"/>
      <c r="I166" s="40"/>
      <c r="J166" s="40"/>
      <c r="K166" s="41"/>
    </row>
    <row r="167" spans="2:14" ht="9.75" customHeight="1" x14ac:dyDescent="0.2">
      <c r="B167" s="38"/>
      <c r="C167" s="280" t="str">
        <f>"1:"</f>
        <v>1:</v>
      </c>
      <c r="D167" s="278" t="s">
        <v>923</v>
      </c>
      <c r="E167" s="40"/>
      <c r="F167" s="40"/>
      <c r="G167" s="40"/>
      <c r="H167" s="40"/>
      <c r="I167" s="40"/>
      <c r="J167" s="40"/>
      <c r="K167" s="41"/>
    </row>
    <row r="168" spans="2:14" ht="9.75" customHeight="1" x14ac:dyDescent="0.2">
      <c r="B168" s="38"/>
      <c r="C168" s="280" t="str">
        <f>"2:"</f>
        <v>2:</v>
      </c>
      <c r="D168" s="278" t="s">
        <v>924</v>
      </c>
      <c r="E168" s="40"/>
      <c r="F168" s="40"/>
      <c r="G168" s="40"/>
      <c r="H168" s="40"/>
      <c r="I168" s="40"/>
      <c r="J168" s="40"/>
      <c r="K168" s="41"/>
    </row>
    <row r="169" spans="2:14" ht="9.75" customHeight="1" x14ac:dyDescent="0.2">
      <c r="B169" s="38"/>
      <c r="C169" s="280" t="str">
        <f>"3:"</f>
        <v>3:</v>
      </c>
      <c r="D169" s="278" t="s">
        <v>925</v>
      </c>
      <c r="E169" s="40"/>
      <c r="F169" s="40"/>
      <c r="G169" s="40"/>
      <c r="H169" s="40"/>
      <c r="I169" s="40"/>
      <c r="J169" s="40"/>
      <c r="K169" s="41"/>
    </row>
    <row r="170" spans="2:14" ht="9.75" customHeight="1" x14ac:dyDescent="0.2">
      <c r="B170" s="38"/>
      <c r="C170" s="280" t="str">
        <f>"4:"</f>
        <v>4:</v>
      </c>
      <c r="D170" s="278" t="s">
        <v>926</v>
      </c>
      <c r="E170" s="40"/>
      <c r="F170" s="40"/>
      <c r="G170" s="40"/>
      <c r="H170" s="40"/>
      <c r="I170" s="40"/>
      <c r="J170" s="40"/>
      <c r="K170" s="41"/>
      <c r="N170" s="12" t="s">
        <v>661</v>
      </c>
    </row>
    <row r="171" spans="2:14" x14ac:dyDescent="0.2">
      <c r="B171" s="38"/>
      <c r="C171" s="174" t="s">
        <v>662</v>
      </c>
      <c r="D171" s="40"/>
      <c r="E171" s="40"/>
      <c r="F171" s="40"/>
      <c r="G171" s="40"/>
      <c r="H171" s="40"/>
      <c r="I171" s="40"/>
      <c r="J171" s="265" t="s">
        <v>661</v>
      </c>
      <c r="K171" s="41"/>
      <c r="N171" s="12" t="s">
        <v>894</v>
      </c>
    </row>
    <row r="172" spans="2:14" x14ac:dyDescent="0.2">
      <c r="B172" s="38"/>
      <c r="C172" s="174" t="s">
        <v>660</v>
      </c>
      <c r="D172" s="40"/>
      <c r="E172" s="40"/>
      <c r="F172" s="40"/>
      <c r="G172" s="40"/>
      <c r="H172" s="40"/>
      <c r="I172" s="40"/>
      <c r="J172" s="246" t="str">
        <f>IF(J171=N170,"N/A",IF(J171=N171,0,IF(J171=N172,1,IF(J171=N173,2,IF(J171=N174,3,IF(J171=N175,4,"N/A"))))))</f>
        <v>N/A</v>
      </c>
      <c r="K172" s="41"/>
      <c r="N172" s="12" t="s">
        <v>899</v>
      </c>
    </row>
    <row r="173" spans="2:14" x14ac:dyDescent="0.2">
      <c r="B173" s="38"/>
      <c r="C173" s="40" t="s">
        <v>257</v>
      </c>
      <c r="D173" s="40"/>
      <c r="E173" s="40"/>
      <c r="F173" s="40"/>
      <c r="G173" s="40"/>
      <c r="H173" s="40"/>
      <c r="I173" s="40"/>
      <c r="J173" s="266" t="s">
        <v>882</v>
      </c>
      <c r="K173" s="41"/>
      <c r="N173" s="12" t="s">
        <v>900</v>
      </c>
    </row>
    <row r="174" spans="2:14" x14ac:dyDescent="0.2">
      <c r="B174" s="38"/>
      <c r="C174" s="40" t="s">
        <v>261</v>
      </c>
      <c r="D174" s="40"/>
      <c r="E174" s="40"/>
      <c r="F174" s="40"/>
      <c r="G174" s="40"/>
      <c r="H174" s="40"/>
      <c r="I174" s="40"/>
      <c r="J174" s="245">
        <f>IF(J173=$B$973,$A$973,IF(J173=$B$974,$A$974,IF(J173=$B$975,$A$975,IF(J173=$B$976,$A$976,IF(J173=$B$977,$A$977,"Not Calculated")))))</f>
        <v>1</v>
      </c>
      <c r="K174" s="41"/>
      <c r="N174" s="12" t="s">
        <v>901</v>
      </c>
    </row>
    <row r="175" spans="2:14" x14ac:dyDescent="0.2">
      <c r="B175" s="38"/>
      <c r="C175" s="40" t="s">
        <v>893</v>
      </c>
      <c r="D175" s="40"/>
      <c r="E175" s="40"/>
      <c r="F175" s="40"/>
      <c r="G175" s="40"/>
      <c r="H175" s="40"/>
      <c r="I175" s="40"/>
      <c r="J175" s="40"/>
      <c r="K175" s="41"/>
      <c r="N175" s="12" t="s">
        <v>902</v>
      </c>
    </row>
    <row r="176" spans="2:14" ht="30" customHeight="1" x14ac:dyDescent="0.2">
      <c r="B176" s="38"/>
      <c r="C176" s="399"/>
      <c r="D176" s="400"/>
      <c r="E176" s="400"/>
      <c r="F176" s="400"/>
      <c r="G176" s="400"/>
      <c r="H176" s="400"/>
      <c r="I176" s="400"/>
      <c r="J176" s="401"/>
      <c r="K176" s="41"/>
    </row>
    <row r="177" spans="2:14" x14ac:dyDescent="0.2">
      <c r="B177" s="38"/>
      <c r="C177" s="40"/>
      <c r="D177" s="40"/>
      <c r="E177" s="40"/>
      <c r="F177" s="40"/>
      <c r="G177" s="40"/>
      <c r="H177" s="40"/>
      <c r="I177" s="40"/>
      <c r="J177" s="40"/>
      <c r="K177" s="41"/>
    </row>
    <row r="178" spans="2:14" x14ac:dyDescent="0.2">
      <c r="B178" s="38"/>
      <c r="C178" s="179" t="s">
        <v>274</v>
      </c>
      <c r="D178" s="40"/>
      <c r="E178" s="40"/>
      <c r="F178" s="40"/>
      <c r="G178" s="40"/>
      <c r="H178" s="40"/>
      <c r="I178" s="40"/>
      <c r="J178" s="245" t="str">
        <f>IF(J172="N/A",IF(OR(J165="Not Calculated",J174="Not Calculated")=TRUE,"Not Calculated",AVERAGE(J165,J174)),AVERAGE(J172,J174))</f>
        <v>Not Calculated</v>
      </c>
      <c r="K178" s="41"/>
    </row>
    <row r="179" spans="2:14" x14ac:dyDescent="0.2">
      <c r="B179" s="38"/>
      <c r="C179" s="40"/>
      <c r="D179" s="40"/>
      <c r="E179" s="40"/>
      <c r="F179" s="40"/>
      <c r="G179" s="40"/>
      <c r="H179" s="40"/>
      <c r="I179" s="40"/>
      <c r="J179" s="40"/>
      <c r="K179" s="41"/>
    </row>
    <row r="180" spans="2:14" x14ac:dyDescent="0.2">
      <c r="B180" s="38"/>
      <c r="C180" s="40"/>
      <c r="D180" s="40"/>
      <c r="E180" s="40"/>
      <c r="F180" s="40"/>
      <c r="G180" s="40"/>
      <c r="H180" s="40"/>
      <c r="I180" s="40"/>
      <c r="J180" s="40"/>
      <c r="K180" s="41"/>
    </row>
    <row r="181" spans="2:14" ht="16" x14ac:dyDescent="0.2">
      <c r="B181" s="38"/>
      <c r="C181" s="45" t="s">
        <v>74</v>
      </c>
      <c r="D181" s="40"/>
      <c r="E181" s="40"/>
      <c r="F181" s="40"/>
      <c r="G181" s="40"/>
      <c r="H181" s="40"/>
      <c r="I181" s="40"/>
      <c r="J181" s="40"/>
      <c r="K181" s="41"/>
    </row>
    <row r="182" spans="2:14" x14ac:dyDescent="0.2">
      <c r="B182" s="38"/>
      <c r="C182" s="40" t="s">
        <v>443</v>
      </c>
      <c r="D182" s="40"/>
      <c r="E182" s="40"/>
      <c r="F182" s="40"/>
      <c r="G182" s="40"/>
      <c r="H182" s="40"/>
      <c r="I182" s="40"/>
      <c r="J182" s="252">
        <f>'Baseline Health'!G59</f>
        <v>0</v>
      </c>
      <c r="K182" s="41"/>
    </row>
    <row r="183" spans="2:14" x14ac:dyDescent="0.2">
      <c r="B183" s="38"/>
      <c r="C183" s="40" t="s">
        <v>281</v>
      </c>
      <c r="D183" s="40"/>
      <c r="E183" s="40"/>
      <c r="F183" s="40"/>
      <c r="G183" s="40"/>
      <c r="H183" s="40"/>
      <c r="I183" s="40"/>
      <c r="J183" s="264">
        <v>0</v>
      </c>
      <c r="K183" s="41"/>
    </row>
    <row r="184" spans="2:14" x14ac:dyDescent="0.2">
      <c r="B184" s="38"/>
      <c r="C184" s="40" t="s">
        <v>354</v>
      </c>
      <c r="D184" s="40"/>
      <c r="E184" s="40"/>
      <c r="F184" s="40"/>
      <c r="G184" s="40"/>
      <c r="H184" s="40"/>
      <c r="I184" s="40"/>
      <c r="J184" s="264">
        <v>0</v>
      </c>
      <c r="K184" s="41"/>
    </row>
    <row r="185" spans="2:14" x14ac:dyDescent="0.2">
      <c r="B185" s="38"/>
      <c r="C185" s="40" t="s">
        <v>260</v>
      </c>
      <c r="D185" s="40"/>
      <c r="E185" s="40"/>
      <c r="F185" s="40"/>
      <c r="G185" s="40"/>
      <c r="H185" s="40"/>
      <c r="I185" s="40"/>
      <c r="J185" s="245" t="str">
        <f>IF(OR(J182=0,J182="Not Calculated")=TRUE,"Not Calculated",IF(J182-J183=0,4,IF(((J182+J184)/(J182-J183))&lt;=1,0,IF(((J182+J184)/(J182-J183))&lt;=1.05,1,IF(((J182+J184)/(J182-J183))&lt;=1.5, 2,IF(((J182+J184)/(J182-J183))&lt;=2,3,4))))))</f>
        <v>Not Calculated</v>
      </c>
      <c r="K185" s="41"/>
    </row>
    <row r="186" spans="2:14" ht="9.75" customHeight="1" x14ac:dyDescent="0.2">
      <c r="B186" s="38"/>
      <c r="C186" s="279" t="str">
        <f>"0:"</f>
        <v>0:</v>
      </c>
      <c r="D186" s="278" t="s">
        <v>918</v>
      </c>
      <c r="E186" s="40"/>
      <c r="F186" s="40"/>
      <c r="G186" s="40"/>
      <c r="H186" s="40"/>
      <c r="I186" s="40"/>
      <c r="J186" s="40"/>
      <c r="K186" s="41"/>
    </row>
    <row r="187" spans="2:14" ht="9.75" customHeight="1" x14ac:dyDescent="0.2">
      <c r="B187" s="38"/>
      <c r="C187" s="280" t="str">
        <f>"1:"</f>
        <v>1:</v>
      </c>
      <c r="D187" s="278" t="s">
        <v>923</v>
      </c>
      <c r="E187" s="40"/>
      <c r="F187" s="40"/>
      <c r="G187" s="40"/>
      <c r="H187" s="40"/>
      <c r="I187" s="40"/>
      <c r="J187" s="40"/>
      <c r="K187" s="41"/>
    </row>
    <row r="188" spans="2:14" ht="9.75" customHeight="1" x14ac:dyDescent="0.2">
      <c r="B188" s="38"/>
      <c r="C188" s="280" t="str">
        <f>"2:"</f>
        <v>2:</v>
      </c>
      <c r="D188" s="278" t="s">
        <v>924</v>
      </c>
      <c r="E188" s="40"/>
      <c r="F188" s="40"/>
      <c r="G188" s="40"/>
      <c r="H188" s="40"/>
      <c r="I188" s="40"/>
      <c r="J188" s="40"/>
      <c r="K188" s="41"/>
    </row>
    <row r="189" spans="2:14" ht="9.75" customHeight="1" x14ac:dyDescent="0.2">
      <c r="B189" s="38"/>
      <c r="C189" s="280" t="str">
        <f>"3:"</f>
        <v>3:</v>
      </c>
      <c r="D189" s="278" t="s">
        <v>925</v>
      </c>
      <c r="E189" s="40"/>
      <c r="F189" s="40"/>
      <c r="G189" s="40"/>
      <c r="H189" s="40"/>
      <c r="I189" s="40"/>
      <c r="J189" s="40"/>
      <c r="K189" s="41"/>
    </row>
    <row r="190" spans="2:14" ht="9.75" customHeight="1" x14ac:dyDescent="0.2">
      <c r="B190" s="38"/>
      <c r="C190" s="280" t="str">
        <f>"4:"</f>
        <v>4:</v>
      </c>
      <c r="D190" s="278" t="s">
        <v>926</v>
      </c>
      <c r="E190" s="40"/>
      <c r="F190" s="40"/>
      <c r="G190" s="40"/>
      <c r="H190" s="40"/>
      <c r="I190" s="40"/>
      <c r="J190" s="40"/>
      <c r="K190" s="41"/>
      <c r="N190" s="12" t="s">
        <v>661</v>
      </c>
    </row>
    <row r="191" spans="2:14" x14ac:dyDescent="0.2">
      <c r="B191" s="38"/>
      <c r="C191" s="174" t="s">
        <v>662</v>
      </c>
      <c r="D191" s="40"/>
      <c r="E191" s="40"/>
      <c r="F191" s="40"/>
      <c r="G191" s="40"/>
      <c r="H191" s="40"/>
      <c r="I191" s="40"/>
      <c r="J191" s="265" t="s">
        <v>661</v>
      </c>
      <c r="K191" s="41"/>
      <c r="N191" s="12" t="s">
        <v>894</v>
      </c>
    </row>
    <row r="192" spans="2:14" x14ac:dyDescent="0.2">
      <c r="B192" s="38"/>
      <c r="C192" s="174" t="s">
        <v>660</v>
      </c>
      <c r="D192" s="40"/>
      <c r="E192" s="40"/>
      <c r="F192" s="40"/>
      <c r="G192" s="40"/>
      <c r="H192" s="40"/>
      <c r="I192" s="40"/>
      <c r="J192" s="246" t="str">
        <f>IF(J191=N190,"N/A",IF(J191=N191,0,IF(J191=N192,1,IF(J191=N193,2,IF(J191=N194,3,IF(J191=N195,4,"N/A"))))))</f>
        <v>N/A</v>
      </c>
      <c r="K192" s="41"/>
      <c r="N192" s="12" t="s">
        <v>899</v>
      </c>
    </row>
    <row r="193" spans="2:14" x14ac:dyDescent="0.2">
      <c r="B193" s="38"/>
      <c r="C193" s="40" t="s">
        <v>257</v>
      </c>
      <c r="D193" s="40"/>
      <c r="E193" s="40"/>
      <c r="F193" s="40"/>
      <c r="G193" s="40"/>
      <c r="H193" s="40"/>
      <c r="I193" s="40"/>
      <c r="J193" s="266" t="s">
        <v>870</v>
      </c>
      <c r="K193" s="41"/>
      <c r="N193" s="12" t="s">
        <v>900</v>
      </c>
    </row>
    <row r="194" spans="2:14" x14ac:dyDescent="0.2">
      <c r="B194" s="38"/>
      <c r="C194" s="40" t="s">
        <v>261</v>
      </c>
      <c r="D194" s="40"/>
      <c r="E194" s="40"/>
      <c r="F194" s="40"/>
      <c r="G194" s="40"/>
      <c r="H194" s="40"/>
      <c r="I194" s="40"/>
      <c r="J194" s="245">
        <f>IF(J193=$B$973,$A$973,IF(J193=$B$974,$A$974,IF(J193=$B$975,$A$975,IF(J193=$B$976,$A$976,IF(J193=$B$977,$A$977,"Not Calculated")))))</f>
        <v>0</v>
      </c>
      <c r="K194" s="41"/>
      <c r="N194" s="12" t="s">
        <v>901</v>
      </c>
    </row>
    <row r="195" spans="2:14" x14ac:dyDescent="0.2">
      <c r="B195" s="38"/>
      <c r="C195" s="40" t="s">
        <v>893</v>
      </c>
      <c r="D195" s="40"/>
      <c r="E195" s="40"/>
      <c r="F195" s="40"/>
      <c r="G195" s="40"/>
      <c r="H195" s="40"/>
      <c r="I195" s="40"/>
      <c r="J195" s="40"/>
      <c r="K195" s="41"/>
      <c r="N195" s="12" t="s">
        <v>902</v>
      </c>
    </row>
    <row r="196" spans="2:14" ht="30" customHeight="1" x14ac:dyDescent="0.2">
      <c r="B196" s="38"/>
      <c r="C196" s="399"/>
      <c r="D196" s="400"/>
      <c r="E196" s="400"/>
      <c r="F196" s="400"/>
      <c r="G196" s="400"/>
      <c r="H196" s="400"/>
      <c r="I196" s="400"/>
      <c r="J196" s="401"/>
      <c r="K196" s="41"/>
    </row>
    <row r="197" spans="2:14" x14ac:dyDescent="0.2">
      <c r="B197" s="38"/>
      <c r="C197" s="40"/>
      <c r="D197" s="40"/>
      <c r="E197" s="40"/>
      <c r="F197" s="40"/>
      <c r="G197" s="40"/>
      <c r="H197" s="40"/>
      <c r="I197" s="40"/>
      <c r="J197" s="40"/>
      <c r="K197" s="41"/>
    </row>
    <row r="198" spans="2:14" x14ac:dyDescent="0.2">
      <c r="B198" s="38"/>
      <c r="C198" s="179" t="s">
        <v>275</v>
      </c>
      <c r="D198" s="40"/>
      <c r="E198" s="40"/>
      <c r="F198" s="40"/>
      <c r="G198" s="40"/>
      <c r="H198" s="40"/>
      <c r="I198" s="40"/>
      <c r="J198" s="245" t="str">
        <f>IF(J192="N/A",IF(OR(J185="Not Calculated",J194="Not Calculated")=TRUE,"Not Calculated",AVERAGE(J185,J194)),AVERAGE(J192,J194))</f>
        <v>Not Calculated</v>
      </c>
      <c r="K198" s="41"/>
    </row>
    <row r="199" spans="2:14" x14ac:dyDescent="0.2">
      <c r="B199" s="38"/>
      <c r="C199" s="40"/>
      <c r="D199" s="40"/>
      <c r="E199" s="40"/>
      <c r="F199" s="40"/>
      <c r="G199" s="40"/>
      <c r="H199" s="40"/>
      <c r="I199" s="40"/>
      <c r="J199" s="40"/>
      <c r="K199" s="41"/>
    </row>
    <row r="200" spans="2:14" x14ac:dyDescent="0.2">
      <c r="B200" s="38"/>
      <c r="C200" s="40"/>
      <c r="D200" s="40"/>
      <c r="E200" s="40"/>
      <c r="F200" s="40"/>
      <c r="G200" s="40"/>
      <c r="H200" s="40"/>
      <c r="I200" s="40"/>
      <c r="J200" s="40"/>
      <c r="K200" s="41"/>
    </row>
    <row r="201" spans="2:14" ht="16" x14ac:dyDescent="0.2">
      <c r="B201" s="38"/>
      <c r="C201" s="45" t="s">
        <v>75</v>
      </c>
      <c r="D201" s="40"/>
      <c r="E201" s="40"/>
      <c r="F201" s="40"/>
      <c r="G201" s="40"/>
      <c r="H201" s="40"/>
      <c r="I201" s="40"/>
      <c r="J201" s="40"/>
      <c r="K201" s="41"/>
    </row>
    <row r="202" spans="2:14" x14ac:dyDescent="0.2">
      <c r="B202" s="38"/>
      <c r="C202" s="40" t="s">
        <v>444</v>
      </c>
      <c r="D202" s="40"/>
      <c r="E202" s="40"/>
      <c r="F202" s="40"/>
      <c r="G202" s="40"/>
      <c r="H202" s="40"/>
      <c r="I202" s="40"/>
      <c r="J202" s="252">
        <f>'Baseline Health'!G65</f>
        <v>0</v>
      </c>
      <c r="K202" s="41"/>
    </row>
    <row r="203" spans="2:14" x14ac:dyDescent="0.2">
      <c r="B203" s="38"/>
      <c r="C203" s="40" t="s">
        <v>282</v>
      </c>
      <c r="D203" s="40"/>
      <c r="E203" s="40"/>
      <c r="F203" s="40"/>
      <c r="G203" s="40"/>
      <c r="H203" s="40"/>
      <c r="I203" s="40"/>
      <c r="J203" s="264">
        <v>0</v>
      </c>
      <c r="K203" s="41"/>
    </row>
    <row r="204" spans="2:14" x14ac:dyDescent="0.2">
      <c r="B204" s="38"/>
      <c r="C204" s="40" t="s">
        <v>355</v>
      </c>
      <c r="D204" s="40"/>
      <c r="E204" s="40"/>
      <c r="F204" s="40"/>
      <c r="G204" s="40"/>
      <c r="H204" s="40"/>
      <c r="I204" s="40"/>
      <c r="J204" s="264">
        <v>0</v>
      </c>
      <c r="K204" s="41"/>
    </row>
    <row r="205" spans="2:14" x14ac:dyDescent="0.2">
      <c r="B205" s="38"/>
      <c r="C205" s="40" t="s">
        <v>260</v>
      </c>
      <c r="D205" s="40"/>
      <c r="E205" s="40"/>
      <c r="F205" s="40"/>
      <c r="G205" s="40"/>
      <c r="H205" s="40"/>
      <c r="I205" s="40"/>
      <c r="J205" s="245" t="str">
        <f>IF(OR(J202=0,J202="Not Calculated")=TRUE,"Not Calculated",IF(J202-J203=0,4,IF(((J202+J204)/(J202-J203))&lt;=1,0,IF(((J202+J204)/(J202-J203))&lt;=1.05,1,IF(((J202+J204)/(J202-J203))&lt;=1.5, 2,IF(((J202+J204)/(J202-J203))&lt;=2,3,4))))))</f>
        <v>Not Calculated</v>
      </c>
      <c r="K205" s="41"/>
    </row>
    <row r="206" spans="2:14" ht="9.75" customHeight="1" x14ac:dyDescent="0.2">
      <c r="B206" s="38"/>
      <c r="C206" s="279" t="str">
        <f>"0:"</f>
        <v>0:</v>
      </c>
      <c r="D206" s="278" t="s">
        <v>918</v>
      </c>
      <c r="E206" s="40"/>
      <c r="F206" s="40"/>
      <c r="G206" s="40"/>
      <c r="H206" s="40"/>
      <c r="I206" s="40"/>
      <c r="J206" s="40"/>
      <c r="K206" s="41"/>
    </row>
    <row r="207" spans="2:14" ht="9.75" customHeight="1" x14ac:dyDescent="0.2">
      <c r="B207" s="38"/>
      <c r="C207" s="280" t="str">
        <f>"1:"</f>
        <v>1:</v>
      </c>
      <c r="D207" s="278" t="s">
        <v>923</v>
      </c>
      <c r="E207" s="40"/>
      <c r="F207" s="40"/>
      <c r="G207" s="40"/>
      <c r="H207" s="40"/>
      <c r="I207" s="40"/>
      <c r="J207" s="40"/>
      <c r="K207" s="41"/>
    </row>
    <row r="208" spans="2:14" ht="9.75" customHeight="1" x14ac:dyDescent="0.2">
      <c r="B208" s="38"/>
      <c r="C208" s="280" t="str">
        <f>"2:"</f>
        <v>2:</v>
      </c>
      <c r="D208" s="278" t="s">
        <v>924</v>
      </c>
      <c r="E208" s="40"/>
      <c r="F208" s="40"/>
      <c r="G208" s="40"/>
      <c r="H208" s="40"/>
      <c r="I208" s="40"/>
      <c r="J208" s="40"/>
      <c r="K208" s="41"/>
    </row>
    <row r="209" spans="2:14" ht="9.75" customHeight="1" x14ac:dyDescent="0.2">
      <c r="B209" s="38"/>
      <c r="C209" s="280" t="str">
        <f>"3:"</f>
        <v>3:</v>
      </c>
      <c r="D209" s="278" t="s">
        <v>925</v>
      </c>
      <c r="E209" s="40"/>
      <c r="F209" s="40"/>
      <c r="G209" s="40"/>
      <c r="H209" s="40"/>
      <c r="I209" s="40"/>
      <c r="J209" s="40"/>
      <c r="K209" s="41"/>
    </row>
    <row r="210" spans="2:14" ht="9.75" customHeight="1" x14ac:dyDescent="0.2">
      <c r="B210" s="38"/>
      <c r="C210" s="280" t="str">
        <f>"4:"</f>
        <v>4:</v>
      </c>
      <c r="D210" s="278" t="s">
        <v>926</v>
      </c>
      <c r="E210" s="40"/>
      <c r="F210" s="40"/>
      <c r="G210" s="40"/>
      <c r="H210" s="40"/>
      <c r="I210" s="40"/>
      <c r="J210" s="40"/>
      <c r="K210" s="41"/>
      <c r="N210" s="12" t="s">
        <v>661</v>
      </c>
    </row>
    <row r="211" spans="2:14" x14ac:dyDescent="0.2">
      <c r="B211" s="38"/>
      <c r="C211" s="174" t="s">
        <v>662</v>
      </c>
      <c r="D211" s="40"/>
      <c r="E211" s="40"/>
      <c r="F211" s="40"/>
      <c r="G211" s="40"/>
      <c r="H211" s="40"/>
      <c r="I211" s="40"/>
      <c r="J211" s="265" t="s">
        <v>661</v>
      </c>
      <c r="K211" s="41"/>
      <c r="N211" s="12" t="s">
        <v>894</v>
      </c>
    </row>
    <row r="212" spans="2:14" x14ac:dyDescent="0.2">
      <c r="B212" s="38"/>
      <c r="C212" s="174" t="s">
        <v>660</v>
      </c>
      <c r="D212" s="40"/>
      <c r="E212" s="40"/>
      <c r="F212" s="40"/>
      <c r="G212" s="40"/>
      <c r="H212" s="40"/>
      <c r="I212" s="40"/>
      <c r="J212" s="246" t="str">
        <f>IF(J211=N210,"N/A",IF(J211=N211,0,IF(J211=N212,1,IF(J211=N213,2,IF(J211=N214,3,IF(J211=N215,4,"N/A"))))))</f>
        <v>N/A</v>
      </c>
      <c r="K212" s="41"/>
      <c r="N212" s="12" t="s">
        <v>899</v>
      </c>
    </row>
    <row r="213" spans="2:14" x14ac:dyDescent="0.2">
      <c r="B213" s="38"/>
      <c r="C213" s="40" t="s">
        <v>257</v>
      </c>
      <c r="D213" s="40"/>
      <c r="E213" s="40"/>
      <c r="F213" s="40"/>
      <c r="G213" s="40"/>
      <c r="H213" s="40"/>
      <c r="I213" s="40"/>
      <c r="J213" s="266" t="s">
        <v>870</v>
      </c>
      <c r="K213" s="41"/>
      <c r="N213" s="12" t="s">
        <v>900</v>
      </c>
    </row>
    <row r="214" spans="2:14" x14ac:dyDescent="0.2">
      <c r="B214" s="38"/>
      <c r="C214" s="40" t="s">
        <v>261</v>
      </c>
      <c r="D214" s="40"/>
      <c r="E214" s="40"/>
      <c r="F214" s="40"/>
      <c r="G214" s="40"/>
      <c r="H214" s="40"/>
      <c r="I214" s="40"/>
      <c r="J214" s="245">
        <f>IF(J213=$B$973,$A$973,IF(J213=$B$974,$A$974,IF(J213=$B$975,$A$975,IF(J213=$B$976,$A$976,IF(J213=$B$977,$A$977,"Not Calculated")))))</f>
        <v>0</v>
      </c>
      <c r="K214" s="41"/>
      <c r="N214" s="12" t="s">
        <v>901</v>
      </c>
    </row>
    <row r="215" spans="2:14" x14ac:dyDescent="0.2">
      <c r="B215" s="38"/>
      <c r="C215" s="40" t="s">
        <v>893</v>
      </c>
      <c r="D215" s="40"/>
      <c r="E215" s="40"/>
      <c r="F215" s="40"/>
      <c r="G215" s="40"/>
      <c r="H215" s="40"/>
      <c r="I215" s="40"/>
      <c r="J215" s="40"/>
      <c r="K215" s="41"/>
      <c r="N215" s="12" t="s">
        <v>902</v>
      </c>
    </row>
    <row r="216" spans="2:14" ht="30" customHeight="1" x14ac:dyDescent="0.2">
      <c r="B216" s="38"/>
      <c r="C216" s="399"/>
      <c r="D216" s="400"/>
      <c r="E216" s="400"/>
      <c r="F216" s="400"/>
      <c r="G216" s="400"/>
      <c r="H216" s="400"/>
      <c r="I216" s="400"/>
      <c r="J216" s="401"/>
      <c r="K216" s="41"/>
    </row>
    <row r="217" spans="2:14" x14ac:dyDescent="0.2">
      <c r="B217" s="38"/>
      <c r="C217" s="40"/>
      <c r="D217" s="40"/>
      <c r="E217" s="40"/>
      <c r="F217" s="40"/>
      <c r="G217" s="40"/>
      <c r="H217" s="40"/>
      <c r="I217" s="40"/>
      <c r="J217" s="40"/>
      <c r="K217" s="41"/>
    </row>
    <row r="218" spans="2:14" x14ac:dyDescent="0.2">
      <c r="B218" s="38"/>
      <c r="C218" s="179" t="s">
        <v>276</v>
      </c>
      <c r="D218" s="40"/>
      <c r="E218" s="40"/>
      <c r="F218" s="40"/>
      <c r="G218" s="40"/>
      <c r="H218" s="40"/>
      <c r="I218" s="40"/>
      <c r="J218" s="245" t="str">
        <f>IF(J212="N/A",IF(OR(J205="Not Calculated",J214="Not Calculated")=TRUE,"Not Calculated",AVERAGE(J205,J214)),AVERAGE(J212,J214))</f>
        <v>Not Calculated</v>
      </c>
      <c r="K218" s="41"/>
    </row>
    <row r="219" spans="2:14" x14ac:dyDescent="0.2">
      <c r="B219" s="38"/>
      <c r="C219" s="40"/>
      <c r="D219" s="40"/>
      <c r="E219" s="40"/>
      <c r="F219" s="40"/>
      <c r="G219" s="40"/>
      <c r="H219" s="40"/>
      <c r="I219" s="40"/>
      <c r="J219" s="40"/>
      <c r="K219" s="41"/>
    </row>
    <row r="220" spans="2:14" x14ac:dyDescent="0.2">
      <c r="B220" s="38"/>
      <c r="C220" s="40"/>
      <c r="D220" s="40"/>
      <c r="E220" s="40"/>
      <c r="F220" s="40"/>
      <c r="G220" s="40"/>
      <c r="H220" s="40"/>
      <c r="I220" s="40"/>
      <c r="J220" s="40"/>
      <c r="K220" s="41"/>
    </row>
    <row r="221" spans="2:14" ht="16" x14ac:dyDescent="0.2">
      <c r="B221" s="38"/>
      <c r="C221" s="45" t="s">
        <v>76</v>
      </c>
      <c r="D221" s="40"/>
      <c r="E221" s="40"/>
      <c r="F221" s="40"/>
      <c r="G221" s="40"/>
      <c r="H221" s="40"/>
      <c r="I221" s="40"/>
      <c r="J221" s="40"/>
      <c r="K221" s="41"/>
    </row>
    <row r="222" spans="2:14" ht="15" customHeight="1" x14ac:dyDescent="0.2">
      <c r="B222" s="38"/>
      <c r="C222" s="40" t="s">
        <v>356</v>
      </c>
      <c r="D222" s="40"/>
      <c r="E222" s="40"/>
      <c r="F222" s="40"/>
      <c r="G222" s="40"/>
      <c r="H222" s="40"/>
      <c r="I222" s="40"/>
      <c r="J222" s="252">
        <f>'Baseline Health'!G71</f>
        <v>0</v>
      </c>
      <c r="K222" s="41"/>
    </row>
    <row r="223" spans="2:14" x14ac:dyDescent="0.2">
      <c r="B223" s="38"/>
      <c r="C223" s="40" t="s">
        <v>357</v>
      </c>
      <c r="D223" s="40"/>
      <c r="E223" s="40"/>
      <c r="F223" s="40"/>
      <c r="G223" s="40"/>
      <c r="H223" s="40"/>
      <c r="I223" s="40"/>
      <c r="J223" s="264">
        <v>0</v>
      </c>
      <c r="K223" s="41"/>
    </row>
    <row r="224" spans="2:14" x14ac:dyDescent="0.2">
      <c r="B224" s="38"/>
      <c r="C224" s="40" t="s">
        <v>445</v>
      </c>
      <c r="D224" s="40"/>
      <c r="E224" s="40"/>
      <c r="F224" s="40"/>
      <c r="G224" s="40"/>
      <c r="H224" s="40"/>
      <c r="I224" s="40"/>
      <c r="J224" s="251">
        <f>J102</f>
        <v>0</v>
      </c>
      <c r="K224" s="41"/>
    </row>
    <row r="225" spans="2:14" x14ac:dyDescent="0.2">
      <c r="B225" s="38"/>
      <c r="C225" s="40"/>
      <c r="D225" s="40" t="s">
        <v>446</v>
      </c>
      <c r="E225" s="40"/>
      <c r="F225" s="40"/>
      <c r="G225" s="40"/>
      <c r="H225" s="40"/>
      <c r="I225" s="40"/>
      <c r="J225" s="40"/>
      <c r="K225" s="41"/>
    </row>
    <row r="226" spans="2:14" x14ac:dyDescent="0.2">
      <c r="B226" s="38"/>
      <c r="C226" s="40" t="s">
        <v>260</v>
      </c>
      <c r="D226" s="40"/>
      <c r="E226" s="40"/>
      <c r="F226" s="40"/>
      <c r="G226" s="40"/>
      <c r="H226" s="40"/>
      <c r="I226" s="40"/>
      <c r="J226" s="245" t="str">
        <f>IF(OR(J222=0,J222="Not Calculated")=TRUE,"Not Calculated",IF(J222-J223=0,4,IF(((J222+J224)/(J222-J223))&lt;=1,0,IF(((J222+J224)/(J222-J223))&lt;=1.05,1,IF(((J222+J224)/(J222-J223))&lt;=1.5, 2,IF(((J222+J224)/(J222-J223))&lt;=2,3,4))))))</f>
        <v>Not Calculated</v>
      </c>
      <c r="K226" s="41"/>
    </row>
    <row r="227" spans="2:14" ht="9.75" customHeight="1" x14ac:dyDescent="0.2">
      <c r="B227" s="38"/>
      <c r="C227" s="279" t="str">
        <f>"0:"</f>
        <v>0:</v>
      </c>
      <c r="D227" s="278" t="s">
        <v>918</v>
      </c>
      <c r="E227" s="40"/>
      <c r="F227" s="40"/>
      <c r="G227" s="40"/>
      <c r="H227" s="40"/>
      <c r="I227" s="40"/>
      <c r="J227" s="40"/>
      <c r="K227" s="41"/>
    </row>
    <row r="228" spans="2:14" ht="9.75" customHeight="1" x14ac:dyDescent="0.2">
      <c r="B228" s="38"/>
      <c r="C228" s="280" t="str">
        <f>"1:"</f>
        <v>1:</v>
      </c>
      <c r="D228" s="278" t="s">
        <v>923</v>
      </c>
      <c r="E228" s="40"/>
      <c r="F228" s="40"/>
      <c r="G228" s="40"/>
      <c r="H228" s="40"/>
      <c r="I228" s="40"/>
      <c r="J228" s="40"/>
      <c r="K228" s="41"/>
    </row>
    <row r="229" spans="2:14" ht="9.75" customHeight="1" x14ac:dyDescent="0.2">
      <c r="B229" s="38"/>
      <c r="C229" s="280" t="str">
        <f>"2:"</f>
        <v>2:</v>
      </c>
      <c r="D229" s="278" t="s">
        <v>924</v>
      </c>
      <c r="E229" s="40"/>
      <c r="F229" s="40"/>
      <c r="G229" s="40"/>
      <c r="H229" s="40"/>
      <c r="I229" s="40"/>
      <c r="J229" s="40"/>
      <c r="K229" s="41"/>
    </row>
    <row r="230" spans="2:14" ht="9.75" customHeight="1" x14ac:dyDescent="0.2">
      <c r="B230" s="38"/>
      <c r="C230" s="280" t="str">
        <f>"3:"</f>
        <v>3:</v>
      </c>
      <c r="D230" s="278" t="s">
        <v>925</v>
      </c>
      <c r="E230" s="40"/>
      <c r="F230" s="40"/>
      <c r="G230" s="40"/>
      <c r="H230" s="40"/>
      <c r="I230" s="40"/>
      <c r="J230" s="40"/>
      <c r="K230" s="41"/>
    </row>
    <row r="231" spans="2:14" ht="9.75" customHeight="1" x14ac:dyDescent="0.2">
      <c r="B231" s="38"/>
      <c r="C231" s="280" t="str">
        <f>"4:"</f>
        <v>4:</v>
      </c>
      <c r="D231" s="278" t="s">
        <v>926</v>
      </c>
      <c r="E231" s="40"/>
      <c r="F231" s="40"/>
      <c r="G231" s="40"/>
      <c r="H231" s="40"/>
      <c r="I231" s="40"/>
      <c r="J231" s="40"/>
      <c r="K231" s="41"/>
      <c r="N231" s="12" t="s">
        <v>661</v>
      </c>
    </row>
    <row r="232" spans="2:14" x14ac:dyDescent="0.2">
      <c r="B232" s="38"/>
      <c r="C232" s="174" t="s">
        <v>662</v>
      </c>
      <c r="D232" s="40"/>
      <c r="E232" s="40"/>
      <c r="F232" s="40"/>
      <c r="G232" s="40"/>
      <c r="H232" s="40"/>
      <c r="I232" s="40"/>
      <c r="J232" s="265" t="s">
        <v>661</v>
      </c>
      <c r="K232" s="41"/>
      <c r="N232" s="12" t="s">
        <v>894</v>
      </c>
    </row>
    <row r="233" spans="2:14" x14ac:dyDescent="0.2">
      <c r="B233" s="38"/>
      <c r="C233" s="174" t="s">
        <v>660</v>
      </c>
      <c r="D233" s="40"/>
      <c r="E233" s="40"/>
      <c r="F233" s="40"/>
      <c r="G233" s="40"/>
      <c r="H233" s="40"/>
      <c r="I233" s="40"/>
      <c r="J233" s="246" t="str">
        <f>IF(J232=N231,"N/A",IF(J232=N232,0,IF(J232=N233,1,IF(J232=N234,2,IF(J232=N235,3,IF(J232=N236,4,"N/A"))))))</f>
        <v>N/A</v>
      </c>
      <c r="K233" s="41"/>
      <c r="N233" s="12" t="s">
        <v>899</v>
      </c>
    </row>
    <row r="234" spans="2:14" x14ac:dyDescent="0.2">
      <c r="B234" s="38"/>
      <c r="C234" s="40" t="s">
        <v>257</v>
      </c>
      <c r="D234" s="40"/>
      <c r="E234" s="40"/>
      <c r="F234" s="40"/>
      <c r="G234" s="40"/>
      <c r="H234" s="40"/>
      <c r="I234" s="40"/>
      <c r="J234" s="266" t="s">
        <v>870</v>
      </c>
      <c r="K234" s="41"/>
      <c r="N234" s="12" t="s">
        <v>900</v>
      </c>
    </row>
    <row r="235" spans="2:14" x14ac:dyDescent="0.2">
      <c r="B235" s="38"/>
      <c r="C235" s="40" t="s">
        <v>261</v>
      </c>
      <c r="D235" s="40"/>
      <c r="E235" s="40"/>
      <c r="F235" s="40"/>
      <c r="G235" s="40"/>
      <c r="H235" s="40"/>
      <c r="I235" s="40"/>
      <c r="J235" s="245">
        <f>IF(J234=$B$973,$A$973,IF(J234=$B$974,$A$974,IF(J234=$B$975,$A$975,IF(J234=$B$976,$A$976,IF(J234=$B$977,$A$977,"Not Calculated")))))</f>
        <v>0</v>
      </c>
      <c r="K235" s="41"/>
      <c r="N235" s="12" t="s">
        <v>901</v>
      </c>
    </row>
    <row r="236" spans="2:14" x14ac:dyDescent="0.2">
      <c r="B236" s="38"/>
      <c r="C236" s="40" t="s">
        <v>893</v>
      </c>
      <c r="D236" s="40"/>
      <c r="E236" s="40"/>
      <c r="F236" s="40"/>
      <c r="G236" s="40"/>
      <c r="H236" s="40"/>
      <c r="I236" s="40"/>
      <c r="J236" s="40"/>
      <c r="K236" s="41"/>
      <c r="N236" s="12" t="s">
        <v>902</v>
      </c>
    </row>
    <row r="237" spans="2:14" ht="30" customHeight="1" x14ac:dyDescent="0.2">
      <c r="B237" s="38"/>
      <c r="C237" s="399"/>
      <c r="D237" s="400"/>
      <c r="E237" s="400"/>
      <c r="F237" s="400"/>
      <c r="G237" s="400"/>
      <c r="H237" s="400"/>
      <c r="I237" s="400"/>
      <c r="J237" s="401"/>
      <c r="K237" s="41"/>
    </row>
    <row r="238" spans="2:14" x14ac:dyDescent="0.2">
      <c r="B238" s="38"/>
      <c r="C238" s="40"/>
      <c r="D238" s="40"/>
      <c r="E238" s="40"/>
      <c r="F238" s="40"/>
      <c r="G238" s="40"/>
      <c r="H238" s="40"/>
      <c r="I238" s="40"/>
      <c r="J238" s="40"/>
      <c r="K238" s="41"/>
    </row>
    <row r="239" spans="2:14" x14ac:dyDescent="0.2">
      <c r="B239" s="38"/>
      <c r="C239" s="179" t="s">
        <v>277</v>
      </c>
      <c r="D239" s="40"/>
      <c r="E239" s="40"/>
      <c r="F239" s="40"/>
      <c r="G239" s="40"/>
      <c r="H239" s="40"/>
      <c r="I239" s="40"/>
      <c r="J239" s="245" t="str">
        <f>IF(J233="N/A",IF(OR(J226="Not Calculated",J235="Not Calculated")=TRUE,"Not Calculated",AVERAGE(J226,J235)),AVERAGE(J233,J235))</f>
        <v>Not Calculated</v>
      </c>
      <c r="K239" s="41"/>
    </row>
    <row r="240" spans="2:14" x14ac:dyDescent="0.2">
      <c r="B240" s="38"/>
      <c r="C240" s="40"/>
      <c r="D240" s="40"/>
      <c r="E240" s="40"/>
      <c r="F240" s="40"/>
      <c r="G240" s="40"/>
      <c r="H240" s="40"/>
      <c r="I240" s="40"/>
      <c r="J240" s="40"/>
      <c r="K240" s="41"/>
    </row>
    <row r="241" spans="2:14" x14ac:dyDescent="0.2">
      <c r="B241" s="38"/>
      <c r="C241" s="40"/>
      <c r="D241" s="40"/>
      <c r="E241" s="40"/>
      <c r="F241" s="40"/>
      <c r="G241" s="40"/>
      <c r="H241" s="40"/>
      <c r="I241" s="40"/>
      <c r="J241" s="40"/>
      <c r="K241" s="41"/>
    </row>
    <row r="242" spans="2:14" ht="16" x14ac:dyDescent="0.2">
      <c r="B242" s="38"/>
      <c r="C242" s="45" t="s">
        <v>278</v>
      </c>
      <c r="D242" s="40"/>
      <c r="E242" s="40"/>
      <c r="F242" s="40"/>
      <c r="G242" s="40"/>
      <c r="H242" s="40"/>
      <c r="I242" s="40"/>
      <c r="J242" s="40"/>
      <c r="K242" s="41"/>
    </row>
    <row r="243" spans="2:14" ht="15" customHeight="1" x14ac:dyDescent="0.2">
      <c r="B243" s="38"/>
      <c r="C243" s="40" t="s">
        <v>447</v>
      </c>
      <c r="D243" s="40"/>
      <c r="E243" s="40"/>
      <c r="F243" s="40"/>
      <c r="G243" s="40"/>
      <c r="H243" s="40"/>
      <c r="I243" s="40"/>
      <c r="J243" s="254">
        <f>'Baseline Health'!G77</f>
        <v>0</v>
      </c>
      <c r="K243" s="41"/>
    </row>
    <row r="244" spans="2:14" x14ac:dyDescent="0.2">
      <c r="B244" s="38"/>
      <c r="C244" s="40" t="s">
        <v>358</v>
      </c>
      <c r="D244" s="40"/>
      <c r="E244" s="40"/>
      <c r="F244" s="40"/>
      <c r="G244" s="40"/>
      <c r="H244" s="40"/>
      <c r="I244" s="40"/>
      <c r="J244" s="264">
        <v>0</v>
      </c>
      <c r="K244" s="41"/>
    </row>
    <row r="245" spans="2:14" x14ac:dyDescent="0.2">
      <c r="B245" s="38"/>
      <c r="C245" s="40" t="s">
        <v>360</v>
      </c>
      <c r="D245" s="291"/>
      <c r="E245" s="291"/>
      <c r="F245" s="291"/>
      <c r="G245" s="291"/>
      <c r="H245" s="291"/>
      <c r="I245" s="291"/>
      <c r="J245" s="264">
        <v>0</v>
      </c>
      <c r="K245" s="41"/>
    </row>
    <row r="246" spans="2:14" x14ac:dyDescent="0.2">
      <c r="B246" s="38"/>
      <c r="C246" s="40" t="s">
        <v>260</v>
      </c>
      <c r="D246" s="40"/>
      <c r="E246" s="40"/>
      <c r="F246" s="40"/>
      <c r="G246" s="40"/>
      <c r="H246" s="40"/>
      <c r="I246" s="40"/>
      <c r="J246" s="245" t="str">
        <f>IF(OR(J243=0,J243="Not Calculated")=TRUE,"Not Calculated",IF(J243-J244=0,4,(IF(((J243+J245)/(J243-J244))&lt;=1,0,IF(((J243+J245)/(J243-J244))&lt;=1.05,1,IF(((J243+J245)/(J243-J244))&lt;=1.5,2,IF(((J243+J245)/(J243-J244))&lt;=2,3,4)))))))</f>
        <v>Not Calculated</v>
      </c>
      <c r="K246" s="41"/>
    </row>
    <row r="247" spans="2:14" ht="9.75" customHeight="1" x14ac:dyDescent="0.2">
      <c r="B247" s="38"/>
      <c r="C247" s="279" t="str">
        <f>"0:"</f>
        <v>0:</v>
      </c>
      <c r="D247" s="278" t="s">
        <v>918</v>
      </c>
      <c r="E247" s="40"/>
      <c r="F247" s="40"/>
      <c r="G247" s="40"/>
      <c r="H247" s="40"/>
      <c r="I247" s="40"/>
      <c r="J247" s="40"/>
      <c r="K247" s="41"/>
    </row>
    <row r="248" spans="2:14" ht="9.75" customHeight="1" x14ac:dyDescent="0.2">
      <c r="B248" s="38"/>
      <c r="C248" s="280" t="str">
        <f>"1:"</f>
        <v>1:</v>
      </c>
      <c r="D248" s="278" t="s">
        <v>923</v>
      </c>
      <c r="E248" s="40"/>
      <c r="F248" s="40"/>
      <c r="G248" s="40"/>
      <c r="H248" s="40"/>
      <c r="I248" s="40"/>
      <c r="J248" s="40"/>
      <c r="K248" s="41"/>
    </row>
    <row r="249" spans="2:14" ht="9.75" customHeight="1" x14ac:dyDescent="0.2">
      <c r="B249" s="38"/>
      <c r="C249" s="280" t="str">
        <f>"2:"</f>
        <v>2:</v>
      </c>
      <c r="D249" s="278" t="s">
        <v>924</v>
      </c>
      <c r="E249" s="40"/>
      <c r="F249" s="40"/>
      <c r="G249" s="40"/>
      <c r="H249" s="40"/>
      <c r="I249" s="40"/>
      <c r="J249" s="40"/>
      <c r="K249" s="41"/>
    </row>
    <row r="250" spans="2:14" ht="9.75" customHeight="1" x14ac:dyDescent="0.2">
      <c r="B250" s="38"/>
      <c r="C250" s="280" t="str">
        <f>"3:"</f>
        <v>3:</v>
      </c>
      <c r="D250" s="278" t="s">
        <v>925</v>
      </c>
      <c r="E250" s="40"/>
      <c r="F250" s="40"/>
      <c r="G250" s="40"/>
      <c r="H250" s="40"/>
      <c r="I250" s="40"/>
      <c r="J250" s="40"/>
      <c r="K250" s="41"/>
    </row>
    <row r="251" spans="2:14" ht="9.75" customHeight="1" x14ac:dyDescent="0.2">
      <c r="B251" s="38"/>
      <c r="C251" s="280" t="str">
        <f>"4:"</f>
        <v>4:</v>
      </c>
      <c r="D251" s="278" t="s">
        <v>926</v>
      </c>
      <c r="E251" s="40"/>
      <c r="F251" s="40"/>
      <c r="G251" s="40"/>
      <c r="H251" s="40"/>
      <c r="I251" s="40"/>
      <c r="J251" s="40"/>
      <c r="K251" s="41"/>
      <c r="N251" s="12" t="s">
        <v>661</v>
      </c>
    </row>
    <row r="252" spans="2:14" x14ac:dyDescent="0.2">
      <c r="B252" s="38"/>
      <c r="C252" s="174" t="s">
        <v>662</v>
      </c>
      <c r="D252" s="40"/>
      <c r="E252" s="40"/>
      <c r="F252" s="40"/>
      <c r="G252" s="40"/>
      <c r="H252" s="40"/>
      <c r="I252" s="40"/>
      <c r="J252" s="265" t="s">
        <v>661</v>
      </c>
      <c r="K252" s="41"/>
      <c r="N252" s="12" t="s">
        <v>894</v>
      </c>
    </row>
    <row r="253" spans="2:14" x14ac:dyDescent="0.2">
      <c r="B253" s="38"/>
      <c r="C253" s="174" t="s">
        <v>660</v>
      </c>
      <c r="D253" s="40"/>
      <c r="E253" s="40"/>
      <c r="F253" s="40"/>
      <c r="G253" s="40"/>
      <c r="H253" s="40"/>
      <c r="I253" s="40"/>
      <c r="J253" s="246" t="str">
        <f>IF(J252=N251,"N/A",IF(J252=N252,0,IF(J252=N253,1,IF(J252=N254,2,IF(J252=N255,3,IF(J252=N256,4,"N/A"))))))</f>
        <v>N/A</v>
      </c>
      <c r="K253" s="41"/>
      <c r="N253" s="12" t="s">
        <v>899</v>
      </c>
    </row>
    <row r="254" spans="2:14" x14ac:dyDescent="0.2">
      <c r="B254" s="38"/>
      <c r="C254" s="40" t="s">
        <v>257</v>
      </c>
      <c r="D254" s="40"/>
      <c r="E254" s="40"/>
      <c r="F254" s="40"/>
      <c r="G254" s="40"/>
      <c r="H254" s="40"/>
      <c r="I254" s="40"/>
      <c r="J254" s="266" t="s">
        <v>870</v>
      </c>
      <c r="K254" s="41"/>
      <c r="N254" s="12" t="s">
        <v>900</v>
      </c>
    </row>
    <row r="255" spans="2:14" x14ac:dyDescent="0.2">
      <c r="B255" s="38"/>
      <c r="C255" s="40" t="s">
        <v>261</v>
      </c>
      <c r="D255" s="40"/>
      <c r="E255" s="40"/>
      <c r="F255" s="40"/>
      <c r="G255" s="40"/>
      <c r="H255" s="40"/>
      <c r="I255" s="40"/>
      <c r="J255" s="245">
        <f>IF(J254=$B$973,$A$973,IF(J254=$B$974,$A$974,IF(J254=$B$975,$A$975,IF(J254=$B$976,$A$976,IF(J254=$B$977,$A$977,"Not Calculated")))))</f>
        <v>0</v>
      </c>
      <c r="K255" s="41"/>
      <c r="N255" s="12" t="s">
        <v>901</v>
      </c>
    </row>
    <row r="256" spans="2:14" x14ac:dyDescent="0.2">
      <c r="B256" s="38"/>
      <c r="C256" s="40" t="s">
        <v>893</v>
      </c>
      <c r="D256" s="40"/>
      <c r="E256" s="40"/>
      <c r="F256" s="40"/>
      <c r="G256" s="40"/>
      <c r="H256" s="40"/>
      <c r="I256" s="40"/>
      <c r="J256" s="40"/>
      <c r="K256" s="41"/>
      <c r="N256" s="12" t="s">
        <v>902</v>
      </c>
    </row>
    <row r="257" spans="2:11" ht="30" customHeight="1" x14ac:dyDescent="0.2">
      <c r="B257" s="38"/>
      <c r="C257" s="399"/>
      <c r="D257" s="400"/>
      <c r="E257" s="400"/>
      <c r="F257" s="400"/>
      <c r="G257" s="400"/>
      <c r="H257" s="400"/>
      <c r="I257" s="400"/>
      <c r="J257" s="401"/>
      <c r="K257" s="41"/>
    </row>
    <row r="258" spans="2:11" x14ac:dyDescent="0.2">
      <c r="B258" s="38"/>
      <c r="C258" s="40"/>
      <c r="D258" s="40"/>
      <c r="E258" s="40"/>
      <c r="F258" s="40"/>
      <c r="G258" s="40"/>
      <c r="H258" s="40"/>
      <c r="I258" s="40"/>
      <c r="J258" s="40"/>
      <c r="K258" s="41"/>
    </row>
    <row r="259" spans="2:11" x14ac:dyDescent="0.2">
      <c r="B259" s="38"/>
      <c r="C259" s="179" t="s">
        <v>279</v>
      </c>
      <c r="D259" s="40"/>
      <c r="E259" s="40"/>
      <c r="F259" s="40"/>
      <c r="G259" s="40"/>
      <c r="H259" s="40"/>
      <c r="I259" s="40"/>
      <c r="J259" s="245" t="str">
        <f>IF(J253="N/A",IF(OR(J246="Not Calculated",J255="Not Calculated")=TRUE,"Not Calculated",AVERAGE(J246,J255)),AVERAGE(J253,J255))</f>
        <v>Not Calculated</v>
      </c>
      <c r="K259" s="41"/>
    </row>
    <row r="260" spans="2:11" x14ac:dyDescent="0.2">
      <c r="B260" s="38"/>
      <c r="C260" s="40"/>
      <c r="D260" s="40"/>
      <c r="E260" s="40"/>
      <c r="F260" s="40"/>
      <c r="G260" s="40"/>
      <c r="H260" s="40"/>
      <c r="I260" s="40"/>
      <c r="J260" s="40"/>
      <c r="K260" s="41"/>
    </row>
    <row r="261" spans="2:11" ht="18" x14ac:dyDescent="0.2">
      <c r="B261" s="38"/>
      <c r="C261" s="180" t="s">
        <v>272</v>
      </c>
      <c r="D261" s="40"/>
      <c r="E261" s="40"/>
      <c r="F261" s="40"/>
      <c r="G261" s="40"/>
      <c r="H261" s="40"/>
      <c r="I261" s="40"/>
      <c r="J261" s="244" t="str">
        <f>IF(OR(J157="Not Calculated",J178="Not Calculated",J198="Not Calculated",J218="Not Calculated",J239="Not Calculated",J259="Not Calculated",)=TRUE,"Not Calculated",AVERAGE(J157,J178,J198,J218,J239,J259))</f>
        <v>Not Calculated</v>
      </c>
      <c r="K261" s="41"/>
    </row>
    <row r="262" spans="2:11" ht="16" thickBot="1" x14ac:dyDescent="0.25">
      <c r="B262" s="46"/>
      <c r="C262" s="47"/>
      <c r="D262" s="47"/>
      <c r="E262" s="47"/>
      <c r="F262" s="47"/>
      <c r="G262" s="47"/>
      <c r="H262" s="47"/>
      <c r="I262" s="47"/>
      <c r="J262" s="47"/>
      <c r="K262" s="49"/>
    </row>
    <row r="263" spans="2:11" ht="16" thickBot="1" x14ac:dyDescent="0.25"/>
    <row r="264" spans="2:11" x14ac:dyDescent="0.2">
      <c r="B264" s="33"/>
      <c r="C264" s="34"/>
      <c r="D264" s="34"/>
      <c r="E264" s="34"/>
      <c r="F264" s="34"/>
      <c r="G264" s="34"/>
      <c r="H264" s="34"/>
      <c r="I264" s="34"/>
      <c r="J264" s="34"/>
      <c r="K264" s="37"/>
    </row>
    <row r="265" spans="2:11" ht="21" x14ac:dyDescent="0.25">
      <c r="B265" s="38"/>
      <c r="C265" s="40"/>
      <c r="D265" s="40"/>
      <c r="E265" s="40"/>
      <c r="F265" s="40"/>
      <c r="G265" s="172" t="s">
        <v>864</v>
      </c>
      <c r="H265" s="40"/>
      <c r="I265" s="40"/>
      <c r="J265" s="40"/>
      <c r="K265" s="41"/>
    </row>
    <row r="266" spans="2:11" ht="15" customHeight="1" x14ac:dyDescent="0.2">
      <c r="B266" s="38"/>
      <c r="C266" s="40"/>
      <c r="D266" s="40"/>
      <c r="E266" s="40"/>
      <c r="F266" s="40"/>
      <c r="G266" s="40"/>
      <c r="H266" s="40"/>
      <c r="I266" s="40"/>
      <c r="J266" s="40"/>
      <c r="K266" s="41"/>
    </row>
    <row r="267" spans="2:11" ht="16" x14ac:dyDescent="0.2">
      <c r="B267" s="38"/>
      <c r="C267" s="45" t="s">
        <v>80</v>
      </c>
      <c r="D267" s="40"/>
      <c r="E267" s="40"/>
      <c r="F267" s="40"/>
      <c r="G267" s="40"/>
      <c r="H267" s="40"/>
      <c r="I267" s="40"/>
      <c r="J267" s="40"/>
      <c r="K267" s="41"/>
    </row>
    <row r="268" spans="2:11" x14ac:dyDescent="0.2">
      <c r="B268" s="38"/>
      <c r="C268" s="40" t="s">
        <v>283</v>
      </c>
      <c r="D268" s="40"/>
      <c r="E268" s="40"/>
      <c r="F268" s="40"/>
      <c r="G268" s="40"/>
      <c r="H268" s="40"/>
      <c r="I268" s="40"/>
      <c r="J268" s="250">
        <f>'Baseline Health'!G88</f>
        <v>0</v>
      </c>
      <c r="K268" s="41"/>
    </row>
    <row r="269" spans="2:11" x14ac:dyDescent="0.2">
      <c r="B269" s="38"/>
      <c r="C269" s="40" t="s">
        <v>284</v>
      </c>
      <c r="D269" s="40"/>
      <c r="E269" s="40"/>
      <c r="F269" s="40"/>
      <c r="G269" s="40"/>
      <c r="H269" s="40"/>
      <c r="I269" s="40"/>
      <c r="J269" s="264">
        <v>0</v>
      </c>
      <c r="K269" s="41"/>
    </row>
    <row r="270" spans="2:11" x14ac:dyDescent="0.2">
      <c r="B270" s="38"/>
      <c r="C270" s="40" t="s">
        <v>285</v>
      </c>
      <c r="D270" s="40"/>
      <c r="E270" s="40"/>
      <c r="F270" s="40"/>
      <c r="G270" s="40"/>
      <c r="H270" s="40"/>
      <c r="I270" s="40"/>
      <c r="J270" s="259">
        <f>'Baseline Health'!G93</f>
        <v>0</v>
      </c>
      <c r="K270" s="41"/>
    </row>
    <row r="271" spans="2:11" x14ac:dyDescent="0.2">
      <c r="B271" s="38"/>
      <c r="C271" s="40" t="s">
        <v>286</v>
      </c>
      <c r="D271" s="40"/>
      <c r="E271" s="40"/>
      <c r="F271" s="40"/>
      <c r="G271" s="40"/>
      <c r="H271" s="40"/>
      <c r="I271" s="40"/>
      <c r="J271" s="250">
        <f>J184</f>
        <v>0</v>
      </c>
      <c r="K271" s="41"/>
    </row>
    <row r="272" spans="2:11" x14ac:dyDescent="0.2">
      <c r="B272" s="38"/>
      <c r="C272" s="40"/>
      <c r="D272" s="40" t="s">
        <v>432</v>
      </c>
      <c r="E272" s="40"/>
      <c r="F272" s="40"/>
      <c r="G272" s="40"/>
      <c r="H272" s="40"/>
      <c r="I272" s="40"/>
      <c r="J272" s="40"/>
      <c r="K272" s="41"/>
    </row>
    <row r="273" spans="2:14" x14ac:dyDescent="0.2">
      <c r="B273" s="38"/>
      <c r="C273" s="40" t="s">
        <v>292</v>
      </c>
      <c r="D273" s="40"/>
      <c r="E273" s="40"/>
      <c r="F273" s="40"/>
      <c r="G273" s="40"/>
      <c r="H273" s="40"/>
      <c r="I273" s="40"/>
      <c r="J273" s="258" t="str">
        <f>'Baseline Health'!G97</f>
        <v>N/A</v>
      </c>
      <c r="K273" s="41"/>
    </row>
    <row r="274" spans="2:14" x14ac:dyDescent="0.2">
      <c r="B274" s="38"/>
      <c r="C274" s="40" t="s">
        <v>293</v>
      </c>
      <c r="D274" s="40"/>
      <c r="E274" s="40"/>
      <c r="F274" s="40"/>
      <c r="G274" s="40"/>
      <c r="H274" s="40"/>
      <c r="I274" s="40"/>
      <c r="J274" s="258" t="str">
        <f>IF(J273="N/A","N/A",IF(J268-J269=0,"No Nurses",((J270+J271)/(J268-J269))))</f>
        <v>N/A</v>
      </c>
      <c r="K274" s="41"/>
    </row>
    <row r="275" spans="2:14" x14ac:dyDescent="0.2">
      <c r="B275" s="38"/>
      <c r="C275" s="40" t="s">
        <v>260</v>
      </c>
      <c r="D275" s="40"/>
      <c r="E275" s="40"/>
      <c r="F275" s="40"/>
      <c r="G275" s="40"/>
      <c r="H275" s="40"/>
      <c r="I275" s="40"/>
      <c r="J275" s="245">
        <f>IF(J273=0,"Not Calculated",IF(J274="N/A",0,IF(J274="No Nurses",4,IF((J274/J273)&lt;=1,0,IF((J274/J273)&lt;=1.1,1,IF((J274/J273)&lt;=1=1.25,2,IF((J274/J273)&lt;=1.5,3,4)))))))</f>
        <v>0</v>
      </c>
      <c r="K275" s="41"/>
    </row>
    <row r="276" spans="2:14" ht="9.75" customHeight="1" x14ac:dyDescent="0.2">
      <c r="B276" s="38"/>
      <c r="C276" s="279" t="str">
        <f>"0:"</f>
        <v>0:</v>
      </c>
      <c r="D276" s="278" t="s">
        <v>927</v>
      </c>
      <c r="E276" s="40"/>
      <c r="F276" s="40"/>
      <c r="G276" s="40"/>
      <c r="H276" s="40"/>
      <c r="I276" s="40"/>
      <c r="J276" s="258"/>
      <c r="K276" s="41"/>
    </row>
    <row r="277" spans="2:14" ht="9.75" customHeight="1" x14ac:dyDescent="0.2">
      <c r="B277" s="38"/>
      <c r="C277" s="280" t="str">
        <f>"1:"</f>
        <v>1:</v>
      </c>
      <c r="D277" s="278" t="s">
        <v>928</v>
      </c>
      <c r="E277" s="40"/>
      <c r="F277" s="40"/>
      <c r="G277" s="40"/>
      <c r="H277" s="40"/>
      <c r="I277" s="40"/>
      <c r="J277" s="258"/>
      <c r="K277" s="41"/>
    </row>
    <row r="278" spans="2:14" ht="9.75" customHeight="1" x14ac:dyDescent="0.2">
      <c r="B278" s="38"/>
      <c r="C278" s="280" t="str">
        <f>"2:"</f>
        <v>2:</v>
      </c>
      <c r="D278" s="278" t="s">
        <v>929</v>
      </c>
      <c r="E278" s="40"/>
      <c r="F278" s="40"/>
      <c r="G278" s="40"/>
      <c r="H278" s="40"/>
      <c r="I278" s="40"/>
      <c r="J278" s="258"/>
      <c r="K278" s="41"/>
    </row>
    <row r="279" spans="2:14" ht="9.75" customHeight="1" x14ac:dyDescent="0.2">
      <c r="B279" s="38"/>
      <c r="C279" s="280" t="str">
        <f>"3:"</f>
        <v>3:</v>
      </c>
      <c r="D279" s="278" t="s">
        <v>930</v>
      </c>
      <c r="E279" s="40"/>
      <c r="F279" s="40"/>
      <c r="G279" s="40"/>
      <c r="H279" s="40"/>
      <c r="I279" s="40"/>
      <c r="J279" s="258"/>
      <c r="K279" s="41"/>
    </row>
    <row r="280" spans="2:14" ht="9.75" customHeight="1" x14ac:dyDescent="0.2">
      <c r="B280" s="38"/>
      <c r="C280" s="280" t="str">
        <f>"4:"</f>
        <v>4:</v>
      </c>
      <c r="D280" s="278" t="s">
        <v>931</v>
      </c>
      <c r="E280" s="40"/>
      <c r="F280" s="40"/>
      <c r="G280" s="40"/>
      <c r="H280" s="40"/>
      <c r="I280" s="40"/>
      <c r="J280" s="40"/>
      <c r="K280" s="41"/>
      <c r="N280" s="12" t="s">
        <v>661</v>
      </c>
    </row>
    <row r="281" spans="2:14" x14ac:dyDescent="0.2">
      <c r="B281" s="38"/>
      <c r="C281" s="174" t="s">
        <v>662</v>
      </c>
      <c r="D281" s="40"/>
      <c r="E281" s="40"/>
      <c r="F281" s="40"/>
      <c r="G281" s="40"/>
      <c r="H281" s="40"/>
      <c r="I281" s="40"/>
      <c r="J281" s="265" t="s">
        <v>661</v>
      </c>
      <c r="K281" s="41"/>
      <c r="N281" s="12" t="s">
        <v>903</v>
      </c>
    </row>
    <row r="282" spans="2:14" x14ac:dyDescent="0.2">
      <c r="B282" s="38"/>
      <c r="C282" s="174" t="s">
        <v>660</v>
      </c>
      <c r="D282" s="40"/>
      <c r="E282" s="40"/>
      <c r="F282" s="40"/>
      <c r="G282" s="40"/>
      <c r="H282" s="40"/>
      <c r="I282" s="40"/>
      <c r="J282" s="246" t="str">
        <f>IF(J281=N280,"N/A",IF(J281=N281,0,IF(J281=N282,1,IF(J281=N283,2,IF(J281=N284,3,IF(J281=N285,4,"N/A"))))))</f>
        <v>N/A</v>
      </c>
      <c r="K282" s="41"/>
      <c r="N282" s="12" t="s">
        <v>904</v>
      </c>
    </row>
    <row r="283" spans="2:14" x14ac:dyDescent="0.2">
      <c r="B283" s="38"/>
      <c r="C283" s="40" t="s">
        <v>257</v>
      </c>
      <c r="D283" s="40"/>
      <c r="E283" s="40"/>
      <c r="F283" s="40"/>
      <c r="G283" s="40"/>
      <c r="H283" s="40"/>
      <c r="I283" s="40"/>
      <c r="J283" s="266" t="s">
        <v>870</v>
      </c>
      <c r="K283" s="41"/>
      <c r="N283" s="12" t="s">
        <v>905</v>
      </c>
    </row>
    <row r="284" spans="2:14" x14ac:dyDescent="0.2">
      <c r="B284" s="38"/>
      <c r="C284" s="40" t="s">
        <v>261</v>
      </c>
      <c r="D284" s="40"/>
      <c r="E284" s="40"/>
      <c r="F284" s="40"/>
      <c r="G284" s="40"/>
      <c r="H284" s="40"/>
      <c r="I284" s="40"/>
      <c r="J284" s="248">
        <f>IF(J283=$B$973,$A$973,IF(J283=$B$974,$A$974,IF(J283=$B$975,$A$975,IF(J283=$B$976,$A$976,IF(J283=$B$977,$A$977,"Not Calculated")))))</f>
        <v>0</v>
      </c>
      <c r="K284" s="41"/>
      <c r="N284" s="12" t="s">
        <v>906</v>
      </c>
    </row>
    <row r="285" spans="2:14" x14ac:dyDescent="0.2">
      <c r="B285" s="38"/>
      <c r="C285" s="40" t="s">
        <v>893</v>
      </c>
      <c r="D285" s="40"/>
      <c r="E285" s="40"/>
      <c r="F285" s="40"/>
      <c r="G285" s="40"/>
      <c r="H285" s="40"/>
      <c r="I285" s="40"/>
      <c r="J285" s="40"/>
      <c r="K285" s="41"/>
      <c r="N285" s="12" t="s">
        <v>907</v>
      </c>
    </row>
    <row r="286" spans="2:14" ht="30" customHeight="1" x14ac:dyDescent="0.2">
      <c r="B286" s="38"/>
      <c r="C286" s="399"/>
      <c r="D286" s="400"/>
      <c r="E286" s="400"/>
      <c r="F286" s="400"/>
      <c r="G286" s="400"/>
      <c r="H286" s="400"/>
      <c r="I286" s="400"/>
      <c r="J286" s="401"/>
      <c r="K286" s="41"/>
    </row>
    <row r="287" spans="2:14" x14ac:dyDescent="0.2">
      <c r="B287" s="38"/>
      <c r="C287" s="40"/>
      <c r="D287" s="40"/>
      <c r="E287" s="40"/>
      <c r="F287" s="40"/>
      <c r="G287" s="40"/>
      <c r="H287" s="40"/>
      <c r="I287" s="40"/>
      <c r="J287" s="40"/>
      <c r="K287" s="41"/>
    </row>
    <row r="288" spans="2:14" x14ac:dyDescent="0.2">
      <c r="B288" s="38"/>
      <c r="C288" s="179" t="s">
        <v>295</v>
      </c>
      <c r="D288" s="40"/>
      <c r="E288" s="40"/>
      <c r="F288" s="40"/>
      <c r="G288" s="40"/>
      <c r="H288" s="40"/>
      <c r="I288" s="40"/>
      <c r="J288" s="245">
        <f>IF(J282="N/A",IF(OR(J275="Not Calculated",J284="Not Calculated")=TRUE,"Not Calculated",AVERAGE(J275,J284)),AVERAGE(J282,J284))</f>
        <v>0</v>
      </c>
      <c r="K288" s="41"/>
    </row>
    <row r="289" spans="2:11" x14ac:dyDescent="0.2">
      <c r="B289" s="38"/>
      <c r="C289" s="40"/>
      <c r="D289" s="40"/>
      <c r="E289" s="40"/>
      <c r="F289" s="40"/>
      <c r="G289" s="40"/>
      <c r="H289" s="40"/>
      <c r="I289" s="40"/>
      <c r="J289" s="245"/>
      <c r="K289" s="41"/>
    </row>
    <row r="290" spans="2:11" x14ac:dyDescent="0.2">
      <c r="B290" s="38"/>
      <c r="C290" s="40"/>
      <c r="D290" s="40"/>
      <c r="E290" s="40"/>
      <c r="F290" s="40"/>
      <c r="G290" s="40"/>
      <c r="H290" s="40"/>
      <c r="I290" s="40"/>
      <c r="J290" s="40"/>
      <c r="K290" s="41"/>
    </row>
    <row r="291" spans="2:11" ht="16" x14ac:dyDescent="0.2">
      <c r="B291" s="38"/>
      <c r="C291" s="45" t="s">
        <v>856</v>
      </c>
      <c r="D291" s="40"/>
      <c r="E291" s="40"/>
      <c r="F291" s="40"/>
      <c r="G291" s="40"/>
      <c r="H291" s="40"/>
      <c r="I291" s="40"/>
      <c r="J291" s="40"/>
      <c r="K291" s="41"/>
    </row>
    <row r="292" spans="2:11" x14ac:dyDescent="0.2">
      <c r="B292" s="38"/>
      <c r="C292" s="380" t="s">
        <v>855</v>
      </c>
      <c r="D292" s="380"/>
      <c r="E292" s="380"/>
      <c r="F292" s="380"/>
      <c r="G292" s="380"/>
      <c r="H292" s="380"/>
      <c r="I292" s="380"/>
      <c r="J292" s="40"/>
      <c r="K292" s="41"/>
    </row>
    <row r="293" spans="2:11" x14ac:dyDescent="0.2">
      <c r="B293" s="38"/>
      <c r="C293" s="380"/>
      <c r="D293" s="380"/>
      <c r="E293" s="380"/>
      <c r="F293" s="380"/>
      <c r="G293" s="380"/>
      <c r="H293" s="380"/>
      <c r="I293" s="380"/>
      <c r="J293" s="264">
        <v>0</v>
      </c>
      <c r="K293" s="41"/>
    </row>
    <row r="294" spans="2:11" x14ac:dyDescent="0.2">
      <c r="B294" s="38"/>
      <c r="C294" s="40" t="s">
        <v>853</v>
      </c>
      <c r="D294" s="291"/>
      <c r="E294" s="291"/>
      <c r="F294" s="291"/>
      <c r="G294" s="291"/>
      <c r="H294" s="291"/>
      <c r="I294" s="291"/>
      <c r="J294" s="255">
        <f>'Baseline Health'!$G$102</f>
        <v>0</v>
      </c>
      <c r="K294" s="41"/>
    </row>
    <row r="295" spans="2:11" x14ac:dyDescent="0.2">
      <c r="B295" s="38"/>
      <c r="C295" s="40" t="s">
        <v>842</v>
      </c>
      <c r="D295" s="40"/>
      <c r="E295" s="40"/>
      <c r="F295" s="40"/>
      <c r="G295" s="40"/>
      <c r="H295" s="40"/>
      <c r="I295" s="40"/>
      <c r="J295" s="244" t="str">
        <f>IF('Baseline Health'!$G$102=0,"Not Calculated",100*J293/'Baseline Health'!$G$102)</f>
        <v>Not Calculated</v>
      </c>
      <c r="K295" s="41"/>
    </row>
    <row r="296" spans="2:11" x14ac:dyDescent="0.2">
      <c r="B296" s="38"/>
      <c r="C296" s="40" t="s">
        <v>260</v>
      </c>
      <c r="D296" s="40"/>
      <c r="E296" s="40"/>
      <c r="F296" s="40"/>
      <c r="G296" s="40"/>
      <c r="H296" s="40"/>
      <c r="I296" s="40"/>
      <c r="J296" s="245">
        <f>IF(J295&lt;=0,0,IF(J295&lt;=1,1,IF(J295&lt;=5,2,IF(J295&lt;=10,3,4))))</f>
        <v>4</v>
      </c>
      <c r="K296" s="41"/>
    </row>
    <row r="297" spans="2:11" ht="9.75" customHeight="1" x14ac:dyDescent="0.2">
      <c r="B297" s="38"/>
      <c r="C297" s="279" t="str">
        <f>"0:"</f>
        <v>0:</v>
      </c>
      <c r="D297" s="278" t="s">
        <v>932</v>
      </c>
      <c r="E297" s="40"/>
      <c r="F297" s="40"/>
      <c r="G297" s="40"/>
      <c r="H297" s="40"/>
      <c r="I297" s="40"/>
      <c r="J297" s="244"/>
      <c r="K297" s="41"/>
    </row>
    <row r="298" spans="2:11" ht="9.75" customHeight="1" x14ac:dyDescent="0.2">
      <c r="B298" s="38"/>
      <c r="C298" s="280" t="str">
        <f>"1:"</f>
        <v>1:</v>
      </c>
      <c r="D298" s="278" t="s">
        <v>934</v>
      </c>
      <c r="E298" s="40"/>
      <c r="F298" s="40"/>
      <c r="G298" s="40"/>
      <c r="H298" s="40"/>
      <c r="I298" s="40"/>
      <c r="J298" s="244"/>
      <c r="K298" s="41"/>
    </row>
    <row r="299" spans="2:11" ht="9.75" customHeight="1" x14ac:dyDescent="0.2">
      <c r="B299" s="38"/>
      <c r="C299" s="280" t="str">
        <f>"2:"</f>
        <v>2:</v>
      </c>
      <c r="D299" s="278" t="s">
        <v>933</v>
      </c>
      <c r="E299" s="40"/>
      <c r="F299" s="40"/>
      <c r="G299" s="40"/>
      <c r="H299" s="40"/>
      <c r="I299" s="40"/>
      <c r="J299" s="244"/>
      <c r="K299" s="41"/>
    </row>
    <row r="300" spans="2:11" ht="9.75" customHeight="1" x14ac:dyDescent="0.2">
      <c r="B300" s="38"/>
      <c r="C300" s="280" t="str">
        <f>"3:"</f>
        <v>3:</v>
      </c>
      <c r="D300" s="278" t="s">
        <v>935</v>
      </c>
      <c r="E300" s="40"/>
      <c r="F300" s="40"/>
      <c r="G300" s="40"/>
      <c r="H300" s="40"/>
      <c r="I300" s="40"/>
      <c r="J300" s="244"/>
      <c r="K300" s="41"/>
    </row>
    <row r="301" spans="2:11" ht="9.75" customHeight="1" x14ac:dyDescent="0.2">
      <c r="B301" s="38"/>
      <c r="C301" s="280" t="str">
        <f>"4:"</f>
        <v>4:</v>
      </c>
      <c r="D301" s="278" t="s">
        <v>936</v>
      </c>
      <c r="E301" s="40"/>
      <c r="F301" s="40"/>
      <c r="G301" s="40"/>
      <c r="H301" s="40"/>
      <c r="I301" s="40"/>
      <c r="J301" s="40"/>
      <c r="K301" s="41"/>
    </row>
    <row r="302" spans="2:11" x14ac:dyDescent="0.2">
      <c r="B302" s="38"/>
      <c r="C302" s="40" t="s">
        <v>257</v>
      </c>
      <c r="D302" s="40"/>
      <c r="E302" s="40"/>
      <c r="F302" s="40"/>
      <c r="G302" s="40"/>
      <c r="H302" s="40"/>
      <c r="I302" s="40"/>
      <c r="J302" s="266" t="s">
        <v>870</v>
      </c>
      <c r="K302" s="41"/>
    </row>
    <row r="303" spans="2:11" x14ac:dyDescent="0.2">
      <c r="B303" s="38"/>
      <c r="C303" s="40" t="s">
        <v>261</v>
      </c>
      <c r="D303" s="40"/>
      <c r="E303" s="40"/>
      <c r="F303" s="40"/>
      <c r="G303" s="40"/>
      <c r="H303" s="40"/>
      <c r="I303" s="40"/>
      <c r="J303" s="245">
        <f>IF(J302=$B$980,$A$980,IF(J302=$B$981,$A$981,IF(J302=$B$982,$A$982,IF(J302=$B$983,$A$983,IF(J302=$B$984,$A$984,"Not Calculated")))))</f>
        <v>0</v>
      </c>
      <c r="K303" s="41"/>
    </row>
    <row r="304" spans="2:11" x14ac:dyDescent="0.2">
      <c r="B304" s="38"/>
      <c r="C304" s="40" t="s">
        <v>893</v>
      </c>
      <c r="D304" s="40"/>
      <c r="E304" s="40"/>
      <c r="F304" s="40"/>
      <c r="G304" s="40"/>
      <c r="H304" s="40"/>
      <c r="I304" s="40"/>
      <c r="J304" s="40"/>
      <c r="K304" s="41"/>
    </row>
    <row r="305" spans="2:11" ht="30" customHeight="1" x14ac:dyDescent="0.2">
      <c r="B305" s="38"/>
      <c r="C305" s="399"/>
      <c r="D305" s="400"/>
      <c r="E305" s="400"/>
      <c r="F305" s="400"/>
      <c r="G305" s="400"/>
      <c r="H305" s="400"/>
      <c r="I305" s="400"/>
      <c r="J305" s="401"/>
      <c r="K305" s="41"/>
    </row>
    <row r="306" spans="2:11" x14ac:dyDescent="0.2">
      <c r="B306" s="38"/>
      <c r="C306" s="40"/>
      <c r="D306" s="40"/>
      <c r="E306" s="40"/>
      <c r="F306" s="40"/>
      <c r="G306" s="40"/>
      <c r="H306" s="40"/>
      <c r="I306" s="40"/>
      <c r="J306" s="40"/>
      <c r="K306" s="41"/>
    </row>
    <row r="307" spans="2:11" x14ac:dyDescent="0.2">
      <c r="B307" s="38"/>
      <c r="C307" s="179" t="s">
        <v>885</v>
      </c>
      <c r="D307" s="40"/>
      <c r="E307" s="40"/>
      <c r="F307" s="40"/>
      <c r="G307" s="40"/>
      <c r="H307" s="40"/>
      <c r="I307" s="40"/>
      <c r="J307" s="245">
        <f>IF(OR(J296="Not Calculated",J303="Not Calculated")=TRUE,"Not Calculated",AVERAGE(J296,J303))</f>
        <v>2</v>
      </c>
      <c r="K307" s="41"/>
    </row>
    <row r="308" spans="2:11" x14ac:dyDescent="0.2">
      <c r="B308" s="38"/>
      <c r="C308" s="40"/>
      <c r="D308" s="40"/>
      <c r="E308" s="40"/>
      <c r="F308" s="40"/>
      <c r="G308" s="40"/>
      <c r="H308" s="40"/>
      <c r="I308" s="40"/>
      <c r="J308" s="40"/>
      <c r="K308" s="41"/>
    </row>
    <row r="309" spans="2:11" x14ac:dyDescent="0.2">
      <c r="B309" s="38"/>
      <c r="C309" s="40"/>
      <c r="D309" s="40"/>
      <c r="E309" s="40"/>
      <c r="F309" s="40"/>
      <c r="G309" s="40"/>
      <c r="H309" s="40"/>
      <c r="I309" s="40"/>
      <c r="J309" s="40"/>
      <c r="K309" s="41"/>
    </row>
    <row r="310" spans="2:11" ht="16" x14ac:dyDescent="0.2">
      <c r="B310" s="38"/>
      <c r="C310" s="45" t="s">
        <v>857</v>
      </c>
      <c r="D310" s="40"/>
      <c r="E310" s="40"/>
      <c r="F310" s="40"/>
      <c r="G310" s="40"/>
      <c r="H310" s="40"/>
      <c r="I310" s="40"/>
      <c r="J310" s="40"/>
      <c r="K310" s="41"/>
    </row>
    <row r="311" spans="2:11" x14ac:dyDescent="0.2">
      <c r="B311" s="38"/>
      <c r="C311" s="380" t="s">
        <v>843</v>
      </c>
      <c r="D311" s="380"/>
      <c r="E311" s="380"/>
      <c r="F311" s="380"/>
      <c r="G311" s="380"/>
      <c r="H311" s="380"/>
      <c r="I311" s="380"/>
      <c r="J311" s="40"/>
      <c r="K311" s="41"/>
    </row>
    <row r="312" spans="2:11" x14ac:dyDescent="0.2">
      <c r="B312" s="38"/>
      <c r="C312" s="380"/>
      <c r="D312" s="380"/>
      <c r="E312" s="380"/>
      <c r="F312" s="380"/>
      <c r="G312" s="380"/>
      <c r="H312" s="380"/>
      <c r="I312" s="380"/>
      <c r="J312" s="264">
        <v>0</v>
      </c>
      <c r="K312" s="41"/>
    </row>
    <row r="313" spans="2:11" x14ac:dyDescent="0.2">
      <c r="B313" s="38"/>
      <c r="C313" s="40" t="s">
        <v>853</v>
      </c>
      <c r="D313" s="291"/>
      <c r="E313" s="291"/>
      <c r="F313" s="291"/>
      <c r="G313" s="291"/>
      <c r="H313" s="291"/>
      <c r="I313" s="291"/>
      <c r="J313" s="255">
        <f>'Baseline Health'!$G$102</f>
        <v>0</v>
      </c>
      <c r="K313" s="41"/>
    </row>
    <row r="314" spans="2:11" x14ac:dyDescent="0.2">
      <c r="B314" s="38"/>
      <c r="C314" s="40" t="s">
        <v>842</v>
      </c>
      <c r="D314" s="40"/>
      <c r="E314" s="40"/>
      <c r="F314" s="40"/>
      <c r="G314" s="40"/>
      <c r="H314" s="40"/>
      <c r="I314" s="40"/>
      <c r="J314" s="244" t="str">
        <f>IF('Baseline Health'!$G$102=0,"Not Calculated",100*J312/'Baseline Health'!$G$102)</f>
        <v>Not Calculated</v>
      </c>
      <c r="K314" s="41"/>
    </row>
    <row r="315" spans="2:11" x14ac:dyDescent="0.2">
      <c r="B315" s="38"/>
      <c r="C315" s="40" t="s">
        <v>260</v>
      </c>
      <c r="D315" s="40"/>
      <c r="E315" s="40"/>
      <c r="F315" s="40"/>
      <c r="G315" s="40"/>
      <c r="H315" s="40"/>
      <c r="I315" s="40"/>
      <c r="J315" s="245">
        <f>IF(J314&lt;=0,0,IF(J314&lt;=1,1,IF(J314&lt;=5,2,IF(J314&lt;=10,3,4))))</f>
        <v>4</v>
      </c>
      <c r="K315" s="41"/>
    </row>
    <row r="316" spans="2:11" ht="9.75" customHeight="1" x14ac:dyDescent="0.2">
      <c r="B316" s="38"/>
      <c r="C316" s="279" t="str">
        <f>"0:"</f>
        <v>0:</v>
      </c>
      <c r="D316" s="278" t="s">
        <v>932</v>
      </c>
      <c r="E316" s="40"/>
      <c r="F316" s="40"/>
      <c r="G316" s="40"/>
      <c r="H316" s="40"/>
      <c r="I316" s="40"/>
      <c r="J316" s="244"/>
      <c r="K316" s="41"/>
    </row>
    <row r="317" spans="2:11" ht="9.75" customHeight="1" x14ac:dyDescent="0.2">
      <c r="B317" s="38"/>
      <c r="C317" s="280" t="str">
        <f>"1:"</f>
        <v>1:</v>
      </c>
      <c r="D317" s="278" t="s">
        <v>934</v>
      </c>
      <c r="E317" s="40"/>
      <c r="F317" s="40"/>
      <c r="G317" s="40"/>
      <c r="H317" s="40"/>
      <c r="I317" s="40"/>
      <c r="J317" s="244"/>
      <c r="K317" s="41"/>
    </row>
    <row r="318" spans="2:11" ht="9.75" customHeight="1" x14ac:dyDescent="0.2">
      <c r="B318" s="38"/>
      <c r="C318" s="280" t="str">
        <f>"2:"</f>
        <v>2:</v>
      </c>
      <c r="D318" s="278" t="s">
        <v>933</v>
      </c>
      <c r="E318" s="40"/>
      <c r="F318" s="40"/>
      <c r="G318" s="40"/>
      <c r="H318" s="40"/>
      <c r="I318" s="40"/>
      <c r="J318" s="244"/>
      <c r="K318" s="41"/>
    </row>
    <row r="319" spans="2:11" ht="9.75" customHeight="1" x14ac:dyDescent="0.2">
      <c r="B319" s="38"/>
      <c r="C319" s="280" t="str">
        <f>"3:"</f>
        <v>3:</v>
      </c>
      <c r="D319" s="278" t="s">
        <v>935</v>
      </c>
      <c r="E319" s="40"/>
      <c r="F319" s="40"/>
      <c r="G319" s="40"/>
      <c r="H319" s="40"/>
      <c r="I319" s="40"/>
      <c r="J319" s="244"/>
      <c r="K319" s="41"/>
    </row>
    <row r="320" spans="2:11" ht="9.75" customHeight="1" x14ac:dyDescent="0.2">
      <c r="B320" s="38"/>
      <c r="C320" s="280" t="str">
        <f>"4:"</f>
        <v>4:</v>
      </c>
      <c r="D320" s="278" t="s">
        <v>936</v>
      </c>
      <c r="E320" s="40"/>
      <c r="F320" s="40"/>
      <c r="G320" s="40"/>
      <c r="H320" s="40"/>
      <c r="I320" s="40"/>
      <c r="J320" s="40"/>
      <c r="K320" s="41"/>
    </row>
    <row r="321" spans="2:11" x14ac:dyDescent="0.2">
      <c r="B321" s="38"/>
      <c r="C321" s="40" t="s">
        <v>296</v>
      </c>
      <c r="D321" s="40"/>
      <c r="E321" s="40"/>
      <c r="F321" s="40"/>
      <c r="G321" s="40"/>
      <c r="H321" s="40"/>
      <c r="I321" s="40"/>
      <c r="J321" s="266">
        <v>0</v>
      </c>
      <c r="K321" s="41"/>
    </row>
    <row r="322" spans="2:11" x14ac:dyDescent="0.2">
      <c r="B322" s="38"/>
      <c r="C322" s="40" t="s">
        <v>261</v>
      </c>
      <c r="D322" s="40"/>
      <c r="E322" s="40"/>
      <c r="F322" s="40"/>
      <c r="G322" s="40"/>
      <c r="H322" s="40"/>
      <c r="I322" s="40"/>
      <c r="J322" s="245">
        <f>IF(J321&lt;=0,0,IF(J321&lt;=2,1,IF(J321&lt;=6,2,IF(J321&lt;=12,3,4))))</f>
        <v>0</v>
      </c>
      <c r="K322" s="41"/>
    </row>
    <row r="323" spans="2:11" x14ac:dyDescent="0.2">
      <c r="B323" s="38"/>
      <c r="C323" s="40" t="s">
        <v>893</v>
      </c>
      <c r="D323" s="40"/>
      <c r="E323" s="40"/>
      <c r="F323" s="40"/>
      <c r="G323" s="40"/>
      <c r="H323" s="40"/>
      <c r="I323" s="40"/>
      <c r="J323" s="40"/>
      <c r="K323" s="41"/>
    </row>
    <row r="324" spans="2:11" ht="30" customHeight="1" x14ac:dyDescent="0.2">
      <c r="B324" s="38"/>
      <c r="C324" s="399"/>
      <c r="D324" s="400"/>
      <c r="E324" s="400"/>
      <c r="F324" s="400"/>
      <c r="G324" s="400"/>
      <c r="H324" s="400"/>
      <c r="I324" s="400"/>
      <c r="J324" s="401"/>
      <c r="K324" s="41"/>
    </row>
    <row r="325" spans="2:11" x14ac:dyDescent="0.2">
      <c r="B325" s="38"/>
      <c r="C325" s="40"/>
      <c r="D325" s="40"/>
      <c r="E325" s="40"/>
      <c r="F325" s="40"/>
      <c r="G325" s="40"/>
      <c r="H325" s="40"/>
      <c r="I325" s="40"/>
      <c r="J325" s="40"/>
      <c r="K325" s="41"/>
    </row>
    <row r="326" spans="2:11" x14ac:dyDescent="0.2">
      <c r="B326" s="38"/>
      <c r="C326" s="179" t="s">
        <v>886</v>
      </c>
      <c r="D326" s="40"/>
      <c r="E326" s="40"/>
      <c r="F326" s="40"/>
      <c r="G326" s="40"/>
      <c r="H326" s="40"/>
      <c r="I326" s="40"/>
      <c r="J326" s="245">
        <f>IF(OR(J315="Not Calculated",J322="Not Calculated")=TRUE,"Not Calculated",AVERAGE(J315,J322))</f>
        <v>2</v>
      </c>
      <c r="K326" s="41"/>
    </row>
    <row r="327" spans="2:11" x14ac:dyDescent="0.2">
      <c r="B327" s="38"/>
      <c r="C327" s="40"/>
      <c r="D327" s="40"/>
      <c r="E327" s="40"/>
      <c r="F327" s="40"/>
      <c r="G327" s="40"/>
      <c r="H327" s="40"/>
      <c r="I327" s="40"/>
      <c r="J327" s="40"/>
      <c r="K327" s="41"/>
    </row>
    <row r="328" spans="2:11" x14ac:dyDescent="0.2">
      <c r="B328" s="38"/>
      <c r="C328" s="40"/>
      <c r="D328" s="40"/>
      <c r="E328" s="40"/>
      <c r="F328" s="40"/>
      <c r="G328" s="40"/>
      <c r="H328" s="40"/>
      <c r="I328" s="40"/>
      <c r="J328" s="40"/>
      <c r="K328" s="41"/>
    </row>
    <row r="329" spans="2:11" ht="16" x14ac:dyDescent="0.2">
      <c r="B329" s="38"/>
      <c r="C329" s="45" t="s">
        <v>858</v>
      </c>
      <c r="D329" s="40"/>
      <c r="E329" s="40"/>
      <c r="F329" s="40"/>
      <c r="G329" s="40"/>
      <c r="H329" s="40"/>
      <c r="I329" s="40"/>
      <c r="J329" s="40"/>
      <c r="K329" s="41"/>
    </row>
    <row r="330" spans="2:11" ht="15" customHeight="1" x14ac:dyDescent="0.2">
      <c r="B330" s="38"/>
      <c r="C330" s="380" t="s">
        <v>844</v>
      </c>
      <c r="D330" s="380"/>
      <c r="E330" s="380"/>
      <c r="F330" s="380"/>
      <c r="G330" s="380"/>
      <c r="H330" s="380"/>
      <c r="I330" s="380"/>
      <c r="J330" s="40"/>
      <c r="K330" s="41"/>
    </row>
    <row r="331" spans="2:11" x14ac:dyDescent="0.2">
      <c r="B331" s="38"/>
      <c r="C331" s="380"/>
      <c r="D331" s="380"/>
      <c r="E331" s="380"/>
      <c r="F331" s="380"/>
      <c r="G331" s="380"/>
      <c r="H331" s="380"/>
      <c r="I331" s="380"/>
      <c r="J331" s="264">
        <v>0</v>
      </c>
      <c r="K331" s="41"/>
    </row>
    <row r="332" spans="2:11" x14ac:dyDescent="0.2">
      <c r="B332" s="38"/>
      <c r="C332" s="40" t="s">
        <v>853</v>
      </c>
      <c r="D332" s="291"/>
      <c r="E332" s="291"/>
      <c r="F332" s="291"/>
      <c r="G332" s="291"/>
      <c r="H332" s="291"/>
      <c r="I332" s="291"/>
      <c r="J332" s="255">
        <f>'Baseline Health'!$G$102</f>
        <v>0</v>
      </c>
      <c r="K332" s="41"/>
    </row>
    <row r="333" spans="2:11" x14ac:dyDescent="0.2">
      <c r="B333" s="38"/>
      <c r="C333" s="40" t="s">
        <v>845</v>
      </c>
      <c r="D333" s="40"/>
      <c r="E333" s="40"/>
      <c r="F333" s="40"/>
      <c r="G333" s="40"/>
      <c r="H333" s="40"/>
      <c r="I333" s="40"/>
      <c r="J333" s="244" t="str">
        <f>IF('Baseline Health'!$G$102=0,"Not Calculated",100*J331/'Baseline Health'!$G$102)</f>
        <v>Not Calculated</v>
      </c>
      <c r="K333" s="41"/>
    </row>
    <row r="334" spans="2:11" x14ac:dyDescent="0.2">
      <c r="B334" s="38"/>
      <c r="C334" s="40" t="s">
        <v>260</v>
      </c>
      <c r="D334" s="40"/>
      <c r="E334" s="40"/>
      <c r="F334" s="40"/>
      <c r="G334" s="40"/>
      <c r="H334" s="40"/>
      <c r="I334" s="40"/>
      <c r="J334" s="245">
        <f>IF(J333&lt;=0,0,IF(J333&lt;=1,1,IF(J333&lt;=5,2,IF(J333&lt;=10,3,4))))</f>
        <v>4</v>
      </c>
      <c r="K334" s="41"/>
    </row>
    <row r="335" spans="2:11" ht="9.75" customHeight="1" x14ac:dyDescent="0.2">
      <c r="B335" s="38"/>
      <c r="C335" s="279" t="str">
        <f>"0:"</f>
        <v>0:</v>
      </c>
      <c r="D335" s="278" t="s">
        <v>932</v>
      </c>
      <c r="E335" s="40"/>
      <c r="F335" s="40"/>
      <c r="G335" s="40"/>
      <c r="H335" s="40"/>
      <c r="I335" s="40"/>
      <c r="J335" s="244"/>
      <c r="K335" s="41"/>
    </row>
    <row r="336" spans="2:11" ht="9.75" customHeight="1" x14ac:dyDescent="0.2">
      <c r="B336" s="38"/>
      <c r="C336" s="280" t="str">
        <f>"1:"</f>
        <v>1:</v>
      </c>
      <c r="D336" s="278" t="s">
        <v>934</v>
      </c>
      <c r="E336" s="40"/>
      <c r="F336" s="40"/>
      <c r="G336" s="40"/>
      <c r="H336" s="40"/>
      <c r="I336" s="40"/>
      <c r="J336" s="244"/>
      <c r="K336" s="41"/>
    </row>
    <row r="337" spans="2:11" ht="9.75" customHeight="1" x14ac:dyDescent="0.2">
      <c r="B337" s="38"/>
      <c r="C337" s="280" t="str">
        <f>"2:"</f>
        <v>2:</v>
      </c>
      <c r="D337" s="278" t="s">
        <v>933</v>
      </c>
      <c r="E337" s="40"/>
      <c r="F337" s="40"/>
      <c r="G337" s="40"/>
      <c r="H337" s="40"/>
      <c r="I337" s="40"/>
      <c r="J337" s="244"/>
      <c r="K337" s="41"/>
    </row>
    <row r="338" spans="2:11" ht="9.75" customHeight="1" x14ac:dyDescent="0.2">
      <c r="B338" s="38"/>
      <c r="C338" s="280" t="str">
        <f>"3:"</f>
        <v>3:</v>
      </c>
      <c r="D338" s="278" t="s">
        <v>935</v>
      </c>
      <c r="E338" s="40"/>
      <c r="F338" s="40"/>
      <c r="G338" s="40"/>
      <c r="H338" s="40"/>
      <c r="I338" s="40"/>
      <c r="J338" s="244"/>
      <c r="K338" s="41"/>
    </row>
    <row r="339" spans="2:11" ht="9.75" customHeight="1" x14ac:dyDescent="0.2">
      <c r="B339" s="38"/>
      <c r="C339" s="280" t="str">
        <f>"4:"</f>
        <v>4:</v>
      </c>
      <c r="D339" s="278" t="s">
        <v>936</v>
      </c>
      <c r="E339" s="40"/>
      <c r="F339" s="40"/>
      <c r="G339" s="40"/>
      <c r="H339" s="40"/>
      <c r="I339" s="40"/>
      <c r="J339" s="40"/>
      <c r="K339" s="41"/>
    </row>
    <row r="340" spans="2:11" ht="15" customHeight="1" x14ac:dyDescent="0.2">
      <c r="B340" s="38"/>
      <c r="C340" s="380" t="s">
        <v>84</v>
      </c>
      <c r="D340" s="380"/>
      <c r="E340" s="380"/>
      <c r="F340" s="380"/>
      <c r="G340" s="380"/>
      <c r="H340" s="380"/>
      <c r="I340" s="380"/>
      <c r="J340" s="245"/>
      <c r="K340" s="41"/>
    </row>
    <row r="341" spans="2:11" x14ac:dyDescent="0.2">
      <c r="B341" s="38"/>
      <c r="C341" s="380"/>
      <c r="D341" s="380"/>
      <c r="E341" s="380"/>
      <c r="F341" s="380"/>
      <c r="G341" s="380"/>
      <c r="H341" s="380"/>
      <c r="I341" s="380"/>
      <c r="J341" s="245">
        <f>'Baseline Health'!G108</f>
        <v>40</v>
      </c>
      <c r="K341" s="41"/>
    </row>
    <row r="342" spans="2:11" x14ac:dyDescent="0.2">
      <c r="B342" s="38"/>
      <c r="C342" s="40" t="s">
        <v>833</v>
      </c>
      <c r="D342" s="40"/>
      <c r="E342" s="40"/>
      <c r="F342" s="40"/>
      <c r="G342" s="40"/>
      <c r="H342" s="40"/>
      <c r="I342" s="40"/>
      <c r="J342" s="245">
        <f>IF(J341&gt;J321,0,J321-J341)</f>
        <v>0</v>
      </c>
      <c r="K342" s="41"/>
    </row>
    <row r="343" spans="2:11" ht="15" customHeight="1" x14ac:dyDescent="0.2">
      <c r="B343" s="38"/>
      <c r="C343" s="40"/>
      <c r="D343" s="380" t="s">
        <v>834</v>
      </c>
      <c r="E343" s="380"/>
      <c r="F343" s="380"/>
      <c r="G343" s="380"/>
      <c r="H343" s="380"/>
      <c r="I343" s="380"/>
      <c r="J343" s="40"/>
      <c r="K343" s="41"/>
    </row>
    <row r="344" spans="2:11" x14ac:dyDescent="0.2">
      <c r="B344" s="38"/>
      <c r="C344" s="40"/>
      <c r="D344" s="380"/>
      <c r="E344" s="380"/>
      <c r="F344" s="380"/>
      <c r="G344" s="380"/>
      <c r="H344" s="380"/>
      <c r="I344" s="380"/>
      <c r="J344" s="40"/>
      <c r="K344" s="41"/>
    </row>
    <row r="345" spans="2:11" x14ac:dyDescent="0.2">
      <c r="B345" s="38"/>
      <c r="C345" s="40" t="s">
        <v>261</v>
      </c>
      <c r="D345" s="40"/>
      <c r="E345" s="40"/>
      <c r="F345" s="40"/>
      <c r="G345" s="40"/>
      <c r="H345" s="40"/>
      <c r="I345" s="40"/>
      <c r="J345" s="245">
        <f>IF(J342&lt;=0,0,IF(J342&lt;=2,1,IF(J342&lt;=6,2,IF(J342&lt;=12,3,4))))</f>
        <v>0</v>
      </c>
      <c r="K345" s="41"/>
    </row>
    <row r="346" spans="2:11" x14ac:dyDescent="0.2">
      <c r="B346" s="38"/>
      <c r="C346" s="40" t="s">
        <v>893</v>
      </c>
      <c r="D346" s="40"/>
      <c r="E346" s="40"/>
      <c r="F346" s="40"/>
      <c r="G346" s="40"/>
      <c r="H346" s="40"/>
      <c r="I346" s="40"/>
      <c r="J346" s="40"/>
      <c r="K346" s="41"/>
    </row>
    <row r="347" spans="2:11" ht="30" customHeight="1" x14ac:dyDescent="0.2">
      <c r="B347" s="38"/>
      <c r="C347" s="399"/>
      <c r="D347" s="400"/>
      <c r="E347" s="400"/>
      <c r="F347" s="400"/>
      <c r="G347" s="400"/>
      <c r="H347" s="400"/>
      <c r="I347" s="400"/>
      <c r="J347" s="401"/>
      <c r="K347" s="41"/>
    </row>
    <row r="348" spans="2:11" x14ac:dyDescent="0.2">
      <c r="B348" s="38"/>
      <c r="C348" s="40"/>
      <c r="D348" s="40"/>
      <c r="E348" s="40"/>
      <c r="F348" s="40"/>
      <c r="G348" s="40"/>
      <c r="H348" s="40"/>
      <c r="I348" s="40"/>
      <c r="J348" s="40"/>
      <c r="K348" s="41"/>
    </row>
    <row r="349" spans="2:11" x14ac:dyDescent="0.2">
      <c r="B349" s="38"/>
      <c r="C349" s="179" t="s">
        <v>887</v>
      </c>
      <c r="D349" s="40"/>
      <c r="E349" s="40"/>
      <c r="F349" s="40"/>
      <c r="G349" s="40"/>
      <c r="H349" s="40"/>
      <c r="I349" s="40"/>
      <c r="J349" s="245">
        <f>IF(OR(J334="Not Calculated",J345="Not Calculated")=TRUE,"Not Calculated",AVERAGE(J334,J345))</f>
        <v>2</v>
      </c>
      <c r="K349" s="41"/>
    </row>
    <row r="350" spans="2:11" x14ac:dyDescent="0.2">
      <c r="B350" s="38"/>
      <c r="C350" s="40"/>
      <c r="D350" s="40"/>
      <c r="E350" s="40"/>
      <c r="F350" s="40"/>
      <c r="G350" s="40"/>
      <c r="H350" s="40"/>
      <c r="I350" s="40"/>
      <c r="J350" s="40"/>
      <c r="K350" s="41"/>
    </row>
    <row r="351" spans="2:11" x14ac:dyDescent="0.2">
      <c r="B351" s="38"/>
      <c r="C351" s="40"/>
      <c r="D351" s="40"/>
      <c r="E351" s="40"/>
      <c r="F351" s="40"/>
      <c r="G351" s="40"/>
      <c r="H351" s="40"/>
      <c r="I351" s="40"/>
      <c r="J351" s="40"/>
      <c r="K351" s="41"/>
    </row>
    <row r="352" spans="2:11" ht="15" customHeight="1" x14ac:dyDescent="0.2">
      <c r="B352" s="38"/>
      <c r="C352" s="45" t="s">
        <v>859</v>
      </c>
      <c r="D352" s="40"/>
      <c r="E352" s="40"/>
      <c r="F352" s="40"/>
      <c r="G352" s="40"/>
      <c r="H352" s="40"/>
      <c r="I352" s="40"/>
      <c r="J352" s="40"/>
      <c r="K352" s="41"/>
    </row>
    <row r="353" spans="2:11" x14ac:dyDescent="0.2">
      <c r="B353" s="38"/>
      <c r="C353" s="40" t="s">
        <v>846</v>
      </c>
      <c r="D353" s="40"/>
      <c r="E353" s="40"/>
      <c r="F353" s="40"/>
      <c r="G353" s="40"/>
      <c r="H353" s="40"/>
      <c r="I353" s="40"/>
      <c r="J353" s="264">
        <v>0</v>
      </c>
      <c r="K353" s="41"/>
    </row>
    <row r="354" spans="2:11" x14ac:dyDescent="0.2">
      <c r="B354" s="38"/>
      <c r="C354" s="40" t="s">
        <v>854</v>
      </c>
      <c r="D354" s="40"/>
      <c r="E354" s="40"/>
      <c r="F354" s="40"/>
      <c r="G354" s="40"/>
      <c r="H354" s="40"/>
      <c r="I354" s="40"/>
      <c r="J354" s="255">
        <f>'Baseline Health'!$G$59</f>
        <v>0</v>
      </c>
      <c r="K354" s="41"/>
    </row>
    <row r="355" spans="2:11" x14ac:dyDescent="0.2">
      <c r="B355" s="38"/>
      <c r="C355" s="40" t="s">
        <v>847</v>
      </c>
      <c r="D355" s="40"/>
      <c r="E355" s="40"/>
      <c r="F355" s="40"/>
      <c r="G355" s="40"/>
      <c r="H355" s="40"/>
      <c r="I355" s="40"/>
      <c r="J355" s="244">
        <f>IF(J353=0,0,IF('Baseline Health'!G$59=0,"Not Calculated",100*J353/'Baseline Health'!$G$59))</f>
        <v>0</v>
      </c>
      <c r="K355" s="41"/>
    </row>
    <row r="356" spans="2:11" x14ac:dyDescent="0.2">
      <c r="B356" s="38"/>
      <c r="C356" s="40" t="s">
        <v>260</v>
      </c>
      <c r="D356" s="40"/>
      <c r="E356" s="40"/>
      <c r="F356" s="40"/>
      <c r="G356" s="40"/>
      <c r="H356" s="40"/>
      <c r="I356" s="40"/>
      <c r="J356" s="245">
        <f>IF(J355&lt;=0,0,IF(J355&lt;=5,1,IF(J355&lt;=10,2,IF(J355&lt;=25,3,4))))</f>
        <v>0</v>
      </c>
      <c r="K356" s="41"/>
    </row>
    <row r="357" spans="2:11" ht="9.75" customHeight="1" x14ac:dyDescent="0.2">
      <c r="B357" s="38"/>
      <c r="C357" s="279" t="str">
        <f>"0:"</f>
        <v>0:</v>
      </c>
      <c r="D357" s="278" t="s">
        <v>932</v>
      </c>
      <c r="E357" s="40"/>
      <c r="F357" s="40"/>
      <c r="G357" s="40"/>
      <c r="H357" s="40"/>
      <c r="I357" s="40"/>
      <c r="J357" s="244"/>
      <c r="K357" s="41"/>
    </row>
    <row r="358" spans="2:11" ht="9.75" customHeight="1" x14ac:dyDescent="0.2">
      <c r="B358" s="38"/>
      <c r="C358" s="280" t="str">
        <f>"1:"</f>
        <v>1:</v>
      </c>
      <c r="D358" s="278" t="s">
        <v>933</v>
      </c>
      <c r="E358" s="40"/>
      <c r="F358" s="40"/>
      <c r="G358" s="40"/>
      <c r="H358" s="40"/>
      <c r="I358" s="40"/>
      <c r="J358" s="244"/>
      <c r="K358" s="41"/>
    </row>
    <row r="359" spans="2:11" ht="9.75" customHeight="1" x14ac:dyDescent="0.2">
      <c r="B359" s="38"/>
      <c r="C359" s="280" t="str">
        <f>"2:"</f>
        <v>2:</v>
      </c>
      <c r="D359" s="278" t="s">
        <v>935</v>
      </c>
      <c r="E359" s="40"/>
      <c r="F359" s="40"/>
      <c r="G359" s="40"/>
      <c r="H359" s="40"/>
      <c r="I359" s="40"/>
      <c r="J359" s="244"/>
      <c r="K359" s="41"/>
    </row>
    <row r="360" spans="2:11" ht="9.75" customHeight="1" x14ac:dyDescent="0.2">
      <c r="B360" s="38"/>
      <c r="C360" s="280" t="str">
        <f>"3:"</f>
        <v>3:</v>
      </c>
      <c r="D360" s="278" t="s">
        <v>937</v>
      </c>
      <c r="E360" s="40"/>
      <c r="F360" s="40"/>
      <c r="G360" s="40"/>
      <c r="H360" s="40"/>
      <c r="I360" s="40"/>
      <c r="J360" s="244"/>
      <c r="K360" s="41"/>
    </row>
    <row r="361" spans="2:11" ht="9.75" customHeight="1" x14ac:dyDescent="0.2">
      <c r="B361" s="38"/>
      <c r="C361" s="280" t="str">
        <f>"4:"</f>
        <v>4:</v>
      </c>
      <c r="D361" s="278" t="s">
        <v>938</v>
      </c>
      <c r="E361" s="40"/>
      <c r="F361" s="40"/>
      <c r="G361" s="40"/>
      <c r="H361" s="40"/>
      <c r="I361" s="40"/>
      <c r="J361" s="40"/>
      <c r="K361" s="41"/>
    </row>
    <row r="362" spans="2:11" ht="15" customHeight="1" x14ac:dyDescent="0.2">
      <c r="B362" s="38"/>
      <c r="C362" s="40" t="s">
        <v>257</v>
      </c>
      <c r="D362" s="40"/>
      <c r="E362" s="40"/>
      <c r="F362" s="40"/>
      <c r="G362" s="40"/>
      <c r="H362" s="40"/>
      <c r="I362" s="40"/>
      <c r="J362" s="266" t="s">
        <v>870</v>
      </c>
      <c r="K362" s="41"/>
    </row>
    <row r="363" spans="2:11" x14ac:dyDescent="0.2">
      <c r="B363" s="38"/>
      <c r="C363" s="40" t="s">
        <v>261</v>
      </c>
      <c r="D363" s="40"/>
      <c r="E363" s="40"/>
      <c r="F363" s="40"/>
      <c r="G363" s="40"/>
      <c r="H363" s="40"/>
      <c r="I363" s="40"/>
      <c r="J363" s="245">
        <f>IF(J362=$B$980,$A$980,IF(J362=$B$981,$A$981,IF(J362=$B$982,$A$982,IF(J362=$B$983,$A$983,IF(J362=$B$984,$A$984,"Not Calculated")))))</f>
        <v>0</v>
      </c>
      <c r="K363" s="41"/>
    </row>
    <row r="364" spans="2:11" x14ac:dyDescent="0.2">
      <c r="B364" s="38"/>
      <c r="C364" s="40" t="s">
        <v>893</v>
      </c>
      <c r="D364" s="40"/>
      <c r="E364" s="40"/>
      <c r="F364" s="40"/>
      <c r="G364" s="40"/>
      <c r="H364" s="40"/>
      <c r="I364" s="40"/>
      <c r="J364" s="40"/>
      <c r="K364" s="41"/>
    </row>
    <row r="365" spans="2:11" ht="30" customHeight="1" x14ac:dyDescent="0.2">
      <c r="B365" s="38"/>
      <c r="C365" s="399"/>
      <c r="D365" s="400"/>
      <c r="E365" s="400"/>
      <c r="F365" s="400"/>
      <c r="G365" s="400"/>
      <c r="H365" s="400"/>
      <c r="I365" s="400"/>
      <c r="J365" s="401"/>
      <c r="K365" s="41"/>
    </row>
    <row r="366" spans="2:11" x14ac:dyDescent="0.2">
      <c r="B366" s="38"/>
      <c r="C366" s="40"/>
      <c r="D366" s="40"/>
      <c r="E366" s="40"/>
      <c r="F366" s="40"/>
      <c r="G366" s="40"/>
      <c r="H366" s="40"/>
      <c r="I366" s="40"/>
      <c r="J366" s="40"/>
      <c r="K366" s="41"/>
    </row>
    <row r="367" spans="2:11" x14ac:dyDescent="0.2">
      <c r="B367" s="38"/>
      <c r="C367" s="179" t="s">
        <v>888</v>
      </c>
      <c r="D367" s="40"/>
      <c r="E367" s="40"/>
      <c r="F367" s="40"/>
      <c r="G367" s="40"/>
      <c r="H367" s="40"/>
      <c r="I367" s="40"/>
      <c r="J367" s="245">
        <f>IF(OR(J356="Not Calculated",J363="Not Calculated")=TRUE,"Not Calculated",AVERAGE(J356,J363))</f>
        <v>0</v>
      </c>
      <c r="K367" s="41"/>
    </row>
    <row r="368" spans="2:11" x14ac:dyDescent="0.2">
      <c r="B368" s="38"/>
      <c r="C368" s="40"/>
      <c r="D368" s="40"/>
      <c r="E368" s="40"/>
      <c r="F368" s="40"/>
      <c r="G368" s="40"/>
      <c r="H368" s="40"/>
      <c r="I368" s="40"/>
      <c r="J368" s="40"/>
      <c r="K368" s="41"/>
    </row>
    <row r="369" spans="2:11" x14ac:dyDescent="0.2">
      <c r="B369" s="38"/>
      <c r="C369" s="40"/>
      <c r="D369" s="40"/>
      <c r="E369" s="40"/>
      <c r="F369" s="40"/>
      <c r="G369" s="40"/>
      <c r="H369" s="40"/>
      <c r="I369" s="40"/>
      <c r="J369" s="40"/>
      <c r="K369" s="41"/>
    </row>
    <row r="370" spans="2:11" ht="16" x14ac:dyDescent="0.2">
      <c r="B370" s="38"/>
      <c r="C370" s="45" t="s">
        <v>863</v>
      </c>
      <c r="D370" s="40"/>
      <c r="E370" s="40"/>
      <c r="F370" s="40"/>
      <c r="G370" s="40"/>
      <c r="H370" s="40"/>
      <c r="I370" s="40"/>
      <c r="J370" s="40"/>
      <c r="K370" s="41"/>
    </row>
    <row r="371" spans="2:11" ht="15" customHeight="1" x14ac:dyDescent="0.2">
      <c r="B371" s="38"/>
      <c r="C371" s="380" t="s">
        <v>848</v>
      </c>
      <c r="D371" s="380"/>
      <c r="E371" s="380"/>
      <c r="F371" s="380"/>
      <c r="G371" s="380"/>
      <c r="H371" s="380"/>
      <c r="I371" s="380"/>
      <c r="J371" s="181"/>
      <c r="K371" s="41"/>
    </row>
    <row r="372" spans="2:11" x14ac:dyDescent="0.2">
      <c r="B372" s="38"/>
      <c r="C372" s="380"/>
      <c r="D372" s="380"/>
      <c r="E372" s="380"/>
      <c r="F372" s="380"/>
      <c r="G372" s="380"/>
      <c r="H372" s="380"/>
      <c r="I372" s="380"/>
      <c r="J372" s="264">
        <v>0</v>
      </c>
      <c r="K372" s="41"/>
    </row>
    <row r="373" spans="2:11" x14ac:dyDescent="0.2">
      <c r="B373" s="38"/>
      <c r="C373" s="40" t="s">
        <v>853</v>
      </c>
      <c r="D373" s="291"/>
      <c r="E373" s="291"/>
      <c r="F373" s="291"/>
      <c r="G373" s="291"/>
      <c r="H373" s="291"/>
      <c r="I373" s="291"/>
      <c r="J373" s="255">
        <f>'Baseline Health'!$G$102</f>
        <v>0</v>
      </c>
      <c r="K373" s="41"/>
    </row>
    <row r="374" spans="2:11" x14ac:dyDescent="0.2">
      <c r="B374" s="38"/>
      <c r="C374" s="40" t="s">
        <v>842</v>
      </c>
      <c r="D374" s="291"/>
      <c r="E374" s="291"/>
      <c r="F374" s="291"/>
      <c r="G374" s="291"/>
      <c r="H374" s="291"/>
      <c r="I374" s="291"/>
      <c r="J374" s="244" t="str">
        <f>IF('Baseline Health'!$G$102=0,"Not Calculated",100*J372/'Baseline Health'!$G$102)</f>
        <v>Not Calculated</v>
      </c>
      <c r="K374" s="41"/>
    </row>
    <row r="375" spans="2:11" x14ac:dyDescent="0.2">
      <c r="B375" s="38"/>
      <c r="C375" s="40" t="s">
        <v>260</v>
      </c>
      <c r="D375" s="40"/>
      <c r="E375" s="40"/>
      <c r="F375" s="40"/>
      <c r="G375" s="40"/>
      <c r="H375" s="40"/>
      <c r="I375" s="40"/>
      <c r="J375" s="251">
        <f>IF(J374&lt;=0,0,IF(J374&lt;=1,1,IF(J374&lt;=5,2,IF(J374&lt;=10,3,4))))</f>
        <v>4</v>
      </c>
      <c r="K375" s="41"/>
    </row>
    <row r="376" spans="2:11" ht="9.75" customHeight="1" x14ac:dyDescent="0.2">
      <c r="B376" s="38"/>
      <c r="C376" s="279" t="str">
        <f>"0:"</f>
        <v>0:</v>
      </c>
      <c r="D376" s="278" t="s">
        <v>932</v>
      </c>
      <c r="E376" s="291"/>
      <c r="F376" s="291"/>
      <c r="G376" s="291"/>
      <c r="H376" s="291"/>
      <c r="I376" s="291"/>
      <c r="J376" s="244"/>
      <c r="K376" s="41"/>
    </row>
    <row r="377" spans="2:11" ht="9.75" customHeight="1" x14ac:dyDescent="0.2">
      <c r="B377" s="38"/>
      <c r="C377" s="280" t="str">
        <f>"1:"</f>
        <v>1:</v>
      </c>
      <c r="D377" s="278" t="s">
        <v>934</v>
      </c>
      <c r="E377" s="291"/>
      <c r="F377" s="291"/>
      <c r="G377" s="291"/>
      <c r="H377" s="291"/>
      <c r="I377" s="291"/>
      <c r="J377" s="244"/>
      <c r="K377" s="41"/>
    </row>
    <row r="378" spans="2:11" ht="9.75" customHeight="1" x14ac:dyDescent="0.2">
      <c r="B378" s="38"/>
      <c r="C378" s="280" t="str">
        <f>"2:"</f>
        <v>2:</v>
      </c>
      <c r="D378" s="278" t="s">
        <v>933</v>
      </c>
      <c r="E378" s="291"/>
      <c r="F378" s="291"/>
      <c r="G378" s="291"/>
      <c r="H378" s="291"/>
      <c r="I378" s="291"/>
      <c r="J378" s="244"/>
      <c r="K378" s="41"/>
    </row>
    <row r="379" spans="2:11" ht="9.75" customHeight="1" x14ac:dyDescent="0.2">
      <c r="B379" s="38"/>
      <c r="C379" s="280" t="str">
        <f>"3:"</f>
        <v>3:</v>
      </c>
      <c r="D379" s="278" t="s">
        <v>935</v>
      </c>
      <c r="E379" s="291"/>
      <c r="F379" s="291"/>
      <c r="G379" s="291"/>
      <c r="H379" s="291"/>
      <c r="I379" s="291"/>
      <c r="J379" s="244"/>
      <c r="K379" s="41"/>
    </row>
    <row r="380" spans="2:11" ht="9.75" customHeight="1" x14ac:dyDescent="0.2">
      <c r="B380" s="38"/>
      <c r="C380" s="280" t="str">
        <f>"4:"</f>
        <v>4:</v>
      </c>
      <c r="D380" s="278" t="s">
        <v>936</v>
      </c>
      <c r="E380" s="40"/>
      <c r="F380" s="40"/>
      <c r="G380" s="40"/>
      <c r="H380" s="40"/>
      <c r="I380" s="40"/>
      <c r="J380" s="40"/>
      <c r="K380" s="41"/>
    </row>
    <row r="381" spans="2:11" x14ac:dyDescent="0.2">
      <c r="B381" s="38"/>
      <c r="C381" s="40" t="s">
        <v>85</v>
      </c>
      <c r="D381" s="40"/>
      <c r="E381" s="40"/>
      <c r="F381" s="40"/>
      <c r="G381" s="40"/>
      <c r="H381" s="40"/>
      <c r="I381" s="40"/>
      <c r="J381" s="254">
        <f>'Baseline Health'!G114</f>
        <v>7</v>
      </c>
      <c r="K381" s="41"/>
    </row>
    <row r="382" spans="2:11" x14ac:dyDescent="0.2">
      <c r="B382" s="38"/>
      <c r="C382" s="40" t="s">
        <v>297</v>
      </c>
      <c r="D382" s="40"/>
      <c r="E382" s="40"/>
      <c r="F382" s="40"/>
      <c r="G382" s="40"/>
      <c r="H382" s="40"/>
      <c r="I382" s="40"/>
      <c r="J382" s="266">
        <v>0</v>
      </c>
      <c r="K382" s="41"/>
    </row>
    <row r="383" spans="2:11" x14ac:dyDescent="0.2">
      <c r="B383" s="38"/>
      <c r="C383" s="40" t="s">
        <v>261</v>
      </c>
      <c r="D383" s="40"/>
      <c r="E383" s="40"/>
      <c r="F383" s="40"/>
      <c r="G383" s="40"/>
      <c r="H383" s="40"/>
      <c r="I383" s="40"/>
      <c r="J383" s="248">
        <f>IF((J382-J381)&lt;1,0,IF((J382-J381)&lt;3,1,IF((J382-J381)&lt;5,2,IF((J382-J381)&lt;7,3,4))))</f>
        <v>0</v>
      </c>
      <c r="K383" s="41"/>
    </row>
    <row r="384" spans="2:11" x14ac:dyDescent="0.2">
      <c r="B384" s="38"/>
      <c r="C384" s="40" t="s">
        <v>893</v>
      </c>
      <c r="D384" s="40"/>
      <c r="E384" s="40"/>
      <c r="F384" s="40"/>
      <c r="G384" s="40"/>
      <c r="H384" s="40"/>
      <c r="I384" s="40"/>
      <c r="J384" s="40"/>
      <c r="K384" s="41"/>
    </row>
    <row r="385" spans="2:11" ht="30" customHeight="1" x14ac:dyDescent="0.2">
      <c r="B385" s="38"/>
      <c r="C385" s="399"/>
      <c r="D385" s="400"/>
      <c r="E385" s="400"/>
      <c r="F385" s="400"/>
      <c r="G385" s="400"/>
      <c r="H385" s="400"/>
      <c r="I385" s="400"/>
      <c r="J385" s="401"/>
      <c r="K385" s="41"/>
    </row>
    <row r="386" spans="2:11" x14ac:dyDescent="0.2">
      <c r="B386" s="38"/>
      <c r="C386" s="40"/>
      <c r="D386" s="40"/>
      <c r="E386" s="40"/>
      <c r="F386" s="40"/>
      <c r="G386" s="40"/>
      <c r="H386" s="40"/>
      <c r="I386" s="40"/>
      <c r="J386" s="40"/>
      <c r="K386" s="41"/>
    </row>
    <row r="387" spans="2:11" x14ac:dyDescent="0.2">
      <c r="B387" s="38"/>
      <c r="C387" s="179" t="s">
        <v>889</v>
      </c>
      <c r="D387" s="40"/>
      <c r="E387" s="40"/>
      <c r="F387" s="40"/>
      <c r="G387" s="40"/>
      <c r="H387" s="40"/>
      <c r="I387" s="40"/>
      <c r="J387" s="245">
        <f>IF(OR(J375="Not Calculated",J383="Not Calculated")=TRUE,"Not Calculated",AVERAGE(J375,J383))</f>
        <v>2</v>
      </c>
      <c r="K387" s="41"/>
    </row>
    <row r="388" spans="2:11" x14ac:dyDescent="0.2">
      <c r="B388" s="38"/>
      <c r="C388" s="40"/>
      <c r="D388" s="40"/>
      <c r="E388" s="40"/>
      <c r="F388" s="40"/>
      <c r="G388" s="40"/>
      <c r="H388" s="40"/>
      <c r="I388" s="40"/>
      <c r="J388" s="40"/>
      <c r="K388" s="41"/>
    </row>
    <row r="389" spans="2:11" x14ac:dyDescent="0.2">
      <c r="B389" s="38"/>
      <c r="C389" s="40"/>
      <c r="D389" s="40"/>
      <c r="E389" s="40"/>
      <c r="F389" s="40"/>
      <c r="G389" s="40"/>
      <c r="H389" s="40"/>
      <c r="I389" s="40"/>
      <c r="J389" s="40"/>
      <c r="K389" s="41"/>
    </row>
    <row r="390" spans="2:11" ht="16" x14ac:dyDescent="0.2">
      <c r="B390" s="38"/>
      <c r="C390" s="45" t="s">
        <v>860</v>
      </c>
      <c r="D390" s="40"/>
      <c r="E390" s="40"/>
      <c r="F390" s="40"/>
      <c r="G390" s="40"/>
      <c r="H390" s="40"/>
      <c r="I390" s="40"/>
      <c r="J390" s="40"/>
      <c r="K390" s="41"/>
    </row>
    <row r="391" spans="2:11" x14ac:dyDescent="0.2">
      <c r="B391" s="38"/>
      <c r="C391" s="380" t="s">
        <v>849</v>
      </c>
      <c r="D391" s="380"/>
      <c r="E391" s="380"/>
      <c r="F391" s="380"/>
      <c r="G391" s="380"/>
      <c r="H391" s="380"/>
      <c r="I391" s="380"/>
      <c r="J391" s="181"/>
      <c r="K391" s="41"/>
    </row>
    <row r="392" spans="2:11" x14ac:dyDescent="0.2">
      <c r="B392" s="38"/>
      <c r="C392" s="380"/>
      <c r="D392" s="380"/>
      <c r="E392" s="380"/>
      <c r="F392" s="380"/>
      <c r="G392" s="380"/>
      <c r="H392" s="380"/>
      <c r="I392" s="380"/>
      <c r="J392" s="264">
        <v>0</v>
      </c>
      <c r="K392" s="41"/>
    </row>
    <row r="393" spans="2:11" x14ac:dyDescent="0.2">
      <c r="B393" s="38"/>
      <c r="C393" s="40" t="s">
        <v>853</v>
      </c>
      <c r="D393" s="291"/>
      <c r="E393" s="291"/>
      <c r="F393" s="291"/>
      <c r="G393" s="291"/>
      <c r="H393" s="291"/>
      <c r="I393" s="291"/>
      <c r="J393" s="255">
        <f>'Baseline Health'!$G$102</f>
        <v>0</v>
      </c>
      <c r="K393" s="41"/>
    </row>
    <row r="394" spans="2:11" ht="15" customHeight="1" x14ac:dyDescent="0.2">
      <c r="B394" s="38"/>
      <c r="C394" s="40" t="s">
        <v>850</v>
      </c>
      <c r="D394" s="291"/>
      <c r="E394" s="291"/>
      <c r="F394" s="291"/>
      <c r="G394" s="291"/>
      <c r="H394" s="291"/>
      <c r="I394" s="291"/>
      <c r="J394" s="244" t="str">
        <f>IF('Baseline Health'!$G$102=0,"Not Calculated",100*J392/'Baseline Health'!$G$102)</f>
        <v>Not Calculated</v>
      </c>
      <c r="K394" s="41"/>
    </row>
    <row r="395" spans="2:11" ht="15" customHeight="1" x14ac:dyDescent="0.2">
      <c r="B395" s="38"/>
      <c r="C395" s="40" t="s">
        <v>260</v>
      </c>
      <c r="D395" s="40"/>
      <c r="E395" s="40"/>
      <c r="F395" s="40"/>
      <c r="G395" s="40"/>
      <c r="H395" s="40"/>
      <c r="I395" s="40"/>
      <c r="J395" s="43">
        <f>IF(J394&lt;=0,0,IF(J394&lt;=1,1,IF(J394&lt;=5,2,IF(J394&lt;=10,3,4))))</f>
        <v>4</v>
      </c>
      <c r="K395" s="41"/>
    </row>
    <row r="396" spans="2:11" ht="9.75" customHeight="1" x14ac:dyDescent="0.2">
      <c r="B396" s="38"/>
      <c r="C396" s="279" t="str">
        <f>"0:"</f>
        <v>0:</v>
      </c>
      <c r="D396" s="278" t="s">
        <v>932</v>
      </c>
      <c r="E396" s="291"/>
      <c r="F396" s="291"/>
      <c r="G396" s="291"/>
      <c r="H396" s="291"/>
      <c r="I396" s="291"/>
      <c r="J396" s="244"/>
      <c r="K396" s="41"/>
    </row>
    <row r="397" spans="2:11" ht="9.75" customHeight="1" x14ac:dyDescent="0.2">
      <c r="B397" s="38"/>
      <c r="C397" s="280" t="str">
        <f>"1:"</f>
        <v>1:</v>
      </c>
      <c r="D397" s="278" t="s">
        <v>934</v>
      </c>
      <c r="E397" s="291"/>
      <c r="F397" s="291"/>
      <c r="G397" s="291"/>
      <c r="H397" s="291"/>
      <c r="I397" s="291"/>
      <c r="J397" s="244"/>
      <c r="K397" s="41"/>
    </row>
    <row r="398" spans="2:11" ht="9.75" customHeight="1" x14ac:dyDescent="0.2">
      <c r="B398" s="38"/>
      <c r="C398" s="280" t="str">
        <f>"2:"</f>
        <v>2:</v>
      </c>
      <c r="D398" s="278" t="s">
        <v>933</v>
      </c>
      <c r="E398" s="291"/>
      <c r="F398" s="291"/>
      <c r="G398" s="291"/>
      <c r="H398" s="291"/>
      <c r="I398" s="291"/>
      <c r="J398" s="244"/>
      <c r="K398" s="41"/>
    </row>
    <row r="399" spans="2:11" ht="9.75" customHeight="1" x14ac:dyDescent="0.2">
      <c r="B399" s="38"/>
      <c r="C399" s="280" t="str">
        <f>"3:"</f>
        <v>3:</v>
      </c>
      <c r="D399" s="278" t="s">
        <v>935</v>
      </c>
      <c r="E399" s="291"/>
      <c r="F399" s="291"/>
      <c r="G399" s="291"/>
      <c r="H399" s="291"/>
      <c r="I399" s="291"/>
      <c r="J399" s="244"/>
      <c r="K399" s="41"/>
    </row>
    <row r="400" spans="2:11" ht="9.75" customHeight="1" x14ac:dyDescent="0.2">
      <c r="B400" s="38"/>
      <c r="C400" s="280" t="str">
        <f>"4:"</f>
        <v>4:</v>
      </c>
      <c r="D400" s="278" t="s">
        <v>936</v>
      </c>
      <c r="E400" s="40"/>
      <c r="F400" s="40"/>
      <c r="G400" s="40"/>
      <c r="H400" s="40"/>
      <c r="I400" s="40"/>
      <c r="J400" s="40"/>
      <c r="K400" s="41"/>
    </row>
    <row r="401" spans="2:11" x14ac:dyDescent="0.2">
      <c r="B401" s="38"/>
      <c r="C401" s="40" t="s">
        <v>893</v>
      </c>
      <c r="D401" s="40"/>
      <c r="E401" s="40"/>
      <c r="F401" s="40"/>
      <c r="G401" s="40"/>
      <c r="H401" s="40"/>
      <c r="I401" s="40"/>
      <c r="J401" s="40"/>
      <c r="K401" s="41"/>
    </row>
    <row r="402" spans="2:11" ht="30" customHeight="1" x14ac:dyDescent="0.2">
      <c r="B402" s="38"/>
      <c r="C402" s="399"/>
      <c r="D402" s="400"/>
      <c r="E402" s="400"/>
      <c r="F402" s="400"/>
      <c r="G402" s="400"/>
      <c r="H402" s="400"/>
      <c r="I402" s="400"/>
      <c r="J402" s="401"/>
      <c r="K402" s="41"/>
    </row>
    <row r="403" spans="2:11" x14ac:dyDescent="0.2">
      <c r="B403" s="38"/>
      <c r="C403" s="40"/>
      <c r="D403" s="40"/>
      <c r="E403" s="40"/>
      <c r="F403" s="40"/>
      <c r="G403" s="40"/>
      <c r="H403" s="40"/>
      <c r="I403" s="40"/>
      <c r="J403" s="40"/>
      <c r="K403" s="41"/>
    </row>
    <row r="404" spans="2:11" x14ac:dyDescent="0.2">
      <c r="B404" s="38"/>
      <c r="C404" s="179" t="s">
        <v>890</v>
      </c>
      <c r="D404" s="40"/>
      <c r="E404" s="40"/>
      <c r="F404" s="40"/>
      <c r="G404" s="40"/>
      <c r="H404" s="40"/>
      <c r="I404" s="40"/>
      <c r="J404" s="245">
        <f>J395</f>
        <v>4</v>
      </c>
      <c r="K404" s="41"/>
    </row>
    <row r="405" spans="2:11" x14ac:dyDescent="0.2">
      <c r="B405" s="38"/>
      <c r="C405" s="40"/>
      <c r="D405" s="40"/>
      <c r="E405" s="40"/>
      <c r="F405" s="40"/>
      <c r="G405" s="40"/>
      <c r="H405" s="40"/>
      <c r="I405" s="40"/>
      <c r="J405" s="40"/>
      <c r="K405" s="41"/>
    </row>
    <row r="406" spans="2:11" x14ac:dyDescent="0.2">
      <c r="B406" s="38"/>
      <c r="C406" s="40"/>
      <c r="D406" s="40"/>
      <c r="E406" s="40"/>
      <c r="F406" s="40"/>
      <c r="G406" s="40"/>
      <c r="H406" s="40"/>
      <c r="I406" s="40"/>
      <c r="J406" s="40"/>
      <c r="K406" s="41"/>
    </row>
    <row r="407" spans="2:11" ht="16" x14ac:dyDescent="0.2">
      <c r="B407" s="38"/>
      <c r="C407" s="45" t="s">
        <v>861</v>
      </c>
      <c r="D407" s="40"/>
      <c r="E407" s="40"/>
      <c r="F407" s="40"/>
      <c r="G407" s="40"/>
      <c r="H407" s="40"/>
      <c r="I407" s="40"/>
      <c r="J407" s="40"/>
      <c r="K407" s="41"/>
    </row>
    <row r="408" spans="2:11" x14ac:dyDescent="0.2">
      <c r="B408" s="38"/>
      <c r="C408" s="40" t="s">
        <v>298</v>
      </c>
      <c r="D408" s="40"/>
      <c r="E408" s="40"/>
      <c r="F408" s="40"/>
      <c r="G408" s="40"/>
      <c r="H408" s="40"/>
      <c r="I408" s="40"/>
      <c r="J408" s="269">
        <v>0</v>
      </c>
      <c r="K408" s="41"/>
    </row>
    <row r="409" spans="2:11" x14ac:dyDescent="0.2">
      <c r="B409" s="38"/>
      <c r="C409" s="40" t="s">
        <v>260</v>
      </c>
      <c r="D409" s="40"/>
      <c r="E409" s="40"/>
      <c r="F409" s="40"/>
      <c r="G409" s="40"/>
      <c r="H409" s="40"/>
      <c r="I409" s="40"/>
      <c r="J409" s="253">
        <f>IF(J408&lt;=0,0,IF(J408&lt;=(J161*0.01),1,IF(J408&lt;=(J161*0.05),2,IF(J408&lt;=(J161*0.1),3,4))))</f>
        <v>0</v>
      </c>
      <c r="K409" s="41"/>
    </row>
    <row r="410" spans="2:11" ht="9.75" customHeight="1" x14ac:dyDescent="0.2">
      <c r="B410" s="38"/>
      <c r="C410" s="279" t="str">
        <f>"0:"</f>
        <v>0:</v>
      </c>
      <c r="D410" s="278" t="s">
        <v>939</v>
      </c>
      <c r="E410" s="40"/>
      <c r="F410" s="40"/>
      <c r="G410" s="40"/>
      <c r="H410" s="40"/>
      <c r="I410" s="40"/>
      <c r="J410" s="282"/>
      <c r="K410" s="41"/>
    </row>
    <row r="411" spans="2:11" ht="9.75" customHeight="1" x14ac:dyDescent="0.2">
      <c r="B411" s="38"/>
      <c r="C411" s="280" t="str">
        <f>"1:"</f>
        <v>1:</v>
      </c>
      <c r="D411" s="278" t="s">
        <v>940</v>
      </c>
      <c r="E411" s="40"/>
      <c r="F411" s="40"/>
      <c r="G411" s="40"/>
      <c r="H411" s="40"/>
      <c r="I411" s="40"/>
      <c r="J411" s="282"/>
      <c r="K411" s="41"/>
    </row>
    <row r="412" spans="2:11" ht="9.75" customHeight="1" x14ac:dyDescent="0.2">
      <c r="B412" s="38"/>
      <c r="C412" s="280" t="str">
        <f>"2:"</f>
        <v>2:</v>
      </c>
      <c r="D412" s="278" t="s">
        <v>941</v>
      </c>
      <c r="E412" s="40"/>
      <c r="F412" s="40"/>
      <c r="G412" s="40"/>
      <c r="H412" s="40"/>
      <c r="I412" s="40"/>
      <c r="J412" s="282"/>
      <c r="K412" s="41"/>
    </row>
    <row r="413" spans="2:11" ht="9.75" customHeight="1" x14ac:dyDescent="0.2">
      <c r="B413" s="38"/>
      <c r="C413" s="280" t="str">
        <f>"3:"</f>
        <v>3:</v>
      </c>
      <c r="D413" s="278" t="s">
        <v>942</v>
      </c>
      <c r="E413" s="40"/>
      <c r="F413" s="40"/>
      <c r="G413" s="40"/>
      <c r="H413" s="40"/>
      <c r="I413" s="40"/>
      <c r="J413" s="282"/>
      <c r="K413" s="41"/>
    </row>
    <row r="414" spans="2:11" ht="9.75" customHeight="1" x14ac:dyDescent="0.2">
      <c r="B414" s="38"/>
      <c r="C414" s="280" t="str">
        <f>"4:"</f>
        <v>4:</v>
      </c>
      <c r="D414" s="278" t="s">
        <v>943</v>
      </c>
      <c r="E414" s="40"/>
      <c r="F414" s="40"/>
      <c r="G414" s="40"/>
      <c r="H414" s="40"/>
      <c r="I414" s="40"/>
      <c r="J414" s="40"/>
      <c r="K414" s="41"/>
    </row>
    <row r="415" spans="2:11" x14ac:dyDescent="0.2">
      <c r="B415" s="38"/>
      <c r="C415" s="40" t="s">
        <v>893</v>
      </c>
      <c r="D415" s="40"/>
      <c r="E415" s="40"/>
      <c r="F415" s="40"/>
      <c r="G415" s="40"/>
      <c r="H415" s="40"/>
      <c r="I415" s="40"/>
      <c r="J415" s="40"/>
      <c r="K415" s="41"/>
    </row>
    <row r="416" spans="2:11" ht="30" customHeight="1" x14ac:dyDescent="0.2">
      <c r="B416" s="38"/>
      <c r="C416" s="399"/>
      <c r="D416" s="400"/>
      <c r="E416" s="400"/>
      <c r="F416" s="400"/>
      <c r="G416" s="400"/>
      <c r="H416" s="400"/>
      <c r="I416" s="400"/>
      <c r="J416" s="401"/>
      <c r="K416" s="41"/>
    </row>
    <row r="417" spans="2:11" x14ac:dyDescent="0.2">
      <c r="B417" s="38"/>
      <c r="C417" s="40"/>
      <c r="D417" s="40"/>
      <c r="E417" s="40"/>
      <c r="F417" s="40"/>
      <c r="G417" s="40"/>
      <c r="H417" s="40"/>
      <c r="I417" s="40"/>
      <c r="J417" s="40"/>
      <c r="K417" s="41"/>
    </row>
    <row r="418" spans="2:11" x14ac:dyDescent="0.2">
      <c r="B418" s="38"/>
      <c r="C418" s="179" t="s">
        <v>891</v>
      </c>
      <c r="D418" s="40"/>
      <c r="E418" s="40"/>
      <c r="F418" s="40"/>
      <c r="G418" s="40"/>
      <c r="H418" s="40"/>
      <c r="I418" s="40"/>
      <c r="J418" s="245">
        <f>J409</f>
        <v>0</v>
      </c>
      <c r="K418" s="41"/>
    </row>
    <row r="419" spans="2:11" x14ac:dyDescent="0.2">
      <c r="B419" s="38"/>
      <c r="C419" s="40"/>
      <c r="D419" s="40"/>
      <c r="E419" s="40"/>
      <c r="F419" s="40"/>
      <c r="G419" s="40"/>
      <c r="H419" s="40"/>
      <c r="I419" s="40"/>
      <c r="J419" s="40"/>
      <c r="K419" s="41"/>
    </row>
    <row r="420" spans="2:11" x14ac:dyDescent="0.2">
      <c r="B420" s="38"/>
      <c r="C420" s="410" t="s">
        <v>881</v>
      </c>
      <c r="D420" s="410"/>
      <c r="E420" s="410"/>
      <c r="F420" s="410"/>
      <c r="G420" s="410"/>
      <c r="H420" s="410"/>
      <c r="I420" s="410"/>
      <c r="J420" s="40"/>
      <c r="K420" s="41"/>
    </row>
    <row r="421" spans="2:11" x14ac:dyDescent="0.2">
      <c r="B421" s="38"/>
      <c r="C421" s="410"/>
      <c r="D421" s="410"/>
      <c r="E421" s="410"/>
      <c r="F421" s="410"/>
      <c r="G421" s="410"/>
      <c r="H421" s="410"/>
      <c r="I421" s="410"/>
      <c r="J421" s="244">
        <f>IF(OR(J288="Not Calculated",J307="Not Calculated",J326="Not Calculated",J349="Not Calculated",J367="Not Calculated",J387="Not Calculated",J404="Not Calculated",J418="Not Calculated")=TRUE,"Not Calculated",AVERAGE(J288,J307,J326,J349,J367,J387,J404,J418))</f>
        <v>1.5</v>
      </c>
      <c r="K421" s="41"/>
    </row>
    <row r="422" spans="2:11" ht="16" thickBot="1" x14ac:dyDescent="0.25">
      <c r="B422" s="46"/>
      <c r="C422" s="47"/>
      <c r="D422" s="47"/>
      <c r="E422" s="47"/>
      <c r="F422" s="47"/>
      <c r="G422" s="47"/>
      <c r="H422" s="47"/>
      <c r="I422" s="47"/>
      <c r="J422" s="47"/>
      <c r="K422" s="49"/>
    </row>
    <row r="423" spans="2:11" ht="16" thickBot="1" x14ac:dyDescent="0.25"/>
    <row r="424" spans="2:11" x14ac:dyDescent="0.2">
      <c r="B424" s="33"/>
      <c r="C424" s="34"/>
      <c r="D424" s="34"/>
      <c r="E424" s="34"/>
      <c r="F424" s="34"/>
      <c r="G424" s="34"/>
      <c r="H424" s="34"/>
      <c r="I424" s="34"/>
      <c r="J424" s="34"/>
      <c r="K424" s="37"/>
    </row>
    <row r="425" spans="2:11" ht="21" x14ac:dyDescent="0.25">
      <c r="B425" s="38"/>
      <c r="C425" s="40"/>
      <c r="D425" s="40"/>
      <c r="E425" s="40"/>
      <c r="F425" s="40"/>
      <c r="G425" s="172" t="s">
        <v>230</v>
      </c>
      <c r="H425" s="40"/>
      <c r="I425" s="40"/>
      <c r="J425" s="40"/>
      <c r="K425" s="41"/>
    </row>
    <row r="426" spans="2:11" x14ac:dyDescent="0.2">
      <c r="B426" s="38"/>
      <c r="C426" s="40"/>
      <c r="D426" s="40"/>
      <c r="E426" s="40"/>
      <c r="F426" s="40"/>
      <c r="G426" s="40"/>
      <c r="H426" s="40"/>
      <c r="I426" s="40"/>
      <c r="J426" s="40"/>
      <c r="K426" s="41"/>
    </row>
    <row r="427" spans="2:11" ht="16" x14ac:dyDescent="0.2">
      <c r="B427" s="38"/>
      <c r="C427" s="45" t="s">
        <v>299</v>
      </c>
      <c r="D427" s="40"/>
      <c r="E427" s="40"/>
      <c r="F427" s="40"/>
      <c r="G427" s="40"/>
      <c r="H427" s="40"/>
      <c r="I427" s="40"/>
      <c r="J427" s="40"/>
      <c r="K427" s="41"/>
    </row>
    <row r="428" spans="2:11" x14ac:dyDescent="0.2">
      <c r="B428" s="38"/>
      <c r="C428" s="40" t="s">
        <v>300</v>
      </c>
      <c r="D428" s="40"/>
      <c r="E428" s="40"/>
      <c r="F428" s="40"/>
      <c r="G428" s="40"/>
      <c r="H428" s="40"/>
      <c r="I428" s="40"/>
      <c r="J428" s="270">
        <f>'Community Characteristics'!H14</f>
        <v>0</v>
      </c>
      <c r="K428" s="41"/>
    </row>
    <row r="429" spans="2:11" x14ac:dyDescent="0.2">
      <c r="B429" s="38"/>
      <c r="C429" s="40" t="s">
        <v>260</v>
      </c>
      <c r="D429" s="40"/>
      <c r="E429" s="40"/>
      <c r="F429" s="40"/>
      <c r="G429" s="40"/>
      <c r="H429" s="40"/>
      <c r="I429" s="40"/>
      <c r="J429" s="248">
        <f>IF(J428&lt;=0,0,IF(J428&lt;=1,1,IF(J428&lt;=5,2,IF(J428&lt;=10,3,4))))</f>
        <v>0</v>
      </c>
      <c r="K429" s="41"/>
    </row>
    <row r="430" spans="2:11" s="98" customFormat="1" ht="9.75" customHeight="1" x14ac:dyDescent="0.2">
      <c r="B430" s="288"/>
      <c r="C430" s="279" t="str">
        <f>"0:"</f>
        <v>0:</v>
      </c>
      <c r="D430" s="290" t="s">
        <v>944</v>
      </c>
      <c r="E430" s="245"/>
      <c r="F430" s="245"/>
      <c r="G430" s="245"/>
      <c r="H430" s="245"/>
      <c r="I430" s="245"/>
      <c r="J430" s="245"/>
      <c r="K430" s="289"/>
    </row>
    <row r="431" spans="2:11" s="98" customFormat="1" ht="9.75" customHeight="1" x14ac:dyDescent="0.2">
      <c r="B431" s="288"/>
      <c r="C431" s="280" t="str">
        <f>"1:"</f>
        <v>1:</v>
      </c>
      <c r="D431" s="290" t="s">
        <v>945</v>
      </c>
      <c r="E431" s="245"/>
      <c r="F431" s="245"/>
      <c r="G431" s="245"/>
      <c r="H431" s="245"/>
      <c r="I431" s="245"/>
      <c r="J431" s="245"/>
      <c r="K431" s="289"/>
    </row>
    <row r="432" spans="2:11" s="98" customFormat="1" ht="9.75" customHeight="1" x14ac:dyDescent="0.2">
      <c r="B432" s="288"/>
      <c r="C432" s="280" t="str">
        <f>"2:"</f>
        <v>2:</v>
      </c>
      <c r="D432" s="290" t="s">
        <v>946</v>
      </c>
      <c r="E432" s="245"/>
      <c r="F432" s="245"/>
      <c r="G432" s="245"/>
      <c r="H432" s="245"/>
      <c r="I432" s="245"/>
      <c r="J432" s="245"/>
      <c r="K432" s="289"/>
    </row>
    <row r="433" spans="2:11" s="98" customFormat="1" ht="9.75" customHeight="1" x14ac:dyDescent="0.2">
      <c r="B433" s="288"/>
      <c r="C433" s="280" t="str">
        <f>"3:"</f>
        <v>3:</v>
      </c>
      <c r="D433" s="290" t="s">
        <v>947</v>
      </c>
      <c r="E433" s="245"/>
      <c r="F433" s="245"/>
      <c r="G433" s="245"/>
      <c r="H433" s="245"/>
      <c r="I433" s="245"/>
      <c r="J433" s="245"/>
      <c r="K433" s="289"/>
    </row>
    <row r="434" spans="2:11" s="98" customFormat="1" ht="9.75" customHeight="1" x14ac:dyDescent="0.2">
      <c r="B434" s="288"/>
      <c r="C434" s="280" t="str">
        <f>"4:"</f>
        <v>4:</v>
      </c>
      <c r="D434" s="290" t="s">
        <v>948</v>
      </c>
      <c r="E434" s="245"/>
      <c r="F434" s="245"/>
      <c r="G434" s="245"/>
      <c r="H434" s="245"/>
      <c r="I434" s="245"/>
      <c r="J434" s="247"/>
      <c r="K434" s="289"/>
    </row>
    <row r="435" spans="2:11" x14ac:dyDescent="0.2">
      <c r="B435" s="38"/>
      <c r="C435" s="40" t="s">
        <v>257</v>
      </c>
      <c r="D435" s="40"/>
      <c r="E435" s="40"/>
      <c r="F435" s="40"/>
      <c r="G435" s="40"/>
      <c r="H435" s="40"/>
      <c r="I435" s="40"/>
      <c r="J435" s="266" t="s">
        <v>874</v>
      </c>
      <c r="K435" s="41"/>
    </row>
    <row r="436" spans="2:11" x14ac:dyDescent="0.2">
      <c r="B436" s="38"/>
      <c r="C436" s="40" t="s">
        <v>261</v>
      </c>
      <c r="D436" s="40"/>
      <c r="E436" s="40"/>
      <c r="F436" s="40"/>
      <c r="G436" s="40"/>
      <c r="H436" s="40"/>
      <c r="I436" s="40"/>
      <c r="J436" s="245">
        <f>IF(J435=$B$973,$A$973,IF(J435=$B$974,$A$974,IF(J435=$B$975,$A$975,IF(J435=$B$976,$A$976,IF(J435=$B$977,$A$977,"Not Calculated")))))</f>
        <v>4</v>
      </c>
      <c r="K436" s="41"/>
    </row>
    <row r="437" spans="2:11" x14ac:dyDescent="0.2">
      <c r="B437" s="38"/>
      <c r="C437" s="40" t="s">
        <v>893</v>
      </c>
      <c r="D437" s="40"/>
      <c r="E437" s="40"/>
      <c r="F437" s="40"/>
      <c r="G437" s="40"/>
      <c r="H437" s="40"/>
      <c r="I437" s="40"/>
      <c r="J437" s="40"/>
      <c r="K437" s="41"/>
    </row>
    <row r="438" spans="2:11" ht="75" customHeight="1" x14ac:dyDescent="0.2">
      <c r="B438" s="38"/>
      <c r="C438" s="399" t="s">
        <v>1323</v>
      </c>
      <c r="D438" s="400"/>
      <c r="E438" s="400"/>
      <c r="F438" s="400"/>
      <c r="G438" s="400"/>
      <c r="H438" s="400"/>
      <c r="I438" s="400"/>
      <c r="J438" s="401"/>
      <c r="K438" s="41"/>
    </row>
    <row r="439" spans="2:11" x14ac:dyDescent="0.2">
      <c r="B439" s="38"/>
      <c r="C439" s="40"/>
      <c r="D439" s="40"/>
      <c r="E439" s="40"/>
      <c r="F439" s="40"/>
      <c r="G439" s="40"/>
      <c r="H439" s="40"/>
      <c r="I439" s="40"/>
      <c r="J439" s="40"/>
      <c r="K439" s="41"/>
    </row>
    <row r="440" spans="2:11" x14ac:dyDescent="0.2">
      <c r="B440" s="38"/>
      <c r="C440" s="179" t="s">
        <v>301</v>
      </c>
      <c r="D440" s="40"/>
      <c r="E440" s="40"/>
      <c r="F440" s="40"/>
      <c r="G440" s="40"/>
      <c r="H440" s="40"/>
      <c r="I440" s="40"/>
      <c r="J440" s="245">
        <f>IF(OR(J429="Not Calculated",J436="Not Calculated")=TRUE,"Not Calculated",AVERAGE(J429,J436))</f>
        <v>2</v>
      </c>
      <c r="K440" s="41"/>
    </row>
    <row r="441" spans="2:11" x14ac:dyDescent="0.2">
      <c r="B441" s="38"/>
      <c r="C441" s="40"/>
      <c r="D441" s="40"/>
      <c r="E441" s="40"/>
      <c r="F441" s="40"/>
      <c r="G441" s="40"/>
      <c r="H441" s="40"/>
      <c r="I441" s="40"/>
      <c r="J441" s="40"/>
      <c r="K441" s="41"/>
    </row>
    <row r="442" spans="2:11" x14ac:dyDescent="0.2">
      <c r="B442" s="38"/>
      <c r="C442" s="40"/>
      <c r="D442" s="40"/>
      <c r="E442" s="40"/>
      <c r="F442" s="40"/>
      <c r="G442" s="40"/>
      <c r="H442" s="40"/>
      <c r="I442" s="40"/>
      <c r="J442" s="40"/>
      <c r="K442" s="41"/>
    </row>
    <row r="443" spans="2:11" ht="16" x14ac:dyDescent="0.2">
      <c r="B443" s="38"/>
      <c r="C443" s="45" t="s">
        <v>303</v>
      </c>
      <c r="D443" s="40"/>
      <c r="E443" s="40"/>
      <c r="F443" s="40"/>
      <c r="G443" s="40"/>
      <c r="H443" s="40"/>
      <c r="I443" s="40"/>
      <c r="J443" s="40"/>
      <c r="K443" s="41"/>
    </row>
    <row r="444" spans="2:11" ht="15" customHeight="1" x14ac:dyDescent="0.2">
      <c r="B444" s="38"/>
      <c r="C444" s="380" t="s">
        <v>305</v>
      </c>
      <c r="D444" s="380"/>
      <c r="E444" s="380"/>
      <c r="F444" s="380"/>
      <c r="G444" s="380"/>
      <c r="H444" s="380"/>
      <c r="I444" s="380"/>
      <c r="J444" s="40"/>
      <c r="K444" s="41"/>
    </row>
    <row r="445" spans="2:11" x14ac:dyDescent="0.2">
      <c r="B445" s="38"/>
      <c r="C445" s="380"/>
      <c r="D445" s="380"/>
      <c r="E445" s="380"/>
      <c r="F445" s="380"/>
      <c r="G445" s="380"/>
      <c r="H445" s="380"/>
      <c r="I445" s="380"/>
      <c r="J445" s="270">
        <v>0</v>
      </c>
      <c r="K445" s="41"/>
    </row>
    <row r="446" spans="2:11" x14ac:dyDescent="0.2">
      <c r="B446" s="38"/>
      <c r="C446" s="40" t="s">
        <v>260</v>
      </c>
      <c r="D446" s="40"/>
      <c r="E446" s="40"/>
      <c r="F446" s="40"/>
      <c r="G446" s="40"/>
      <c r="H446" s="40"/>
      <c r="I446" s="40"/>
      <c r="J446" s="248">
        <f>IF(J445&lt;=0,0,IF(J445&lt;=1,1,IF(J445&lt;=5,2,IF(J445&lt;=10,3,4))))</f>
        <v>0</v>
      </c>
      <c r="K446" s="41"/>
    </row>
    <row r="447" spans="2:11" ht="9.75" customHeight="1" x14ac:dyDescent="0.2">
      <c r="B447" s="38"/>
      <c r="C447" s="279" t="str">
        <f>"0:"</f>
        <v>0:</v>
      </c>
      <c r="D447" s="278" t="s">
        <v>944</v>
      </c>
      <c r="E447" s="40"/>
      <c r="F447" s="40"/>
      <c r="G447" s="40"/>
      <c r="H447" s="40"/>
      <c r="I447" s="40"/>
      <c r="J447" s="245"/>
      <c r="K447" s="41"/>
    </row>
    <row r="448" spans="2:11" ht="9.75" customHeight="1" x14ac:dyDescent="0.2">
      <c r="B448" s="38"/>
      <c r="C448" s="280" t="str">
        <f>"1:"</f>
        <v>1:</v>
      </c>
      <c r="D448" s="278" t="s">
        <v>945</v>
      </c>
      <c r="E448" s="40"/>
      <c r="F448" s="40"/>
      <c r="G448" s="40"/>
      <c r="H448" s="40"/>
      <c r="I448" s="40"/>
      <c r="J448" s="245"/>
      <c r="K448" s="41"/>
    </row>
    <row r="449" spans="2:11" ht="9.75" customHeight="1" x14ac:dyDescent="0.2">
      <c r="B449" s="38"/>
      <c r="C449" s="280" t="str">
        <f>"2:"</f>
        <v>2:</v>
      </c>
      <c r="D449" s="278" t="s">
        <v>946</v>
      </c>
      <c r="E449" s="40"/>
      <c r="F449" s="40"/>
      <c r="G449" s="40"/>
      <c r="H449" s="40"/>
      <c r="I449" s="40"/>
      <c r="J449" s="245"/>
      <c r="K449" s="41"/>
    </row>
    <row r="450" spans="2:11" ht="9.75" customHeight="1" x14ac:dyDescent="0.2">
      <c r="B450" s="38"/>
      <c r="C450" s="280" t="str">
        <f>"3:"</f>
        <v>3:</v>
      </c>
      <c r="D450" s="278" t="s">
        <v>947</v>
      </c>
      <c r="E450" s="40"/>
      <c r="F450" s="40"/>
      <c r="G450" s="40"/>
      <c r="H450" s="40"/>
      <c r="I450" s="40"/>
      <c r="J450" s="245"/>
      <c r="K450" s="41"/>
    </row>
    <row r="451" spans="2:11" ht="9.75" customHeight="1" x14ac:dyDescent="0.2">
      <c r="B451" s="38"/>
      <c r="C451" s="280" t="str">
        <f>"4:"</f>
        <v>4:</v>
      </c>
      <c r="D451" s="278" t="s">
        <v>948</v>
      </c>
      <c r="E451" s="40"/>
      <c r="F451" s="40"/>
      <c r="G451" s="40"/>
      <c r="H451" s="40"/>
      <c r="I451" s="40"/>
      <c r="J451" s="247"/>
      <c r="K451" s="41"/>
    </row>
    <row r="452" spans="2:11" x14ac:dyDescent="0.2">
      <c r="B452" s="38"/>
      <c r="C452" s="40" t="s">
        <v>257</v>
      </c>
      <c r="D452" s="40"/>
      <c r="E452" s="40"/>
      <c r="F452" s="40"/>
      <c r="G452" s="40"/>
      <c r="H452" s="40"/>
      <c r="I452" s="40"/>
      <c r="J452" s="266" t="s">
        <v>870</v>
      </c>
      <c r="K452" s="41"/>
    </row>
    <row r="453" spans="2:11" x14ac:dyDescent="0.2">
      <c r="B453" s="38"/>
      <c r="C453" s="40" t="s">
        <v>261</v>
      </c>
      <c r="D453" s="40"/>
      <c r="E453" s="40"/>
      <c r="F453" s="40"/>
      <c r="G453" s="40"/>
      <c r="H453" s="40"/>
      <c r="I453" s="40"/>
      <c r="J453" s="245">
        <f>IF(J452=$B$973,$A$973,IF(J452=$B$974,$A$974,IF(J452=$B$975,$A$975,IF(J452=$B$976,$A$976,IF(J452=$B$977,$A$977,"Not Calculated")))))</f>
        <v>0</v>
      </c>
      <c r="K453" s="41"/>
    </row>
    <row r="454" spans="2:11" x14ac:dyDescent="0.2">
      <c r="B454" s="38"/>
      <c r="C454" s="40" t="s">
        <v>893</v>
      </c>
      <c r="D454" s="40"/>
      <c r="E454" s="40"/>
      <c r="F454" s="40"/>
      <c r="G454" s="40"/>
      <c r="H454" s="40"/>
      <c r="I454" s="40"/>
      <c r="J454" s="40"/>
      <c r="K454" s="41"/>
    </row>
    <row r="455" spans="2:11" ht="30" customHeight="1" x14ac:dyDescent="0.2">
      <c r="B455" s="38"/>
      <c r="C455" s="399"/>
      <c r="D455" s="400"/>
      <c r="E455" s="400"/>
      <c r="F455" s="400"/>
      <c r="G455" s="400"/>
      <c r="H455" s="400"/>
      <c r="I455" s="400"/>
      <c r="J455" s="401"/>
      <c r="K455" s="41"/>
    </row>
    <row r="456" spans="2:11" x14ac:dyDescent="0.2">
      <c r="B456" s="38"/>
      <c r="C456" s="40"/>
      <c r="D456" s="40"/>
      <c r="E456" s="40"/>
      <c r="F456" s="40"/>
      <c r="G456" s="40"/>
      <c r="H456" s="40"/>
      <c r="I456" s="40"/>
      <c r="J456" s="40"/>
      <c r="K456" s="41"/>
    </row>
    <row r="457" spans="2:11" x14ac:dyDescent="0.2">
      <c r="B457" s="38"/>
      <c r="C457" s="179" t="s">
        <v>304</v>
      </c>
      <c r="D457" s="40"/>
      <c r="E457" s="40"/>
      <c r="F457" s="40"/>
      <c r="G457" s="40"/>
      <c r="H457" s="40"/>
      <c r="I457" s="40"/>
      <c r="J457" s="245">
        <f>IF(OR(J446="Not Calculated",J453="Not Calculated")=TRUE,"Not Calculated",AVERAGE(J446,J453))</f>
        <v>0</v>
      </c>
      <c r="K457" s="41"/>
    </row>
    <row r="458" spans="2:11" x14ac:dyDescent="0.2">
      <c r="B458" s="38"/>
      <c r="C458" s="40"/>
      <c r="D458" s="40"/>
      <c r="E458" s="40"/>
      <c r="F458" s="40"/>
      <c r="G458" s="40"/>
      <c r="H458" s="40"/>
      <c r="I458" s="40"/>
      <c r="J458" s="40"/>
      <c r="K458" s="41"/>
    </row>
    <row r="459" spans="2:11" x14ac:dyDescent="0.2">
      <c r="B459" s="38"/>
      <c r="C459" s="40"/>
      <c r="D459" s="40"/>
      <c r="E459" s="40"/>
      <c r="F459" s="40"/>
      <c r="G459" s="40"/>
      <c r="H459" s="40"/>
      <c r="I459" s="40"/>
      <c r="J459" s="40"/>
      <c r="K459" s="41"/>
    </row>
    <row r="460" spans="2:11" ht="16" x14ac:dyDescent="0.2">
      <c r="B460" s="38"/>
      <c r="C460" s="45" t="s">
        <v>306</v>
      </c>
      <c r="D460" s="40"/>
      <c r="E460" s="40"/>
      <c r="F460" s="40"/>
      <c r="G460" s="40"/>
      <c r="H460" s="40"/>
      <c r="I460" s="40"/>
      <c r="J460" s="40"/>
      <c r="K460" s="41"/>
    </row>
    <row r="461" spans="2:11" x14ac:dyDescent="0.2">
      <c r="B461" s="38"/>
      <c r="C461" s="40" t="s">
        <v>949</v>
      </c>
      <c r="D461" s="40"/>
      <c r="E461" s="40"/>
      <c r="F461" s="40"/>
      <c r="G461" s="40"/>
      <c r="H461" s="40"/>
      <c r="I461" s="40"/>
      <c r="J461" s="270">
        <v>0</v>
      </c>
      <c r="K461" s="41"/>
    </row>
    <row r="462" spans="2:11" x14ac:dyDescent="0.2">
      <c r="B462" s="38"/>
      <c r="C462" s="40" t="s">
        <v>260</v>
      </c>
      <c r="D462" s="40"/>
      <c r="E462" s="40"/>
      <c r="F462" s="40"/>
      <c r="G462" s="40"/>
      <c r="H462" s="40"/>
      <c r="I462" s="40"/>
      <c r="J462" s="248">
        <f>IF(J461&lt;=0,0,IF(J461&lt;=1,1,IF(J461&lt;=5,2,IF(J461&lt;=10,3,4))))</f>
        <v>0</v>
      </c>
      <c r="K462" s="41"/>
    </row>
    <row r="463" spans="2:11" ht="9.75" customHeight="1" x14ac:dyDescent="0.2">
      <c r="B463" s="38"/>
      <c r="C463" s="279" t="str">
        <f>"0:"</f>
        <v>0:</v>
      </c>
      <c r="D463" s="290" t="s">
        <v>944</v>
      </c>
      <c r="E463" s="40"/>
      <c r="F463" s="40"/>
      <c r="G463" s="40"/>
      <c r="H463" s="40"/>
      <c r="I463" s="40"/>
      <c r="J463" s="245"/>
      <c r="K463" s="41"/>
    </row>
    <row r="464" spans="2:11" ht="9.75" customHeight="1" x14ac:dyDescent="0.2">
      <c r="B464" s="38"/>
      <c r="C464" s="280" t="str">
        <f>"1:"</f>
        <v>1:</v>
      </c>
      <c r="D464" s="290" t="s">
        <v>945</v>
      </c>
      <c r="E464" s="40"/>
      <c r="F464" s="40"/>
      <c r="G464" s="40"/>
      <c r="H464" s="40"/>
      <c r="I464" s="40"/>
      <c r="J464" s="245"/>
      <c r="K464" s="41"/>
    </row>
    <row r="465" spans="2:11" ht="9.75" customHeight="1" x14ac:dyDescent="0.2">
      <c r="B465" s="38"/>
      <c r="C465" s="280" t="str">
        <f>"2:"</f>
        <v>2:</v>
      </c>
      <c r="D465" s="290" t="s">
        <v>946</v>
      </c>
      <c r="E465" s="40"/>
      <c r="F465" s="40"/>
      <c r="G465" s="40"/>
      <c r="H465" s="40"/>
      <c r="I465" s="40"/>
      <c r="J465" s="245"/>
      <c r="K465" s="41"/>
    </row>
    <row r="466" spans="2:11" ht="9.75" customHeight="1" x14ac:dyDescent="0.2">
      <c r="B466" s="38"/>
      <c r="C466" s="280" t="str">
        <f>"3:"</f>
        <v>3:</v>
      </c>
      <c r="D466" s="290" t="s">
        <v>947</v>
      </c>
      <c r="E466" s="40"/>
      <c r="F466" s="40"/>
      <c r="G466" s="40"/>
      <c r="H466" s="40"/>
      <c r="I466" s="40"/>
      <c r="J466" s="245"/>
      <c r="K466" s="41"/>
    </row>
    <row r="467" spans="2:11" ht="9.75" customHeight="1" x14ac:dyDescent="0.2">
      <c r="B467" s="38"/>
      <c r="C467" s="280" t="str">
        <f>"4:"</f>
        <v>4:</v>
      </c>
      <c r="D467" s="290" t="s">
        <v>948</v>
      </c>
      <c r="E467" s="40"/>
      <c r="F467" s="40"/>
      <c r="G467" s="40"/>
      <c r="H467" s="40"/>
      <c r="I467" s="40"/>
      <c r="J467" s="247"/>
      <c r="K467" s="41"/>
    </row>
    <row r="468" spans="2:11" x14ac:dyDescent="0.2">
      <c r="B468" s="38"/>
      <c r="C468" s="40" t="s">
        <v>257</v>
      </c>
      <c r="D468" s="40"/>
      <c r="E468" s="40"/>
      <c r="F468" s="40"/>
      <c r="G468" s="40"/>
      <c r="H468" s="40"/>
      <c r="I468" s="40"/>
      <c r="J468" s="266" t="s">
        <v>870</v>
      </c>
      <c r="K468" s="41"/>
    </row>
    <row r="469" spans="2:11" ht="15" customHeight="1" x14ac:dyDescent="0.2">
      <c r="B469" s="38"/>
      <c r="C469" s="40" t="s">
        <v>261</v>
      </c>
      <c r="D469" s="40"/>
      <c r="E469" s="40"/>
      <c r="F469" s="40"/>
      <c r="G469" s="40"/>
      <c r="H469" s="40"/>
      <c r="I469" s="40"/>
      <c r="J469" s="245">
        <f>IF(J468=$B$973,$A$973,IF(J468=$B$974,$A$974,IF(J468=$B$975,$A$975,IF(J468=$B$976,$A$976,IF(J468=$B$977,$A$977,"Not Calculated")))))</f>
        <v>0</v>
      </c>
      <c r="K469" s="41"/>
    </row>
    <row r="470" spans="2:11" x14ac:dyDescent="0.2">
      <c r="B470" s="38"/>
      <c r="C470" s="40" t="s">
        <v>893</v>
      </c>
      <c r="D470" s="40"/>
      <c r="E470" s="40"/>
      <c r="F470" s="40"/>
      <c r="G470" s="40"/>
      <c r="H470" s="40"/>
      <c r="I470" s="40"/>
      <c r="J470" s="40"/>
      <c r="K470" s="41"/>
    </row>
    <row r="471" spans="2:11" ht="30" customHeight="1" x14ac:dyDescent="0.2">
      <c r="B471" s="38"/>
      <c r="C471" s="399"/>
      <c r="D471" s="400"/>
      <c r="E471" s="400"/>
      <c r="F471" s="400"/>
      <c r="G471" s="400"/>
      <c r="H471" s="400"/>
      <c r="I471" s="400"/>
      <c r="J471" s="401"/>
      <c r="K471" s="41"/>
    </row>
    <row r="472" spans="2:11" x14ac:dyDescent="0.2">
      <c r="B472" s="38"/>
      <c r="C472" s="40"/>
      <c r="D472" s="40"/>
      <c r="E472" s="40"/>
      <c r="F472" s="40"/>
      <c r="G472" s="40"/>
      <c r="H472" s="40"/>
      <c r="I472" s="40"/>
      <c r="J472" s="40"/>
      <c r="K472" s="41"/>
    </row>
    <row r="473" spans="2:11" x14ac:dyDescent="0.2">
      <c r="B473" s="38"/>
      <c r="C473" s="179" t="s">
        <v>307</v>
      </c>
      <c r="D473" s="40"/>
      <c r="E473" s="40"/>
      <c r="F473" s="40"/>
      <c r="G473" s="40"/>
      <c r="H473" s="40"/>
      <c r="I473" s="40"/>
      <c r="J473" s="245">
        <f>IF(OR(J462="Not Calculated",J469="Not Calculated")=TRUE,"Not Calculated",AVERAGE(J462,J469))</f>
        <v>0</v>
      </c>
      <c r="K473" s="41"/>
    </row>
    <row r="474" spans="2:11" x14ac:dyDescent="0.2">
      <c r="B474" s="38"/>
      <c r="C474" s="40"/>
      <c r="D474" s="40"/>
      <c r="E474" s="40"/>
      <c r="F474" s="40"/>
      <c r="G474" s="40"/>
      <c r="H474" s="40"/>
      <c r="I474" s="40"/>
      <c r="J474" s="40"/>
      <c r="K474" s="41"/>
    </row>
    <row r="475" spans="2:11" x14ac:dyDescent="0.2">
      <c r="B475" s="38"/>
      <c r="C475" s="40"/>
      <c r="D475" s="40"/>
      <c r="E475" s="40"/>
      <c r="F475" s="40"/>
      <c r="G475" s="40"/>
      <c r="H475" s="40"/>
      <c r="I475" s="40"/>
      <c r="J475" s="40"/>
      <c r="K475" s="41"/>
    </row>
    <row r="476" spans="2:11" ht="16" x14ac:dyDescent="0.2">
      <c r="B476" s="38"/>
      <c r="C476" s="45" t="s">
        <v>308</v>
      </c>
      <c r="D476" s="40"/>
      <c r="E476" s="40"/>
      <c r="F476" s="40"/>
      <c r="G476" s="40"/>
      <c r="H476" s="40"/>
      <c r="I476" s="40"/>
      <c r="J476" s="40"/>
      <c r="K476" s="41"/>
    </row>
    <row r="477" spans="2:11" ht="15" customHeight="1" x14ac:dyDescent="0.2">
      <c r="B477" s="38"/>
      <c r="C477" s="380" t="s">
        <v>310</v>
      </c>
      <c r="D477" s="380"/>
      <c r="E477" s="380"/>
      <c r="F477" s="380"/>
      <c r="G477" s="380"/>
      <c r="H477" s="380"/>
      <c r="I477" s="380"/>
      <c r="J477" s="40"/>
      <c r="K477" s="41"/>
    </row>
    <row r="478" spans="2:11" x14ac:dyDescent="0.2">
      <c r="B478" s="38"/>
      <c r="C478" s="380"/>
      <c r="D478" s="380"/>
      <c r="E478" s="380"/>
      <c r="F478" s="380"/>
      <c r="G478" s="380"/>
      <c r="H478" s="380"/>
      <c r="I478" s="380"/>
      <c r="J478" s="131">
        <v>0</v>
      </c>
      <c r="K478" s="41"/>
    </row>
    <row r="479" spans="2:11" x14ac:dyDescent="0.2">
      <c r="B479" s="38"/>
      <c r="C479" s="40" t="s">
        <v>261</v>
      </c>
      <c r="D479" s="40"/>
      <c r="E479" s="40"/>
      <c r="F479" s="40"/>
      <c r="G479" s="40"/>
      <c r="H479" s="40"/>
      <c r="I479" s="40"/>
      <c r="J479" s="245">
        <f>IF(J478&lt;=0,0,IF(J478&lt;=1,1,IF(J478&lt;=7,2,IF(J478&lt;=14,3,4))))</f>
        <v>0</v>
      </c>
      <c r="K479" s="41"/>
    </row>
    <row r="480" spans="2:11" s="51" customFormat="1" ht="9.75" customHeight="1" x14ac:dyDescent="0.2">
      <c r="B480" s="283"/>
      <c r="C480" s="279" t="str">
        <f>"0:"</f>
        <v>0:</v>
      </c>
      <c r="D480" s="284" t="s">
        <v>950</v>
      </c>
      <c r="E480" s="285"/>
      <c r="F480" s="285"/>
      <c r="G480" s="285"/>
      <c r="H480" s="285"/>
      <c r="I480" s="285"/>
      <c r="J480" s="43"/>
      <c r="K480" s="286"/>
    </row>
    <row r="481" spans="2:11" s="51" customFormat="1" ht="9.75" customHeight="1" x14ac:dyDescent="0.2">
      <c r="B481" s="283"/>
      <c r="C481" s="280" t="str">
        <f>"1:"</f>
        <v>1:</v>
      </c>
      <c r="D481" s="284" t="s">
        <v>951</v>
      </c>
      <c r="E481" s="285"/>
      <c r="F481" s="285"/>
      <c r="G481" s="285"/>
      <c r="H481" s="285"/>
      <c r="I481" s="285"/>
      <c r="J481" s="43"/>
      <c r="K481" s="286"/>
    </row>
    <row r="482" spans="2:11" s="51" customFormat="1" ht="9.75" customHeight="1" x14ac:dyDescent="0.2">
      <c r="B482" s="283"/>
      <c r="C482" s="280" t="str">
        <f>"2:"</f>
        <v>2:</v>
      </c>
      <c r="D482" s="284" t="s">
        <v>952</v>
      </c>
      <c r="E482" s="285"/>
      <c r="F482" s="285"/>
      <c r="G482" s="285"/>
      <c r="H482" s="285"/>
      <c r="I482" s="285"/>
      <c r="J482" s="43"/>
      <c r="K482" s="286"/>
    </row>
    <row r="483" spans="2:11" s="51" customFormat="1" ht="9.75" customHeight="1" x14ac:dyDescent="0.2">
      <c r="B483" s="283"/>
      <c r="C483" s="280" t="str">
        <f>"3:"</f>
        <v>3:</v>
      </c>
      <c r="D483" s="284" t="s">
        <v>953</v>
      </c>
      <c r="E483" s="285"/>
      <c r="F483" s="285"/>
      <c r="G483" s="285"/>
      <c r="H483" s="285"/>
      <c r="I483" s="285"/>
      <c r="J483" s="43"/>
      <c r="K483" s="286"/>
    </row>
    <row r="484" spans="2:11" s="51" customFormat="1" ht="9.75" customHeight="1" x14ac:dyDescent="0.2">
      <c r="B484" s="283"/>
      <c r="C484" s="280" t="str">
        <f>"4:"</f>
        <v>4:</v>
      </c>
      <c r="D484" s="284" t="s">
        <v>954</v>
      </c>
      <c r="E484" s="285"/>
      <c r="F484" s="285"/>
      <c r="G484" s="285"/>
      <c r="H484" s="285"/>
      <c r="I484" s="285"/>
      <c r="J484" s="43"/>
      <c r="K484" s="286"/>
    </row>
    <row r="485" spans="2:11" x14ac:dyDescent="0.2">
      <c r="B485" s="38"/>
      <c r="C485" s="40" t="s">
        <v>893</v>
      </c>
      <c r="D485" s="40"/>
      <c r="E485" s="40"/>
      <c r="F485" s="40"/>
      <c r="G485" s="40"/>
      <c r="H485" s="40"/>
      <c r="I485" s="40"/>
      <c r="J485" s="40"/>
      <c r="K485" s="41"/>
    </row>
    <row r="486" spans="2:11" ht="30" customHeight="1" x14ac:dyDescent="0.2">
      <c r="B486" s="38"/>
      <c r="C486" s="399"/>
      <c r="D486" s="400"/>
      <c r="E486" s="400"/>
      <c r="F486" s="400"/>
      <c r="G486" s="400"/>
      <c r="H486" s="400"/>
      <c r="I486" s="400"/>
      <c r="J486" s="401"/>
      <c r="K486" s="41"/>
    </row>
    <row r="487" spans="2:11" x14ac:dyDescent="0.2">
      <c r="B487" s="38"/>
      <c r="C487" s="40"/>
      <c r="D487" s="40"/>
      <c r="E487" s="40"/>
      <c r="F487" s="40"/>
      <c r="G487" s="40"/>
      <c r="H487" s="40"/>
      <c r="I487" s="40"/>
      <c r="J487" s="40"/>
      <c r="K487" s="41"/>
    </row>
    <row r="488" spans="2:11" x14ac:dyDescent="0.2">
      <c r="B488" s="38"/>
      <c r="C488" s="179" t="s">
        <v>309</v>
      </c>
      <c r="D488" s="40"/>
      <c r="E488" s="40"/>
      <c r="F488" s="40"/>
      <c r="G488" s="40"/>
      <c r="H488" s="40"/>
      <c r="I488" s="40"/>
      <c r="J488" s="245">
        <f>J479</f>
        <v>0</v>
      </c>
      <c r="K488" s="41"/>
    </row>
    <row r="489" spans="2:11" x14ac:dyDescent="0.2">
      <c r="B489" s="38"/>
      <c r="C489" s="40"/>
      <c r="D489" s="40"/>
      <c r="E489" s="40"/>
      <c r="F489" s="40"/>
      <c r="G489" s="40"/>
      <c r="H489" s="40"/>
      <c r="I489" s="40"/>
      <c r="J489" s="40"/>
      <c r="K489" s="41"/>
    </row>
    <row r="490" spans="2:11" x14ac:dyDescent="0.2">
      <c r="B490" s="38"/>
      <c r="C490" s="40"/>
      <c r="D490" s="40"/>
      <c r="E490" s="40"/>
      <c r="F490" s="40"/>
      <c r="G490" s="40"/>
      <c r="H490" s="40"/>
      <c r="I490" s="40"/>
      <c r="J490" s="40"/>
      <c r="K490" s="41"/>
    </row>
    <row r="491" spans="2:11" ht="16" x14ac:dyDescent="0.2">
      <c r="B491" s="38"/>
      <c r="C491" s="45" t="s">
        <v>311</v>
      </c>
      <c r="D491" s="40"/>
      <c r="E491" s="40"/>
      <c r="F491" s="40"/>
      <c r="G491" s="40"/>
      <c r="H491" s="40"/>
      <c r="I491" s="40"/>
      <c r="J491" s="40"/>
      <c r="K491" s="41"/>
    </row>
    <row r="492" spans="2:11" x14ac:dyDescent="0.2">
      <c r="B492" s="38"/>
      <c r="C492" s="40" t="s">
        <v>312</v>
      </c>
      <c r="D492" s="40"/>
      <c r="E492" s="40"/>
      <c r="F492" s="40"/>
      <c r="G492" s="40"/>
      <c r="H492" s="40"/>
      <c r="I492" s="40"/>
      <c r="J492" s="270">
        <v>0</v>
      </c>
      <c r="K492" s="41"/>
    </row>
    <row r="493" spans="2:11" x14ac:dyDescent="0.2">
      <c r="B493" s="38"/>
      <c r="C493" s="40" t="s">
        <v>260</v>
      </c>
      <c r="D493" s="40"/>
      <c r="E493" s="40"/>
      <c r="F493" s="40"/>
      <c r="G493" s="40"/>
      <c r="H493" s="40"/>
      <c r="I493" s="40"/>
      <c r="J493" s="248">
        <f>IF(J492&lt;=0,0,IF(J492&lt;=1,1,IF(J492&lt;=5,2,IF(J492&lt;=10,3,4))))</f>
        <v>0</v>
      </c>
      <c r="K493" s="41"/>
    </row>
    <row r="494" spans="2:11" ht="9.75" customHeight="1" x14ac:dyDescent="0.2">
      <c r="B494" s="38"/>
      <c r="C494" s="279" t="str">
        <f>"0:"</f>
        <v>0:</v>
      </c>
      <c r="D494" s="290" t="s">
        <v>955</v>
      </c>
      <c r="E494" s="40"/>
      <c r="F494" s="40"/>
      <c r="G494" s="40"/>
      <c r="H494" s="40"/>
      <c r="I494" s="40"/>
      <c r="J494" s="245"/>
      <c r="K494" s="41"/>
    </row>
    <row r="495" spans="2:11" ht="9.75" customHeight="1" x14ac:dyDescent="0.2">
      <c r="B495" s="38"/>
      <c r="C495" s="280" t="str">
        <f>"1:"</f>
        <v>1:</v>
      </c>
      <c r="D495" s="290" t="s">
        <v>956</v>
      </c>
      <c r="E495" s="40"/>
      <c r="F495" s="40"/>
      <c r="G495" s="40"/>
      <c r="H495" s="40"/>
      <c r="I495" s="40"/>
      <c r="J495" s="245"/>
      <c r="K495" s="41"/>
    </row>
    <row r="496" spans="2:11" ht="9.75" customHeight="1" x14ac:dyDescent="0.2">
      <c r="B496" s="38"/>
      <c r="C496" s="280" t="str">
        <f>"2:"</f>
        <v>2:</v>
      </c>
      <c r="D496" s="290" t="s">
        <v>957</v>
      </c>
      <c r="E496" s="40"/>
      <c r="F496" s="40"/>
      <c r="G496" s="40"/>
      <c r="H496" s="40"/>
      <c r="I496" s="40"/>
      <c r="J496" s="245"/>
      <c r="K496" s="41"/>
    </row>
    <row r="497" spans="2:11" ht="9.75" customHeight="1" x14ac:dyDescent="0.2">
      <c r="B497" s="38"/>
      <c r="C497" s="280" t="str">
        <f>"3:"</f>
        <v>3:</v>
      </c>
      <c r="D497" s="290" t="s">
        <v>958</v>
      </c>
      <c r="E497" s="40"/>
      <c r="F497" s="40"/>
      <c r="G497" s="40"/>
      <c r="H497" s="40"/>
      <c r="I497" s="40"/>
      <c r="J497" s="245"/>
      <c r="K497" s="41"/>
    </row>
    <row r="498" spans="2:11" ht="9.75" customHeight="1" x14ac:dyDescent="0.2">
      <c r="B498" s="38"/>
      <c r="C498" s="280" t="str">
        <f>"4:"</f>
        <v>4:</v>
      </c>
      <c r="D498" s="290" t="s">
        <v>959</v>
      </c>
      <c r="E498" s="40"/>
      <c r="F498" s="40"/>
      <c r="G498" s="40"/>
      <c r="H498" s="40"/>
      <c r="I498" s="40"/>
      <c r="J498" s="247"/>
      <c r="K498" s="41"/>
    </row>
    <row r="499" spans="2:11" x14ac:dyDescent="0.2">
      <c r="B499" s="38"/>
      <c r="C499" s="40" t="s">
        <v>313</v>
      </c>
      <c r="D499" s="40"/>
      <c r="E499" s="40"/>
      <c r="F499" s="40"/>
      <c r="G499" s="40"/>
      <c r="H499" s="40"/>
      <c r="I499" s="40"/>
      <c r="J499" s="266" t="s">
        <v>870</v>
      </c>
      <c r="K499" s="41"/>
    </row>
    <row r="500" spans="2:11" x14ac:dyDescent="0.2">
      <c r="B500" s="38"/>
      <c r="C500" s="40" t="s">
        <v>261</v>
      </c>
      <c r="D500" s="40"/>
      <c r="E500" s="40"/>
      <c r="F500" s="40"/>
      <c r="G500" s="40"/>
      <c r="H500" s="40"/>
      <c r="I500" s="40"/>
      <c r="J500" s="245">
        <f>IF(J499=$B$973,$A$973,IF(J499=$B$974,$A$974,IF(J499=$B$975,$A$975,IF(J499=$B$976,$A$976,IF(J499=$B$977,$A$977,"Not Calculated")))))</f>
        <v>0</v>
      </c>
      <c r="K500" s="41"/>
    </row>
    <row r="501" spans="2:11" x14ac:dyDescent="0.2">
      <c r="B501" s="38"/>
      <c r="C501" s="40" t="s">
        <v>893</v>
      </c>
      <c r="D501" s="40"/>
      <c r="E501" s="40"/>
      <c r="F501" s="40"/>
      <c r="G501" s="40"/>
      <c r="H501" s="40"/>
      <c r="I501" s="40"/>
      <c r="J501" s="40"/>
      <c r="K501" s="41"/>
    </row>
    <row r="502" spans="2:11" ht="30" customHeight="1" x14ac:dyDescent="0.2">
      <c r="B502" s="38"/>
      <c r="C502" s="399"/>
      <c r="D502" s="400"/>
      <c r="E502" s="400"/>
      <c r="F502" s="400"/>
      <c r="G502" s="400"/>
      <c r="H502" s="400"/>
      <c r="I502" s="400"/>
      <c r="J502" s="401"/>
      <c r="K502" s="41"/>
    </row>
    <row r="503" spans="2:11" x14ac:dyDescent="0.2">
      <c r="B503" s="38"/>
      <c r="C503" s="40"/>
      <c r="D503" s="40"/>
      <c r="E503" s="40"/>
      <c r="F503" s="40"/>
      <c r="G503" s="40"/>
      <c r="H503" s="40"/>
      <c r="I503" s="40"/>
      <c r="J503" s="40"/>
      <c r="K503" s="41"/>
    </row>
    <row r="504" spans="2:11" x14ac:dyDescent="0.2">
      <c r="B504" s="38"/>
      <c r="C504" s="179" t="s">
        <v>321</v>
      </c>
      <c r="D504" s="40"/>
      <c r="E504" s="40"/>
      <c r="F504" s="40"/>
      <c r="G504" s="40"/>
      <c r="H504" s="40"/>
      <c r="I504" s="40"/>
      <c r="J504" s="245">
        <f>IF(OR(J493="Not Calculated",J500="Not Calculated")=TRUE,"Not Calculated",AVERAGE(J493,J500))</f>
        <v>0</v>
      </c>
      <c r="K504" s="41"/>
    </row>
    <row r="505" spans="2:11" x14ac:dyDescent="0.2">
      <c r="B505" s="38"/>
      <c r="C505" s="40"/>
      <c r="D505" s="40"/>
      <c r="E505" s="40"/>
      <c r="F505" s="40"/>
      <c r="G505" s="40"/>
      <c r="H505" s="40"/>
      <c r="I505" s="40"/>
      <c r="J505" s="40"/>
      <c r="K505" s="41"/>
    </row>
    <row r="506" spans="2:11" x14ac:dyDescent="0.2">
      <c r="B506" s="38"/>
      <c r="C506" s="40"/>
      <c r="D506" s="40"/>
      <c r="E506" s="40"/>
      <c r="F506" s="40"/>
      <c r="G506" s="40"/>
      <c r="H506" s="40"/>
      <c r="I506" s="40"/>
      <c r="J506" s="40"/>
      <c r="K506" s="41"/>
    </row>
    <row r="507" spans="2:11" ht="16" x14ac:dyDescent="0.2">
      <c r="B507" s="38"/>
      <c r="C507" s="45" t="s">
        <v>314</v>
      </c>
      <c r="D507" s="40"/>
      <c r="E507" s="40"/>
      <c r="F507" s="40"/>
      <c r="G507" s="40"/>
      <c r="H507" s="40"/>
      <c r="I507" s="40"/>
      <c r="J507" s="40"/>
      <c r="K507" s="41"/>
    </row>
    <row r="508" spans="2:11" x14ac:dyDescent="0.2">
      <c r="B508" s="38"/>
      <c r="C508" s="40" t="s">
        <v>316</v>
      </c>
      <c r="D508" s="40"/>
      <c r="E508" s="40"/>
      <c r="F508" s="40"/>
      <c r="G508" s="40"/>
      <c r="H508" s="40"/>
      <c r="I508" s="40"/>
      <c r="J508" s="269">
        <v>0</v>
      </c>
      <c r="K508" s="41"/>
    </row>
    <row r="509" spans="2:11" x14ac:dyDescent="0.2">
      <c r="B509" s="38"/>
      <c r="C509" s="40" t="s">
        <v>260</v>
      </c>
      <c r="D509" s="40"/>
      <c r="E509" s="40"/>
      <c r="F509" s="40"/>
      <c r="G509" s="40"/>
      <c r="H509" s="40"/>
      <c r="I509" s="40"/>
      <c r="J509" s="248">
        <f>IF(J508&lt;=0,0,IF(J508&lt;=1000,1,IF(J508&lt;=5000,2,IF(J508&lt;=25000,3,4))))</f>
        <v>0</v>
      </c>
      <c r="K509" s="41"/>
    </row>
    <row r="510" spans="2:11" s="51" customFormat="1" ht="9.75" customHeight="1" x14ac:dyDescent="0.2">
      <c r="B510" s="283"/>
      <c r="C510" s="279" t="str">
        <f>"0:"</f>
        <v>0:</v>
      </c>
      <c r="D510" s="284" t="s">
        <v>960</v>
      </c>
      <c r="E510" s="285"/>
      <c r="F510" s="285"/>
      <c r="G510" s="285"/>
      <c r="H510" s="285"/>
      <c r="I510" s="285"/>
      <c r="J510" s="43"/>
      <c r="K510" s="286"/>
    </row>
    <row r="511" spans="2:11" s="51" customFormat="1" ht="9.75" customHeight="1" x14ac:dyDescent="0.2">
      <c r="B511" s="283"/>
      <c r="C511" s="280" t="str">
        <f>"1:"</f>
        <v>1:</v>
      </c>
      <c r="D511" s="284" t="s">
        <v>961</v>
      </c>
      <c r="E511" s="285"/>
      <c r="F511" s="285"/>
      <c r="G511" s="285"/>
      <c r="H511" s="285"/>
      <c r="I511" s="285"/>
      <c r="J511" s="43"/>
      <c r="K511" s="286"/>
    </row>
    <row r="512" spans="2:11" s="51" customFormat="1" ht="9.75" customHeight="1" x14ac:dyDescent="0.2">
      <c r="B512" s="283"/>
      <c r="C512" s="280" t="str">
        <f>"2:"</f>
        <v>2:</v>
      </c>
      <c r="D512" s="284" t="s">
        <v>962</v>
      </c>
      <c r="E512" s="285"/>
      <c r="F512" s="285"/>
      <c r="G512" s="285"/>
      <c r="H512" s="285"/>
      <c r="I512" s="285"/>
      <c r="J512" s="43"/>
      <c r="K512" s="286"/>
    </row>
    <row r="513" spans="2:11" s="51" customFormat="1" ht="9.75" customHeight="1" x14ac:dyDescent="0.2">
      <c r="B513" s="283"/>
      <c r="C513" s="280" t="str">
        <f>"3:"</f>
        <v>3:</v>
      </c>
      <c r="D513" s="284" t="s">
        <v>963</v>
      </c>
      <c r="E513" s="285"/>
      <c r="F513" s="285"/>
      <c r="G513" s="285"/>
      <c r="H513" s="285"/>
      <c r="I513" s="285"/>
      <c r="J513" s="43"/>
      <c r="K513" s="286"/>
    </row>
    <row r="514" spans="2:11" s="51" customFormat="1" ht="9.75" customHeight="1" x14ac:dyDescent="0.2">
      <c r="B514" s="283"/>
      <c r="C514" s="280" t="str">
        <f>"4:"</f>
        <v>4:</v>
      </c>
      <c r="D514" s="284" t="s">
        <v>964</v>
      </c>
      <c r="E514" s="285"/>
      <c r="F514" s="285"/>
      <c r="G514" s="285"/>
      <c r="H514" s="285"/>
      <c r="I514" s="285"/>
      <c r="J514" s="287"/>
      <c r="K514" s="286"/>
    </row>
    <row r="515" spans="2:11" x14ac:dyDescent="0.2">
      <c r="B515" s="38"/>
      <c r="C515" s="40" t="s">
        <v>315</v>
      </c>
      <c r="D515" s="40"/>
      <c r="E515" s="40"/>
      <c r="F515" s="40"/>
      <c r="G515" s="40"/>
      <c r="H515" s="40"/>
      <c r="I515" s="40"/>
      <c r="J515" s="266" t="s">
        <v>870</v>
      </c>
      <c r="K515" s="41"/>
    </row>
    <row r="516" spans="2:11" x14ac:dyDescent="0.2">
      <c r="B516" s="38"/>
      <c r="C516" s="40" t="s">
        <v>261</v>
      </c>
      <c r="D516" s="40"/>
      <c r="E516" s="40"/>
      <c r="F516" s="40"/>
      <c r="G516" s="40"/>
      <c r="H516" s="40"/>
      <c r="I516" s="40"/>
      <c r="J516" s="245">
        <f>IF(J515=$B$973,$A$973,IF(J515=$B$974,$A$974,IF(J515=$B$975,$A$975,IF(J515=$B$976,$A$976,IF(J515=$B$977,$A$977,"Not Calculated")))))</f>
        <v>0</v>
      </c>
      <c r="K516" s="41"/>
    </row>
    <row r="517" spans="2:11" x14ac:dyDescent="0.2">
      <c r="B517" s="38"/>
      <c r="C517" s="40" t="s">
        <v>893</v>
      </c>
      <c r="D517" s="40"/>
      <c r="E517" s="40"/>
      <c r="F517" s="40"/>
      <c r="G517" s="40"/>
      <c r="H517" s="40"/>
      <c r="I517" s="40"/>
      <c r="J517" s="40"/>
      <c r="K517" s="41"/>
    </row>
    <row r="518" spans="2:11" ht="30" customHeight="1" x14ac:dyDescent="0.2">
      <c r="B518" s="38"/>
      <c r="C518" s="399"/>
      <c r="D518" s="400"/>
      <c r="E518" s="400"/>
      <c r="F518" s="400"/>
      <c r="G518" s="400"/>
      <c r="H518" s="400"/>
      <c r="I518" s="400"/>
      <c r="J518" s="401"/>
      <c r="K518" s="41"/>
    </row>
    <row r="519" spans="2:11" x14ac:dyDescent="0.2">
      <c r="B519" s="38"/>
      <c r="C519" s="40"/>
      <c r="D519" s="40"/>
      <c r="E519" s="40"/>
      <c r="F519" s="40"/>
      <c r="G519" s="40"/>
      <c r="H519" s="40"/>
      <c r="I519" s="40"/>
      <c r="J519" s="40"/>
      <c r="K519" s="41"/>
    </row>
    <row r="520" spans="2:11" x14ac:dyDescent="0.2">
      <c r="B520" s="38"/>
      <c r="C520" s="179" t="s">
        <v>320</v>
      </c>
      <c r="D520" s="40"/>
      <c r="E520" s="40"/>
      <c r="F520" s="40"/>
      <c r="G520" s="40"/>
      <c r="H520" s="40"/>
      <c r="I520" s="40"/>
      <c r="J520" s="245">
        <f>IF(OR(J509="Not Calculated",J516="Not Calculated")=TRUE,"Not Calculated",AVERAGE(J509,J516))</f>
        <v>0</v>
      </c>
      <c r="K520" s="41"/>
    </row>
    <row r="521" spans="2:11" x14ac:dyDescent="0.2">
      <c r="B521" s="38"/>
      <c r="C521" s="40"/>
      <c r="D521" s="40"/>
      <c r="E521" s="40"/>
      <c r="F521" s="40"/>
      <c r="G521" s="40"/>
      <c r="H521" s="40"/>
      <c r="I521" s="40"/>
      <c r="J521" s="40"/>
      <c r="K521" s="41"/>
    </row>
    <row r="522" spans="2:11" x14ac:dyDescent="0.2">
      <c r="B522" s="38"/>
      <c r="C522" s="40"/>
      <c r="D522" s="40"/>
      <c r="E522" s="40"/>
      <c r="F522" s="40"/>
      <c r="G522" s="40"/>
      <c r="H522" s="40"/>
      <c r="I522" s="40"/>
      <c r="J522" s="40"/>
      <c r="K522" s="41"/>
    </row>
    <row r="523" spans="2:11" ht="16" x14ac:dyDescent="0.2">
      <c r="B523" s="38"/>
      <c r="C523" s="45" t="s">
        <v>317</v>
      </c>
      <c r="D523" s="40"/>
      <c r="E523" s="40"/>
      <c r="F523" s="40"/>
      <c r="G523" s="40"/>
      <c r="H523" s="40"/>
      <c r="I523" s="40"/>
      <c r="J523" s="40"/>
      <c r="K523" s="41"/>
    </row>
    <row r="524" spans="2:11" ht="15" customHeight="1" x14ac:dyDescent="0.2">
      <c r="B524" s="38"/>
      <c r="C524" s="380" t="s">
        <v>318</v>
      </c>
      <c r="D524" s="380"/>
      <c r="E524" s="380"/>
      <c r="F524" s="380"/>
      <c r="G524" s="380"/>
      <c r="H524" s="380"/>
      <c r="I524" s="380"/>
      <c r="J524" s="40"/>
      <c r="K524" s="41"/>
    </row>
    <row r="525" spans="2:11" x14ac:dyDescent="0.2">
      <c r="B525" s="38"/>
      <c r="C525" s="380"/>
      <c r="D525" s="380"/>
      <c r="E525" s="380"/>
      <c r="F525" s="380"/>
      <c r="G525" s="380"/>
      <c r="H525" s="380"/>
      <c r="I525" s="380"/>
      <c r="J525" s="274">
        <v>0</v>
      </c>
      <c r="K525" s="41"/>
    </row>
    <row r="526" spans="2:11" x14ac:dyDescent="0.2">
      <c r="B526" s="38"/>
      <c r="C526" s="40" t="s">
        <v>260</v>
      </c>
      <c r="D526" s="40"/>
      <c r="E526" s="40"/>
      <c r="F526" s="40"/>
      <c r="G526" s="40"/>
      <c r="H526" s="40"/>
      <c r="I526" s="40"/>
      <c r="J526" s="248">
        <f>IF(J525&lt;=0,0,IF(J525&lt;=1,1,IF(J525&lt;=5,2,IF(J525&lt;=10,3,4))))</f>
        <v>0</v>
      </c>
      <c r="K526" s="41"/>
    </row>
    <row r="527" spans="2:11" s="51" customFormat="1" ht="9.75" customHeight="1" x14ac:dyDescent="0.2">
      <c r="B527" s="283"/>
      <c r="C527" s="279" t="str">
        <f>"0:"</f>
        <v>0:</v>
      </c>
      <c r="D527" s="284" t="s">
        <v>965</v>
      </c>
      <c r="E527" s="285"/>
      <c r="F527" s="285"/>
      <c r="G527" s="285"/>
      <c r="H527" s="285"/>
      <c r="I527" s="285"/>
      <c r="J527" s="43"/>
      <c r="K527" s="286"/>
    </row>
    <row r="528" spans="2:11" s="51" customFormat="1" ht="9.75" customHeight="1" x14ac:dyDescent="0.2">
      <c r="B528" s="283"/>
      <c r="C528" s="280" t="str">
        <f>"1:"</f>
        <v>1:</v>
      </c>
      <c r="D528" s="284" t="s">
        <v>966</v>
      </c>
      <c r="E528" s="285"/>
      <c r="F528" s="285"/>
      <c r="G528" s="285"/>
      <c r="H528" s="285"/>
      <c r="I528" s="285"/>
      <c r="J528" s="43"/>
      <c r="K528" s="286"/>
    </row>
    <row r="529" spans="2:11" s="51" customFormat="1" ht="9.75" customHeight="1" x14ac:dyDescent="0.2">
      <c r="B529" s="283"/>
      <c r="C529" s="280" t="str">
        <f>"2:"</f>
        <v>2:</v>
      </c>
      <c r="D529" s="284" t="s">
        <v>967</v>
      </c>
      <c r="E529" s="285"/>
      <c r="F529" s="285"/>
      <c r="G529" s="285"/>
      <c r="H529" s="285"/>
      <c r="I529" s="285"/>
      <c r="J529" s="43"/>
      <c r="K529" s="286"/>
    </row>
    <row r="530" spans="2:11" s="51" customFormat="1" ht="9.75" customHeight="1" x14ac:dyDescent="0.2">
      <c r="B530" s="283"/>
      <c r="C530" s="280" t="str">
        <f>"3:"</f>
        <v>3:</v>
      </c>
      <c r="D530" s="284" t="s">
        <v>968</v>
      </c>
      <c r="E530" s="285"/>
      <c r="F530" s="285"/>
      <c r="G530" s="285"/>
      <c r="H530" s="285"/>
      <c r="I530" s="285"/>
      <c r="J530" s="43"/>
      <c r="K530" s="286"/>
    </row>
    <row r="531" spans="2:11" s="51" customFormat="1" ht="9.75" customHeight="1" x14ac:dyDescent="0.2">
      <c r="B531" s="283"/>
      <c r="C531" s="280" t="str">
        <f>"4:"</f>
        <v>4:</v>
      </c>
      <c r="D531" s="284" t="s">
        <v>969</v>
      </c>
      <c r="E531" s="285"/>
      <c r="F531" s="285"/>
      <c r="G531" s="285"/>
      <c r="H531" s="285"/>
      <c r="I531" s="285"/>
      <c r="J531" s="287"/>
      <c r="K531" s="286"/>
    </row>
    <row r="532" spans="2:11" x14ac:dyDescent="0.2">
      <c r="B532" s="38"/>
      <c r="C532" s="40" t="s">
        <v>257</v>
      </c>
      <c r="D532" s="40"/>
      <c r="E532" s="40"/>
      <c r="F532" s="40"/>
      <c r="G532" s="40"/>
      <c r="H532" s="40"/>
      <c r="I532" s="40"/>
      <c r="J532" s="266" t="s">
        <v>870</v>
      </c>
      <c r="K532" s="41"/>
    </row>
    <row r="533" spans="2:11" x14ac:dyDescent="0.2">
      <c r="B533" s="38"/>
      <c r="C533" s="40" t="s">
        <v>261</v>
      </c>
      <c r="D533" s="40"/>
      <c r="E533" s="40"/>
      <c r="F533" s="40"/>
      <c r="G533" s="40"/>
      <c r="H533" s="40"/>
      <c r="I533" s="40"/>
      <c r="J533" s="245">
        <f>IF(J532=$B$973,$A$973,IF(J532=$B$974,$A$974,IF(J532=$B$975,$A$975,IF(J532=$B$976,$A$976,IF(J532=$B$977,$A$977,"Not Calculated")))))</f>
        <v>0</v>
      </c>
      <c r="K533" s="41"/>
    </row>
    <row r="534" spans="2:11" x14ac:dyDescent="0.2">
      <c r="B534" s="38"/>
      <c r="C534" s="40" t="s">
        <v>893</v>
      </c>
      <c r="D534" s="40"/>
      <c r="E534" s="40"/>
      <c r="F534" s="40"/>
      <c r="G534" s="40"/>
      <c r="H534" s="40"/>
      <c r="I534" s="40"/>
      <c r="J534" s="40"/>
      <c r="K534" s="41"/>
    </row>
    <row r="535" spans="2:11" ht="30" customHeight="1" x14ac:dyDescent="0.2">
      <c r="B535" s="38"/>
      <c r="C535" s="399"/>
      <c r="D535" s="400"/>
      <c r="E535" s="400"/>
      <c r="F535" s="400"/>
      <c r="G535" s="400"/>
      <c r="H535" s="400"/>
      <c r="I535" s="400"/>
      <c r="J535" s="401"/>
      <c r="K535" s="41"/>
    </row>
    <row r="536" spans="2:11" x14ac:dyDescent="0.2">
      <c r="B536" s="38"/>
      <c r="C536" s="40"/>
      <c r="D536" s="40"/>
      <c r="E536" s="40"/>
      <c r="F536" s="40"/>
      <c r="G536" s="40"/>
      <c r="H536" s="40"/>
      <c r="I536" s="40"/>
      <c r="J536" s="40"/>
      <c r="K536" s="41"/>
    </row>
    <row r="537" spans="2:11" x14ac:dyDescent="0.2">
      <c r="B537" s="38"/>
      <c r="C537" s="179" t="s">
        <v>319</v>
      </c>
      <c r="D537" s="40"/>
      <c r="E537" s="40"/>
      <c r="F537" s="40"/>
      <c r="G537" s="40"/>
      <c r="H537" s="40"/>
      <c r="I537" s="40"/>
      <c r="J537" s="245">
        <f>IF(OR(J526="Not Calculated",J533="Not Calculated")=TRUE,"Not Calculated",AVERAGE(J526,J533))</f>
        <v>0</v>
      </c>
      <c r="K537" s="41"/>
    </row>
    <row r="538" spans="2:11" x14ac:dyDescent="0.2">
      <c r="B538" s="38"/>
      <c r="C538" s="40"/>
      <c r="D538" s="40"/>
      <c r="E538" s="40"/>
      <c r="F538" s="40"/>
      <c r="G538" s="40"/>
      <c r="H538" s="40"/>
      <c r="I538" s="40"/>
      <c r="J538" s="40"/>
      <c r="K538" s="41"/>
    </row>
    <row r="539" spans="2:11" ht="18" x14ac:dyDescent="0.2">
      <c r="B539" s="38"/>
      <c r="C539" s="180" t="s">
        <v>302</v>
      </c>
      <c r="D539" s="40"/>
      <c r="E539" s="40"/>
      <c r="F539" s="40"/>
      <c r="G539" s="40"/>
      <c r="H539" s="40"/>
      <c r="I539" s="40"/>
      <c r="J539" s="244">
        <f>IF(OR(J440="Not Calculated",J457="Not Calculated",J473="Not Calculated",J488="Not Calculated",J504="Not Calculated",J520="Not Calculated",J537="Not Calculated")=TRUE,"Not Calculated",AVERAGE(J440,J457,J473,J488,J504,J520,J537))</f>
        <v>0.2857142857142857</v>
      </c>
      <c r="K539" s="41"/>
    </row>
    <row r="540" spans="2:11" ht="16" thickBot="1" x14ac:dyDescent="0.25">
      <c r="B540" s="46"/>
      <c r="C540" s="47"/>
      <c r="D540" s="47"/>
      <c r="E540" s="47"/>
      <c r="F540" s="47"/>
      <c r="G540" s="47"/>
      <c r="H540" s="47"/>
      <c r="I540" s="47"/>
      <c r="J540" s="47"/>
      <c r="K540" s="49"/>
    </row>
    <row r="541" spans="2:11" ht="16" thickBot="1" x14ac:dyDescent="0.25"/>
    <row r="542" spans="2:11" x14ac:dyDescent="0.2">
      <c r="B542" s="33"/>
      <c r="C542" s="34"/>
      <c r="D542" s="34"/>
      <c r="E542" s="34"/>
      <c r="F542" s="34"/>
      <c r="G542" s="34"/>
      <c r="H542" s="34"/>
      <c r="I542" s="34"/>
      <c r="J542" s="34"/>
      <c r="K542" s="37"/>
    </row>
    <row r="543" spans="2:11" ht="21" x14ac:dyDescent="0.25">
      <c r="B543" s="38"/>
      <c r="C543" s="40"/>
      <c r="D543" s="40"/>
      <c r="E543" s="40"/>
      <c r="F543" s="40"/>
      <c r="G543" s="172" t="s">
        <v>29</v>
      </c>
      <c r="H543" s="40"/>
      <c r="I543" s="40"/>
      <c r="J543" s="40"/>
      <c r="K543" s="41"/>
    </row>
    <row r="544" spans="2:11" ht="15" customHeight="1" x14ac:dyDescent="0.2">
      <c r="B544" s="38"/>
      <c r="C544" s="40"/>
      <c r="D544" s="40"/>
      <c r="E544" s="40"/>
      <c r="F544" s="40"/>
      <c r="G544" s="40"/>
      <c r="H544" s="40"/>
      <c r="I544" s="40"/>
      <c r="J544" s="40"/>
      <c r="K544" s="41"/>
    </row>
    <row r="545" spans="2:14" ht="16" x14ac:dyDescent="0.2">
      <c r="B545" s="38"/>
      <c r="C545" s="45" t="s">
        <v>88</v>
      </c>
      <c r="D545" s="40"/>
      <c r="E545" s="40"/>
      <c r="F545" s="40"/>
      <c r="G545" s="40"/>
      <c r="H545" s="40"/>
      <c r="I545" s="40"/>
      <c r="J545" s="40"/>
      <c r="K545" s="41"/>
    </row>
    <row r="546" spans="2:14" x14ac:dyDescent="0.2">
      <c r="B546" s="38"/>
      <c r="C546" s="40" t="s">
        <v>448</v>
      </c>
      <c r="D546" s="40"/>
      <c r="E546" s="40"/>
      <c r="F546" s="40"/>
      <c r="G546" s="40"/>
      <c r="H546" s="40"/>
      <c r="I546" s="40"/>
      <c r="J546" s="251">
        <f>'Baseline Health'!G123</f>
        <v>0</v>
      </c>
      <c r="K546" s="41"/>
    </row>
    <row r="547" spans="2:14" x14ac:dyDescent="0.2">
      <c r="B547" s="38"/>
      <c r="C547" s="40" t="s">
        <v>322</v>
      </c>
      <c r="D547" s="40"/>
      <c r="E547" s="40"/>
      <c r="F547" s="40"/>
      <c r="G547" s="40"/>
      <c r="H547" s="40"/>
      <c r="I547" s="40"/>
      <c r="J547" s="264">
        <v>0</v>
      </c>
      <c r="K547" s="41"/>
    </row>
    <row r="548" spans="2:14" x14ac:dyDescent="0.2">
      <c r="B548" s="38"/>
      <c r="C548" s="40" t="s">
        <v>428</v>
      </c>
      <c r="D548" s="40"/>
      <c r="E548" s="40"/>
      <c r="F548" s="40"/>
      <c r="G548" s="40"/>
      <c r="H548" s="40"/>
      <c r="I548" s="40"/>
      <c r="J548" s="264">
        <v>0</v>
      </c>
      <c r="K548" s="41"/>
    </row>
    <row r="549" spans="2:14" x14ac:dyDescent="0.2">
      <c r="B549" s="38"/>
      <c r="C549" s="40" t="s">
        <v>260</v>
      </c>
      <c r="D549" s="40"/>
      <c r="E549" s="40"/>
      <c r="F549" s="40"/>
      <c r="G549" s="40"/>
      <c r="H549" s="40"/>
      <c r="I549" s="40"/>
      <c r="J549" s="245" t="str">
        <f>IF(OR(J546=0,J546="Not Calculated")=TRUE,"Not Calculated",IF(J546-J547=0,4,(IF(((J546+J548)/(J546-J547))&lt;=1,0,IF(((J546+J548)/(J546-J547))&lt;=1.05,1,IF(((J546+J548)/(J546-J547))&lt;=1.5, 2,IF(((J546+J548)/(J546-J547))&lt;=2,3,4)))))))</f>
        <v>Not Calculated</v>
      </c>
      <c r="K549" s="41"/>
    </row>
    <row r="550" spans="2:14" ht="9.75" customHeight="1" x14ac:dyDescent="0.2">
      <c r="B550" s="38"/>
      <c r="C550" s="279" t="str">
        <f>"0:"</f>
        <v>0:</v>
      </c>
      <c r="D550" s="278" t="s">
        <v>918</v>
      </c>
      <c r="E550" s="40"/>
      <c r="F550" s="40"/>
      <c r="G550" s="40"/>
      <c r="H550" s="40"/>
      <c r="I550" s="40"/>
      <c r="J550" s="251"/>
      <c r="K550" s="41"/>
    </row>
    <row r="551" spans="2:14" ht="9.75" customHeight="1" x14ac:dyDescent="0.2">
      <c r="B551" s="38"/>
      <c r="C551" s="280" t="str">
        <f>"1:"</f>
        <v>1:</v>
      </c>
      <c r="D551" s="278" t="s">
        <v>923</v>
      </c>
      <c r="E551" s="40"/>
      <c r="F551" s="40"/>
      <c r="G551" s="40"/>
      <c r="H551" s="40"/>
      <c r="I551" s="40"/>
      <c r="J551" s="251"/>
      <c r="K551" s="41"/>
    </row>
    <row r="552" spans="2:14" ht="9.75" customHeight="1" x14ac:dyDescent="0.2">
      <c r="B552" s="38"/>
      <c r="C552" s="280" t="str">
        <f>"2:"</f>
        <v>2:</v>
      </c>
      <c r="D552" s="278" t="s">
        <v>924</v>
      </c>
      <c r="E552" s="40"/>
      <c r="F552" s="40"/>
      <c r="G552" s="40"/>
      <c r="H552" s="40"/>
      <c r="I552" s="40"/>
      <c r="J552" s="251"/>
      <c r="K552" s="41"/>
    </row>
    <row r="553" spans="2:14" ht="9.75" customHeight="1" x14ac:dyDescent="0.2">
      <c r="B553" s="38"/>
      <c r="C553" s="280" t="str">
        <f>"3:"</f>
        <v>3:</v>
      </c>
      <c r="D553" s="278" t="s">
        <v>925</v>
      </c>
      <c r="E553" s="40"/>
      <c r="F553" s="40"/>
      <c r="G553" s="40"/>
      <c r="H553" s="40"/>
      <c r="I553" s="40"/>
      <c r="J553" s="251"/>
      <c r="K553" s="41"/>
    </row>
    <row r="554" spans="2:14" ht="9.75" customHeight="1" x14ac:dyDescent="0.2">
      <c r="B554" s="38"/>
      <c r="C554" s="280" t="str">
        <f>"4:"</f>
        <v>4:</v>
      </c>
      <c r="D554" s="278" t="s">
        <v>926</v>
      </c>
      <c r="E554" s="40"/>
      <c r="F554" s="40"/>
      <c r="G554" s="40"/>
      <c r="H554" s="40"/>
      <c r="I554" s="40"/>
      <c r="J554" s="40"/>
      <c r="K554" s="41"/>
      <c r="N554" s="12" t="s">
        <v>661</v>
      </c>
    </row>
    <row r="555" spans="2:14" x14ac:dyDescent="0.2">
      <c r="B555" s="38"/>
      <c r="C555" s="174" t="s">
        <v>662</v>
      </c>
      <c r="D555" s="40"/>
      <c r="E555" s="40"/>
      <c r="F555" s="40"/>
      <c r="G555" s="40"/>
      <c r="H555" s="40"/>
      <c r="I555" s="40"/>
      <c r="J555" s="265" t="s">
        <v>661</v>
      </c>
      <c r="K555" s="41"/>
      <c r="N555" s="12" t="s">
        <v>894</v>
      </c>
    </row>
    <row r="556" spans="2:14" x14ac:dyDescent="0.2">
      <c r="B556" s="38"/>
      <c r="C556" s="174" t="s">
        <v>660</v>
      </c>
      <c r="D556" s="40"/>
      <c r="E556" s="40"/>
      <c r="F556" s="40"/>
      <c r="G556" s="40"/>
      <c r="H556" s="40"/>
      <c r="I556" s="40"/>
      <c r="J556" s="247" t="str">
        <f>IF(J555=N554,"N/A",IF(J555=N555,0,IF(J555=N556,1,IF(J555=N557,2,IF(J555=N558,3,IF(J555=N559,4,"N/A"))))))</f>
        <v>N/A</v>
      </c>
      <c r="K556" s="41"/>
      <c r="N556" s="12" t="s">
        <v>899</v>
      </c>
    </row>
    <row r="557" spans="2:14" x14ac:dyDescent="0.2">
      <c r="B557" s="38"/>
      <c r="C557" s="40" t="s">
        <v>257</v>
      </c>
      <c r="D557" s="40"/>
      <c r="E557" s="40"/>
      <c r="F557" s="40"/>
      <c r="G557" s="40"/>
      <c r="H557" s="40"/>
      <c r="I557" s="40"/>
      <c r="J557" s="266" t="s">
        <v>870</v>
      </c>
      <c r="K557" s="41"/>
      <c r="N557" s="12" t="s">
        <v>900</v>
      </c>
    </row>
    <row r="558" spans="2:14" x14ac:dyDescent="0.2">
      <c r="B558" s="38"/>
      <c r="C558" s="40" t="s">
        <v>261</v>
      </c>
      <c r="D558" s="40"/>
      <c r="E558" s="40"/>
      <c r="F558" s="40"/>
      <c r="G558" s="40"/>
      <c r="H558" s="40"/>
      <c r="I558" s="40"/>
      <c r="J558" s="245">
        <f>IF(J557=$B$973,$A$973,IF(J557=$B$974,$A$974,IF(J557=$B$975,$A$975,IF(J557=$B$976,$A$976,IF(J557=$B$977,$A$977,"Not Calculated")))))</f>
        <v>0</v>
      </c>
      <c r="K558" s="41"/>
      <c r="N558" s="12" t="s">
        <v>901</v>
      </c>
    </row>
    <row r="559" spans="2:14" x14ac:dyDescent="0.2">
      <c r="B559" s="38"/>
      <c r="C559" s="40" t="s">
        <v>893</v>
      </c>
      <c r="D559" s="40"/>
      <c r="E559" s="40"/>
      <c r="F559" s="40"/>
      <c r="G559" s="40"/>
      <c r="H559" s="40"/>
      <c r="I559" s="40"/>
      <c r="J559" s="40"/>
      <c r="K559" s="41"/>
      <c r="N559" s="12" t="s">
        <v>902</v>
      </c>
    </row>
    <row r="560" spans="2:14" ht="30" customHeight="1" x14ac:dyDescent="0.2">
      <c r="B560" s="38"/>
      <c r="C560" s="399"/>
      <c r="D560" s="400"/>
      <c r="E560" s="400"/>
      <c r="F560" s="400"/>
      <c r="G560" s="400"/>
      <c r="H560" s="400"/>
      <c r="I560" s="400"/>
      <c r="J560" s="401"/>
      <c r="K560" s="41"/>
    </row>
    <row r="561" spans="2:11" x14ac:dyDescent="0.2">
      <c r="B561" s="38"/>
      <c r="C561" s="40"/>
      <c r="D561" s="40"/>
      <c r="E561" s="40"/>
      <c r="F561" s="40"/>
      <c r="G561" s="40"/>
      <c r="H561" s="40"/>
      <c r="I561" s="40"/>
      <c r="J561" s="40"/>
      <c r="K561" s="41"/>
    </row>
    <row r="562" spans="2:11" x14ac:dyDescent="0.2">
      <c r="B562" s="38"/>
      <c r="C562" s="179" t="s">
        <v>323</v>
      </c>
      <c r="D562" s="40"/>
      <c r="E562" s="40"/>
      <c r="F562" s="40"/>
      <c r="G562" s="40"/>
      <c r="H562" s="40"/>
      <c r="I562" s="40"/>
      <c r="J562" s="245" t="str">
        <f>IF(J556="N/A",IF(OR(J549="Not Calculated",J558="Not Calculated")=TRUE,"Not Calculated",AVERAGE(J549,J558)),AVERAGE(J556,J558))</f>
        <v>Not Calculated</v>
      </c>
      <c r="K562" s="41"/>
    </row>
    <row r="563" spans="2:11" x14ac:dyDescent="0.2">
      <c r="B563" s="38"/>
      <c r="C563" s="40"/>
      <c r="D563" s="40"/>
      <c r="E563" s="40"/>
      <c r="F563" s="40"/>
      <c r="G563" s="40"/>
      <c r="H563" s="40"/>
      <c r="I563" s="40"/>
      <c r="J563" s="40"/>
      <c r="K563" s="41"/>
    </row>
    <row r="564" spans="2:11" x14ac:dyDescent="0.2">
      <c r="B564" s="38"/>
      <c r="C564" s="40"/>
      <c r="D564" s="40"/>
      <c r="E564" s="40"/>
      <c r="F564" s="40"/>
      <c r="G564" s="40"/>
      <c r="H564" s="40"/>
      <c r="I564" s="40"/>
      <c r="J564" s="40"/>
      <c r="K564" s="41"/>
    </row>
    <row r="565" spans="2:11" ht="16" x14ac:dyDescent="0.2">
      <c r="B565" s="38"/>
      <c r="C565" s="45" t="s">
        <v>89</v>
      </c>
      <c r="D565" s="40"/>
      <c r="E565" s="40"/>
      <c r="F565" s="40"/>
      <c r="G565" s="40"/>
      <c r="H565" s="40"/>
      <c r="I565" s="40"/>
      <c r="J565" s="40"/>
      <c r="K565" s="41"/>
    </row>
    <row r="566" spans="2:11" ht="15" customHeight="1" x14ac:dyDescent="0.2">
      <c r="B566" s="38"/>
      <c r="C566" s="380" t="s">
        <v>333</v>
      </c>
      <c r="D566" s="380"/>
      <c r="E566" s="380"/>
      <c r="F566" s="380"/>
      <c r="G566" s="380"/>
      <c r="H566" s="380"/>
      <c r="I566" s="380"/>
      <c r="J566" s="40"/>
      <c r="K566" s="41"/>
    </row>
    <row r="567" spans="2:11" x14ac:dyDescent="0.2">
      <c r="B567" s="38"/>
      <c r="C567" s="380"/>
      <c r="D567" s="380"/>
      <c r="E567" s="380"/>
      <c r="F567" s="380"/>
      <c r="G567" s="380"/>
      <c r="H567" s="380"/>
      <c r="I567" s="380"/>
      <c r="J567" s="40"/>
      <c r="K567" s="41"/>
    </row>
    <row r="568" spans="2:11" x14ac:dyDescent="0.2">
      <c r="B568" s="38"/>
      <c r="C568" s="380"/>
      <c r="D568" s="380"/>
      <c r="E568" s="380"/>
      <c r="F568" s="380"/>
      <c r="G568" s="380"/>
      <c r="H568" s="380"/>
      <c r="I568" s="380"/>
      <c r="J568" s="251">
        <f>'Baseline Health'!G132</f>
        <v>0</v>
      </c>
      <c r="K568" s="41"/>
    </row>
    <row r="569" spans="2:11" ht="15" customHeight="1" x14ac:dyDescent="0.2">
      <c r="B569" s="38"/>
      <c r="C569" s="380" t="s">
        <v>334</v>
      </c>
      <c r="D569" s="380"/>
      <c r="E569" s="380"/>
      <c r="F569" s="380"/>
      <c r="G569" s="380"/>
      <c r="H569" s="380"/>
      <c r="I569" s="380"/>
      <c r="J569" s="245"/>
      <c r="K569" s="41"/>
    </row>
    <row r="570" spans="2:11" x14ac:dyDescent="0.2">
      <c r="B570" s="38"/>
      <c r="C570" s="380"/>
      <c r="D570" s="380"/>
      <c r="E570" s="380"/>
      <c r="F570" s="380"/>
      <c r="G570" s="380"/>
      <c r="H570" s="380"/>
      <c r="I570" s="380"/>
      <c r="J570" s="245"/>
      <c r="K570" s="41"/>
    </row>
    <row r="571" spans="2:11" x14ac:dyDescent="0.2">
      <c r="B571" s="38"/>
      <c r="C571" s="380"/>
      <c r="D571" s="380"/>
      <c r="E571" s="380"/>
      <c r="F571" s="380"/>
      <c r="G571" s="380"/>
      <c r="H571" s="380"/>
      <c r="I571" s="380"/>
      <c r="J571" s="264">
        <v>0</v>
      </c>
      <c r="K571" s="41"/>
    </row>
    <row r="572" spans="2:11" x14ac:dyDescent="0.2">
      <c r="B572" s="38"/>
      <c r="C572" s="40" t="s">
        <v>260</v>
      </c>
      <c r="D572" s="40"/>
      <c r="E572" s="40"/>
      <c r="F572" s="40"/>
      <c r="G572" s="40"/>
      <c r="H572" s="40"/>
      <c r="I572" s="40"/>
      <c r="J572" s="245" t="str">
        <f>IF(OR(J568=0,J568="Not Calculated")=TRUE,"Not Calculated",IF(((J568+J571)/J568)&lt;=1,0,IF(((J568+J571)/J568)&lt;=1.05,1,IF(((J568+J571)/J568)&lt;=1.5, 2,IF(((J568+J571)/J568)&lt;=2,3,4)))))</f>
        <v>Not Calculated</v>
      </c>
      <c r="K572" s="41"/>
    </row>
    <row r="573" spans="2:11" ht="9.75" customHeight="1" x14ac:dyDescent="0.2">
      <c r="B573" s="38"/>
      <c r="C573" s="279" t="str">
        <f>"0:"</f>
        <v>0:</v>
      </c>
      <c r="D573" s="281" t="s">
        <v>918</v>
      </c>
      <c r="E573" s="291"/>
      <c r="F573" s="291"/>
      <c r="G573" s="291"/>
      <c r="H573" s="291"/>
      <c r="I573" s="291"/>
      <c r="J573" s="251"/>
      <c r="K573" s="41"/>
    </row>
    <row r="574" spans="2:11" ht="9.75" customHeight="1" x14ac:dyDescent="0.2">
      <c r="B574" s="38"/>
      <c r="C574" s="280" t="str">
        <f>"1:"</f>
        <v>1:</v>
      </c>
      <c r="D574" s="281" t="s">
        <v>919</v>
      </c>
      <c r="E574" s="291"/>
      <c r="F574" s="291"/>
      <c r="G574" s="291"/>
      <c r="H574" s="291"/>
      <c r="I574" s="291"/>
      <c r="J574" s="251"/>
      <c r="K574" s="41"/>
    </row>
    <row r="575" spans="2:11" ht="9.75" customHeight="1" x14ac:dyDescent="0.2">
      <c r="B575" s="38"/>
      <c r="C575" s="280" t="str">
        <f>"2:"</f>
        <v>2:</v>
      </c>
      <c r="D575" s="281" t="s">
        <v>920</v>
      </c>
      <c r="E575" s="291"/>
      <c r="F575" s="291"/>
      <c r="G575" s="291"/>
      <c r="H575" s="291"/>
      <c r="I575" s="291"/>
      <c r="J575" s="251"/>
      <c r="K575" s="41"/>
    </row>
    <row r="576" spans="2:11" ht="9.75" customHeight="1" x14ac:dyDescent="0.2">
      <c r="B576" s="38"/>
      <c r="C576" s="280" t="str">
        <f>"3:"</f>
        <v>3:</v>
      </c>
      <c r="D576" s="281" t="s">
        <v>921</v>
      </c>
      <c r="E576" s="291"/>
      <c r="F576" s="291"/>
      <c r="G576" s="291"/>
      <c r="H576" s="291"/>
      <c r="I576" s="291"/>
      <c r="J576" s="251"/>
      <c r="K576" s="41"/>
    </row>
    <row r="577" spans="2:14" ht="9.75" customHeight="1" x14ac:dyDescent="0.2">
      <c r="B577" s="38"/>
      <c r="C577" s="280" t="str">
        <f>"4:"</f>
        <v>4:</v>
      </c>
      <c r="D577" s="281" t="s">
        <v>922</v>
      </c>
      <c r="E577" s="40"/>
      <c r="F577" s="40"/>
      <c r="G577" s="40"/>
      <c r="H577" s="40"/>
      <c r="I577" s="40"/>
      <c r="J577" s="40"/>
      <c r="K577" s="41"/>
      <c r="N577" s="12" t="s">
        <v>661</v>
      </c>
    </row>
    <row r="578" spans="2:14" ht="15" customHeight="1" x14ac:dyDescent="0.2">
      <c r="B578" s="38"/>
      <c r="C578" s="174" t="s">
        <v>662</v>
      </c>
      <c r="D578" s="40"/>
      <c r="E578" s="40"/>
      <c r="F578" s="40"/>
      <c r="G578" s="40"/>
      <c r="H578" s="40"/>
      <c r="I578" s="40"/>
      <c r="J578" s="265" t="s">
        <v>661</v>
      </c>
      <c r="K578" s="41"/>
      <c r="N578" s="12" t="s">
        <v>894</v>
      </c>
    </row>
    <row r="579" spans="2:14" ht="15" customHeight="1" x14ac:dyDescent="0.2">
      <c r="B579" s="38"/>
      <c r="C579" s="174" t="s">
        <v>660</v>
      </c>
      <c r="D579" s="40"/>
      <c r="E579" s="40"/>
      <c r="F579" s="40"/>
      <c r="G579" s="40"/>
      <c r="H579" s="40"/>
      <c r="I579" s="40"/>
      <c r="J579" s="247" t="str">
        <f>IF(J578=N577,"N/A",IF(J578=N578,0,IF(J578=N579,1,IF(J578=N580,2,IF(J578=N581,3,IF(J578=N582,4,"N/A"))))))</f>
        <v>N/A</v>
      </c>
      <c r="K579" s="41"/>
      <c r="N579" s="12" t="s">
        <v>895</v>
      </c>
    </row>
    <row r="580" spans="2:14" x14ac:dyDescent="0.2">
      <c r="B580" s="38"/>
      <c r="C580" s="40" t="s">
        <v>257</v>
      </c>
      <c r="D580" s="40"/>
      <c r="E580" s="40"/>
      <c r="F580" s="40"/>
      <c r="G580" s="40"/>
      <c r="H580" s="40"/>
      <c r="I580" s="40"/>
      <c r="J580" s="266" t="s">
        <v>870</v>
      </c>
      <c r="K580" s="41"/>
      <c r="N580" s="12" t="s">
        <v>896</v>
      </c>
    </row>
    <row r="581" spans="2:14" x14ac:dyDescent="0.2">
      <c r="B581" s="38"/>
      <c r="C581" s="40" t="s">
        <v>261</v>
      </c>
      <c r="D581" s="40"/>
      <c r="E581" s="40"/>
      <c r="F581" s="40"/>
      <c r="G581" s="40"/>
      <c r="H581" s="40"/>
      <c r="I581" s="40"/>
      <c r="J581" s="245">
        <f>IF(J580=$B$973,$A$973,IF(J580=$B$974,$A$974,IF(J580=$B$975,$A$975,IF(J580=$B$976,$A$976,IF(J580=$B$977,$A$977,"Not Calculated")))))</f>
        <v>0</v>
      </c>
      <c r="K581" s="41"/>
      <c r="N581" s="12" t="s">
        <v>897</v>
      </c>
    </row>
    <row r="582" spans="2:14" x14ac:dyDescent="0.2">
      <c r="B582" s="38"/>
      <c r="C582" s="40" t="s">
        <v>893</v>
      </c>
      <c r="D582" s="40"/>
      <c r="E582" s="40"/>
      <c r="F582" s="40"/>
      <c r="G582" s="40"/>
      <c r="H582" s="40"/>
      <c r="I582" s="40"/>
      <c r="J582" s="40"/>
      <c r="K582" s="41"/>
      <c r="N582" s="12" t="s">
        <v>898</v>
      </c>
    </row>
    <row r="583" spans="2:14" ht="30" customHeight="1" x14ac:dyDescent="0.2">
      <c r="B583" s="38"/>
      <c r="C583" s="399"/>
      <c r="D583" s="400"/>
      <c r="E583" s="400"/>
      <c r="F583" s="400"/>
      <c r="G583" s="400"/>
      <c r="H583" s="400"/>
      <c r="I583" s="400"/>
      <c r="J583" s="401"/>
      <c r="K583" s="41"/>
    </row>
    <row r="584" spans="2:14" x14ac:dyDescent="0.2">
      <c r="B584" s="38"/>
      <c r="C584" s="40"/>
      <c r="D584" s="40"/>
      <c r="E584" s="40"/>
      <c r="F584" s="40"/>
      <c r="G584" s="40"/>
      <c r="H584" s="40"/>
      <c r="I584" s="40"/>
      <c r="J584" s="40"/>
      <c r="K584" s="41"/>
    </row>
    <row r="585" spans="2:14" x14ac:dyDescent="0.2">
      <c r="B585" s="38"/>
      <c r="C585" s="179" t="s">
        <v>324</v>
      </c>
      <c r="D585" s="40"/>
      <c r="E585" s="40"/>
      <c r="F585" s="40"/>
      <c r="G585" s="40"/>
      <c r="H585" s="40"/>
      <c r="I585" s="40"/>
      <c r="J585" s="245" t="str">
        <f>IF(J579="N/A",IF(OR(J572="Not Calculated",J581="Not Calculated")=TRUE,"Not Calculated",AVERAGE(J572,J581)),AVERAGE(J579,J581))</f>
        <v>Not Calculated</v>
      </c>
      <c r="K585" s="41"/>
    </row>
    <row r="586" spans="2:14" x14ac:dyDescent="0.2">
      <c r="B586" s="38"/>
      <c r="C586" s="40"/>
      <c r="D586" s="40"/>
      <c r="E586" s="40"/>
      <c r="F586" s="40"/>
      <c r="G586" s="40"/>
      <c r="H586" s="40"/>
      <c r="I586" s="40"/>
      <c r="J586" s="40"/>
      <c r="K586" s="41"/>
    </row>
    <row r="587" spans="2:14" x14ac:dyDescent="0.2">
      <c r="B587" s="38"/>
      <c r="C587" s="40"/>
      <c r="D587" s="40"/>
      <c r="E587" s="40"/>
      <c r="F587" s="40"/>
      <c r="G587" s="40"/>
      <c r="H587" s="40"/>
      <c r="I587" s="40"/>
      <c r="J587" s="40"/>
      <c r="K587" s="41"/>
    </row>
    <row r="588" spans="2:14" ht="16" x14ac:dyDescent="0.2">
      <c r="B588" s="38"/>
      <c r="C588" s="45" t="s">
        <v>115</v>
      </c>
      <c r="D588" s="40"/>
      <c r="E588" s="40"/>
      <c r="F588" s="40"/>
      <c r="G588" s="40"/>
      <c r="H588" s="40"/>
      <c r="I588" s="40"/>
      <c r="J588" s="40"/>
      <c r="K588" s="41"/>
    </row>
    <row r="589" spans="2:14" x14ac:dyDescent="0.2">
      <c r="B589" s="38"/>
      <c r="C589" s="40" t="s">
        <v>335</v>
      </c>
      <c r="D589" s="40"/>
      <c r="E589" s="40"/>
      <c r="F589" s="40"/>
      <c r="G589" s="40"/>
      <c r="H589" s="40"/>
      <c r="I589" s="40"/>
      <c r="J589" s="264">
        <v>0</v>
      </c>
      <c r="K589" s="41"/>
    </row>
    <row r="590" spans="2:14" x14ac:dyDescent="0.2">
      <c r="B590" s="38"/>
      <c r="C590" s="40" t="s">
        <v>260</v>
      </c>
      <c r="D590" s="40"/>
      <c r="E590" s="40"/>
      <c r="F590" s="40"/>
      <c r="G590" s="40"/>
      <c r="H590" s="40"/>
      <c r="I590" s="40"/>
      <c r="J590" s="255">
        <f>IF(J589&lt;=0,0,IF(J589&lt;=1000,1,IF(J589&lt;=5000,2,IF(J589&lt;=25000,3,4))))</f>
        <v>0</v>
      </c>
      <c r="K590" s="41"/>
    </row>
    <row r="591" spans="2:14" ht="9.75" customHeight="1" x14ac:dyDescent="0.2">
      <c r="B591" s="38"/>
      <c r="C591" s="279" t="str">
        <f>"0:"</f>
        <v>0:</v>
      </c>
      <c r="D591" s="284" t="s">
        <v>970</v>
      </c>
      <c r="E591" s="40"/>
      <c r="F591" s="40"/>
      <c r="G591" s="40"/>
      <c r="H591" s="40"/>
      <c r="I591" s="40"/>
      <c r="J591" s="251"/>
      <c r="K591" s="41"/>
    </row>
    <row r="592" spans="2:14" ht="9.75" customHeight="1" x14ac:dyDescent="0.2">
      <c r="B592" s="38"/>
      <c r="C592" s="280" t="str">
        <f>"1:"</f>
        <v>1:</v>
      </c>
      <c r="D592" s="284" t="s">
        <v>961</v>
      </c>
      <c r="E592" s="40"/>
      <c r="F592" s="40"/>
      <c r="G592" s="40"/>
      <c r="H592" s="40"/>
      <c r="I592" s="40"/>
      <c r="J592" s="251"/>
      <c r="K592" s="41"/>
    </row>
    <row r="593" spans="2:11" ht="9.75" customHeight="1" x14ac:dyDescent="0.2">
      <c r="B593" s="38"/>
      <c r="C593" s="280" t="str">
        <f>"2:"</f>
        <v>2:</v>
      </c>
      <c r="D593" s="284" t="s">
        <v>971</v>
      </c>
      <c r="E593" s="40"/>
      <c r="F593" s="40"/>
      <c r="G593" s="40"/>
      <c r="H593" s="40"/>
      <c r="I593" s="40"/>
      <c r="J593" s="251"/>
      <c r="K593" s="41"/>
    </row>
    <row r="594" spans="2:11" ht="9.75" customHeight="1" x14ac:dyDescent="0.2">
      <c r="B594" s="38"/>
      <c r="C594" s="280" t="str">
        <f>"3:"</f>
        <v>3:</v>
      </c>
      <c r="D594" s="284" t="s">
        <v>963</v>
      </c>
      <c r="E594" s="40"/>
      <c r="F594" s="40"/>
      <c r="G594" s="40"/>
      <c r="H594" s="40"/>
      <c r="I594" s="40"/>
      <c r="J594" s="251"/>
      <c r="K594" s="41"/>
    </row>
    <row r="595" spans="2:11" ht="9.75" customHeight="1" x14ac:dyDescent="0.2">
      <c r="B595" s="38"/>
      <c r="C595" s="280" t="str">
        <f>"4:"</f>
        <v>4:</v>
      </c>
      <c r="D595" s="284" t="s">
        <v>964</v>
      </c>
      <c r="E595" s="40"/>
      <c r="F595" s="40"/>
      <c r="G595" s="40"/>
      <c r="H595" s="40"/>
      <c r="I595" s="40"/>
      <c r="J595" s="40"/>
      <c r="K595" s="41"/>
    </row>
    <row r="596" spans="2:11" ht="15" customHeight="1" x14ac:dyDescent="0.2">
      <c r="B596" s="38"/>
      <c r="C596" s="40" t="s">
        <v>257</v>
      </c>
      <c r="D596" s="40"/>
      <c r="E596" s="40"/>
      <c r="F596" s="40"/>
      <c r="G596" s="40"/>
      <c r="H596" s="40"/>
      <c r="I596" s="40"/>
      <c r="J596" s="266" t="s">
        <v>870</v>
      </c>
      <c r="K596" s="41"/>
    </row>
    <row r="597" spans="2:11" ht="15" customHeight="1" x14ac:dyDescent="0.2">
      <c r="B597" s="38"/>
      <c r="C597" s="40" t="s">
        <v>261</v>
      </c>
      <c r="D597" s="40"/>
      <c r="E597" s="40"/>
      <c r="F597" s="40"/>
      <c r="G597" s="40"/>
      <c r="H597" s="40"/>
      <c r="I597" s="40"/>
      <c r="J597" s="245">
        <f>IF(J596=$B$973,$A$973,IF(J596=$B$974,$A$974,IF(J596=$B$975,$A$975,IF(J596=$B$976,$A$976,IF(J596=$B$977,$A$977,"Not Calculated")))))</f>
        <v>0</v>
      </c>
      <c r="K597" s="41"/>
    </row>
    <row r="598" spans="2:11" x14ac:dyDescent="0.2">
      <c r="B598" s="38"/>
      <c r="C598" s="40" t="s">
        <v>893</v>
      </c>
      <c r="D598" s="40"/>
      <c r="E598" s="40"/>
      <c r="F598" s="40"/>
      <c r="G598" s="40"/>
      <c r="H598" s="40"/>
      <c r="I598" s="40"/>
      <c r="J598" s="40"/>
      <c r="K598" s="41"/>
    </row>
    <row r="599" spans="2:11" ht="30" customHeight="1" x14ac:dyDescent="0.2">
      <c r="B599" s="38"/>
      <c r="C599" s="399"/>
      <c r="D599" s="400"/>
      <c r="E599" s="400"/>
      <c r="F599" s="400"/>
      <c r="G599" s="400"/>
      <c r="H599" s="400"/>
      <c r="I599" s="400"/>
      <c r="J599" s="401"/>
      <c r="K599" s="41"/>
    </row>
    <row r="600" spans="2:11" x14ac:dyDescent="0.2">
      <c r="B600" s="38"/>
      <c r="C600" s="40"/>
      <c r="D600" s="40"/>
      <c r="E600" s="40"/>
      <c r="F600" s="40"/>
      <c r="G600" s="40"/>
      <c r="H600" s="40"/>
      <c r="I600" s="40"/>
      <c r="J600" s="40"/>
      <c r="K600" s="41"/>
    </row>
    <row r="601" spans="2:11" x14ac:dyDescent="0.2">
      <c r="B601" s="38"/>
      <c r="C601" s="179" t="s">
        <v>325</v>
      </c>
      <c r="D601" s="40"/>
      <c r="E601" s="40"/>
      <c r="F601" s="40"/>
      <c r="G601" s="40"/>
      <c r="H601" s="40"/>
      <c r="I601" s="40"/>
      <c r="J601" s="245">
        <f>IF(J590="Not Calculated","Not Calculated",AVERAGE(J590,J597))</f>
        <v>0</v>
      </c>
      <c r="K601" s="41"/>
    </row>
    <row r="602" spans="2:11" x14ac:dyDescent="0.2">
      <c r="B602" s="38"/>
      <c r="C602" s="40"/>
      <c r="D602" s="40"/>
      <c r="E602" s="40"/>
      <c r="F602" s="40"/>
      <c r="G602" s="40"/>
      <c r="H602" s="40"/>
      <c r="I602" s="40"/>
      <c r="J602" s="40"/>
      <c r="K602" s="41"/>
    </row>
    <row r="603" spans="2:11" x14ac:dyDescent="0.2">
      <c r="B603" s="38"/>
      <c r="C603" s="40"/>
      <c r="D603" s="40"/>
      <c r="E603" s="40"/>
      <c r="F603" s="40"/>
      <c r="G603" s="40"/>
      <c r="H603" s="40"/>
      <c r="I603" s="40"/>
      <c r="J603" s="40"/>
      <c r="K603" s="41"/>
    </row>
    <row r="604" spans="2:11" ht="16" x14ac:dyDescent="0.2">
      <c r="B604" s="38"/>
      <c r="C604" s="45" t="s">
        <v>326</v>
      </c>
      <c r="D604" s="40"/>
      <c r="E604" s="40"/>
      <c r="F604" s="40"/>
      <c r="G604" s="40"/>
      <c r="H604" s="40"/>
      <c r="I604" s="40"/>
      <c r="J604" s="40"/>
      <c r="K604" s="41"/>
    </row>
    <row r="605" spans="2:11" x14ac:dyDescent="0.2">
      <c r="B605" s="38"/>
      <c r="C605" s="40" t="s">
        <v>336</v>
      </c>
      <c r="D605" s="40"/>
      <c r="E605" s="40"/>
      <c r="F605" s="40"/>
      <c r="G605" s="40"/>
      <c r="H605" s="40"/>
      <c r="I605" s="40"/>
      <c r="J605" s="271">
        <v>0</v>
      </c>
      <c r="K605" s="41"/>
    </row>
    <row r="606" spans="2:11" x14ac:dyDescent="0.2">
      <c r="B606" s="38"/>
      <c r="C606" s="40" t="s">
        <v>260</v>
      </c>
      <c r="D606" s="40"/>
      <c r="E606" s="40"/>
      <c r="F606" s="40"/>
      <c r="G606" s="40"/>
      <c r="H606" s="40"/>
      <c r="I606" s="40"/>
      <c r="J606" s="248">
        <f>IF(J605&lt;=0,0,IF(J605&lt;=10,1,IF(J605&lt;=25,2,IF(J605&lt;=50,3,4))))</f>
        <v>0</v>
      </c>
      <c r="K606" s="41"/>
    </row>
    <row r="607" spans="2:11" ht="9.75" customHeight="1" x14ac:dyDescent="0.2">
      <c r="B607" s="38"/>
      <c r="C607" s="279" t="str">
        <f>"0:"</f>
        <v>0:</v>
      </c>
      <c r="D607" s="290" t="s">
        <v>944</v>
      </c>
      <c r="E607" s="40"/>
      <c r="F607" s="40"/>
      <c r="G607" s="40"/>
      <c r="H607" s="40"/>
      <c r="I607" s="40"/>
      <c r="J607" s="244"/>
      <c r="K607" s="41"/>
    </row>
    <row r="608" spans="2:11" ht="9.75" customHeight="1" x14ac:dyDescent="0.2">
      <c r="B608" s="38"/>
      <c r="C608" s="280" t="str">
        <f>"1:"</f>
        <v>1:</v>
      </c>
      <c r="D608" s="290" t="s">
        <v>947</v>
      </c>
      <c r="E608" s="40"/>
      <c r="F608" s="40"/>
      <c r="G608" s="40"/>
      <c r="H608" s="40"/>
      <c r="I608" s="40"/>
      <c r="J608" s="244"/>
      <c r="K608" s="41"/>
    </row>
    <row r="609" spans="2:11" ht="9.75" customHeight="1" x14ac:dyDescent="0.2">
      <c r="B609" s="38"/>
      <c r="C609" s="280" t="str">
        <f>"2:"</f>
        <v>2:</v>
      </c>
      <c r="D609" s="290" t="s">
        <v>972</v>
      </c>
      <c r="E609" s="40"/>
      <c r="F609" s="40"/>
      <c r="G609" s="40"/>
      <c r="H609" s="40"/>
      <c r="I609" s="40"/>
      <c r="J609" s="244"/>
      <c r="K609" s="41"/>
    </row>
    <row r="610" spans="2:11" ht="9.75" customHeight="1" x14ac:dyDescent="0.2">
      <c r="B610" s="38"/>
      <c r="C610" s="280" t="str">
        <f>"3:"</f>
        <v>3:</v>
      </c>
      <c r="D610" s="290" t="s">
        <v>973</v>
      </c>
      <c r="E610" s="40"/>
      <c r="F610" s="40"/>
      <c r="G610" s="40"/>
      <c r="H610" s="40"/>
      <c r="I610" s="40"/>
      <c r="J610" s="244"/>
      <c r="K610" s="41"/>
    </row>
    <row r="611" spans="2:11" ht="9.75" customHeight="1" x14ac:dyDescent="0.2">
      <c r="B611" s="38"/>
      <c r="C611" s="280" t="str">
        <f>"4:"</f>
        <v>4:</v>
      </c>
      <c r="D611" s="290" t="s">
        <v>974</v>
      </c>
      <c r="E611" s="40"/>
      <c r="F611" s="40"/>
      <c r="G611" s="40"/>
      <c r="H611" s="40"/>
      <c r="I611" s="40"/>
      <c r="J611" s="40"/>
      <c r="K611" s="41"/>
    </row>
    <row r="612" spans="2:11" x14ac:dyDescent="0.2">
      <c r="B612" s="38"/>
      <c r="C612" s="40" t="s">
        <v>893</v>
      </c>
      <c r="D612" s="40"/>
      <c r="E612" s="40"/>
      <c r="F612" s="40"/>
      <c r="G612" s="40"/>
      <c r="H612" s="40"/>
      <c r="I612" s="40"/>
      <c r="J612" s="40"/>
      <c r="K612" s="41"/>
    </row>
    <row r="613" spans="2:11" ht="30" customHeight="1" x14ac:dyDescent="0.2">
      <c r="B613" s="38"/>
      <c r="C613" s="399"/>
      <c r="D613" s="400"/>
      <c r="E613" s="400"/>
      <c r="F613" s="400"/>
      <c r="G613" s="400"/>
      <c r="H613" s="400"/>
      <c r="I613" s="400"/>
      <c r="J613" s="401"/>
      <c r="K613" s="41"/>
    </row>
    <row r="614" spans="2:11" x14ac:dyDescent="0.2">
      <c r="B614" s="38"/>
      <c r="C614" s="40"/>
      <c r="D614" s="40"/>
      <c r="E614" s="40"/>
      <c r="F614" s="40"/>
      <c r="G614" s="40"/>
      <c r="H614" s="40"/>
      <c r="I614" s="40"/>
      <c r="J614" s="40"/>
      <c r="K614" s="41"/>
    </row>
    <row r="615" spans="2:11" x14ac:dyDescent="0.2">
      <c r="B615" s="38"/>
      <c r="C615" s="179" t="s">
        <v>327</v>
      </c>
      <c r="D615" s="40"/>
      <c r="E615" s="40"/>
      <c r="F615" s="40"/>
      <c r="G615" s="40"/>
      <c r="H615" s="40"/>
      <c r="I615" s="40"/>
      <c r="J615" s="245">
        <f>J606</f>
        <v>0</v>
      </c>
      <c r="K615" s="41"/>
    </row>
    <row r="616" spans="2:11" x14ac:dyDescent="0.2">
      <c r="B616" s="38"/>
      <c r="C616" s="40"/>
      <c r="D616" s="40"/>
      <c r="E616" s="40"/>
      <c r="F616" s="40"/>
      <c r="G616" s="40"/>
      <c r="H616" s="40"/>
      <c r="I616" s="40"/>
      <c r="J616" s="40"/>
      <c r="K616" s="41"/>
    </row>
    <row r="617" spans="2:11" x14ac:dyDescent="0.2">
      <c r="B617" s="38"/>
      <c r="C617" s="40"/>
      <c r="D617" s="40"/>
      <c r="E617" s="40"/>
      <c r="F617" s="40"/>
      <c r="G617" s="40"/>
      <c r="H617" s="40"/>
      <c r="I617" s="40"/>
      <c r="J617" s="40"/>
      <c r="K617" s="41"/>
    </row>
    <row r="618" spans="2:11" ht="16" x14ac:dyDescent="0.2">
      <c r="B618" s="38"/>
      <c r="C618" s="45" t="s">
        <v>92</v>
      </c>
      <c r="D618" s="40"/>
      <c r="E618" s="40"/>
      <c r="F618" s="40"/>
      <c r="G618" s="40"/>
      <c r="H618" s="40"/>
      <c r="I618" s="40"/>
      <c r="J618" s="40"/>
      <c r="K618" s="41"/>
    </row>
    <row r="619" spans="2:11" x14ac:dyDescent="0.2">
      <c r="B619" s="38"/>
      <c r="C619" s="40" t="s">
        <v>337</v>
      </c>
      <c r="D619" s="40"/>
      <c r="E619" s="40"/>
      <c r="F619" s="40"/>
      <c r="G619" s="40"/>
      <c r="H619" s="40"/>
      <c r="I619" s="40"/>
      <c r="J619" s="251">
        <f>'Baseline Health'!G137</f>
        <v>1</v>
      </c>
      <c r="K619" s="41"/>
    </row>
    <row r="620" spans="2:11" ht="15" customHeight="1" x14ac:dyDescent="0.2">
      <c r="B620" s="38"/>
      <c r="C620" s="380" t="s">
        <v>338</v>
      </c>
      <c r="D620" s="380"/>
      <c r="E620" s="380"/>
      <c r="F620" s="380"/>
      <c r="G620" s="380"/>
      <c r="H620" s="380"/>
      <c r="I620" s="380"/>
      <c r="J620" s="251"/>
      <c r="K620" s="41"/>
    </row>
    <row r="621" spans="2:11" x14ac:dyDescent="0.2">
      <c r="B621" s="38"/>
      <c r="C621" s="380"/>
      <c r="D621" s="380"/>
      <c r="E621" s="380"/>
      <c r="F621" s="380"/>
      <c r="G621" s="380"/>
      <c r="H621" s="380"/>
      <c r="I621" s="380"/>
      <c r="J621" s="264">
        <v>0</v>
      </c>
      <c r="K621" s="41"/>
    </row>
    <row r="622" spans="2:11" x14ac:dyDescent="0.2">
      <c r="B622" s="38"/>
      <c r="C622" s="40" t="s">
        <v>260</v>
      </c>
      <c r="D622" s="40"/>
      <c r="E622" s="40"/>
      <c r="F622" s="40"/>
      <c r="G622" s="40"/>
      <c r="H622" s="40"/>
      <c r="I622" s="40"/>
      <c r="J622" s="245">
        <f>IF(OR(J619=0,J619="Not Calculated")=TRUE,"Not Calculated",IF(((J619+J621)/J619)&lt;=1,0,IF(((J619+J621)/J619)&lt;=1.05,1,IF(((J619+J621)/J619)&lt;=1.5, 2,IF(((J619+J621)/J619)&lt;=2,3,4)))))</f>
        <v>0</v>
      </c>
      <c r="K622" s="41"/>
    </row>
    <row r="623" spans="2:11" ht="9.75" customHeight="1" x14ac:dyDescent="0.2">
      <c r="B623" s="38"/>
      <c r="C623" s="279" t="str">
        <f>"0:"</f>
        <v>0:</v>
      </c>
      <c r="D623" s="281" t="s">
        <v>918</v>
      </c>
      <c r="E623" s="291"/>
      <c r="F623" s="291"/>
      <c r="G623" s="291"/>
      <c r="H623" s="291"/>
      <c r="I623" s="291"/>
      <c r="J623" s="251"/>
      <c r="K623" s="41"/>
    </row>
    <row r="624" spans="2:11" ht="9.75" customHeight="1" x14ac:dyDescent="0.2">
      <c r="B624" s="38"/>
      <c r="C624" s="280" t="str">
        <f>"1:"</f>
        <v>1:</v>
      </c>
      <c r="D624" s="281" t="s">
        <v>919</v>
      </c>
      <c r="E624" s="291"/>
      <c r="F624" s="291"/>
      <c r="G624" s="291"/>
      <c r="H624" s="291"/>
      <c r="I624" s="291"/>
      <c r="J624" s="251"/>
      <c r="K624" s="41"/>
    </row>
    <row r="625" spans="2:14" ht="9.75" customHeight="1" x14ac:dyDescent="0.2">
      <c r="B625" s="38"/>
      <c r="C625" s="280" t="str">
        <f>"2:"</f>
        <v>2:</v>
      </c>
      <c r="D625" s="281" t="s">
        <v>920</v>
      </c>
      <c r="E625" s="291"/>
      <c r="F625" s="291"/>
      <c r="G625" s="291"/>
      <c r="H625" s="291"/>
      <c r="I625" s="291"/>
      <c r="J625" s="251"/>
      <c r="K625" s="41"/>
    </row>
    <row r="626" spans="2:14" ht="9.75" customHeight="1" x14ac:dyDescent="0.2">
      <c r="B626" s="38"/>
      <c r="C626" s="280" t="str">
        <f>"3:"</f>
        <v>3:</v>
      </c>
      <c r="D626" s="281" t="s">
        <v>921</v>
      </c>
      <c r="E626" s="291"/>
      <c r="F626" s="291"/>
      <c r="G626" s="291"/>
      <c r="H626" s="291"/>
      <c r="I626" s="291"/>
      <c r="J626" s="251"/>
      <c r="K626" s="41"/>
    </row>
    <row r="627" spans="2:14" ht="9.75" customHeight="1" x14ac:dyDescent="0.2">
      <c r="B627" s="38"/>
      <c r="C627" s="280" t="str">
        <f>"4:"</f>
        <v>4:</v>
      </c>
      <c r="D627" s="281" t="s">
        <v>922</v>
      </c>
      <c r="E627" s="40"/>
      <c r="F627" s="40"/>
      <c r="G627" s="40"/>
      <c r="H627" s="40"/>
      <c r="I627" s="40"/>
      <c r="J627" s="40"/>
      <c r="K627" s="41"/>
      <c r="N627" s="12" t="s">
        <v>661</v>
      </c>
    </row>
    <row r="628" spans="2:14" x14ac:dyDescent="0.2">
      <c r="B628" s="38"/>
      <c r="C628" s="174" t="s">
        <v>662</v>
      </c>
      <c r="D628" s="40"/>
      <c r="E628" s="40"/>
      <c r="F628" s="40"/>
      <c r="G628" s="40"/>
      <c r="H628" s="40"/>
      <c r="I628" s="40"/>
      <c r="J628" s="265" t="s">
        <v>661</v>
      </c>
      <c r="K628" s="41"/>
      <c r="N628" s="12" t="s">
        <v>894</v>
      </c>
    </row>
    <row r="629" spans="2:14" x14ac:dyDescent="0.2">
      <c r="B629" s="38"/>
      <c r="C629" s="174" t="s">
        <v>660</v>
      </c>
      <c r="D629" s="40"/>
      <c r="E629" s="40"/>
      <c r="F629" s="40"/>
      <c r="G629" s="40"/>
      <c r="H629" s="40"/>
      <c r="I629" s="40"/>
      <c r="J629" s="247" t="str">
        <f>IF(J628=N627,"N/A",IF(J628=N628,0,IF(J628=N629,1,IF(J628=N630,2,IF(J628=N631,3,IF(J628=N632,4,"N/A"))))))</f>
        <v>N/A</v>
      </c>
      <c r="K629" s="41"/>
      <c r="N629" s="12" t="s">
        <v>895</v>
      </c>
    </row>
    <row r="630" spans="2:14" x14ac:dyDescent="0.2">
      <c r="B630" s="38"/>
      <c r="C630" s="40" t="s">
        <v>257</v>
      </c>
      <c r="D630" s="40"/>
      <c r="E630" s="40"/>
      <c r="F630" s="40"/>
      <c r="G630" s="40"/>
      <c r="H630" s="40"/>
      <c r="I630" s="40"/>
      <c r="J630" s="266" t="s">
        <v>870</v>
      </c>
      <c r="K630" s="41"/>
      <c r="N630" s="12" t="s">
        <v>896</v>
      </c>
    </row>
    <row r="631" spans="2:14" x14ac:dyDescent="0.2">
      <c r="B631" s="38"/>
      <c r="C631" s="40" t="s">
        <v>261</v>
      </c>
      <c r="D631" s="40"/>
      <c r="E631" s="40"/>
      <c r="F631" s="40"/>
      <c r="G631" s="40"/>
      <c r="H631" s="40"/>
      <c r="I631" s="40"/>
      <c r="J631" s="245">
        <f>IF(J630=$B$973,$A$973,IF(J630=$B$974,$A$974,IF(J630=$B$975,$A$975,IF(J630=$B$976,$A$976,IF(J630=$B$977,$A$977,"Not Calculated")))))</f>
        <v>0</v>
      </c>
      <c r="K631" s="41"/>
      <c r="N631" s="12" t="s">
        <v>897</v>
      </c>
    </row>
    <row r="632" spans="2:14" x14ac:dyDescent="0.2">
      <c r="B632" s="38"/>
      <c r="C632" s="40" t="s">
        <v>893</v>
      </c>
      <c r="D632" s="40"/>
      <c r="E632" s="40"/>
      <c r="F632" s="40"/>
      <c r="G632" s="40"/>
      <c r="H632" s="40"/>
      <c r="I632" s="40"/>
      <c r="J632" s="40"/>
      <c r="K632" s="41"/>
      <c r="N632" s="12" t="s">
        <v>898</v>
      </c>
    </row>
    <row r="633" spans="2:14" ht="30" customHeight="1" x14ac:dyDescent="0.2">
      <c r="B633" s="38"/>
      <c r="C633" s="399"/>
      <c r="D633" s="400"/>
      <c r="E633" s="400"/>
      <c r="F633" s="400"/>
      <c r="G633" s="400"/>
      <c r="H633" s="400"/>
      <c r="I633" s="400"/>
      <c r="J633" s="401"/>
      <c r="K633" s="41"/>
    </row>
    <row r="634" spans="2:14" x14ac:dyDescent="0.2">
      <c r="B634" s="38"/>
      <c r="C634" s="40"/>
      <c r="D634" s="40"/>
      <c r="E634" s="40"/>
      <c r="F634" s="40"/>
      <c r="G634" s="40"/>
      <c r="H634" s="40"/>
      <c r="I634" s="40"/>
      <c r="J634" s="40"/>
      <c r="K634" s="41"/>
    </row>
    <row r="635" spans="2:14" x14ac:dyDescent="0.2">
      <c r="B635" s="38"/>
      <c r="C635" s="179" t="s">
        <v>328</v>
      </c>
      <c r="D635" s="40"/>
      <c r="E635" s="40"/>
      <c r="F635" s="40"/>
      <c r="G635" s="40"/>
      <c r="H635" s="40"/>
      <c r="I635" s="40"/>
      <c r="J635" s="245">
        <f>IF(J629="N/A",IF(OR(J622="Not Calculated",J631="Not Calculated")=TRUE,"Not Calculated",AVERAGE(J622,J631)),AVERAGE(J629,J631))</f>
        <v>0</v>
      </c>
      <c r="K635" s="41"/>
    </row>
    <row r="636" spans="2:14" x14ac:dyDescent="0.2">
      <c r="B636" s="38"/>
      <c r="C636" s="40"/>
      <c r="D636" s="40"/>
      <c r="E636" s="40"/>
      <c r="F636" s="40"/>
      <c r="G636" s="40"/>
      <c r="H636" s="40"/>
      <c r="I636" s="40"/>
      <c r="J636" s="40"/>
      <c r="K636" s="41"/>
    </row>
    <row r="637" spans="2:14" x14ac:dyDescent="0.2">
      <c r="B637" s="38"/>
      <c r="C637" s="40"/>
      <c r="D637" s="40"/>
      <c r="E637" s="40"/>
      <c r="F637" s="40"/>
      <c r="G637" s="40"/>
      <c r="H637" s="40"/>
      <c r="I637" s="40"/>
      <c r="J637" s="40"/>
      <c r="K637" s="41"/>
    </row>
    <row r="638" spans="2:14" ht="16" x14ac:dyDescent="0.2">
      <c r="B638" s="38"/>
      <c r="C638" s="45" t="s">
        <v>329</v>
      </c>
      <c r="D638" s="40"/>
      <c r="E638" s="40"/>
      <c r="F638" s="40"/>
      <c r="G638" s="40"/>
      <c r="H638" s="40"/>
      <c r="I638" s="40"/>
      <c r="J638" s="40"/>
      <c r="K638" s="41"/>
    </row>
    <row r="639" spans="2:14" ht="15" customHeight="1" x14ac:dyDescent="0.2">
      <c r="B639" s="38"/>
      <c r="C639" s="380" t="s">
        <v>339</v>
      </c>
      <c r="D639" s="380"/>
      <c r="E639" s="380"/>
      <c r="F639" s="380"/>
      <c r="G639" s="380"/>
      <c r="H639" s="380"/>
      <c r="I639" s="380"/>
      <c r="J639" s="40"/>
      <c r="K639" s="41"/>
    </row>
    <row r="640" spans="2:14" x14ac:dyDescent="0.2">
      <c r="B640" s="38"/>
      <c r="C640" s="380"/>
      <c r="D640" s="380"/>
      <c r="E640" s="380"/>
      <c r="F640" s="380"/>
      <c r="G640" s="380"/>
      <c r="H640" s="380"/>
      <c r="I640" s="380"/>
      <c r="J640" s="250">
        <f>'Baseline Health'!G145</f>
        <v>0</v>
      </c>
      <c r="K640" s="41"/>
    </row>
    <row r="641" spans="2:14" ht="15" customHeight="1" x14ac:dyDescent="0.2">
      <c r="B641" s="38"/>
      <c r="C641" s="380" t="s">
        <v>340</v>
      </c>
      <c r="D641" s="380"/>
      <c r="E641" s="380"/>
      <c r="F641" s="380"/>
      <c r="G641" s="380"/>
      <c r="H641" s="380"/>
      <c r="I641" s="380"/>
      <c r="J641" s="245"/>
      <c r="K641" s="41"/>
    </row>
    <row r="642" spans="2:14" x14ac:dyDescent="0.2">
      <c r="B642" s="38"/>
      <c r="C642" s="380"/>
      <c r="D642" s="380"/>
      <c r="E642" s="380"/>
      <c r="F642" s="380"/>
      <c r="G642" s="380"/>
      <c r="H642" s="380"/>
      <c r="I642" s="380"/>
      <c r="J642" s="245"/>
      <c r="K642" s="41"/>
    </row>
    <row r="643" spans="2:14" x14ac:dyDescent="0.2">
      <c r="B643" s="38"/>
      <c r="C643" s="380"/>
      <c r="D643" s="380"/>
      <c r="E643" s="380"/>
      <c r="F643" s="380"/>
      <c r="G643" s="380"/>
      <c r="H643" s="380"/>
      <c r="I643" s="380"/>
      <c r="J643" s="272">
        <v>37.5</v>
      </c>
      <c r="K643" s="41"/>
    </row>
    <row r="644" spans="2:14" x14ac:dyDescent="0.2">
      <c r="B644" s="38"/>
      <c r="C644" s="40" t="s">
        <v>260</v>
      </c>
      <c r="D644" s="40"/>
      <c r="E644" s="40"/>
      <c r="F644" s="40"/>
      <c r="G644" s="40"/>
      <c r="H644" s="40"/>
      <c r="I644" s="40"/>
      <c r="J644" s="245" t="str">
        <f>IF(OR(J640=0,J640="Not Calculated")=TRUE,"Not Calculated",IF(((J640+J643)/J640)&lt;=1,0,IF(((J640+J643)/J640)&lt;=1.05,1,IF(((J640+J643)/J640)&lt;=1.5, 2,IF(((J640+J643)/J640)&lt;=2,3,4)))))</f>
        <v>Not Calculated</v>
      </c>
      <c r="K644" s="41"/>
    </row>
    <row r="645" spans="2:14" ht="9.75" customHeight="1" x14ac:dyDescent="0.2">
      <c r="B645" s="38"/>
      <c r="C645" s="279" t="str">
        <f>"0:"</f>
        <v>0:</v>
      </c>
      <c r="D645" s="281" t="s">
        <v>918</v>
      </c>
      <c r="E645" s="291"/>
      <c r="F645" s="291"/>
      <c r="G645" s="291"/>
      <c r="H645" s="291"/>
      <c r="I645" s="291"/>
      <c r="J645" s="250"/>
      <c r="K645" s="41"/>
    </row>
    <row r="646" spans="2:14" ht="9.75" customHeight="1" x14ac:dyDescent="0.2">
      <c r="B646" s="38"/>
      <c r="C646" s="280" t="str">
        <f>"1:"</f>
        <v>1:</v>
      </c>
      <c r="D646" s="281" t="s">
        <v>919</v>
      </c>
      <c r="E646" s="291"/>
      <c r="F646" s="291"/>
      <c r="G646" s="291"/>
      <c r="H646" s="291"/>
      <c r="I646" s="291"/>
      <c r="J646" s="250"/>
      <c r="K646" s="41"/>
    </row>
    <row r="647" spans="2:14" ht="9.75" customHeight="1" x14ac:dyDescent="0.2">
      <c r="B647" s="38"/>
      <c r="C647" s="280" t="str">
        <f>"2:"</f>
        <v>2:</v>
      </c>
      <c r="D647" s="281" t="s">
        <v>920</v>
      </c>
      <c r="E647" s="291"/>
      <c r="F647" s="291"/>
      <c r="G647" s="291"/>
      <c r="H647" s="291"/>
      <c r="I647" s="291"/>
      <c r="J647" s="250"/>
      <c r="K647" s="41"/>
    </row>
    <row r="648" spans="2:14" ht="9.75" customHeight="1" x14ac:dyDescent="0.2">
      <c r="B648" s="38"/>
      <c r="C648" s="280" t="str">
        <f>"3:"</f>
        <v>3:</v>
      </c>
      <c r="D648" s="281" t="s">
        <v>921</v>
      </c>
      <c r="E648" s="291"/>
      <c r="F648" s="291"/>
      <c r="G648" s="291"/>
      <c r="H648" s="291"/>
      <c r="I648" s="291"/>
      <c r="J648" s="250"/>
      <c r="K648" s="41"/>
    </row>
    <row r="649" spans="2:14" ht="9.75" customHeight="1" x14ac:dyDescent="0.2">
      <c r="B649" s="38"/>
      <c r="C649" s="280" t="str">
        <f>"4:"</f>
        <v>4:</v>
      </c>
      <c r="D649" s="281" t="s">
        <v>922</v>
      </c>
      <c r="E649" s="40"/>
      <c r="F649" s="40"/>
      <c r="G649" s="40"/>
      <c r="H649" s="40"/>
      <c r="I649" s="40"/>
      <c r="J649" s="40"/>
      <c r="K649" s="41"/>
      <c r="N649" s="12" t="s">
        <v>661</v>
      </c>
    </row>
    <row r="650" spans="2:14" x14ac:dyDescent="0.2">
      <c r="B650" s="38"/>
      <c r="C650" s="174" t="s">
        <v>662</v>
      </c>
      <c r="D650" s="40"/>
      <c r="E650" s="40"/>
      <c r="F650" s="40"/>
      <c r="G650" s="40"/>
      <c r="H650" s="40"/>
      <c r="I650" s="40"/>
      <c r="J650" s="265" t="s">
        <v>661</v>
      </c>
      <c r="K650" s="41"/>
      <c r="N650" s="12" t="s">
        <v>894</v>
      </c>
    </row>
    <row r="651" spans="2:14" x14ac:dyDescent="0.2">
      <c r="B651" s="38"/>
      <c r="C651" s="174" t="s">
        <v>660</v>
      </c>
      <c r="D651" s="40"/>
      <c r="E651" s="40"/>
      <c r="F651" s="40"/>
      <c r="G651" s="40"/>
      <c r="H651" s="40"/>
      <c r="I651" s="40"/>
      <c r="J651" s="247" t="str">
        <f>IF(J650=N649,"N/A",IF(J650=N650,0,IF(J650=N651,1,IF(J650=N652,2,IF(J650=N653,3,IF(J650=N654,4,"N/A"))))))</f>
        <v>N/A</v>
      </c>
      <c r="K651" s="41"/>
      <c r="N651" s="12" t="s">
        <v>895</v>
      </c>
    </row>
    <row r="652" spans="2:14" ht="15" customHeight="1" x14ac:dyDescent="0.2">
      <c r="B652" s="38"/>
      <c r="C652" s="40" t="s">
        <v>257</v>
      </c>
      <c r="D652" s="40"/>
      <c r="E652" s="40"/>
      <c r="F652" s="40"/>
      <c r="G652" s="40"/>
      <c r="H652" s="40"/>
      <c r="I652" s="40"/>
      <c r="J652" s="266" t="s">
        <v>872</v>
      </c>
      <c r="K652" s="41"/>
      <c r="N652" s="12" t="s">
        <v>896</v>
      </c>
    </row>
    <row r="653" spans="2:14" x14ac:dyDescent="0.2">
      <c r="B653" s="38"/>
      <c r="C653" s="40" t="s">
        <v>261</v>
      </c>
      <c r="D653" s="40"/>
      <c r="E653" s="40"/>
      <c r="F653" s="40"/>
      <c r="G653" s="40"/>
      <c r="H653" s="40"/>
      <c r="I653" s="40"/>
      <c r="J653" s="245">
        <f>IF(J652=$B$973,$A$973,IF(J652=$B$974,$A$974,IF(J652=$B$975,$A$975,IF(J652=$B$976,$A$976,IF(J652=$B$977,$A$977,"Not Calculated")))))</f>
        <v>2</v>
      </c>
      <c r="K653" s="41"/>
      <c r="N653" s="12" t="s">
        <v>897</v>
      </c>
    </row>
    <row r="654" spans="2:14" x14ac:dyDescent="0.2">
      <c r="B654" s="38"/>
      <c r="C654" s="40" t="s">
        <v>893</v>
      </c>
      <c r="D654" s="40"/>
      <c r="E654" s="40"/>
      <c r="F654" s="40"/>
      <c r="G654" s="40"/>
      <c r="H654" s="40"/>
      <c r="I654" s="40"/>
      <c r="J654" s="40"/>
      <c r="K654" s="41"/>
      <c r="N654" s="12" t="s">
        <v>898</v>
      </c>
    </row>
    <row r="655" spans="2:14" ht="30" customHeight="1" x14ac:dyDescent="0.2">
      <c r="B655" s="38"/>
      <c r="C655" s="399" t="s">
        <v>485</v>
      </c>
      <c r="D655" s="400"/>
      <c r="E655" s="400"/>
      <c r="F655" s="400"/>
      <c r="G655" s="400"/>
      <c r="H655" s="400"/>
      <c r="I655" s="400"/>
      <c r="J655" s="401"/>
      <c r="K655" s="41"/>
    </row>
    <row r="656" spans="2:14" x14ac:dyDescent="0.2">
      <c r="B656" s="38"/>
      <c r="C656" s="40"/>
      <c r="D656" s="40"/>
      <c r="E656" s="40"/>
      <c r="F656" s="40"/>
      <c r="G656" s="40"/>
      <c r="H656" s="40"/>
      <c r="I656" s="40"/>
      <c r="J656" s="40"/>
      <c r="K656" s="41"/>
    </row>
    <row r="657" spans="2:14" x14ac:dyDescent="0.2">
      <c r="B657" s="38"/>
      <c r="C657" s="179" t="s">
        <v>330</v>
      </c>
      <c r="D657" s="40"/>
      <c r="E657" s="40"/>
      <c r="F657" s="40"/>
      <c r="G657" s="40"/>
      <c r="H657" s="40"/>
      <c r="I657" s="40"/>
      <c r="J657" s="245" t="str">
        <f>IF(J651="N/A",IF(OR(J644="Not Calculated",J653="Not Calculated")=TRUE,"Not Calculated",AVERAGE(J644,J653)),AVERAGE(J651,J653))</f>
        <v>Not Calculated</v>
      </c>
      <c r="K657" s="41"/>
    </row>
    <row r="658" spans="2:14" x14ac:dyDescent="0.2">
      <c r="B658" s="38"/>
      <c r="C658" s="40"/>
      <c r="D658" s="40"/>
      <c r="E658" s="40"/>
      <c r="F658" s="40"/>
      <c r="G658" s="40"/>
      <c r="H658" s="40"/>
      <c r="I658" s="40"/>
      <c r="J658" s="40"/>
      <c r="K658" s="41"/>
    </row>
    <row r="659" spans="2:14" x14ac:dyDescent="0.2">
      <c r="B659" s="38"/>
      <c r="C659" s="40"/>
      <c r="D659" s="40"/>
      <c r="E659" s="40"/>
      <c r="F659" s="40"/>
      <c r="G659" s="40"/>
      <c r="H659" s="40"/>
      <c r="I659" s="40"/>
      <c r="J659" s="40"/>
      <c r="K659" s="41"/>
    </row>
    <row r="660" spans="2:14" ht="16" x14ac:dyDescent="0.2">
      <c r="B660" s="38"/>
      <c r="C660" s="45" t="s">
        <v>97</v>
      </c>
      <c r="D660" s="40"/>
      <c r="E660" s="40"/>
      <c r="F660" s="40"/>
      <c r="G660" s="40"/>
      <c r="H660" s="40"/>
      <c r="I660" s="40"/>
      <c r="J660" s="40"/>
      <c r="K660" s="41"/>
    </row>
    <row r="661" spans="2:14" x14ac:dyDescent="0.2">
      <c r="B661" s="38"/>
      <c r="C661" s="40" t="s">
        <v>449</v>
      </c>
      <c r="D661" s="40"/>
      <c r="E661" s="40"/>
      <c r="F661" s="40"/>
      <c r="G661" s="40"/>
      <c r="H661" s="40"/>
      <c r="I661" s="40"/>
      <c r="J661" s="263">
        <f>'Baseline Health'!G150</f>
        <v>0</v>
      </c>
      <c r="K661" s="41"/>
    </row>
    <row r="662" spans="2:14" x14ac:dyDescent="0.2">
      <c r="B662" s="38"/>
      <c r="C662" s="40" t="s">
        <v>341</v>
      </c>
      <c r="D662" s="40"/>
      <c r="E662" s="40"/>
      <c r="F662" s="40"/>
      <c r="G662" s="40"/>
      <c r="H662" s="40"/>
      <c r="I662" s="40"/>
      <c r="J662" s="273">
        <v>0</v>
      </c>
      <c r="K662" s="41"/>
    </row>
    <row r="663" spans="2:14" x14ac:dyDescent="0.2">
      <c r="B663" s="38"/>
      <c r="C663" s="40" t="s">
        <v>450</v>
      </c>
      <c r="D663" s="40"/>
      <c r="E663" s="40"/>
      <c r="F663" s="40"/>
      <c r="G663" s="40"/>
      <c r="H663" s="40"/>
      <c r="I663" s="40"/>
      <c r="J663" s="263">
        <f>J26</f>
        <v>10</v>
      </c>
      <c r="K663" s="41"/>
    </row>
    <row r="664" spans="2:14" ht="15" customHeight="1" x14ac:dyDescent="0.2">
      <c r="B664" s="38"/>
      <c r="C664" s="291"/>
      <c r="D664" s="380" t="s">
        <v>342</v>
      </c>
      <c r="E664" s="380"/>
      <c r="F664" s="380"/>
      <c r="G664" s="380"/>
      <c r="H664" s="380"/>
      <c r="I664" s="380"/>
      <c r="J664" s="245"/>
      <c r="K664" s="41"/>
    </row>
    <row r="665" spans="2:14" x14ac:dyDescent="0.2">
      <c r="B665" s="38"/>
      <c r="C665" s="291"/>
      <c r="D665" s="380"/>
      <c r="E665" s="380"/>
      <c r="F665" s="380"/>
      <c r="G665" s="380"/>
      <c r="H665" s="380"/>
      <c r="I665" s="380"/>
      <c r="J665" s="245"/>
      <c r="K665" s="41"/>
    </row>
    <row r="666" spans="2:14" x14ac:dyDescent="0.2">
      <c r="B666" s="38"/>
      <c r="C666" s="40" t="s">
        <v>260</v>
      </c>
      <c r="D666" s="40"/>
      <c r="E666" s="40"/>
      <c r="F666" s="40"/>
      <c r="G666" s="40"/>
      <c r="H666" s="40"/>
      <c r="I666" s="40"/>
      <c r="J666" s="245" t="str">
        <f>IF(OR(J661=0,J661="Not Calculated")=TRUE,"Not Calculated",IF(((J661+J663)/(J661-J662))&lt;=1,0,IF(((J661+J663)/(J661-J662))&lt;=1.1,1,IF(((J661+J663)/(J661-J662))&lt;=1.5, 2,IF(((J661+J663)/(J661-J662))&lt;=2,3,4)))))</f>
        <v>Not Calculated</v>
      </c>
      <c r="K666" s="41"/>
    </row>
    <row r="667" spans="2:14" ht="9.75" customHeight="1" x14ac:dyDescent="0.2">
      <c r="B667" s="38"/>
      <c r="C667" s="279" t="str">
        <f>"0:"</f>
        <v>0:</v>
      </c>
      <c r="D667" s="278" t="s">
        <v>918</v>
      </c>
      <c r="E667" s="291"/>
      <c r="F667" s="291"/>
      <c r="G667" s="291"/>
      <c r="H667" s="291"/>
      <c r="I667" s="291"/>
      <c r="J667" s="245"/>
      <c r="K667" s="41"/>
    </row>
    <row r="668" spans="2:14" ht="9.75" customHeight="1" x14ac:dyDescent="0.2">
      <c r="B668" s="38"/>
      <c r="C668" s="280" t="str">
        <f>"1:"</f>
        <v>1:</v>
      </c>
      <c r="D668" s="278" t="s">
        <v>923</v>
      </c>
      <c r="E668" s="291"/>
      <c r="F668" s="291"/>
      <c r="G668" s="291"/>
      <c r="H668" s="291"/>
      <c r="I668" s="291"/>
      <c r="J668" s="245"/>
      <c r="K668" s="41"/>
    </row>
    <row r="669" spans="2:14" ht="9.75" customHeight="1" x14ac:dyDescent="0.2">
      <c r="B669" s="38"/>
      <c r="C669" s="280" t="str">
        <f>"2:"</f>
        <v>2:</v>
      </c>
      <c r="D669" s="278" t="s">
        <v>924</v>
      </c>
      <c r="E669" s="291"/>
      <c r="F669" s="291"/>
      <c r="G669" s="291"/>
      <c r="H669" s="291"/>
      <c r="I669" s="291"/>
      <c r="J669" s="245"/>
      <c r="K669" s="41"/>
    </row>
    <row r="670" spans="2:14" ht="9.75" customHeight="1" x14ac:dyDescent="0.2">
      <c r="B670" s="38"/>
      <c r="C670" s="280" t="str">
        <f>"3:"</f>
        <v>3:</v>
      </c>
      <c r="D670" s="278" t="s">
        <v>925</v>
      </c>
      <c r="E670" s="291"/>
      <c r="F670" s="291"/>
      <c r="G670" s="291"/>
      <c r="H670" s="291"/>
      <c r="I670" s="291"/>
      <c r="J670" s="245"/>
      <c r="K670" s="41"/>
    </row>
    <row r="671" spans="2:14" ht="9.75" customHeight="1" x14ac:dyDescent="0.2">
      <c r="B671" s="38"/>
      <c r="C671" s="280" t="str">
        <f>"4:"</f>
        <v>4:</v>
      </c>
      <c r="D671" s="278" t="s">
        <v>926</v>
      </c>
      <c r="E671" s="40"/>
      <c r="F671" s="40"/>
      <c r="G671" s="40"/>
      <c r="H671" s="40"/>
      <c r="I671" s="40"/>
      <c r="J671" s="40"/>
      <c r="K671" s="41"/>
      <c r="N671" s="12" t="s">
        <v>661</v>
      </c>
    </row>
    <row r="672" spans="2:14" ht="15" customHeight="1" x14ac:dyDescent="0.2">
      <c r="B672" s="38"/>
      <c r="C672" s="174" t="s">
        <v>662</v>
      </c>
      <c r="D672" s="40"/>
      <c r="E672" s="40"/>
      <c r="F672" s="40"/>
      <c r="G672" s="40"/>
      <c r="H672" s="40"/>
      <c r="I672" s="40"/>
      <c r="J672" s="265" t="s">
        <v>661</v>
      </c>
      <c r="K672" s="41"/>
      <c r="N672" s="12" t="s">
        <v>894</v>
      </c>
    </row>
    <row r="673" spans="2:14" ht="15" customHeight="1" x14ac:dyDescent="0.2">
      <c r="B673" s="38"/>
      <c r="C673" s="174" t="s">
        <v>660</v>
      </c>
      <c r="D673" s="40"/>
      <c r="E673" s="40"/>
      <c r="F673" s="40"/>
      <c r="G673" s="40"/>
      <c r="H673" s="40"/>
      <c r="I673" s="40"/>
      <c r="J673" s="246" t="str">
        <f>IF(J672=N671,"N/A",IF(J672=N672,0,IF(J672=N673,1,IF(J672=N674,2,IF(J672=N675,3,IF(J672=N676,4,"N/A"))))))</f>
        <v>N/A</v>
      </c>
      <c r="K673" s="41"/>
      <c r="N673" s="12" t="s">
        <v>908</v>
      </c>
    </row>
    <row r="674" spans="2:14" ht="15" customHeight="1" x14ac:dyDescent="0.2">
      <c r="B674" s="38"/>
      <c r="C674" s="40" t="s">
        <v>257</v>
      </c>
      <c r="D674" s="40"/>
      <c r="E674" s="40"/>
      <c r="F674" s="40"/>
      <c r="G674" s="40"/>
      <c r="H674" s="40"/>
      <c r="I674" s="40"/>
      <c r="J674" s="266" t="s">
        <v>870</v>
      </c>
      <c r="K674" s="41"/>
      <c r="N674" s="12" t="s">
        <v>900</v>
      </c>
    </row>
    <row r="675" spans="2:14" x14ac:dyDescent="0.2">
      <c r="B675" s="38"/>
      <c r="C675" s="40" t="s">
        <v>261</v>
      </c>
      <c r="D675" s="40"/>
      <c r="E675" s="40"/>
      <c r="F675" s="40"/>
      <c r="G675" s="40"/>
      <c r="H675" s="40"/>
      <c r="I675" s="40"/>
      <c r="J675" s="245">
        <f>IF(J674=$B$973,$A$973,IF(J674=$B$974,$A$974,IF(J674=$B$975,$A$975,IF(J674=$B$976,$A$976,IF(J674=$B$977,$A$977,"Not Calculated")))))</f>
        <v>0</v>
      </c>
      <c r="K675" s="41"/>
      <c r="N675" s="12" t="s">
        <v>901</v>
      </c>
    </row>
    <row r="676" spans="2:14" ht="15" customHeight="1" x14ac:dyDescent="0.2">
      <c r="B676" s="38"/>
      <c r="C676" s="40" t="s">
        <v>893</v>
      </c>
      <c r="D676" s="40"/>
      <c r="E676" s="40"/>
      <c r="F676" s="40"/>
      <c r="G676" s="40"/>
      <c r="H676" s="40"/>
      <c r="I676" s="40"/>
      <c r="J676" s="40"/>
      <c r="K676" s="41"/>
      <c r="N676" s="12" t="s">
        <v>909</v>
      </c>
    </row>
    <row r="677" spans="2:14" ht="30" customHeight="1" x14ac:dyDescent="0.2">
      <c r="B677" s="38"/>
      <c r="C677" s="399"/>
      <c r="D677" s="400"/>
      <c r="E677" s="400"/>
      <c r="F677" s="400"/>
      <c r="G677" s="400"/>
      <c r="H677" s="400"/>
      <c r="I677" s="400"/>
      <c r="J677" s="401"/>
      <c r="K677" s="41"/>
    </row>
    <row r="678" spans="2:14" ht="15" customHeight="1" x14ac:dyDescent="0.2">
      <c r="B678" s="38"/>
      <c r="C678" s="40"/>
      <c r="D678" s="40"/>
      <c r="E678" s="40"/>
      <c r="F678" s="40"/>
      <c r="G678" s="40"/>
      <c r="H678" s="40"/>
      <c r="I678" s="40"/>
      <c r="J678" s="40"/>
      <c r="K678" s="41"/>
    </row>
    <row r="679" spans="2:14" x14ac:dyDescent="0.2">
      <c r="B679" s="38"/>
      <c r="C679" s="179" t="s">
        <v>331</v>
      </c>
      <c r="D679" s="40"/>
      <c r="E679" s="40"/>
      <c r="F679" s="40"/>
      <c r="G679" s="40"/>
      <c r="H679" s="40"/>
      <c r="I679" s="40"/>
      <c r="J679" s="245" t="str">
        <f>IF(J673="N/A",IF(OR(J666="Not Calculated",J675="Not Calculated")=TRUE,"Not Calculated",AVERAGE(J666,J675)),AVERAGE(J673,J675))</f>
        <v>Not Calculated</v>
      </c>
      <c r="K679" s="41"/>
    </row>
    <row r="680" spans="2:14" x14ac:dyDescent="0.2">
      <c r="B680" s="38"/>
      <c r="C680" s="40"/>
      <c r="D680" s="40"/>
      <c r="E680" s="40"/>
      <c r="F680" s="40"/>
      <c r="G680" s="40"/>
      <c r="H680" s="40"/>
      <c r="I680" s="40"/>
      <c r="J680" s="40"/>
      <c r="K680" s="41"/>
    </row>
    <row r="681" spans="2:14" ht="18" x14ac:dyDescent="0.2">
      <c r="B681" s="38"/>
      <c r="C681" s="180" t="s">
        <v>332</v>
      </c>
      <c r="D681" s="40"/>
      <c r="E681" s="40"/>
      <c r="F681" s="40"/>
      <c r="G681" s="40"/>
      <c r="H681" s="40"/>
      <c r="I681" s="40"/>
      <c r="J681" s="244" t="str">
        <f>IF(OR(J562="Not Calculated",J585="Not Calculated",J601="Not Calculated",J615="Not Calculated",J635="Not Calculated",J657="Not Calculated",J679="Not Calculated")=TRUE,"Not Calculated",AVERAGE(J562,J585,J601,J615,J635,J657,J679))</f>
        <v>Not Calculated</v>
      </c>
      <c r="K681" s="41"/>
    </row>
    <row r="682" spans="2:14" ht="16" thickBot="1" x14ac:dyDescent="0.25">
      <c r="B682" s="46"/>
      <c r="C682" s="47"/>
      <c r="D682" s="47"/>
      <c r="E682" s="47"/>
      <c r="F682" s="47"/>
      <c r="G682" s="47"/>
      <c r="H682" s="47"/>
      <c r="I682" s="47"/>
      <c r="J682" s="47"/>
      <c r="K682" s="49"/>
    </row>
    <row r="683" spans="2:14" ht="16" thickBot="1" x14ac:dyDescent="0.25"/>
    <row r="684" spans="2:14" x14ac:dyDescent="0.2">
      <c r="B684" s="33"/>
      <c r="C684" s="34"/>
      <c r="D684" s="34"/>
      <c r="E684" s="34"/>
      <c r="F684" s="34"/>
      <c r="G684" s="34"/>
      <c r="H684" s="34"/>
      <c r="I684" s="34"/>
      <c r="J684" s="34"/>
      <c r="K684" s="37"/>
    </row>
    <row r="685" spans="2:14" ht="21" x14ac:dyDescent="0.25">
      <c r="B685" s="38"/>
      <c r="C685" s="40"/>
      <c r="D685" s="40"/>
      <c r="E685" s="40"/>
      <c r="F685" s="40"/>
      <c r="G685" s="172" t="s">
        <v>346</v>
      </c>
      <c r="H685" s="40"/>
      <c r="I685" s="40"/>
      <c r="J685" s="40"/>
      <c r="K685" s="41"/>
    </row>
    <row r="686" spans="2:14" x14ac:dyDescent="0.2">
      <c r="B686" s="38"/>
      <c r="C686" s="40"/>
      <c r="D686" s="40"/>
      <c r="E686" s="40"/>
      <c r="F686" s="40"/>
      <c r="G686" s="40"/>
      <c r="H686" s="40"/>
      <c r="I686" s="40"/>
      <c r="J686" s="40"/>
      <c r="K686" s="41"/>
    </row>
    <row r="687" spans="2:14" ht="16" x14ac:dyDescent="0.2">
      <c r="B687" s="38"/>
      <c r="C687" s="182" t="s">
        <v>986</v>
      </c>
      <c r="D687" s="40"/>
      <c r="E687" s="40"/>
      <c r="F687" s="40"/>
      <c r="G687" s="40"/>
      <c r="H687" s="40"/>
      <c r="I687" s="40"/>
      <c r="J687" s="257" t="str">
        <f>IF(OR($J$133="Not Calculated",$J$261="Not Calculated",$J$421="Not Calculated",$J$539="Not Calculated",$J$681="Not Calculated")=TRUE,"Not Calculated",AVERAGE($J$133,$J$261,$J$421,$J$539,$J$681))</f>
        <v>Not Calculated</v>
      </c>
      <c r="K687" s="41"/>
    </row>
    <row r="688" spans="2:14" x14ac:dyDescent="0.2">
      <c r="B688" s="38"/>
      <c r="C688" s="40"/>
      <c r="D688" s="40" t="s">
        <v>343</v>
      </c>
      <c r="E688" s="40"/>
      <c r="F688" s="40"/>
      <c r="G688" s="40"/>
      <c r="H688" s="40"/>
      <c r="I688" s="40"/>
      <c r="J688" s="40"/>
      <c r="K688" s="41"/>
    </row>
    <row r="689" spans="2:11" ht="15" customHeight="1" x14ac:dyDescent="0.2">
      <c r="B689" s="38"/>
      <c r="C689" s="40"/>
      <c r="D689" s="40"/>
      <c r="E689" s="40"/>
      <c r="F689" s="40"/>
      <c r="G689" s="40"/>
      <c r="H689" s="40"/>
      <c r="I689" s="40"/>
      <c r="J689" s="40"/>
      <c r="K689" s="41"/>
    </row>
    <row r="690" spans="2:11" ht="16" x14ac:dyDescent="0.2">
      <c r="B690" s="38"/>
      <c r="C690" s="182" t="s">
        <v>987</v>
      </c>
      <c r="D690" s="40"/>
      <c r="E690" s="40"/>
      <c r="F690" s="40"/>
      <c r="G690" s="40"/>
      <c r="H690" s="40"/>
      <c r="I690" s="40"/>
      <c r="J690" s="257" t="str">
        <f>IF(OR($J$133="Not Calculated",$J$261="Not Calculated",$J$539="Not Calculated",$J$681="Not Calculated")=TRUE,"Not Calculated",AVERAGE($J$133,$J$261,$J$539,$J$681))</f>
        <v>Not Calculated</v>
      </c>
      <c r="K690" s="41"/>
    </row>
    <row r="691" spans="2:11" ht="15" customHeight="1" x14ac:dyDescent="0.2">
      <c r="B691" s="38"/>
      <c r="C691" s="40"/>
      <c r="D691" s="40" t="s">
        <v>344</v>
      </c>
      <c r="E691" s="40"/>
      <c r="F691" s="40"/>
      <c r="G691" s="40"/>
      <c r="H691" s="40"/>
      <c r="I691" s="40"/>
      <c r="J691" s="40"/>
      <c r="K691" s="41"/>
    </row>
    <row r="692" spans="2:11" x14ac:dyDescent="0.2">
      <c r="B692" s="38"/>
      <c r="C692" s="40"/>
      <c r="D692" s="40"/>
      <c r="E692" s="40"/>
      <c r="F692" s="40"/>
      <c r="G692" s="40"/>
      <c r="H692" s="40"/>
      <c r="I692" s="40"/>
      <c r="J692" s="40"/>
      <c r="K692" s="41"/>
    </row>
    <row r="693" spans="2:11" ht="16" x14ac:dyDescent="0.2">
      <c r="B693" s="38"/>
      <c r="C693" s="182" t="s">
        <v>988</v>
      </c>
      <c r="D693" s="40"/>
      <c r="E693" s="40"/>
      <c r="F693" s="40"/>
      <c r="G693" s="40"/>
      <c r="H693" s="40"/>
      <c r="I693" s="40"/>
      <c r="J693" s="257" t="str">
        <f>IF(OR($J$133="Not Calculated",$J$261="Not Calculated",$J$421="Not Calculated")=TRUE,"Not Calculated",AVERAGE($J$133,$J$261,$J$421))</f>
        <v>Not Calculated</v>
      </c>
      <c r="K693" s="41"/>
    </row>
    <row r="694" spans="2:11" x14ac:dyDescent="0.2">
      <c r="B694" s="38"/>
      <c r="C694" s="40"/>
      <c r="D694" s="40" t="s">
        <v>345</v>
      </c>
      <c r="E694" s="40"/>
      <c r="F694" s="40"/>
      <c r="G694" s="40"/>
      <c r="H694" s="40"/>
      <c r="I694" s="40"/>
      <c r="J694" s="40"/>
      <c r="K694" s="41"/>
    </row>
    <row r="695" spans="2:11" ht="16" thickBot="1" x14ac:dyDescent="0.25">
      <c r="B695" s="46"/>
      <c r="C695" s="47"/>
      <c r="D695" s="47"/>
      <c r="E695" s="47"/>
      <c r="F695" s="47"/>
      <c r="G695" s="47"/>
      <c r="H695" s="47"/>
      <c r="I695" s="47"/>
      <c r="J695" s="47"/>
      <c r="K695" s="49"/>
    </row>
    <row r="696" spans="2:11" ht="16" thickBot="1" x14ac:dyDescent="0.25"/>
    <row r="697" spans="2:11" x14ac:dyDescent="0.2">
      <c r="B697" s="183"/>
      <c r="C697" s="184"/>
      <c r="D697" s="184"/>
      <c r="E697" s="184"/>
      <c r="F697" s="184"/>
      <c r="G697" s="184"/>
      <c r="H697" s="184"/>
      <c r="I697" s="184"/>
      <c r="J697" s="184"/>
      <c r="K697" s="185"/>
    </row>
    <row r="698" spans="2:11" ht="21" x14ac:dyDescent="0.25">
      <c r="B698" s="186"/>
      <c r="C698" s="187"/>
      <c r="D698" s="187"/>
      <c r="E698" s="187"/>
      <c r="F698" s="187"/>
      <c r="G698" s="188" t="s">
        <v>231</v>
      </c>
      <c r="H698" s="187"/>
      <c r="I698" s="187"/>
      <c r="J698" s="187"/>
      <c r="K698" s="189"/>
    </row>
    <row r="699" spans="2:11" x14ac:dyDescent="0.2">
      <c r="B699" s="186"/>
      <c r="C699" s="187"/>
      <c r="D699" s="187"/>
      <c r="E699" s="187"/>
      <c r="F699" s="187"/>
      <c r="G699" s="187"/>
      <c r="H699" s="187"/>
      <c r="I699" s="187"/>
      <c r="J699" s="187"/>
      <c r="K699" s="189"/>
    </row>
    <row r="700" spans="2:11" ht="16" x14ac:dyDescent="0.2">
      <c r="B700" s="186"/>
      <c r="C700" s="190" t="s">
        <v>989</v>
      </c>
      <c r="D700" s="187"/>
      <c r="E700" s="187"/>
      <c r="F700" s="187"/>
      <c r="G700" s="187"/>
      <c r="H700" s="187"/>
      <c r="I700" s="187"/>
      <c r="J700" s="256" t="str">
        <f>IF(OR(J687="Not Calculated",$E$17="Not Calculated")=TRUE,"Not Calculated",(J687*$E$17*100/16))</f>
        <v>Not Calculated</v>
      </c>
      <c r="K700" s="189"/>
    </row>
    <row r="701" spans="2:11" x14ac:dyDescent="0.2">
      <c r="B701" s="186"/>
      <c r="C701" s="187"/>
      <c r="D701" s="187" t="s">
        <v>377</v>
      </c>
      <c r="E701" s="187"/>
      <c r="F701" s="187"/>
      <c r="G701" s="187"/>
      <c r="H701" s="187"/>
      <c r="I701" s="187"/>
      <c r="J701" s="187"/>
      <c r="K701" s="189"/>
    </row>
    <row r="702" spans="2:11" x14ac:dyDescent="0.2">
      <c r="B702" s="186"/>
      <c r="C702" s="187"/>
      <c r="D702" s="187"/>
      <c r="E702" s="187"/>
      <c r="F702" s="187"/>
      <c r="G702" s="187"/>
      <c r="H702" s="187"/>
      <c r="I702" s="187"/>
      <c r="J702" s="187"/>
      <c r="K702" s="189"/>
    </row>
    <row r="703" spans="2:11" ht="16" x14ac:dyDescent="0.2">
      <c r="B703" s="186"/>
      <c r="C703" s="190" t="s">
        <v>990</v>
      </c>
      <c r="D703" s="187"/>
      <c r="E703" s="187"/>
      <c r="F703" s="187"/>
      <c r="G703" s="187"/>
      <c r="H703" s="187"/>
      <c r="I703" s="187"/>
      <c r="J703" s="256" t="str">
        <f>IF(OR(J690="Not Calculated",$E$17="Not Calculated")=TRUE,"Not Calculated",(J690*$E$17*100/16))</f>
        <v>Not Calculated</v>
      </c>
      <c r="K703" s="189"/>
    </row>
    <row r="704" spans="2:11" x14ac:dyDescent="0.2">
      <c r="B704" s="186"/>
      <c r="C704" s="187"/>
      <c r="D704" s="187" t="s">
        <v>378</v>
      </c>
      <c r="E704" s="187"/>
      <c r="F704" s="187"/>
      <c r="G704" s="187"/>
      <c r="H704" s="187"/>
      <c r="I704" s="187"/>
      <c r="J704" s="187"/>
      <c r="K704" s="189"/>
    </row>
    <row r="705" spans="2:11" x14ac:dyDescent="0.2">
      <c r="B705" s="186"/>
      <c r="C705" s="187"/>
      <c r="D705" s="187"/>
      <c r="E705" s="187"/>
      <c r="F705" s="187"/>
      <c r="G705" s="187"/>
      <c r="H705" s="187"/>
      <c r="I705" s="187"/>
      <c r="J705" s="187"/>
      <c r="K705" s="189"/>
    </row>
    <row r="706" spans="2:11" ht="16" x14ac:dyDescent="0.2">
      <c r="B706" s="186"/>
      <c r="C706" s="190" t="s">
        <v>991</v>
      </c>
      <c r="D706" s="187"/>
      <c r="E706" s="187"/>
      <c r="F706" s="187"/>
      <c r="G706" s="187"/>
      <c r="H706" s="187"/>
      <c r="I706" s="187"/>
      <c r="J706" s="256" t="str">
        <f>IF(OR(J693="Not Calculated",$E$17="Not Calculated")=TRUE,"Not Calculated",(J693*$E$17*100/16))</f>
        <v>Not Calculated</v>
      </c>
      <c r="K706" s="189"/>
    </row>
    <row r="707" spans="2:11" x14ac:dyDescent="0.2">
      <c r="B707" s="186"/>
      <c r="C707" s="187"/>
      <c r="D707" s="187" t="s">
        <v>379</v>
      </c>
      <c r="E707" s="187"/>
      <c r="F707" s="187"/>
      <c r="G707" s="187"/>
      <c r="H707" s="187"/>
      <c r="I707" s="187"/>
      <c r="J707" s="187"/>
      <c r="K707" s="189"/>
    </row>
    <row r="708" spans="2:11" ht="16" thickBot="1" x14ac:dyDescent="0.25">
      <c r="B708" s="191"/>
      <c r="C708" s="192"/>
      <c r="D708" s="192"/>
      <c r="E708" s="192"/>
      <c r="F708" s="192"/>
      <c r="G708" s="192"/>
      <c r="H708" s="192"/>
      <c r="I708" s="192"/>
      <c r="J708" s="192"/>
      <c r="K708" s="193"/>
    </row>
    <row r="709" spans="2:11" ht="16" thickBot="1" x14ac:dyDescent="0.25"/>
    <row r="710" spans="2:11" x14ac:dyDescent="0.2">
      <c r="B710" s="53"/>
      <c r="C710" s="54"/>
      <c r="D710" s="54"/>
      <c r="E710" s="54"/>
      <c r="F710" s="54"/>
      <c r="G710" s="54"/>
      <c r="H710" s="54"/>
      <c r="I710" s="54"/>
      <c r="J710" s="54"/>
      <c r="K710" s="56"/>
    </row>
    <row r="711" spans="2:11" ht="21" x14ac:dyDescent="0.25">
      <c r="B711" s="57"/>
      <c r="C711" s="59"/>
      <c r="D711" s="59"/>
      <c r="E711" s="59"/>
      <c r="F711" s="59"/>
      <c r="G711" s="194" t="s">
        <v>232</v>
      </c>
      <c r="H711" s="59"/>
      <c r="I711" s="59"/>
      <c r="J711" s="59"/>
      <c r="K711" s="61"/>
    </row>
    <row r="712" spans="2:11" x14ac:dyDescent="0.2">
      <c r="B712" s="57"/>
      <c r="C712" s="59"/>
      <c r="D712" s="59"/>
      <c r="E712" s="59"/>
      <c r="F712" s="59"/>
      <c r="G712" s="59"/>
      <c r="H712" s="59"/>
      <c r="I712" s="59"/>
      <c r="J712" s="59"/>
      <c r="K712" s="61"/>
    </row>
    <row r="713" spans="2:11" ht="16" x14ac:dyDescent="0.2">
      <c r="B713" s="57"/>
      <c r="C713" s="195" t="s">
        <v>363</v>
      </c>
      <c r="D713" s="59"/>
      <c r="E713" s="59"/>
      <c r="F713" s="59"/>
      <c r="G713" s="59"/>
      <c r="H713" s="59"/>
      <c r="I713" s="59"/>
      <c r="J713" s="59"/>
      <c r="K713" s="61"/>
    </row>
    <row r="714" spans="2:11" ht="15" customHeight="1" x14ac:dyDescent="0.2">
      <c r="B714" s="57"/>
      <c r="C714" s="411" t="s">
        <v>364</v>
      </c>
      <c r="D714" s="411"/>
      <c r="E714" s="411"/>
      <c r="F714" s="411"/>
      <c r="G714" s="411"/>
      <c r="H714" s="411"/>
      <c r="I714" s="411"/>
      <c r="J714" s="411"/>
      <c r="K714" s="61"/>
    </row>
    <row r="715" spans="2:11" x14ac:dyDescent="0.2">
      <c r="B715" s="57"/>
      <c r="C715" s="411"/>
      <c r="D715" s="411"/>
      <c r="E715" s="411"/>
      <c r="F715" s="411"/>
      <c r="G715" s="411"/>
      <c r="H715" s="411"/>
      <c r="I715" s="411"/>
      <c r="J715" s="411"/>
      <c r="K715" s="61"/>
    </row>
    <row r="716" spans="2:11" x14ac:dyDescent="0.2">
      <c r="B716" s="57"/>
      <c r="C716" s="411"/>
      <c r="D716" s="411"/>
      <c r="E716" s="411"/>
      <c r="F716" s="411"/>
      <c r="G716" s="411"/>
      <c r="H716" s="411"/>
      <c r="I716" s="411"/>
      <c r="J716" s="411"/>
      <c r="K716" s="61"/>
    </row>
    <row r="717" spans="2:11" x14ac:dyDescent="0.2">
      <c r="B717" s="57"/>
      <c r="C717" s="196" t="s">
        <v>30</v>
      </c>
      <c r="D717" s="59"/>
      <c r="E717" s="59"/>
      <c r="F717" s="59"/>
      <c r="G717" s="431" t="s">
        <v>190</v>
      </c>
      <c r="H717" s="431"/>
      <c r="I717" s="59"/>
      <c r="J717" s="260">
        <f>IF(G717=$B$994,$A$994,IF(G717=$B$995,$A$995,"Not Calculated"))</f>
        <v>1</v>
      </c>
      <c r="K717" s="61"/>
    </row>
    <row r="718" spans="2:11" x14ac:dyDescent="0.2">
      <c r="B718" s="57"/>
      <c r="C718" s="196" t="s">
        <v>32</v>
      </c>
      <c r="D718" s="59"/>
      <c r="E718" s="59"/>
      <c r="F718" s="59"/>
      <c r="G718" s="431" t="s">
        <v>190</v>
      </c>
      <c r="H718" s="431"/>
      <c r="I718" s="59"/>
      <c r="J718" s="260">
        <f t="shared" ref="J718:J725" si="0">IF(G718=$B$994,$A$994,IF(G718=$B$995,$A$995,"Not Calculated"))</f>
        <v>1</v>
      </c>
      <c r="K718" s="61"/>
    </row>
    <row r="719" spans="2:11" x14ac:dyDescent="0.2">
      <c r="B719" s="57"/>
      <c r="C719" s="196" t="s">
        <v>34</v>
      </c>
      <c r="D719" s="59"/>
      <c r="E719" s="59"/>
      <c r="F719" s="59"/>
      <c r="G719" s="431" t="s">
        <v>202</v>
      </c>
      <c r="H719" s="431"/>
      <c r="I719" s="59"/>
      <c r="J719" s="260">
        <f t="shared" si="0"/>
        <v>0</v>
      </c>
      <c r="K719" s="61"/>
    </row>
    <row r="720" spans="2:11" x14ac:dyDescent="0.2">
      <c r="B720" s="57"/>
      <c r="C720" s="196" t="s">
        <v>35</v>
      </c>
      <c r="D720" s="59"/>
      <c r="E720" s="59"/>
      <c r="F720" s="59"/>
      <c r="G720" s="431" t="s">
        <v>190</v>
      </c>
      <c r="H720" s="431"/>
      <c r="I720" s="59"/>
      <c r="J720" s="260">
        <f t="shared" si="0"/>
        <v>1</v>
      </c>
      <c r="K720" s="61"/>
    </row>
    <row r="721" spans="2:11" x14ac:dyDescent="0.2">
      <c r="B721" s="57"/>
      <c r="C721" s="196" t="s">
        <v>37</v>
      </c>
      <c r="D721" s="59"/>
      <c r="E721" s="59"/>
      <c r="F721" s="59"/>
      <c r="G721" s="431" t="s">
        <v>190</v>
      </c>
      <c r="H721" s="431"/>
      <c r="I721" s="59"/>
      <c r="J721" s="260">
        <f t="shared" si="0"/>
        <v>1</v>
      </c>
      <c r="K721" s="61"/>
    </row>
    <row r="722" spans="2:11" x14ac:dyDescent="0.2">
      <c r="B722" s="57"/>
      <c r="C722" s="196" t="s">
        <v>38</v>
      </c>
      <c r="D722" s="59"/>
      <c r="E722" s="59"/>
      <c r="F722" s="59"/>
      <c r="G722" s="431" t="s">
        <v>190</v>
      </c>
      <c r="H722" s="431"/>
      <c r="I722" s="59"/>
      <c r="J722" s="260">
        <f t="shared" si="0"/>
        <v>1</v>
      </c>
      <c r="K722" s="61"/>
    </row>
    <row r="723" spans="2:11" x14ac:dyDescent="0.2">
      <c r="B723" s="57"/>
      <c r="C723" s="196" t="s">
        <v>40</v>
      </c>
      <c r="D723" s="59"/>
      <c r="E723" s="59"/>
      <c r="F723" s="59"/>
      <c r="G723" s="431" t="s">
        <v>202</v>
      </c>
      <c r="H723" s="431"/>
      <c r="I723" s="59"/>
      <c r="J723" s="260">
        <f t="shared" si="0"/>
        <v>0</v>
      </c>
      <c r="K723" s="61"/>
    </row>
    <row r="724" spans="2:11" x14ac:dyDescent="0.2">
      <c r="B724" s="57"/>
      <c r="C724" s="196" t="s">
        <v>41</v>
      </c>
      <c r="D724" s="59"/>
      <c r="E724" s="59"/>
      <c r="F724" s="59"/>
      <c r="G724" s="431" t="s">
        <v>190</v>
      </c>
      <c r="H724" s="431"/>
      <c r="I724" s="59"/>
      <c r="J724" s="260">
        <f t="shared" si="0"/>
        <v>1</v>
      </c>
      <c r="K724" s="61"/>
    </row>
    <row r="725" spans="2:11" x14ac:dyDescent="0.2">
      <c r="B725" s="57"/>
      <c r="C725" s="196" t="s">
        <v>43</v>
      </c>
      <c r="D725" s="59"/>
      <c r="E725" s="59"/>
      <c r="F725" s="59"/>
      <c r="G725" s="431" t="s">
        <v>202</v>
      </c>
      <c r="H725" s="431"/>
      <c r="I725" s="59"/>
      <c r="J725" s="260">
        <f t="shared" si="0"/>
        <v>0</v>
      </c>
      <c r="K725" s="61"/>
    </row>
    <row r="726" spans="2:11" x14ac:dyDescent="0.2">
      <c r="B726" s="57"/>
      <c r="C726" s="59"/>
      <c r="D726" s="59"/>
      <c r="E726" s="59"/>
      <c r="F726" s="59"/>
      <c r="G726" s="59"/>
      <c r="H726" s="59"/>
      <c r="I726" s="59"/>
      <c r="J726" s="59"/>
      <c r="K726" s="61"/>
    </row>
    <row r="727" spans="2:11" x14ac:dyDescent="0.2">
      <c r="B727" s="57"/>
      <c r="C727" s="59"/>
      <c r="D727" s="59"/>
      <c r="E727" s="59"/>
      <c r="F727" s="59"/>
      <c r="G727" s="59"/>
      <c r="H727" s="59"/>
      <c r="I727" s="59"/>
      <c r="J727" s="59"/>
      <c r="K727" s="61"/>
    </row>
    <row r="728" spans="2:11" ht="16" x14ac:dyDescent="0.2">
      <c r="B728" s="57"/>
      <c r="C728" s="195" t="s">
        <v>115</v>
      </c>
      <c r="D728" s="59"/>
      <c r="E728" s="59"/>
      <c r="F728" s="59"/>
      <c r="G728" s="59"/>
      <c r="H728" s="59"/>
      <c r="I728" s="59"/>
      <c r="J728" s="59"/>
      <c r="K728" s="61"/>
    </row>
    <row r="729" spans="2:11" ht="15" customHeight="1" x14ac:dyDescent="0.2">
      <c r="B729" s="57"/>
      <c r="C729" s="411" t="s">
        <v>365</v>
      </c>
      <c r="D729" s="411"/>
      <c r="E729" s="411"/>
      <c r="F729" s="411"/>
      <c r="G729" s="411"/>
      <c r="H729" s="411"/>
      <c r="I729" s="411"/>
      <c r="J729" s="411"/>
      <c r="K729" s="61"/>
    </row>
    <row r="730" spans="2:11" x14ac:dyDescent="0.2">
      <c r="B730" s="57"/>
      <c r="C730" s="411"/>
      <c r="D730" s="411"/>
      <c r="E730" s="411"/>
      <c r="F730" s="411"/>
      <c r="G730" s="411"/>
      <c r="H730" s="411"/>
      <c r="I730" s="411"/>
      <c r="J730" s="411"/>
      <c r="K730" s="61"/>
    </row>
    <row r="731" spans="2:11" x14ac:dyDescent="0.2">
      <c r="B731" s="57"/>
      <c r="C731" s="411"/>
      <c r="D731" s="411"/>
      <c r="E731" s="411"/>
      <c r="F731" s="411"/>
      <c r="G731" s="411"/>
      <c r="H731" s="411"/>
      <c r="I731" s="411"/>
      <c r="J731" s="411"/>
      <c r="K731" s="61"/>
    </row>
    <row r="732" spans="2:11" x14ac:dyDescent="0.2">
      <c r="B732" s="57"/>
      <c r="C732" s="196" t="s">
        <v>30</v>
      </c>
      <c r="D732" s="59"/>
      <c r="E732" s="59"/>
      <c r="F732" s="59"/>
      <c r="G732" s="431" t="s">
        <v>202</v>
      </c>
      <c r="H732" s="431"/>
      <c r="I732" s="59"/>
      <c r="J732" s="260">
        <f>IF(G732=$B$994,$A$994,IF(G732=$B$995,$A$995,"Not Calculated"))</f>
        <v>0</v>
      </c>
      <c r="K732" s="61"/>
    </row>
    <row r="733" spans="2:11" x14ac:dyDescent="0.2">
      <c r="B733" s="57"/>
      <c r="C733" s="196" t="s">
        <v>32</v>
      </c>
      <c r="D733" s="59"/>
      <c r="E733" s="59"/>
      <c r="F733" s="59"/>
      <c r="G733" s="431" t="s">
        <v>202</v>
      </c>
      <c r="H733" s="431"/>
      <c r="I733" s="59"/>
      <c r="J733" s="260">
        <f t="shared" ref="J733:J740" si="1">IF(G733=$B$994,$A$994,IF(G733=$B$995,$A$995,"Not Calculated"))</f>
        <v>0</v>
      </c>
      <c r="K733" s="61"/>
    </row>
    <row r="734" spans="2:11" ht="15" customHeight="1" x14ac:dyDescent="0.2">
      <c r="B734" s="57"/>
      <c r="C734" s="196" t="s">
        <v>34</v>
      </c>
      <c r="D734" s="59"/>
      <c r="E734" s="59"/>
      <c r="F734" s="59"/>
      <c r="G734" s="431" t="s">
        <v>202</v>
      </c>
      <c r="H734" s="431"/>
      <c r="I734" s="59"/>
      <c r="J734" s="260">
        <f t="shared" si="1"/>
        <v>0</v>
      </c>
      <c r="K734" s="61"/>
    </row>
    <row r="735" spans="2:11" x14ac:dyDescent="0.2">
      <c r="B735" s="57"/>
      <c r="C735" s="196" t="s">
        <v>35</v>
      </c>
      <c r="D735" s="59"/>
      <c r="E735" s="59"/>
      <c r="F735" s="59"/>
      <c r="G735" s="431" t="s">
        <v>202</v>
      </c>
      <c r="H735" s="431"/>
      <c r="I735" s="59"/>
      <c r="J735" s="260">
        <f t="shared" si="1"/>
        <v>0</v>
      </c>
      <c r="K735" s="61"/>
    </row>
    <row r="736" spans="2:11" x14ac:dyDescent="0.2">
      <c r="B736" s="57"/>
      <c r="C736" s="196" t="s">
        <v>37</v>
      </c>
      <c r="D736" s="59"/>
      <c r="E736" s="59"/>
      <c r="F736" s="59"/>
      <c r="G736" s="431" t="s">
        <v>202</v>
      </c>
      <c r="H736" s="431"/>
      <c r="I736" s="59"/>
      <c r="J736" s="260">
        <f t="shared" si="1"/>
        <v>0</v>
      </c>
      <c r="K736" s="61"/>
    </row>
    <row r="737" spans="2:11" x14ac:dyDescent="0.2">
      <c r="B737" s="57"/>
      <c r="C737" s="196" t="s">
        <v>38</v>
      </c>
      <c r="D737" s="59"/>
      <c r="E737" s="59"/>
      <c r="F737" s="59"/>
      <c r="G737" s="431" t="s">
        <v>202</v>
      </c>
      <c r="H737" s="431"/>
      <c r="I737" s="59"/>
      <c r="J737" s="260">
        <f t="shared" si="1"/>
        <v>0</v>
      </c>
      <c r="K737" s="61"/>
    </row>
    <row r="738" spans="2:11" x14ac:dyDescent="0.2">
      <c r="B738" s="57"/>
      <c r="C738" s="196" t="s">
        <v>40</v>
      </c>
      <c r="D738" s="59"/>
      <c r="E738" s="59"/>
      <c r="F738" s="59"/>
      <c r="G738" s="431" t="s">
        <v>202</v>
      </c>
      <c r="H738" s="431"/>
      <c r="I738" s="59"/>
      <c r="J738" s="260">
        <f t="shared" si="1"/>
        <v>0</v>
      </c>
      <c r="K738" s="61"/>
    </row>
    <row r="739" spans="2:11" x14ac:dyDescent="0.2">
      <c r="B739" s="57"/>
      <c r="C739" s="196" t="s">
        <v>41</v>
      </c>
      <c r="D739" s="59"/>
      <c r="E739" s="59"/>
      <c r="F739" s="59"/>
      <c r="G739" s="431" t="s">
        <v>202</v>
      </c>
      <c r="H739" s="431"/>
      <c r="I739" s="59"/>
      <c r="J739" s="260">
        <f t="shared" si="1"/>
        <v>0</v>
      </c>
      <c r="K739" s="61"/>
    </row>
    <row r="740" spans="2:11" x14ac:dyDescent="0.2">
      <c r="B740" s="57"/>
      <c r="C740" s="196" t="s">
        <v>43</v>
      </c>
      <c r="D740" s="59"/>
      <c r="E740" s="59"/>
      <c r="F740" s="59"/>
      <c r="G740" s="431" t="s">
        <v>202</v>
      </c>
      <c r="H740" s="431"/>
      <c r="I740" s="59"/>
      <c r="J740" s="260">
        <f t="shared" si="1"/>
        <v>0</v>
      </c>
      <c r="K740" s="61"/>
    </row>
    <row r="741" spans="2:11" x14ac:dyDescent="0.2">
      <c r="B741" s="57"/>
      <c r="C741" s="59"/>
      <c r="D741" s="59"/>
      <c r="E741" s="59"/>
      <c r="F741" s="59"/>
      <c r="G741" s="59"/>
      <c r="H741" s="59"/>
      <c r="I741" s="59"/>
      <c r="J741" s="59"/>
      <c r="K741" s="61"/>
    </row>
    <row r="742" spans="2:11" x14ac:dyDescent="0.2">
      <c r="B742" s="57"/>
      <c r="C742" s="59"/>
      <c r="D742" s="59"/>
      <c r="E742" s="59"/>
      <c r="F742" s="59"/>
      <c r="G742" s="59"/>
      <c r="H742" s="59"/>
      <c r="I742" s="59"/>
      <c r="J742" s="59"/>
      <c r="K742" s="61"/>
    </row>
    <row r="743" spans="2:11" ht="16" x14ac:dyDescent="0.2">
      <c r="B743" s="57"/>
      <c r="C743" s="195" t="s">
        <v>366</v>
      </c>
      <c r="D743" s="59"/>
      <c r="E743" s="59"/>
      <c r="F743" s="59"/>
      <c r="G743" s="59"/>
      <c r="H743" s="59"/>
      <c r="I743" s="59"/>
      <c r="J743" s="59"/>
      <c r="K743" s="61"/>
    </row>
    <row r="744" spans="2:11" ht="15" customHeight="1" x14ac:dyDescent="0.2">
      <c r="B744" s="57"/>
      <c r="C744" s="411" t="s">
        <v>367</v>
      </c>
      <c r="D744" s="411"/>
      <c r="E744" s="411"/>
      <c r="F744" s="411"/>
      <c r="G744" s="411"/>
      <c r="H744" s="411"/>
      <c r="I744" s="411"/>
      <c r="J744" s="411"/>
      <c r="K744" s="61"/>
    </row>
    <row r="745" spans="2:11" x14ac:dyDescent="0.2">
      <c r="B745" s="57"/>
      <c r="C745" s="411"/>
      <c r="D745" s="411"/>
      <c r="E745" s="411"/>
      <c r="F745" s="411"/>
      <c r="G745" s="411"/>
      <c r="H745" s="411"/>
      <c r="I745" s="411"/>
      <c r="J745" s="411"/>
      <c r="K745" s="61"/>
    </row>
    <row r="746" spans="2:11" x14ac:dyDescent="0.2">
      <c r="B746" s="57"/>
      <c r="C746" s="411"/>
      <c r="D746" s="411"/>
      <c r="E746" s="411"/>
      <c r="F746" s="411"/>
      <c r="G746" s="411"/>
      <c r="H746" s="411"/>
      <c r="I746" s="411"/>
      <c r="J746" s="411"/>
      <c r="K746" s="61"/>
    </row>
    <row r="747" spans="2:11" x14ac:dyDescent="0.2">
      <c r="B747" s="57"/>
      <c r="C747" s="196" t="s">
        <v>30</v>
      </c>
      <c r="D747" s="59"/>
      <c r="E747" s="59"/>
      <c r="F747" s="59"/>
      <c r="G747" s="431" t="s">
        <v>202</v>
      </c>
      <c r="H747" s="431"/>
      <c r="I747" s="59"/>
      <c r="J747" s="260">
        <f>IF(G747=$B$994,$A$994,IF(G747=$B$995,$A$995,"Not Calculated"))</f>
        <v>0</v>
      </c>
      <c r="K747" s="61"/>
    </row>
    <row r="748" spans="2:11" x14ac:dyDescent="0.2">
      <c r="B748" s="57"/>
      <c r="C748" s="196" t="s">
        <v>32</v>
      </c>
      <c r="D748" s="59"/>
      <c r="E748" s="59"/>
      <c r="F748" s="59"/>
      <c r="G748" s="431" t="s">
        <v>202</v>
      </c>
      <c r="H748" s="431"/>
      <c r="I748" s="59"/>
      <c r="J748" s="260">
        <f t="shared" ref="J748:J755" si="2">IF(G748=$B$994,$A$994,IF(G748=$B$995,$A$995,"Not Calculated"))</f>
        <v>0</v>
      </c>
      <c r="K748" s="61"/>
    </row>
    <row r="749" spans="2:11" ht="15" customHeight="1" x14ac:dyDescent="0.2">
      <c r="B749" s="57"/>
      <c r="C749" s="196" t="s">
        <v>34</v>
      </c>
      <c r="D749" s="59"/>
      <c r="E749" s="59"/>
      <c r="F749" s="59"/>
      <c r="G749" s="431" t="s">
        <v>202</v>
      </c>
      <c r="H749" s="431"/>
      <c r="I749" s="59"/>
      <c r="J749" s="260">
        <f t="shared" si="2"/>
        <v>0</v>
      </c>
      <c r="K749" s="61"/>
    </row>
    <row r="750" spans="2:11" x14ac:dyDescent="0.2">
      <c r="B750" s="57"/>
      <c r="C750" s="196" t="s">
        <v>35</v>
      </c>
      <c r="D750" s="59"/>
      <c r="E750" s="59"/>
      <c r="F750" s="59"/>
      <c r="G750" s="431" t="s">
        <v>202</v>
      </c>
      <c r="H750" s="431"/>
      <c r="I750" s="59"/>
      <c r="J750" s="260">
        <f t="shared" si="2"/>
        <v>0</v>
      </c>
      <c r="K750" s="61"/>
    </row>
    <row r="751" spans="2:11" x14ac:dyDescent="0.2">
      <c r="B751" s="57"/>
      <c r="C751" s="196" t="s">
        <v>37</v>
      </c>
      <c r="D751" s="59"/>
      <c r="E751" s="59"/>
      <c r="F751" s="59"/>
      <c r="G751" s="431" t="s">
        <v>202</v>
      </c>
      <c r="H751" s="431"/>
      <c r="I751" s="59"/>
      <c r="J751" s="260">
        <f t="shared" si="2"/>
        <v>0</v>
      </c>
      <c r="K751" s="61"/>
    </row>
    <row r="752" spans="2:11" x14ac:dyDescent="0.2">
      <c r="B752" s="57"/>
      <c r="C752" s="196" t="s">
        <v>38</v>
      </c>
      <c r="D752" s="59"/>
      <c r="E752" s="59"/>
      <c r="F752" s="59"/>
      <c r="G752" s="431" t="s">
        <v>202</v>
      </c>
      <c r="H752" s="431"/>
      <c r="I752" s="59"/>
      <c r="J752" s="260">
        <f t="shared" si="2"/>
        <v>0</v>
      </c>
      <c r="K752" s="61"/>
    </row>
    <row r="753" spans="2:11" x14ac:dyDescent="0.2">
      <c r="B753" s="57"/>
      <c r="C753" s="196" t="s">
        <v>40</v>
      </c>
      <c r="D753" s="59"/>
      <c r="E753" s="59"/>
      <c r="F753" s="59"/>
      <c r="G753" s="431" t="s">
        <v>202</v>
      </c>
      <c r="H753" s="431"/>
      <c r="I753" s="59"/>
      <c r="J753" s="260">
        <f t="shared" si="2"/>
        <v>0</v>
      </c>
      <c r="K753" s="61"/>
    </row>
    <row r="754" spans="2:11" x14ac:dyDescent="0.2">
      <c r="B754" s="57"/>
      <c r="C754" s="196" t="s">
        <v>41</v>
      </c>
      <c r="D754" s="59"/>
      <c r="E754" s="59"/>
      <c r="F754" s="59"/>
      <c r="G754" s="431" t="s">
        <v>202</v>
      </c>
      <c r="H754" s="431"/>
      <c r="I754" s="59"/>
      <c r="J754" s="260">
        <f t="shared" si="2"/>
        <v>0</v>
      </c>
      <c r="K754" s="61"/>
    </row>
    <row r="755" spans="2:11" x14ac:dyDescent="0.2">
      <c r="B755" s="57"/>
      <c r="C755" s="196" t="s">
        <v>43</v>
      </c>
      <c r="D755" s="59"/>
      <c r="E755" s="59"/>
      <c r="F755" s="59"/>
      <c r="G755" s="431" t="s">
        <v>202</v>
      </c>
      <c r="H755" s="431"/>
      <c r="I755" s="59"/>
      <c r="J755" s="260">
        <f t="shared" si="2"/>
        <v>0</v>
      </c>
      <c r="K755" s="61"/>
    </row>
    <row r="756" spans="2:11" x14ac:dyDescent="0.2">
      <c r="B756" s="57"/>
      <c r="C756" s="59"/>
      <c r="D756" s="59"/>
      <c r="E756" s="59"/>
      <c r="F756" s="59"/>
      <c r="G756" s="59"/>
      <c r="H756" s="59"/>
      <c r="I756" s="59"/>
      <c r="J756" s="59"/>
      <c r="K756" s="61"/>
    </row>
    <row r="757" spans="2:11" x14ac:dyDescent="0.2">
      <c r="B757" s="57"/>
      <c r="C757" s="59"/>
      <c r="D757" s="59"/>
      <c r="E757" s="59"/>
      <c r="F757" s="59"/>
      <c r="G757" s="59"/>
      <c r="H757" s="59"/>
      <c r="I757" s="59"/>
      <c r="J757" s="59"/>
      <c r="K757" s="61"/>
    </row>
    <row r="758" spans="2:11" ht="16" x14ac:dyDescent="0.2">
      <c r="B758" s="57"/>
      <c r="C758" s="195" t="s">
        <v>368</v>
      </c>
      <c r="D758" s="59"/>
      <c r="E758" s="59"/>
      <c r="F758" s="59"/>
      <c r="G758" s="59"/>
      <c r="H758" s="59"/>
      <c r="I758" s="59"/>
      <c r="J758" s="59"/>
      <c r="K758" s="61"/>
    </row>
    <row r="759" spans="2:11" ht="15" customHeight="1" x14ac:dyDescent="0.2">
      <c r="B759" s="57"/>
      <c r="C759" s="411" t="s">
        <v>369</v>
      </c>
      <c r="D759" s="411"/>
      <c r="E759" s="411"/>
      <c r="F759" s="411"/>
      <c r="G759" s="411"/>
      <c r="H759" s="411"/>
      <c r="I759" s="411"/>
      <c r="J759" s="411"/>
      <c r="K759" s="61"/>
    </row>
    <row r="760" spans="2:11" x14ac:dyDescent="0.2">
      <c r="B760" s="57"/>
      <c r="C760" s="411"/>
      <c r="D760" s="411"/>
      <c r="E760" s="411"/>
      <c r="F760" s="411"/>
      <c r="G760" s="411"/>
      <c r="H760" s="411"/>
      <c r="I760" s="411"/>
      <c r="J760" s="411"/>
      <c r="K760" s="61"/>
    </row>
    <row r="761" spans="2:11" x14ac:dyDescent="0.2">
      <c r="B761" s="57"/>
      <c r="C761" s="411"/>
      <c r="D761" s="411"/>
      <c r="E761" s="411"/>
      <c r="F761" s="411"/>
      <c r="G761" s="411"/>
      <c r="H761" s="411"/>
      <c r="I761" s="411"/>
      <c r="J761" s="411"/>
      <c r="K761" s="61"/>
    </row>
    <row r="762" spans="2:11" x14ac:dyDescent="0.2">
      <c r="B762" s="57"/>
      <c r="C762" s="196" t="s">
        <v>30</v>
      </c>
      <c r="D762" s="59"/>
      <c r="E762" s="59"/>
      <c r="F762" s="59"/>
      <c r="G762" s="431" t="s">
        <v>202</v>
      </c>
      <c r="H762" s="431"/>
      <c r="I762" s="59"/>
      <c r="J762" s="260">
        <f>IF(G762=$B$994,$A$994,IF(G762=$B$995,$A$995,"Not Calculated"))</f>
        <v>0</v>
      </c>
      <c r="K762" s="61"/>
    </row>
    <row r="763" spans="2:11" x14ac:dyDescent="0.2">
      <c r="B763" s="57"/>
      <c r="C763" s="196" t="s">
        <v>32</v>
      </c>
      <c r="D763" s="59"/>
      <c r="E763" s="59"/>
      <c r="F763" s="59"/>
      <c r="G763" s="431" t="s">
        <v>202</v>
      </c>
      <c r="H763" s="431"/>
      <c r="I763" s="59"/>
      <c r="J763" s="260">
        <f t="shared" ref="J763:J770" si="3">IF(G763=$B$994,$A$994,IF(G763=$B$995,$A$995,"Not Calculated"))</f>
        <v>0</v>
      </c>
      <c r="K763" s="61"/>
    </row>
    <row r="764" spans="2:11" ht="15" customHeight="1" x14ac:dyDescent="0.2">
      <c r="B764" s="57"/>
      <c r="C764" s="196" t="s">
        <v>34</v>
      </c>
      <c r="D764" s="59"/>
      <c r="E764" s="59"/>
      <c r="F764" s="59"/>
      <c r="G764" s="431" t="s">
        <v>202</v>
      </c>
      <c r="H764" s="431"/>
      <c r="I764" s="59"/>
      <c r="J764" s="260">
        <f t="shared" si="3"/>
        <v>0</v>
      </c>
      <c r="K764" s="61"/>
    </row>
    <row r="765" spans="2:11" x14ac:dyDescent="0.2">
      <c r="B765" s="57"/>
      <c r="C765" s="196" t="s">
        <v>35</v>
      </c>
      <c r="D765" s="59"/>
      <c r="E765" s="59"/>
      <c r="F765" s="59"/>
      <c r="G765" s="431" t="s">
        <v>202</v>
      </c>
      <c r="H765" s="431"/>
      <c r="I765" s="59"/>
      <c r="J765" s="260">
        <f t="shared" si="3"/>
        <v>0</v>
      </c>
      <c r="K765" s="61"/>
    </row>
    <row r="766" spans="2:11" x14ac:dyDescent="0.2">
      <c r="B766" s="57"/>
      <c r="C766" s="196" t="s">
        <v>37</v>
      </c>
      <c r="D766" s="59"/>
      <c r="E766" s="59"/>
      <c r="F766" s="59"/>
      <c r="G766" s="431" t="s">
        <v>202</v>
      </c>
      <c r="H766" s="431"/>
      <c r="I766" s="59"/>
      <c r="J766" s="260">
        <f t="shared" si="3"/>
        <v>0</v>
      </c>
      <c r="K766" s="61"/>
    </row>
    <row r="767" spans="2:11" x14ac:dyDescent="0.2">
      <c r="B767" s="57"/>
      <c r="C767" s="196" t="s">
        <v>38</v>
      </c>
      <c r="D767" s="59"/>
      <c r="E767" s="59"/>
      <c r="F767" s="59"/>
      <c r="G767" s="431" t="s">
        <v>202</v>
      </c>
      <c r="H767" s="431"/>
      <c r="I767" s="59"/>
      <c r="J767" s="260">
        <f t="shared" si="3"/>
        <v>0</v>
      </c>
      <c r="K767" s="61"/>
    </row>
    <row r="768" spans="2:11" x14ac:dyDescent="0.2">
      <c r="B768" s="57"/>
      <c r="C768" s="196" t="s">
        <v>40</v>
      </c>
      <c r="D768" s="59"/>
      <c r="E768" s="59"/>
      <c r="F768" s="59"/>
      <c r="G768" s="431" t="s">
        <v>202</v>
      </c>
      <c r="H768" s="431"/>
      <c r="I768" s="59"/>
      <c r="J768" s="260">
        <f t="shared" si="3"/>
        <v>0</v>
      </c>
      <c r="K768" s="61"/>
    </row>
    <row r="769" spans="2:11" x14ac:dyDescent="0.2">
      <c r="B769" s="57"/>
      <c r="C769" s="196" t="s">
        <v>41</v>
      </c>
      <c r="D769" s="59"/>
      <c r="E769" s="59"/>
      <c r="F769" s="59"/>
      <c r="G769" s="431" t="s">
        <v>202</v>
      </c>
      <c r="H769" s="431"/>
      <c r="I769" s="59"/>
      <c r="J769" s="260">
        <f t="shared" si="3"/>
        <v>0</v>
      </c>
      <c r="K769" s="61"/>
    </row>
    <row r="770" spans="2:11" x14ac:dyDescent="0.2">
      <c r="B770" s="57"/>
      <c r="C770" s="196" t="s">
        <v>43</v>
      </c>
      <c r="D770" s="59"/>
      <c r="E770" s="59"/>
      <c r="F770" s="59"/>
      <c r="G770" s="431" t="s">
        <v>202</v>
      </c>
      <c r="H770" s="431"/>
      <c r="I770" s="59"/>
      <c r="J770" s="260">
        <f t="shared" si="3"/>
        <v>0</v>
      </c>
      <c r="K770" s="61"/>
    </row>
    <row r="771" spans="2:11" x14ac:dyDescent="0.2">
      <c r="B771" s="57"/>
      <c r="C771" s="59"/>
      <c r="D771" s="59"/>
      <c r="E771" s="59"/>
      <c r="F771" s="59"/>
      <c r="G771" s="59"/>
      <c r="H771" s="59"/>
      <c r="I771" s="59"/>
      <c r="J771" s="59"/>
      <c r="K771" s="61"/>
    </row>
    <row r="772" spans="2:11" x14ac:dyDescent="0.2">
      <c r="B772" s="57"/>
      <c r="C772" s="59"/>
      <c r="D772" s="59"/>
      <c r="E772" s="59"/>
      <c r="F772" s="59"/>
      <c r="G772" s="59"/>
      <c r="H772" s="59"/>
      <c r="I772" s="59"/>
      <c r="J772" s="59"/>
      <c r="K772" s="61"/>
    </row>
    <row r="773" spans="2:11" ht="16" x14ac:dyDescent="0.2">
      <c r="B773" s="57"/>
      <c r="C773" s="197" t="s">
        <v>30</v>
      </c>
      <c r="D773" s="59"/>
      <c r="E773" s="59"/>
      <c r="F773" s="59"/>
      <c r="G773" s="59"/>
      <c r="H773" s="59"/>
      <c r="I773" s="59"/>
      <c r="J773" s="59"/>
      <c r="K773" s="61"/>
    </row>
    <row r="774" spans="2:11" x14ac:dyDescent="0.2">
      <c r="B774" s="57"/>
      <c r="C774" s="59"/>
      <c r="D774" s="59" t="s">
        <v>370</v>
      </c>
      <c r="E774" s="59"/>
      <c r="F774" s="59"/>
      <c r="G774" s="59"/>
      <c r="H774" s="59"/>
      <c r="I774" s="59"/>
      <c r="J774" s="60">
        <f>'Baseline At-Risk Pops'!H8</f>
        <v>0</v>
      </c>
      <c r="K774" s="61"/>
    </row>
    <row r="775" spans="2:11" x14ac:dyDescent="0.2">
      <c r="B775" s="57"/>
      <c r="C775" s="59"/>
      <c r="D775" s="59" t="s">
        <v>371</v>
      </c>
      <c r="E775" s="59"/>
      <c r="F775" s="59"/>
      <c r="G775" s="59"/>
      <c r="H775" s="59"/>
      <c r="I775" s="59"/>
      <c r="J775" s="60">
        <f>SUM(J717,J732,J747,J762)</f>
        <v>1</v>
      </c>
      <c r="K775" s="61"/>
    </row>
    <row r="776" spans="2:11" x14ac:dyDescent="0.2">
      <c r="B776" s="57"/>
      <c r="C776" s="59"/>
      <c r="D776" s="196" t="s">
        <v>372</v>
      </c>
      <c r="E776" s="59"/>
      <c r="F776" s="59"/>
      <c r="G776" s="59"/>
      <c r="H776" s="59"/>
      <c r="I776" s="59"/>
      <c r="J776" s="60">
        <f>AVERAGE(J774,J775)</f>
        <v>0.5</v>
      </c>
      <c r="K776" s="61"/>
    </row>
    <row r="777" spans="2:11" ht="16" x14ac:dyDescent="0.2">
      <c r="B777" s="57"/>
      <c r="C777" s="197" t="s">
        <v>32</v>
      </c>
      <c r="D777" s="59"/>
      <c r="E777" s="59"/>
      <c r="F777" s="59"/>
      <c r="G777" s="59"/>
      <c r="H777" s="59"/>
      <c r="I777" s="59"/>
      <c r="J777" s="60"/>
      <c r="K777" s="61"/>
    </row>
    <row r="778" spans="2:11" x14ac:dyDescent="0.2">
      <c r="B778" s="57"/>
      <c r="C778" s="59"/>
      <c r="D778" s="59" t="s">
        <v>370</v>
      </c>
      <c r="E778" s="59"/>
      <c r="F778" s="59"/>
      <c r="G778" s="59"/>
      <c r="H778" s="59"/>
      <c r="I778" s="59"/>
      <c r="J778" s="60">
        <f>'Baseline At-Risk Pops'!H14</f>
        <v>0</v>
      </c>
      <c r="K778" s="61"/>
    </row>
    <row r="779" spans="2:11" ht="15" customHeight="1" x14ac:dyDescent="0.2">
      <c r="B779" s="57"/>
      <c r="C779" s="59"/>
      <c r="D779" s="59" t="s">
        <v>371</v>
      </c>
      <c r="E779" s="59"/>
      <c r="F779" s="59"/>
      <c r="G779" s="59"/>
      <c r="H779" s="59"/>
      <c r="I779" s="59"/>
      <c r="J779" s="60">
        <f>SUM(J718,J733,J748,J763)</f>
        <v>1</v>
      </c>
      <c r="K779" s="61"/>
    </row>
    <row r="780" spans="2:11" x14ac:dyDescent="0.2">
      <c r="B780" s="57"/>
      <c r="C780" s="59"/>
      <c r="D780" s="196" t="s">
        <v>372</v>
      </c>
      <c r="E780" s="59"/>
      <c r="F780" s="59"/>
      <c r="G780" s="59"/>
      <c r="H780" s="59"/>
      <c r="I780" s="59"/>
      <c r="J780" s="60">
        <f>AVERAGE(J778,J779)</f>
        <v>0.5</v>
      </c>
      <c r="K780" s="61"/>
    </row>
    <row r="781" spans="2:11" ht="16" x14ac:dyDescent="0.2">
      <c r="B781" s="57"/>
      <c r="C781" s="197" t="s">
        <v>34</v>
      </c>
      <c r="D781" s="59"/>
      <c r="E781" s="59"/>
      <c r="F781" s="59"/>
      <c r="G781" s="59"/>
      <c r="H781" s="59"/>
      <c r="I781" s="59"/>
      <c r="J781" s="60"/>
      <c r="K781" s="61"/>
    </row>
    <row r="782" spans="2:11" ht="16" x14ac:dyDescent="0.2">
      <c r="B782" s="57"/>
      <c r="C782" s="197"/>
      <c r="D782" s="59" t="s">
        <v>370</v>
      </c>
      <c r="E782" s="59"/>
      <c r="F782" s="59"/>
      <c r="G782" s="59"/>
      <c r="H782" s="59"/>
      <c r="I782" s="59"/>
      <c r="J782" s="60">
        <f>'Baseline At-Risk Pops'!H21</f>
        <v>0</v>
      </c>
      <c r="K782" s="61"/>
    </row>
    <row r="783" spans="2:11" x14ac:dyDescent="0.2">
      <c r="B783" s="57"/>
      <c r="C783" s="59"/>
      <c r="D783" s="59" t="s">
        <v>371</v>
      </c>
      <c r="E783" s="59"/>
      <c r="F783" s="59"/>
      <c r="G783" s="59"/>
      <c r="H783" s="59"/>
      <c r="I783" s="59"/>
      <c r="J783" s="60">
        <f>SUM(J719,J734,J749,J764)</f>
        <v>0</v>
      </c>
      <c r="K783" s="61"/>
    </row>
    <row r="784" spans="2:11" x14ac:dyDescent="0.2">
      <c r="B784" s="57"/>
      <c r="C784" s="59"/>
      <c r="D784" s="196" t="s">
        <v>372</v>
      </c>
      <c r="E784" s="59"/>
      <c r="F784" s="59"/>
      <c r="G784" s="59"/>
      <c r="H784" s="59"/>
      <c r="I784" s="59"/>
      <c r="J784" s="60">
        <f>AVERAGE(J782,J783)</f>
        <v>0</v>
      </c>
      <c r="K784" s="61"/>
    </row>
    <row r="785" spans="2:11" ht="16" x14ac:dyDescent="0.2">
      <c r="B785" s="57"/>
      <c r="C785" s="197" t="s">
        <v>35</v>
      </c>
      <c r="D785" s="59"/>
      <c r="E785" s="59"/>
      <c r="F785" s="59"/>
      <c r="G785" s="59"/>
      <c r="H785" s="59"/>
      <c r="I785" s="59"/>
      <c r="J785" s="60"/>
      <c r="K785" s="61"/>
    </row>
    <row r="786" spans="2:11" x14ac:dyDescent="0.2">
      <c r="B786" s="57"/>
      <c r="C786" s="59"/>
      <c r="D786" s="59" t="s">
        <v>370</v>
      </c>
      <c r="E786" s="59"/>
      <c r="F786" s="59"/>
      <c r="G786" s="59"/>
      <c r="H786" s="59"/>
      <c r="I786" s="59"/>
      <c r="J786" s="60">
        <f>'Baseline At-Risk Pops'!H27</f>
        <v>0</v>
      </c>
      <c r="K786" s="61"/>
    </row>
    <row r="787" spans="2:11" x14ac:dyDescent="0.2">
      <c r="B787" s="57"/>
      <c r="C787" s="59"/>
      <c r="D787" s="59" t="s">
        <v>371</v>
      </c>
      <c r="E787" s="59"/>
      <c r="F787" s="59"/>
      <c r="G787" s="59"/>
      <c r="H787" s="59"/>
      <c r="I787" s="59"/>
      <c r="J787" s="60">
        <f>SUM(J720,J735,J750,J765)</f>
        <v>1</v>
      </c>
      <c r="K787" s="61"/>
    </row>
    <row r="788" spans="2:11" x14ac:dyDescent="0.2">
      <c r="B788" s="57"/>
      <c r="C788" s="59"/>
      <c r="D788" s="196" t="s">
        <v>372</v>
      </c>
      <c r="E788" s="59"/>
      <c r="F788" s="59"/>
      <c r="G788" s="59"/>
      <c r="H788" s="59"/>
      <c r="I788" s="59"/>
      <c r="J788" s="60">
        <f>AVERAGE(J786,J787)</f>
        <v>0.5</v>
      </c>
      <c r="K788" s="61"/>
    </row>
    <row r="789" spans="2:11" ht="16" x14ac:dyDescent="0.2">
      <c r="B789" s="57"/>
      <c r="C789" s="197" t="s">
        <v>37</v>
      </c>
      <c r="D789" s="59"/>
      <c r="E789" s="59"/>
      <c r="F789" s="59"/>
      <c r="G789" s="59"/>
      <c r="H789" s="59"/>
      <c r="I789" s="59"/>
      <c r="J789" s="60"/>
      <c r="K789" s="61"/>
    </row>
    <row r="790" spans="2:11" x14ac:dyDescent="0.2">
      <c r="B790" s="57"/>
      <c r="C790" s="59"/>
      <c r="D790" s="59" t="s">
        <v>370</v>
      </c>
      <c r="E790" s="59"/>
      <c r="F790" s="59"/>
      <c r="G790" s="59"/>
      <c r="H790" s="59"/>
      <c r="I790" s="59"/>
      <c r="J790" s="60">
        <f>'Baseline At-Risk Pops'!H34</f>
        <v>0</v>
      </c>
      <c r="K790" s="61"/>
    </row>
    <row r="791" spans="2:11" x14ac:dyDescent="0.2">
      <c r="B791" s="57"/>
      <c r="C791" s="59"/>
      <c r="D791" s="59" t="s">
        <v>371</v>
      </c>
      <c r="E791" s="59"/>
      <c r="F791" s="59"/>
      <c r="G791" s="59"/>
      <c r="H791" s="59"/>
      <c r="I791" s="59"/>
      <c r="J791" s="60">
        <f>SUM(J721,J736,J751,J766)</f>
        <v>1</v>
      </c>
      <c r="K791" s="61"/>
    </row>
    <row r="792" spans="2:11" x14ac:dyDescent="0.2">
      <c r="B792" s="57"/>
      <c r="C792" s="59"/>
      <c r="D792" s="196" t="s">
        <v>372</v>
      </c>
      <c r="E792" s="59"/>
      <c r="F792" s="59"/>
      <c r="G792" s="59"/>
      <c r="H792" s="59"/>
      <c r="I792" s="59"/>
      <c r="J792" s="60">
        <f>AVERAGE(J790,J791)</f>
        <v>0.5</v>
      </c>
      <c r="K792" s="61"/>
    </row>
    <row r="793" spans="2:11" ht="16" x14ac:dyDescent="0.2">
      <c r="B793" s="57"/>
      <c r="C793" s="197" t="s">
        <v>38</v>
      </c>
      <c r="D793" s="59"/>
      <c r="E793" s="59"/>
      <c r="F793" s="59"/>
      <c r="G793" s="59"/>
      <c r="H793" s="59"/>
      <c r="I793" s="59"/>
      <c r="J793" s="60"/>
      <c r="K793" s="61"/>
    </row>
    <row r="794" spans="2:11" x14ac:dyDescent="0.2">
      <c r="B794" s="57"/>
      <c r="C794" s="59"/>
      <c r="D794" s="59" t="s">
        <v>370</v>
      </c>
      <c r="E794" s="59"/>
      <c r="F794" s="59"/>
      <c r="G794" s="59"/>
      <c r="H794" s="59"/>
      <c r="I794" s="59"/>
      <c r="J794" s="60">
        <f>'Baseline At-Risk Pops'!H40</f>
        <v>0</v>
      </c>
      <c r="K794" s="61"/>
    </row>
    <row r="795" spans="2:11" x14ac:dyDescent="0.2">
      <c r="B795" s="57"/>
      <c r="C795" s="59"/>
      <c r="D795" s="59" t="s">
        <v>371</v>
      </c>
      <c r="E795" s="59"/>
      <c r="F795" s="59"/>
      <c r="G795" s="59"/>
      <c r="H795" s="59"/>
      <c r="I795" s="59"/>
      <c r="J795" s="60">
        <f>SUM(J722,J737,J752,J767)</f>
        <v>1</v>
      </c>
      <c r="K795" s="61"/>
    </row>
    <row r="796" spans="2:11" x14ac:dyDescent="0.2">
      <c r="B796" s="57"/>
      <c r="C796" s="59"/>
      <c r="D796" s="196" t="s">
        <v>372</v>
      </c>
      <c r="E796" s="59"/>
      <c r="F796" s="59"/>
      <c r="G796" s="59"/>
      <c r="H796" s="59"/>
      <c r="I796" s="59"/>
      <c r="J796" s="60">
        <f>AVERAGE(J794,J795)</f>
        <v>0.5</v>
      </c>
      <c r="K796" s="61"/>
    </row>
    <row r="797" spans="2:11" ht="16" x14ac:dyDescent="0.2">
      <c r="B797" s="57"/>
      <c r="C797" s="197" t="s">
        <v>40</v>
      </c>
      <c r="D797" s="59"/>
      <c r="E797" s="59"/>
      <c r="F797" s="59"/>
      <c r="G797" s="59"/>
      <c r="H797" s="59"/>
      <c r="I797" s="59"/>
      <c r="J797" s="60"/>
      <c r="K797" s="61"/>
    </row>
    <row r="798" spans="2:11" x14ac:dyDescent="0.2">
      <c r="B798" s="57"/>
      <c r="C798" s="59"/>
      <c r="D798" s="59" t="s">
        <v>370</v>
      </c>
      <c r="E798" s="59"/>
      <c r="F798" s="59"/>
      <c r="G798" s="59"/>
      <c r="H798" s="59"/>
      <c r="I798" s="59"/>
      <c r="J798" s="60">
        <f>'Baseline At-Risk Pops'!H46</f>
        <v>0</v>
      </c>
      <c r="K798" s="61"/>
    </row>
    <row r="799" spans="2:11" x14ac:dyDescent="0.2">
      <c r="B799" s="57"/>
      <c r="C799" s="59"/>
      <c r="D799" s="59" t="s">
        <v>371</v>
      </c>
      <c r="E799" s="59"/>
      <c r="F799" s="59"/>
      <c r="G799" s="59"/>
      <c r="H799" s="59"/>
      <c r="I799" s="59"/>
      <c r="J799" s="60">
        <f>SUM(J723,J738,J753,J768)</f>
        <v>0</v>
      </c>
      <c r="K799" s="61"/>
    </row>
    <row r="800" spans="2:11" x14ac:dyDescent="0.2">
      <c r="B800" s="57"/>
      <c r="C800" s="59"/>
      <c r="D800" s="196" t="s">
        <v>372</v>
      </c>
      <c r="E800" s="59"/>
      <c r="F800" s="59"/>
      <c r="G800" s="59"/>
      <c r="H800" s="59"/>
      <c r="I800" s="59"/>
      <c r="J800" s="60">
        <f>AVERAGE(J798,J799)</f>
        <v>0</v>
      </c>
      <c r="K800" s="61"/>
    </row>
    <row r="801" spans="2:11" ht="16" x14ac:dyDescent="0.2">
      <c r="B801" s="57"/>
      <c r="C801" s="197" t="s">
        <v>41</v>
      </c>
      <c r="D801" s="59"/>
      <c r="E801" s="59"/>
      <c r="F801" s="59"/>
      <c r="G801" s="59"/>
      <c r="H801" s="59"/>
      <c r="I801" s="59"/>
      <c r="J801" s="60"/>
      <c r="K801" s="61"/>
    </row>
    <row r="802" spans="2:11" ht="16" x14ac:dyDescent="0.2">
      <c r="B802" s="57"/>
      <c r="C802" s="197"/>
      <c r="D802" s="59" t="s">
        <v>370</v>
      </c>
      <c r="E802" s="59"/>
      <c r="F802" s="59"/>
      <c r="G802" s="59"/>
      <c r="H802" s="59"/>
      <c r="I802" s="59"/>
      <c r="J802" s="60">
        <f>'Baseline At-Risk Pops'!H52</f>
        <v>0</v>
      </c>
      <c r="K802" s="61"/>
    </row>
    <row r="803" spans="2:11" x14ac:dyDescent="0.2">
      <c r="B803" s="57"/>
      <c r="C803" s="59"/>
      <c r="D803" s="59" t="s">
        <v>371</v>
      </c>
      <c r="E803" s="59"/>
      <c r="F803" s="59"/>
      <c r="G803" s="59"/>
      <c r="H803" s="59"/>
      <c r="I803" s="59"/>
      <c r="J803" s="60">
        <f>SUM(J724,J739,J754,J769)</f>
        <v>1</v>
      </c>
      <c r="K803" s="61"/>
    </row>
    <row r="804" spans="2:11" x14ac:dyDescent="0.2">
      <c r="B804" s="57"/>
      <c r="C804" s="59"/>
      <c r="D804" s="196" t="s">
        <v>372</v>
      </c>
      <c r="E804" s="59"/>
      <c r="F804" s="59"/>
      <c r="G804" s="59"/>
      <c r="H804" s="59"/>
      <c r="I804" s="59"/>
      <c r="J804" s="60">
        <f>AVERAGE(J802,J803)</f>
        <v>0.5</v>
      </c>
      <c r="K804" s="61"/>
    </row>
    <row r="805" spans="2:11" ht="16" x14ac:dyDescent="0.2">
      <c r="B805" s="57"/>
      <c r="C805" s="197" t="s">
        <v>43</v>
      </c>
      <c r="D805" s="59"/>
      <c r="E805" s="59"/>
      <c r="F805" s="59"/>
      <c r="G805" s="59"/>
      <c r="H805" s="59"/>
      <c r="I805" s="59"/>
      <c r="J805" s="60"/>
      <c r="K805" s="61"/>
    </row>
    <row r="806" spans="2:11" x14ac:dyDescent="0.2">
      <c r="B806" s="57"/>
      <c r="C806" s="59"/>
      <c r="D806" s="59" t="s">
        <v>370</v>
      </c>
      <c r="E806" s="59"/>
      <c r="F806" s="59"/>
      <c r="G806" s="59"/>
      <c r="H806" s="59"/>
      <c r="I806" s="59"/>
      <c r="J806" s="60">
        <f>'Baseline At-Risk Pops'!H58</f>
        <v>0</v>
      </c>
      <c r="K806" s="61"/>
    </row>
    <row r="807" spans="2:11" x14ac:dyDescent="0.2">
      <c r="B807" s="57"/>
      <c r="C807" s="59"/>
      <c r="D807" s="59" t="s">
        <v>371</v>
      </c>
      <c r="E807" s="59"/>
      <c r="F807" s="59"/>
      <c r="G807" s="59"/>
      <c r="H807" s="59"/>
      <c r="I807" s="59"/>
      <c r="J807" s="60">
        <f>SUM(J725,J740,J755,J770)</f>
        <v>0</v>
      </c>
      <c r="K807" s="61"/>
    </row>
    <row r="808" spans="2:11" x14ac:dyDescent="0.2">
      <c r="B808" s="57"/>
      <c r="C808" s="59"/>
      <c r="D808" s="196" t="s">
        <v>372</v>
      </c>
      <c r="E808" s="59"/>
      <c r="F808" s="59"/>
      <c r="G808" s="59"/>
      <c r="H808" s="59"/>
      <c r="I808" s="59"/>
      <c r="J808" s="60">
        <f>AVERAGE(J806,J807)</f>
        <v>0</v>
      </c>
      <c r="K808" s="61"/>
    </row>
    <row r="809" spans="2:11" x14ac:dyDescent="0.2">
      <c r="B809" s="57"/>
      <c r="C809" s="59"/>
      <c r="D809" s="59"/>
      <c r="E809" s="59"/>
      <c r="F809" s="59"/>
      <c r="G809" s="59"/>
      <c r="H809" s="59"/>
      <c r="I809" s="59"/>
      <c r="J809" s="59"/>
      <c r="K809" s="61"/>
    </row>
    <row r="810" spans="2:11" x14ac:dyDescent="0.2">
      <c r="B810" s="57"/>
      <c r="C810" s="59"/>
      <c r="D810" s="59"/>
      <c r="E810" s="59"/>
      <c r="F810" s="59"/>
      <c r="G810" s="59"/>
      <c r="H810" s="59"/>
      <c r="I810" s="59"/>
      <c r="J810" s="59"/>
      <c r="K810" s="61"/>
    </row>
    <row r="811" spans="2:11" ht="16" x14ac:dyDescent="0.2">
      <c r="B811" s="57"/>
      <c r="C811" s="198" t="s">
        <v>373</v>
      </c>
      <c r="D811" s="59"/>
      <c r="E811" s="59"/>
      <c r="F811" s="59"/>
      <c r="G811" s="59"/>
      <c r="H811" s="59"/>
      <c r="I811" s="59"/>
      <c r="J811" s="261">
        <f>AVERAGE(J776,J780,J784,J788,J792,J796,J800,J804,J808)</f>
        <v>0.33333333333333331</v>
      </c>
      <c r="K811" s="61"/>
    </row>
    <row r="812" spans="2:11" ht="16" thickBot="1" x14ac:dyDescent="0.25">
      <c r="B812" s="73"/>
      <c r="C812" s="74"/>
      <c r="D812" s="74"/>
      <c r="E812" s="74"/>
      <c r="F812" s="74"/>
      <c r="G812" s="74"/>
      <c r="H812" s="74"/>
      <c r="I812" s="74"/>
      <c r="J812" s="74"/>
      <c r="K812" s="76"/>
    </row>
    <row r="813" spans="2:11" ht="16" thickBot="1" x14ac:dyDescent="0.25"/>
    <row r="814" spans="2:11" x14ac:dyDescent="0.2">
      <c r="B814" s="199"/>
      <c r="C814" s="200"/>
      <c r="D814" s="200"/>
      <c r="E814" s="200"/>
      <c r="F814" s="200"/>
      <c r="G814" s="200"/>
      <c r="H814" s="200"/>
      <c r="I814" s="200"/>
      <c r="J814" s="200"/>
      <c r="K814" s="201"/>
    </row>
    <row r="815" spans="2:11" ht="21" x14ac:dyDescent="0.25">
      <c r="B815" s="202"/>
      <c r="C815" s="203"/>
      <c r="D815" s="203"/>
      <c r="E815" s="203"/>
      <c r="F815" s="203"/>
      <c r="G815" s="204" t="s">
        <v>233</v>
      </c>
      <c r="H815" s="203"/>
      <c r="I815" s="203"/>
      <c r="J815" s="203"/>
      <c r="K815" s="205"/>
    </row>
    <row r="816" spans="2:11" x14ac:dyDescent="0.2">
      <c r="B816" s="202"/>
      <c r="C816" s="203"/>
      <c r="D816" s="203"/>
      <c r="E816" s="203"/>
      <c r="F816" s="203"/>
      <c r="G816" s="203"/>
      <c r="H816" s="203"/>
      <c r="I816" s="203"/>
      <c r="J816" s="203"/>
      <c r="K816" s="205"/>
    </row>
    <row r="817" spans="2:11" ht="16" x14ac:dyDescent="0.2">
      <c r="B817" s="202"/>
      <c r="C817" s="206" t="s">
        <v>992</v>
      </c>
      <c r="D817" s="203"/>
      <c r="E817" s="203"/>
      <c r="F817" s="203"/>
      <c r="G817" s="203"/>
      <c r="H817" s="203"/>
      <c r="I817" s="203"/>
      <c r="J817" s="262" t="str">
        <f>IF(J700="Not Calculated","Not Calculated",J700*(($J$811/4)+1))</f>
        <v>Not Calculated</v>
      </c>
      <c r="K817" s="205"/>
    </row>
    <row r="818" spans="2:11" x14ac:dyDescent="0.2">
      <c r="B818" s="202"/>
      <c r="C818" s="203"/>
      <c r="D818" s="203" t="s">
        <v>1119</v>
      </c>
      <c r="E818" s="203"/>
      <c r="F818" s="203"/>
      <c r="G818" s="203"/>
      <c r="H818" s="203"/>
      <c r="I818" s="203"/>
      <c r="J818" s="203"/>
      <c r="K818" s="205"/>
    </row>
    <row r="819" spans="2:11" x14ac:dyDescent="0.2">
      <c r="B819" s="202"/>
      <c r="C819" s="203"/>
      <c r="D819" s="203"/>
      <c r="E819" s="203"/>
      <c r="F819" s="203"/>
      <c r="G819" s="203"/>
      <c r="H819" s="203"/>
      <c r="I819" s="203"/>
      <c r="J819" s="203"/>
      <c r="K819" s="205"/>
    </row>
    <row r="820" spans="2:11" ht="16" x14ac:dyDescent="0.2">
      <c r="B820" s="202"/>
      <c r="C820" s="206" t="s">
        <v>993</v>
      </c>
      <c r="D820" s="203"/>
      <c r="E820" s="203"/>
      <c r="F820" s="203"/>
      <c r="G820" s="203"/>
      <c r="H820" s="203"/>
      <c r="I820" s="203"/>
      <c r="J820" s="262" t="str">
        <f>IF(J703="Not Calculated","Not Calculated",J703*(($J$811/4)+1))</f>
        <v>Not Calculated</v>
      </c>
      <c r="K820" s="205"/>
    </row>
    <row r="821" spans="2:11" x14ac:dyDescent="0.2">
      <c r="B821" s="202"/>
      <c r="C821" s="203"/>
      <c r="D821" s="203" t="s">
        <v>1120</v>
      </c>
      <c r="E821" s="203"/>
      <c r="F821" s="203"/>
      <c r="G821" s="203"/>
      <c r="H821" s="203"/>
      <c r="I821" s="203"/>
      <c r="J821" s="203"/>
      <c r="K821" s="205"/>
    </row>
    <row r="822" spans="2:11" x14ac:dyDescent="0.2">
      <c r="B822" s="202"/>
      <c r="C822" s="203"/>
      <c r="D822" s="203"/>
      <c r="E822" s="203"/>
      <c r="F822" s="203"/>
      <c r="G822" s="203"/>
      <c r="H822" s="203"/>
      <c r="I822" s="203"/>
      <c r="J822" s="203"/>
      <c r="K822" s="205"/>
    </row>
    <row r="823" spans="2:11" ht="16" x14ac:dyDescent="0.2">
      <c r="B823" s="202"/>
      <c r="C823" s="206" t="s">
        <v>994</v>
      </c>
      <c r="D823" s="203"/>
      <c r="E823" s="203"/>
      <c r="F823" s="203"/>
      <c r="G823" s="203"/>
      <c r="H823" s="203"/>
      <c r="I823" s="203"/>
      <c r="J823" s="262" t="str">
        <f>IF(J706="Not Calculated","Not Calculated",J706*(($J$811/4)+1))</f>
        <v>Not Calculated</v>
      </c>
      <c r="K823" s="205"/>
    </row>
    <row r="824" spans="2:11" x14ac:dyDescent="0.2">
      <c r="B824" s="202"/>
      <c r="C824" s="203"/>
      <c r="D824" s="203" t="s">
        <v>1121</v>
      </c>
      <c r="E824" s="203"/>
      <c r="F824" s="203"/>
      <c r="G824" s="203"/>
      <c r="H824" s="203"/>
      <c r="I824" s="203"/>
      <c r="J824" s="203"/>
      <c r="K824" s="205"/>
    </row>
    <row r="825" spans="2:11" ht="16" thickBot="1" x14ac:dyDescent="0.25">
      <c r="B825" s="207"/>
      <c r="C825" s="208"/>
      <c r="D825" s="208"/>
      <c r="E825" s="208"/>
      <c r="F825" s="208"/>
      <c r="G825" s="208"/>
      <c r="H825" s="208"/>
      <c r="I825" s="208"/>
      <c r="J825" s="208"/>
      <c r="K825" s="209"/>
    </row>
    <row r="826" spans="2:11" ht="16" thickBot="1" x14ac:dyDescent="0.25"/>
    <row r="827" spans="2:11" x14ac:dyDescent="0.2">
      <c r="B827" s="77"/>
      <c r="C827" s="78"/>
      <c r="D827" s="78"/>
      <c r="E827" s="78"/>
      <c r="F827" s="78"/>
      <c r="G827" s="78"/>
      <c r="H827" s="78"/>
      <c r="I827" s="78"/>
      <c r="J827" s="78"/>
      <c r="K827" s="80"/>
    </row>
    <row r="828" spans="2:11" ht="21" x14ac:dyDescent="0.25">
      <c r="B828" s="81"/>
      <c r="C828" s="85"/>
      <c r="D828" s="85"/>
      <c r="E828" s="85"/>
      <c r="F828" s="85"/>
      <c r="G828" s="210" t="s">
        <v>806</v>
      </c>
      <c r="H828" s="85"/>
      <c r="I828" s="85"/>
      <c r="J828" s="85"/>
      <c r="K828" s="87"/>
    </row>
    <row r="829" spans="2:11" x14ac:dyDescent="0.2">
      <c r="B829" s="81"/>
      <c r="C829" s="85"/>
      <c r="D829" s="85"/>
      <c r="E829" s="85"/>
      <c r="F829" s="85"/>
      <c r="G829" s="85"/>
      <c r="H829" s="85"/>
      <c r="I829" s="85"/>
      <c r="J829" s="85"/>
      <c r="K829" s="87"/>
    </row>
    <row r="830" spans="2:11" ht="15" customHeight="1" x14ac:dyDescent="0.2">
      <c r="B830" s="81"/>
      <c r="C830" s="424" t="s">
        <v>808</v>
      </c>
      <c r="D830" s="424"/>
      <c r="E830" s="424"/>
      <c r="F830" s="424"/>
      <c r="G830" s="424"/>
      <c r="H830" s="424"/>
      <c r="I830" s="424"/>
      <c r="J830" s="424"/>
      <c r="K830" s="87"/>
    </row>
    <row r="831" spans="2:11" x14ac:dyDescent="0.2">
      <c r="B831" s="81"/>
      <c r="C831" s="424"/>
      <c r="D831" s="424"/>
      <c r="E831" s="424"/>
      <c r="F831" s="424"/>
      <c r="G831" s="424"/>
      <c r="H831" s="424"/>
      <c r="I831" s="424"/>
      <c r="J831" s="424"/>
      <c r="K831" s="87"/>
    </row>
    <row r="832" spans="2:11" x14ac:dyDescent="0.2">
      <c r="B832" s="81"/>
      <c r="C832" s="85"/>
      <c r="D832" s="85"/>
      <c r="E832" s="85"/>
      <c r="F832" s="85"/>
      <c r="G832" s="85"/>
      <c r="H832" s="85"/>
      <c r="I832" s="85"/>
      <c r="J832" s="85"/>
      <c r="K832" s="87"/>
    </row>
    <row r="833" spans="2:11" ht="16" x14ac:dyDescent="0.2">
      <c r="B833" s="81"/>
      <c r="C833" s="211" t="s">
        <v>654</v>
      </c>
      <c r="D833" s="85"/>
      <c r="E833" s="85"/>
      <c r="F833" s="85"/>
      <c r="G833" s="85"/>
      <c r="H833" s="85"/>
      <c r="I833" s="85"/>
      <c r="J833" s="85"/>
      <c r="K833" s="87"/>
    </row>
    <row r="834" spans="2:11" x14ac:dyDescent="0.2">
      <c r="B834" s="81"/>
      <c r="C834" s="85" t="s">
        <v>380</v>
      </c>
      <c r="D834" s="85"/>
      <c r="E834" s="85"/>
      <c r="F834" s="85"/>
      <c r="G834" s="406" t="s">
        <v>234</v>
      </c>
      <c r="H834" s="407"/>
      <c r="I834" s="85"/>
      <c r="J834" s="83">
        <f>IF(G834=$B$998,$A$998,IF(G834=$B$999,$A$999,IF(G834=$B$1000,$A$1000,IF(G834=$B$1001,$A$1001,IF(G834=$B$1002,$A$1002,"Not Calculated")))))</f>
        <v>4</v>
      </c>
      <c r="K834" s="87"/>
    </row>
    <row r="835" spans="2:11" x14ac:dyDescent="0.2">
      <c r="B835" s="81"/>
      <c r="C835" s="85" t="s">
        <v>134</v>
      </c>
      <c r="D835" s="85"/>
      <c r="E835" s="85"/>
      <c r="F835" s="85"/>
      <c r="G835" s="85"/>
      <c r="H835" s="85"/>
      <c r="I835" s="85"/>
      <c r="J835" s="240">
        <f>'Baseline PHP'!J16</f>
        <v>0</v>
      </c>
      <c r="K835" s="87"/>
    </row>
    <row r="836" spans="2:11" x14ac:dyDescent="0.2">
      <c r="B836" s="81"/>
      <c r="C836" s="85"/>
      <c r="D836" s="85"/>
      <c r="E836" s="85"/>
      <c r="F836" s="85"/>
      <c r="G836" s="85"/>
      <c r="H836" s="85"/>
      <c r="I836" s="85"/>
      <c r="J836" s="85"/>
      <c r="K836" s="87"/>
    </row>
    <row r="837" spans="2:11" ht="16" x14ac:dyDescent="0.2">
      <c r="B837" s="81"/>
      <c r="C837" s="211" t="s">
        <v>655</v>
      </c>
      <c r="D837" s="85"/>
      <c r="E837" s="85"/>
      <c r="F837" s="85"/>
      <c r="G837" s="85"/>
      <c r="H837" s="85"/>
      <c r="I837" s="85"/>
      <c r="J837" s="85"/>
      <c r="K837" s="87"/>
    </row>
    <row r="838" spans="2:11" x14ac:dyDescent="0.2">
      <c r="B838" s="81"/>
      <c r="C838" s="85" t="s">
        <v>380</v>
      </c>
      <c r="D838" s="85"/>
      <c r="E838" s="85"/>
      <c r="F838" s="85"/>
      <c r="G838" s="406" t="s">
        <v>234</v>
      </c>
      <c r="H838" s="407"/>
      <c r="I838" s="85"/>
      <c r="J838" s="83">
        <f>IF(G838=$B$998,$A$998,IF(G838=$B$999,$A$999,IF(G838=$B$1000,$A$1000,IF(G838=$B$1001,$A$1001,IF(G838=$B$1002,$A$1002,"Not Calculated")))))</f>
        <v>4</v>
      </c>
      <c r="K838" s="87"/>
    </row>
    <row r="839" spans="2:11" x14ac:dyDescent="0.2">
      <c r="B839" s="81"/>
      <c r="C839" s="85" t="s">
        <v>134</v>
      </c>
      <c r="D839" s="85"/>
      <c r="E839" s="85"/>
      <c r="F839" s="85"/>
      <c r="G839" s="85"/>
      <c r="H839" s="85"/>
      <c r="I839" s="85"/>
      <c r="J839" s="240">
        <f>'Baseline PHP'!J28</f>
        <v>0</v>
      </c>
      <c r="K839" s="87"/>
    </row>
    <row r="840" spans="2:11" x14ac:dyDescent="0.2">
      <c r="B840" s="81"/>
      <c r="C840" s="85"/>
      <c r="D840" s="85"/>
      <c r="E840" s="85"/>
      <c r="F840" s="85"/>
      <c r="G840" s="85"/>
      <c r="H840" s="85"/>
      <c r="I840" s="85"/>
      <c r="J840" s="85"/>
      <c r="K840" s="87"/>
    </row>
    <row r="841" spans="2:11" ht="16" x14ac:dyDescent="0.2">
      <c r="B841" s="81"/>
      <c r="C841" s="211" t="s">
        <v>645</v>
      </c>
      <c r="D841" s="85"/>
      <c r="E841" s="85"/>
      <c r="F841" s="85"/>
      <c r="G841" s="85"/>
      <c r="H841" s="85"/>
      <c r="I841" s="85"/>
      <c r="J841" s="85"/>
      <c r="K841" s="87"/>
    </row>
    <row r="842" spans="2:11" x14ac:dyDescent="0.2">
      <c r="B842" s="81"/>
      <c r="C842" s="85" t="s">
        <v>380</v>
      </c>
      <c r="D842" s="85"/>
      <c r="E842" s="85"/>
      <c r="F842" s="85"/>
      <c r="G842" s="406" t="s">
        <v>237</v>
      </c>
      <c r="H842" s="407"/>
      <c r="I842" s="85"/>
      <c r="J842" s="83">
        <f>IF(G842=$B$998,$A$998,IF(G842=$B$999,$A$999,IF(G842=$B$1000,$A$1000,IF(G842=$B$1001,$A$1001,IF(G842=$B$1002,$A$1002,"Not Calculated")))))</f>
        <v>1</v>
      </c>
      <c r="K842" s="87"/>
    </row>
    <row r="843" spans="2:11" x14ac:dyDescent="0.2">
      <c r="B843" s="81"/>
      <c r="C843" s="85" t="s">
        <v>134</v>
      </c>
      <c r="D843" s="85"/>
      <c r="E843" s="85"/>
      <c r="F843" s="85"/>
      <c r="G843" s="85"/>
      <c r="H843" s="85"/>
      <c r="I843" s="85"/>
      <c r="J843" s="240">
        <f>'Baseline PHP'!J44</f>
        <v>0</v>
      </c>
      <c r="K843" s="87"/>
    </row>
    <row r="844" spans="2:11" x14ac:dyDescent="0.2">
      <c r="B844" s="81"/>
      <c r="C844" s="85"/>
      <c r="D844" s="85"/>
      <c r="E844" s="85"/>
      <c r="F844" s="85"/>
      <c r="G844" s="85"/>
      <c r="H844" s="85"/>
      <c r="I844" s="85"/>
      <c r="J844" s="85"/>
      <c r="K844" s="87"/>
    </row>
    <row r="845" spans="2:11" ht="16" x14ac:dyDescent="0.2">
      <c r="B845" s="81"/>
      <c r="C845" s="211" t="s">
        <v>646</v>
      </c>
      <c r="D845" s="85"/>
      <c r="E845" s="85"/>
      <c r="F845" s="85"/>
      <c r="G845" s="85"/>
      <c r="H845" s="85"/>
      <c r="I845" s="85"/>
      <c r="J845" s="85"/>
      <c r="K845" s="87"/>
    </row>
    <row r="846" spans="2:11" x14ac:dyDescent="0.2">
      <c r="B846" s="81"/>
      <c r="C846" s="85" t="s">
        <v>380</v>
      </c>
      <c r="D846" s="85"/>
      <c r="E846" s="85"/>
      <c r="F846" s="85"/>
      <c r="G846" s="406" t="s">
        <v>234</v>
      </c>
      <c r="H846" s="407"/>
      <c r="I846" s="85"/>
      <c r="J846" s="83">
        <f>IF(G846=$B$998,$A$998,IF(G846=$B$999,$A$999,IF(G846=$B$1000,$A$1000,IF(G846=$B$1001,$A$1001,IF(G846=$B$1002,$A$1002,"Not Calculated")))))</f>
        <v>4</v>
      </c>
      <c r="K846" s="87"/>
    </row>
    <row r="847" spans="2:11" x14ac:dyDescent="0.2">
      <c r="B847" s="81"/>
      <c r="C847" s="85" t="s">
        <v>134</v>
      </c>
      <c r="D847" s="85"/>
      <c r="E847" s="85"/>
      <c r="F847" s="85"/>
      <c r="G847" s="85"/>
      <c r="H847" s="85"/>
      <c r="I847" s="85"/>
      <c r="J847" s="240">
        <f>'Baseline PHP'!J60</f>
        <v>0</v>
      </c>
      <c r="K847" s="87"/>
    </row>
    <row r="848" spans="2:11" x14ac:dyDescent="0.2">
      <c r="B848" s="81"/>
      <c r="C848" s="85"/>
      <c r="D848" s="85"/>
      <c r="E848" s="85"/>
      <c r="F848" s="85"/>
      <c r="G848" s="85"/>
      <c r="H848" s="85"/>
      <c r="I848" s="85"/>
      <c r="J848" s="85"/>
      <c r="K848" s="87"/>
    </row>
    <row r="849" spans="2:11" ht="16" x14ac:dyDescent="0.2">
      <c r="B849" s="81"/>
      <c r="C849" s="211" t="s">
        <v>648</v>
      </c>
      <c r="D849" s="85"/>
      <c r="E849" s="85"/>
      <c r="F849" s="85"/>
      <c r="G849" s="85"/>
      <c r="H849" s="85"/>
      <c r="I849" s="85"/>
      <c r="J849" s="85"/>
      <c r="K849" s="87"/>
    </row>
    <row r="850" spans="2:11" ht="15" customHeight="1" x14ac:dyDescent="0.2">
      <c r="B850" s="81"/>
      <c r="C850" s="85" t="s">
        <v>380</v>
      </c>
      <c r="D850" s="85"/>
      <c r="E850" s="85"/>
      <c r="F850" s="85"/>
      <c r="G850" s="406" t="s">
        <v>236</v>
      </c>
      <c r="H850" s="407"/>
      <c r="I850" s="85"/>
      <c r="J850" s="83">
        <f>IF(G850=$B$998,$A$998,IF(G850=$B$999,$A$999,IF(G850=$B$1000,$A$1000,IF(G850=$B$1001,$A$1001,IF(G850=$B$1002,$A$1002,"Not Calculated")))))</f>
        <v>0</v>
      </c>
      <c r="K850" s="87"/>
    </row>
    <row r="851" spans="2:11" x14ac:dyDescent="0.2">
      <c r="B851" s="81"/>
      <c r="C851" s="85" t="s">
        <v>134</v>
      </c>
      <c r="D851" s="85"/>
      <c r="E851" s="85"/>
      <c r="F851" s="85"/>
      <c r="G851" s="85"/>
      <c r="H851" s="85"/>
      <c r="I851" s="85"/>
      <c r="J851" s="240">
        <f>'Baseline PHP'!J76</f>
        <v>0</v>
      </c>
      <c r="K851" s="87"/>
    </row>
    <row r="852" spans="2:11" x14ac:dyDescent="0.2">
      <c r="B852" s="81"/>
      <c r="C852" s="85"/>
      <c r="D852" s="85"/>
      <c r="E852" s="85"/>
      <c r="F852" s="85"/>
      <c r="G852" s="85"/>
      <c r="H852" s="85"/>
      <c r="I852" s="85"/>
      <c r="J852" s="85"/>
      <c r="K852" s="87"/>
    </row>
    <row r="853" spans="2:11" ht="16" x14ac:dyDescent="0.2">
      <c r="B853" s="81"/>
      <c r="C853" s="211" t="s">
        <v>647</v>
      </c>
      <c r="D853" s="85"/>
      <c r="E853" s="85"/>
      <c r="F853" s="85"/>
      <c r="G853" s="85"/>
      <c r="H853" s="85"/>
      <c r="I853" s="85"/>
      <c r="J853" s="85"/>
      <c r="K853" s="87"/>
    </row>
    <row r="854" spans="2:11" x14ac:dyDescent="0.2">
      <c r="B854" s="81"/>
      <c r="C854" s="85" t="s">
        <v>380</v>
      </c>
      <c r="D854" s="85"/>
      <c r="E854" s="85"/>
      <c r="F854" s="85"/>
      <c r="G854" s="406" t="s">
        <v>234</v>
      </c>
      <c r="H854" s="407"/>
      <c r="I854" s="85"/>
      <c r="J854" s="83">
        <f>IF(G854=$B$998,$A$998,IF(G854=$B$999,$A$999,IF(G854=$B$1000,$A$1000,IF(G854=$B$1001,$A$1001,IF(G854=$B$1002,$A$1002,"Not Calculated")))))</f>
        <v>4</v>
      </c>
      <c r="K854" s="87"/>
    </row>
    <row r="855" spans="2:11" x14ac:dyDescent="0.2">
      <c r="B855" s="81"/>
      <c r="C855" s="85" t="s">
        <v>134</v>
      </c>
      <c r="D855" s="85"/>
      <c r="E855" s="85"/>
      <c r="F855" s="85"/>
      <c r="G855" s="85"/>
      <c r="H855" s="85"/>
      <c r="I855" s="85"/>
      <c r="J855" s="240">
        <f>'Baseline PHP'!J88</f>
        <v>0</v>
      </c>
      <c r="K855" s="87"/>
    </row>
    <row r="856" spans="2:11" x14ac:dyDescent="0.2">
      <c r="B856" s="81"/>
      <c r="C856" s="85"/>
      <c r="D856" s="85"/>
      <c r="E856" s="85"/>
      <c r="F856" s="85"/>
      <c r="G856" s="85"/>
      <c r="H856" s="85"/>
      <c r="I856" s="85"/>
      <c r="J856" s="85"/>
      <c r="K856" s="87"/>
    </row>
    <row r="857" spans="2:11" ht="16" x14ac:dyDescent="0.2">
      <c r="B857" s="81"/>
      <c r="C857" s="211" t="s">
        <v>115</v>
      </c>
      <c r="D857" s="85"/>
      <c r="E857" s="85"/>
      <c r="F857" s="85"/>
      <c r="G857" s="85"/>
      <c r="H857" s="85"/>
      <c r="I857" s="85"/>
      <c r="J857" s="85"/>
      <c r="K857" s="87"/>
    </row>
    <row r="858" spans="2:11" x14ac:dyDescent="0.2">
      <c r="B858" s="81"/>
      <c r="C858" s="85" t="s">
        <v>380</v>
      </c>
      <c r="D858" s="85"/>
      <c r="E858" s="85"/>
      <c r="F858" s="85"/>
      <c r="G858" s="406" t="s">
        <v>236</v>
      </c>
      <c r="H858" s="407"/>
      <c r="I858" s="85"/>
      <c r="J858" s="83">
        <f>IF(G858=$B$998,$A$998,IF(G858=$B$999,$A$999,IF(G858=$B$1000,$A$1000,IF(G858=$B$1001,$A$1001,IF(G858=$B$1002,$A$1002,"Not Calculated")))))</f>
        <v>0</v>
      </c>
      <c r="K858" s="87"/>
    </row>
    <row r="859" spans="2:11" x14ac:dyDescent="0.2">
      <c r="B859" s="81"/>
      <c r="C859" s="85" t="s">
        <v>134</v>
      </c>
      <c r="D859" s="85"/>
      <c r="E859" s="85"/>
      <c r="F859" s="85"/>
      <c r="G859" s="85"/>
      <c r="H859" s="85"/>
      <c r="I859" s="85"/>
      <c r="J859" s="240">
        <f>'Baseline PHP'!J102</f>
        <v>0</v>
      </c>
      <c r="K859" s="87"/>
    </row>
    <row r="860" spans="2:11" x14ac:dyDescent="0.2">
      <c r="B860" s="81"/>
      <c r="C860" s="85"/>
      <c r="D860" s="85"/>
      <c r="E860" s="85"/>
      <c r="F860" s="85"/>
      <c r="G860" s="85"/>
      <c r="H860" s="85"/>
      <c r="I860" s="85"/>
      <c r="J860" s="85"/>
      <c r="K860" s="87"/>
    </row>
    <row r="861" spans="2:11" ht="16" x14ac:dyDescent="0.2">
      <c r="B861" s="81"/>
      <c r="C861" s="211" t="s">
        <v>649</v>
      </c>
      <c r="D861" s="85"/>
      <c r="E861" s="85"/>
      <c r="F861" s="85"/>
      <c r="G861" s="85"/>
      <c r="H861" s="85"/>
      <c r="I861" s="85"/>
      <c r="J861" s="85"/>
      <c r="K861" s="87"/>
    </row>
    <row r="862" spans="2:11" x14ac:dyDescent="0.2">
      <c r="B862" s="81"/>
      <c r="C862" s="85" t="s">
        <v>380</v>
      </c>
      <c r="D862" s="85"/>
      <c r="E862" s="85"/>
      <c r="F862" s="85"/>
      <c r="G862" s="406" t="s">
        <v>236</v>
      </c>
      <c r="H862" s="407"/>
      <c r="I862" s="85"/>
      <c r="J862" s="83">
        <f>IF(G862=$B$998,$A$998,IF(G862=$B$999,$A$999,IF(G862=$B$1000,$A$1000,IF(G862=$B$1001,$A$1001,IF(G862=$B$1002,$A$1002,"Not Calculated")))))</f>
        <v>0</v>
      </c>
      <c r="K862" s="87"/>
    </row>
    <row r="863" spans="2:11" x14ac:dyDescent="0.2">
      <c r="B863" s="81"/>
      <c r="C863" s="85" t="s">
        <v>134</v>
      </c>
      <c r="D863" s="85"/>
      <c r="E863" s="85"/>
      <c r="F863" s="85"/>
      <c r="G863" s="85"/>
      <c r="H863" s="85"/>
      <c r="I863" s="85"/>
      <c r="J863" s="240">
        <f>'Baseline PHP'!J118</f>
        <v>0</v>
      </c>
      <c r="K863" s="87"/>
    </row>
    <row r="864" spans="2:11" x14ac:dyDescent="0.2">
      <c r="B864" s="81"/>
      <c r="C864" s="85"/>
      <c r="D864" s="85"/>
      <c r="E864" s="85"/>
      <c r="F864" s="85"/>
      <c r="G864" s="85"/>
      <c r="H864" s="85"/>
      <c r="I864" s="85"/>
      <c r="J864" s="85"/>
      <c r="K864" s="87"/>
    </row>
    <row r="865" spans="2:11" ht="16" x14ac:dyDescent="0.2">
      <c r="B865" s="81"/>
      <c r="C865" s="211" t="s">
        <v>656</v>
      </c>
      <c r="D865" s="85"/>
      <c r="E865" s="85"/>
      <c r="F865" s="85"/>
      <c r="G865" s="85"/>
      <c r="H865" s="85"/>
      <c r="I865" s="85"/>
      <c r="J865" s="85"/>
      <c r="K865" s="87"/>
    </row>
    <row r="866" spans="2:11" x14ac:dyDescent="0.2">
      <c r="B866" s="81"/>
      <c r="C866" s="85" t="s">
        <v>380</v>
      </c>
      <c r="D866" s="85"/>
      <c r="E866" s="85"/>
      <c r="F866" s="85"/>
      <c r="G866" s="406" t="s">
        <v>236</v>
      </c>
      <c r="H866" s="407"/>
      <c r="I866" s="85"/>
      <c r="J866" s="83">
        <f>IF(G866=$B$998,$A$998,IF(G866=$B$999,$A$999,IF(G866=$B$1000,$A$1000,IF(G866=$B$1001,$A$1001,IF(G866=$B$1002,$A$1002,"Not Calculated")))))</f>
        <v>0</v>
      </c>
      <c r="K866" s="87"/>
    </row>
    <row r="867" spans="2:11" x14ac:dyDescent="0.2">
      <c r="B867" s="81"/>
      <c r="C867" s="85" t="s">
        <v>134</v>
      </c>
      <c r="D867" s="85"/>
      <c r="E867" s="85"/>
      <c r="F867" s="85"/>
      <c r="G867" s="85"/>
      <c r="H867" s="85"/>
      <c r="I867" s="85"/>
      <c r="J867" s="240">
        <f>'Baseline PHP'!J136</f>
        <v>0</v>
      </c>
      <c r="K867" s="87"/>
    </row>
    <row r="868" spans="2:11" x14ac:dyDescent="0.2">
      <c r="B868" s="81"/>
      <c r="C868" s="85"/>
      <c r="D868" s="85"/>
      <c r="E868" s="85"/>
      <c r="F868" s="85"/>
      <c r="G868" s="85"/>
      <c r="H868" s="85"/>
      <c r="I868" s="85"/>
      <c r="J868" s="85"/>
      <c r="K868" s="87"/>
    </row>
    <row r="869" spans="2:11" ht="16" x14ac:dyDescent="0.2">
      <c r="B869" s="81"/>
      <c r="C869" s="211" t="s">
        <v>121</v>
      </c>
      <c r="D869" s="85"/>
      <c r="E869" s="85"/>
      <c r="F869" s="85"/>
      <c r="G869" s="85"/>
      <c r="H869" s="85"/>
      <c r="I869" s="85"/>
      <c r="J869" s="85"/>
      <c r="K869" s="87"/>
    </row>
    <row r="870" spans="2:11" x14ac:dyDescent="0.2">
      <c r="B870" s="81"/>
      <c r="C870" s="85" t="s">
        <v>380</v>
      </c>
      <c r="D870" s="85"/>
      <c r="E870" s="85"/>
      <c r="F870" s="85"/>
      <c r="G870" s="406" t="s">
        <v>236</v>
      </c>
      <c r="H870" s="407"/>
      <c r="I870" s="85"/>
      <c r="J870" s="83">
        <f>IF(G870=$B$998,$A$998,IF(G870=$B$999,$A$999,IF(G870=$B$1000,$A$1000,IF(G870=$B$1001,$A$1001,IF(G870=$B$1002,$A$1002,"Not Calculated")))))</f>
        <v>0</v>
      </c>
      <c r="K870" s="87"/>
    </row>
    <row r="871" spans="2:11" x14ac:dyDescent="0.2">
      <c r="B871" s="81"/>
      <c r="C871" s="85" t="s">
        <v>134</v>
      </c>
      <c r="D871" s="85"/>
      <c r="E871" s="85"/>
      <c r="F871" s="85"/>
      <c r="G871" s="85"/>
      <c r="H871" s="85"/>
      <c r="I871" s="85"/>
      <c r="J871" s="240">
        <f>'Baseline PHP'!J150</f>
        <v>0</v>
      </c>
      <c r="K871" s="87"/>
    </row>
    <row r="872" spans="2:11" x14ac:dyDescent="0.2">
      <c r="B872" s="81"/>
      <c r="C872" s="85"/>
      <c r="D872" s="85"/>
      <c r="E872" s="85"/>
      <c r="F872" s="85"/>
      <c r="G872" s="85"/>
      <c r="H872" s="85"/>
      <c r="I872" s="85"/>
      <c r="J872" s="85"/>
      <c r="K872" s="87"/>
    </row>
    <row r="873" spans="2:11" ht="16" x14ac:dyDescent="0.2">
      <c r="B873" s="81"/>
      <c r="C873" s="211" t="s">
        <v>657</v>
      </c>
      <c r="D873" s="85"/>
      <c r="E873" s="85"/>
      <c r="F873" s="85"/>
      <c r="G873" s="85"/>
      <c r="H873" s="85"/>
      <c r="I873" s="85"/>
      <c r="J873" s="85"/>
      <c r="K873" s="87"/>
    </row>
    <row r="874" spans="2:11" x14ac:dyDescent="0.2">
      <c r="B874" s="81"/>
      <c r="C874" s="85" t="s">
        <v>380</v>
      </c>
      <c r="D874" s="85"/>
      <c r="E874" s="85"/>
      <c r="F874" s="85"/>
      <c r="G874" s="406" t="s">
        <v>236</v>
      </c>
      <c r="H874" s="407"/>
      <c r="I874" s="85"/>
      <c r="J874" s="83">
        <f>IF(G874=$B$998,$A$998,IF(G874=$B$999,$A$999,IF(G874=$B$1000,$A$1000,IF(G874=$B$1001,$A$1001,IF(G874=$B$1002,$A$1002,"Not Calculated")))))</f>
        <v>0</v>
      </c>
      <c r="K874" s="87"/>
    </row>
    <row r="875" spans="2:11" x14ac:dyDescent="0.2">
      <c r="B875" s="81"/>
      <c r="C875" s="85" t="s">
        <v>134</v>
      </c>
      <c r="D875" s="85"/>
      <c r="E875" s="85"/>
      <c r="F875" s="85"/>
      <c r="G875" s="85"/>
      <c r="H875" s="85"/>
      <c r="I875" s="85"/>
      <c r="J875" s="240">
        <f>'Baseline PHP'!J164</f>
        <v>0</v>
      </c>
      <c r="K875" s="87"/>
    </row>
    <row r="876" spans="2:11" x14ac:dyDescent="0.2">
      <c r="B876" s="81"/>
      <c r="C876" s="85"/>
      <c r="D876" s="85"/>
      <c r="E876" s="85"/>
      <c r="F876" s="85"/>
      <c r="G876" s="85"/>
      <c r="H876" s="85"/>
      <c r="I876" s="85"/>
      <c r="J876" s="85"/>
      <c r="K876" s="87"/>
    </row>
    <row r="877" spans="2:11" ht="16" x14ac:dyDescent="0.2">
      <c r="B877" s="81"/>
      <c r="C877" s="211" t="s">
        <v>650</v>
      </c>
      <c r="D877" s="85"/>
      <c r="E877" s="85"/>
      <c r="F877" s="85"/>
      <c r="G877" s="85"/>
      <c r="H877" s="85"/>
      <c r="I877" s="85"/>
      <c r="J877" s="85"/>
      <c r="K877" s="87"/>
    </row>
    <row r="878" spans="2:11" x14ac:dyDescent="0.2">
      <c r="B878" s="81"/>
      <c r="C878" s="85" t="s">
        <v>380</v>
      </c>
      <c r="D878" s="85"/>
      <c r="E878" s="85"/>
      <c r="F878" s="85"/>
      <c r="G878" s="406" t="s">
        <v>235</v>
      </c>
      <c r="H878" s="407"/>
      <c r="I878" s="85"/>
      <c r="J878" s="83">
        <f>IF(G878=$B$998,$A$998,IF(G878=$B$999,$A$999,IF(G878=$B$1000,$A$1000,IF(G878=$B$1001,$A$1001,IF(G878=$B$1002,$A$1002,"Not Calculated")))))</f>
        <v>2</v>
      </c>
      <c r="K878" s="87"/>
    </row>
    <row r="879" spans="2:11" x14ac:dyDescent="0.2">
      <c r="B879" s="81"/>
      <c r="C879" s="85" t="s">
        <v>134</v>
      </c>
      <c r="D879" s="85"/>
      <c r="E879" s="85"/>
      <c r="F879" s="85"/>
      <c r="G879" s="85"/>
      <c r="H879" s="85"/>
      <c r="I879" s="85"/>
      <c r="J879" s="240">
        <f>'Baseline PHP'!J180</f>
        <v>0</v>
      </c>
      <c r="K879" s="87"/>
    </row>
    <row r="880" spans="2:11" x14ac:dyDescent="0.2">
      <c r="B880" s="81"/>
      <c r="C880" s="85"/>
      <c r="D880" s="85"/>
      <c r="E880" s="85"/>
      <c r="F880" s="85"/>
      <c r="G880" s="85"/>
      <c r="H880" s="85"/>
      <c r="I880" s="85"/>
      <c r="J880" s="85"/>
      <c r="K880" s="87"/>
    </row>
    <row r="881" spans="2:11" ht="16" x14ac:dyDescent="0.2">
      <c r="B881" s="81"/>
      <c r="C881" s="211" t="s">
        <v>651</v>
      </c>
      <c r="D881" s="85"/>
      <c r="E881" s="85"/>
      <c r="F881" s="85"/>
      <c r="G881" s="85"/>
      <c r="H881" s="85"/>
      <c r="I881" s="85"/>
      <c r="J881" s="85"/>
      <c r="K881" s="87"/>
    </row>
    <row r="882" spans="2:11" x14ac:dyDescent="0.2">
      <c r="B882" s="81"/>
      <c r="C882" s="85" t="s">
        <v>380</v>
      </c>
      <c r="D882" s="85"/>
      <c r="E882" s="85"/>
      <c r="F882" s="85"/>
      <c r="G882" s="406" t="s">
        <v>235</v>
      </c>
      <c r="H882" s="407"/>
      <c r="I882" s="85"/>
      <c r="J882" s="83">
        <f>IF(G882=$B$998,$A$998,IF(G882=$B$999,$A$999,IF(G882=$B$1000,$A$1000,IF(G882=$B$1001,$A$1001,IF(G882=$B$1002,$A$1002,"Not Calculated")))))</f>
        <v>2</v>
      </c>
      <c r="K882" s="87"/>
    </row>
    <row r="883" spans="2:11" x14ac:dyDescent="0.2">
      <c r="B883" s="81"/>
      <c r="C883" s="85" t="s">
        <v>134</v>
      </c>
      <c r="D883" s="85"/>
      <c r="E883" s="85"/>
      <c r="F883" s="85"/>
      <c r="G883" s="85"/>
      <c r="H883" s="85"/>
      <c r="I883" s="85"/>
      <c r="J883" s="240">
        <f>'Baseline PHP'!J194</f>
        <v>0</v>
      </c>
      <c r="K883" s="87"/>
    </row>
    <row r="884" spans="2:11" x14ac:dyDescent="0.2">
      <c r="B884" s="81"/>
      <c r="C884" s="85"/>
      <c r="D884" s="85"/>
      <c r="E884" s="85"/>
      <c r="F884" s="85"/>
      <c r="G884" s="85"/>
      <c r="H884" s="85"/>
      <c r="I884" s="85"/>
      <c r="J884" s="85"/>
      <c r="K884" s="87"/>
    </row>
    <row r="885" spans="2:11" ht="16" x14ac:dyDescent="0.2">
      <c r="B885" s="81"/>
      <c r="C885" s="211" t="s">
        <v>652</v>
      </c>
      <c r="D885" s="85"/>
      <c r="E885" s="85"/>
      <c r="F885" s="85"/>
      <c r="G885" s="85"/>
      <c r="H885" s="85"/>
      <c r="I885" s="85"/>
      <c r="J885" s="85"/>
      <c r="K885" s="87"/>
    </row>
    <row r="886" spans="2:11" x14ac:dyDescent="0.2">
      <c r="B886" s="81"/>
      <c r="C886" s="85" t="s">
        <v>380</v>
      </c>
      <c r="D886" s="85"/>
      <c r="E886" s="85"/>
      <c r="F886" s="85"/>
      <c r="G886" s="406" t="s">
        <v>235</v>
      </c>
      <c r="H886" s="407"/>
      <c r="I886" s="85"/>
      <c r="J886" s="83">
        <f>IF(G886=$B$998,$A$998,IF(G886=$B$999,$A$999,IF(G886=$B$1000,$A$1000,IF(G886=$B$1001,$A$1001,IF(G886=$B$1002,$A$1002,"Not Calculated")))))</f>
        <v>2</v>
      </c>
      <c r="K886" s="87"/>
    </row>
    <row r="887" spans="2:11" x14ac:dyDescent="0.2">
      <c r="B887" s="81"/>
      <c r="C887" s="85" t="s">
        <v>134</v>
      </c>
      <c r="D887" s="85"/>
      <c r="E887" s="85"/>
      <c r="F887" s="85"/>
      <c r="G887" s="85"/>
      <c r="H887" s="85"/>
      <c r="I887" s="85"/>
      <c r="J887" s="240">
        <f>'Baseline PHP'!J208</f>
        <v>0</v>
      </c>
      <c r="K887" s="87"/>
    </row>
    <row r="888" spans="2:11" x14ac:dyDescent="0.2">
      <c r="B888" s="81"/>
      <c r="C888" s="85"/>
      <c r="D888" s="85"/>
      <c r="E888" s="85"/>
      <c r="F888" s="85"/>
      <c r="G888" s="85"/>
      <c r="H888" s="85"/>
      <c r="I888" s="85"/>
      <c r="J888" s="85"/>
      <c r="K888" s="87"/>
    </row>
    <row r="889" spans="2:11" ht="16" x14ac:dyDescent="0.2">
      <c r="B889" s="81"/>
      <c r="C889" s="211" t="s">
        <v>653</v>
      </c>
      <c r="D889" s="85"/>
      <c r="E889" s="85"/>
      <c r="F889" s="85"/>
      <c r="G889" s="85"/>
      <c r="H889" s="85"/>
      <c r="I889" s="85"/>
      <c r="J889" s="85"/>
      <c r="K889" s="87"/>
    </row>
    <row r="890" spans="2:11" x14ac:dyDescent="0.2">
      <c r="B890" s="81"/>
      <c r="C890" s="85" t="s">
        <v>380</v>
      </c>
      <c r="D890" s="85"/>
      <c r="E890" s="85"/>
      <c r="F890" s="85"/>
      <c r="G890" s="406" t="s">
        <v>236</v>
      </c>
      <c r="H890" s="407"/>
      <c r="I890" s="85"/>
      <c r="J890" s="83">
        <f>IF(G890=$B$998,$A$998,IF(G890=$B$999,$A$999,IF(G890=$B$1000,$A$1000,IF(G890=$B$1001,$A$1001,IF(G890=$B$1002,$A$1002,"Not Calculated")))))</f>
        <v>0</v>
      </c>
      <c r="K890" s="87"/>
    </row>
    <row r="891" spans="2:11" x14ac:dyDescent="0.2">
      <c r="B891" s="81"/>
      <c r="C891" s="85" t="s">
        <v>134</v>
      </c>
      <c r="D891" s="85"/>
      <c r="E891" s="85"/>
      <c r="F891" s="85"/>
      <c r="G891" s="85"/>
      <c r="H891" s="85"/>
      <c r="I891" s="85"/>
      <c r="J891" s="240">
        <f>'Baseline PHP'!J222</f>
        <v>0</v>
      </c>
      <c r="K891" s="87"/>
    </row>
    <row r="892" spans="2:11" x14ac:dyDescent="0.2">
      <c r="B892" s="81"/>
      <c r="C892" s="85"/>
      <c r="D892" s="85"/>
      <c r="E892" s="85"/>
      <c r="F892" s="85"/>
      <c r="G892" s="85"/>
      <c r="H892" s="85"/>
      <c r="I892" s="85"/>
      <c r="J892" s="85"/>
      <c r="K892" s="87"/>
    </row>
    <row r="893" spans="2:11" x14ac:dyDescent="0.2">
      <c r="B893" s="81"/>
      <c r="C893" s="85"/>
      <c r="D893" s="85"/>
      <c r="E893" s="85"/>
      <c r="F893" s="85"/>
      <c r="G893" s="85"/>
      <c r="H893" s="85"/>
      <c r="I893" s="85"/>
      <c r="J893" s="85"/>
      <c r="K893" s="87"/>
    </row>
    <row r="894" spans="2:11" ht="16" x14ac:dyDescent="0.2">
      <c r="B894" s="81"/>
      <c r="C894" s="212" t="s">
        <v>813</v>
      </c>
      <c r="D894" s="85"/>
      <c r="E894" s="85"/>
      <c r="F894" s="85"/>
      <c r="G894" s="85"/>
      <c r="H894" s="85"/>
      <c r="I894" s="85"/>
      <c r="J894" s="241">
        <f>IF(OR(J854="Not Calculated",J858="Not Calculated",J862="Not Calculated",J866="Not Calculated",J870="Not Calculated",J874="Not Calculated",J878="Not Calculated",J882="Not Calculated",J886="Not Calculated",J890="Not Calculated",J834="Not Calculated",J838="Not Calculated",J842="Not Calculated",J846="Not Calculated",J850="Not Calculated",J855="Not Calculated",J859="Not Calculated",J863="Not Calculated",J867="Not Calculated",J871="Not Calculated",J875="Not Calculated",J879="Not Calculated",J883="Not Calculated",J887="Not Calculated",J891="Not Calculated",J835="Not Calculated",J839="Not Calculated",J843="Not Calculated",J847="Not Calculated",J851="Not Calculated")=TRUE,"Not Calculated",((J834*J835)+(J838*J839)+(J842*J843)+(J846*J847)+(J850*J851)+(J854*J855)+(J858*J859)+(J862*J863)+(J866*J867)+(J870*J871)+(J874*J875)+(J878*J879)+(J882*J883)+(J886*J887)+(J890*J891))/(J834+J838+J842+J846+J850+J854+J858+J862+J866+J870+J874+J878+J882+J886+J890))</f>
        <v>0</v>
      </c>
      <c r="K894" s="87"/>
    </row>
    <row r="895" spans="2:11" ht="16" thickBot="1" x14ac:dyDescent="0.25">
      <c r="B895" s="213"/>
      <c r="C895" s="94"/>
      <c r="D895" s="94"/>
      <c r="E895" s="94"/>
      <c r="F895" s="94"/>
      <c r="G895" s="94"/>
      <c r="H895" s="94"/>
      <c r="I895" s="94"/>
      <c r="J895" s="94"/>
      <c r="K895" s="96"/>
    </row>
    <row r="896" spans="2:11" ht="16" thickBot="1" x14ac:dyDescent="0.25"/>
    <row r="897" spans="2:11" x14ac:dyDescent="0.2">
      <c r="B897" s="77"/>
      <c r="C897" s="78"/>
      <c r="D897" s="78"/>
      <c r="E897" s="78"/>
      <c r="F897" s="78"/>
      <c r="G897" s="78"/>
      <c r="H897" s="78"/>
      <c r="I897" s="78"/>
      <c r="J897" s="78"/>
      <c r="K897" s="80"/>
    </row>
    <row r="898" spans="2:11" ht="21" x14ac:dyDescent="0.25">
      <c r="B898" s="81"/>
      <c r="C898" s="85"/>
      <c r="D898" s="85"/>
      <c r="E898" s="85"/>
      <c r="F898" s="85"/>
      <c r="G898" s="210" t="s">
        <v>807</v>
      </c>
      <c r="H898" s="85"/>
      <c r="I898" s="85"/>
      <c r="J898" s="85"/>
      <c r="K898" s="87"/>
    </row>
    <row r="899" spans="2:11" x14ac:dyDescent="0.2">
      <c r="B899" s="81"/>
      <c r="C899" s="85"/>
      <c r="D899" s="85"/>
      <c r="E899" s="85"/>
      <c r="F899" s="85"/>
      <c r="G899" s="85"/>
      <c r="H899" s="85"/>
      <c r="I899" s="85"/>
      <c r="J899" s="85"/>
      <c r="K899" s="87"/>
    </row>
    <row r="900" spans="2:11" ht="15" customHeight="1" x14ac:dyDescent="0.2">
      <c r="B900" s="81"/>
      <c r="C900" s="424" t="s">
        <v>809</v>
      </c>
      <c r="D900" s="424"/>
      <c r="E900" s="424"/>
      <c r="F900" s="424"/>
      <c r="G900" s="424"/>
      <c r="H900" s="424"/>
      <c r="I900" s="424"/>
      <c r="J900" s="424"/>
      <c r="K900" s="87"/>
    </row>
    <row r="901" spans="2:11" x14ac:dyDescent="0.2">
      <c r="B901" s="81"/>
      <c r="C901" s="424"/>
      <c r="D901" s="424"/>
      <c r="E901" s="424"/>
      <c r="F901" s="424"/>
      <c r="G901" s="424"/>
      <c r="H901" s="424"/>
      <c r="I901" s="424"/>
      <c r="J901" s="424"/>
      <c r="K901" s="87"/>
    </row>
    <row r="902" spans="2:11" x14ac:dyDescent="0.2">
      <c r="B902" s="81"/>
      <c r="C902" s="85"/>
      <c r="D902" s="85"/>
      <c r="E902" s="85"/>
      <c r="F902" s="85"/>
      <c r="G902" s="85"/>
      <c r="H902" s="85"/>
      <c r="I902" s="85"/>
      <c r="J902" s="85"/>
      <c r="K902" s="87"/>
    </row>
    <row r="903" spans="2:11" ht="16" x14ac:dyDescent="0.2">
      <c r="B903" s="81"/>
      <c r="C903" s="211" t="s">
        <v>810</v>
      </c>
      <c r="D903" s="85"/>
      <c r="E903" s="85"/>
      <c r="F903" s="85"/>
      <c r="G903" s="85"/>
      <c r="H903" s="85"/>
      <c r="I903" s="85"/>
      <c r="J903" s="85"/>
      <c r="K903" s="87"/>
    </row>
    <row r="904" spans="2:11" x14ac:dyDescent="0.2">
      <c r="B904" s="81"/>
      <c r="C904" s="85" t="s">
        <v>380</v>
      </c>
      <c r="D904" s="85"/>
      <c r="E904" s="85"/>
      <c r="F904" s="85"/>
      <c r="G904" s="406" t="s">
        <v>234</v>
      </c>
      <c r="H904" s="407"/>
      <c r="I904" s="85"/>
      <c r="J904" s="83">
        <f>IF(G904=$B$998,$A$998,IF(G904=$B$999,$A$999,IF(G904=$B$1000,$A$1000,IF(G904=$B$1001,$A$1001,IF(G904=$B$1002,$A$1002,"Not Calculated")))))</f>
        <v>4</v>
      </c>
      <c r="K904" s="87"/>
    </row>
    <row r="905" spans="2:11" x14ac:dyDescent="0.2">
      <c r="B905" s="81"/>
      <c r="C905" s="85" t="s">
        <v>134</v>
      </c>
      <c r="D905" s="85"/>
      <c r="E905" s="85"/>
      <c r="F905" s="85"/>
      <c r="G905" s="85"/>
      <c r="H905" s="85"/>
      <c r="I905" s="85"/>
      <c r="J905" s="240">
        <f>'Baseline HP'!J22</f>
        <v>0</v>
      </c>
      <c r="K905" s="87"/>
    </row>
    <row r="906" spans="2:11" x14ac:dyDescent="0.2">
      <c r="B906" s="81"/>
      <c r="C906" s="85"/>
      <c r="D906" s="85"/>
      <c r="E906" s="85"/>
      <c r="F906" s="85"/>
      <c r="G906" s="85"/>
      <c r="H906" s="85"/>
      <c r="I906" s="85"/>
      <c r="J906" s="85"/>
      <c r="K906" s="87"/>
    </row>
    <row r="907" spans="2:11" ht="16" x14ac:dyDescent="0.2">
      <c r="B907" s="81"/>
      <c r="C907" s="211" t="s">
        <v>811</v>
      </c>
      <c r="D907" s="85"/>
      <c r="E907" s="85"/>
      <c r="F907" s="85"/>
      <c r="G907" s="85"/>
      <c r="H907" s="85"/>
      <c r="I907" s="85"/>
      <c r="J907" s="85"/>
      <c r="K907" s="87"/>
    </row>
    <row r="908" spans="2:11" x14ac:dyDescent="0.2">
      <c r="B908" s="81"/>
      <c r="C908" s="85" t="s">
        <v>380</v>
      </c>
      <c r="D908" s="85"/>
      <c r="E908" s="85"/>
      <c r="F908" s="85"/>
      <c r="G908" s="406" t="s">
        <v>234</v>
      </c>
      <c r="H908" s="407"/>
      <c r="I908" s="85"/>
      <c r="J908" s="83">
        <f>IF(G908=$B$998,$A$998,IF(G908=$B$999,$A$999,IF(G908=$B$1000,$A$1000,IF(G908=$B$1001,$A$1001,IF(G908=$B$1002,$A$1002,"Not Calculated")))))</f>
        <v>4</v>
      </c>
      <c r="K908" s="87"/>
    </row>
    <row r="909" spans="2:11" x14ac:dyDescent="0.2">
      <c r="B909" s="81"/>
      <c r="C909" s="85" t="s">
        <v>134</v>
      </c>
      <c r="D909" s="85"/>
      <c r="E909" s="85"/>
      <c r="F909" s="85"/>
      <c r="G909" s="85"/>
      <c r="H909" s="85"/>
      <c r="I909" s="85"/>
      <c r="J909" s="240">
        <f>'Baseline HP'!J32</f>
        <v>0</v>
      </c>
      <c r="K909" s="87"/>
    </row>
    <row r="910" spans="2:11" x14ac:dyDescent="0.2">
      <c r="B910" s="81"/>
      <c r="C910" s="85"/>
      <c r="D910" s="85"/>
      <c r="E910" s="85"/>
      <c r="F910" s="85"/>
      <c r="G910" s="85"/>
      <c r="H910" s="85"/>
      <c r="I910" s="85"/>
      <c r="J910" s="85"/>
      <c r="K910" s="87"/>
    </row>
    <row r="911" spans="2:11" ht="16" x14ac:dyDescent="0.2">
      <c r="B911" s="81"/>
      <c r="C911" s="211" t="s">
        <v>645</v>
      </c>
      <c r="D911" s="85"/>
      <c r="E911" s="85"/>
      <c r="F911" s="85"/>
      <c r="G911" s="85"/>
      <c r="H911" s="85"/>
      <c r="I911" s="85"/>
      <c r="J911" s="85"/>
      <c r="K911" s="87"/>
    </row>
    <row r="912" spans="2:11" x14ac:dyDescent="0.2">
      <c r="B912" s="81"/>
      <c r="C912" s="85" t="s">
        <v>380</v>
      </c>
      <c r="D912" s="85"/>
      <c r="E912" s="85"/>
      <c r="F912" s="85"/>
      <c r="G912" s="406" t="s">
        <v>237</v>
      </c>
      <c r="H912" s="407"/>
      <c r="I912" s="85"/>
      <c r="J912" s="83">
        <f>IF(G912=$B$998,$A$998,IF(G912=$B$999,$A$999,IF(G912=$B$1000,$A$1000,IF(G912=$B$1001,$A$1001,IF(G912=$B$1002,$A$1002,"Not Calculated")))))</f>
        <v>1</v>
      </c>
      <c r="K912" s="87"/>
    </row>
    <row r="913" spans="2:11" x14ac:dyDescent="0.2">
      <c r="B913" s="81"/>
      <c r="C913" s="85" t="s">
        <v>134</v>
      </c>
      <c r="D913" s="85"/>
      <c r="E913" s="85"/>
      <c r="F913" s="85"/>
      <c r="G913" s="85"/>
      <c r="H913" s="85"/>
      <c r="I913" s="85"/>
      <c r="J913" s="240">
        <f>'Baseline HP'!J46</f>
        <v>0</v>
      </c>
      <c r="K913" s="87"/>
    </row>
    <row r="914" spans="2:11" x14ac:dyDescent="0.2">
      <c r="B914" s="81"/>
      <c r="C914" s="85"/>
      <c r="D914" s="85"/>
      <c r="E914" s="85"/>
      <c r="F914" s="85"/>
      <c r="G914" s="85"/>
      <c r="H914" s="85"/>
      <c r="I914" s="85"/>
      <c r="J914" s="85"/>
      <c r="K914" s="87"/>
    </row>
    <row r="915" spans="2:11" ht="16" x14ac:dyDescent="0.2">
      <c r="B915" s="81"/>
      <c r="C915" s="211" t="s">
        <v>648</v>
      </c>
      <c r="D915" s="85"/>
      <c r="E915" s="85"/>
      <c r="F915" s="85"/>
      <c r="G915" s="85"/>
      <c r="H915" s="85"/>
      <c r="I915" s="85"/>
      <c r="J915" s="85"/>
      <c r="K915" s="87"/>
    </row>
    <row r="916" spans="2:11" ht="15" customHeight="1" x14ac:dyDescent="0.2">
      <c r="B916" s="81"/>
      <c r="C916" s="85" t="s">
        <v>380</v>
      </c>
      <c r="D916" s="85"/>
      <c r="E916" s="85"/>
      <c r="F916" s="85"/>
      <c r="G916" s="406" t="s">
        <v>236</v>
      </c>
      <c r="H916" s="407"/>
      <c r="I916" s="85"/>
      <c r="J916" s="83">
        <f>IF(G916=$B$998,$A$998,IF(G916=$B$999,$A$999,IF(G916=$B$1000,$A$1000,IF(G916=$B$1001,$A$1001,IF(G916=$B$1002,$A$1002,"Not Calculated")))))</f>
        <v>0</v>
      </c>
      <c r="K916" s="87"/>
    </row>
    <row r="917" spans="2:11" x14ac:dyDescent="0.2">
      <c r="B917" s="81"/>
      <c r="C917" s="85" t="s">
        <v>134</v>
      </c>
      <c r="D917" s="85"/>
      <c r="E917" s="85"/>
      <c r="F917" s="85"/>
      <c r="G917" s="85"/>
      <c r="H917" s="85"/>
      <c r="I917" s="85"/>
      <c r="J917" s="240">
        <f>'Baseline HP'!J58</f>
        <v>0</v>
      </c>
      <c r="K917" s="87"/>
    </row>
    <row r="918" spans="2:11" x14ac:dyDescent="0.2">
      <c r="B918" s="81"/>
      <c r="C918" s="85"/>
      <c r="D918" s="85"/>
      <c r="E918" s="85"/>
      <c r="F918" s="85"/>
      <c r="G918" s="85"/>
      <c r="H918" s="85"/>
      <c r="I918" s="85"/>
      <c r="J918" s="85"/>
      <c r="K918" s="87"/>
    </row>
    <row r="919" spans="2:11" ht="16" x14ac:dyDescent="0.2">
      <c r="B919" s="81"/>
      <c r="C919" s="211" t="s">
        <v>647</v>
      </c>
      <c r="D919" s="85"/>
      <c r="E919" s="85"/>
      <c r="F919" s="85"/>
      <c r="G919" s="85"/>
      <c r="H919" s="85"/>
      <c r="I919" s="85"/>
      <c r="J919" s="85"/>
      <c r="K919" s="87"/>
    </row>
    <row r="920" spans="2:11" x14ac:dyDescent="0.2">
      <c r="B920" s="81"/>
      <c r="C920" s="85" t="s">
        <v>380</v>
      </c>
      <c r="D920" s="85"/>
      <c r="E920" s="85"/>
      <c r="F920" s="85"/>
      <c r="G920" s="406" t="s">
        <v>234</v>
      </c>
      <c r="H920" s="407"/>
      <c r="I920" s="85"/>
      <c r="J920" s="83">
        <f>IF(G920=$B$998,$A$998,IF(G920=$B$999,$A$999,IF(G920=$B$1000,$A$1000,IF(G920=$B$1001,$A$1001,IF(G920=$B$1002,$A$1002,"Not Calculated")))))</f>
        <v>4</v>
      </c>
      <c r="K920" s="87"/>
    </row>
    <row r="921" spans="2:11" x14ac:dyDescent="0.2">
      <c r="B921" s="81"/>
      <c r="C921" s="85" t="s">
        <v>134</v>
      </c>
      <c r="D921" s="85"/>
      <c r="E921" s="85"/>
      <c r="F921" s="85"/>
      <c r="G921" s="85"/>
      <c r="H921" s="85"/>
      <c r="I921" s="85"/>
      <c r="J921" s="240">
        <f>'Baseline HP'!J68</f>
        <v>0</v>
      </c>
      <c r="K921" s="87"/>
    </row>
    <row r="922" spans="2:11" x14ac:dyDescent="0.2">
      <c r="B922" s="81"/>
      <c r="C922" s="85"/>
      <c r="D922" s="85"/>
      <c r="E922" s="85"/>
      <c r="F922" s="85"/>
      <c r="G922" s="85"/>
      <c r="H922" s="85"/>
      <c r="I922" s="85"/>
      <c r="J922" s="85"/>
      <c r="K922" s="87"/>
    </row>
    <row r="923" spans="2:11" ht="16" x14ac:dyDescent="0.2">
      <c r="B923" s="81"/>
      <c r="C923" s="211" t="s">
        <v>121</v>
      </c>
      <c r="D923" s="85"/>
      <c r="E923" s="85"/>
      <c r="F923" s="85"/>
      <c r="G923" s="85"/>
      <c r="H923" s="85"/>
      <c r="I923" s="85"/>
      <c r="J923" s="85"/>
      <c r="K923" s="87"/>
    </row>
    <row r="924" spans="2:11" x14ac:dyDescent="0.2">
      <c r="B924" s="81"/>
      <c r="C924" s="85" t="s">
        <v>380</v>
      </c>
      <c r="D924" s="85"/>
      <c r="E924" s="85"/>
      <c r="F924" s="85"/>
      <c r="G924" s="406" t="s">
        <v>236</v>
      </c>
      <c r="H924" s="407"/>
      <c r="I924" s="85"/>
      <c r="J924" s="83">
        <f>IF(G924=$B$998,$A$998,IF(G924=$B$999,$A$999,IF(G924=$B$1000,$A$1000,IF(G924=$B$1001,$A$1001,IF(G924=$B$1002,$A$1002,"Not Calculated")))))</f>
        <v>0</v>
      </c>
      <c r="K924" s="87"/>
    </row>
    <row r="925" spans="2:11" x14ac:dyDescent="0.2">
      <c r="B925" s="81"/>
      <c r="C925" s="85" t="s">
        <v>134</v>
      </c>
      <c r="D925" s="85"/>
      <c r="E925" s="85"/>
      <c r="F925" s="85"/>
      <c r="G925" s="85"/>
      <c r="H925" s="85"/>
      <c r="I925" s="85"/>
      <c r="J925" s="240">
        <f>'Baseline HP'!J84</f>
        <v>0</v>
      </c>
      <c r="K925" s="87"/>
    </row>
    <row r="926" spans="2:11" x14ac:dyDescent="0.2">
      <c r="B926" s="81"/>
      <c r="C926" s="85"/>
      <c r="D926" s="85"/>
      <c r="E926" s="85"/>
      <c r="F926" s="85"/>
      <c r="G926" s="85"/>
      <c r="H926" s="85"/>
      <c r="I926" s="85"/>
      <c r="J926" s="85"/>
      <c r="K926" s="87"/>
    </row>
    <row r="927" spans="2:11" ht="16" x14ac:dyDescent="0.2">
      <c r="B927" s="81"/>
      <c r="C927" s="211" t="s">
        <v>652</v>
      </c>
      <c r="D927" s="85"/>
      <c r="E927" s="85"/>
      <c r="F927" s="85"/>
      <c r="G927" s="85"/>
      <c r="H927" s="85"/>
      <c r="I927" s="85"/>
      <c r="J927" s="85"/>
      <c r="K927" s="87"/>
    </row>
    <row r="928" spans="2:11" x14ac:dyDescent="0.2">
      <c r="B928" s="81"/>
      <c r="C928" s="85" t="s">
        <v>380</v>
      </c>
      <c r="D928" s="85"/>
      <c r="E928" s="85"/>
      <c r="F928" s="85"/>
      <c r="G928" s="406" t="s">
        <v>235</v>
      </c>
      <c r="H928" s="407"/>
      <c r="I928" s="85"/>
      <c r="J928" s="83">
        <f>IF(G928=$B$998,$A$998,IF(G928=$B$999,$A$999,IF(G928=$B$1000,$A$1000,IF(G928=$B$1001,$A$1001,IF(G928=$B$1002,$A$1002,"Not Calculated")))))</f>
        <v>2</v>
      </c>
      <c r="K928" s="87"/>
    </row>
    <row r="929" spans="2:11" x14ac:dyDescent="0.2">
      <c r="B929" s="81"/>
      <c r="C929" s="85" t="s">
        <v>134</v>
      </c>
      <c r="D929" s="85"/>
      <c r="E929" s="85"/>
      <c r="F929" s="85"/>
      <c r="G929" s="85"/>
      <c r="H929" s="85"/>
      <c r="I929" s="85"/>
      <c r="J929" s="240">
        <f>'Baseline HP'!J94</f>
        <v>0</v>
      </c>
      <c r="K929" s="87"/>
    </row>
    <row r="930" spans="2:11" x14ac:dyDescent="0.2">
      <c r="B930" s="81"/>
      <c r="C930" s="85"/>
      <c r="D930" s="85"/>
      <c r="E930" s="85"/>
      <c r="F930" s="85"/>
      <c r="G930" s="85"/>
      <c r="H930" s="85"/>
      <c r="I930" s="85"/>
      <c r="J930" s="85"/>
      <c r="K930" s="87"/>
    </row>
    <row r="931" spans="2:11" ht="16" x14ac:dyDescent="0.2">
      <c r="B931" s="81"/>
      <c r="C931" s="211" t="s">
        <v>653</v>
      </c>
      <c r="D931" s="85"/>
      <c r="E931" s="85"/>
      <c r="F931" s="85"/>
      <c r="G931" s="85"/>
      <c r="H931" s="85"/>
      <c r="I931" s="85"/>
      <c r="J931" s="85"/>
      <c r="K931" s="87"/>
    </row>
    <row r="932" spans="2:11" x14ac:dyDescent="0.2">
      <c r="B932" s="81"/>
      <c r="C932" s="85" t="s">
        <v>380</v>
      </c>
      <c r="D932" s="85"/>
      <c r="E932" s="85"/>
      <c r="F932" s="85"/>
      <c r="G932" s="406" t="s">
        <v>236</v>
      </c>
      <c r="H932" s="407"/>
      <c r="I932" s="85"/>
      <c r="J932" s="83">
        <f>IF(G932=$B$998,$A$998,IF(G932=$B$999,$A$999,IF(G932=$B$1000,$A$1000,IF(G932=$B$1001,$A$1001,IF(G932=$B$1002,$A$1002,"Not Calculated")))))</f>
        <v>0</v>
      </c>
      <c r="K932" s="87"/>
    </row>
    <row r="933" spans="2:11" x14ac:dyDescent="0.2">
      <c r="B933" s="81"/>
      <c r="C933" s="85" t="s">
        <v>134</v>
      </c>
      <c r="D933" s="85"/>
      <c r="E933" s="85"/>
      <c r="F933" s="85"/>
      <c r="G933" s="85"/>
      <c r="H933" s="85"/>
      <c r="I933" s="85"/>
      <c r="J933" s="240">
        <f>'Baseline HP'!J108</f>
        <v>0</v>
      </c>
      <c r="K933" s="87"/>
    </row>
    <row r="934" spans="2:11" x14ac:dyDescent="0.2">
      <c r="B934" s="81"/>
      <c r="C934" s="85"/>
      <c r="D934" s="85"/>
      <c r="E934" s="85"/>
      <c r="F934" s="85"/>
      <c r="G934" s="85"/>
      <c r="H934" s="85"/>
      <c r="I934" s="85"/>
      <c r="J934" s="85"/>
      <c r="K934" s="87"/>
    </row>
    <row r="935" spans="2:11" x14ac:dyDescent="0.2">
      <c r="B935" s="81"/>
      <c r="C935" s="85"/>
      <c r="D935" s="85"/>
      <c r="E935" s="85"/>
      <c r="F935" s="85"/>
      <c r="G935" s="85"/>
      <c r="H935" s="85"/>
      <c r="I935" s="85"/>
      <c r="J935" s="85"/>
      <c r="K935" s="87"/>
    </row>
    <row r="936" spans="2:11" ht="16" x14ac:dyDescent="0.2">
      <c r="B936" s="81"/>
      <c r="C936" s="212" t="s">
        <v>812</v>
      </c>
      <c r="D936" s="85"/>
      <c r="E936" s="85"/>
      <c r="F936" s="85"/>
      <c r="G936" s="85"/>
      <c r="H936" s="85"/>
      <c r="I936" s="85"/>
      <c r="J936" s="241">
        <f>IF(OR(J920="Not Calculated",J924="Not Calculated",J928="Not Calculated",J932="Not Calculated",J904="Not Calculated",J908="Not Calculated",J912="Not Calculated",J916="Not Calculated",J921="Not Calculated",J925="Not Calculated",J929="Not Calculated",J933="Not Calculated",J905="Not Calculated",J909="Not Calculated",J913="Not Calculated",J917="Not Calculated")=TRUE,"Not Calculated",((J904*J905)+(J908*J909)+(J912*J913)+(J916*J917)+(J920*J921)+(J924*J925)+(J928*J929)+(J932*J933))/(J904+J908+J912+J916+J920+J924+J928+J932))</f>
        <v>0</v>
      </c>
      <c r="K936" s="87"/>
    </row>
    <row r="937" spans="2:11" ht="16" thickBot="1" x14ac:dyDescent="0.25">
      <c r="B937" s="213"/>
      <c r="C937" s="94"/>
      <c r="D937" s="94"/>
      <c r="E937" s="94"/>
      <c r="F937" s="94"/>
      <c r="G937" s="94"/>
      <c r="H937" s="94"/>
      <c r="I937" s="94"/>
      <c r="J937" s="94"/>
      <c r="K937" s="96"/>
    </row>
    <row r="938" spans="2:11" ht="16" thickBot="1" x14ac:dyDescent="0.25"/>
    <row r="939" spans="2:11" x14ac:dyDescent="0.2">
      <c r="B939" s="77"/>
      <c r="C939" s="78"/>
      <c r="D939" s="78"/>
      <c r="E939" s="78"/>
      <c r="F939" s="78"/>
      <c r="G939" s="78"/>
      <c r="H939" s="78"/>
      <c r="I939" s="78"/>
      <c r="J939" s="78"/>
      <c r="K939" s="80"/>
    </row>
    <row r="940" spans="2:11" ht="21" x14ac:dyDescent="0.25">
      <c r="B940" s="81"/>
      <c r="C940" s="85"/>
      <c r="D940" s="85"/>
      <c r="E940" s="85"/>
      <c r="F940" s="85"/>
      <c r="G940" s="210" t="s">
        <v>815</v>
      </c>
      <c r="H940" s="85"/>
      <c r="I940" s="85"/>
      <c r="J940" s="85"/>
      <c r="K940" s="87"/>
    </row>
    <row r="941" spans="2:11" ht="21" x14ac:dyDescent="0.25">
      <c r="B941" s="81"/>
      <c r="C941" s="85"/>
      <c r="D941" s="85"/>
      <c r="E941" s="85"/>
      <c r="F941" s="85"/>
      <c r="G941" s="210"/>
      <c r="H941" s="85"/>
      <c r="I941" s="85"/>
      <c r="J941" s="85"/>
      <c r="K941" s="87"/>
    </row>
    <row r="942" spans="2:11" ht="16" x14ac:dyDescent="0.2">
      <c r="B942" s="81"/>
      <c r="C942" s="212" t="s">
        <v>995</v>
      </c>
      <c r="D942" s="85"/>
      <c r="E942" s="85"/>
      <c r="F942" s="85"/>
      <c r="G942" s="85"/>
      <c r="H942" s="85"/>
      <c r="I942" s="85"/>
      <c r="J942" s="241">
        <f>IF(OR(J936="Not Calculated",J894="Not Calculated")=TRUE,"Not Calculated",AVERAGE(J936,J894))</f>
        <v>0</v>
      </c>
      <c r="K942" s="87"/>
    </row>
    <row r="943" spans="2:11" ht="16" x14ac:dyDescent="0.2">
      <c r="B943" s="81"/>
      <c r="C943" s="212"/>
      <c r="D943" s="85" t="s">
        <v>814</v>
      </c>
      <c r="E943" s="85"/>
      <c r="F943" s="85"/>
      <c r="G943" s="85"/>
      <c r="H943" s="85"/>
      <c r="I943" s="85"/>
      <c r="J943" s="241"/>
      <c r="K943" s="87"/>
    </row>
    <row r="944" spans="2:11" ht="17" thickBot="1" x14ac:dyDescent="0.25">
      <c r="B944" s="213"/>
      <c r="C944" s="227"/>
      <c r="D944" s="94"/>
      <c r="E944" s="94"/>
      <c r="F944" s="94"/>
      <c r="G944" s="94"/>
      <c r="H944" s="94"/>
      <c r="I944" s="94"/>
      <c r="J944" s="228"/>
      <c r="K944" s="96"/>
    </row>
    <row r="945" spans="2:11" ht="16" thickBot="1" x14ac:dyDescent="0.25"/>
    <row r="946" spans="2:11" x14ac:dyDescent="0.2">
      <c r="B946" s="214"/>
      <c r="C946" s="215"/>
      <c r="D946" s="215"/>
      <c r="E946" s="215"/>
      <c r="F946" s="215"/>
      <c r="G946" s="215"/>
      <c r="H946" s="215"/>
      <c r="I946" s="215"/>
      <c r="J946" s="215"/>
      <c r="K946" s="216"/>
    </row>
    <row r="947" spans="2:11" ht="21" x14ac:dyDescent="0.25">
      <c r="B947" s="217"/>
      <c r="C947" s="218"/>
      <c r="D947" s="218"/>
      <c r="E947" s="218"/>
      <c r="F947" s="218"/>
      <c r="G947" s="219" t="s">
        <v>239</v>
      </c>
      <c r="H947" s="218"/>
      <c r="I947" s="218"/>
      <c r="J947" s="218"/>
      <c r="K947" s="220"/>
    </row>
    <row r="948" spans="2:11" x14ac:dyDescent="0.2">
      <c r="B948" s="217"/>
      <c r="C948" s="218"/>
      <c r="D948" s="218"/>
      <c r="E948" s="218"/>
      <c r="F948" s="218"/>
      <c r="G948" s="218"/>
      <c r="H948" s="218"/>
      <c r="I948" s="218"/>
      <c r="J948" s="218"/>
      <c r="K948" s="220"/>
    </row>
    <row r="949" spans="2:11" ht="16" x14ac:dyDescent="0.2">
      <c r="B949" s="217"/>
      <c r="C949" s="221" t="s">
        <v>393</v>
      </c>
      <c r="D949" s="218"/>
      <c r="E949" s="218"/>
      <c r="F949" s="218"/>
      <c r="G949" s="218"/>
      <c r="H949" s="218"/>
      <c r="I949" s="218"/>
      <c r="J949" s="242" t="str">
        <f>IF(OR(J817="Not Calculated",J942="Not Calculated")=TRUE,"Not Calculated",J817/J942)</f>
        <v>Not Calculated</v>
      </c>
      <c r="K949" s="220"/>
    </row>
    <row r="950" spans="2:11" x14ac:dyDescent="0.2">
      <c r="B950" s="217"/>
      <c r="C950" s="218"/>
      <c r="D950" s="218" t="s">
        <v>816</v>
      </c>
      <c r="E950" s="218"/>
      <c r="F950" s="218"/>
      <c r="G950" s="218"/>
      <c r="H950" s="218"/>
      <c r="I950" s="218"/>
      <c r="J950" s="218"/>
      <c r="K950" s="220"/>
    </row>
    <row r="951" spans="2:11" x14ac:dyDescent="0.2">
      <c r="B951" s="217"/>
      <c r="C951" s="218"/>
      <c r="D951" s="218"/>
      <c r="E951" s="218"/>
      <c r="F951" s="218"/>
      <c r="G951" s="218"/>
      <c r="H951" s="218"/>
      <c r="I951" s="218"/>
      <c r="J951" s="218"/>
      <c r="K951" s="220"/>
    </row>
    <row r="952" spans="2:11" ht="16" x14ac:dyDescent="0.2">
      <c r="B952" s="217"/>
      <c r="C952" s="221" t="s">
        <v>996</v>
      </c>
      <c r="D952" s="218"/>
      <c r="E952" s="218"/>
      <c r="F952" s="218"/>
      <c r="G952" s="218"/>
      <c r="H952" s="218"/>
      <c r="I952" s="218"/>
      <c r="J952" s="242" t="str">
        <f>IF(OR(J820="Not Calculated",J894="Not Calculated")=TRUE,"Not Calculated",J820/J894)</f>
        <v>Not Calculated</v>
      </c>
      <c r="K952" s="220"/>
    </row>
    <row r="953" spans="2:11" x14ac:dyDescent="0.2">
      <c r="B953" s="217"/>
      <c r="C953" s="218"/>
      <c r="D953" s="218" t="s">
        <v>817</v>
      </c>
      <c r="E953" s="218"/>
      <c r="F953" s="218"/>
      <c r="G953" s="218"/>
      <c r="H953" s="218"/>
      <c r="I953" s="218"/>
      <c r="J953" s="218"/>
      <c r="K953" s="220"/>
    </row>
    <row r="954" spans="2:11" x14ac:dyDescent="0.2">
      <c r="B954" s="217"/>
      <c r="C954" s="218"/>
      <c r="D954" s="218"/>
      <c r="E954" s="218"/>
      <c r="F954" s="218"/>
      <c r="G954" s="218"/>
      <c r="H954" s="218"/>
      <c r="I954" s="218"/>
      <c r="J954" s="218"/>
      <c r="K954" s="220"/>
    </row>
    <row r="955" spans="2:11" ht="16" x14ac:dyDescent="0.2">
      <c r="B955" s="217"/>
      <c r="C955" s="221" t="s">
        <v>997</v>
      </c>
      <c r="D955" s="218"/>
      <c r="E955" s="218"/>
      <c r="F955" s="218"/>
      <c r="G955" s="218"/>
      <c r="H955" s="218"/>
      <c r="I955" s="218"/>
      <c r="J955" s="242" t="str">
        <f>IF(OR(J936="Not Calculated",J823="Not Calculated")=TRUE,"Not Calculated",J823/J936)</f>
        <v>Not Calculated</v>
      </c>
      <c r="K955" s="220"/>
    </row>
    <row r="956" spans="2:11" x14ac:dyDescent="0.2">
      <c r="B956" s="217"/>
      <c r="C956" s="218"/>
      <c r="D956" s="218" t="s">
        <v>818</v>
      </c>
      <c r="E956" s="218"/>
      <c r="F956" s="218"/>
      <c r="G956" s="218"/>
      <c r="H956" s="218"/>
      <c r="I956" s="218"/>
      <c r="J956" s="218"/>
      <c r="K956" s="220"/>
    </row>
    <row r="957" spans="2:11" ht="16" thickBot="1" x14ac:dyDescent="0.25">
      <c r="B957" s="222"/>
      <c r="C957" s="223"/>
      <c r="D957" s="223"/>
      <c r="E957" s="223"/>
      <c r="F957" s="223"/>
      <c r="G957" s="223"/>
      <c r="H957" s="223"/>
      <c r="I957" s="223"/>
      <c r="J957" s="223"/>
      <c r="K957" s="224"/>
    </row>
    <row r="959" spans="2:11" ht="15" customHeight="1" x14ac:dyDescent="0.2">
      <c r="F959" s="405"/>
      <c r="G959" s="405"/>
      <c r="H959" s="405"/>
    </row>
    <row r="960" spans="2:11" x14ac:dyDescent="0.2">
      <c r="F960" s="405"/>
      <c r="G960" s="405"/>
      <c r="H960" s="405"/>
    </row>
    <row r="965" spans="1:3" ht="15" hidden="1" customHeight="1" x14ac:dyDescent="0.2">
      <c r="A965" s="12" t="s">
        <v>228</v>
      </c>
    </row>
    <row r="966" spans="1:3" ht="15" hidden="1" customHeight="1" x14ac:dyDescent="0.2">
      <c r="A966" s="12">
        <v>0</v>
      </c>
      <c r="B966" s="12" t="s">
        <v>250</v>
      </c>
      <c r="C966" s="12" t="s">
        <v>240</v>
      </c>
    </row>
    <row r="967" spans="1:3" ht="15" hidden="1" customHeight="1" x14ac:dyDescent="0.2">
      <c r="A967" s="12">
        <v>1</v>
      </c>
      <c r="B967" s="12" t="s">
        <v>251</v>
      </c>
      <c r="C967" s="12" t="s">
        <v>241</v>
      </c>
    </row>
    <row r="968" spans="1:3" ht="15" hidden="1" customHeight="1" x14ac:dyDescent="0.2">
      <c r="A968" s="12">
        <v>2</v>
      </c>
      <c r="B968" s="12" t="s">
        <v>252</v>
      </c>
      <c r="C968" s="12" t="s">
        <v>242</v>
      </c>
    </row>
    <row r="969" spans="1:3" ht="15" hidden="1" customHeight="1" x14ac:dyDescent="0.2">
      <c r="A969" s="12">
        <v>3</v>
      </c>
      <c r="B969" s="12" t="s">
        <v>253</v>
      </c>
      <c r="C969" s="12" t="s">
        <v>227</v>
      </c>
    </row>
    <row r="970" spans="1:3" ht="15" hidden="1" customHeight="1" x14ac:dyDescent="0.2">
      <c r="A970" s="12">
        <v>4</v>
      </c>
      <c r="B970" s="12" t="s">
        <v>254</v>
      </c>
      <c r="C970" s="12" t="s">
        <v>243</v>
      </c>
    </row>
    <row r="971" spans="1:3" ht="15" hidden="1" customHeight="1" x14ac:dyDescent="0.2"/>
    <row r="972" spans="1:3" ht="15" hidden="1" customHeight="1" x14ac:dyDescent="0.2">
      <c r="A972" s="12" t="s">
        <v>259</v>
      </c>
    </row>
    <row r="973" spans="1:3" ht="15" hidden="1" customHeight="1" x14ac:dyDescent="0.2">
      <c r="A973" s="12">
        <v>0</v>
      </c>
      <c r="B973" s="225" t="s">
        <v>870</v>
      </c>
    </row>
    <row r="974" spans="1:3" ht="15" hidden="1" customHeight="1" x14ac:dyDescent="0.2">
      <c r="A974" s="12">
        <v>1</v>
      </c>
      <c r="B974" s="12" t="s">
        <v>880</v>
      </c>
    </row>
    <row r="975" spans="1:3" ht="15" hidden="1" customHeight="1" x14ac:dyDescent="0.2">
      <c r="A975" s="12">
        <v>2</v>
      </c>
      <c r="B975" s="12" t="s">
        <v>872</v>
      </c>
    </row>
    <row r="976" spans="1:3" ht="15" hidden="1" customHeight="1" x14ac:dyDescent="0.2">
      <c r="A976" s="12">
        <v>3</v>
      </c>
      <c r="B976" s="12" t="s">
        <v>873</v>
      </c>
    </row>
    <row r="977" spans="1:2" ht="15" hidden="1" customHeight="1" x14ac:dyDescent="0.2">
      <c r="A977" s="12">
        <v>4</v>
      </c>
      <c r="B977" s="12" t="s">
        <v>874</v>
      </c>
    </row>
    <row r="978" spans="1:2" ht="15" hidden="1" customHeight="1" x14ac:dyDescent="0.2"/>
    <row r="979" spans="1:2" ht="15" hidden="1" customHeight="1" x14ac:dyDescent="0.2">
      <c r="A979" s="12" t="s">
        <v>294</v>
      </c>
    </row>
    <row r="980" spans="1:2" ht="15" hidden="1" customHeight="1" x14ac:dyDescent="0.2">
      <c r="A980" s="12">
        <v>0</v>
      </c>
      <c r="B980" s="225" t="s">
        <v>870</v>
      </c>
    </row>
    <row r="981" spans="1:2" ht="15" hidden="1" customHeight="1" x14ac:dyDescent="0.2">
      <c r="A981" s="12">
        <v>1</v>
      </c>
      <c r="B981" s="12" t="s">
        <v>875</v>
      </c>
    </row>
    <row r="982" spans="1:2" ht="15" hidden="1" customHeight="1" x14ac:dyDescent="0.2">
      <c r="A982" s="12">
        <v>2</v>
      </c>
      <c r="B982" s="12" t="s">
        <v>876</v>
      </c>
    </row>
    <row r="983" spans="1:2" ht="15" hidden="1" customHeight="1" x14ac:dyDescent="0.2">
      <c r="A983" s="12">
        <v>3</v>
      </c>
      <c r="B983" s="12" t="s">
        <v>877</v>
      </c>
    </row>
    <row r="984" spans="1:2" ht="15" hidden="1" customHeight="1" x14ac:dyDescent="0.2">
      <c r="A984" s="12">
        <v>4</v>
      </c>
      <c r="B984" s="12" t="s">
        <v>878</v>
      </c>
    </row>
    <row r="985" spans="1:2" ht="15" hidden="1" customHeight="1" x14ac:dyDescent="0.2"/>
    <row r="986" spans="1:2" ht="15" hidden="1" customHeight="1" x14ac:dyDescent="0.2">
      <c r="A986" s="12" t="s">
        <v>244</v>
      </c>
    </row>
    <row r="987" spans="1:2" ht="15" hidden="1" customHeight="1" x14ac:dyDescent="0.2">
      <c r="A987" s="12">
        <v>0</v>
      </c>
      <c r="B987" s="12" t="s">
        <v>245</v>
      </c>
    </row>
    <row r="988" spans="1:2" ht="15" hidden="1" customHeight="1" x14ac:dyDescent="0.2">
      <c r="A988" s="12">
        <v>1</v>
      </c>
      <c r="B988" s="12" t="s">
        <v>246</v>
      </c>
    </row>
    <row r="989" spans="1:2" ht="15" hidden="1" customHeight="1" x14ac:dyDescent="0.2">
      <c r="A989" s="12">
        <v>2</v>
      </c>
      <c r="B989" s="12" t="s">
        <v>247</v>
      </c>
    </row>
    <row r="990" spans="1:2" ht="15" hidden="1" customHeight="1" x14ac:dyDescent="0.2">
      <c r="A990" s="12">
        <v>3</v>
      </c>
      <c r="B990" s="12" t="s">
        <v>229</v>
      </c>
    </row>
    <row r="991" spans="1:2" ht="15" hidden="1" customHeight="1" x14ac:dyDescent="0.2">
      <c r="A991" s="12">
        <v>4</v>
      </c>
      <c r="B991" s="12" t="s">
        <v>248</v>
      </c>
    </row>
    <row r="992" spans="1:2" ht="15" hidden="1" customHeight="1" x14ac:dyDescent="0.2"/>
    <row r="993" spans="1:11" ht="15" hidden="1" customHeight="1" x14ac:dyDescent="0.2">
      <c r="A993" s="12" t="s">
        <v>381</v>
      </c>
    </row>
    <row r="994" spans="1:11" ht="15" hidden="1" customHeight="1" x14ac:dyDescent="0.2">
      <c r="A994" s="12">
        <v>0</v>
      </c>
      <c r="B994" s="12" t="s">
        <v>202</v>
      </c>
    </row>
    <row r="995" spans="1:11" ht="15" hidden="1" customHeight="1" x14ac:dyDescent="0.2">
      <c r="A995" s="12">
        <v>1</v>
      </c>
      <c r="B995" s="12" t="s">
        <v>190</v>
      </c>
    </row>
    <row r="996" spans="1:11" ht="15" hidden="1" customHeight="1" x14ac:dyDescent="0.2"/>
    <row r="997" spans="1:11" ht="15" hidden="1" customHeight="1" x14ac:dyDescent="0.2">
      <c r="A997" s="12" t="s">
        <v>249</v>
      </c>
    </row>
    <row r="998" spans="1:11" ht="15" hidden="1" customHeight="1" x14ac:dyDescent="0.2">
      <c r="A998" s="12">
        <v>0</v>
      </c>
      <c r="B998" s="12" t="s">
        <v>236</v>
      </c>
    </row>
    <row r="999" spans="1:11" ht="15" hidden="1" customHeight="1" x14ac:dyDescent="0.2">
      <c r="A999" s="12">
        <v>1</v>
      </c>
      <c r="B999" s="12" t="s">
        <v>237</v>
      </c>
    </row>
    <row r="1000" spans="1:11" ht="15" hidden="1" customHeight="1" x14ac:dyDescent="0.2">
      <c r="A1000" s="12">
        <v>2</v>
      </c>
      <c r="B1000" s="12" t="s">
        <v>235</v>
      </c>
    </row>
    <row r="1001" spans="1:11" ht="15" hidden="1" customHeight="1" x14ac:dyDescent="0.2">
      <c r="A1001" s="12">
        <v>3</v>
      </c>
      <c r="B1001" s="12" t="s">
        <v>238</v>
      </c>
    </row>
    <row r="1002" spans="1:11" ht="15" hidden="1" customHeight="1" x14ac:dyDescent="0.2">
      <c r="A1002" s="12">
        <v>4</v>
      </c>
      <c r="B1002" s="12" t="s">
        <v>234</v>
      </c>
    </row>
    <row r="1003" spans="1:11" ht="15" customHeight="1" x14ac:dyDescent="0.2">
      <c r="B1003" s="12" t="s">
        <v>685</v>
      </c>
    </row>
    <row r="1004" spans="1:11" ht="15" customHeight="1" x14ac:dyDescent="0.2">
      <c r="B1004" s="402" t="s">
        <v>761</v>
      </c>
      <c r="C1004" s="403"/>
      <c r="D1004" s="403"/>
      <c r="E1004" s="403"/>
      <c r="F1004" s="403"/>
      <c r="G1004" s="403"/>
      <c r="H1004" s="403"/>
      <c r="I1004" s="403"/>
      <c r="J1004" s="403"/>
      <c r="K1004" s="404"/>
    </row>
    <row r="1005" spans="1:11" ht="15" customHeight="1" x14ac:dyDescent="0.2">
      <c r="B1005" s="396"/>
      <c r="C1005" s="397"/>
      <c r="D1005" s="397"/>
      <c r="E1005" s="397"/>
      <c r="F1005" s="397"/>
      <c r="G1005" s="397"/>
      <c r="H1005" s="397"/>
      <c r="I1005" s="397"/>
      <c r="J1005" s="397"/>
      <c r="K1005" s="398"/>
    </row>
    <row r="1006" spans="1:11" ht="45" customHeight="1" x14ac:dyDescent="0.2">
      <c r="B1006" s="396" t="s">
        <v>763</v>
      </c>
      <c r="C1006" s="397"/>
      <c r="D1006" s="397"/>
      <c r="E1006" s="397"/>
      <c r="F1006" s="397"/>
      <c r="G1006" s="397"/>
      <c r="H1006" s="397"/>
      <c r="I1006" s="397"/>
      <c r="J1006" s="397"/>
      <c r="K1006" s="398"/>
    </row>
    <row r="1007" spans="1:11" ht="15" customHeight="1" x14ac:dyDescent="0.2">
      <c r="B1007" s="396"/>
      <c r="C1007" s="397"/>
      <c r="D1007" s="397"/>
      <c r="E1007" s="397"/>
      <c r="F1007" s="397"/>
      <c r="G1007" s="397"/>
      <c r="H1007" s="397"/>
      <c r="I1007" s="397"/>
      <c r="J1007" s="397"/>
      <c r="K1007" s="398"/>
    </row>
    <row r="1008" spans="1:11" ht="30" customHeight="1" x14ac:dyDescent="0.2">
      <c r="B1008" s="396" t="s">
        <v>707</v>
      </c>
      <c r="C1008" s="397"/>
      <c r="D1008" s="397"/>
      <c r="E1008" s="397"/>
      <c r="F1008" s="397"/>
      <c r="G1008" s="397"/>
      <c r="H1008" s="397"/>
      <c r="I1008" s="397"/>
      <c r="J1008" s="397"/>
      <c r="K1008" s="398"/>
    </row>
    <row r="1009" spans="2:11" ht="15" customHeight="1" x14ac:dyDescent="0.2">
      <c r="B1009" s="396"/>
      <c r="C1009" s="397"/>
      <c r="D1009" s="397"/>
      <c r="E1009" s="397"/>
      <c r="F1009" s="397"/>
      <c r="G1009" s="397"/>
      <c r="H1009" s="397"/>
      <c r="I1009" s="397"/>
      <c r="J1009" s="397"/>
      <c r="K1009" s="398"/>
    </row>
    <row r="1010" spans="2:11" ht="30" customHeight="1" x14ac:dyDescent="0.2">
      <c r="B1010" s="396" t="s">
        <v>764</v>
      </c>
      <c r="C1010" s="397"/>
      <c r="D1010" s="397"/>
      <c r="E1010" s="397"/>
      <c r="F1010" s="397"/>
      <c r="G1010" s="397"/>
      <c r="H1010" s="397"/>
      <c r="I1010" s="397"/>
      <c r="J1010" s="397"/>
      <c r="K1010" s="398"/>
    </row>
    <row r="1011" spans="2:11" ht="15" customHeight="1" x14ac:dyDescent="0.2">
      <c r="B1011" s="396"/>
      <c r="C1011" s="397"/>
      <c r="D1011" s="397"/>
      <c r="E1011" s="397"/>
      <c r="F1011" s="397"/>
      <c r="G1011" s="397"/>
      <c r="H1011" s="397"/>
      <c r="I1011" s="397"/>
      <c r="J1011" s="397"/>
      <c r="K1011" s="398"/>
    </row>
    <row r="1012" spans="2:11" ht="15" customHeight="1" x14ac:dyDescent="0.2">
      <c r="B1012" s="396"/>
      <c r="C1012" s="397"/>
      <c r="D1012" s="397"/>
      <c r="E1012" s="397"/>
      <c r="F1012" s="397"/>
      <c r="G1012" s="397"/>
      <c r="H1012" s="397"/>
      <c r="I1012" s="397"/>
      <c r="J1012" s="397"/>
      <c r="K1012" s="398"/>
    </row>
    <row r="1013" spans="2:11" ht="15" customHeight="1" x14ac:dyDescent="0.2">
      <c r="B1013" s="396"/>
      <c r="C1013" s="397"/>
      <c r="D1013" s="397"/>
      <c r="E1013" s="397"/>
      <c r="F1013" s="397"/>
      <c r="G1013" s="397"/>
      <c r="H1013" s="397"/>
      <c r="I1013" s="397"/>
      <c r="J1013" s="397"/>
      <c r="K1013" s="398"/>
    </row>
    <row r="1014" spans="2:11" ht="15" customHeight="1" x14ac:dyDescent="0.2">
      <c r="B1014" s="396"/>
      <c r="C1014" s="397"/>
      <c r="D1014" s="397"/>
      <c r="E1014" s="397"/>
      <c r="F1014" s="397"/>
      <c r="G1014" s="397"/>
      <c r="H1014" s="397"/>
      <c r="I1014" s="397"/>
      <c r="J1014" s="397"/>
      <c r="K1014" s="398"/>
    </row>
    <row r="1015" spans="2:11" ht="15" customHeight="1" x14ac:dyDescent="0.2">
      <c r="B1015" s="396"/>
      <c r="C1015" s="397"/>
      <c r="D1015" s="397"/>
      <c r="E1015" s="397"/>
      <c r="F1015" s="397"/>
      <c r="G1015" s="397"/>
      <c r="H1015" s="397"/>
      <c r="I1015" s="397"/>
      <c r="J1015" s="397"/>
      <c r="K1015" s="398"/>
    </row>
    <row r="1016" spans="2:11" ht="15" customHeight="1" x14ac:dyDescent="0.2">
      <c r="B1016" s="396"/>
      <c r="C1016" s="397"/>
      <c r="D1016" s="397"/>
      <c r="E1016" s="397"/>
      <c r="F1016" s="397"/>
      <c r="G1016" s="397"/>
      <c r="H1016" s="397"/>
      <c r="I1016" s="397"/>
      <c r="J1016" s="397"/>
      <c r="K1016" s="398"/>
    </row>
    <row r="1017" spans="2:11" ht="15" customHeight="1" x14ac:dyDescent="0.2">
      <c r="B1017" s="396"/>
      <c r="C1017" s="397"/>
      <c r="D1017" s="397"/>
      <c r="E1017" s="397"/>
      <c r="F1017" s="397"/>
      <c r="G1017" s="397"/>
      <c r="H1017" s="397"/>
      <c r="I1017" s="397"/>
      <c r="J1017" s="397"/>
      <c r="K1017" s="398"/>
    </row>
    <row r="1018" spans="2:11" ht="15" customHeight="1" x14ac:dyDescent="0.2">
      <c r="B1018" s="396"/>
      <c r="C1018" s="397"/>
      <c r="D1018" s="397"/>
      <c r="E1018" s="397"/>
      <c r="F1018" s="397"/>
      <c r="G1018" s="397"/>
      <c r="H1018" s="397"/>
      <c r="I1018" s="397"/>
      <c r="J1018" s="397"/>
      <c r="K1018" s="398"/>
    </row>
    <row r="1019" spans="2:11" ht="15" customHeight="1" x14ac:dyDescent="0.2">
      <c r="B1019" s="396"/>
      <c r="C1019" s="397"/>
      <c r="D1019" s="397"/>
      <c r="E1019" s="397"/>
      <c r="F1019" s="397"/>
      <c r="G1019" s="397"/>
      <c r="H1019" s="397"/>
      <c r="I1019" s="397"/>
      <c r="J1019" s="397"/>
      <c r="K1019" s="398"/>
    </row>
    <row r="1020" spans="2:11" ht="15" customHeight="1" x14ac:dyDescent="0.2">
      <c r="B1020" s="396"/>
      <c r="C1020" s="397"/>
      <c r="D1020" s="397"/>
      <c r="E1020" s="397"/>
      <c r="F1020" s="397"/>
      <c r="G1020" s="397"/>
      <c r="H1020" s="397"/>
      <c r="I1020" s="397"/>
      <c r="J1020" s="397"/>
      <c r="K1020" s="398"/>
    </row>
    <row r="1021" spans="2:11" ht="15" customHeight="1" x14ac:dyDescent="0.2">
      <c r="B1021" s="396"/>
      <c r="C1021" s="397"/>
      <c r="D1021" s="397"/>
      <c r="E1021" s="397"/>
      <c r="F1021" s="397"/>
      <c r="G1021" s="397"/>
      <c r="H1021" s="397"/>
      <c r="I1021" s="397"/>
      <c r="J1021" s="397"/>
      <c r="K1021" s="398"/>
    </row>
    <row r="1022" spans="2:11" ht="15" customHeight="1" x14ac:dyDescent="0.2">
      <c r="B1022" s="396"/>
      <c r="C1022" s="397"/>
      <c r="D1022" s="397"/>
      <c r="E1022" s="397"/>
      <c r="F1022" s="397"/>
      <c r="G1022" s="397"/>
      <c r="H1022" s="397"/>
      <c r="I1022" s="397"/>
      <c r="J1022" s="397"/>
      <c r="K1022" s="398"/>
    </row>
    <row r="1023" spans="2:11" ht="15" customHeight="1" x14ac:dyDescent="0.2">
      <c r="B1023" s="396"/>
      <c r="C1023" s="397"/>
      <c r="D1023" s="397"/>
      <c r="E1023" s="397"/>
      <c r="F1023" s="397"/>
      <c r="G1023" s="397"/>
      <c r="H1023" s="397"/>
      <c r="I1023" s="397"/>
      <c r="J1023" s="397"/>
      <c r="K1023" s="398"/>
    </row>
    <row r="1024" spans="2:11" ht="15" customHeight="1" x14ac:dyDescent="0.2">
      <c r="B1024" s="396"/>
      <c r="C1024" s="397"/>
      <c r="D1024" s="397"/>
      <c r="E1024" s="397"/>
      <c r="F1024" s="397"/>
      <c r="G1024" s="397"/>
      <c r="H1024" s="397"/>
      <c r="I1024" s="397"/>
      <c r="J1024" s="397"/>
      <c r="K1024" s="398"/>
    </row>
    <row r="1025" spans="2:11" ht="15" customHeight="1" x14ac:dyDescent="0.2">
      <c r="B1025" s="396"/>
      <c r="C1025" s="397"/>
      <c r="D1025" s="397"/>
      <c r="E1025" s="397"/>
      <c r="F1025" s="397"/>
      <c r="G1025" s="397"/>
      <c r="H1025" s="397"/>
      <c r="I1025" s="397"/>
      <c r="J1025" s="397"/>
      <c r="K1025" s="398"/>
    </row>
    <row r="1026" spans="2:11" ht="15" customHeight="1" x14ac:dyDescent="0.2">
      <c r="B1026" s="396"/>
      <c r="C1026" s="397"/>
      <c r="D1026" s="397"/>
      <c r="E1026" s="397"/>
      <c r="F1026" s="397"/>
      <c r="G1026" s="397"/>
      <c r="H1026" s="397"/>
      <c r="I1026" s="397"/>
      <c r="J1026" s="397"/>
      <c r="K1026" s="398"/>
    </row>
    <row r="1027" spans="2:11" ht="15" customHeight="1" x14ac:dyDescent="0.2">
      <c r="B1027" s="396"/>
      <c r="C1027" s="397"/>
      <c r="D1027" s="397"/>
      <c r="E1027" s="397"/>
      <c r="F1027" s="397"/>
      <c r="G1027" s="397"/>
      <c r="H1027" s="397"/>
      <c r="I1027" s="397"/>
      <c r="J1027" s="397"/>
      <c r="K1027" s="398"/>
    </row>
    <row r="1028" spans="2:11" ht="15" customHeight="1" x14ac:dyDescent="0.2">
      <c r="B1028" s="396"/>
      <c r="C1028" s="397"/>
      <c r="D1028" s="397"/>
      <c r="E1028" s="397"/>
      <c r="F1028" s="397"/>
      <c r="G1028" s="397"/>
      <c r="H1028" s="397"/>
      <c r="I1028" s="397"/>
      <c r="J1028" s="397"/>
      <c r="K1028" s="398"/>
    </row>
    <row r="1029" spans="2:11" ht="15" customHeight="1" x14ac:dyDescent="0.2">
      <c r="B1029" s="393"/>
      <c r="C1029" s="394"/>
      <c r="D1029" s="394"/>
      <c r="E1029" s="394"/>
      <c r="F1029" s="394"/>
      <c r="G1029" s="394"/>
      <c r="H1029" s="394"/>
      <c r="I1029" s="394"/>
      <c r="J1029" s="394"/>
      <c r="K1029" s="395"/>
    </row>
  </sheetData>
  <sheetProtection formatCells="0" formatColumns="0" formatRows="0" selectLockedCells="1"/>
  <mergeCells count="152">
    <mergeCell ref="E15:J15"/>
    <mergeCell ref="C38:J38"/>
    <mergeCell ref="C57:J57"/>
    <mergeCell ref="C347:J347"/>
    <mergeCell ref="B5:K5"/>
    <mergeCell ref="B6:K6"/>
    <mergeCell ref="B7:K7"/>
    <mergeCell ref="B8:K8"/>
    <mergeCell ref="B9:K9"/>
    <mergeCell ref="B10:K10"/>
    <mergeCell ref="C292:I293"/>
    <mergeCell ref="C311:I312"/>
    <mergeCell ref="C340:I341"/>
    <mergeCell ref="C305:J305"/>
    <mergeCell ref="C324:J324"/>
    <mergeCell ref="C330:I331"/>
    <mergeCell ref="D343:I344"/>
    <mergeCell ref="C176:J176"/>
    <mergeCell ref="C196:J196"/>
    <mergeCell ref="C155:J155"/>
    <mergeCell ref="C120:J122"/>
    <mergeCell ref="C123:J124"/>
    <mergeCell ref="C129:J129"/>
    <mergeCell ref="C95:J95"/>
    <mergeCell ref="C114:J114"/>
    <mergeCell ref="C76:J76"/>
    <mergeCell ref="C455:J455"/>
    <mergeCell ref="C402:J402"/>
    <mergeCell ref="C416:J416"/>
    <mergeCell ref="C438:J438"/>
    <mergeCell ref="C444:I445"/>
    <mergeCell ref="C391:I392"/>
    <mergeCell ref="C257:J257"/>
    <mergeCell ref="C237:J237"/>
    <mergeCell ref="C216:J216"/>
    <mergeCell ref="C420:I421"/>
    <mergeCell ref="C385:J385"/>
    <mergeCell ref="C365:J365"/>
    <mergeCell ref="C371:I372"/>
    <mergeCell ref="C286:J286"/>
    <mergeCell ref="C613:J613"/>
    <mergeCell ref="C560:J560"/>
    <mergeCell ref="C566:I568"/>
    <mergeCell ref="C569:I571"/>
    <mergeCell ref="C583:J583"/>
    <mergeCell ref="C524:I525"/>
    <mergeCell ref="C535:J535"/>
    <mergeCell ref="C518:J518"/>
    <mergeCell ref="C471:J471"/>
    <mergeCell ref="C477:I478"/>
    <mergeCell ref="C486:J486"/>
    <mergeCell ref="C502:J502"/>
    <mergeCell ref="C599:J599"/>
    <mergeCell ref="G717:H717"/>
    <mergeCell ref="G718:H718"/>
    <mergeCell ref="C729:J731"/>
    <mergeCell ref="G732:H732"/>
    <mergeCell ref="G733:H733"/>
    <mergeCell ref="C620:I621"/>
    <mergeCell ref="C633:J633"/>
    <mergeCell ref="C639:I640"/>
    <mergeCell ref="C641:I643"/>
    <mergeCell ref="C714:J716"/>
    <mergeCell ref="C655:J655"/>
    <mergeCell ref="D664:I665"/>
    <mergeCell ref="C677:J677"/>
    <mergeCell ref="G737:H737"/>
    <mergeCell ref="G738:H738"/>
    <mergeCell ref="G734:H734"/>
    <mergeCell ref="G735:H735"/>
    <mergeCell ref="G724:H724"/>
    <mergeCell ref="G725:H725"/>
    <mergeCell ref="G719:H719"/>
    <mergeCell ref="G720:H720"/>
    <mergeCell ref="G721:H721"/>
    <mergeCell ref="G846:H846"/>
    <mergeCell ref="C830:J831"/>
    <mergeCell ref="G834:H834"/>
    <mergeCell ref="G838:H838"/>
    <mergeCell ref="G842:H842"/>
    <mergeCell ref="G769:H769"/>
    <mergeCell ref="G770:H770"/>
    <mergeCell ref="G767:H767"/>
    <mergeCell ref="G768:H768"/>
    <mergeCell ref="G766:H766"/>
    <mergeCell ref="G754:H754"/>
    <mergeCell ref="G755:H755"/>
    <mergeCell ref="G752:H752"/>
    <mergeCell ref="G753:H753"/>
    <mergeCell ref="C759:J761"/>
    <mergeCell ref="G762:H762"/>
    <mergeCell ref="G763:H763"/>
    <mergeCell ref="G764:H764"/>
    <mergeCell ref="G878:H878"/>
    <mergeCell ref="G722:H722"/>
    <mergeCell ref="G723:H723"/>
    <mergeCell ref="G850:H850"/>
    <mergeCell ref="G862:H862"/>
    <mergeCell ref="G866:H866"/>
    <mergeCell ref="G854:H854"/>
    <mergeCell ref="G858:H858"/>
    <mergeCell ref="F959:H960"/>
    <mergeCell ref="G736:H736"/>
    <mergeCell ref="C744:J746"/>
    <mergeCell ref="G747:H747"/>
    <mergeCell ref="G748:H748"/>
    <mergeCell ref="G749:H749"/>
    <mergeCell ref="G886:H886"/>
    <mergeCell ref="G890:H890"/>
    <mergeCell ref="G882:H882"/>
    <mergeCell ref="G870:H870"/>
    <mergeCell ref="G874:H874"/>
    <mergeCell ref="G765:H765"/>
    <mergeCell ref="G750:H750"/>
    <mergeCell ref="G751:H751"/>
    <mergeCell ref="G739:H739"/>
    <mergeCell ref="G740:H740"/>
    <mergeCell ref="B1004:K1004"/>
    <mergeCell ref="B1005:K1005"/>
    <mergeCell ref="B1006:K1006"/>
    <mergeCell ref="B1007:K1007"/>
    <mergeCell ref="B1008:K1008"/>
    <mergeCell ref="B1009:K1009"/>
    <mergeCell ref="B1010:K1010"/>
    <mergeCell ref="B1011:K1011"/>
    <mergeCell ref="B1012:K1012"/>
    <mergeCell ref="B1022:K1022"/>
    <mergeCell ref="B1023:K1023"/>
    <mergeCell ref="B1024:K1024"/>
    <mergeCell ref="B1025:K1025"/>
    <mergeCell ref="B1026:K1026"/>
    <mergeCell ref="B1027:K1027"/>
    <mergeCell ref="B1028:K1028"/>
    <mergeCell ref="B1029:K1029"/>
    <mergeCell ref="B1013:K1013"/>
    <mergeCell ref="B1014:K1014"/>
    <mergeCell ref="B1015:K1015"/>
    <mergeCell ref="B1016:K1016"/>
    <mergeCell ref="B1017:K1017"/>
    <mergeCell ref="B1018:K1018"/>
    <mergeCell ref="B1019:K1019"/>
    <mergeCell ref="B1020:K1020"/>
    <mergeCell ref="B1021:K1021"/>
    <mergeCell ref="G928:H928"/>
    <mergeCell ref="G932:H932"/>
    <mergeCell ref="G924:H924"/>
    <mergeCell ref="G916:H916"/>
    <mergeCell ref="G920:H920"/>
    <mergeCell ref="C900:J901"/>
    <mergeCell ref="G904:H904"/>
    <mergeCell ref="G908:H908"/>
    <mergeCell ref="G912:H912"/>
  </mergeCells>
  <dataValidations count="23">
    <dataValidation type="list" allowBlank="1" showInputMessage="1" showErrorMessage="1" sqref="E15:J15" xr:uid="{00000000-0002-0000-1100-000000000000}">
      <formula1>$C$966:$C$970</formula1>
    </dataValidation>
    <dataValidation type="list" allowBlank="1" showInputMessage="1" showErrorMessage="1" sqref="G834:H834 G838:H838 G842:H842 G846:H846 G850:H850 G854:H854 G858:H858 G862:H862 G866:H866 G870:H870 G874:H874 G878:H878 G882:H882 G886:H886 G890:H890 G904:H904 G908:H908 G912:H912 G916:H916 G920:H920 G924:H924 G928:H928 G932:H932" xr:uid="{00000000-0002-0000-1100-000001000000}">
      <formula1>$B$998:$B$1002</formula1>
    </dataValidation>
    <dataValidation type="list" allowBlank="1" showInputMessage="1" showErrorMessage="1" sqref="G717:H725 G762:H770 G732:H740 G747:H755" xr:uid="{00000000-0002-0000-1100-000002000000}">
      <formula1>$B$994:$B$995</formula1>
    </dataValidation>
    <dataValidation type="list" allowBlank="1" showInputMessage="1" showErrorMessage="1" sqref="J302 J362" xr:uid="{00000000-0002-0000-1100-000003000000}">
      <formula1>$B$980:$B$984</formula1>
    </dataValidation>
    <dataValidation type="list" allowBlank="1" showInputMessage="1" showErrorMessage="1" sqref="C123:J124" xr:uid="{00000000-0002-0000-1100-000004000000}">
      <formula1>$B$987:$B$991</formula1>
    </dataValidation>
    <dataValidation type="list" allowBlank="1" showInputMessage="1" showErrorMessage="1" sqref="J35 J234 J630 J674 J596 J580 J557 J532 J515 J499 J468 J452 J435 J254 J73 J92 J111 J126 J152 J173 J193 J54 J213 J652 J283" xr:uid="{00000000-0002-0000-1100-000005000000}">
      <formula1>$B$973:$B$977</formula1>
    </dataValidation>
    <dataValidation type="list" allowBlank="1" showInputMessage="1" showErrorMessage="1" sqref="J33" xr:uid="{00000000-0002-0000-1100-000006000000}">
      <formula1>$N$32:$N$37</formula1>
    </dataValidation>
    <dataValidation type="list" allowBlank="1" showInputMessage="1" showErrorMessage="1" sqref="J52" xr:uid="{00000000-0002-0000-1100-000007000000}">
      <formula1>$N$51:$N$56</formula1>
    </dataValidation>
    <dataValidation type="list" allowBlank="1" showInputMessage="1" showErrorMessage="1" sqref="J71" xr:uid="{00000000-0002-0000-1100-000008000000}">
      <formula1>$N$70:$N$75</formula1>
    </dataValidation>
    <dataValidation type="list" allowBlank="1" showInputMessage="1" showErrorMessage="1" sqref="J90" xr:uid="{00000000-0002-0000-1100-000009000000}">
      <formula1>$N$89:$N$94</formula1>
    </dataValidation>
    <dataValidation type="list" allowBlank="1" showInputMessage="1" showErrorMessage="1" sqref="J109" xr:uid="{00000000-0002-0000-1100-00000A000000}">
      <formula1>$N$108:$N$113</formula1>
    </dataValidation>
    <dataValidation type="list" allowBlank="1" showInputMessage="1" showErrorMessage="1" sqref="J150" xr:uid="{00000000-0002-0000-1100-00000B000000}">
      <formula1>$N$149:$N$154</formula1>
    </dataValidation>
    <dataValidation type="list" allowBlank="1" showInputMessage="1" showErrorMessage="1" sqref="J171" xr:uid="{00000000-0002-0000-1100-00000C000000}">
      <formula1>$N$170:$N$175</formula1>
    </dataValidation>
    <dataValidation type="list" allowBlank="1" showInputMessage="1" showErrorMessage="1" sqref="J191" xr:uid="{00000000-0002-0000-1100-00000D000000}">
      <formula1>$N$190:$N$195</formula1>
    </dataValidation>
    <dataValidation type="list" allowBlank="1" showInputMessage="1" showErrorMessage="1" sqref="J211" xr:uid="{00000000-0002-0000-1100-00000E000000}">
      <formula1>$N$210:$N$215</formula1>
    </dataValidation>
    <dataValidation type="list" allowBlank="1" showInputMessage="1" showErrorMessage="1" sqref="J232" xr:uid="{00000000-0002-0000-1100-00000F000000}">
      <formula1>$N$231:$N$236</formula1>
    </dataValidation>
    <dataValidation type="list" allowBlank="1" showInputMessage="1" showErrorMessage="1" sqref="J252" xr:uid="{00000000-0002-0000-1100-000010000000}">
      <formula1>$N$251:$N$256</formula1>
    </dataValidation>
    <dataValidation type="list" allowBlank="1" showInputMessage="1" showErrorMessage="1" sqref="J281" xr:uid="{00000000-0002-0000-1100-000011000000}">
      <formula1>$N$280:$N$285</formula1>
    </dataValidation>
    <dataValidation type="list" allowBlank="1" showInputMessage="1" showErrorMessage="1" sqref="J555" xr:uid="{00000000-0002-0000-1100-000012000000}">
      <formula1>$N$554:$N$559</formula1>
    </dataValidation>
    <dataValidation type="list" allowBlank="1" showInputMessage="1" showErrorMessage="1" sqref="J578" xr:uid="{00000000-0002-0000-1100-000013000000}">
      <formula1>$N$577:$N$582</formula1>
    </dataValidation>
    <dataValidation type="list" allowBlank="1" showInputMessage="1" showErrorMessage="1" sqref="J628" xr:uid="{00000000-0002-0000-1100-000014000000}">
      <formula1>$N$627:$N$632</formula1>
    </dataValidation>
    <dataValidation type="list" allowBlank="1" showInputMessage="1" showErrorMessage="1" sqref="J650" xr:uid="{00000000-0002-0000-1100-000015000000}">
      <formula1>$N$649:$N$654</formula1>
    </dataValidation>
    <dataValidation type="list" allowBlank="1" showInputMessage="1" showErrorMessage="1" sqref="J672" xr:uid="{00000000-0002-0000-1100-000016000000}">
      <formula1>$N$671:$N$676</formula1>
    </dataValidation>
  </dataValidations>
  <pageMargins left="0.7" right="0.7" top="0.75" bottom="0.75" header="0.3" footer="0.3"/>
  <pageSetup scale="7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dimension ref="A1:N1029"/>
  <sheetViews>
    <sheetView showGridLines="0" showRowColHeaders="0" zoomScaleNormal="100" workbookViewId="0">
      <selection activeCell="R12" sqref="R12"/>
    </sheetView>
  </sheetViews>
  <sheetFormatPr baseColWidth="10" defaultColWidth="9.1640625" defaultRowHeight="15" x14ac:dyDescent="0.2"/>
  <cols>
    <col min="1" max="1" width="9.1640625" style="12"/>
    <col min="2" max="3" width="9.1640625" style="12" customWidth="1"/>
    <col min="4" max="4" width="9.1640625" style="12"/>
    <col min="5" max="5" width="9.1640625" style="12" customWidth="1"/>
    <col min="6" max="9" width="9.1640625" style="12"/>
    <col min="10" max="10" width="25.6640625" style="12" customWidth="1"/>
    <col min="11" max="13" width="9.1640625" style="12"/>
    <col min="14" max="14" width="9.1640625" style="12" hidden="1" customWidth="1"/>
    <col min="15" max="16384" width="9.1640625" style="12"/>
  </cols>
  <sheetData>
    <row r="1" spans="2:13" x14ac:dyDescent="0.2">
      <c r="I1" s="29"/>
    </row>
    <row r="2" spans="2:13" ht="33" x14ac:dyDescent="0.2">
      <c r="G2" s="16" t="s">
        <v>1038</v>
      </c>
      <c r="I2" s="29"/>
    </row>
    <row r="3" spans="2:13" ht="23" x14ac:dyDescent="0.25">
      <c r="G3" s="30" t="s">
        <v>4</v>
      </c>
      <c r="I3" s="29"/>
      <c r="L3" s="157"/>
      <c r="M3" s="157"/>
    </row>
    <row r="4" spans="2:13" x14ac:dyDescent="0.2">
      <c r="G4" s="98"/>
      <c r="I4" s="29"/>
      <c r="L4" s="158"/>
      <c r="M4" s="157"/>
    </row>
    <row r="5" spans="2:13" ht="75" customHeight="1" x14ac:dyDescent="0.2">
      <c r="B5" s="474" t="s">
        <v>670</v>
      </c>
      <c r="C5" s="475"/>
      <c r="D5" s="475"/>
      <c r="E5" s="475"/>
      <c r="F5" s="475"/>
      <c r="G5" s="475"/>
      <c r="H5" s="475"/>
      <c r="I5" s="475"/>
      <c r="J5" s="475"/>
      <c r="K5" s="475"/>
      <c r="L5" s="158"/>
      <c r="M5" s="157"/>
    </row>
    <row r="6" spans="2:13" x14ac:dyDescent="0.2">
      <c r="B6" s="426"/>
      <c r="C6" s="426"/>
      <c r="D6" s="426"/>
      <c r="E6" s="426"/>
      <c r="F6" s="426"/>
      <c r="G6" s="426"/>
      <c r="H6" s="426"/>
      <c r="I6" s="426"/>
      <c r="J6" s="426"/>
      <c r="K6" s="426"/>
      <c r="L6" s="158"/>
    </row>
    <row r="7" spans="2:13" ht="60" customHeight="1" x14ac:dyDescent="0.2">
      <c r="B7" s="425" t="s">
        <v>664</v>
      </c>
      <c r="C7" s="341"/>
      <c r="D7" s="341"/>
      <c r="E7" s="341"/>
      <c r="F7" s="341"/>
      <c r="G7" s="341"/>
      <c r="H7" s="341"/>
      <c r="I7" s="341"/>
      <c r="J7" s="341"/>
      <c r="K7" s="341"/>
    </row>
    <row r="8" spans="2:13" x14ac:dyDescent="0.2">
      <c r="B8" s="426"/>
      <c r="C8" s="426"/>
      <c r="D8" s="426"/>
      <c r="E8" s="426"/>
      <c r="F8" s="426"/>
      <c r="G8" s="426"/>
      <c r="H8" s="426"/>
      <c r="I8" s="426"/>
      <c r="J8" s="426"/>
      <c r="K8" s="426"/>
    </row>
    <row r="9" spans="2:13" ht="30" customHeight="1" x14ac:dyDescent="0.2">
      <c r="B9" s="445" t="s">
        <v>665</v>
      </c>
      <c r="C9" s="446"/>
      <c r="D9" s="446"/>
      <c r="E9" s="446"/>
      <c r="F9" s="446"/>
      <c r="G9" s="446"/>
      <c r="H9" s="446"/>
      <c r="I9" s="446"/>
      <c r="J9" s="446"/>
      <c r="K9" s="446"/>
    </row>
    <row r="10" spans="2:13" ht="30" customHeight="1" x14ac:dyDescent="0.2">
      <c r="B10" s="447" t="s">
        <v>1331</v>
      </c>
      <c r="C10" s="448"/>
      <c r="D10" s="448"/>
      <c r="E10" s="448"/>
      <c r="F10" s="448"/>
      <c r="G10" s="448"/>
      <c r="H10" s="448"/>
      <c r="I10" s="448"/>
      <c r="J10" s="448"/>
      <c r="K10" s="449"/>
    </row>
    <row r="11" spans="2:13" ht="16" thickBot="1" x14ac:dyDescent="0.25"/>
    <row r="12" spans="2:13" x14ac:dyDescent="0.2">
      <c r="B12" s="159"/>
      <c r="C12" s="160"/>
      <c r="D12" s="160"/>
      <c r="E12" s="160"/>
      <c r="F12" s="160"/>
      <c r="G12" s="160"/>
      <c r="H12" s="160"/>
      <c r="I12" s="160"/>
      <c r="J12" s="160"/>
      <c r="K12" s="161"/>
    </row>
    <row r="13" spans="2:13" ht="21" x14ac:dyDescent="0.25">
      <c r="B13" s="162"/>
      <c r="C13" s="163"/>
      <c r="D13" s="163"/>
      <c r="E13" s="163"/>
      <c r="F13" s="163"/>
      <c r="G13" s="164" t="s">
        <v>226</v>
      </c>
      <c r="H13" s="163"/>
      <c r="I13" s="163"/>
      <c r="J13" s="163"/>
      <c r="K13" s="165"/>
    </row>
    <row r="14" spans="2:13" ht="21" x14ac:dyDescent="0.25">
      <c r="B14" s="162"/>
      <c r="C14" s="163"/>
      <c r="D14" s="163"/>
      <c r="E14" s="163"/>
      <c r="F14" s="163"/>
      <c r="G14" s="164"/>
      <c r="H14" s="163"/>
      <c r="I14" s="163"/>
      <c r="J14" s="163"/>
      <c r="K14" s="165"/>
    </row>
    <row r="15" spans="2:13" ht="26.25" customHeight="1" x14ac:dyDescent="0.2">
      <c r="B15" s="162"/>
      <c r="C15" s="163" t="s">
        <v>255</v>
      </c>
      <c r="D15" s="163"/>
      <c r="E15" s="412" t="s">
        <v>227</v>
      </c>
      <c r="F15" s="437"/>
      <c r="G15" s="437"/>
      <c r="H15" s="437"/>
      <c r="I15" s="437"/>
      <c r="J15" s="438"/>
      <c r="K15" s="165"/>
    </row>
    <row r="16" spans="2:13" x14ac:dyDescent="0.2">
      <c r="B16" s="162"/>
      <c r="C16" s="163"/>
      <c r="D16" s="163"/>
      <c r="E16" s="163"/>
      <c r="F16" s="163"/>
      <c r="G16" s="163"/>
      <c r="H16" s="163"/>
      <c r="I16" s="163"/>
      <c r="J16" s="163"/>
      <c r="K16" s="165"/>
    </row>
    <row r="17" spans="2:14" x14ac:dyDescent="0.2">
      <c r="B17" s="162"/>
      <c r="C17" s="166" t="s">
        <v>256</v>
      </c>
      <c r="D17" s="163"/>
      <c r="E17" s="167">
        <f>IF(E15=$C$966,$A$966,IF(E15=$C$967,$A$967,IF(E15=$C$968,$A$968,IF(E15=$C$969,$A$969,IF(E15=$C$970,$A$970,"Not Calculated")))))</f>
        <v>3</v>
      </c>
      <c r="F17" s="163"/>
      <c r="G17" s="163"/>
      <c r="H17" s="163"/>
      <c r="I17" s="163"/>
      <c r="J17" s="163"/>
      <c r="K17" s="165"/>
    </row>
    <row r="18" spans="2:14" x14ac:dyDescent="0.2">
      <c r="B18" s="162"/>
      <c r="C18" s="163"/>
      <c r="D18" s="163"/>
      <c r="E18" s="167" t="str">
        <f>IF(E15=$C$966,$B$966,IF(E15=$C$967,$B$967,IF(E15=$C$968,$B$968,IF(E15=$C$969,$B$969,IF(E15=$C$970,$B$970,"Not Calculated")))))</f>
        <v>Probable</v>
      </c>
      <c r="F18" s="163"/>
      <c r="G18" s="163"/>
      <c r="H18" s="163"/>
      <c r="I18" s="163"/>
      <c r="J18" s="163"/>
      <c r="K18" s="165"/>
    </row>
    <row r="19" spans="2:14" ht="16" thickBot="1" x14ac:dyDescent="0.25">
      <c r="B19" s="168"/>
      <c r="C19" s="169"/>
      <c r="D19" s="169"/>
      <c r="E19" s="169"/>
      <c r="F19" s="169"/>
      <c r="G19" s="169"/>
      <c r="H19" s="169"/>
      <c r="I19" s="169"/>
      <c r="J19" s="169"/>
      <c r="K19" s="170"/>
    </row>
    <row r="20" spans="2:14" ht="16" thickBot="1" x14ac:dyDescent="0.25"/>
    <row r="21" spans="2:14" x14ac:dyDescent="0.2">
      <c r="B21" s="33"/>
      <c r="C21" s="34"/>
      <c r="D21" s="34"/>
      <c r="E21" s="34"/>
      <c r="F21" s="34"/>
      <c r="G21" s="34"/>
      <c r="H21" s="34"/>
      <c r="I21" s="34"/>
      <c r="J21" s="34"/>
      <c r="K21" s="37"/>
    </row>
    <row r="22" spans="2:14" ht="21" x14ac:dyDescent="0.25">
      <c r="B22" s="38"/>
      <c r="C22" s="171"/>
      <c r="D22" s="40"/>
      <c r="E22" s="40"/>
      <c r="F22" s="40"/>
      <c r="G22" s="172" t="s">
        <v>26</v>
      </c>
      <c r="H22" s="40"/>
      <c r="I22" s="40"/>
      <c r="J22" s="40"/>
      <c r="K22" s="41"/>
    </row>
    <row r="23" spans="2:14" x14ac:dyDescent="0.2">
      <c r="B23" s="38"/>
      <c r="C23" s="40"/>
      <c r="D23" s="40"/>
      <c r="E23" s="40"/>
      <c r="F23" s="40"/>
      <c r="G23" s="40"/>
      <c r="H23" s="40"/>
      <c r="I23" s="40"/>
      <c r="J23" s="40"/>
      <c r="K23" s="41"/>
    </row>
    <row r="24" spans="2:14" ht="16" x14ac:dyDescent="0.2">
      <c r="B24" s="38"/>
      <c r="C24" s="45" t="s">
        <v>61</v>
      </c>
      <c r="D24" s="40"/>
      <c r="E24" s="40"/>
      <c r="F24" s="40"/>
      <c r="G24" s="40"/>
      <c r="H24" s="40"/>
      <c r="I24" s="40"/>
      <c r="J24" s="40"/>
      <c r="K24" s="41"/>
    </row>
    <row r="25" spans="2:14" x14ac:dyDescent="0.2">
      <c r="B25" s="38"/>
      <c r="C25" s="40" t="s">
        <v>434</v>
      </c>
      <c r="D25" s="40"/>
      <c r="E25" s="40"/>
      <c r="F25" s="40"/>
      <c r="G25" s="40"/>
      <c r="H25" s="40"/>
      <c r="I25" s="40"/>
      <c r="J25" s="252">
        <f>'Baseline Health'!G11</f>
        <v>0</v>
      </c>
      <c r="K25" s="41"/>
    </row>
    <row r="26" spans="2:14" x14ac:dyDescent="0.2">
      <c r="B26" s="38"/>
      <c r="C26" s="40" t="s">
        <v>288</v>
      </c>
      <c r="D26" s="40"/>
      <c r="E26" s="40"/>
      <c r="F26" s="40"/>
      <c r="G26" s="40"/>
      <c r="H26" s="40"/>
      <c r="I26" s="40"/>
      <c r="J26" s="264">
        <v>7</v>
      </c>
      <c r="K26" s="41"/>
    </row>
    <row r="27" spans="2:14" x14ac:dyDescent="0.2">
      <c r="B27" s="38"/>
      <c r="C27" s="40" t="s">
        <v>260</v>
      </c>
      <c r="D27" s="40"/>
      <c r="E27" s="40"/>
      <c r="F27" s="40"/>
      <c r="G27" s="40"/>
      <c r="H27" s="40"/>
      <c r="I27" s="40"/>
      <c r="J27" s="248" t="str">
        <f>IF(OR(J25=0,J25="Not Calculated")=TRUE,"Not Calculated",(IF(((J26+J25)/J25)&lt;=1,0,IF(((J26+J25)/J25)&lt;=1.05,1,IF(((J26+J25)/J25)&lt;=1.5, 2,IF(((J26+J25)/J25)&lt;=2,3,4))))))</f>
        <v>Not Calculated</v>
      </c>
      <c r="K27" s="41"/>
    </row>
    <row r="28" spans="2:14" ht="9.75" customHeight="1" x14ac:dyDescent="0.2">
      <c r="B28" s="38"/>
      <c r="C28" s="279" t="str">
        <f>"0:"</f>
        <v>0:</v>
      </c>
      <c r="D28" s="281" t="s">
        <v>918</v>
      </c>
      <c r="E28" s="40"/>
      <c r="F28" s="40"/>
      <c r="G28" s="40"/>
      <c r="H28" s="40"/>
      <c r="I28" s="40"/>
      <c r="J28" s="40"/>
      <c r="K28" s="41"/>
    </row>
    <row r="29" spans="2:14" ht="9.75" customHeight="1" x14ac:dyDescent="0.2">
      <c r="B29" s="38"/>
      <c r="C29" s="280" t="str">
        <f>"1:"</f>
        <v>1:</v>
      </c>
      <c r="D29" s="281" t="s">
        <v>919</v>
      </c>
      <c r="E29" s="40"/>
      <c r="F29" s="40"/>
      <c r="G29" s="40"/>
      <c r="H29" s="40"/>
      <c r="I29" s="40"/>
      <c r="J29" s="40"/>
      <c r="K29" s="41"/>
    </row>
    <row r="30" spans="2:14" ht="9.75" customHeight="1" x14ac:dyDescent="0.2">
      <c r="B30" s="38"/>
      <c r="C30" s="280" t="str">
        <f>"2:"</f>
        <v>2:</v>
      </c>
      <c r="D30" s="281" t="s">
        <v>920</v>
      </c>
      <c r="E30" s="40"/>
      <c r="F30" s="40"/>
      <c r="G30" s="40"/>
      <c r="H30" s="40"/>
      <c r="I30" s="40"/>
      <c r="J30" s="40"/>
      <c r="K30" s="41"/>
    </row>
    <row r="31" spans="2:14" ht="9.75" customHeight="1" x14ac:dyDescent="0.2">
      <c r="B31" s="38"/>
      <c r="C31" s="280" t="str">
        <f>"3:"</f>
        <v>3:</v>
      </c>
      <c r="D31" s="281" t="s">
        <v>921</v>
      </c>
      <c r="E31" s="40"/>
      <c r="F31" s="40"/>
      <c r="G31" s="40"/>
      <c r="H31" s="40"/>
      <c r="I31" s="40"/>
      <c r="J31" s="40"/>
      <c r="K31" s="41"/>
    </row>
    <row r="32" spans="2:14" ht="9.75" customHeight="1" x14ac:dyDescent="0.2">
      <c r="B32" s="38"/>
      <c r="C32" s="280" t="str">
        <f>"4:"</f>
        <v>4:</v>
      </c>
      <c r="D32" s="281" t="s">
        <v>922</v>
      </c>
      <c r="E32" s="40"/>
      <c r="F32" s="40"/>
      <c r="G32" s="40"/>
      <c r="H32" s="40"/>
      <c r="I32" s="40"/>
      <c r="J32" s="40"/>
      <c r="K32" s="41"/>
      <c r="N32" s="12" t="s">
        <v>661</v>
      </c>
    </row>
    <row r="33" spans="2:14" x14ac:dyDescent="0.2">
      <c r="B33" s="38"/>
      <c r="C33" s="174" t="s">
        <v>662</v>
      </c>
      <c r="D33" s="40"/>
      <c r="E33" s="40"/>
      <c r="F33" s="40"/>
      <c r="G33" s="40"/>
      <c r="H33" s="40"/>
      <c r="I33" s="40"/>
      <c r="J33" s="265" t="s">
        <v>661</v>
      </c>
      <c r="K33" s="41"/>
      <c r="N33" s="12" t="s">
        <v>894</v>
      </c>
    </row>
    <row r="34" spans="2:14" x14ac:dyDescent="0.2">
      <c r="B34" s="38"/>
      <c r="C34" s="174" t="s">
        <v>660</v>
      </c>
      <c r="D34" s="40"/>
      <c r="E34" s="40"/>
      <c r="F34" s="40"/>
      <c r="G34" s="40"/>
      <c r="H34" s="40"/>
      <c r="I34" s="40"/>
      <c r="J34" s="246" t="str">
        <f>IF(J33=N32,"N/A",IF(J33=N33,0,IF(J33=N34,1,IF(J33=N35,2,IF(J33=N36,3,IF(J33=N37,4,"N/A"))))))</f>
        <v>N/A</v>
      </c>
      <c r="K34" s="41"/>
      <c r="N34" s="12" t="s">
        <v>895</v>
      </c>
    </row>
    <row r="35" spans="2:14" x14ac:dyDescent="0.2">
      <c r="B35" s="38"/>
      <c r="C35" s="40" t="s">
        <v>257</v>
      </c>
      <c r="D35" s="40"/>
      <c r="E35" s="40"/>
      <c r="F35" s="40"/>
      <c r="G35" s="40"/>
      <c r="H35" s="40"/>
      <c r="I35" s="40"/>
      <c r="J35" s="266" t="s">
        <v>882</v>
      </c>
      <c r="K35" s="41"/>
      <c r="N35" s="12" t="s">
        <v>896</v>
      </c>
    </row>
    <row r="36" spans="2:14" x14ac:dyDescent="0.2">
      <c r="B36" s="38"/>
      <c r="C36" s="40" t="s">
        <v>261</v>
      </c>
      <c r="D36" s="40"/>
      <c r="E36" s="40"/>
      <c r="F36" s="40"/>
      <c r="G36" s="40"/>
      <c r="H36" s="40"/>
      <c r="I36" s="40"/>
      <c r="J36" s="245">
        <f>IF(J35=$B$973,$A$973,IF(J35=$B$974,$A$974,IF(J35=$B$975,$A$975,IF(J35=$B$976,$A$976,IF(J35=$B$977,$A$977,"Not Calculated")))))</f>
        <v>1</v>
      </c>
      <c r="K36" s="41"/>
      <c r="N36" s="12" t="s">
        <v>897</v>
      </c>
    </row>
    <row r="37" spans="2:14" x14ac:dyDescent="0.2">
      <c r="B37" s="38"/>
      <c r="C37" s="40" t="s">
        <v>893</v>
      </c>
      <c r="D37" s="40"/>
      <c r="E37" s="40"/>
      <c r="F37" s="40"/>
      <c r="G37" s="40"/>
      <c r="H37" s="40"/>
      <c r="I37" s="40"/>
      <c r="J37" s="175"/>
      <c r="K37" s="41"/>
      <c r="N37" s="12" t="s">
        <v>898</v>
      </c>
    </row>
    <row r="38" spans="2:14" s="178" customFormat="1" ht="30" customHeight="1" x14ac:dyDescent="0.2">
      <c r="B38" s="176"/>
      <c r="C38" s="415" t="s">
        <v>1176</v>
      </c>
      <c r="D38" s="400"/>
      <c r="E38" s="400"/>
      <c r="F38" s="400"/>
      <c r="G38" s="400"/>
      <c r="H38" s="400"/>
      <c r="I38" s="400"/>
      <c r="J38" s="401"/>
      <c r="K38" s="177"/>
    </row>
    <row r="39" spans="2:14" x14ac:dyDescent="0.2">
      <c r="B39" s="38"/>
      <c r="C39" s="40"/>
      <c r="D39" s="40"/>
      <c r="E39" s="40"/>
      <c r="F39" s="40"/>
      <c r="G39" s="40"/>
      <c r="H39" s="40"/>
      <c r="I39" s="40"/>
      <c r="J39" s="40"/>
      <c r="K39" s="41"/>
    </row>
    <row r="40" spans="2:14" x14ac:dyDescent="0.2">
      <c r="B40" s="38"/>
      <c r="C40" s="179" t="s">
        <v>258</v>
      </c>
      <c r="D40" s="40"/>
      <c r="E40" s="40"/>
      <c r="F40" s="40"/>
      <c r="G40" s="40"/>
      <c r="H40" s="40"/>
      <c r="I40" s="40"/>
      <c r="J40" s="245" t="str">
        <f>IF(J34="N/A",IF(OR(J27="Not Calculated",J36="Not Calculated")=TRUE,"Not Calculated",AVERAGE(J27,J36)),AVERAGE(J34,J36))</f>
        <v>Not Calculated</v>
      </c>
      <c r="K40" s="41"/>
    </row>
    <row r="41" spans="2:14" x14ac:dyDescent="0.2">
      <c r="B41" s="38"/>
      <c r="C41" s="179"/>
      <c r="D41" s="40"/>
      <c r="E41" s="40"/>
      <c r="F41" s="40"/>
      <c r="G41" s="40"/>
      <c r="H41" s="40"/>
      <c r="I41" s="40"/>
      <c r="J41" s="245"/>
      <c r="K41" s="41"/>
    </row>
    <row r="42" spans="2:14" x14ac:dyDescent="0.2">
      <c r="B42" s="38"/>
      <c r="C42" s="40"/>
      <c r="D42" s="40"/>
      <c r="E42" s="40"/>
      <c r="F42" s="40"/>
      <c r="G42" s="40"/>
      <c r="H42" s="40"/>
      <c r="I42" s="40"/>
      <c r="J42" s="40"/>
      <c r="K42" s="41"/>
    </row>
    <row r="43" spans="2:14" ht="16" x14ac:dyDescent="0.2">
      <c r="B43" s="38"/>
      <c r="C43" s="45" t="s">
        <v>51</v>
      </c>
      <c r="D43" s="40"/>
      <c r="E43" s="40"/>
      <c r="F43" s="40"/>
      <c r="G43" s="40"/>
      <c r="H43" s="40"/>
      <c r="I43" s="40"/>
      <c r="J43" s="40"/>
      <c r="K43" s="41"/>
    </row>
    <row r="44" spans="2:14" x14ac:dyDescent="0.2">
      <c r="B44" s="38"/>
      <c r="C44" s="40" t="s">
        <v>435</v>
      </c>
      <c r="D44" s="40"/>
      <c r="E44" s="40"/>
      <c r="F44" s="40"/>
      <c r="G44" s="40"/>
      <c r="H44" s="40"/>
      <c r="I44" s="40"/>
      <c r="J44" s="252">
        <f>'Baseline Health'!G17</f>
        <v>0</v>
      </c>
      <c r="K44" s="41"/>
    </row>
    <row r="45" spans="2:14" x14ac:dyDescent="0.2">
      <c r="B45" s="38"/>
      <c r="C45" s="40" t="s">
        <v>287</v>
      </c>
      <c r="D45" s="40"/>
      <c r="E45" s="40"/>
      <c r="F45" s="40"/>
      <c r="G45" s="40"/>
      <c r="H45" s="40"/>
      <c r="I45" s="40"/>
      <c r="J45" s="264">
        <f>J44*1.52</f>
        <v>0</v>
      </c>
      <c r="K45" s="41"/>
    </row>
    <row r="46" spans="2:14" x14ac:dyDescent="0.2">
      <c r="B46" s="38"/>
      <c r="C46" s="40" t="s">
        <v>260</v>
      </c>
      <c r="D46" s="40"/>
      <c r="E46" s="40"/>
      <c r="F46" s="40"/>
      <c r="G46" s="40"/>
      <c r="H46" s="40"/>
      <c r="I46" s="40"/>
      <c r="J46" s="248" t="str">
        <f>IF(OR(J44=0,J44="Not Calculated")=TRUE,"Not Calculated",(IF(((J45+J44)/J44)&lt;=1,0,IF(((J45+J44)/J44)&lt;=1.05,1,IF(((J45+J44)/J44)&lt;=1.5, 2,IF(((J45+J44)/J44)&lt;=2,3,4))))))</f>
        <v>Not Calculated</v>
      </c>
      <c r="K46" s="41"/>
    </row>
    <row r="47" spans="2:14" ht="9.75" customHeight="1" x14ac:dyDescent="0.2">
      <c r="B47" s="38"/>
      <c r="C47" s="279" t="str">
        <f>"0:"</f>
        <v>0:</v>
      </c>
      <c r="D47" s="281" t="s">
        <v>918</v>
      </c>
      <c r="E47" s="40"/>
      <c r="F47" s="40"/>
      <c r="G47" s="40"/>
      <c r="H47" s="40"/>
      <c r="I47" s="40"/>
      <c r="J47" s="40"/>
      <c r="K47" s="41"/>
    </row>
    <row r="48" spans="2:14" ht="9.75" customHeight="1" x14ac:dyDescent="0.2">
      <c r="B48" s="38"/>
      <c r="C48" s="280" t="str">
        <f>"1:"</f>
        <v>1:</v>
      </c>
      <c r="D48" s="281" t="s">
        <v>919</v>
      </c>
      <c r="E48" s="40"/>
      <c r="F48" s="40"/>
      <c r="G48" s="40"/>
      <c r="H48" s="40"/>
      <c r="I48" s="40"/>
      <c r="J48" s="40"/>
      <c r="K48" s="41"/>
    </row>
    <row r="49" spans="2:14" ht="9.75" customHeight="1" x14ac:dyDescent="0.2">
      <c r="B49" s="38"/>
      <c r="C49" s="280" t="str">
        <f>"2:"</f>
        <v>2:</v>
      </c>
      <c r="D49" s="281" t="s">
        <v>920</v>
      </c>
      <c r="E49" s="40"/>
      <c r="F49" s="40"/>
      <c r="G49" s="40"/>
      <c r="H49" s="40"/>
      <c r="I49" s="40"/>
      <c r="J49" s="40"/>
      <c r="K49" s="41"/>
    </row>
    <row r="50" spans="2:14" ht="9.75" customHeight="1" x14ac:dyDescent="0.2">
      <c r="B50" s="38"/>
      <c r="C50" s="280" t="str">
        <f>"3:"</f>
        <v>3:</v>
      </c>
      <c r="D50" s="281" t="s">
        <v>921</v>
      </c>
      <c r="E50" s="40"/>
      <c r="F50" s="40"/>
      <c r="G50" s="40"/>
      <c r="H50" s="40"/>
      <c r="I50" s="40"/>
      <c r="J50" s="40"/>
      <c r="K50" s="41"/>
    </row>
    <row r="51" spans="2:14" ht="9.75" customHeight="1" x14ac:dyDescent="0.2">
      <c r="B51" s="38"/>
      <c r="C51" s="280" t="str">
        <f>"4:"</f>
        <v>4:</v>
      </c>
      <c r="D51" s="281" t="s">
        <v>922</v>
      </c>
      <c r="E51" s="40"/>
      <c r="F51" s="40"/>
      <c r="G51" s="40"/>
      <c r="H51" s="40"/>
      <c r="I51" s="40"/>
      <c r="J51" s="40"/>
      <c r="K51" s="41"/>
      <c r="N51" s="12" t="s">
        <v>661</v>
      </c>
    </row>
    <row r="52" spans="2:14" x14ac:dyDescent="0.2">
      <c r="B52" s="38"/>
      <c r="C52" s="174" t="s">
        <v>662</v>
      </c>
      <c r="D52" s="40"/>
      <c r="E52" s="40"/>
      <c r="F52" s="40"/>
      <c r="G52" s="40"/>
      <c r="H52" s="40"/>
      <c r="I52" s="40"/>
      <c r="J52" s="265" t="s">
        <v>661</v>
      </c>
      <c r="K52" s="41"/>
      <c r="N52" s="12" t="s">
        <v>894</v>
      </c>
    </row>
    <row r="53" spans="2:14" x14ac:dyDescent="0.2">
      <c r="B53" s="38"/>
      <c r="C53" s="174" t="s">
        <v>660</v>
      </c>
      <c r="D53" s="40"/>
      <c r="E53" s="40"/>
      <c r="F53" s="40"/>
      <c r="G53" s="40"/>
      <c r="H53" s="40"/>
      <c r="I53" s="40"/>
      <c r="J53" s="246" t="str">
        <f>IF(J52=N51,"N/A",IF(J52=N52,0,IF(J52=N53,1,IF(J52=N54,2,IF(J52=N55,3,IF(J52=N56,4,"N/A"))))))</f>
        <v>N/A</v>
      </c>
      <c r="K53" s="41"/>
      <c r="N53" s="12" t="s">
        <v>895</v>
      </c>
    </row>
    <row r="54" spans="2:14" x14ac:dyDescent="0.2">
      <c r="B54" s="38"/>
      <c r="C54" s="40" t="s">
        <v>257</v>
      </c>
      <c r="D54" s="40"/>
      <c r="E54" s="40"/>
      <c r="F54" s="40"/>
      <c r="G54" s="40"/>
      <c r="H54" s="40"/>
      <c r="I54" s="40"/>
      <c r="J54" s="266" t="s">
        <v>882</v>
      </c>
      <c r="K54" s="41"/>
      <c r="N54" s="12" t="s">
        <v>896</v>
      </c>
    </row>
    <row r="55" spans="2:14" x14ac:dyDescent="0.2">
      <c r="B55" s="38"/>
      <c r="C55" s="40" t="s">
        <v>261</v>
      </c>
      <c r="D55" s="40"/>
      <c r="E55" s="40"/>
      <c r="F55" s="40"/>
      <c r="G55" s="40"/>
      <c r="H55" s="40"/>
      <c r="I55" s="40"/>
      <c r="J55" s="245">
        <f>IF(J54=$B$973,$A$973,IF(J54=$B$974,$A$974,IF(J54=$B$975,$A$975,IF(J54=$B$976,$A$976,IF(J54=$B$977,$A$977,"Not Calculated")))))</f>
        <v>1</v>
      </c>
      <c r="K55" s="41"/>
      <c r="N55" s="12" t="s">
        <v>897</v>
      </c>
    </row>
    <row r="56" spans="2:14" x14ac:dyDescent="0.2">
      <c r="B56" s="38"/>
      <c r="C56" s="40" t="s">
        <v>893</v>
      </c>
      <c r="D56" s="40"/>
      <c r="E56" s="40"/>
      <c r="F56" s="40"/>
      <c r="G56" s="40"/>
      <c r="H56" s="40"/>
      <c r="I56" s="40"/>
      <c r="J56" s="175"/>
      <c r="K56" s="41"/>
      <c r="N56" s="12" t="s">
        <v>898</v>
      </c>
    </row>
    <row r="57" spans="2:14" s="178" customFormat="1" ht="30" customHeight="1" x14ac:dyDescent="0.2">
      <c r="B57" s="176"/>
      <c r="C57" s="415" t="s">
        <v>454</v>
      </c>
      <c r="D57" s="400"/>
      <c r="E57" s="400"/>
      <c r="F57" s="400"/>
      <c r="G57" s="400"/>
      <c r="H57" s="400"/>
      <c r="I57" s="400"/>
      <c r="J57" s="401"/>
      <c r="K57" s="177"/>
    </row>
    <row r="58" spans="2:14" x14ac:dyDescent="0.2">
      <c r="B58" s="38"/>
      <c r="C58" s="40"/>
      <c r="D58" s="40"/>
      <c r="E58" s="40"/>
      <c r="F58" s="40"/>
      <c r="G58" s="40"/>
      <c r="H58" s="40"/>
      <c r="I58" s="40"/>
      <c r="J58" s="40"/>
      <c r="K58" s="41"/>
    </row>
    <row r="59" spans="2:14" x14ac:dyDescent="0.2">
      <c r="B59" s="38"/>
      <c r="C59" s="179" t="s">
        <v>263</v>
      </c>
      <c r="D59" s="40"/>
      <c r="E59" s="40"/>
      <c r="F59" s="40"/>
      <c r="G59" s="40"/>
      <c r="H59" s="40"/>
      <c r="I59" s="40"/>
      <c r="J59" s="245" t="str">
        <f>IF(J53="N/A",IF(OR(J46="Not Calculated",J55="Not Calculated")=TRUE,"Not Calculated",AVERAGE(J46,J55)),AVERAGE(J53,J55))</f>
        <v>Not Calculated</v>
      </c>
      <c r="K59" s="41"/>
    </row>
    <row r="60" spans="2:14" x14ac:dyDescent="0.2">
      <c r="B60" s="38"/>
      <c r="C60" s="40"/>
      <c r="D60" s="40"/>
      <c r="E60" s="40"/>
      <c r="F60" s="40"/>
      <c r="G60" s="40"/>
      <c r="H60" s="40"/>
      <c r="I60" s="40"/>
      <c r="J60" s="40"/>
      <c r="K60" s="41"/>
    </row>
    <row r="61" spans="2:14" x14ac:dyDescent="0.2">
      <c r="B61" s="38"/>
      <c r="C61" s="40"/>
      <c r="D61" s="40"/>
      <c r="E61" s="40"/>
      <c r="F61" s="40"/>
      <c r="G61" s="40"/>
      <c r="H61" s="40"/>
      <c r="I61" s="40"/>
      <c r="J61" s="40"/>
      <c r="K61" s="41"/>
    </row>
    <row r="62" spans="2:14" ht="16" x14ac:dyDescent="0.2">
      <c r="B62" s="38"/>
      <c r="C62" s="45" t="s">
        <v>54</v>
      </c>
      <c r="D62" s="40"/>
      <c r="E62" s="40"/>
      <c r="F62" s="40"/>
      <c r="G62" s="40"/>
      <c r="H62" s="40"/>
      <c r="I62" s="40"/>
      <c r="J62" s="40"/>
      <c r="K62" s="41"/>
    </row>
    <row r="63" spans="2:14" x14ac:dyDescent="0.2">
      <c r="B63" s="38"/>
      <c r="C63" s="40" t="s">
        <v>436</v>
      </c>
      <c r="D63" s="40"/>
      <c r="E63" s="40"/>
      <c r="F63" s="40"/>
      <c r="G63" s="40"/>
      <c r="H63" s="40"/>
      <c r="I63" s="40"/>
      <c r="J63" s="252">
        <f>'Baseline Health'!G23</f>
        <v>0</v>
      </c>
      <c r="K63" s="41"/>
    </row>
    <row r="64" spans="2:14" x14ac:dyDescent="0.2">
      <c r="B64" s="38"/>
      <c r="C64" s="40" t="s">
        <v>289</v>
      </c>
      <c r="D64" s="40"/>
      <c r="E64" s="40"/>
      <c r="F64" s="40"/>
      <c r="G64" s="40"/>
      <c r="H64" s="40"/>
      <c r="I64" s="40"/>
      <c r="J64" s="264">
        <f>J63*0.33</f>
        <v>0</v>
      </c>
      <c r="K64" s="41"/>
    </row>
    <row r="65" spans="2:14" x14ac:dyDescent="0.2">
      <c r="B65" s="38"/>
      <c r="C65" s="40" t="s">
        <v>260</v>
      </c>
      <c r="D65" s="40"/>
      <c r="E65" s="40"/>
      <c r="F65" s="40"/>
      <c r="G65" s="40"/>
      <c r="H65" s="40"/>
      <c r="I65" s="40"/>
      <c r="J65" s="248" t="str">
        <f>IF(OR(J63=0,J63="Not Calculated")=TRUE,"Not Calculated",(IF(((J64+J63)/J63)&lt;=1,0,IF(((J64+J63)/J63)&lt;=1.05,1,IF(((J64+J63)/J63)&lt;=1.5, 2,IF(((J64+J63)/J63)&lt;=2,3,4))))))</f>
        <v>Not Calculated</v>
      </c>
      <c r="K65" s="41"/>
    </row>
    <row r="66" spans="2:14" ht="9.75" customHeight="1" x14ac:dyDescent="0.2">
      <c r="B66" s="38"/>
      <c r="C66" s="279" t="str">
        <f>"0:"</f>
        <v>0:</v>
      </c>
      <c r="D66" s="281" t="s">
        <v>918</v>
      </c>
      <c r="E66" s="40"/>
      <c r="F66" s="40"/>
      <c r="G66" s="40"/>
      <c r="H66" s="40"/>
      <c r="I66" s="40"/>
      <c r="J66" s="40"/>
      <c r="K66" s="41"/>
    </row>
    <row r="67" spans="2:14" ht="9.75" customHeight="1" x14ac:dyDescent="0.2">
      <c r="B67" s="38"/>
      <c r="C67" s="280" t="str">
        <f>"1:"</f>
        <v>1:</v>
      </c>
      <c r="D67" s="281" t="s">
        <v>919</v>
      </c>
      <c r="E67" s="40"/>
      <c r="F67" s="40"/>
      <c r="G67" s="40"/>
      <c r="H67" s="40"/>
      <c r="I67" s="40"/>
      <c r="J67" s="40"/>
      <c r="K67" s="41"/>
    </row>
    <row r="68" spans="2:14" ht="9.75" customHeight="1" x14ac:dyDescent="0.2">
      <c r="B68" s="38"/>
      <c r="C68" s="280" t="str">
        <f>"2:"</f>
        <v>2:</v>
      </c>
      <c r="D68" s="281" t="s">
        <v>920</v>
      </c>
      <c r="E68" s="40"/>
      <c r="F68" s="40"/>
      <c r="G68" s="40"/>
      <c r="H68" s="40"/>
      <c r="I68" s="40"/>
      <c r="J68" s="40"/>
      <c r="K68" s="41"/>
    </row>
    <row r="69" spans="2:14" ht="9.75" customHeight="1" x14ac:dyDescent="0.2">
      <c r="B69" s="38"/>
      <c r="C69" s="280" t="str">
        <f>"3:"</f>
        <v>3:</v>
      </c>
      <c r="D69" s="281" t="s">
        <v>921</v>
      </c>
      <c r="E69" s="40"/>
      <c r="F69" s="40"/>
      <c r="G69" s="40"/>
      <c r="H69" s="40"/>
      <c r="I69" s="40"/>
      <c r="J69" s="40"/>
      <c r="K69" s="41"/>
    </row>
    <row r="70" spans="2:14" ht="9.75" customHeight="1" x14ac:dyDescent="0.2">
      <c r="B70" s="38"/>
      <c r="C70" s="280" t="str">
        <f>"4:"</f>
        <v>4:</v>
      </c>
      <c r="D70" s="281" t="s">
        <v>922</v>
      </c>
      <c r="E70" s="40"/>
      <c r="F70" s="40"/>
      <c r="G70" s="40"/>
      <c r="H70" s="40"/>
      <c r="I70" s="40"/>
      <c r="J70" s="40"/>
      <c r="K70" s="41"/>
      <c r="N70" s="12" t="s">
        <v>661</v>
      </c>
    </row>
    <row r="71" spans="2:14" x14ac:dyDescent="0.2">
      <c r="B71" s="38"/>
      <c r="C71" s="174" t="s">
        <v>662</v>
      </c>
      <c r="D71" s="40"/>
      <c r="E71" s="40"/>
      <c r="F71" s="40"/>
      <c r="G71" s="40"/>
      <c r="H71" s="40"/>
      <c r="I71" s="40"/>
      <c r="J71" s="265" t="s">
        <v>661</v>
      </c>
      <c r="K71" s="41"/>
      <c r="N71" s="12" t="s">
        <v>894</v>
      </c>
    </row>
    <row r="72" spans="2:14" x14ac:dyDescent="0.2">
      <c r="B72" s="38"/>
      <c r="C72" s="174" t="s">
        <v>660</v>
      </c>
      <c r="D72" s="40"/>
      <c r="E72" s="40"/>
      <c r="F72" s="40"/>
      <c r="G72" s="40"/>
      <c r="H72" s="40"/>
      <c r="I72" s="40"/>
      <c r="J72" s="246" t="str">
        <f>IF(J71=N70,"N/A",IF(J71=N71,0,IF(J71=N72,1,IF(J71=N73,2,IF(J71=N74,3,IF(J71=N75,4,"N/A"))))))</f>
        <v>N/A</v>
      </c>
      <c r="K72" s="41"/>
      <c r="N72" s="12" t="s">
        <v>895</v>
      </c>
    </row>
    <row r="73" spans="2:14" x14ac:dyDescent="0.2">
      <c r="B73" s="38"/>
      <c r="C73" s="40" t="s">
        <v>257</v>
      </c>
      <c r="D73" s="40"/>
      <c r="E73" s="40"/>
      <c r="F73" s="40"/>
      <c r="G73" s="40"/>
      <c r="H73" s="40"/>
      <c r="I73" s="40"/>
      <c r="J73" s="266" t="s">
        <v>872</v>
      </c>
      <c r="K73" s="41"/>
      <c r="N73" s="12" t="s">
        <v>896</v>
      </c>
    </row>
    <row r="74" spans="2:14" x14ac:dyDescent="0.2">
      <c r="B74" s="38"/>
      <c r="C74" s="40" t="s">
        <v>261</v>
      </c>
      <c r="D74" s="40"/>
      <c r="E74" s="40"/>
      <c r="F74" s="40"/>
      <c r="G74" s="40"/>
      <c r="H74" s="40"/>
      <c r="I74" s="40"/>
      <c r="J74" s="245">
        <f>IF(J73=$B$973,$A$973,IF(J73=$B$974,$A$974,IF(J73=$B$975,$A$975,IF(J73=$B$976,$A$976,IF(J73=$B$977,$A$977,"Not Calculated")))))</f>
        <v>2</v>
      </c>
      <c r="K74" s="41"/>
      <c r="N74" s="12" t="s">
        <v>897</v>
      </c>
    </row>
    <row r="75" spans="2:14" x14ac:dyDescent="0.2">
      <c r="B75" s="38"/>
      <c r="C75" s="40" t="s">
        <v>893</v>
      </c>
      <c r="D75" s="40"/>
      <c r="E75" s="40"/>
      <c r="F75" s="40"/>
      <c r="G75" s="40"/>
      <c r="H75" s="40"/>
      <c r="I75" s="40"/>
      <c r="J75" s="175"/>
      <c r="K75" s="41"/>
      <c r="N75" s="12" t="s">
        <v>898</v>
      </c>
    </row>
    <row r="76" spans="2:14" s="178" customFormat="1" ht="30" customHeight="1" x14ac:dyDescent="0.2">
      <c r="B76" s="176"/>
      <c r="C76" s="415" t="s">
        <v>455</v>
      </c>
      <c r="D76" s="400"/>
      <c r="E76" s="400"/>
      <c r="F76" s="400"/>
      <c r="G76" s="400"/>
      <c r="H76" s="400"/>
      <c r="I76" s="400"/>
      <c r="J76" s="401"/>
      <c r="K76" s="177"/>
    </row>
    <row r="77" spans="2:14" x14ac:dyDescent="0.2">
      <c r="B77" s="38"/>
      <c r="C77" s="40"/>
      <c r="D77" s="40"/>
      <c r="E77" s="40"/>
      <c r="F77" s="40"/>
      <c r="G77" s="40"/>
      <c r="H77" s="40"/>
      <c r="I77" s="40"/>
      <c r="J77" s="40"/>
      <c r="K77" s="41"/>
    </row>
    <row r="78" spans="2:14" x14ac:dyDescent="0.2">
      <c r="B78" s="38"/>
      <c r="C78" s="179" t="s">
        <v>264</v>
      </c>
      <c r="D78" s="40"/>
      <c r="E78" s="40"/>
      <c r="F78" s="40"/>
      <c r="G78" s="40"/>
      <c r="H78" s="40"/>
      <c r="I78" s="40"/>
      <c r="J78" s="245" t="str">
        <f>IF(J72="N/A",IF(OR(J65="Not Calculated",J74="Not Calculated")=TRUE,"Not Calculated",AVERAGE(J65,J74)),AVERAGE(J72,J74))</f>
        <v>Not Calculated</v>
      </c>
      <c r="K78" s="41"/>
    </row>
    <row r="79" spans="2:14" x14ac:dyDescent="0.2">
      <c r="B79" s="38"/>
      <c r="C79" s="40"/>
      <c r="D79" s="40"/>
      <c r="E79" s="40"/>
      <c r="F79" s="40"/>
      <c r="G79" s="40"/>
      <c r="H79" s="40"/>
      <c r="I79" s="40"/>
      <c r="J79" s="40"/>
      <c r="K79" s="41"/>
    </row>
    <row r="80" spans="2:14" x14ac:dyDescent="0.2">
      <c r="B80" s="38"/>
      <c r="C80" s="40"/>
      <c r="D80" s="40"/>
      <c r="E80" s="40"/>
      <c r="F80" s="40"/>
      <c r="G80" s="40"/>
      <c r="H80" s="40"/>
      <c r="I80" s="40"/>
      <c r="J80" s="40"/>
      <c r="K80" s="41"/>
    </row>
    <row r="81" spans="2:14" ht="16" x14ac:dyDescent="0.2">
      <c r="B81" s="38"/>
      <c r="C81" s="45" t="s">
        <v>57</v>
      </c>
      <c r="D81" s="40"/>
      <c r="E81" s="40"/>
      <c r="F81" s="40"/>
      <c r="G81" s="40"/>
      <c r="H81" s="40"/>
      <c r="I81" s="40"/>
      <c r="J81" s="40"/>
      <c r="K81" s="41"/>
    </row>
    <row r="82" spans="2:14" x14ac:dyDescent="0.2">
      <c r="B82" s="38"/>
      <c r="C82" s="40" t="s">
        <v>437</v>
      </c>
      <c r="D82" s="40"/>
      <c r="E82" s="40"/>
      <c r="F82" s="40"/>
      <c r="G82" s="40"/>
      <c r="H82" s="40"/>
      <c r="I82" s="40"/>
      <c r="J82" s="252">
        <f>'Baseline Health'!G29</f>
        <v>0</v>
      </c>
      <c r="K82" s="41"/>
    </row>
    <row r="83" spans="2:14" x14ac:dyDescent="0.2">
      <c r="B83" s="38"/>
      <c r="C83" s="40" t="s">
        <v>290</v>
      </c>
      <c r="D83" s="40"/>
      <c r="E83" s="40"/>
      <c r="F83" s="40"/>
      <c r="G83" s="40"/>
      <c r="H83" s="40"/>
      <c r="I83" s="40"/>
      <c r="J83" s="264">
        <v>0</v>
      </c>
      <c r="K83" s="41"/>
    </row>
    <row r="84" spans="2:14" x14ac:dyDescent="0.2">
      <c r="B84" s="38"/>
      <c r="C84" s="40" t="s">
        <v>260</v>
      </c>
      <c r="D84" s="40"/>
      <c r="E84" s="40"/>
      <c r="F84" s="40"/>
      <c r="G84" s="40"/>
      <c r="H84" s="40"/>
      <c r="I84" s="40"/>
      <c r="J84" s="248" t="str">
        <f>IF(OR(J82=0,J82="Not Calculated")=TRUE,"Not Calculated",(IF(((J83+J82)/J82)&lt;=1,0,IF(((J83+J82)/J82)&lt;=1.05,1,IF(((J83+J82)/J82)&lt;=1.5, 2,IF(((J83+J82)/J82)&lt;=2,3,4))))))</f>
        <v>Not Calculated</v>
      </c>
      <c r="K84" s="41"/>
    </row>
    <row r="85" spans="2:14" ht="9.75" customHeight="1" x14ac:dyDescent="0.2">
      <c r="B85" s="38"/>
      <c r="C85" s="279" t="str">
        <f>"0:"</f>
        <v>0:</v>
      </c>
      <c r="D85" s="281" t="s">
        <v>918</v>
      </c>
      <c r="E85" s="40"/>
      <c r="F85" s="40"/>
      <c r="G85" s="40"/>
      <c r="H85" s="40"/>
      <c r="I85" s="40"/>
      <c r="J85" s="40"/>
      <c r="K85" s="41"/>
    </row>
    <row r="86" spans="2:14" ht="9.75" customHeight="1" x14ac:dyDescent="0.2">
      <c r="B86" s="38"/>
      <c r="C86" s="280" t="str">
        <f>"1:"</f>
        <v>1:</v>
      </c>
      <c r="D86" s="281" t="s">
        <v>919</v>
      </c>
      <c r="E86" s="40"/>
      <c r="F86" s="40"/>
      <c r="G86" s="40"/>
      <c r="H86" s="40"/>
      <c r="I86" s="40"/>
      <c r="J86" s="40"/>
      <c r="K86" s="41"/>
    </row>
    <row r="87" spans="2:14" ht="9.75" customHeight="1" x14ac:dyDescent="0.2">
      <c r="B87" s="38"/>
      <c r="C87" s="280" t="str">
        <f>"2:"</f>
        <v>2:</v>
      </c>
      <c r="D87" s="281" t="s">
        <v>920</v>
      </c>
      <c r="E87" s="40"/>
      <c r="F87" s="40"/>
      <c r="G87" s="40"/>
      <c r="H87" s="40"/>
      <c r="I87" s="40"/>
      <c r="J87" s="40"/>
      <c r="K87" s="41"/>
    </row>
    <row r="88" spans="2:14" ht="9.75" customHeight="1" x14ac:dyDescent="0.2">
      <c r="B88" s="38"/>
      <c r="C88" s="280" t="str">
        <f>"3:"</f>
        <v>3:</v>
      </c>
      <c r="D88" s="281" t="s">
        <v>921</v>
      </c>
      <c r="E88" s="40"/>
      <c r="F88" s="40"/>
      <c r="G88" s="40"/>
      <c r="H88" s="40"/>
      <c r="I88" s="40"/>
      <c r="J88" s="40"/>
      <c r="K88" s="41"/>
    </row>
    <row r="89" spans="2:14" ht="9.75" customHeight="1" x14ac:dyDescent="0.2">
      <c r="B89" s="38"/>
      <c r="C89" s="280" t="str">
        <f>"4:"</f>
        <v>4:</v>
      </c>
      <c r="D89" s="281" t="s">
        <v>922</v>
      </c>
      <c r="E89" s="40"/>
      <c r="F89" s="40"/>
      <c r="G89" s="40"/>
      <c r="H89" s="40"/>
      <c r="I89" s="40"/>
      <c r="J89" s="40"/>
      <c r="K89" s="41"/>
      <c r="N89" s="12" t="s">
        <v>661</v>
      </c>
    </row>
    <row r="90" spans="2:14" x14ac:dyDescent="0.2">
      <c r="B90" s="38"/>
      <c r="C90" s="174" t="s">
        <v>662</v>
      </c>
      <c r="D90" s="40"/>
      <c r="E90" s="40"/>
      <c r="F90" s="40"/>
      <c r="G90" s="40"/>
      <c r="H90" s="40"/>
      <c r="I90" s="40"/>
      <c r="J90" s="265" t="s">
        <v>661</v>
      </c>
      <c r="K90" s="41"/>
      <c r="N90" s="12" t="s">
        <v>894</v>
      </c>
    </row>
    <row r="91" spans="2:14" x14ac:dyDescent="0.2">
      <c r="B91" s="38"/>
      <c r="C91" s="174" t="s">
        <v>660</v>
      </c>
      <c r="D91" s="40"/>
      <c r="E91" s="40"/>
      <c r="F91" s="40"/>
      <c r="G91" s="40"/>
      <c r="H91" s="40"/>
      <c r="I91" s="40"/>
      <c r="J91" s="246" t="str">
        <f>IF(J90=N89,"N/A",IF(J90=N90,0,IF(J90=N91,1,IF(J90=N92,2,IF(J90=N93,3,IF(J90=N94,4,"N/A"))))))</f>
        <v>N/A</v>
      </c>
      <c r="K91" s="41"/>
      <c r="N91" s="12" t="s">
        <v>895</v>
      </c>
    </row>
    <row r="92" spans="2:14" x14ac:dyDescent="0.2">
      <c r="B92" s="38"/>
      <c r="C92" s="40" t="s">
        <v>257</v>
      </c>
      <c r="D92" s="40"/>
      <c r="E92" s="40"/>
      <c r="F92" s="40"/>
      <c r="G92" s="40"/>
      <c r="H92" s="40"/>
      <c r="I92" s="40"/>
      <c r="J92" s="266" t="s">
        <v>870</v>
      </c>
      <c r="K92" s="41"/>
      <c r="N92" s="12" t="s">
        <v>896</v>
      </c>
    </row>
    <row r="93" spans="2:14" x14ac:dyDescent="0.2">
      <c r="B93" s="38"/>
      <c r="C93" s="40" t="s">
        <v>261</v>
      </c>
      <c r="D93" s="40"/>
      <c r="E93" s="40"/>
      <c r="F93" s="40"/>
      <c r="G93" s="40"/>
      <c r="H93" s="40"/>
      <c r="I93" s="40"/>
      <c r="J93" s="245">
        <f>IF(J92=$B$973,$A$973,IF(J92=$B$974,$A$974,IF(J92=$B$975,$A$975,IF(J92=$B$976,$A$976,IF(J92=$B$977,$A$977,"Not Calculated")))))</f>
        <v>0</v>
      </c>
      <c r="K93" s="41"/>
      <c r="N93" s="12" t="s">
        <v>897</v>
      </c>
    </row>
    <row r="94" spans="2:14" x14ac:dyDescent="0.2">
      <c r="B94" s="38"/>
      <c r="C94" s="40" t="s">
        <v>893</v>
      </c>
      <c r="D94" s="40"/>
      <c r="E94" s="40"/>
      <c r="F94" s="40"/>
      <c r="G94" s="40"/>
      <c r="H94" s="40"/>
      <c r="I94" s="40"/>
      <c r="J94" s="175"/>
      <c r="K94" s="41"/>
      <c r="N94" s="12" t="s">
        <v>898</v>
      </c>
    </row>
    <row r="95" spans="2:14" s="178" customFormat="1" ht="30" customHeight="1" x14ac:dyDescent="0.2">
      <c r="B95" s="176"/>
      <c r="C95" s="415"/>
      <c r="D95" s="400"/>
      <c r="E95" s="400"/>
      <c r="F95" s="400"/>
      <c r="G95" s="400"/>
      <c r="H95" s="400"/>
      <c r="I95" s="400"/>
      <c r="J95" s="401"/>
      <c r="K95" s="177"/>
    </row>
    <row r="96" spans="2:14" x14ac:dyDescent="0.2">
      <c r="B96" s="38"/>
      <c r="C96" s="40"/>
      <c r="D96" s="40"/>
      <c r="E96" s="40"/>
      <c r="F96" s="40"/>
      <c r="G96" s="40"/>
      <c r="H96" s="40"/>
      <c r="I96" s="40"/>
      <c r="J96" s="40"/>
      <c r="K96" s="41"/>
    </row>
    <row r="97" spans="2:14" x14ac:dyDescent="0.2">
      <c r="B97" s="38"/>
      <c r="C97" s="179" t="s">
        <v>265</v>
      </c>
      <c r="D97" s="40"/>
      <c r="E97" s="40"/>
      <c r="F97" s="40"/>
      <c r="G97" s="40"/>
      <c r="H97" s="40"/>
      <c r="I97" s="40"/>
      <c r="J97" s="245" t="str">
        <f>IF(J91="N/A",IF(OR(J84="Not Calculated",J93="Not Calculated")=TRUE,"Not Calculated",AVERAGE(J84,J93)),AVERAGE(J91,J93))</f>
        <v>Not Calculated</v>
      </c>
      <c r="K97" s="41"/>
    </row>
    <row r="98" spans="2:14" x14ac:dyDescent="0.2">
      <c r="B98" s="38"/>
      <c r="C98" s="40"/>
      <c r="D98" s="40"/>
      <c r="E98" s="40"/>
      <c r="F98" s="40"/>
      <c r="G98" s="40"/>
      <c r="H98" s="40"/>
      <c r="I98" s="40"/>
      <c r="J98" s="40"/>
      <c r="K98" s="41"/>
    </row>
    <row r="99" spans="2:14" x14ac:dyDescent="0.2">
      <c r="B99" s="38"/>
      <c r="C99" s="40"/>
      <c r="D99" s="40"/>
      <c r="E99" s="40"/>
      <c r="F99" s="40"/>
      <c r="G99" s="40"/>
      <c r="H99" s="40"/>
      <c r="I99" s="40"/>
      <c r="J99" s="40"/>
      <c r="K99" s="41"/>
    </row>
    <row r="100" spans="2:14" ht="16" x14ac:dyDescent="0.2">
      <c r="B100" s="38"/>
      <c r="C100" s="45" t="s">
        <v>60</v>
      </c>
      <c r="D100" s="40"/>
      <c r="E100" s="40"/>
      <c r="F100" s="40"/>
      <c r="G100" s="40"/>
      <c r="H100" s="40"/>
      <c r="I100" s="40"/>
      <c r="J100" s="40"/>
      <c r="K100" s="41"/>
    </row>
    <row r="101" spans="2:14" x14ac:dyDescent="0.2">
      <c r="B101" s="38"/>
      <c r="C101" s="40" t="s">
        <v>438</v>
      </c>
      <c r="D101" s="40"/>
      <c r="E101" s="40"/>
      <c r="F101" s="40"/>
      <c r="G101" s="40"/>
      <c r="H101" s="40"/>
      <c r="I101" s="40"/>
      <c r="J101" s="252">
        <f>'Baseline Health'!G35</f>
        <v>0</v>
      </c>
      <c r="K101" s="41"/>
    </row>
    <row r="102" spans="2:14" x14ac:dyDescent="0.2">
      <c r="B102" s="38"/>
      <c r="C102" s="40" t="s">
        <v>291</v>
      </c>
      <c r="D102" s="40"/>
      <c r="E102" s="40"/>
      <c r="F102" s="40"/>
      <c r="G102" s="40"/>
      <c r="H102" s="40"/>
      <c r="I102" s="40"/>
      <c r="J102" s="264">
        <v>0</v>
      </c>
      <c r="K102" s="41"/>
    </row>
    <row r="103" spans="2:14" x14ac:dyDescent="0.2">
      <c r="B103" s="38"/>
      <c r="C103" s="40" t="s">
        <v>260</v>
      </c>
      <c r="D103" s="40"/>
      <c r="E103" s="40"/>
      <c r="F103" s="40"/>
      <c r="G103" s="40"/>
      <c r="H103" s="40"/>
      <c r="I103" s="40"/>
      <c r="J103" s="248" t="str">
        <f>IF(OR(J101=0,J101="Not Calculated")=TRUE,"Not Calculated",(IF(((J102+J101)/J101)&lt;=1,0,IF(((J102+J101)/J101)&lt;=1.05,1,IF(((J102+J101)/J101)&lt;=1.5, 2,IF(((J102+J101)/J101)&lt;=2,3,4))))))</f>
        <v>Not Calculated</v>
      </c>
      <c r="K103" s="41"/>
    </row>
    <row r="104" spans="2:14" ht="9.75" customHeight="1" x14ac:dyDescent="0.2">
      <c r="B104" s="38"/>
      <c r="C104" s="279" t="str">
        <f>"0:"</f>
        <v>0:</v>
      </c>
      <c r="D104" s="281" t="s">
        <v>918</v>
      </c>
      <c r="E104" s="40"/>
      <c r="F104" s="40"/>
      <c r="G104" s="40"/>
      <c r="H104" s="40"/>
      <c r="I104" s="40"/>
      <c r="J104" s="40"/>
      <c r="K104" s="41"/>
    </row>
    <row r="105" spans="2:14" ht="9.75" customHeight="1" x14ac:dyDescent="0.2">
      <c r="B105" s="38"/>
      <c r="C105" s="280" t="str">
        <f>"1:"</f>
        <v>1:</v>
      </c>
      <c r="D105" s="281" t="s">
        <v>919</v>
      </c>
      <c r="E105" s="40"/>
      <c r="F105" s="40"/>
      <c r="G105" s="40"/>
      <c r="H105" s="40"/>
      <c r="I105" s="40"/>
      <c r="J105" s="40"/>
      <c r="K105" s="41"/>
    </row>
    <row r="106" spans="2:14" ht="9.75" customHeight="1" x14ac:dyDescent="0.2">
      <c r="B106" s="38"/>
      <c r="C106" s="280" t="str">
        <f>"2:"</f>
        <v>2:</v>
      </c>
      <c r="D106" s="281" t="s">
        <v>920</v>
      </c>
      <c r="E106" s="40"/>
      <c r="F106" s="40"/>
      <c r="G106" s="40"/>
      <c r="H106" s="40"/>
      <c r="I106" s="40"/>
      <c r="J106" s="40"/>
      <c r="K106" s="41"/>
    </row>
    <row r="107" spans="2:14" ht="9.75" customHeight="1" x14ac:dyDescent="0.2">
      <c r="B107" s="38"/>
      <c r="C107" s="280" t="str">
        <f>"3:"</f>
        <v>3:</v>
      </c>
      <c r="D107" s="281" t="s">
        <v>921</v>
      </c>
      <c r="E107" s="40"/>
      <c r="F107" s="40"/>
      <c r="G107" s="40"/>
      <c r="H107" s="40"/>
      <c r="I107" s="40"/>
      <c r="J107" s="40"/>
      <c r="K107" s="41"/>
    </row>
    <row r="108" spans="2:14" ht="9.75" customHeight="1" x14ac:dyDescent="0.2">
      <c r="B108" s="38"/>
      <c r="C108" s="280" t="str">
        <f>"4:"</f>
        <v>4:</v>
      </c>
      <c r="D108" s="281" t="s">
        <v>922</v>
      </c>
      <c r="E108" s="40"/>
      <c r="F108" s="40"/>
      <c r="G108" s="40"/>
      <c r="H108" s="40"/>
      <c r="I108" s="40"/>
      <c r="J108" s="40"/>
      <c r="K108" s="41"/>
      <c r="N108" s="12" t="s">
        <v>661</v>
      </c>
    </row>
    <row r="109" spans="2:14" x14ac:dyDescent="0.2">
      <c r="B109" s="38"/>
      <c r="C109" s="174" t="s">
        <v>662</v>
      </c>
      <c r="D109" s="40"/>
      <c r="E109" s="40"/>
      <c r="F109" s="40"/>
      <c r="G109" s="40"/>
      <c r="H109" s="40"/>
      <c r="I109" s="40"/>
      <c r="J109" s="265" t="s">
        <v>661</v>
      </c>
      <c r="K109" s="41"/>
      <c r="N109" s="12" t="s">
        <v>894</v>
      </c>
    </row>
    <row r="110" spans="2:14" x14ac:dyDescent="0.2">
      <c r="B110" s="38"/>
      <c r="C110" s="174" t="s">
        <v>660</v>
      </c>
      <c r="D110" s="40"/>
      <c r="E110" s="40"/>
      <c r="F110" s="40"/>
      <c r="G110" s="40"/>
      <c r="H110" s="40"/>
      <c r="I110" s="40"/>
      <c r="J110" s="246" t="str">
        <f>IF(J109=N108,"N/A",IF(J109=N109,0,IF(J109=N110,1,IF(J109=N111,2,IF(J109=N112,3,IF(J109=N113,4,"N/A"))))))</f>
        <v>N/A</v>
      </c>
      <c r="K110" s="41"/>
      <c r="N110" s="12" t="s">
        <v>895</v>
      </c>
    </row>
    <row r="111" spans="2:14" x14ac:dyDescent="0.2">
      <c r="B111" s="38"/>
      <c r="C111" s="40" t="s">
        <v>257</v>
      </c>
      <c r="D111" s="40"/>
      <c r="E111" s="40"/>
      <c r="F111" s="40"/>
      <c r="G111" s="40"/>
      <c r="H111" s="40"/>
      <c r="I111" s="40"/>
      <c r="J111" s="266" t="s">
        <v>870</v>
      </c>
      <c r="K111" s="41"/>
      <c r="N111" s="12" t="s">
        <v>896</v>
      </c>
    </row>
    <row r="112" spans="2:14" x14ac:dyDescent="0.2">
      <c r="B112" s="38"/>
      <c r="C112" s="40" t="s">
        <v>261</v>
      </c>
      <c r="D112" s="40"/>
      <c r="E112" s="40"/>
      <c r="F112" s="40"/>
      <c r="G112" s="40"/>
      <c r="H112" s="40"/>
      <c r="I112" s="40"/>
      <c r="J112" s="245">
        <f>IF(J111=$B$973,$A$973,IF(J111=$B$974,$A$974,IF(J111=$B$975,$A$975,IF(J111=$B$976,$A$976,IF(J111=$B$977,$A$977,"Not Calculated")))))</f>
        <v>0</v>
      </c>
      <c r="K112" s="41"/>
      <c r="N112" s="12" t="s">
        <v>897</v>
      </c>
    </row>
    <row r="113" spans="2:14" x14ac:dyDescent="0.2">
      <c r="B113" s="38"/>
      <c r="C113" s="40" t="s">
        <v>893</v>
      </c>
      <c r="D113" s="40"/>
      <c r="E113" s="40"/>
      <c r="F113" s="40"/>
      <c r="G113" s="40"/>
      <c r="H113" s="40"/>
      <c r="I113" s="40"/>
      <c r="J113" s="175"/>
      <c r="K113" s="41"/>
      <c r="N113" s="12" t="s">
        <v>898</v>
      </c>
    </row>
    <row r="114" spans="2:14" s="178" customFormat="1" ht="30" customHeight="1" x14ac:dyDescent="0.2">
      <c r="B114" s="176"/>
      <c r="C114" s="415"/>
      <c r="D114" s="400"/>
      <c r="E114" s="400"/>
      <c r="F114" s="400"/>
      <c r="G114" s="400"/>
      <c r="H114" s="400"/>
      <c r="I114" s="400"/>
      <c r="J114" s="401"/>
      <c r="K114" s="177"/>
    </row>
    <row r="115" spans="2:14" x14ac:dyDescent="0.2">
      <c r="B115" s="38"/>
      <c r="C115" s="40"/>
      <c r="D115" s="40"/>
      <c r="E115" s="40"/>
      <c r="F115" s="40"/>
      <c r="G115" s="40"/>
      <c r="H115" s="40"/>
      <c r="I115" s="40"/>
      <c r="J115" s="40"/>
      <c r="K115" s="41"/>
    </row>
    <row r="116" spans="2:14" x14ac:dyDescent="0.2">
      <c r="B116" s="38"/>
      <c r="C116" s="179" t="s">
        <v>266</v>
      </c>
      <c r="D116" s="40"/>
      <c r="E116" s="40"/>
      <c r="F116" s="40"/>
      <c r="G116" s="40"/>
      <c r="H116" s="40"/>
      <c r="I116" s="40"/>
      <c r="J116" s="245" t="str">
        <f>IF(J110="N/A",IF(OR(J103="Not Calculated",J112="Not Calculated")=TRUE,"Not Calculated",AVERAGE(J103,J112)),AVERAGE(J110,J112))</f>
        <v>Not Calculated</v>
      </c>
      <c r="K116" s="41"/>
    </row>
    <row r="117" spans="2:14" x14ac:dyDescent="0.2">
      <c r="B117" s="38"/>
      <c r="C117" s="40"/>
      <c r="D117" s="40"/>
      <c r="E117" s="40"/>
      <c r="F117" s="40"/>
      <c r="G117" s="40"/>
      <c r="H117" s="40"/>
      <c r="I117" s="40"/>
      <c r="J117" s="40"/>
      <c r="K117" s="41"/>
    </row>
    <row r="118" spans="2:14" x14ac:dyDescent="0.2">
      <c r="B118" s="38"/>
      <c r="C118" s="40"/>
      <c r="D118" s="40"/>
      <c r="E118" s="40"/>
      <c r="F118" s="40"/>
      <c r="G118" s="40"/>
      <c r="H118" s="40"/>
      <c r="I118" s="40"/>
      <c r="J118" s="40"/>
      <c r="K118" s="41"/>
    </row>
    <row r="119" spans="2:14" ht="16" x14ac:dyDescent="0.2">
      <c r="B119" s="38"/>
      <c r="C119" s="45" t="s">
        <v>262</v>
      </c>
      <c r="D119" s="40"/>
      <c r="E119" s="40"/>
      <c r="F119" s="40"/>
      <c r="G119" s="40"/>
      <c r="H119" s="40"/>
      <c r="I119" s="40"/>
      <c r="J119" s="40"/>
      <c r="K119" s="41"/>
    </row>
    <row r="120" spans="2:14" ht="15" customHeight="1" x14ac:dyDescent="0.2">
      <c r="B120" s="38"/>
      <c r="C120" s="422" t="s">
        <v>268</v>
      </c>
      <c r="D120" s="422"/>
      <c r="E120" s="422"/>
      <c r="F120" s="422"/>
      <c r="G120" s="422"/>
      <c r="H120" s="422"/>
      <c r="I120" s="422"/>
      <c r="J120" s="422"/>
      <c r="K120" s="41"/>
    </row>
    <row r="121" spans="2:14" x14ac:dyDescent="0.2">
      <c r="B121" s="38"/>
      <c r="C121" s="422"/>
      <c r="D121" s="422"/>
      <c r="E121" s="422"/>
      <c r="F121" s="422"/>
      <c r="G121" s="422"/>
      <c r="H121" s="422"/>
      <c r="I121" s="422"/>
      <c r="J121" s="422"/>
      <c r="K121" s="41"/>
    </row>
    <row r="122" spans="2:14" x14ac:dyDescent="0.2">
      <c r="B122" s="38"/>
      <c r="C122" s="423"/>
      <c r="D122" s="423"/>
      <c r="E122" s="423"/>
      <c r="F122" s="423"/>
      <c r="G122" s="423"/>
      <c r="H122" s="423"/>
      <c r="I122" s="423"/>
      <c r="J122" s="423"/>
      <c r="K122" s="41"/>
    </row>
    <row r="123" spans="2:14" ht="15" customHeight="1" x14ac:dyDescent="0.2">
      <c r="B123" s="38"/>
      <c r="C123" s="416" t="s">
        <v>246</v>
      </c>
      <c r="D123" s="417"/>
      <c r="E123" s="417"/>
      <c r="F123" s="417"/>
      <c r="G123" s="417"/>
      <c r="H123" s="417"/>
      <c r="I123" s="417"/>
      <c r="J123" s="418"/>
      <c r="K123" s="41"/>
    </row>
    <row r="124" spans="2:14" x14ac:dyDescent="0.2">
      <c r="B124" s="38"/>
      <c r="C124" s="419"/>
      <c r="D124" s="420"/>
      <c r="E124" s="420"/>
      <c r="F124" s="420"/>
      <c r="G124" s="420"/>
      <c r="H124" s="420"/>
      <c r="I124" s="420"/>
      <c r="J124" s="421"/>
      <c r="K124" s="41"/>
    </row>
    <row r="125" spans="2:14" ht="15" customHeight="1" x14ac:dyDescent="0.2">
      <c r="B125" s="38"/>
      <c r="C125" s="40" t="s">
        <v>260</v>
      </c>
      <c r="D125" s="40"/>
      <c r="E125" s="40"/>
      <c r="F125" s="40"/>
      <c r="G125" s="40"/>
      <c r="H125" s="40"/>
      <c r="I125" s="40"/>
      <c r="J125" s="247">
        <f>IF(C123=B987,A987,IF(C123=B988,A988,IF(C123=B989,A989,IF(C123=B990,A990,IF(C123=B991,A991,"Not Calculated")))))</f>
        <v>1</v>
      </c>
      <c r="K125" s="41"/>
    </row>
    <row r="126" spans="2:14" ht="15" customHeight="1" x14ac:dyDescent="0.2">
      <c r="B126" s="38"/>
      <c r="C126" s="40" t="s">
        <v>257</v>
      </c>
      <c r="D126" s="40"/>
      <c r="E126" s="40"/>
      <c r="F126" s="40"/>
      <c r="G126" s="40"/>
      <c r="H126" s="40"/>
      <c r="I126" s="40"/>
      <c r="J126" s="266" t="s">
        <v>874</v>
      </c>
      <c r="K126" s="41"/>
    </row>
    <row r="127" spans="2:14" x14ac:dyDescent="0.2">
      <c r="B127" s="38"/>
      <c r="C127" s="40" t="s">
        <v>261</v>
      </c>
      <c r="D127" s="40"/>
      <c r="E127" s="40"/>
      <c r="F127" s="40"/>
      <c r="G127" s="40"/>
      <c r="H127" s="40"/>
      <c r="I127" s="40"/>
      <c r="J127" s="245">
        <f>IF(J126=$B$973,$A$973,IF(J126=$B$974,$A$974,IF(J126=$B$975,$A$975,IF(J126=$B$976,$A$976,IF(J126=$B$977,$A$977,"Not Calculated")))))</f>
        <v>4</v>
      </c>
      <c r="K127" s="41"/>
    </row>
    <row r="128" spans="2:14" ht="15" customHeight="1" x14ac:dyDescent="0.2">
      <c r="B128" s="38"/>
      <c r="C128" s="40" t="s">
        <v>893</v>
      </c>
      <c r="D128" s="40"/>
      <c r="E128" s="40"/>
      <c r="F128" s="40"/>
      <c r="G128" s="40"/>
      <c r="H128" s="40"/>
      <c r="I128" s="40"/>
      <c r="J128" s="175"/>
      <c r="K128" s="41"/>
    </row>
    <row r="129" spans="2:11" s="178" customFormat="1" ht="30" customHeight="1" x14ac:dyDescent="0.2">
      <c r="B129" s="176"/>
      <c r="C129" s="415"/>
      <c r="D129" s="400"/>
      <c r="E129" s="400"/>
      <c r="F129" s="400"/>
      <c r="G129" s="400"/>
      <c r="H129" s="400"/>
      <c r="I129" s="400"/>
      <c r="J129" s="401"/>
      <c r="K129" s="177"/>
    </row>
    <row r="130" spans="2:11" x14ac:dyDescent="0.2">
      <c r="B130" s="38"/>
      <c r="C130" s="40"/>
      <c r="D130" s="40"/>
      <c r="E130" s="40"/>
      <c r="F130" s="40"/>
      <c r="G130" s="40"/>
      <c r="H130" s="40"/>
      <c r="I130" s="40"/>
      <c r="J130" s="40"/>
      <c r="K130" s="41"/>
    </row>
    <row r="131" spans="2:11" x14ac:dyDescent="0.2">
      <c r="B131" s="38"/>
      <c r="C131" s="179" t="s">
        <v>267</v>
      </c>
      <c r="D131" s="40"/>
      <c r="E131" s="40"/>
      <c r="F131" s="40"/>
      <c r="G131" s="40"/>
      <c r="H131" s="40"/>
      <c r="I131" s="40"/>
      <c r="J131" s="245">
        <f>IF(OR(J125="Not Calculated",J127="Not Calculated")=TRUE,"Not Calculated",AVERAGE(J125,J127))</f>
        <v>2.5</v>
      </c>
      <c r="K131" s="41"/>
    </row>
    <row r="132" spans="2:11" x14ac:dyDescent="0.2">
      <c r="B132" s="38"/>
      <c r="C132" s="179"/>
      <c r="D132" s="40"/>
      <c r="E132" s="40"/>
      <c r="F132" s="40"/>
      <c r="G132" s="40"/>
      <c r="H132" s="40"/>
      <c r="I132" s="40"/>
      <c r="J132" s="245"/>
      <c r="K132" s="41"/>
    </row>
    <row r="133" spans="2:11" ht="18" x14ac:dyDescent="0.2">
      <c r="B133" s="38"/>
      <c r="C133" s="180" t="s">
        <v>269</v>
      </c>
      <c r="D133" s="40"/>
      <c r="E133" s="40"/>
      <c r="F133" s="40"/>
      <c r="G133" s="40"/>
      <c r="H133" s="40"/>
      <c r="I133" s="40"/>
      <c r="J133" s="244" t="str">
        <f>IF(OR(J40="Not Calculated",J59="Not Calculated",J78="Not Calculated",J97="Not Calculated",J116="Not Calculated",J131="Not Calculated",)=TRUE,"Not Calculated",AVERAGE(J40,J59,J78,J97,J116,J131))</f>
        <v>Not Calculated</v>
      </c>
      <c r="K133" s="41"/>
    </row>
    <row r="134" spans="2:11" ht="16" thickBot="1" x14ac:dyDescent="0.25">
      <c r="B134" s="46"/>
      <c r="C134" s="47"/>
      <c r="D134" s="47"/>
      <c r="E134" s="47"/>
      <c r="F134" s="47"/>
      <c r="G134" s="47"/>
      <c r="H134" s="47"/>
      <c r="I134" s="47"/>
      <c r="J134" s="47"/>
      <c r="K134" s="49"/>
    </row>
    <row r="135" spans="2:11" ht="16" thickBot="1" x14ac:dyDescent="0.25"/>
    <row r="136" spans="2:11" x14ac:dyDescent="0.2">
      <c r="B136" s="33"/>
      <c r="C136" s="34"/>
      <c r="D136" s="34"/>
      <c r="E136" s="34"/>
      <c r="F136" s="34"/>
      <c r="G136" s="34"/>
      <c r="H136" s="34"/>
      <c r="I136" s="34"/>
      <c r="J136" s="34"/>
      <c r="K136" s="37"/>
    </row>
    <row r="137" spans="2:11" ht="21" x14ac:dyDescent="0.25">
      <c r="B137" s="38"/>
      <c r="C137" s="171"/>
      <c r="D137" s="40"/>
      <c r="E137" s="40"/>
      <c r="F137" s="40"/>
      <c r="G137" s="172" t="s">
        <v>27</v>
      </c>
      <c r="H137" s="40"/>
      <c r="I137" s="40"/>
      <c r="J137" s="40"/>
      <c r="K137" s="41"/>
    </row>
    <row r="138" spans="2:11" x14ac:dyDescent="0.2">
      <c r="B138" s="38"/>
      <c r="C138" s="40"/>
      <c r="D138" s="40"/>
      <c r="E138" s="40"/>
      <c r="F138" s="40"/>
      <c r="G138" s="40"/>
      <c r="H138" s="40"/>
      <c r="I138" s="40"/>
      <c r="J138" s="40"/>
      <c r="K138" s="41"/>
    </row>
    <row r="139" spans="2:11" ht="16" x14ac:dyDescent="0.2">
      <c r="B139" s="38"/>
      <c r="C139" s="45" t="s">
        <v>72</v>
      </c>
      <c r="D139" s="40"/>
      <c r="E139" s="40"/>
      <c r="F139" s="40"/>
      <c r="G139" s="40"/>
      <c r="H139" s="40"/>
      <c r="I139" s="40"/>
      <c r="J139" s="40"/>
      <c r="K139" s="41"/>
    </row>
    <row r="140" spans="2:11" x14ac:dyDescent="0.2">
      <c r="B140" s="38"/>
      <c r="C140" s="40" t="s">
        <v>440</v>
      </c>
      <c r="D140" s="40"/>
      <c r="E140" s="40"/>
      <c r="F140" s="40"/>
      <c r="G140" s="40"/>
      <c r="H140" s="40"/>
      <c r="I140" s="40"/>
      <c r="J140" s="252">
        <f>'Baseline Health'!G45</f>
        <v>0</v>
      </c>
      <c r="K140" s="41"/>
    </row>
    <row r="141" spans="2:11" x14ac:dyDescent="0.2">
      <c r="B141" s="38"/>
      <c r="C141" s="40" t="s">
        <v>270</v>
      </c>
      <c r="D141" s="40"/>
      <c r="E141" s="40"/>
      <c r="F141" s="40"/>
      <c r="G141" s="40"/>
      <c r="H141" s="40"/>
      <c r="I141" s="40"/>
      <c r="J141" s="264">
        <f>J140/2</f>
        <v>0</v>
      </c>
      <c r="K141" s="41"/>
    </row>
    <row r="142" spans="2:11" x14ac:dyDescent="0.2">
      <c r="B142" s="38"/>
      <c r="C142" s="40" t="s">
        <v>439</v>
      </c>
      <c r="D142" s="40"/>
      <c r="E142" s="40"/>
      <c r="F142" s="40"/>
      <c r="G142" s="40"/>
      <c r="H142" s="40"/>
      <c r="I142" s="40"/>
      <c r="J142" s="251">
        <f>J83/20</f>
        <v>0</v>
      </c>
      <c r="K142" s="41"/>
    </row>
    <row r="143" spans="2:11" x14ac:dyDescent="0.2">
      <c r="B143" s="38"/>
      <c r="C143" s="40"/>
      <c r="D143" s="40" t="s">
        <v>351</v>
      </c>
      <c r="E143" s="40"/>
      <c r="F143" s="40"/>
      <c r="G143" s="40"/>
      <c r="H143" s="40"/>
      <c r="I143" s="40"/>
      <c r="J143" s="40"/>
      <c r="K143" s="41"/>
    </row>
    <row r="144" spans="2:11" x14ac:dyDescent="0.2">
      <c r="B144" s="38"/>
      <c r="C144" s="40" t="s">
        <v>260</v>
      </c>
      <c r="D144" s="40"/>
      <c r="E144" s="40"/>
      <c r="F144" s="40"/>
      <c r="G144" s="40"/>
      <c r="H144" s="40"/>
      <c r="I144" s="40"/>
      <c r="J144" s="245" t="str">
        <f>IF(OR(J140=0,J140="Not Calculated")=TRUE,"Not Calculated",IF((J140-J141)&lt;=0,4,IF(((J140+J142)/(J140-J141))&lt;=1,0,IF(((J140+J142)/(J140-J141))&lt;=1.05,1,IF(((J140+J142)/(J140-J141))&lt;=1.5, 2,IF(((J140+J142)/(J140-J141))&lt;=2,3,4))))))</f>
        <v>Not Calculated</v>
      </c>
      <c r="K144" s="41"/>
    </row>
    <row r="145" spans="2:14" ht="9.75" customHeight="1" x14ac:dyDescent="0.2">
      <c r="B145" s="38"/>
      <c r="C145" s="279" t="str">
        <f>"0:"</f>
        <v>0:</v>
      </c>
      <c r="D145" s="278" t="s">
        <v>918</v>
      </c>
      <c r="E145" s="40"/>
      <c r="F145" s="40"/>
      <c r="G145" s="40"/>
      <c r="H145" s="40"/>
      <c r="I145" s="40"/>
      <c r="J145" s="40"/>
      <c r="K145" s="41"/>
    </row>
    <row r="146" spans="2:14" ht="9.75" customHeight="1" x14ac:dyDescent="0.2">
      <c r="B146" s="38"/>
      <c r="C146" s="280" t="str">
        <f>"1:"</f>
        <v>1:</v>
      </c>
      <c r="D146" s="278" t="s">
        <v>923</v>
      </c>
      <c r="E146" s="40"/>
      <c r="F146" s="40"/>
      <c r="G146" s="40"/>
      <c r="H146" s="40"/>
      <c r="I146" s="40"/>
      <c r="J146" s="40"/>
      <c r="K146" s="41"/>
    </row>
    <row r="147" spans="2:14" ht="9.75" customHeight="1" x14ac:dyDescent="0.2">
      <c r="B147" s="38"/>
      <c r="C147" s="280" t="str">
        <f>"2:"</f>
        <v>2:</v>
      </c>
      <c r="D147" s="278" t="s">
        <v>924</v>
      </c>
      <c r="E147" s="40"/>
      <c r="F147" s="40"/>
      <c r="G147" s="40"/>
      <c r="H147" s="40"/>
      <c r="I147" s="40"/>
      <c r="J147" s="40"/>
      <c r="K147" s="41"/>
    </row>
    <row r="148" spans="2:14" ht="9.75" customHeight="1" x14ac:dyDescent="0.2">
      <c r="B148" s="38"/>
      <c r="C148" s="280" t="str">
        <f>"3:"</f>
        <v>3:</v>
      </c>
      <c r="D148" s="278" t="s">
        <v>925</v>
      </c>
      <c r="E148" s="40"/>
      <c r="F148" s="40"/>
      <c r="G148" s="40"/>
      <c r="H148" s="40"/>
      <c r="I148" s="40"/>
      <c r="J148" s="40"/>
      <c r="K148" s="41"/>
    </row>
    <row r="149" spans="2:14" ht="9.75" customHeight="1" x14ac:dyDescent="0.2">
      <c r="B149" s="38"/>
      <c r="C149" s="280" t="str">
        <f>"4:"</f>
        <v>4:</v>
      </c>
      <c r="D149" s="278" t="s">
        <v>926</v>
      </c>
      <c r="E149" s="40"/>
      <c r="F149" s="40"/>
      <c r="G149" s="40"/>
      <c r="H149" s="40"/>
      <c r="I149" s="40"/>
      <c r="J149" s="40"/>
      <c r="K149" s="41"/>
      <c r="N149" s="12" t="s">
        <v>661</v>
      </c>
    </row>
    <row r="150" spans="2:14" x14ac:dyDescent="0.2">
      <c r="B150" s="38"/>
      <c r="C150" s="174" t="s">
        <v>662</v>
      </c>
      <c r="D150" s="40"/>
      <c r="E150" s="40"/>
      <c r="F150" s="40"/>
      <c r="G150" s="40"/>
      <c r="H150" s="40"/>
      <c r="I150" s="40"/>
      <c r="J150" s="265" t="s">
        <v>661</v>
      </c>
      <c r="K150" s="41"/>
      <c r="N150" s="12" t="s">
        <v>894</v>
      </c>
    </row>
    <row r="151" spans="2:14" x14ac:dyDescent="0.2">
      <c r="B151" s="38"/>
      <c r="C151" s="174" t="s">
        <v>660</v>
      </c>
      <c r="D151" s="40"/>
      <c r="E151" s="40"/>
      <c r="F151" s="40"/>
      <c r="G151" s="40"/>
      <c r="H151" s="40"/>
      <c r="I151" s="40"/>
      <c r="J151" s="246" t="str">
        <f>IF(J150=N149,"N/A",IF(J150=N150,0,IF(J150=N151,1,IF(J150=N152,2,IF(J150=N153,3,IF(J150=N154,4,"N/A"))))))</f>
        <v>N/A</v>
      </c>
      <c r="K151" s="41"/>
      <c r="N151" s="12" t="s">
        <v>899</v>
      </c>
    </row>
    <row r="152" spans="2:14" x14ac:dyDescent="0.2">
      <c r="B152" s="38"/>
      <c r="C152" s="40" t="s">
        <v>257</v>
      </c>
      <c r="D152" s="40"/>
      <c r="E152" s="40"/>
      <c r="F152" s="40"/>
      <c r="G152" s="40"/>
      <c r="H152" s="40"/>
      <c r="I152" s="40"/>
      <c r="J152" s="266" t="s">
        <v>872</v>
      </c>
      <c r="K152" s="41"/>
      <c r="N152" s="12" t="s">
        <v>900</v>
      </c>
    </row>
    <row r="153" spans="2:14" x14ac:dyDescent="0.2">
      <c r="B153" s="38"/>
      <c r="C153" s="40" t="s">
        <v>261</v>
      </c>
      <c r="D153" s="40"/>
      <c r="E153" s="40"/>
      <c r="F153" s="40"/>
      <c r="G153" s="40"/>
      <c r="H153" s="40"/>
      <c r="I153" s="40"/>
      <c r="J153" s="245">
        <f>IF(J152=$B$973,$A$973,IF(J152=$B$974,$A$974,IF(J152=$B$975,$A$975,IF(J152=$B$976,$A$976,IF(J152=$B$977,$A$977,"Not Calculated")))))</f>
        <v>2</v>
      </c>
      <c r="K153" s="41"/>
      <c r="N153" s="12" t="s">
        <v>901</v>
      </c>
    </row>
    <row r="154" spans="2:14" x14ac:dyDescent="0.2">
      <c r="B154" s="38"/>
      <c r="C154" s="40" t="s">
        <v>893</v>
      </c>
      <c r="D154" s="40"/>
      <c r="E154" s="40"/>
      <c r="F154" s="40"/>
      <c r="G154" s="40"/>
      <c r="H154" s="40"/>
      <c r="I154" s="40"/>
      <c r="J154" s="40"/>
      <c r="K154" s="41"/>
      <c r="N154" s="12" t="s">
        <v>902</v>
      </c>
    </row>
    <row r="155" spans="2:14" ht="30" customHeight="1" x14ac:dyDescent="0.2">
      <c r="B155" s="38"/>
      <c r="C155" s="399" t="s">
        <v>456</v>
      </c>
      <c r="D155" s="400"/>
      <c r="E155" s="400"/>
      <c r="F155" s="400"/>
      <c r="G155" s="400"/>
      <c r="H155" s="400"/>
      <c r="I155" s="400"/>
      <c r="J155" s="401"/>
      <c r="K155" s="41"/>
    </row>
    <row r="156" spans="2:14" x14ac:dyDescent="0.2">
      <c r="B156" s="38"/>
      <c r="C156" s="40"/>
      <c r="D156" s="40"/>
      <c r="E156" s="40"/>
      <c r="F156" s="40"/>
      <c r="G156" s="40"/>
      <c r="H156" s="40"/>
      <c r="I156" s="40"/>
      <c r="J156" s="40"/>
      <c r="K156" s="41"/>
    </row>
    <row r="157" spans="2:14" x14ac:dyDescent="0.2">
      <c r="B157" s="38"/>
      <c r="C157" s="179" t="s">
        <v>271</v>
      </c>
      <c r="D157" s="40"/>
      <c r="E157" s="40"/>
      <c r="F157" s="40"/>
      <c r="G157" s="40"/>
      <c r="H157" s="40"/>
      <c r="I157" s="40"/>
      <c r="J157" s="245" t="str">
        <f>IF(J151="N/A",IF(OR(J144="Not Calculated",J153="Not Calculated")=TRUE,"Not Calculated",AVERAGE(J144,J153)),AVERAGE(J151,J153))</f>
        <v>Not Calculated</v>
      </c>
      <c r="K157" s="41"/>
    </row>
    <row r="158" spans="2:14" x14ac:dyDescent="0.2">
      <c r="B158" s="38"/>
      <c r="C158" s="40"/>
      <c r="D158" s="40"/>
      <c r="E158" s="40"/>
      <c r="F158" s="40"/>
      <c r="G158" s="40"/>
      <c r="H158" s="40"/>
      <c r="I158" s="40"/>
      <c r="J158" s="40"/>
      <c r="K158" s="41"/>
    </row>
    <row r="159" spans="2:14" x14ac:dyDescent="0.2">
      <c r="B159" s="38"/>
      <c r="C159" s="40"/>
      <c r="D159" s="40"/>
      <c r="E159" s="40"/>
      <c r="F159" s="40"/>
      <c r="G159" s="40"/>
      <c r="H159" s="40"/>
      <c r="I159" s="40"/>
      <c r="J159" s="40"/>
      <c r="K159" s="41"/>
    </row>
    <row r="160" spans="2:14" ht="16" x14ac:dyDescent="0.2">
      <c r="B160" s="38"/>
      <c r="C160" s="45" t="s">
        <v>273</v>
      </c>
      <c r="D160" s="40"/>
      <c r="E160" s="40"/>
      <c r="F160" s="40"/>
      <c r="G160" s="40"/>
      <c r="H160" s="40"/>
      <c r="I160" s="40"/>
      <c r="J160" s="40"/>
      <c r="K160" s="41"/>
    </row>
    <row r="161" spans="2:14" x14ac:dyDescent="0.2">
      <c r="B161" s="38"/>
      <c r="C161" s="40" t="s">
        <v>441</v>
      </c>
      <c r="D161" s="40"/>
      <c r="E161" s="40"/>
      <c r="F161" s="40"/>
      <c r="G161" s="40"/>
      <c r="H161" s="40"/>
      <c r="I161" s="40"/>
      <c r="J161" s="252">
        <f>'Baseline Health'!G51</f>
        <v>0</v>
      </c>
      <c r="K161" s="41"/>
    </row>
    <row r="162" spans="2:14" x14ac:dyDescent="0.2">
      <c r="B162" s="38"/>
      <c r="C162" s="40" t="s">
        <v>280</v>
      </c>
      <c r="D162" s="40"/>
      <c r="E162" s="40"/>
      <c r="F162" s="40"/>
      <c r="G162" s="40"/>
      <c r="H162" s="40"/>
      <c r="I162" s="40"/>
      <c r="J162" s="264">
        <v>0</v>
      </c>
      <c r="K162" s="41"/>
    </row>
    <row r="163" spans="2:14" x14ac:dyDescent="0.2">
      <c r="B163" s="38"/>
      <c r="C163" s="40" t="s">
        <v>442</v>
      </c>
      <c r="D163" s="40"/>
      <c r="E163" s="40"/>
      <c r="F163" s="40"/>
      <c r="G163" s="40"/>
      <c r="H163" s="40"/>
      <c r="I163" s="40"/>
      <c r="J163" s="251">
        <f>(J64)/4.5</f>
        <v>0</v>
      </c>
      <c r="K163" s="41"/>
    </row>
    <row r="164" spans="2:14" x14ac:dyDescent="0.2">
      <c r="B164" s="38"/>
      <c r="C164" s="40"/>
      <c r="D164" s="40" t="s">
        <v>353</v>
      </c>
      <c r="E164" s="40"/>
      <c r="F164" s="40"/>
      <c r="G164" s="40"/>
      <c r="H164" s="40"/>
      <c r="I164" s="40"/>
      <c r="J164" s="40"/>
      <c r="K164" s="41"/>
    </row>
    <row r="165" spans="2:14" x14ac:dyDescent="0.2">
      <c r="B165" s="38"/>
      <c r="C165" s="40" t="s">
        <v>260</v>
      </c>
      <c r="D165" s="40"/>
      <c r="E165" s="40"/>
      <c r="F165" s="40"/>
      <c r="G165" s="40"/>
      <c r="H165" s="40"/>
      <c r="I165" s="40"/>
      <c r="J165" s="245" t="str">
        <f>IF(OR(J161=0,J161="Not Calculated")=TRUE,"Not Calculated",IF((J161-J162)&lt;=0,4,IF(((J161+J163)/(J161-J162))&lt;=1,0,IF(((J161+J163)/(J161-J162))&lt;=1.05,1,IF(((J161+J163)/(J161-J162))&lt;=1.5, 2,IF(((J161+J163)/(J161-J162))&lt;=2,3,4))))))</f>
        <v>Not Calculated</v>
      </c>
      <c r="K165" s="41"/>
    </row>
    <row r="166" spans="2:14" ht="9.75" customHeight="1" x14ac:dyDescent="0.2">
      <c r="B166" s="38"/>
      <c r="C166" s="279" t="str">
        <f>"0:"</f>
        <v>0:</v>
      </c>
      <c r="D166" s="278" t="s">
        <v>918</v>
      </c>
      <c r="E166" s="40"/>
      <c r="F166" s="40"/>
      <c r="G166" s="40"/>
      <c r="H166" s="40"/>
      <c r="I166" s="40"/>
      <c r="J166" s="40"/>
      <c r="K166" s="41"/>
    </row>
    <row r="167" spans="2:14" ht="9.75" customHeight="1" x14ac:dyDescent="0.2">
      <c r="B167" s="38"/>
      <c r="C167" s="280" t="str">
        <f>"1:"</f>
        <v>1:</v>
      </c>
      <c r="D167" s="278" t="s">
        <v>923</v>
      </c>
      <c r="E167" s="40"/>
      <c r="F167" s="40"/>
      <c r="G167" s="40"/>
      <c r="H167" s="40"/>
      <c r="I167" s="40"/>
      <c r="J167" s="40"/>
      <c r="K167" s="41"/>
    </row>
    <row r="168" spans="2:14" ht="9.75" customHeight="1" x14ac:dyDescent="0.2">
      <c r="B168" s="38"/>
      <c r="C168" s="280" t="str">
        <f>"2:"</f>
        <v>2:</v>
      </c>
      <c r="D168" s="278" t="s">
        <v>924</v>
      </c>
      <c r="E168" s="40"/>
      <c r="F168" s="40"/>
      <c r="G168" s="40"/>
      <c r="H168" s="40"/>
      <c r="I168" s="40"/>
      <c r="J168" s="40"/>
      <c r="K168" s="41"/>
    </row>
    <row r="169" spans="2:14" ht="9.75" customHeight="1" x14ac:dyDescent="0.2">
      <c r="B169" s="38"/>
      <c r="C169" s="280" t="str">
        <f>"3:"</f>
        <v>3:</v>
      </c>
      <c r="D169" s="278" t="s">
        <v>925</v>
      </c>
      <c r="E169" s="40"/>
      <c r="F169" s="40"/>
      <c r="G169" s="40"/>
      <c r="H169" s="40"/>
      <c r="I169" s="40"/>
      <c r="J169" s="40"/>
      <c r="K169" s="41"/>
    </row>
    <row r="170" spans="2:14" ht="9.75" customHeight="1" x14ac:dyDescent="0.2">
      <c r="B170" s="38"/>
      <c r="C170" s="280" t="str">
        <f>"4:"</f>
        <v>4:</v>
      </c>
      <c r="D170" s="278" t="s">
        <v>926</v>
      </c>
      <c r="E170" s="40"/>
      <c r="F170" s="40"/>
      <c r="G170" s="40"/>
      <c r="H170" s="40"/>
      <c r="I170" s="40"/>
      <c r="J170" s="40"/>
      <c r="K170" s="41"/>
      <c r="N170" s="12" t="s">
        <v>661</v>
      </c>
    </row>
    <row r="171" spans="2:14" x14ac:dyDescent="0.2">
      <c r="B171" s="38"/>
      <c r="C171" s="174" t="s">
        <v>662</v>
      </c>
      <c r="D171" s="40"/>
      <c r="E171" s="40"/>
      <c r="F171" s="40"/>
      <c r="G171" s="40"/>
      <c r="H171" s="40"/>
      <c r="I171" s="40"/>
      <c r="J171" s="265" t="s">
        <v>661</v>
      </c>
      <c r="K171" s="41"/>
      <c r="N171" s="12" t="s">
        <v>894</v>
      </c>
    </row>
    <row r="172" spans="2:14" x14ac:dyDescent="0.2">
      <c r="B172" s="38"/>
      <c r="C172" s="174" t="s">
        <v>660</v>
      </c>
      <c r="D172" s="40"/>
      <c r="E172" s="40"/>
      <c r="F172" s="40"/>
      <c r="G172" s="40"/>
      <c r="H172" s="40"/>
      <c r="I172" s="40"/>
      <c r="J172" s="246" t="str">
        <f>IF(J171=N170,"N/A",IF(J171=N171,0,IF(J171=N172,1,IF(J171=N173,2,IF(J171=N174,3,IF(J171=N175,4,"N/A"))))))</f>
        <v>N/A</v>
      </c>
      <c r="K172" s="41"/>
      <c r="N172" s="12" t="s">
        <v>899</v>
      </c>
    </row>
    <row r="173" spans="2:14" x14ac:dyDescent="0.2">
      <c r="B173" s="38"/>
      <c r="C173" s="40" t="s">
        <v>257</v>
      </c>
      <c r="D173" s="40"/>
      <c r="E173" s="40"/>
      <c r="F173" s="40"/>
      <c r="G173" s="40"/>
      <c r="H173" s="40"/>
      <c r="I173" s="40"/>
      <c r="J173" s="266" t="s">
        <v>872</v>
      </c>
      <c r="K173" s="41"/>
      <c r="N173" s="12" t="s">
        <v>900</v>
      </c>
    </row>
    <row r="174" spans="2:14" x14ac:dyDescent="0.2">
      <c r="B174" s="38"/>
      <c r="C174" s="40" t="s">
        <v>261</v>
      </c>
      <c r="D174" s="40"/>
      <c r="E174" s="40"/>
      <c r="F174" s="40"/>
      <c r="G174" s="40"/>
      <c r="H174" s="40"/>
      <c r="I174" s="40"/>
      <c r="J174" s="245">
        <f>IF(J173=$B$973,$A$973,IF(J173=$B$974,$A$974,IF(J173=$B$975,$A$975,IF(J173=$B$976,$A$976,IF(J173=$B$977,$A$977,"Not Calculated")))))</f>
        <v>2</v>
      </c>
      <c r="K174" s="41"/>
      <c r="N174" s="12" t="s">
        <v>901</v>
      </c>
    </row>
    <row r="175" spans="2:14" x14ac:dyDescent="0.2">
      <c r="B175" s="38"/>
      <c r="C175" s="40" t="s">
        <v>893</v>
      </c>
      <c r="D175" s="40"/>
      <c r="E175" s="40"/>
      <c r="F175" s="40"/>
      <c r="G175" s="40"/>
      <c r="H175" s="40"/>
      <c r="I175" s="40"/>
      <c r="J175" s="40"/>
      <c r="K175" s="41"/>
      <c r="N175" s="12" t="s">
        <v>902</v>
      </c>
    </row>
    <row r="176" spans="2:14" ht="30" customHeight="1" x14ac:dyDescent="0.2">
      <c r="B176" s="38"/>
      <c r="C176" s="399"/>
      <c r="D176" s="400"/>
      <c r="E176" s="400"/>
      <c r="F176" s="400"/>
      <c r="G176" s="400"/>
      <c r="H176" s="400"/>
      <c r="I176" s="400"/>
      <c r="J176" s="401"/>
      <c r="K176" s="41"/>
    </row>
    <row r="177" spans="2:14" x14ac:dyDescent="0.2">
      <c r="B177" s="38"/>
      <c r="C177" s="40"/>
      <c r="D177" s="40"/>
      <c r="E177" s="40"/>
      <c r="F177" s="40"/>
      <c r="G177" s="40"/>
      <c r="H177" s="40"/>
      <c r="I177" s="40"/>
      <c r="J177" s="40"/>
      <c r="K177" s="41"/>
    </row>
    <row r="178" spans="2:14" x14ac:dyDescent="0.2">
      <c r="B178" s="38"/>
      <c r="C178" s="179" t="s">
        <v>274</v>
      </c>
      <c r="D178" s="40"/>
      <c r="E178" s="40"/>
      <c r="F178" s="40"/>
      <c r="G178" s="40"/>
      <c r="H178" s="40"/>
      <c r="I178" s="40"/>
      <c r="J178" s="245" t="str">
        <f>IF(J172="N/A",IF(OR(J165="Not Calculated",J174="Not Calculated")=TRUE,"Not Calculated",AVERAGE(J165,J174)),AVERAGE(J172,J174))</f>
        <v>Not Calculated</v>
      </c>
      <c r="K178" s="41"/>
    </row>
    <row r="179" spans="2:14" x14ac:dyDescent="0.2">
      <c r="B179" s="38"/>
      <c r="C179" s="40"/>
      <c r="D179" s="40"/>
      <c r="E179" s="40"/>
      <c r="F179" s="40"/>
      <c r="G179" s="40"/>
      <c r="H179" s="40"/>
      <c r="I179" s="40"/>
      <c r="J179" s="40"/>
      <c r="K179" s="41"/>
    </row>
    <row r="180" spans="2:14" x14ac:dyDescent="0.2">
      <c r="B180" s="38"/>
      <c r="C180" s="40"/>
      <c r="D180" s="40"/>
      <c r="E180" s="40"/>
      <c r="F180" s="40"/>
      <c r="G180" s="40"/>
      <c r="H180" s="40"/>
      <c r="I180" s="40"/>
      <c r="J180" s="40"/>
      <c r="K180" s="41"/>
    </row>
    <row r="181" spans="2:14" ht="16" x14ac:dyDescent="0.2">
      <c r="B181" s="38"/>
      <c r="C181" s="45" t="s">
        <v>74</v>
      </c>
      <c r="D181" s="40"/>
      <c r="E181" s="40"/>
      <c r="F181" s="40"/>
      <c r="G181" s="40"/>
      <c r="H181" s="40"/>
      <c r="I181" s="40"/>
      <c r="J181" s="40"/>
      <c r="K181" s="41"/>
    </row>
    <row r="182" spans="2:14" x14ac:dyDescent="0.2">
      <c r="B182" s="38"/>
      <c r="C182" s="40" t="s">
        <v>443</v>
      </c>
      <c r="D182" s="40"/>
      <c r="E182" s="40"/>
      <c r="F182" s="40"/>
      <c r="G182" s="40"/>
      <c r="H182" s="40"/>
      <c r="I182" s="40"/>
      <c r="J182" s="252">
        <f>'Baseline Health'!G59</f>
        <v>0</v>
      </c>
      <c r="K182" s="41"/>
    </row>
    <row r="183" spans="2:14" x14ac:dyDescent="0.2">
      <c r="B183" s="38"/>
      <c r="C183" s="40" t="s">
        <v>281</v>
      </c>
      <c r="D183" s="40"/>
      <c r="E183" s="40"/>
      <c r="F183" s="40"/>
      <c r="G183" s="40"/>
      <c r="H183" s="40"/>
      <c r="I183" s="40"/>
      <c r="J183" s="264">
        <v>0</v>
      </c>
      <c r="K183" s="41"/>
    </row>
    <row r="184" spans="2:14" x14ac:dyDescent="0.2">
      <c r="B184" s="38"/>
      <c r="C184" s="40" t="s">
        <v>354</v>
      </c>
      <c r="D184" s="40"/>
      <c r="E184" s="40"/>
      <c r="F184" s="40"/>
      <c r="G184" s="40"/>
      <c r="H184" s="40"/>
      <c r="I184" s="40"/>
      <c r="J184" s="264">
        <v>0</v>
      </c>
      <c r="K184" s="41"/>
    </row>
    <row r="185" spans="2:14" x14ac:dyDescent="0.2">
      <c r="B185" s="38"/>
      <c r="C185" s="40" t="s">
        <v>260</v>
      </c>
      <c r="D185" s="40"/>
      <c r="E185" s="40"/>
      <c r="F185" s="40"/>
      <c r="G185" s="40"/>
      <c r="H185" s="40"/>
      <c r="I185" s="40"/>
      <c r="J185" s="245" t="str">
        <f>IF(OR(J182=0,J182="Not Calculated")=TRUE,"Not Calculated",IF(J182-J183=0,4,IF(((J182+J184)/(J182-J183))&lt;=1,0,IF(((J182+J184)/(J182-J183))&lt;=1.05,1,IF(((J182+J184)/(J182-J183))&lt;=1.5, 2,IF(((J182+J184)/(J182-J183))&lt;=2,3,4))))))</f>
        <v>Not Calculated</v>
      </c>
      <c r="K185" s="41"/>
    </row>
    <row r="186" spans="2:14" ht="9.75" customHeight="1" x14ac:dyDescent="0.2">
      <c r="B186" s="38"/>
      <c r="C186" s="279" t="str">
        <f>"0:"</f>
        <v>0:</v>
      </c>
      <c r="D186" s="278" t="s">
        <v>918</v>
      </c>
      <c r="E186" s="40"/>
      <c r="F186" s="40"/>
      <c r="G186" s="40"/>
      <c r="H186" s="40"/>
      <c r="I186" s="40"/>
      <c r="J186" s="40"/>
      <c r="K186" s="41"/>
    </row>
    <row r="187" spans="2:14" ht="9.75" customHeight="1" x14ac:dyDescent="0.2">
      <c r="B187" s="38"/>
      <c r="C187" s="280" t="str">
        <f>"1:"</f>
        <v>1:</v>
      </c>
      <c r="D187" s="278" t="s">
        <v>923</v>
      </c>
      <c r="E187" s="40"/>
      <c r="F187" s="40"/>
      <c r="G187" s="40"/>
      <c r="H187" s="40"/>
      <c r="I187" s="40"/>
      <c r="J187" s="40"/>
      <c r="K187" s="41"/>
    </row>
    <row r="188" spans="2:14" ht="9.75" customHeight="1" x14ac:dyDescent="0.2">
      <c r="B188" s="38"/>
      <c r="C188" s="280" t="str">
        <f>"2:"</f>
        <v>2:</v>
      </c>
      <c r="D188" s="278" t="s">
        <v>924</v>
      </c>
      <c r="E188" s="40"/>
      <c r="F188" s="40"/>
      <c r="G188" s="40"/>
      <c r="H188" s="40"/>
      <c r="I188" s="40"/>
      <c r="J188" s="40"/>
      <c r="K188" s="41"/>
    </row>
    <row r="189" spans="2:14" ht="9.75" customHeight="1" x14ac:dyDescent="0.2">
      <c r="B189" s="38"/>
      <c r="C189" s="280" t="str">
        <f>"3:"</f>
        <v>3:</v>
      </c>
      <c r="D189" s="278" t="s">
        <v>925</v>
      </c>
      <c r="E189" s="40"/>
      <c r="F189" s="40"/>
      <c r="G189" s="40"/>
      <c r="H189" s="40"/>
      <c r="I189" s="40"/>
      <c r="J189" s="40"/>
      <c r="K189" s="41"/>
    </row>
    <row r="190" spans="2:14" ht="9.75" customHeight="1" x14ac:dyDescent="0.2">
      <c r="B190" s="38"/>
      <c r="C190" s="280" t="str">
        <f>"4:"</f>
        <v>4:</v>
      </c>
      <c r="D190" s="278" t="s">
        <v>926</v>
      </c>
      <c r="E190" s="40"/>
      <c r="F190" s="40"/>
      <c r="G190" s="40"/>
      <c r="H190" s="40"/>
      <c r="I190" s="40"/>
      <c r="J190" s="40"/>
      <c r="K190" s="41"/>
      <c r="N190" s="12" t="s">
        <v>661</v>
      </c>
    </row>
    <row r="191" spans="2:14" x14ac:dyDescent="0.2">
      <c r="B191" s="38"/>
      <c r="C191" s="174" t="s">
        <v>662</v>
      </c>
      <c r="D191" s="40"/>
      <c r="E191" s="40"/>
      <c r="F191" s="40"/>
      <c r="G191" s="40"/>
      <c r="H191" s="40"/>
      <c r="I191" s="40"/>
      <c r="J191" s="265" t="s">
        <v>661</v>
      </c>
      <c r="K191" s="41"/>
      <c r="N191" s="12" t="s">
        <v>894</v>
      </c>
    </row>
    <row r="192" spans="2:14" x14ac:dyDescent="0.2">
      <c r="B192" s="38"/>
      <c r="C192" s="174" t="s">
        <v>660</v>
      </c>
      <c r="D192" s="40"/>
      <c r="E192" s="40"/>
      <c r="F192" s="40"/>
      <c r="G192" s="40"/>
      <c r="H192" s="40"/>
      <c r="I192" s="40"/>
      <c r="J192" s="246" t="str">
        <f>IF(J191=N190,"N/A",IF(J191=N191,0,IF(J191=N192,1,IF(J191=N193,2,IF(J191=N194,3,IF(J191=N195,4,"N/A"))))))</f>
        <v>N/A</v>
      </c>
      <c r="K192" s="41"/>
      <c r="N192" s="12" t="s">
        <v>899</v>
      </c>
    </row>
    <row r="193" spans="2:14" x14ac:dyDescent="0.2">
      <c r="B193" s="38"/>
      <c r="C193" s="40" t="s">
        <v>257</v>
      </c>
      <c r="D193" s="40"/>
      <c r="E193" s="40"/>
      <c r="F193" s="40"/>
      <c r="G193" s="40"/>
      <c r="H193" s="40"/>
      <c r="I193" s="40"/>
      <c r="J193" s="266" t="s">
        <v>870</v>
      </c>
      <c r="K193" s="41"/>
      <c r="N193" s="12" t="s">
        <v>900</v>
      </c>
    </row>
    <row r="194" spans="2:14" x14ac:dyDescent="0.2">
      <c r="B194" s="38"/>
      <c r="C194" s="40" t="s">
        <v>261</v>
      </c>
      <c r="D194" s="40"/>
      <c r="E194" s="40"/>
      <c r="F194" s="40"/>
      <c r="G194" s="40"/>
      <c r="H194" s="40"/>
      <c r="I194" s="40"/>
      <c r="J194" s="245">
        <f>IF(J193=$B$973,$A$973,IF(J193=$B$974,$A$974,IF(J193=$B$975,$A$975,IF(J193=$B$976,$A$976,IF(J193=$B$977,$A$977,"Not Calculated")))))</f>
        <v>0</v>
      </c>
      <c r="K194" s="41"/>
      <c r="N194" s="12" t="s">
        <v>901</v>
      </c>
    </row>
    <row r="195" spans="2:14" x14ac:dyDescent="0.2">
      <c r="B195" s="38"/>
      <c r="C195" s="40" t="s">
        <v>893</v>
      </c>
      <c r="D195" s="40"/>
      <c r="E195" s="40"/>
      <c r="F195" s="40"/>
      <c r="G195" s="40"/>
      <c r="H195" s="40"/>
      <c r="I195" s="40"/>
      <c r="J195" s="40"/>
      <c r="K195" s="41"/>
      <c r="N195" s="12" t="s">
        <v>902</v>
      </c>
    </row>
    <row r="196" spans="2:14" ht="60" customHeight="1" x14ac:dyDescent="0.2">
      <c r="B196" s="38"/>
      <c r="C196" s="399" t="s">
        <v>457</v>
      </c>
      <c r="D196" s="400"/>
      <c r="E196" s="400"/>
      <c r="F196" s="400"/>
      <c r="G196" s="400"/>
      <c r="H196" s="400"/>
      <c r="I196" s="400"/>
      <c r="J196" s="401"/>
      <c r="K196" s="41"/>
    </row>
    <row r="197" spans="2:14" x14ac:dyDescent="0.2">
      <c r="B197" s="38"/>
      <c r="C197" s="40"/>
      <c r="D197" s="40"/>
      <c r="E197" s="40"/>
      <c r="F197" s="40"/>
      <c r="G197" s="40"/>
      <c r="H197" s="40"/>
      <c r="I197" s="40"/>
      <c r="J197" s="40"/>
      <c r="K197" s="41"/>
    </row>
    <row r="198" spans="2:14" x14ac:dyDescent="0.2">
      <c r="B198" s="38"/>
      <c r="C198" s="179" t="s">
        <v>275</v>
      </c>
      <c r="D198" s="40"/>
      <c r="E198" s="40"/>
      <c r="F198" s="40"/>
      <c r="G198" s="40"/>
      <c r="H198" s="40"/>
      <c r="I198" s="40"/>
      <c r="J198" s="245" t="str">
        <f>IF(J192="N/A",IF(OR(J185="Not Calculated",J194="Not Calculated")=TRUE,"Not Calculated",AVERAGE(J185,J194)),AVERAGE(J192,J194))</f>
        <v>Not Calculated</v>
      </c>
      <c r="K198" s="41"/>
    </row>
    <row r="199" spans="2:14" x14ac:dyDescent="0.2">
      <c r="B199" s="38"/>
      <c r="C199" s="40"/>
      <c r="D199" s="40"/>
      <c r="E199" s="40"/>
      <c r="F199" s="40"/>
      <c r="G199" s="40"/>
      <c r="H199" s="40"/>
      <c r="I199" s="40"/>
      <c r="J199" s="40"/>
      <c r="K199" s="41"/>
    </row>
    <row r="200" spans="2:14" x14ac:dyDescent="0.2">
      <c r="B200" s="38"/>
      <c r="C200" s="40"/>
      <c r="D200" s="40"/>
      <c r="E200" s="40"/>
      <c r="F200" s="40"/>
      <c r="G200" s="40"/>
      <c r="H200" s="40"/>
      <c r="I200" s="40"/>
      <c r="J200" s="40"/>
      <c r="K200" s="41"/>
    </row>
    <row r="201" spans="2:14" ht="16" x14ac:dyDescent="0.2">
      <c r="B201" s="38"/>
      <c r="C201" s="45" t="s">
        <v>75</v>
      </c>
      <c r="D201" s="40"/>
      <c r="E201" s="40"/>
      <c r="F201" s="40"/>
      <c r="G201" s="40"/>
      <c r="H201" s="40"/>
      <c r="I201" s="40"/>
      <c r="J201" s="40"/>
      <c r="K201" s="41"/>
    </row>
    <row r="202" spans="2:14" x14ac:dyDescent="0.2">
      <c r="B202" s="38"/>
      <c r="C202" s="40" t="s">
        <v>444</v>
      </c>
      <c r="D202" s="40"/>
      <c r="E202" s="40"/>
      <c r="F202" s="40"/>
      <c r="G202" s="40"/>
      <c r="H202" s="40"/>
      <c r="I202" s="40"/>
      <c r="J202" s="252">
        <f>'Baseline Health'!G65</f>
        <v>0</v>
      </c>
      <c r="K202" s="41"/>
    </row>
    <row r="203" spans="2:14" x14ac:dyDescent="0.2">
      <c r="B203" s="38"/>
      <c r="C203" s="40" t="s">
        <v>282</v>
      </c>
      <c r="D203" s="40"/>
      <c r="E203" s="40"/>
      <c r="F203" s="40"/>
      <c r="G203" s="40"/>
      <c r="H203" s="40"/>
      <c r="I203" s="40"/>
      <c r="J203" s="264">
        <f>J202/2</f>
        <v>0</v>
      </c>
      <c r="K203" s="41"/>
    </row>
    <row r="204" spans="2:14" x14ac:dyDescent="0.2">
      <c r="B204" s="38"/>
      <c r="C204" s="40" t="s">
        <v>355</v>
      </c>
      <c r="D204" s="40"/>
      <c r="E204" s="40"/>
      <c r="F204" s="40"/>
      <c r="G204" s="40"/>
      <c r="H204" s="40"/>
      <c r="I204" s="40"/>
      <c r="J204" s="264">
        <v>0</v>
      </c>
      <c r="K204" s="41"/>
    </row>
    <row r="205" spans="2:14" x14ac:dyDescent="0.2">
      <c r="B205" s="38"/>
      <c r="C205" s="40" t="s">
        <v>260</v>
      </c>
      <c r="D205" s="40"/>
      <c r="E205" s="40"/>
      <c r="F205" s="40"/>
      <c r="G205" s="40"/>
      <c r="H205" s="40"/>
      <c r="I205" s="40"/>
      <c r="J205" s="245" t="str">
        <f>IF(OR(J202=0,J202="Not Calculated")=TRUE,"Not Calculated",IF(J202-J203=0,4,IF(((J202+J204)/(J202-J203))&lt;=1,0,IF(((J202+J204)/(J202-J203))&lt;=1.05,1,IF(((J202+J204)/(J202-J203))&lt;=1.5, 2,IF(((J202+J204)/(J202-J203))&lt;=2,3,4))))))</f>
        <v>Not Calculated</v>
      </c>
      <c r="K205" s="41"/>
    </row>
    <row r="206" spans="2:14" ht="9.75" customHeight="1" x14ac:dyDescent="0.2">
      <c r="B206" s="38"/>
      <c r="C206" s="279" t="str">
        <f>"0:"</f>
        <v>0:</v>
      </c>
      <c r="D206" s="278" t="s">
        <v>918</v>
      </c>
      <c r="E206" s="40"/>
      <c r="F206" s="40"/>
      <c r="G206" s="40"/>
      <c r="H206" s="40"/>
      <c r="I206" s="40"/>
      <c r="J206" s="40"/>
      <c r="K206" s="41"/>
    </row>
    <row r="207" spans="2:14" ht="9.75" customHeight="1" x14ac:dyDescent="0.2">
      <c r="B207" s="38"/>
      <c r="C207" s="280" t="str">
        <f>"1:"</f>
        <v>1:</v>
      </c>
      <c r="D207" s="278" t="s">
        <v>923</v>
      </c>
      <c r="E207" s="40"/>
      <c r="F207" s="40"/>
      <c r="G207" s="40"/>
      <c r="H207" s="40"/>
      <c r="I207" s="40"/>
      <c r="J207" s="40"/>
      <c r="K207" s="41"/>
    </row>
    <row r="208" spans="2:14" ht="9.75" customHeight="1" x14ac:dyDescent="0.2">
      <c r="B208" s="38"/>
      <c r="C208" s="280" t="str">
        <f>"2:"</f>
        <v>2:</v>
      </c>
      <c r="D208" s="278" t="s">
        <v>924</v>
      </c>
      <c r="E208" s="40"/>
      <c r="F208" s="40"/>
      <c r="G208" s="40"/>
      <c r="H208" s="40"/>
      <c r="I208" s="40"/>
      <c r="J208" s="40"/>
      <c r="K208" s="41"/>
    </row>
    <row r="209" spans="2:14" ht="9.75" customHeight="1" x14ac:dyDescent="0.2">
      <c r="B209" s="38"/>
      <c r="C209" s="280" t="str">
        <f>"3:"</f>
        <v>3:</v>
      </c>
      <c r="D209" s="278" t="s">
        <v>925</v>
      </c>
      <c r="E209" s="40"/>
      <c r="F209" s="40"/>
      <c r="G209" s="40"/>
      <c r="H209" s="40"/>
      <c r="I209" s="40"/>
      <c r="J209" s="40"/>
      <c r="K209" s="41"/>
    </row>
    <row r="210" spans="2:14" ht="9.75" customHeight="1" x14ac:dyDescent="0.2">
      <c r="B210" s="38"/>
      <c r="C210" s="280" t="str">
        <f>"4:"</f>
        <v>4:</v>
      </c>
      <c r="D210" s="278" t="s">
        <v>926</v>
      </c>
      <c r="E210" s="40"/>
      <c r="F210" s="40"/>
      <c r="G210" s="40"/>
      <c r="H210" s="40"/>
      <c r="I210" s="40"/>
      <c r="J210" s="40"/>
      <c r="K210" s="41"/>
      <c r="N210" s="12" t="s">
        <v>661</v>
      </c>
    </row>
    <row r="211" spans="2:14" x14ac:dyDescent="0.2">
      <c r="B211" s="38"/>
      <c r="C211" s="174" t="s">
        <v>662</v>
      </c>
      <c r="D211" s="40"/>
      <c r="E211" s="40"/>
      <c r="F211" s="40"/>
      <c r="G211" s="40"/>
      <c r="H211" s="40"/>
      <c r="I211" s="40"/>
      <c r="J211" s="265" t="s">
        <v>661</v>
      </c>
      <c r="K211" s="41"/>
      <c r="N211" s="12" t="s">
        <v>894</v>
      </c>
    </row>
    <row r="212" spans="2:14" x14ac:dyDescent="0.2">
      <c r="B212" s="38"/>
      <c r="C212" s="174" t="s">
        <v>660</v>
      </c>
      <c r="D212" s="40"/>
      <c r="E212" s="40"/>
      <c r="F212" s="40"/>
      <c r="G212" s="40"/>
      <c r="H212" s="40"/>
      <c r="I212" s="40"/>
      <c r="J212" s="246" t="str">
        <f>IF(J211=N210,"N/A",IF(J211=N211,0,IF(J211=N212,1,IF(J211=N213,2,IF(J211=N214,3,IF(J211=N215,4,"N/A"))))))</f>
        <v>N/A</v>
      </c>
      <c r="K212" s="41"/>
      <c r="N212" s="12" t="s">
        <v>899</v>
      </c>
    </row>
    <row r="213" spans="2:14" x14ac:dyDescent="0.2">
      <c r="B213" s="38"/>
      <c r="C213" s="40" t="s">
        <v>257</v>
      </c>
      <c r="D213" s="40"/>
      <c r="E213" s="40"/>
      <c r="F213" s="40"/>
      <c r="G213" s="40"/>
      <c r="H213" s="40"/>
      <c r="I213" s="40"/>
      <c r="J213" s="266" t="s">
        <v>872</v>
      </c>
      <c r="K213" s="41"/>
      <c r="N213" s="12" t="s">
        <v>900</v>
      </c>
    </row>
    <row r="214" spans="2:14" x14ac:dyDescent="0.2">
      <c r="B214" s="38"/>
      <c r="C214" s="40" t="s">
        <v>261</v>
      </c>
      <c r="D214" s="40"/>
      <c r="E214" s="40"/>
      <c r="F214" s="40"/>
      <c r="G214" s="40"/>
      <c r="H214" s="40"/>
      <c r="I214" s="40"/>
      <c r="J214" s="245">
        <f>IF(J213=$B$973,$A$973,IF(J213=$B$974,$A$974,IF(J213=$B$975,$A$975,IF(J213=$B$976,$A$976,IF(J213=$B$977,$A$977,"Not Calculated")))))</f>
        <v>2</v>
      </c>
      <c r="K214" s="41"/>
      <c r="N214" s="12" t="s">
        <v>901</v>
      </c>
    </row>
    <row r="215" spans="2:14" x14ac:dyDescent="0.2">
      <c r="B215" s="38"/>
      <c r="C215" s="40" t="s">
        <v>893</v>
      </c>
      <c r="D215" s="40"/>
      <c r="E215" s="40"/>
      <c r="F215" s="40"/>
      <c r="G215" s="40"/>
      <c r="H215" s="40"/>
      <c r="I215" s="40"/>
      <c r="J215" s="40"/>
      <c r="K215" s="41"/>
      <c r="N215" s="12" t="s">
        <v>902</v>
      </c>
    </row>
    <row r="216" spans="2:14" ht="30" customHeight="1" x14ac:dyDescent="0.2">
      <c r="B216" s="38"/>
      <c r="C216" s="399" t="s">
        <v>458</v>
      </c>
      <c r="D216" s="400"/>
      <c r="E216" s="400"/>
      <c r="F216" s="400"/>
      <c r="G216" s="400"/>
      <c r="H216" s="400"/>
      <c r="I216" s="400"/>
      <c r="J216" s="401"/>
      <c r="K216" s="41"/>
    </row>
    <row r="217" spans="2:14" x14ac:dyDescent="0.2">
      <c r="B217" s="38"/>
      <c r="C217" s="40"/>
      <c r="D217" s="40"/>
      <c r="E217" s="40"/>
      <c r="F217" s="40"/>
      <c r="G217" s="40"/>
      <c r="H217" s="40"/>
      <c r="I217" s="40"/>
      <c r="J217" s="40"/>
      <c r="K217" s="41"/>
    </row>
    <row r="218" spans="2:14" x14ac:dyDescent="0.2">
      <c r="B218" s="38"/>
      <c r="C218" s="179" t="s">
        <v>276</v>
      </c>
      <c r="D218" s="40"/>
      <c r="E218" s="40"/>
      <c r="F218" s="40"/>
      <c r="G218" s="40"/>
      <c r="H218" s="40"/>
      <c r="I218" s="40"/>
      <c r="J218" s="245" t="str">
        <f>IF(J212="N/A",IF(OR(J205="Not Calculated",J214="Not Calculated")=TRUE,"Not Calculated",AVERAGE(J205,J214)),AVERAGE(J212,J214))</f>
        <v>Not Calculated</v>
      </c>
      <c r="K218" s="41"/>
    </row>
    <row r="219" spans="2:14" x14ac:dyDescent="0.2">
      <c r="B219" s="38"/>
      <c r="C219" s="40"/>
      <c r="D219" s="40"/>
      <c r="E219" s="40"/>
      <c r="F219" s="40"/>
      <c r="G219" s="40"/>
      <c r="H219" s="40"/>
      <c r="I219" s="40"/>
      <c r="J219" s="40"/>
      <c r="K219" s="41"/>
    </row>
    <row r="220" spans="2:14" x14ac:dyDescent="0.2">
      <c r="B220" s="38"/>
      <c r="C220" s="40"/>
      <c r="D220" s="40"/>
      <c r="E220" s="40"/>
      <c r="F220" s="40"/>
      <c r="G220" s="40"/>
      <c r="H220" s="40"/>
      <c r="I220" s="40"/>
      <c r="J220" s="40"/>
      <c r="K220" s="41"/>
    </row>
    <row r="221" spans="2:14" ht="16" x14ac:dyDescent="0.2">
      <c r="B221" s="38"/>
      <c r="C221" s="45" t="s">
        <v>76</v>
      </c>
      <c r="D221" s="40"/>
      <c r="E221" s="40"/>
      <c r="F221" s="40"/>
      <c r="G221" s="40"/>
      <c r="H221" s="40"/>
      <c r="I221" s="40"/>
      <c r="J221" s="40"/>
      <c r="K221" s="41"/>
    </row>
    <row r="222" spans="2:14" ht="15" customHeight="1" x14ac:dyDescent="0.2">
      <c r="B222" s="38"/>
      <c r="C222" s="40" t="s">
        <v>356</v>
      </c>
      <c r="D222" s="40"/>
      <c r="E222" s="40"/>
      <c r="F222" s="40"/>
      <c r="G222" s="40"/>
      <c r="H222" s="40"/>
      <c r="I222" s="40"/>
      <c r="J222" s="252">
        <f>'Baseline Health'!G71</f>
        <v>0</v>
      </c>
      <c r="K222" s="41"/>
    </row>
    <row r="223" spans="2:14" x14ac:dyDescent="0.2">
      <c r="B223" s="38"/>
      <c r="C223" s="40" t="s">
        <v>357</v>
      </c>
      <c r="D223" s="40"/>
      <c r="E223" s="40"/>
      <c r="F223" s="40"/>
      <c r="G223" s="40"/>
      <c r="H223" s="40"/>
      <c r="I223" s="40"/>
      <c r="J223" s="264">
        <v>0</v>
      </c>
      <c r="K223" s="41"/>
    </row>
    <row r="224" spans="2:14" x14ac:dyDescent="0.2">
      <c r="B224" s="38"/>
      <c r="C224" s="40" t="s">
        <v>445</v>
      </c>
      <c r="D224" s="40"/>
      <c r="E224" s="40"/>
      <c r="F224" s="40"/>
      <c r="G224" s="40"/>
      <c r="H224" s="40"/>
      <c r="I224" s="40"/>
      <c r="J224" s="251">
        <f>J102</f>
        <v>0</v>
      </c>
      <c r="K224" s="41"/>
    </row>
    <row r="225" spans="2:14" x14ac:dyDescent="0.2">
      <c r="B225" s="38"/>
      <c r="C225" s="40"/>
      <c r="D225" s="40" t="s">
        <v>446</v>
      </c>
      <c r="E225" s="40"/>
      <c r="F225" s="40"/>
      <c r="G225" s="40"/>
      <c r="H225" s="40"/>
      <c r="I225" s="40"/>
      <c r="J225" s="40"/>
      <c r="K225" s="41"/>
    </row>
    <row r="226" spans="2:14" x14ac:dyDescent="0.2">
      <c r="B226" s="38"/>
      <c r="C226" s="40" t="s">
        <v>260</v>
      </c>
      <c r="D226" s="40"/>
      <c r="E226" s="40"/>
      <c r="F226" s="40"/>
      <c r="G226" s="40"/>
      <c r="H226" s="40"/>
      <c r="I226" s="40"/>
      <c r="J226" s="245" t="str">
        <f>IF(OR(J222=0,J222="Not Calculated")=TRUE,"Not Calculated",IF(J222-J223=0,4,IF(((J222+J224)/(J222-J223))&lt;=1,0,IF(((J222+J224)/(J222-J223))&lt;=1.05,1,IF(((J222+J224)/(J222-J223))&lt;=1.5, 2,IF(((J222+J224)/(J222-J223))&lt;=2,3,4))))))</f>
        <v>Not Calculated</v>
      </c>
      <c r="K226" s="41"/>
    </row>
    <row r="227" spans="2:14" ht="9.75" customHeight="1" x14ac:dyDescent="0.2">
      <c r="B227" s="38"/>
      <c r="C227" s="279" t="str">
        <f>"0:"</f>
        <v>0:</v>
      </c>
      <c r="D227" s="278" t="s">
        <v>918</v>
      </c>
      <c r="E227" s="40"/>
      <c r="F227" s="40"/>
      <c r="G227" s="40"/>
      <c r="H227" s="40"/>
      <c r="I227" s="40"/>
      <c r="J227" s="40"/>
      <c r="K227" s="41"/>
    </row>
    <row r="228" spans="2:14" ht="9.75" customHeight="1" x14ac:dyDescent="0.2">
      <c r="B228" s="38"/>
      <c r="C228" s="280" t="str">
        <f>"1:"</f>
        <v>1:</v>
      </c>
      <c r="D228" s="278" t="s">
        <v>923</v>
      </c>
      <c r="E228" s="40"/>
      <c r="F228" s="40"/>
      <c r="G228" s="40"/>
      <c r="H228" s="40"/>
      <c r="I228" s="40"/>
      <c r="J228" s="40"/>
      <c r="K228" s="41"/>
    </row>
    <row r="229" spans="2:14" ht="9.75" customHeight="1" x14ac:dyDescent="0.2">
      <c r="B229" s="38"/>
      <c r="C229" s="280" t="str">
        <f>"2:"</f>
        <v>2:</v>
      </c>
      <c r="D229" s="278" t="s">
        <v>924</v>
      </c>
      <c r="E229" s="40"/>
      <c r="F229" s="40"/>
      <c r="G229" s="40"/>
      <c r="H229" s="40"/>
      <c r="I229" s="40"/>
      <c r="J229" s="40"/>
      <c r="K229" s="41"/>
    </row>
    <row r="230" spans="2:14" ht="9.75" customHeight="1" x14ac:dyDescent="0.2">
      <c r="B230" s="38"/>
      <c r="C230" s="280" t="str">
        <f>"3:"</f>
        <v>3:</v>
      </c>
      <c r="D230" s="278" t="s">
        <v>925</v>
      </c>
      <c r="E230" s="40"/>
      <c r="F230" s="40"/>
      <c r="G230" s="40"/>
      <c r="H230" s="40"/>
      <c r="I230" s="40"/>
      <c r="J230" s="40"/>
      <c r="K230" s="41"/>
    </row>
    <row r="231" spans="2:14" ht="9.75" customHeight="1" x14ac:dyDescent="0.2">
      <c r="B231" s="38"/>
      <c r="C231" s="280" t="str">
        <f>"4:"</f>
        <v>4:</v>
      </c>
      <c r="D231" s="278" t="s">
        <v>926</v>
      </c>
      <c r="E231" s="40"/>
      <c r="F231" s="40"/>
      <c r="G231" s="40"/>
      <c r="H231" s="40"/>
      <c r="I231" s="40"/>
      <c r="J231" s="40"/>
      <c r="K231" s="41"/>
      <c r="N231" s="12" t="s">
        <v>661</v>
      </c>
    </row>
    <row r="232" spans="2:14" x14ac:dyDescent="0.2">
      <c r="B232" s="38"/>
      <c r="C232" s="174" t="s">
        <v>662</v>
      </c>
      <c r="D232" s="40"/>
      <c r="E232" s="40"/>
      <c r="F232" s="40"/>
      <c r="G232" s="40"/>
      <c r="H232" s="40"/>
      <c r="I232" s="40"/>
      <c r="J232" s="265" t="s">
        <v>661</v>
      </c>
      <c r="K232" s="41"/>
      <c r="N232" s="12" t="s">
        <v>894</v>
      </c>
    </row>
    <row r="233" spans="2:14" x14ac:dyDescent="0.2">
      <c r="B233" s="38"/>
      <c r="C233" s="174" t="s">
        <v>660</v>
      </c>
      <c r="D233" s="40"/>
      <c r="E233" s="40"/>
      <c r="F233" s="40"/>
      <c r="G233" s="40"/>
      <c r="H233" s="40"/>
      <c r="I233" s="40"/>
      <c r="J233" s="246" t="str">
        <f>IF(J232=N231,"N/A",IF(J232=N232,0,IF(J232=N233,1,IF(J232=N234,2,IF(J232=N235,3,IF(J232=N236,4,"N/A"))))))</f>
        <v>N/A</v>
      </c>
      <c r="K233" s="41"/>
      <c r="N233" s="12" t="s">
        <v>899</v>
      </c>
    </row>
    <row r="234" spans="2:14" x14ac:dyDescent="0.2">
      <c r="B234" s="38"/>
      <c r="C234" s="40" t="s">
        <v>257</v>
      </c>
      <c r="D234" s="40"/>
      <c r="E234" s="40"/>
      <c r="F234" s="40"/>
      <c r="G234" s="40"/>
      <c r="H234" s="40"/>
      <c r="I234" s="40"/>
      <c r="J234" s="266" t="s">
        <v>870</v>
      </c>
      <c r="K234" s="41"/>
      <c r="N234" s="12" t="s">
        <v>900</v>
      </c>
    </row>
    <row r="235" spans="2:14" x14ac:dyDescent="0.2">
      <c r="B235" s="38"/>
      <c r="C235" s="40" t="s">
        <v>261</v>
      </c>
      <c r="D235" s="40"/>
      <c r="E235" s="40"/>
      <c r="F235" s="40"/>
      <c r="G235" s="40"/>
      <c r="H235" s="40"/>
      <c r="I235" s="40"/>
      <c r="J235" s="245">
        <f>IF(J234=$B$973,$A$973,IF(J234=$B$974,$A$974,IF(J234=$B$975,$A$975,IF(J234=$B$976,$A$976,IF(J234=$B$977,$A$977,"Not Calculated")))))</f>
        <v>0</v>
      </c>
      <c r="K235" s="41"/>
      <c r="N235" s="12" t="s">
        <v>901</v>
      </c>
    </row>
    <row r="236" spans="2:14" x14ac:dyDescent="0.2">
      <c r="B236" s="38"/>
      <c r="C236" s="40" t="s">
        <v>893</v>
      </c>
      <c r="D236" s="40"/>
      <c r="E236" s="40"/>
      <c r="F236" s="40"/>
      <c r="G236" s="40"/>
      <c r="H236" s="40"/>
      <c r="I236" s="40"/>
      <c r="J236" s="40"/>
      <c r="K236" s="41"/>
      <c r="N236" s="12" t="s">
        <v>902</v>
      </c>
    </row>
    <row r="237" spans="2:14" ht="30" customHeight="1" x14ac:dyDescent="0.2">
      <c r="B237" s="38"/>
      <c r="C237" s="399"/>
      <c r="D237" s="400"/>
      <c r="E237" s="400"/>
      <c r="F237" s="400"/>
      <c r="G237" s="400"/>
      <c r="H237" s="400"/>
      <c r="I237" s="400"/>
      <c r="J237" s="401"/>
      <c r="K237" s="41"/>
    </row>
    <row r="238" spans="2:14" x14ac:dyDescent="0.2">
      <c r="B238" s="38"/>
      <c r="C238" s="40"/>
      <c r="D238" s="40"/>
      <c r="E238" s="40"/>
      <c r="F238" s="40"/>
      <c r="G238" s="40"/>
      <c r="H238" s="40"/>
      <c r="I238" s="40"/>
      <c r="J238" s="40"/>
      <c r="K238" s="41"/>
    </row>
    <row r="239" spans="2:14" x14ac:dyDescent="0.2">
      <c r="B239" s="38"/>
      <c r="C239" s="179" t="s">
        <v>277</v>
      </c>
      <c r="D239" s="40"/>
      <c r="E239" s="40"/>
      <c r="F239" s="40"/>
      <c r="G239" s="40"/>
      <c r="H239" s="40"/>
      <c r="I239" s="40"/>
      <c r="J239" s="245" t="str">
        <f>IF(J233="N/A",IF(OR(J226="Not Calculated",J235="Not Calculated")=TRUE,"Not Calculated",AVERAGE(J226,J235)),AVERAGE(J233,J235))</f>
        <v>Not Calculated</v>
      </c>
      <c r="K239" s="41"/>
    </row>
    <row r="240" spans="2:14" x14ac:dyDescent="0.2">
      <c r="B240" s="38"/>
      <c r="C240" s="40"/>
      <c r="D240" s="40"/>
      <c r="E240" s="40"/>
      <c r="F240" s="40"/>
      <c r="G240" s="40"/>
      <c r="H240" s="40"/>
      <c r="I240" s="40"/>
      <c r="J240" s="40"/>
      <c r="K240" s="41"/>
    </row>
    <row r="241" spans="2:14" x14ac:dyDescent="0.2">
      <c r="B241" s="38"/>
      <c r="C241" s="40"/>
      <c r="D241" s="40"/>
      <c r="E241" s="40"/>
      <c r="F241" s="40"/>
      <c r="G241" s="40"/>
      <c r="H241" s="40"/>
      <c r="I241" s="40"/>
      <c r="J241" s="40"/>
      <c r="K241" s="41"/>
    </row>
    <row r="242" spans="2:14" ht="16" x14ac:dyDescent="0.2">
      <c r="B242" s="38"/>
      <c r="C242" s="45" t="s">
        <v>278</v>
      </c>
      <c r="D242" s="40"/>
      <c r="E242" s="40"/>
      <c r="F242" s="40"/>
      <c r="G242" s="40"/>
      <c r="H242" s="40"/>
      <c r="I242" s="40"/>
      <c r="J242" s="40"/>
      <c r="K242" s="41"/>
    </row>
    <row r="243" spans="2:14" ht="15" customHeight="1" x14ac:dyDescent="0.2">
      <c r="B243" s="38"/>
      <c r="C243" s="40" t="s">
        <v>447</v>
      </c>
      <c r="D243" s="40"/>
      <c r="E243" s="40"/>
      <c r="F243" s="40"/>
      <c r="G243" s="40"/>
      <c r="H243" s="40"/>
      <c r="I243" s="40"/>
      <c r="J243" s="254">
        <f>'Baseline Health'!G77</f>
        <v>0</v>
      </c>
      <c r="K243" s="41"/>
    </row>
    <row r="244" spans="2:14" x14ac:dyDescent="0.2">
      <c r="B244" s="38"/>
      <c r="C244" s="40" t="s">
        <v>358</v>
      </c>
      <c r="D244" s="40"/>
      <c r="E244" s="40"/>
      <c r="F244" s="40"/>
      <c r="G244" s="40"/>
      <c r="H244" s="40"/>
      <c r="I244" s="40"/>
      <c r="J244" s="264">
        <f>J243/2</f>
        <v>0</v>
      </c>
      <c r="K244" s="41"/>
    </row>
    <row r="245" spans="2:14" x14ac:dyDescent="0.2">
      <c r="B245" s="38"/>
      <c r="C245" s="40" t="s">
        <v>360</v>
      </c>
      <c r="D245" s="291"/>
      <c r="E245" s="291"/>
      <c r="F245" s="291"/>
      <c r="G245" s="291"/>
      <c r="H245" s="291"/>
      <c r="I245" s="291"/>
      <c r="J245" s="264">
        <f>-(J243/2)</f>
        <v>0</v>
      </c>
      <c r="K245" s="41"/>
    </row>
    <row r="246" spans="2:14" x14ac:dyDescent="0.2">
      <c r="B246" s="38"/>
      <c r="C246" s="40" t="s">
        <v>260</v>
      </c>
      <c r="D246" s="40"/>
      <c r="E246" s="40"/>
      <c r="F246" s="40"/>
      <c r="G246" s="40"/>
      <c r="H246" s="40"/>
      <c r="I246" s="40"/>
      <c r="J246" s="245" t="str">
        <f>IF(OR(J243=0,J243="Not Calculated")=TRUE,"Not Calculated",IF(J243-J244=0,4,(IF(((J243+J245)/(J243-J244))&lt;=1,0,IF(((J243+J245)/(J243-J244))&lt;=1.05,1,IF(((J243+J245)/(J243-J244))&lt;=1.5,2,IF(((J243+J245)/(J243-J244))&lt;=2,3,4)))))))</f>
        <v>Not Calculated</v>
      </c>
      <c r="K246" s="41"/>
    </row>
    <row r="247" spans="2:14" ht="9.75" customHeight="1" x14ac:dyDescent="0.2">
      <c r="B247" s="38"/>
      <c r="C247" s="279" t="str">
        <f>"0:"</f>
        <v>0:</v>
      </c>
      <c r="D247" s="278" t="s">
        <v>918</v>
      </c>
      <c r="E247" s="40"/>
      <c r="F247" s="40"/>
      <c r="G247" s="40"/>
      <c r="H247" s="40"/>
      <c r="I247" s="40"/>
      <c r="J247" s="40"/>
      <c r="K247" s="41"/>
    </row>
    <row r="248" spans="2:14" ht="9.75" customHeight="1" x14ac:dyDescent="0.2">
      <c r="B248" s="38"/>
      <c r="C248" s="280" t="str">
        <f>"1:"</f>
        <v>1:</v>
      </c>
      <c r="D248" s="278" t="s">
        <v>923</v>
      </c>
      <c r="E248" s="40"/>
      <c r="F248" s="40"/>
      <c r="G248" s="40"/>
      <c r="H248" s="40"/>
      <c r="I248" s="40"/>
      <c r="J248" s="40"/>
      <c r="K248" s="41"/>
    </row>
    <row r="249" spans="2:14" ht="9.75" customHeight="1" x14ac:dyDescent="0.2">
      <c r="B249" s="38"/>
      <c r="C249" s="280" t="str">
        <f>"2:"</f>
        <v>2:</v>
      </c>
      <c r="D249" s="278" t="s">
        <v>924</v>
      </c>
      <c r="E249" s="40"/>
      <c r="F249" s="40"/>
      <c r="G249" s="40"/>
      <c r="H249" s="40"/>
      <c r="I249" s="40"/>
      <c r="J249" s="40"/>
      <c r="K249" s="41"/>
    </row>
    <row r="250" spans="2:14" ht="9.75" customHeight="1" x14ac:dyDescent="0.2">
      <c r="B250" s="38"/>
      <c r="C250" s="280" t="str">
        <f>"3:"</f>
        <v>3:</v>
      </c>
      <c r="D250" s="278" t="s">
        <v>925</v>
      </c>
      <c r="E250" s="40"/>
      <c r="F250" s="40"/>
      <c r="G250" s="40"/>
      <c r="H250" s="40"/>
      <c r="I250" s="40"/>
      <c r="J250" s="40"/>
      <c r="K250" s="41"/>
    </row>
    <row r="251" spans="2:14" ht="9.75" customHeight="1" x14ac:dyDescent="0.2">
      <c r="B251" s="38"/>
      <c r="C251" s="280" t="str">
        <f>"4:"</f>
        <v>4:</v>
      </c>
      <c r="D251" s="278" t="s">
        <v>926</v>
      </c>
      <c r="E251" s="40"/>
      <c r="F251" s="40"/>
      <c r="G251" s="40"/>
      <c r="H251" s="40"/>
      <c r="I251" s="40"/>
      <c r="J251" s="40"/>
      <c r="K251" s="41"/>
      <c r="N251" s="12" t="s">
        <v>661</v>
      </c>
    </row>
    <row r="252" spans="2:14" x14ac:dyDescent="0.2">
      <c r="B252" s="38"/>
      <c r="C252" s="174" t="s">
        <v>662</v>
      </c>
      <c r="D252" s="40"/>
      <c r="E252" s="40"/>
      <c r="F252" s="40"/>
      <c r="G252" s="40"/>
      <c r="H252" s="40"/>
      <c r="I252" s="40"/>
      <c r="J252" s="265" t="s">
        <v>661</v>
      </c>
      <c r="K252" s="41"/>
      <c r="N252" s="12" t="s">
        <v>894</v>
      </c>
    </row>
    <row r="253" spans="2:14" x14ac:dyDescent="0.2">
      <c r="B253" s="38"/>
      <c r="C253" s="174" t="s">
        <v>660</v>
      </c>
      <c r="D253" s="40"/>
      <c r="E253" s="40"/>
      <c r="F253" s="40"/>
      <c r="G253" s="40"/>
      <c r="H253" s="40"/>
      <c r="I253" s="40"/>
      <c r="J253" s="246" t="str">
        <f>IF(J252=N251,"N/A",IF(J252=N252,0,IF(J252=N253,1,IF(J252=N254,2,IF(J252=N255,3,IF(J252=N256,4,"N/A"))))))</f>
        <v>N/A</v>
      </c>
      <c r="K253" s="41"/>
      <c r="N253" s="12" t="s">
        <v>899</v>
      </c>
    </row>
    <row r="254" spans="2:14" x14ac:dyDescent="0.2">
      <c r="B254" s="38"/>
      <c r="C254" s="40" t="s">
        <v>257</v>
      </c>
      <c r="D254" s="40"/>
      <c r="E254" s="40"/>
      <c r="F254" s="40"/>
      <c r="G254" s="40"/>
      <c r="H254" s="40"/>
      <c r="I254" s="40"/>
      <c r="J254" s="266" t="s">
        <v>870</v>
      </c>
      <c r="K254" s="41"/>
      <c r="N254" s="12" t="s">
        <v>900</v>
      </c>
    </row>
    <row r="255" spans="2:14" x14ac:dyDescent="0.2">
      <c r="B255" s="38"/>
      <c r="C255" s="40" t="s">
        <v>261</v>
      </c>
      <c r="D255" s="40"/>
      <c r="E255" s="40"/>
      <c r="F255" s="40"/>
      <c r="G255" s="40"/>
      <c r="H255" s="40"/>
      <c r="I255" s="40"/>
      <c r="J255" s="245">
        <f>IF(J254=$B$973,$A$973,IF(J254=$B$974,$A$974,IF(J254=$B$975,$A$975,IF(J254=$B$976,$A$976,IF(J254=$B$977,$A$977,"Not Calculated")))))</f>
        <v>0</v>
      </c>
      <c r="K255" s="41"/>
      <c r="N255" s="12" t="s">
        <v>901</v>
      </c>
    </row>
    <row r="256" spans="2:14" x14ac:dyDescent="0.2">
      <c r="B256" s="38"/>
      <c r="C256" s="40" t="s">
        <v>893</v>
      </c>
      <c r="D256" s="40"/>
      <c r="E256" s="40"/>
      <c r="F256" s="40"/>
      <c r="G256" s="40"/>
      <c r="H256" s="40"/>
      <c r="I256" s="40"/>
      <c r="J256" s="40"/>
      <c r="K256" s="41"/>
      <c r="N256" s="12" t="s">
        <v>902</v>
      </c>
    </row>
    <row r="257" spans="2:11" ht="30" customHeight="1" x14ac:dyDescent="0.2">
      <c r="B257" s="38"/>
      <c r="C257" s="399" t="s">
        <v>459</v>
      </c>
      <c r="D257" s="400"/>
      <c r="E257" s="400"/>
      <c r="F257" s="400"/>
      <c r="G257" s="400"/>
      <c r="H257" s="400"/>
      <c r="I257" s="400"/>
      <c r="J257" s="401"/>
      <c r="K257" s="41"/>
    </row>
    <row r="258" spans="2:11" x14ac:dyDescent="0.2">
      <c r="B258" s="38"/>
      <c r="C258" s="40"/>
      <c r="D258" s="40"/>
      <c r="E258" s="40"/>
      <c r="F258" s="40"/>
      <c r="G258" s="40"/>
      <c r="H258" s="40"/>
      <c r="I258" s="40"/>
      <c r="J258" s="40"/>
      <c r="K258" s="41"/>
    </row>
    <row r="259" spans="2:11" x14ac:dyDescent="0.2">
      <c r="B259" s="38"/>
      <c r="C259" s="179" t="s">
        <v>279</v>
      </c>
      <c r="D259" s="40"/>
      <c r="E259" s="40"/>
      <c r="F259" s="40"/>
      <c r="G259" s="40"/>
      <c r="H259" s="40"/>
      <c r="I259" s="40"/>
      <c r="J259" s="245" t="str">
        <f>IF(J253="N/A",IF(OR(J246="Not Calculated",J255="Not Calculated")=TRUE,"Not Calculated",AVERAGE(J246,J255)),AVERAGE(J253,J255))</f>
        <v>Not Calculated</v>
      </c>
      <c r="K259" s="41"/>
    </row>
    <row r="260" spans="2:11" x14ac:dyDescent="0.2">
      <c r="B260" s="38"/>
      <c r="C260" s="40"/>
      <c r="D260" s="40"/>
      <c r="E260" s="40"/>
      <c r="F260" s="40"/>
      <c r="G260" s="40"/>
      <c r="H260" s="40"/>
      <c r="I260" s="40"/>
      <c r="J260" s="40"/>
      <c r="K260" s="41"/>
    </row>
    <row r="261" spans="2:11" ht="18" x14ac:dyDescent="0.2">
      <c r="B261" s="38"/>
      <c r="C261" s="180" t="s">
        <v>272</v>
      </c>
      <c r="D261" s="40"/>
      <c r="E261" s="40"/>
      <c r="F261" s="40"/>
      <c r="G261" s="40"/>
      <c r="H261" s="40"/>
      <c r="I261" s="40"/>
      <c r="J261" s="244" t="str">
        <f>IF(OR(J157="Not Calculated",J178="Not Calculated",J198="Not Calculated",J218="Not Calculated",J239="Not Calculated",J259="Not Calculated",)=TRUE,"Not Calculated",AVERAGE(J157,J178,J198,J218,J239,J259))</f>
        <v>Not Calculated</v>
      </c>
      <c r="K261" s="41"/>
    </row>
    <row r="262" spans="2:11" ht="16" thickBot="1" x14ac:dyDescent="0.25">
      <c r="B262" s="46"/>
      <c r="C262" s="47"/>
      <c r="D262" s="47"/>
      <c r="E262" s="47"/>
      <c r="F262" s="47"/>
      <c r="G262" s="47"/>
      <c r="H262" s="47"/>
      <c r="I262" s="47"/>
      <c r="J262" s="47"/>
      <c r="K262" s="49"/>
    </row>
    <row r="263" spans="2:11" ht="16" thickBot="1" x14ac:dyDescent="0.25"/>
    <row r="264" spans="2:11" x14ac:dyDescent="0.2">
      <c r="B264" s="33"/>
      <c r="C264" s="34"/>
      <c r="D264" s="34"/>
      <c r="E264" s="34"/>
      <c r="F264" s="34"/>
      <c r="G264" s="34"/>
      <c r="H264" s="34"/>
      <c r="I264" s="34"/>
      <c r="J264" s="34"/>
      <c r="K264" s="37"/>
    </row>
    <row r="265" spans="2:11" ht="21" x14ac:dyDescent="0.25">
      <c r="B265" s="38"/>
      <c r="C265" s="40"/>
      <c r="D265" s="40"/>
      <c r="E265" s="40"/>
      <c r="F265" s="40"/>
      <c r="G265" s="172" t="s">
        <v>864</v>
      </c>
      <c r="H265" s="40"/>
      <c r="I265" s="40"/>
      <c r="J265" s="40"/>
      <c r="K265" s="41"/>
    </row>
    <row r="266" spans="2:11" ht="15" customHeight="1" x14ac:dyDescent="0.2">
      <c r="B266" s="38"/>
      <c r="C266" s="40"/>
      <c r="D266" s="40"/>
      <c r="E266" s="40"/>
      <c r="F266" s="40"/>
      <c r="G266" s="40"/>
      <c r="H266" s="40"/>
      <c r="I266" s="40"/>
      <c r="J266" s="40"/>
      <c r="K266" s="41"/>
    </row>
    <row r="267" spans="2:11" ht="16" x14ac:dyDescent="0.2">
      <c r="B267" s="38"/>
      <c r="C267" s="45" t="s">
        <v>80</v>
      </c>
      <c r="D267" s="40"/>
      <c r="E267" s="40"/>
      <c r="F267" s="40"/>
      <c r="G267" s="40"/>
      <c r="H267" s="40"/>
      <c r="I267" s="40"/>
      <c r="J267" s="40"/>
      <c r="K267" s="41"/>
    </row>
    <row r="268" spans="2:11" x14ac:dyDescent="0.2">
      <c r="B268" s="38"/>
      <c r="C268" s="40" t="s">
        <v>283</v>
      </c>
      <c r="D268" s="40"/>
      <c r="E268" s="40"/>
      <c r="F268" s="40"/>
      <c r="G268" s="40"/>
      <c r="H268" s="40"/>
      <c r="I268" s="40"/>
      <c r="J268" s="250">
        <f>'Baseline Health'!G88</f>
        <v>0</v>
      </c>
      <c r="K268" s="41"/>
    </row>
    <row r="269" spans="2:11" x14ac:dyDescent="0.2">
      <c r="B269" s="38"/>
      <c r="C269" s="40" t="s">
        <v>284</v>
      </c>
      <c r="D269" s="40"/>
      <c r="E269" s="40"/>
      <c r="F269" s="40"/>
      <c r="G269" s="40"/>
      <c r="H269" s="40"/>
      <c r="I269" s="40"/>
      <c r="J269" s="264">
        <f>J268/2</f>
        <v>0</v>
      </c>
      <c r="K269" s="41"/>
    </row>
    <row r="270" spans="2:11" x14ac:dyDescent="0.2">
      <c r="B270" s="38"/>
      <c r="C270" s="40" t="s">
        <v>285</v>
      </c>
      <c r="D270" s="40"/>
      <c r="E270" s="40"/>
      <c r="F270" s="40"/>
      <c r="G270" s="40"/>
      <c r="H270" s="40"/>
      <c r="I270" s="40"/>
      <c r="J270" s="259">
        <f>'Baseline Health'!G93</f>
        <v>0</v>
      </c>
      <c r="K270" s="41"/>
    </row>
    <row r="271" spans="2:11" x14ac:dyDescent="0.2">
      <c r="B271" s="38"/>
      <c r="C271" s="40" t="s">
        <v>286</v>
      </c>
      <c r="D271" s="40"/>
      <c r="E271" s="40"/>
      <c r="F271" s="40"/>
      <c r="G271" s="40"/>
      <c r="H271" s="40"/>
      <c r="I271" s="40"/>
      <c r="J271" s="250">
        <f>J184</f>
        <v>0</v>
      </c>
      <c r="K271" s="41"/>
    </row>
    <row r="272" spans="2:11" x14ac:dyDescent="0.2">
      <c r="B272" s="38"/>
      <c r="C272" s="40"/>
      <c r="D272" s="40" t="s">
        <v>432</v>
      </c>
      <c r="E272" s="40"/>
      <c r="F272" s="40"/>
      <c r="G272" s="40"/>
      <c r="H272" s="40"/>
      <c r="I272" s="40"/>
      <c r="J272" s="40"/>
      <c r="K272" s="41"/>
    </row>
    <row r="273" spans="2:14" x14ac:dyDescent="0.2">
      <c r="B273" s="38"/>
      <c r="C273" s="40" t="s">
        <v>292</v>
      </c>
      <c r="D273" s="40"/>
      <c r="E273" s="40"/>
      <c r="F273" s="40"/>
      <c r="G273" s="40"/>
      <c r="H273" s="40"/>
      <c r="I273" s="40"/>
      <c r="J273" s="258" t="str">
        <f>'Baseline Health'!G97</f>
        <v>N/A</v>
      </c>
      <c r="K273" s="41"/>
    </row>
    <row r="274" spans="2:14" x14ac:dyDescent="0.2">
      <c r="B274" s="38"/>
      <c r="C274" s="40" t="s">
        <v>293</v>
      </c>
      <c r="D274" s="40"/>
      <c r="E274" s="40"/>
      <c r="F274" s="40"/>
      <c r="G274" s="40"/>
      <c r="H274" s="40"/>
      <c r="I274" s="40"/>
      <c r="J274" s="258" t="str">
        <f>IF(J273="N/A","N/A",IF(J268-J269=0,"No Nurses",((J270+J271)/(J268-J269))))</f>
        <v>N/A</v>
      </c>
      <c r="K274" s="41"/>
    </row>
    <row r="275" spans="2:14" x14ac:dyDescent="0.2">
      <c r="B275" s="38"/>
      <c r="C275" s="40" t="s">
        <v>260</v>
      </c>
      <c r="D275" s="40"/>
      <c r="E275" s="40"/>
      <c r="F275" s="40"/>
      <c r="G275" s="40"/>
      <c r="H275" s="40"/>
      <c r="I275" s="40"/>
      <c r="J275" s="245">
        <f>IF(J273=0,"Not Calculated",IF(J274="N/A",0,IF(J274="No Nurses",4,IF((J274/J273)&lt;=1,0,IF((J274/J273)&lt;=1.1,1,IF((J274/J273)&lt;=1=1.25,2,IF((J274/J273)&lt;=1.5,3,4)))))))</f>
        <v>0</v>
      </c>
      <c r="K275" s="41"/>
    </row>
    <row r="276" spans="2:14" ht="9.75" customHeight="1" x14ac:dyDescent="0.2">
      <c r="B276" s="38"/>
      <c r="C276" s="279" t="str">
        <f>"0:"</f>
        <v>0:</v>
      </c>
      <c r="D276" s="278" t="s">
        <v>927</v>
      </c>
      <c r="E276" s="40"/>
      <c r="F276" s="40"/>
      <c r="G276" s="40"/>
      <c r="H276" s="40"/>
      <c r="I276" s="40"/>
      <c r="J276" s="258"/>
      <c r="K276" s="41"/>
    </row>
    <row r="277" spans="2:14" ht="9.75" customHeight="1" x14ac:dyDescent="0.2">
      <c r="B277" s="38"/>
      <c r="C277" s="280" t="str">
        <f>"1:"</f>
        <v>1:</v>
      </c>
      <c r="D277" s="278" t="s">
        <v>928</v>
      </c>
      <c r="E277" s="40"/>
      <c r="F277" s="40"/>
      <c r="G277" s="40"/>
      <c r="H277" s="40"/>
      <c r="I277" s="40"/>
      <c r="J277" s="258"/>
      <c r="K277" s="41"/>
    </row>
    <row r="278" spans="2:14" ht="9.75" customHeight="1" x14ac:dyDescent="0.2">
      <c r="B278" s="38"/>
      <c r="C278" s="280" t="str">
        <f>"2:"</f>
        <v>2:</v>
      </c>
      <c r="D278" s="278" t="s">
        <v>929</v>
      </c>
      <c r="E278" s="40"/>
      <c r="F278" s="40"/>
      <c r="G278" s="40"/>
      <c r="H278" s="40"/>
      <c r="I278" s="40"/>
      <c r="J278" s="258"/>
      <c r="K278" s="41"/>
    </row>
    <row r="279" spans="2:14" ht="9.75" customHeight="1" x14ac:dyDescent="0.2">
      <c r="B279" s="38"/>
      <c r="C279" s="280" t="str">
        <f>"3:"</f>
        <v>3:</v>
      </c>
      <c r="D279" s="278" t="s">
        <v>930</v>
      </c>
      <c r="E279" s="40"/>
      <c r="F279" s="40"/>
      <c r="G279" s="40"/>
      <c r="H279" s="40"/>
      <c r="I279" s="40"/>
      <c r="J279" s="258"/>
      <c r="K279" s="41"/>
    </row>
    <row r="280" spans="2:14" ht="9.75" customHeight="1" x14ac:dyDescent="0.2">
      <c r="B280" s="38"/>
      <c r="C280" s="280" t="str">
        <f>"4:"</f>
        <v>4:</v>
      </c>
      <c r="D280" s="278" t="s">
        <v>931</v>
      </c>
      <c r="E280" s="40"/>
      <c r="F280" s="40"/>
      <c r="G280" s="40"/>
      <c r="H280" s="40"/>
      <c r="I280" s="40"/>
      <c r="J280" s="40"/>
      <c r="K280" s="41"/>
      <c r="N280" s="12" t="s">
        <v>661</v>
      </c>
    </row>
    <row r="281" spans="2:14" x14ac:dyDescent="0.2">
      <c r="B281" s="38"/>
      <c r="C281" s="174" t="s">
        <v>662</v>
      </c>
      <c r="D281" s="40"/>
      <c r="E281" s="40"/>
      <c r="F281" s="40"/>
      <c r="G281" s="40"/>
      <c r="H281" s="40"/>
      <c r="I281" s="40"/>
      <c r="J281" s="265" t="s">
        <v>661</v>
      </c>
      <c r="K281" s="41"/>
      <c r="N281" s="12" t="s">
        <v>903</v>
      </c>
    </row>
    <row r="282" spans="2:14" x14ac:dyDescent="0.2">
      <c r="B282" s="38"/>
      <c r="C282" s="174" t="s">
        <v>660</v>
      </c>
      <c r="D282" s="40"/>
      <c r="E282" s="40"/>
      <c r="F282" s="40"/>
      <c r="G282" s="40"/>
      <c r="H282" s="40"/>
      <c r="I282" s="40"/>
      <c r="J282" s="246" t="str">
        <f>IF(J281=N280,"N/A",IF(J281=N281,0,IF(J281=N282,1,IF(J281=N283,2,IF(J281=N284,3,IF(J281=N285,4,"N/A"))))))</f>
        <v>N/A</v>
      </c>
      <c r="K282" s="41"/>
      <c r="N282" s="12" t="s">
        <v>904</v>
      </c>
    </row>
    <row r="283" spans="2:14" x14ac:dyDescent="0.2">
      <c r="B283" s="38"/>
      <c r="C283" s="40" t="s">
        <v>257</v>
      </c>
      <c r="D283" s="40"/>
      <c r="E283" s="40"/>
      <c r="F283" s="40"/>
      <c r="G283" s="40"/>
      <c r="H283" s="40"/>
      <c r="I283" s="40"/>
      <c r="J283" s="266" t="s">
        <v>872</v>
      </c>
      <c r="K283" s="41"/>
      <c r="N283" s="12" t="s">
        <v>905</v>
      </c>
    </row>
    <row r="284" spans="2:14" x14ac:dyDescent="0.2">
      <c r="B284" s="38"/>
      <c r="C284" s="40" t="s">
        <v>261</v>
      </c>
      <c r="D284" s="40"/>
      <c r="E284" s="40"/>
      <c r="F284" s="40"/>
      <c r="G284" s="40"/>
      <c r="H284" s="40"/>
      <c r="I284" s="40"/>
      <c r="J284" s="248">
        <f>IF(J283=$B$973,$A$973,IF(J283=$B$974,$A$974,IF(J283=$B$975,$A$975,IF(J283=$B$976,$A$976,IF(J283=$B$977,$A$977,"Not Calculated")))))</f>
        <v>2</v>
      </c>
      <c r="K284" s="41"/>
      <c r="N284" s="12" t="s">
        <v>906</v>
      </c>
    </row>
    <row r="285" spans="2:14" x14ac:dyDescent="0.2">
      <c r="B285" s="38"/>
      <c r="C285" s="40" t="s">
        <v>893</v>
      </c>
      <c r="D285" s="40"/>
      <c r="E285" s="40"/>
      <c r="F285" s="40"/>
      <c r="G285" s="40"/>
      <c r="H285" s="40"/>
      <c r="I285" s="40"/>
      <c r="J285" s="40"/>
      <c r="K285" s="41"/>
      <c r="N285" s="12" t="s">
        <v>907</v>
      </c>
    </row>
    <row r="286" spans="2:14" ht="30" customHeight="1" x14ac:dyDescent="0.2">
      <c r="B286" s="38"/>
      <c r="C286" s="399" t="s">
        <v>460</v>
      </c>
      <c r="D286" s="400"/>
      <c r="E286" s="400"/>
      <c r="F286" s="400"/>
      <c r="G286" s="400"/>
      <c r="H286" s="400"/>
      <c r="I286" s="400"/>
      <c r="J286" s="401"/>
      <c r="K286" s="41"/>
    </row>
    <row r="287" spans="2:14" x14ac:dyDescent="0.2">
      <c r="B287" s="38"/>
      <c r="C287" s="40"/>
      <c r="D287" s="40"/>
      <c r="E287" s="40"/>
      <c r="F287" s="40"/>
      <c r="G287" s="40"/>
      <c r="H287" s="40"/>
      <c r="I287" s="40"/>
      <c r="J287" s="40"/>
      <c r="K287" s="41"/>
    </row>
    <row r="288" spans="2:14" x14ac:dyDescent="0.2">
      <c r="B288" s="38"/>
      <c r="C288" s="179" t="s">
        <v>295</v>
      </c>
      <c r="D288" s="40"/>
      <c r="E288" s="40"/>
      <c r="F288" s="40"/>
      <c r="G288" s="40"/>
      <c r="H288" s="40"/>
      <c r="I288" s="40"/>
      <c r="J288" s="245">
        <f>IF(J282="N/A",IF(OR(J275="Not Calculated",J284="Not Calculated")=TRUE,"Not Calculated",AVERAGE(J275,J284)),AVERAGE(J282,J284))</f>
        <v>1</v>
      </c>
      <c r="K288" s="41"/>
    </row>
    <row r="289" spans="2:11" x14ac:dyDescent="0.2">
      <c r="B289" s="38"/>
      <c r="C289" s="40"/>
      <c r="D289" s="40"/>
      <c r="E289" s="40"/>
      <c r="F289" s="40"/>
      <c r="G289" s="40"/>
      <c r="H289" s="40"/>
      <c r="I289" s="40"/>
      <c r="J289" s="245"/>
      <c r="K289" s="41"/>
    </row>
    <row r="290" spans="2:11" x14ac:dyDescent="0.2">
      <c r="B290" s="38"/>
      <c r="C290" s="40"/>
      <c r="D290" s="40"/>
      <c r="E290" s="40"/>
      <c r="F290" s="40"/>
      <c r="G290" s="40"/>
      <c r="H290" s="40"/>
      <c r="I290" s="40"/>
      <c r="J290" s="40"/>
      <c r="K290" s="41"/>
    </row>
    <row r="291" spans="2:11" ht="16" x14ac:dyDescent="0.2">
      <c r="B291" s="38"/>
      <c r="C291" s="45" t="s">
        <v>856</v>
      </c>
      <c r="D291" s="40"/>
      <c r="E291" s="40"/>
      <c r="F291" s="40"/>
      <c r="G291" s="40"/>
      <c r="H291" s="40"/>
      <c r="I291" s="40"/>
      <c r="J291" s="40"/>
      <c r="K291" s="41"/>
    </row>
    <row r="292" spans="2:11" x14ac:dyDescent="0.2">
      <c r="B292" s="38"/>
      <c r="C292" s="380" t="s">
        <v>855</v>
      </c>
      <c r="D292" s="380"/>
      <c r="E292" s="380"/>
      <c r="F292" s="380"/>
      <c r="G292" s="380"/>
      <c r="H292" s="380"/>
      <c r="I292" s="380"/>
      <c r="J292" s="40"/>
      <c r="K292" s="41"/>
    </row>
    <row r="293" spans="2:11" x14ac:dyDescent="0.2">
      <c r="B293" s="38"/>
      <c r="C293" s="380"/>
      <c r="D293" s="380"/>
      <c r="E293" s="380"/>
      <c r="F293" s="380"/>
      <c r="G293" s="380"/>
      <c r="H293" s="380"/>
      <c r="I293" s="380"/>
      <c r="J293" s="264">
        <v>0</v>
      </c>
      <c r="K293" s="41"/>
    </row>
    <row r="294" spans="2:11" x14ac:dyDescent="0.2">
      <c r="B294" s="38"/>
      <c r="C294" s="40" t="s">
        <v>853</v>
      </c>
      <c r="D294" s="291"/>
      <c r="E294" s="291"/>
      <c r="F294" s="291"/>
      <c r="G294" s="291"/>
      <c r="H294" s="291"/>
      <c r="I294" s="291"/>
      <c r="J294" s="255">
        <f>'Baseline Health'!$G$102</f>
        <v>0</v>
      </c>
      <c r="K294" s="41"/>
    </row>
    <row r="295" spans="2:11" x14ac:dyDescent="0.2">
      <c r="B295" s="38"/>
      <c r="C295" s="40" t="s">
        <v>842</v>
      </c>
      <c r="D295" s="40"/>
      <c r="E295" s="40"/>
      <c r="F295" s="40"/>
      <c r="G295" s="40"/>
      <c r="H295" s="40"/>
      <c r="I295" s="40"/>
      <c r="J295" s="244" t="str">
        <f>IF('Baseline Health'!$G$102=0,"Not Calculated",100*J293/'Baseline Health'!$G$102)</f>
        <v>Not Calculated</v>
      </c>
      <c r="K295" s="41"/>
    </row>
    <row r="296" spans="2:11" x14ac:dyDescent="0.2">
      <c r="B296" s="38"/>
      <c r="C296" s="40" t="s">
        <v>260</v>
      </c>
      <c r="D296" s="40"/>
      <c r="E296" s="40"/>
      <c r="F296" s="40"/>
      <c r="G296" s="40"/>
      <c r="H296" s="40"/>
      <c r="I296" s="40"/>
      <c r="J296" s="245">
        <f>IF(J295&lt;=0,0,IF(J295&lt;=1,1,IF(J295&lt;=5,2,IF(J295&lt;=10,3,4))))</f>
        <v>4</v>
      </c>
      <c r="K296" s="41"/>
    </row>
    <row r="297" spans="2:11" ht="9.75" customHeight="1" x14ac:dyDescent="0.2">
      <c r="B297" s="38"/>
      <c r="C297" s="279" t="str">
        <f>"0:"</f>
        <v>0:</v>
      </c>
      <c r="D297" s="278" t="s">
        <v>932</v>
      </c>
      <c r="E297" s="40"/>
      <c r="F297" s="40"/>
      <c r="G297" s="40"/>
      <c r="H297" s="40"/>
      <c r="I297" s="40"/>
      <c r="J297" s="244"/>
      <c r="K297" s="41"/>
    </row>
    <row r="298" spans="2:11" ht="9.75" customHeight="1" x14ac:dyDescent="0.2">
      <c r="B298" s="38"/>
      <c r="C298" s="280" t="str">
        <f>"1:"</f>
        <v>1:</v>
      </c>
      <c r="D298" s="278" t="s">
        <v>934</v>
      </c>
      <c r="E298" s="40"/>
      <c r="F298" s="40"/>
      <c r="G298" s="40"/>
      <c r="H298" s="40"/>
      <c r="I298" s="40"/>
      <c r="J298" s="244"/>
      <c r="K298" s="41"/>
    </row>
    <row r="299" spans="2:11" ht="9.75" customHeight="1" x14ac:dyDescent="0.2">
      <c r="B299" s="38"/>
      <c r="C299" s="280" t="str">
        <f>"2:"</f>
        <v>2:</v>
      </c>
      <c r="D299" s="278" t="s">
        <v>933</v>
      </c>
      <c r="E299" s="40"/>
      <c r="F299" s="40"/>
      <c r="G299" s="40"/>
      <c r="H299" s="40"/>
      <c r="I299" s="40"/>
      <c r="J299" s="244"/>
      <c r="K299" s="41"/>
    </row>
    <row r="300" spans="2:11" ht="9.75" customHeight="1" x14ac:dyDescent="0.2">
      <c r="B300" s="38"/>
      <c r="C300" s="280" t="str">
        <f>"3:"</f>
        <v>3:</v>
      </c>
      <c r="D300" s="278" t="s">
        <v>935</v>
      </c>
      <c r="E300" s="40"/>
      <c r="F300" s="40"/>
      <c r="G300" s="40"/>
      <c r="H300" s="40"/>
      <c r="I300" s="40"/>
      <c r="J300" s="244"/>
      <c r="K300" s="41"/>
    </row>
    <row r="301" spans="2:11" ht="9.75" customHeight="1" x14ac:dyDescent="0.2">
      <c r="B301" s="38"/>
      <c r="C301" s="280" t="str">
        <f>"4:"</f>
        <v>4:</v>
      </c>
      <c r="D301" s="278" t="s">
        <v>936</v>
      </c>
      <c r="E301" s="40"/>
      <c r="F301" s="40"/>
      <c r="G301" s="40"/>
      <c r="H301" s="40"/>
      <c r="I301" s="40"/>
      <c r="J301" s="40"/>
      <c r="K301" s="41"/>
    </row>
    <row r="302" spans="2:11" x14ac:dyDescent="0.2">
      <c r="B302" s="38"/>
      <c r="C302" s="40" t="s">
        <v>257</v>
      </c>
      <c r="D302" s="40"/>
      <c r="E302" s="40"/>
      <c r="F302" s="40"/>
      <c r="G302" s="40"/>
      <c r="H302" s="40"/>
      <c r="I302" s="40"/>
      <c r="J302" s="266" t="s">
        <v>870</v>
      </c>
      <c r="K302" s="41"/>
    </row>
    <row r="303" spans="2:11" x14ac:dyDescent="0.2">
      <c r="B303" s="38"/>
      <c r="C303" s="40" t="s">
        <v>261</v>
      </c>
      <c r="D303" s="40"/>
      <c r="E303" s="40"/>
      <c r="F303" s="40"/>
      <c r="G303" s="40"/>
      <c r="H303" s="40"/>
      <c r="I303" s="40"/>
      <c r="J303" s="245">
        <f>IF(J302=$B$980,$A$980,IF(J302=$B$981,$A$981,IF(J302=$B$982,$A$982,IF(J302=$B$983,$A$983,IF(J302=$B$984,$A$984,"Not Calculated")))))</f>
        <v>0</v>
      </c>
      <c r="K303" s="41"/>
    </row>
    <row r="304" spans="2:11" x14ac:dyDescent="0.2">
      <c r="B304" s="38"/>
      <c r="C304" s="40" t="s">
        <v>893</v>
      </c>
      <c r="D304" s="40"/>
      <c r="E304" s="40"/>
      <c r="F304" s="40"/>
      <c r="G304" s="40"/>
      <c r="H304" s="40"/>
      <c r="I304" s="40"/>
      <c r="J304" s="40"/>
      <c r="K304" s="41"/>
    </row>
    <row r="305" spans="2:11" ht="30" customHeight="1" x14ac:dyDescent="0.2">
      <c r="B305" s="38"/>
      <c r="C305" s="399"/>
      <c r="D305" s="400"/>
      <c r="E305" s="400"/>
      <c r="F305" s="400"/>
      <c r="G305" s="400"/>
      <c r="H305" s="400"/>
      <c r="I305" s="400"/>
      <c r="J305" s="401"/>
      <c r="K305" s="41"/>
    </row>
    <row r="306" spans="2:11" x14ac:dyDescent="0.2">
      <c r="B306" s="38"/>
      <c r="C306" s="40"/>
      <c r="D306" s="40"/>
      <c r="E306" s="40"/>
      <c r="F306" s="40"/>
      <c r="G306" s="40"/>
      <c r="H306" s="40"/>
      <c r="I306" s="40"/>
      <c r="J306" s="40"/>
      <c r="K306" s="41"/>
    </row>
    <row r="307" spans="2:11" x14ac:dyDescent="0.2">
      <c r="B307" s="38"/>
      <c r="C307" s="179" t="s">
        <v>885</v>
      </c>
      <c r="D307" s="40"/>
      <c r="E307" s="40"/>
      <c r="F307" s="40"/>
      <c r="G307" s="40"/>
      <c r="H307" s="40"/>
      <c r="I307" s="40"/>
      <c r="J307" s="245">
        <f>IF(OR(J296="Not Calculated",J303="Not Calculated")=TRUE,"Not Calculated",AVERAGE(J296,J303))</f>
        <v>2</v>
      </c>
      <c r="K307" s="41"/>
    </row>
    <row r="308" spans="2:11" x14ac:dyDescent="0.2">
      <c r="B308" s="38"/>
      <c r="C308" s="40"/>
      <c r="D308" s="40"/>
      <c r="E308" s="40"/>
      <c r="F308" s="40"/>
      <c r="G308" s="40"/>
      <c r="H308" s="40"/>
      <c r="I308" s="40"/>
      <c r="J308" s="40"/>
      <c r="K308" s="41"/>
    </row>
    <row r="309" spans="2:11" x14ac:dyDescent="0.2">
      <c r="B309" s="38"/>
      <c r="C309" s="40"/>
      <c r="D309" s="40"/>
      <c r="E309" s="40"/>
      <c r="F309" s="40"/>
      <c r="G309" s="40"/>
      <c r="H309" s="40"/>
      <c r="I309" s="40"/>
      <c r="J309" s="40"/>
      <c r="K309" s="41"/>
    </row>
    <row r="310" spans="2:11" ht="16" x14ac:dyDescent="0.2">
      <c r="B310" s="38"/>
      <c r="C310" s="45" t="s">
        <v>857</v>
      </c>
      <c r="D310" s="40"/>
      <c r="E310" s="40"/>
      <c r="F310" s="40"/>
      <c r="G310" s="40"/>
      <c r="H310" s="40"/>
      <c r="I310" s="40"/>
      <c r="J310" s="40"/>
      <c r="K310" s="41"/>
    </row>
    <row r="311" spans="2:11" x14ac:dyDescent="0.2">
      <c r="B311" s="38"/>
      <c r="C311" s="380" t="s">
        <v>843</v>
      </c>
      <c r="D311" s="380"/>
      <c r="E311" s="380"/>
      <c r="F311" s="380"/>
      <c r="G311" s="380"/>
      <c r="H311" s="380"/>
      <c r="I311" s="380"/>
      <c r="J311" s="40"/>
      <c r="K311" s="41"/>
    </row>
    <row r="312" spans="2:11" x14ac:dyDescent="0.2">
      <c r="B312" s="38"/>
      <c r="C312" s="380"/>
      <c r="D312" s="380"/>
      <c r="E312" s="380"/>
      <c r="F312" s="380"/>
      <c r="G312" s="380"/>
      <c r="H312" s="380"/>
      <c r="I312" s="380"/>
      <c r="J312" s="264">
        <v>0</v>
      </c>
      <c r="K312" s="41"/>
    </row>
    <row r="313" spans="2:11" x14ac:dyDescent="0.2">
      <c r="B313" s="38"/>
      <c r="C313" s="40" t="s">
        <v>853</v>
      </c>
      <c r="D313" s="291"/>
      <c r="E313" s="291"/>
      <c r="F313" s="291"/>
      <c r="G313" s="291"/>
      <c r="H313" s="291"/>
      <c r="I313" s="291"/>
      <c r="J313" s="255">
        <f>'Baseline Health'!$G$102</f>
        <v>0</v>
      </c>
      <c r="K313" s="41"/>
    </row>
    <row r="314" spans="2:11" x14ac:dyDescent="0.2">
      <c r="B314" s="38"/>
      <c r="C314" s="40" t="s">
        <v>842</v>
      </c>
      <c r="D314" s="40"/>
      <c r="E314" s="40"/>
      <c r="F314" s="40"/>
      <c r="G314" s="40"/>
      <c r="H314" s="40"/>
      <c r="I314" s="40"/>
      <c r="J314" s="244" t="str">
        <f>IF('Baseline Health'!$G$102=0,"Not Calculated",100*J312/'Baseline Health'!$G$102)</f>
        <v>Not Calculated</v>
      </c>
      <c r="K314" s="41"/>
    </row>
    <row r="315" spans="2:11" x14ac:dyDescent="0.2">
      <c r="B315" s="38"/>
      <c r="C315" s="40" t="s">
        <v>260</v>
      </c>
      <c r="D315" s="40"/>
      <c r="E315" s="40"/>
      <c r="F315" s="40"/>
      <c r="G315" s="40"/>
      <c r="H315" s="40"/>
      <c r="I315" s="40"/>
      <c r="J315" s="245">
        <f>IF(J314&lt;=0,0,IF(J314&lt;=1,1,IF(J314&lt;=5,2,IF(J314&lt;=10,3,4))))</f>
        <v>4</v>
      </c>
      <c r="K315" s="41"/>
    </row>
    <row r="316" spans="2:11" ht="9.75" customHeight="1" x14ac:dyDescent="0.2">
      <c r="B316" s="38"/>
      <c r="C316" s="279" t="str">
        <f>"0:"</f>
        <v>0:</v>
      </c>
      <c r="D316" s="278" t="s">
        <v>932</v>
      </c>
      <c r="E316" s="40"/>
      <c r="F316" s="40"/>
      <c r="G316" s="40"/>
      <c r="H316" s="40"/>
      <c r="I316" s="40"/>
      <c r="J316" s="244"/>
      <c r="K316" s="41"/>
    </row>
    <row r="317" spans="2:11" ht="9.75" customHeight="1" x14ac:dyDescent="0.2">
      <c r="B317" s="38"/>
      <c r="C317" s="280" t="str">
        <f>"1:"</f>
        <v>1:</v>
      </c>
      <c r="D317" s="278" t="s">
        <v>934</v>
      </c>
      <c r="E317" s="40"/>
      <c r="F317" s="40"/>
      <c r="G317" s="40"/>
      <c r="H317" s="40"/>
      <c r="I317" s="40"/>
      <c r="J317" s="244"/>
      <c r="K317" s="41"/>
    </row>
    <row r="318" spans="2:11" ht="9.75" customHeight="1" x14ac:dyDescent="0.2">
      <c r="B318" s="38"/>
      <c r="C318" s="280" t="str">
        <f>"2:"</f>
        <v>2:</v>
      </c>
      <c r="D318" s="278" t="s">
        <v>933</v>
      </c>
      <c r="E318" s="40"/>
      <c r="F318" s="40"/>
      <c r="G318" s="40"/>
      <c r="H318" s="40"/>
      <c r="I318" s="40"/>
      <c r="J318" s="244"/>
      <c r="K318" s="41"/>
    </row>
    <row r="319" spans="2:11" ht="9.75" customHeight="1" x14ac:dyDescent="0.2">
      <c r="B319" s="38"/>
      <c r="C319" s="280" t="str">
        <f>"3:"</f>
        <v>3:</v>
      </c>
      <c r="D319" s="278" t="s">
        <v>935</v>
      </c>
      <c r="E319" s="40"/>
      <c r="F319" s="40"/>
      <c r="G319" s="40"/>
      <c r="H319" s="40"/>
      <c r="I319" s="40"/>
      <c r="J319" s="244"/>
      <c r="K319" s="41"/>
    </row>
    <row r="320" spans="2:11" ht="9.75" customHeight="1" x14ac:dyDescent="0.2">
      <c r="B320" s="38"/>
      <c r="C320" s="280" t="str">
        <f>"4:"</f>
        <v>4:</v>
      </c>
      <c r="D320" s="278" t="s">
        <v>936</v>
      </c>
      <c r="E320" s="40"/>
      <c r="F320" s="40"/>
      <c r="G320" s="40"/>
      <c r="H320" s="40"/>
      <c r="I320" s="40"/>
      <c r="J320" s="40"/>
      <c r="K320" s="41"/>
    </row>
    <row r="321" spans="2:11" x14ac:dyDescent="0.2">
      <c r="B321" s="38"/>
      <c r="C321" s="40" t="s">
        <v>296</v>
      </c>
      <c r="D321" s="40"/>
      <c r="E321" s="40"/>
      <c r="F321" s="40"/>
      <c r="G321" s="40"/>
      <c r="H321" s="40"/>
      <c r="I321" s="40"/>
      <c r="J321" s="266">
        <v>0</v>
      </c>
      <c r="K321" s="41"/>
    </row>
    <row r="322" spans="2:11" x14ac:dyDescent="0.2">
      <c r="B322" s="38"/>
      <c r="C322" s="40" t="s">
        <v>261</v>
      </c>
      <c r="D322" s="40"/>
      <c r="E322" s="40"/>
      <c r="F322" s="40"/>
      <c r="G322" s="40"/>
      <c r="H322" s="40"/>
      <c r="I322" s="40"/>
      <c r="J322" s="245">
        <f>IF(J321&lt;=0,0,IF(J321&lt;=2,1,IF(J321&lt;=6,2,IF(J321&lt;=12,3,4))))</f>
        <v>0</v>
      </c>
      <c r="K322" s="41"/>
    </row>
    <row r="323" spans="2:11" x14ac:dyDescent="0.2">
      <c r="B323" s="38"/>
      <c r="C323" s="40" t="s">
        <v>893</v>
      </c>
      <c r="D323" s="40"/>
      <c r="E323" s="40"/>
      <c r="F323" s="40"/>
      <c r="G323" s="40"/>
      <c r="H323" s="40"/>
      <c r="I323" s="40"/>
      <c r="J323" s="40"/>
      <c r="K323" s="41"/>
    </row>
    <row r="324" spans="2:11" ht="30" customHeight="1" x14ac:dyDescent="0.2">
      <c r="B324" s="38"/>
      <c r="C324" s="399" t="s">
        <v>462</v>
      </c>
      <c r="D324" s="400"/>
      <c r="E324" s="400"/>
      <c r="F324" s="400"/>
      <c r="G324" s="400"/>
      <c r="H324" s="400"/>
      <c r="I324" s="400"/>
      <c r="J324" s="401"/>
      <c r="K324" s="41"/>
    </row>
    <row r="325" spans="2:11" x14ac:dyDescent="0.2">
      <c r="B325" s="38"/>
      <c r="C325" s="40"/>
      <c r="D325" s="40"/>
      <c r="E325" s="40"/>
      <c r="F325" s="40"/>
      <c r="G325" s="40"/>
      <c r="H325" s="40"/>
      <c r="I325" s="40"/>
      <c r="J325" s="40"/>
      <c r="K325" s="41"/>
    </row>
    <row r="326" spans="2:11" x14ac:dyDescent="0.2">
      <c r="B326" s="38"/>
      <c r="C326" s="179" t="s">
        <v>886</v>
      </c>
      <c r="D326" s="40"/>
      <c r="E326" s="40"/>
      <c r="F326" s="40"/>
      <c r="G326" s="40"/>
      <c r="H326" s="40"/>
      <c r="I326" s="40"/>
      <c r="J326" s="245">
        <f>IF(OR(J315="Not Calculated",J322="Not Calculated")=TRUE,"Not Calculated",AVERAGE(J315,J322))</f>
        <v>2</v>
      </c>
      <c r="K326" s="41"/>
    </row>
    <row r="327" spans="2:11" x14ac:dyDescent="0.2">
      <c r="B327" s="38"/>
      <c r="C327" s="40"/>
      <c r="D327" s="40"/>
      <c r="E327" s="40"/>
      <c r="F327" s="40"/>
      <c r="G327" s="40"/>
      <c r="H327" s="40"/>
      <c r="I327" s="40"/>
      <c r="J327" s="40"/>
      <c r="K327" s="41"/>
    </row>
    <row r="328" spans="2:11" x14ac:dyDescent="0.2">
      <c r="B328" s="38"/>
      <c r="C328" s="40"/>
      <c r="D328" s="40"/>
      <c r="E328" s="40"/>
      <c r="F328" s="40"/>
      <c r="G328" s="40"/>
      <c r="H328" s="40"/>
      <c r="I328" s="40"/>
      <c r="J328" s="40"/>
      <c r="K328" s="41"/>
    </row>
    <row r="329" spans="2:11" ht="16" x14ac:dyDescent="0.2">
      <c r="B329" s="38"/>
      <c r="C329" s="45" t="s">
        <v>858</v>
      </c>
      <c r="D329" s="40"/>
      <c r="E329" s="40"/>
      <c r="F329" s="40"/>
      <c r="G329" s="40"/>
      <c r="H329" s="40"/>
      <c r="I329" s="40"/>
      <c r="J329" s="40"/>
      <c r="K329" s="41"/>
    </row>
    <row r="330" spans="2:11" ht="15" customHeight="1" x14ac:dyDescent="0.2">
      <c r="B330" s="38"/>
      <c r="C330" s="380" t="s">
        <v>844</v>
      </c>
      <c r="D330" s="380"/>
      <c r="E330" s="380"/>
      <c r="F330" s="380"/>
      <c r="G330" s="380"/>
      <c r="H330" s="380"/>
      <c r="I330" s="380"/>
      <c r="J330" s="40"/>
      <c r="K330" s="41"/>
    </row>
    <row r="331" spans="2:11" x14ac:dyDescent="0.2">
      <c r="B331" s="38"/>
      <c r="C331" s="380"/>
      <c r="D331" s="380"/>
      <c r="E331" s="380"/>
      <c r="F331" s="380"/>
      <c r="G331" s="380"/>
      <c r="H331" s="380"/>
      <c r="I331" s="380"/>
      <c r="J331" s="264">
        <v>0</v>
      </c>
      <c r="K331" s="41"/>
    </row>
    <row r="332" spans="2:11" x14ac:dyDescent="0.2">
      <c r="B332" s="38"/>
      <c r="C332" s="40" t="s">
        <v>853</v>
      </c>
      <c r="D332" s="291"/>
      <c r="E332" s="291"/>
      <c r="F332" s="291"/>
      <c r="G332" s="291"/>
      <c r="H332" s="291"/>
      <c r="I332" s="291"/>
      <c r="J332" s="255">
        <f>'Baseline Health'!$G$102</f>
        <v>0</v>
      </c>
      <c r="K332" s="41"/>
    </row>
    <row r="333" spans="2:11" x14ac:dyDescent="0.2">
      <c r="B333" s="38"/>
      <c r="C333" s="40" t="s">
        <v>845</v>
      </c>
      <c r="D333" s="40"/>
      <c r="E333" s="40"/>
      <c r="F333" s="40"/>
      <c r="G333" s="40"/>
      <c r="H333" s="40"/>
      <c r="I333" s="40"/>
      <c r="J333" s="244" t="str">
        <f>IF('Baseline Health'!$G$102=0,"Not Calculated",100*J331/'Baseline Health'!$G$102)</f>
        <v>Not Calculated</v>
      </c>
      <c r="K333" s="41"/>
    </row>
    <row r="334" spans="2:11" x14ac:dyDescent="0.2">
      <c r="B334" s="38"/>
      <c r="C334" s="40" t="s">
        <v>260</v>
      </c>
      <c r="D334" s="40"/>
      <c r="E334" s="40"/>
      <c r="F334" s="40"/>
      <c r="G334" s="40"/>
      <c r="H334" s="40"/>
      <c r="I334" s="40"/>
      <c r="J334" s="245">
        <f>IF(J333&lt;=0,0,IF(J333&lt;=1,1,IF(J333&lt;=5,2,IF(J333&lt;=10,3,4))))</f>
        <v>4</v>
      </c>
      <c r="K334" s="41"/>
    </row>
    <row r="335" spans="2:11" ht="9.75" customHeight="1" x14ac:dyDescent="0.2">
      <c r="B335" s="38"/>
      <c r="C335" s="279" t="str">
        <f>"0:"</f>
        <v>0:</v>
      </c>
      <c r="D335" s="278" t="s">
        <v>932</v>
      </c>
      <c r="E335" s="40"/>
      <c r="F335" s="40"/>
      <c r="G335" s="40"/>
      <c r="H335" s="40"/>
      <c r="I335" s="40"/>
      <c r="J335" s="244"/>
      <c r="K335" s="41"/>
    </row>
    <row r="336" spans="2:11" ht="9.75" customHeight="1" x14ac:dyDescent="0.2">
      <c r="B336" s="38"/>
      <c r="C336" s="280" t="str">
        <f>"1:"</f>
        <v>1:</v>
      </c>
      <c r="D336" s="278" t="s">
        <v>934</v>
      </c>
      <c r="E336" s="40"/>
      <c r="F336" s="40"/>
      <c r="G336" s="40"/>
      <c r="H336" s="40"/>
      <c r="I336" s="40"/>
      <c r="J336" s="244"/>
      <c r="K336" s="41"/>
    </row>
    <row r="337" spans="2:11" ht="9.75" customHeight="1" x14ac:dyDescent="0.2">
      <c r="B337" s="38"/>
      <c r="C337" s="280" t="str">
        <f>"2:"</f>
        <v>2:</v>
      </c>
      <c r="D337" s="278" t="s">
        <v>933</v>
      </c>
      <c r="E337" s="40"/>
      <c r="F337" s="40"/>
      <c r="G337" s="40"/>
      <c r="H337" s="40"/>
      <c r="I337" s="40"/>
      <c r="J337" s="244"/>
      <c r="K337" s="41"/>
    </row>
    <row r="338" spans="2:11" ht="9.75" customHeight="1" x14ac:dyDescent="0.2">
      <c r="B338" s="38"/>
      <c r="C338" s="280" t="str">
        <f>"3:"</f>
        <v>3:</v>
      </c>
      <c r="D338" s="278" t="s">
        <v>935</v>
      </c>
      <c r="E338" s="40"/>
      <c r="F338" s="40"/>
      <c r="G338" s="40"/>
      <c r="H338" s="40"/>
      <c r="I338" s="40"/>
      <c r="J338" s="244"/>
      <c r="K338" s="41"/>
    </row>
    <row r="339" spans="2:11" ht="9.75" customHeight="1" x14ac:dyDescent="0.2">
      <c r="B339" s="38"/>
      <c r="C339" s="280" t="str">
        <f>"4:"</f>
        <v>4:</v>
      </c>
      <c r="D339" s="278" t="s">
        <v>936</v>
      </c>
      <c r="E339" s="40"/>
      <c r="F339" s="40"/>
      <c r="G339" s="40"/>
      <c r="H339" s="40"/>
      <c r="I339" s="40"/>
      <c r="J339" s="40"/>
      <c r="K339" s="41"/>
    </row>
    <row r="340" spans="2:11" x14ac:dyDescent="0.2">
      <c r="B340" s="38"/>
      <c r="C340" s="380" t="s">
        <v>84</v>
      </c>
      <c r="D340" s="380"/>
      <c r="E340" s="380"/>
      <c r="F340" s="380"/>
      <c r="G340" s="380"/>
      <c r="H340" s="380"/>
      <c r="I340" s="380"/>
      <c r="J340" s="245"/>
      <c r="K340" s="41"/>
    </row>
    <row r="341" spans="2:11" x14ac:dyDescent="0.2">
      <c r="B341" s="38"/>
      <c r="C341" s="380"/>
      <c r="D341" s="380"/>
      <c r="E341" s="380"/>
      <c r="F341" s="380"/>
      <c r="G341" s="380"/>
      <c r="H341" s="380"/>
      <c r="I341" s="380"/>
      <c r="J341" s="245">
        <f>'Baseline Health'!G108</f>
        <v>40</v>
      </c>
      <c r="K341" s="41"/>
    </row>
    <row r="342" spans="2:11" ht="15" customHeight="1" x14ac:dyDescent="0.2">
      <c r="B342" s="38"/>
      <c r="C342" s="40" t="s">
        <v>833</v>
      </c>
      <c r="D342" s="40"/>
      <c r="E342" s="40"/>
      <c r="F342" s="40"/>
      <c r="G342" s="40"/>
      <c r="H342" s="40"/>
      <c r="I342" s="40"/>
      <c r="J342" s="245">
        <f>IF(J341&gt;J321,0,J321-J341)</f>
        <v>0</v>
      </c>
      <c r="K342" s="41"/>
    </row>
    <row r="343" spans="2:11" x14ac:dyDescent="0.2">
      <c r="B343" s="38"/>
      <c r="C343" s="40"/>
      <c r="D343" s="380" t="s">
        <v>834</v>
      </c>
      <c r="E343" s="380"/>
      <c r="F343" s="380"/>
      <c r="G343" s="380"/>
      <c r="H343" s="380"/>
      <c r="I343" s="380"/>
      <c r="J343" s="40"/>
      <c r="K343" s="41"/>
    </row>
    <row r="344" spans="2:11" x14ac:dyDescent="0.2">
      <c r="B344" s="38"/>
      <c r="C344" s="40"/>
      <c r="D344" s="380"/>
      <c r="E344" s="380"/>
      <c r="F344" s="380"/>
      <c r="G344" s="380"/>
      <c r="H344" s="380"/>
      <c r="I344" s="380"/>
      <c r="J344" s="40"/>
      <c r="K344" s="41"/>
    </row>
    <row r="345" spans="2:11" x14ac:dyDescent="0.2">
      <c r="B345" s="38"/>
      <c r="C345" s="40" t="s">
        <v>261</v>
      </c>
      <c r="D345" s="40"/>
      <c r="E345" s="40"/>
      <c r="F345" s="40"/>
      <c r="G345" s="40"/>
      <c r="H345" s="40"/>
      <c r="I345" s="40"/>
      <c r="J345" s="245">
        <f>IF(J342&lt;=0,0,IF(J342&lt;=2,1,IF(J342&lt;=6,2,IF(J342&lt;=12,3,4))))</f>
        <v>0</v>
      </c>
      <c r="K345" s="41"/>
    </row>
    <row r="346" spans="2:11" x14ac:dyDescent="0.2">
      <c r="B346" s="38"/>
      <c r="C346" s="40" t="s">
        <v>893</v>
      </c>
      <c r="D346" s="40"/>
      <c r="E346" s="40"/>
      <c r="F346" s="40"/>
      <c r="G346" s="40"/>
      <c r="H346" s="40"/>
      <c r="I346" s="40"/>
      <c r="J346" s="40"/>
      <c r="K346" s="41"/>
    </row>
    <row r="347" spans="2:11" ht="30" customHeight="1" x14ac:dyDescent="0.2">
      <c r="B347" s="38"/>
      <c r="C347" s="399"/>
      <c r="D347" s="400"/>
      <c r="E347" s="400"/>
      <c r="F347" s="400"/>
      <c r="G347" s="400"/>
      <c r="H347" s="400"/>
      <c r="I347" s="400"/>
      <c r="J347" s="401"/>
      <c r="K347" s="41"/>
    </row>
    <row r="348" spans="2:11" x14ac:dyDescent="0.2">
      <c r="B348" s="38"/>
      <c r="C348" s="40"/>
      <c r="D348" s="40"/>
      <c r="E348" s="40"/>
      <c r="F348" s="40"/>
      <c r="G348" s="40"/>
      <c r="H348" s="40"/>
      <c r="I348" s="40"/>
      <c r="J348" s="40"/>
      <c r="K348" s="41"/>
    </row>
    <row r="349" spans="2:11" x14ac:dyDescent="0.2">
      <c r="B349" s="38"/>
      <c r="C349" s="179" t="s">
        <v>887</v>
      </c>
      <c r="D349" s="40"/>
      <c r="E349" s="40"/>
      <c r="F349" s="40"/>
      <c r="G349" s="40"/>
      <c r="H349" s="40"/>
      <c r="I349" s="40"/>
      <c r="J349" s="245">
        <f>IF(OR(J334="Not Calculated",J345="Not Calculated")=TRUE,"Not Calculated",AVERAGE(J334,J345))</f>
        <v>2</v>
      </c>
      <c r="K349" s="41"/>
    </row>
    <row r="350" spans="2:11" x14ac:dyDescent="0.2">
      <c r="B350" s="38"/>
      <c r="C350" s="40"/>
      <c r="D350" s="40"/>
      <c r="E350" s="40"/>
      <c r="F350" s="40"/>
      <c r="G350" s="40"/>
      <c r="H350" s="40"/>
      <c r="I350" s="40"/>
      <c r="J350" s="40"/>
      <c r="K350" s="41"/>
    </row>
    <row r="351" spans="2:11" x14ac:dyDescent="0.2">
      <c r="B351" s="38"/>
      <c r="C351" s="40"/>
      <c r="D351" s="40"/>
      <c r="E351" s="40"/>
      <c r="F351" s="40"/>
      <c r="G351" s="40"/>
      <c r="H351" s="40"/>
      <c r="I351" s="40"/>
      <c r="J351" s="40"/>
      <c r="K351" s="41"/>
    </row>
    <row r="352" spans="2:11" ht="15" customHeight="1" x14ac:dyDescent="0.2">
      <c r="B352" s="38"/>
      <c r="C352" s="45" t="s">
        <v>859</v>
      </c>
      <c r="D352" s="40"/>
      <c r="E352" s="40"/>
      <c r="F352" s="40"/>
      <c r="G352" s="40"/>
      <c r="H352" s="40"/>
      <c r="I352" s="40"/>
      <c r="J352" s="40"/>
      <c r="K352" s="41"/>
    </row>
    <row r="353" spans="2:11" x14ac:dyDescent="0.2">
      <c r="B353" s="38"/>
      <c r="C353" s="40" t="s">
        <v>846</v>
      </c>
      <c r="D353" s="40"/>
      <c r="E353" s="40"/>
      <c r="F353" s="40"/>
      <c r="G353" s="40"/>
      <c r="H353" s="40"/>
      <c r="I353" s="40"/>
      <c r="J353" s="264">
        <v>0</v>
      </c>
      <c r="K353" s="41"/>
    </row>
    <row r="354" spans="2:11" x14ac:dyDescent="0.2">
      <c r="B354" s="38"/>
      <c r="C354" s="40" t="s">
        <v>854</v>
      </c>
      <c r="D354" s="40"/>
      <c r="E354" s="40"/>
      <c r="F354" s="40"/>
      <c r="G354" s="40"/>
      <c r="H354" s="40"/>
      <c r="I354" s="40"/>
      <c r="J354" s="255">
        <f>'Baseline Health'!$G$59</f>
        <v>0</v>
      </c>
      <c r="K354" s="41"/>
    </row>
    <row r="355" spans="2:11" x14ac:dyDescent="0.2">
      <c r="B355" s="38"/>
      <c r="C355" s="40" t="s">
        <v>847</v>
      </c>
      <c r="D355" s="40"/>
      <c r="E355" s="40"/>
      <c r="F355" s="40"/>
      <c r="G355" s="40"/>
      <c r="H355" s="40"/>
      <c r="I355" s="40"/>
      <c r="J355" s="244">
        <f>IF(J353=0,0,IF('Baseline Health'!G$59=0,"Not Calculated",100*J353/'Baseline Health'!$G$59))</f>
        <v>0</v>
      </c>
      <c r="K355" s="41"/>
    </row>
    <row r="356" spans="2:11" x14ac:dyDescent="0.2">
      <c r="B356" s="38"/>
      <c r="C356" s="40" t="s">
        <v>260</v>
      </c>
      <c r="D356" s="40"/>
      <c r="E356" s="40"/>
      <c r="F356" s="40"/>
      <c r="G356" s="40"/>
      <c r="H356" s="40"/>
      <c r="I356" s="40"/>
      <c r="J356" s="245">
        <f>IF(J355&lt;=0,0,IF(J355&lt;=5,1,IF(J355&lt;=10,2,IF(J355&lt;=25,3,4))))</f>
        <v>0</v>
      </c>
      <c r="K356" s="41"/>
    </row>
    <row r="357" spans="2:11" ht="9.75" customHeight="1" x14ac:dyDescent="0.2">
      <c r="B357" s="38"/>
      <c r="C357" s="279" t="str">
        <f>"0:"</f>
        <v>0:</v>
      </c>
      <c r="D357" s="278" t="s">
        <v>932</v>
      </c>
      <c r="E357" s="40"/>
      <c r="F357" s="40"/>
      <c r="G357" s="40"/>
      <c r="H357" s="40"/>
      <c r="I357" s="40"/>
      <c r="J357" s="244"/>
      <c r="K357" s="41"/>
    </row>
    <row r="358" spans="2:11" ht="9.75" customHeight="1" x14ac:dyDescent="0.2">
      <c r="B358" s="38"/>
      <c r="C358" s="280" t="str">
        <f>"1:"</f>
        <v>1:</v>
      </c>
      <c r="D358" s="278" t="s">
        <v>933</v>
      </c>
      <c r="E358" s="40"/>
      <c r="F358" s="40"/>
      <c r="G358" s="40"/>
      <c r="H358" s="40"/>
      <c r="I358" s="40"/>
      <c r="J358" s="244"/>
      <c r="K358" s="41"/>
    </row>
    <row r="359" spans="2:11" ht="9.75" customHeight="1" x14ac:dyDescent="0.2">
      <c r="B359" s="38"/>
      <c r="C359" s="280" t="str">
        <f>"2:"</f>
        <v>2:</v>
      </c>
      <c r="D359" s="278" t="s">
        <v>935</v>
      </c>
      <c r="E359" s="40"/>
      <c r="F359" s="40"/>
      <c r="G359" s="40"/>
      <c r="H359" s="40"/>
      <c r="I359" s="40"/>
      <c r="J359" s="244"/>
      <c r="K359" s="41"/>
    </row>
    <row r="360" spans="2:11" ht="9.75" customHeight="1" x14ac:dyDescent="0.2">
      <c r="B360" s="38"/>
      <c r="C360" s="280" t="str">
        <f>"3:"</f>
        <v>3:</v>
      </c>
      <c r="D360" s="278" t="s">
        <v>937</v>
      </c>
      <c r="E360" s="40"/>
      <c r="F360" s="40"/>
      <c r="G360" s="40"/>
      <c r="H360" s="40"/>
      <c r="I360" s="40"/>
      <c r="J360" s="244"/>
      <c r="K360" s="41"/>
    </row>
    <row r="361" spans="2:11" ht="9.75" customHeight="1" x14ac:dyDescent="0.2">
      <c r="B361" s="38"/>
      <c r="C361" s="280" t="str">
        <f>"4:"</f>
        <v>4:</v>
      </c>
      <c r="D361" s="278" t="s">
        <v>938</v>
      </c>
      <c r="E361" s="40"/>
      <c r="F361" s="40"/>
      <c r="G361" s="40"/>
      <c r="H361" s="40"/>
      <c r="I361" s="40"/>
      <c r="J361" s="40"/>
      <c r="K361" s="41"/>
    </row>
    <row r="362" spans="2:11" x14ac:dyDescent="0.2">
      <c r="B362" s="38"/>
      <c r="C362" s="40" t="s">
        <v>257</v>
      </c>
      <c r="D362" s="40"/>
      <c r="E362" s="40"/>
      <c r="F362" s="40"/>
      <c r="G362" s="40"/>
      <c r="H362" s="40"/>
      <c r="I362" s="40"/>
      <c r="J362" s="266" t="s">
        <v>870</v>
      </c>
      <c r="K362" s="41"/>
    </row>
    <row r="363" spans="2:11" x14ac:dyDescent="0.2">
      <c r="B363" s="38"/>
      <c r="C363" s="40" t="s">
        <v>261</v>
      </c>
      <c r="D363" s="40"/>
      <c r="E363" s="40"/>
      <c r="F363" s="40"/>
      <c r="G363" s="40"/>
      <c r="H363" s="40"/>
      <c r="I363" s="40"/>
      <c r="J363" s="245">
        <f>IF(J362=$B$980,$A$980,IF(J362=$B$981,$A$981,IF(J362=$B$982,$A$982,IF(J362=$B$983,$A$983,IF(J362=$B$984,$A$984,"Not Calculated")))))</f>
        <v>0</v>
      </c>
      <c r="K363" s="41"/>
    </row>
    <row r="364" spans="2:11" x14ac:dyDescent="0.2">
      <c r="B364" s="38"/>
      <c r="C364" s="40" t="s">
        <v>893</v>
      </c>
      <c r="D364" s="40"/>
      <c r="E364" s="40"/>
      <c r="F364" s="40"/>
      <c r="G364" s="40"/>
      <c r="H364" s="40"/>
      <c r="I364" s="40"/>
      <c r="J364" s="40"/>
      <c r="K364" s="41"/>
    </row>
    <row r="365" spans="2:11" ht="30" customHeight="1" x14ac:dyDescent="0.2">
      <c r="B365" s="38"/>
      <c r="C365" s="399"/>
      <c r="D365" s="400"/>
      <c r="E365" s="400"/>
      <c r="F365" s="400"/>
      <c r="G365" s="400"/>
      <c r="H365" s="400"/>
      <c r="I365" s="400"/>
      <c r="J365" s="401"/>
      <c r="K365" s="41"/>
    </row>
    <row r="366" spans="2:11" x14ac:dyDescent="0.2">
      <c r="B366" s="38"/>
      <c r="C366" s="40"/>
      <c r="D366" s="40"/>
      <c r="E366" s="40"/>
      <c r="F366" s="40"/>
      <c r="G366" s="40"/>
      <c r="H366" s="40"/>
      <c r="I366" s="40"/>
      <c r="J366" s="40"/>
      <c r="K366" s="41"/>
    </row>
    <row r="367" spans="2:11" x14ac:dyDescent="0.2">
      <c r="B367" s="38"/>
      <c r="C367" s="179" t="s">
        <v>888</v>
      </c>
      <c r="D367" s="40"/>
      <c r="E367" s="40"/>
      <c r="F367" s="40"/>
      <c r="G367" s="40"/>
      <c r="H367" s="40"/>
      <c r="I367" s="40"/>
      <c r="J367" s="245">
        <f>IF(OR(J356="Not Calculated",J363="Not Calculated")=TRUE,"Not Calculated",AVERAGE(J356,J363))</f>
        <v>0</v>
      </c>
      <c r="K367" s="41"/>
    </row>
    <row r="368" spans="2:11" x14ac:dyDescent="0.2">
      <c r="B368" s="38"/>
      <c r="C368" s="40"/>
      <c r="D368" s="40"/>
      <c r="E368" s="40"/>
      <c r="F368" s="40"/>
      <c r="G368" s="40"/>
      <c r="H368" s="40"/>
      <c r="I368" s="40"/>
      <c r="J368" s="40"/>
      <c r="K368" s="41"/>
    </row>
    <row r="369" spans="2:11" x14ac:dyDescent="0.2">
      <c r="B369" s="38"/>
      <c r="C369" s="40"/>
      <c r="D369" s="40"/>
      <c r="E369" s="40"/>
      <c r="F369" s="40"/>
      <c r="G369" s="40"/>
      <c r="H369" s="40"/>
      <c r="I369" s="40"/>
      <c r="J369" s="40"/>
      <c r="K369" s="41"/>
    </row>
    <row r="370" spans="2:11" ht="16" x14ac:dyDescent="0.2">
      <c r="B370" s="38"/>
      <c r="C370" s="45" t="s">
        <v>863</v>
      </c>
      <c r="D370" s="40"/>
      <c r="E370" s="40"/>
      <c r="F370" s="40"/>
      <c r="G370" s="40"/>
      <c r="H370" s="40"/>
      <c r="I370" s="40"/>
      <c r="J370" s="40"/>
      <c r="K370" s="41"/>
    </row>
    <row r="371" spans="2:11" ht="15" customHeight="1" x14ac:dyDescent="0.2">
      <c r="B371" s="38"/>
      <c r="C371" s="380" t="s">
        <v>848</v>
      </c>
      <c r="D371" s="380"/>
      <c r="E371" s="380"/>
      <c r="F371" s="380"/>
      <c r="G371" s="380"/>
      <c r="H371" s="380"/>
      <c r="I371" s="380"/>
      <c r="J371" s="181"/>
      <c r="K371" s="41"/>
    </row>
    <row r="372" spans="2:11" x14ac:dyDescent="0.2">
      <c r="B372" s="38"/>
      <c r="C372" s="380"/>
      <c r="D372" s="380"/>
      <c r="E372" s="380"/>
      <c r="F372" s="380"/>
      <c r="G372" s="380"/>
      <c r="H372" s="380"/>
      <c r="I372" s="380"/>
      <c r="J372" s="264">
        <f>'Baseline Health'!$G$102/2</f>
        <v>0</v>
      </c>
      <c r="K372" s="41"/>
    </row>
    <row r="373" spans="2:11" x14ac:dyDescent="0.2">
      <c r="B373" s="38"/>
      <c r="C373" s="40" t="s">
        <v>853</v>
      </c>
      <c r="D373" s="291"/>
      <c r="E373" s="291"/>
      <c r="F373" s="291"/>
      <c r="G373" s="291"/>
      <c r="H373" s="291"/>
      <c r="I373" s="291"/>
      <c r="J373" s="255">
        <f>'Baseline Health'!$G$102</f>
        <v>0</v>
      </c>
      <c r="K373" s="41"/>
    </row>
    <row r="374" spans="2:11" x14ac:dyDescent="0.2">
      <c r="B374" s="38"/>
      <c r="C374" s="40" t="s">
        <v>842</v>
      </c>
      <c r="D374" s="291"/>
      <c r="E374" s="291"/>
      <c r="F374" s="291"/>
      <c r="G374" s="291"/>
      <c r="H374" s="291"/>
      <c r="I374" s="291"/>
      <c r="J374" s="244" t="str">
        <f>IF('Baseline Health'!$G$102=0,"Not Calculated",100*J372/'Baseline Health'!$G$102)</f>
        <v>Not Calculated</v>
      </c>
      <c r="K374" s="41"/>
    </row>
    <row r="375" spans="2:11" x14ac:dyDescent="0.2">
      <c r="B375" s="38"/>
      <c r="C375" s="40" t="s">
        <v>260</v>
      </c>
      <c r="D375" s="40"/>
      <c r="E375" s="40"/>
      <c r="F375" s="40"/>
      <c r="G375" s="40"/>
      <c r="H375" s="40"/>
      <c r="I375" s="40"/>
      <c r="J375" s="251">
        <f>IF(J374&lt;=0,0,IF(J374&lt;=1,1,IF(J374&lt;=5,2,IF(J374&lt;=10,3,4))))</f>
        <v>4</v>
      </c>
      <c r="K375" s="41"/>
    </row>
    <row r="376" spans="2:11" ht="9.75" customHeight="1" x14ac:dyDescent="0.2">
      <c r="B376" s="38"/>
      <c r="C376" s="279" t="str">
        <f>"0:"</f>
        <v>0:</v>
      </c>
      <c r="D376" s="278" t="s">
        <v>932</v>
      </c>
      <c r="E376" s="291"/>
      <c r="F376" s="291"/>
      <c r="G376" s="291"/>
      <c r="H376" s="291"/>
      <c r="I376" s="291"/>
      <c r="J376" s="244"/>
      <c r="K376" s="41"/>
    </row>
    <row r="377" spans="2:11" ht="9.75" customHeight="1" x14ac:dyDescent="0.2">
      <c r="B377" s="38"/>
      <c r="C377" s="280" t="str">
        <f>"1:"</f>
        <v>1:</v>
      </c>
      <c r="D377" s="278" t="s">
        <v>934</v>
      </c>
      <c r="E377" s="291"/>
      <c r="F377" s="291"/>
      <c r="G377" s="291"/>
      <c r="H377" s="291"/>
      <c r="I377" s="291"/>
      <c r="J377" s="244"/>
      <c r="K377" s="41"/>
    </row>
    <row r="378" spans="2:11" ht="9.75" customHeight="1" x14ac:dyDescent="0.2">
      <c r="B378" s="38"/>
      <c r="C378" s="280" t="str">
        <f>"2:"</f>
        <v>2:</v>
      </c>
      <c r="D378" s="278" t="s">
        <v>933</v>
      </c>
      <c r="E378" s="291"/>
      <c r="F378" s="291"/>
      <c r="G378" s="291"/>
      <c r="H378" s="291"/>
      <c r="I378" s="291"/>
      <c r="J378" s="244"/>
      <c r="K378" s="41"/>
    </row>
    <row r="379" spans="2:11" ht="9.75" customHeight="1" x14ac:dyDescent="0.2">
      <c r="B379" s="38"/>
      <c r="C379" s="280" t="str">
        <f>"3:"</f>
        <v>3:</v>
      </c>
      <c r="D379" s="278" t="s">
        <v>935</v>
      </c>
      <c r="E379" s="291"/>
      <c r="F379" s="291"/>
      <c r="G379" s="291"/>
      <c r="H379" s="291"/>
      <c r="I379" s="291"/>
      <c r="J379" s="244"/>
      <c r="K379" s="41"/>
    </row>
    <row r="380" spans="2:11" ht="9.75" customHeight="1" x14ac:dyDescent="0.2">
      <c r="B380" s="38"/>
      <c r="C380" s="280" t="str">
        <f>"4:"</f>
        <v>4:</v>
      </c>
      <c r="D380" s="278" t="s">
        <v>936</v>
      </c>
      <c r="E380" s="40"/>
      <c r="F380" s="40"/>
      <c r="G380" s="40"/>
      <c r="H380" s="40"/>
      <c r="I380" s="40"/>
      <c r="J380" s="40"/>
      <c r="K380" s="41"/>
    </row>
    <row r="381" spans="2:11" x14ac:dyDescent="0.2">
      <c r="B381" s="38"/>
      <c r="C381" s="40" t="s">
        <v>85</v>
      </c>
      <c r="D381" s="40"/>
      <c r="E381" s="40"/>
      <c r="F381" s="40"/>
      <c r="G381" s="40"/>
      <c r="H381" s="40"/>
      <c r="I381" s="40"/>
      <c r="J381" s="254">
        <f>'Baseline Health'!G114</f>
        <v>7</v>
      </c>
      <c r="K381" s="41"/>
    </row>
    <row r="382" spans="2:11" x14ac:dyDescent="0.2">
      <c r="B382" s="38"/>
      <c r="C382" s="40" t="s">
        <v>297</v>
      </c>
      <c r="D382" s="40"/>
      <c r="E382" s="40"/>
      <c r="F382" s="40"/>
      <c r="G382" s="40"/>
      <c r="H382" s="40"/>
      <c r="I382" s="40"/>
      <c r="J382" s="266">
        <v>1</v>
      </c>
      <c r="K382" s="41"/>
    </row>
    <row r="383" spans="2:11" x14ac:dyDescent="0.2">
      <c r="B383" s="38"/>
      <c r="C383" s="40" t="s">
        <v>261</v>
      </c>
      <c r="D383" s="40"/>
      <c r="E383" s="40"/>
      <c r="F383" s="40"/>
      <c r="G383" s="40"/>
      <c r="H383" s="40"/>
      <c r="I383" s="40"/>
      <c r="J383" s="248">
        <f>IF((J382-J381)&lt;1,0,IF((J382-J381)&lt;3,1,IF((J382-J381)&lt;5,2,IF((J382-J381)&lt;7,3,4))))</f>
        <v>0</v>
      </c>
      <c r="K383" s="41"/>
    </row>
    <row r="384" spans="2:11" x14ac:dyDescent="0.2">
      <c r="B384" s="38"/>
      <c r="C384" s="40" t="s">
        <v>893</v>
      </c>
      <c r="D384" s="40"/>
      <c r="E384" s="40"/>
      <c r="F384" s="40"/>
      <c r="G384" s="40"/>
      <c r="H384" s="40"/>
      <c r="I384" s="40"/>
      <c r="J384" s="40"/>
      <c r="K384" s="41"/>
    </row>
    <row r="385" spans="2:11" ht="30" customHeight="1" x14ac:dyDescent="0.2">
      <c r="B385" s="38"/>
      <c r="C385" s="399" t="s">
        <v>463</v>
      </c>
      <c r="D385" s="400"/>
      <c r="E385" s="400"/>
      <c r="F385" s="400"/>
      <c r="G385" s="400"/>
      <c r="H385" s="400"/>
      <c r="I385" s="400"/>
      <c r="J385" s="401"/>
      <c r="K385" s="41"/>
    </row>
    <row r="386" spans="2:11" x14ac:dyDescent="0.2">
      <c r="B386" s="38"/>
      <c r="C386" s="40"/>
      <c r="D386" s="40"/>
      <c r="E386" s="40"/>
      <c r="F386" s="40"/>
      <c r="G386" s="40"/>
      <c r="H386" s="40"/>
      <c r="I386" s="40"/>
      <c r="J386" s="40"/>
      <c r="K386" s="41"/>
    </row>
    <row r="387" spans="2:11" x14ac:dyDescent="0.2">
      <c r="B387" s="38"/>
      <c r="C387" s="179" t="s">
        <v>889</v>
      </c>
      <c r="D387" s="40"/>
      <c r="E387" s="40"/>
      <c r="F387" s="40"/>
      <c r="G387" s="40"/>
      <c r="H387" s="40"/>
      <c r="I387" s="40"/>
      <c r="J387" s="245">
        <f>IF(OR(J375="Not Calculated",J383="Not Calculated")=TRUE,"Not Calculated",AVERAGE(J375,J383))</f>
        <v>2</v>
      </c>
      <c r="K387" s="41"/>
    </row>
    <row r="388" spans="2:11" x14ac:dyDescent="0.2">
      <c r="B388" s="38"/>
      <c r="C388" s="40"/>
      <c r="D388" s="40"/>
      <c r="E388" s="40"/>
      <c r="F388" s="40"/>
      <c r="G388" s="40"/>
      <c r="H388" s="40"/>
      <c r="I388" s="40"/>
      <c r="J388" s="40"/>
      <c r="K388" s="41"/>
    </row>
    <row r="389" spans="2:11" x14ac:dyDescent="0.2">
      <c r="B389" s="38"/>
      <c r="C389" s="40"/>
      <c r="D389" s="40"/>
      <c r="E389" s="40"/>
      <c r="F389" s="40"/>
      <c r="G389" s="40"/>
      <c r="H389" s="40"/>
      <c r="I389" s="40"/>
      <c r="J389" s="40"/>
      <c r="K389" s="41"/>
    </row>
    <row r="390" spans="2:11" ht="16" x14ac:dyDescent="0.2">
      <c r="B390" s="38"/>
      <c r="C390" s="45" t="s">
        <v>860</v>
      </c>
      <c r="D390" s="40"/>
      <c r="E390" s="40"/>
      <c r="F390" s="40"/>
      <c r="G390" s="40"/>
      <c r="H390" s="40"/>
      <c r="I390" s="40"/>
      <c r="J390" s="40"/>
      <c r="K390" s="41"/>
    </row>
    <row r="391" spans="2:11" x14ac:dyDescent="0.2">
      <c r="B391" s="38"/>
      <c r="C391" s="380" t="s">
        <v>849</v>
      </c>
      <c r="D391" s="380"/>
      <c r="E391" s="380"/>
      <c r="F391" s="380"/>
      <c r="G391" s="380"/>
      <c r="H391" s="380"/>
      <c r="I391" s="380"/>
      <c r="J391" s="181"/>
      <c r="K391" s="41"/>
    </row>
    <row r="392" spans="2:11" x14ac:dyDescent="0.2">
      <c r="B392" s="38"/>
      <c r="C392" s="380"/>
      <c r="D392" s="380"/>
      <c r="E392" s="380"/>
      <c r="F392" s="380"/>
      <c r="G392" s="380"/>
      <c r="H392" s="380"/>
      <c r="I392" s="380"/>
      <c r="J392" s="264">
        <v>0</v>
      </c>
      <c r="K392" s="41"/>
    </row>
    <row r="393" spans="2:11" x14ac:dyDescent="0.2">
      <c r="B393" s="38"/>
      <c r="C393" s="40" t="s">
        <v>853</v>
      </c>
      <c r="D393" s="291"/>
      <c r="E393" s="291"/>
      <c r="F393" s="291"/>
      <c r="G393" s="291"/>
      <c r="H393" s="291"/>
      <c r="I393" s="291"/>
      <c r="J393" s="255">
        <f>'Baseline Health'!$G$102</f>
        <v>0</v>
      </c>
      <c r="K393" s="41"/>
    </row>
    <row r="394" spans="2:11" ht="15" customHeight="1" x14ac:dyDescent="0.2">
      <c r="B394" s="38"/>
      <c r="C394" s="40" t="s">
        <v>850</v>
      </c>
      <c r="D394" s="291"/>
      <c r="E394" s="291"/>
      <c r="F394" s="291"/>
      <c r="G394" s="291"/>
      <c r="H394" s="291"/>
      <c r="I394" s="291"/>
      <c r="J394" s="244" t="str">
        <f>IF('Baseline Health'!$G$102=0,"Not Calculated",100*J392/'Baseline Health'!$G$102)</f>
        <v>Not Calculated</v>
      </c>
      <c r="K394" s="41"/>
    </row>
    <row r="395" spans="2:11" ht="15" customHeight="1" x14ac:dyDescent="0.2">
      <c r="B395" s="38"/>
      <c r="C395" s="40" t="s">
        <v>260</v>
      </c>
      <c r="D395" s="40"/>
      <c r="E395" s="40"/>
      <c r="F395" s="40"/>
      <c r="G395" s="40"/>
      <c r="H395" s="40"/>
      <c r="I395" s="40"/>
      <c r="J395" s="43">
        <f>IF(J394&lt;=0,0,IF(J394&lt;=1,1,IF(J394&lt;=5,2,IF(J394&lt;=10,3,4))))</f>
        <v>4</v>
      </c>
      <c r="K395" s="41"/>
    </row>
    <row r="396" spans="2:11" ht="9.75" customHeight="1" x14ac:dyDescent="0.2">
      <c r="B396" s="38"/>
      <c r="C396" s="279" t="str">
        <f>"0:"</f>
        <v>0:</v>
      </c>
      <c r="D396" s="278" t="s">
        <v>932</v>
      </c>
      <c r="E396" s="291"/>
      <c r="F396" s="291"/>
      <c r="G396" s="291"/>
      <c r="H396" s="291"/>
      <c r="I396" s="291"/>
      <c r="J396" s="244"/>
      <c r="K396" s="41"/>
    </row>
    <row r="397" spans="2:11" ht="9.75" customHeight="1" x14ac:dyDescent="0.2">
      <c r="B397" s="38"/>
      <c r="C397" s="280" t="str">
        <f>"1:"</f>
        <v>1:</v>
      </c>
      <c r="D397" s="278" t="s">
        <v>934</v>
      </c>
      <c r="E397" s="291"/>
      <c r="F397" s="291"/>
      <c r="G397" s="291"/>
      <c r="H397" s="291"/>
      <c r="I397" s="291"/>
      <c r="J397" s="244"/>
      <c r="K397" s="41"/>
    </row>
    <row r="398" spans="2:11" ht="9.75" customHeight="1" x14ac:dyDescent="0.2">
      <c r="B398" s="38"/>
      <c r="C398" s="280" t="str">
        <f>"2:"</f>
        <v>2:</v>
      </c>
      <c r="D398" s="278" t="s">
        <v>933</v>
      </c>
      <c r="E398" s="291"/>
      <c r="F398" s="291"/>
      <c r="G398" s="291"/>
      <c r="H398" s="291"/>
      <c r="I398" s="291"/>
      <c r="J398" s="244"/>
      <c r="K398" s="41"/>
    </row>
    <row r="399" spans="2:11" ht="9.75" customHeight="1" x14ac:dyDescent="0.2">
      <c r="B399" s="38"/>
      <c r="C399" s="280" t="str">
        <f>"3:"</f>
        <v>3:</v>
      </c>
      <c r="D399" s="278" t="s">
        <v>935</v>
      </c>
      <c r="E399" s="291"/>
      <c r="F399" s="291"/>
      <c r="G399" s="291"/>
      <c r="H399" s="291"/>
      <c r="I399" s="291"/>
      <c r="J399" s="244"/>
      <c r="K399" s="41"/>
    </row>
    <row r="400" spans="2:11" ht="9.75" customHeight="1" x14ac:dyDescent="0.2">
      <c r="B400" s="38"/>
      <c r="C400" s="280" t="str">
        <f>"4:"</f>
        <v>4:</v>
      </c>
      <c r="D400" s="278" t="s">
        <v>936</v>
      </c>
      <c r="E400" s="40"/>
      <c r="F400" s="40"/>
      <c r="G400" s="40"/>
      <c r="H400" s="40"/>
      <c r="I400" s="40"/>
      <c r="J400" s="40"/>
      <c r="K400" s="41"/>
    </row>
    <row r="401" spans="2:11" x14ac:dyDescent="0.2">
      <c r="B401" s="38"/>
      <c r="C401" s="40" t="s">
        <v>893</v>
      </c>
      <c r="D401" s="40"/>
      <c r="E401" s="40"/>
      <c r="F401" s="40"/>
      <c r="G401" s="40"/>
      <c r="H401" s="40"/>
      <c r="I401" s="40"/>
      <c r="J401" s="40"/>
      <c r="K401" s="41"/>
    </row>
    <row r="402" spans="2:11" ht="30" customHeight="1" x14ac:dyDescent="0.2">
      <c r="B402" s="38"/>
      <c r="C402" s="399"/>
      <c r="D402" s="400"/>
      <c r="E402" s="400"/>
      <c r="F402" s="400"/>
      <c r="G402" s="400"/>
      <c r="H402" s="400"/>
      <c r="I402" s="400"/>
      <c r="J402" s="401"/>
      <c r="K402" s="41"/>
    </row>
    <row r="403" spans="2:11" x14ac:dyDescent="0.2">
      <c r="B403" s="38"/>
      <c r="C403" s="40"/>
      <c r="D403" s="40"/>
      <c r="E403" s="40"/>
      <c r="F403" s="40"/>
      <c r="G403" s="40"/>
      <c r="H403" s="40"/>
      <c r="I403" s="40"/>
      <c r="J403" s="40"/>
      <c r="K403" s="41"/>
    </row>
    <row r="404" spans="2:11" x14ac:dyDescent="0.2">
      <c r="B404" s="38"/>
      <c r="C404" s="179" t="s">
        <v>890</v>
      </c>
      <c r="D404" s="40"/>
      <c r="E404" s="40"/>
      <c r="F404" s="40"/>
      <c r="G404" s="40"/>
      <c r="H404" s="40"/>
      <c r="I404" s="40"/>
      <c r="J404" s="245">
        <f>J395</f>
        <v>4</v>
      </c>
      <c r="K404" s="41"/>
    </row>
    <row r="405" spans="2:11" x14ac:dyDescent="0.2">
      <c r="B405" s="38"/>
      <c r="C405" s="40"/>
      <c r="D405" s="40"/>
      <c r="E405" s="40"/>
      <c r="F405" s="40"/>
      <c r="G405" s="40"/>
      <c r="H405" s="40"/>
      <c r="I405" s="40"/>
      <c r="J405" s="40"/>
      <c r="K405" s="41"/>
    </row>
    <row r="406" spans="2:11" x14ac:dyDescent="0.2">
      <c r="B406" s="38"/>
      <c r="C406" s="40"/>
      <c r="D406" s="40"/>
      <c r="E406" s="40"/>
      <c r="F406" s="40"/>
      <c r="G406" s="40"/>
      <c r="H406" s="40"/>
      <c r="I406" s="40"/>
      <c r="J406" s="40"/>
      <c r="K406" s="41"/>
    </row>
    <row r="407" spans="2:11" ht="16" x14ac:dyDescent="0.2">
      <c r="B407" s="38"/>
      <c r="C407" s="45" t="s">
        <v>861</v>
      </c>
      <c r="D407" s="40"/>
      <c r="E407" s="40"/>
      <c r="F407" s="40"/>
      <c r="G407" s="40"/>
      <c r="H407" s="40"/>
      <c r="I407" s="40"/>
      <c r="J407" s="40"/>
      <c r="K407" s="41"/>
    </row>
    <row r="408" spans="2:11" x14ac:dyDescent="0.2">
      <c r="B408" s="38"/>
      <c r="C408" s="40" t="s">
        <v>298</v>
      </c>
      <c r="D408" s="40"/>
      <c r="E408" s="40"/>
      <c r="F408" s="40"/>
      <c r="G408" s="40"/>
      <c r="H408" s="40"/>
      <c r="I408" s="40"/>
      <c r="J408" s="269">
        <v>0</v>
      </c>
      <c r="K408" s="41"/>
    </row>
    <row r="409" spans="2:11" x14ac:dyDescent="0.2">
      <c r="B409" s="38"/>
      <c r="C409" s="40" t="s">
        <v>260</v>
      </c>
      <c r="D409" s="40"/>
      <c r="E409" s="40"/>
      <c r="F409" s="40"/>
      <c r="G409" s="40"/>
      <c r="H409" s="40"/>
      <c r="I409" s="40"/>
      <c r="J409" s="253">
        <f>IF(J408&lt;=0,0,IF(J408&lt;=(J161*0.01),1,IF(J408&lt;=(J161*0.05),2,IF(J408&lt;=(J161*0.1),3,4))))</f>
        <v>0</v>
      </c>
      <c r="K409" s="41"/>
    </row>
    <row r="410" spans="2:11" ht="9.75" customHeight="1" x14ac:dyDescent="0.2">
      <c r="B410" s="38"/>
      <c r="C410" s="279" t="str">
        <f>"0:"</f>
        <v>0:</v>
      </c>
      <c r="D410" s="278" t="s">
        <v>939</v>
      </c>
      <c r="E410" s="40"/>
      <c r="F410" s="40"/>
      <c r="G410" s="40"/>
      <c r="H410" s="40"/>
      <c r="I410" s="40"/>
      <c r="J410" s="282"/>
      <c r="K410" s="41"/>
    </row>
    <row r="411" spans="2:11" ht="9.75" customHeight="1" x14ac:dyDescent="0.2">
      <c r="B411" s="38"/>
      <c r="C411" s="280" t="str">
        <f>"1:"</f>
        <v>1:</v>
      </c>
      <c r="D411" s="278" t="s">
        <v>940</v>
      </c>
      <c r="E411" s="40"/>
      <c r="F411" s="40"/>
      <c r="G411" s="40"/>
      <c r="H411" s="40"/>
      <c r="I411" s="40"/>
      <c r="J411" s="282"/>
      <c r="K411" s="41"/>
    </row>
    <row r="412" spans="2:11" ht="9.75" customHeight="1" x14ac:dyDescent="0.2">
      <c r="B412" s="38"/>
      <c r="C412" s="280" t="str">
        <f>"2:"</f>
        <v>2:</v>
      </c>
      <c r="D412" s="278" t="s">
        <v>941</v>
      </c>
      <c r="E412" s="40"/>
      <c r="F412" s="40"/>
      <c r="G412" s="40"/>
      <c r="H412" s="40"/>
      <c r="I412" s="40"/>
      <c r="J412" s="282"/>
      <c r="K412" s="41"/>
    </row>
    <row r="413" spans="2:11" ht="9.75" customHeight="1" x14ac:dyDescent="0.2">
      <c r="B413" s="38"/>
      <c r="C413" s="280" t="str">
        <f>"3:"</f>
        <v>3:</v>
      </c>
      <c r="D413" s="278" t="s">
        <v>942</v>
      </c>
      <c r="E413" s="40"/>
      <c r="F413" s="40"/>
      <c r="G413" s="40"/>
      <c r="H413" s="40"/>
      <c r="I413" s="40"/>
      <c r="J413" s="282"/>
      <c r="K413" s="41"/>
    </row>
    <row r="414" spans="2:11" ht="9.75" customHeight="1" x14ac:dyDescent="0.2">
      <c r="B414" s="38"/>
      <c r="C414" s="280" t="str">
        <f>"4:"</f>
        <v>4:</v>
      </c>
      <c r="D414" s="278" t="s">
        <v>943</v>
      </c>
      <c r="E414" s="40"/>
      <c r="F414" s="40"/>
      <c r="G414" s="40"/>
      <c r="H414" s="40"/>
      <c r="I414" s="40"/>
      <c r="J414" s="40"/>
      <c r="K414" s="41"/>
    </row>
    <row r="415" spans="2:11" x14ac:dyDescent="0.2">
      <c r="B415" s="38"/>
      <c r="C415" s="40" t="s">
        <v>893</v>
      </c>
      <c r="D415" s="40"/>
      <c r="E415" s="40"/>
      <c r="F415" s="40"/>
      <c r="G415" s="40"/>
      <c r="H415" s="40"/>
      <c r="I415" s="40"/>
      <c r="J415" s="40"/>
      <c r="K415" s="41"/>
    </row>
    <row r="416" spans="2:11" ht="30" customHeight="1" x14ac:dyDescent="0.2">
      <c r="B416" s="38"/>
      <c r="C416" s="399"/>
      <c r="D416" s="400"/>
      <c r="E416" s="400"/>
      <c r="F416" s="400"/>
      <c r="G416" s="400"/>
      <c r="H416" s="400"/>
      <c r="I416" s="400"/>
      <c r="J416" s="401"/>
      <c r="K416" s="41"/>
    </row>
    <row r="417" spans="2:12" x14ac:dyDescent="0.2">
      <c r="B417" s="38"/>
      <c r="C417" s="40"/>
      <c r="D417" s="40"/>
      <c r="E417" s="40"/>
      <c r="F417" s="40"/>
      <c r="G417" s="40"/>
      <c r="H417" s="40"/>
      <c r="I417" s="40"/>
      <c r="J417" s="40"/>
      <c r="K417" s="41"/>
    </row>
    <row r="418" spans="2:12" x14ac:dyDescent="0.2">
      <c r="B418" s="38"/>
      <c r="C418" s="179" t="s">
        <v>891</v>
      </c>
      <c r="D418" s="40"/>
      <c r="E418" s="40"/>
      <c r="F418" s="40"/>
      <c r="G418" s="40"/>
      <c r="H418" s="40"/>
      <c r="I418" s="40"/>
      <c r="J418" s="245">
        <f>J409</f>
        <v>0</v>
      </c>
      <c r="K418" s="41"/>
    </row>
    <row r="419" spans="2:12" x14ac:dyDescent="0.2">
      <c r="B419" s="38"/>
      <c r="C419" s="40"/>
      <c r="D419" s="40"/>
      <c r="E419" s="40"/>
      <c r="F419" s="40"/>
      <c r="G419" s="40"/>
      <c r="H419" s="40"/>
      <c r="I419" s="40"/>
      <c r="J419" s="40"/>
      <c r="K419" s="41"/>
    </row>
    <row r="420" spans="2:12" x14ac:dyDescent="0.2">
      <c r="B420" s="38"/>
      <c r="C420" s="410" t="s">
        <v>881</v>
      </c>
      <c r="D420" s="410"/>
      <c r="E420" s="410"/>
      <c r="F420" s="410"/>
      <c r="G420" s="410"/>
      <c r="H420" s="410"/>
      <c r="I420" s="410"/>
      <c r="J420" s="40"/>
      <c r="K420" s="41"/>
    </row>
    <row r="421" spans="2:12" x14ac:dyDescent="0.2">
      <c r="B421" s="38"/>
      <c r="C421" s="410"/>
      <c r="D421" s="410"/>
      <c r="E421" s="410"/>
      <c r="F421" s="410"/>
      <c r="G421" s="410"/>
      <c r="H421" s="410"/>
      <c r="I421" s="410"/>
      <c r="J421" s="244">
        <f>IF(OR(J288="Not Calculated",J307="Not Calculated",J326="Not Calculated",J349="Not Calculated",J367="Not Calculated",J387="Not Calculated",J404="Not Calculated",J418="Not Calculated")=TRUE,"Not Calculated",AVERAGE(J288,J307,J326,J349,J367,J387,J404,J418))</f>
        <v>1.625</v>
      </c>
      <c r="K421" s="41"/>
    </row>
    <row r="422" spans="2:12" ht="16" thickBot="1" x14ac:dyDescent="0.25">
      <c r="B422" s="46"/>
      <c r="C422" s="47"/>
      <c r="D422" s="47"/>
      <c r="E422" s="47"/>
      <c r="F422" s="47"/>
      <c r="G422" s="47"/>
      <c r="H422" s="47"/>
      <c r="I422" s="47"/>
      <c r="J422" s="47"/>
      <c r="K422" s="49"/>
    </row>
    <row r="423" spans="2:12" ht="16" thickBot="1" x14ac:dyDescent="0.25"/>
    <row r="424" spans="2:12" x14ac:dyDescent="0.2">
      <c r="B424" s="33"/>
      <c r="C424" s="34"/>
      <c r="D424" s="34"/>
      <c r="E424" s="34"/>
      <c r="F424" s="34"/>
      <c r="G424" s="34"/>
      <c r="H424" s="34"/>
      <c r="I424" s="34"/>
      <c r="J424" s="34"/>
      <c r="K424" s="37"/>
    </row>
    <row r="425" spans="2:12" ht="21" x14ac:dyDescent="0.25">
      <c r="B425" s="38"/>
      <c r="C425" s="40"/>
      <c r="D425" s="40"/>
      <c r="E425" s="40"/>
      <c r="F425" s="40"/>
      <c r="G425" s="172" t="s">
        <v>230</v>
      </c>
      <c r="H425" s="40"/>
      <c r="I425" s="40"/>
      <c r="J425" s="40"/>
      <c r="K425" s="41"/>
    </row>
    <row r="426" spans="2:12" x14ac:dyDescent="0.2">
      <c r="B426" s="38"/>
      <c r="C426" s="40"/>
      <c r="D426" s="40"/>
      <c r="E426" s="40"/>
      <c r="F426" s="40"/>
      <c r="G426" s="40"/>
      <c r="H426" s="40"/>
      <c r="I426" s="40"/>
      <c r="J426" s="40"/>
      <c r="K426" s="41"/>
    </row>
    <row r="427" spans="2:12" ht="16" x14ac:dyDescent="0.2">
      <c r="B427" s="38"/>
      <c r="C427" s="45" t="s">
        <v>299</v>
      </c>
      <c r="D427" s="40"/>
      <c r="E427" s="40"/>
      <c r="F427" s="40"/>
      <c r="G427" s="40"/>
      <c r="H427" s="40"/>
      <c r="I427" s="40"/>
      <c r="J427" s="40"/>
      <c r="K427" s="41"/>
    </row>
    <row r="428" spans="2:12" x14ac:dyDescent="0.2">
      <c r="B428" s="38"/>
      <c r="C428" s="40" t="s">
        <v>300</v>
      </c>
      <c r="D428" s="40"/>
      <c r="E428" s="40"/>
      <c r="F428" s="40"/>
      <c r="G428" s="40"/>
      <c r="H428" s="40"/>
      <c r="I428" s="40"/>
      <c r="J428" s="270">
        <f>'Community Characteristics'!H14</f>
        <v>0</v>
      </c>
      <c r="K428" s="41"/>
      <c r="L428" s="12" t="s">
        <v>1178</v>
      </c>
    </row>
    <row r="429" spans="2:12" x14ac:dyDescent="0.2">
      <c r="B429" s="38"/>
      <c r="C429" s="40" t="s">
        <v>260</v>
      </c>
      <c r="D429" s="40"/>
      <c r="E429" s="40"/>
      <c r="F429" s="40"/>
      <c r="G429" s="40"/>
      <c r="H429" s="40"/>
      <c r="I429" s="40"/>
      <c r="J429" s="248">
        <f>IF(J428&lt;=0,0,IF(J428&lt;=1,1,IF(J428&lt;=5,2,IF(J428&lt;=10,3,4))))</f>
        <v>0</v>
      </c>
      <c r="K429" s="41"/>
    </row>
    <row r="430" spans="2:12" s="98" customFormat="1" ht="9.75" customHeight="1" x14ac:dyDescent="0.2">
      <c r="B430" s="288"/>
      <c r="C430" s="279" t="str">
        <f>"0:"</f>
        <v>0:</v>
      </c>
      <c r="D430" s="290" t="s">
        <v>944</v>
      </c>
      <c r="E430" s="245"/>
      <c r="F430" s="245"/>
      <c r="G430" s="245"/>
      <c r="H430" s="245"/>
      <c r="I430" s="245"/>
      <c r="J430" s="245"/>
      <c r="K430" s="289"/>
    </row>
    <row r="431" spans="2:12" s="98" customFormat="1" ht="9.75" customHeight="1" x14ac:dyDescent="0.2">
      <c r="B431" s="288"/>
      <c r="C431" s="280" t="str">
        <f>"1:"</f>
        <v>1:</v>
      </c>
      <c r="D431" s="290" t="s">
        <v>945</v>
      </c>
      <c r="E431" s="245"/>
      <c r="F431" s="245"/>
      <c r="G431" s="245"/>
      <c r="H431" s="245"/>
      <c r="I431" s="245"/>
      <c r="J431" s="245"/>
      <c r="K431" s="289"/>
    </row>
    <row r="432" spans="2:12" s="98" customFormat="1" ht="9.75" customHeight="1" x14ac:dyDescent="0.2">
      <c r="B432" s="288"/>
      <c r="C432" s="280" t="str">
        <f>"2:"</f>
        <v>2:</v>
      </c>
      <c r="D432" s="290" t="s">
        <v>946</v>
      </c>
      <c r="E432" s="245"/>
      <c r="F432" s="245"/>
      <c r="G432" s="245"/>
      <c r="H432" s="245"/>
      <c r="I432" s="245"/>
      <c r="J432" s="245"/>
      <c r="K432" s="289"/>
    </row>
    <row r="433" spans="2:12" s="98" customFormat="1" ht="9.75" customHeight="1" x14ac:dyDescent="0.2">
      <c r="B433" s="288"/>
      <c r="C433" s="280" t="str">
        <f>"3:"</f>
        <v>3:</v>
      </c>
      <c r="D433" s="290" t="s">
        <v>947</v>
      </c>
      <c r="E433" s="245"/>
      <c r="F433" s="245"/>
      <c r="G433" s="245"/>
      <c r="H433" s="245"/>
      <c r="I433" s="245"/>
      <c r="J433" s="245"/>
      <c r="K433" s="289"/>
    </row>
    <row r="434" spans="2:12" s="98" customFormat="1" ht="9.75" customHeight="1" x14ac:dyDescent="0.2">
      <c r="B434" s="288"/>
      <c r="C434" s="280" t="str">
        <f>"4:"</f>
        <v>4:</v>
      </c>
      <c r="D434" s="290" t="s">
        <v>948</v>
      </c>
      <c r="E434" s="245"/>
      <c r="F434" s="245"/>
      <c r="G434" s="245"/>
      <c r="H434" s="245"/>
      <c r="I434" s="245"/>
      <c r="J434" s="247"/>
      <c r="K434" s="289"/>
    </row>
    <row r="435" spans="2:12" x14ac:dyDescent="0.2">
      <c r="B435" s="38"/>
      <c r="C435" s="40" t="s">
        <v>257</v>
      </c>
      <c r="D435" s="40"/>
      <c r="E435" s="40"/>
      <c r="F435" s="40"/>
      <c r="G435" s="40"/>
      <c r="H435" s="40"/>
      <c r="I435" s="40"/>
      <c r="J435" s="266" t="s">
        <v>872</v>
      </c>
      <c r="K435" s="41"/>
    </row>
    <row r="436" spans="2:12" x14ac:dyDescent="0.2">
      <c r="B436" s="38"/>
      <c r="C436" s="40" t="s">
        <v>261</v>
      </c>
      <c r="D436" s="40"/>
      <c r="E436" s="40"/>
      <c r="F436" s="40"/>
      <c r="G436" s="40"/>
      <c r="H436" s="40"/>
      <c r="I436" s="40"/>
      <c r="J436" s="245">
        <f>IF(J435=$B$973,$A$973,IF(J435=$B$974,$A$974,IF(J435=$B$975,$A$975,IF(J435=$B$976,$A$976,IF(J435=$B$977,$A$977,"Not Calculated")))))</f>
        <v>2</v>
      </c>
      <c r="K436" s="41"/>
    </row>
    <row r="437" spans="2:12" x14ac:dyDescent="0.2">
      <c r="B437" s="38"/>
      <c r="C437" s="40" t="s">
        <v>893</v>
      </c>
      <c r="D437" s="40"/>
      <c r="E437" s="40"/>
      <c r="F437" s="40"/>
      <c r="G437" s="40"/>
      <c r="H437" s="40"/>
      <c r="I437" s="40"/>
      <c r="J437" s="40"/>
      <c r="K437" s="41"/>
    </row>
    <row r="438" spans="2:12" ht="45" customHeight="1" x14ac:dyDescent="0.2">
      <c r="B438" s="38"/>
      <c r="C438" s="399" t="s">
        <v>461</v>
      </c>
      <c r="D438" s="400"/>
      <c r="E438" s="400"/>
      <c r="F438" s="400"/>
      <c r="G438" s="400"/>
      <c r="H438" s="400"/>
      <c r="I438" s="400"/>
      <c r="J438" s="401"/>
      <c r="K438" s="41"/>
    </row>
    <row r="439" spans="2:12" x14ac:dyDescent="0.2">
      <c r="B439" s="38"/>
      <c r="C439" s="40"/>
      <c r="D439" s="40"/>
      <c r="E439" s="40"/>
      <c r="F439" s="40"/>
      <c r="G439" s="40"/>
      <c r="H439" s="40"/>
      <c r="I439" s="40"/>
      <c r="J439" s="40"/>
      <c r="K439" s="41"/>
    </row>
    <row r="440" spans="2:12" x14ac:dyDescent="0.2">
      <c r="B440" s="38"/>
      <c r="C440" s="179" t="s">
        <v>301</v>
      </c>
      <c r="D440" s="40"/>
      <c r="E440" s="40"/>
      <c r="F440" s="40"/>
      <c r="G440" s="40"/>
      <c r="H440" s="40"/>
      <c r="I440" s="40"/>
      <c r="J440" s="245">
        <f>IF(OR(J429="Not Calculated",J436="Not Calculated")=TRUE,"Not Calculated",AVERAGE(J429,J436))</f>
        <v>1</v>
      </c>
      <c r="K440" s="41"/>
    </row>
    <row r="441" spans="2:12" x14ac:dyDescent="0.2">
      <c r="B441" s="38"/>
      <c r="C441" s="40"/>
      <c r="D441" s="40"/>
      <c r="E441" s="40"/>
      <c r="F441" s="40"/>
      <c r="G441" s="40"/>
      <c r="H441" s="40"/>
      <c r="I441" s="40"/>
      <c r="J441" s="40"/>
      <c r="K441" s="41"/>
    </row>
    <row r="442" spans="2:12" x14ac:dyDescent="0.2">
      <c r="B442" s="38"/>
      <c r="C442" s="40"/>
      <c r="D442" s="40"/>
      <c r="E442" s="40"/>
      <c r="F442" s="40"/>
      <c r="G442" s="40"/>
      <c r="H442" s="40"/>
      <c r="I442" s="40"/>
      <c r="J442" s="40"/>
      <c r="K442" s="41"/>
    </row>
    <row r="443" spans="2:12" ht="16" x14ac:dyDescent="0.2">
      <c r="B443" s="38"/>
      <c r="C443" s="45" t="s">
        <v>303</v>
      </c>
      <c r="D443" s="40"/>
      <c r="E443" s="40"/>
      <c r="F443" s="40"/>
      <c r="G443" s="40"/>
      <c r="H443" s="40"/>
      <c r="I443" s="40"/>
      <c r="J443" s="40"/>
      <c r="K443" s="41"/>
    </row>
    <row r="444" spans="2:12" ht="15" customHeight="1" x14ac:dyDescent="0.2">
      <c r="B444" s="38"/>
      <c r="C444" s="380" t="s">
        <v>305</v>
      </c>
      <c r="D444" s="380"/>
      <c r="E444" s="380"/>
      <c r="F444" s="380"/>
      <c r="G444" s="380"/>
      <c r="H444" s="380"/>
      <c r="I444" s="380"/>
      <c r="J444" s="40"/>
      <c r="K444" s="41"/>
    </row>
    <row r="445" spans="2:12" x14ac:dyDescent="0.2">
      <c r="B445" s="38"/>
      <c r="C445" s="380"/>
      <c r="D445" s="380"/>
      <c r="E445" s="380"/>
      <c r="F445" s="380"/>
      <c r="G445" s="380"/>
      <c r="H445" s="380"/>
      <c r="I445" s="380"/>
      <c r="J445" s="270">
        <f>100*14/61</f>
        <v>22.950819672131146</v>
      </c>
      <c r="K445" s="41"/>
      <c r="L445" s="12" t="s">
        <v>1179</v>
      </c>
    </row>
    <row r="446" spans="2:12" x14ac:dyDescent="0.2">
      <c r="B446" s="38"/>
      <c r="C446" s="40" t="s">
        <v>260</v>
      </c>
      <c r="D446" s="40"/>
      <c r="E446" s="40"/>
      <c r="F446" s="40"/>
      <c r="G446" s="40"/>
      <c r="H446" s="40"/>
      <c r="I446" s="40"/>
      <c r="J446" s="248">
        <f>IF(J445&lt;=0,0,IF(J445&lt;=1,1,IF(J445&lt;=5,2,IF(J445&lt;=10,3,4))))</f>
        <v>4</v>
      </c>
      <c r="K446" s="41"/>
    </row>
    <row r="447" spans="2:12" ht="9.75" customHeight="1" x14ac:dyDescent="0.2">
      <c r="B447" s="38"/>
      <c r="C447" s="279" t="str">
        <f>"0:"</f>
        <v>0:</v>
      </c>
      <c r="D447" s="278" t="s">
        <v>944</v>
      </c>
      <c r="E447" s="40"/>
      <c r="F447" s="40"/>
      <c r="G447" s="40"/>
      <c r="H447" s="40"/>
      <c r="I447" s="40"/>
      <c r="J447" s="245"/>
      <c r="K447" s="41"/>
    </row>
    <row r="448" spans="2:12" ht="9.75" customHeight="1" x14ac:dyDescent="0.2">
      <c r="B448" s="38"/>
      <c r="C448" s="280" t="str">
        <f>"1:"</f>
        <v>1:</v>
      </c>
      <c r="D448" s="278" t="s">
        <v>945</v>
      </c>
      <c r="E448" s="40"/>
      <c r="F448" s="40"/>
      <c r="G448" s="40"/>
      <c r="H448" s="40"/>
      <c r="I448" s="40"/>
      <c r="J448" s="245"/>
      <c r="K448" s="41"/>
    </row>
    <row r="449" spans="2:11" ht="9.75" customHeight="1" x14ac:dyDescent="0.2">
      <c r="B449" s="38"/>
      <c r="C449" s="280" t="str">
        <f>"2:"</f>
        <v>2:</v>
      </c>
      <c r="D449" s="278" t="s">
        <v>946</v>
      </c>
      <c r="E449" s="40"/>
      <c r="F449" s="40"/>
      <c r="G449" s="40"/>
      <c r="H449" s="40"/>
      <c r="I449" s="40"/>
      <c r="J449" s="245"/>
      <c r="K449" s="41"/>
    </row>
    <row r="450" spans="2:11" ht="9.75" customHeight="1" x14ac:dyDescent="0.2">
      <c r="B450" s="38"/>
      <c r="C450" s="280" t="str">
        <f>"3:"</f>
        <v>3:</v>
      </c>
      <c r="D450" s="278" t="s">
        <v>947</v>
      </c>
      <c r="E450" s="40"/>
      <c r="F450" s="40"/>
      <c r="G450" s="40"/>
      <c r="H450" s="40"/>
      <c r="I450" s="40"/>
      <c r="J450" s="245"/>
      <c r="K450" s="41"/>
    </row>
    <row r="451" spans="2:11" ht="9.75" customHeight="1" x14ac:dyDescent="0.2">
      <c r="B451" s="38"/>
      <c r="C451" s="280" t="str">
        <f>"4:"</f>
        <v>4:</v>
      </c>
      <c r="D451" s="278" t="s">
        <v>948</v>
      </c>
      <c r="E451" s="40"/>
      <c r="F451" s="40"/>
      <c r="G451" s="40"/>
      <c r="H451" s="40"/>
      <c r="I451" s="40"/>
      <c r="J451" s="247"/>
      <c r="K451" s="41"/>
    </row>
    <row r="452" spans="2:11" x14ac:dyDescent="0.2">
      <c r="B452" s="38"/>
      <c r="C452" s="40" t="s">
        <v>257</v>
      </c>
      <c r="D452" s="40"/>
      <c r="E452" s="40"/>
      <c r="F452" s="40"/>
      <c r="G452" s="40"/>
      <c r="H452" s="40"/>
      <c r="I452" s="40"/>
      <c r="J452" s="266" t="s">
        <v>872</v>
      </c>
      <c r="K452" s="41"/>
    </row>
    <row r="453" spans="2:11" x14ac:dyDescent="0.2">
      <c r="B453" s="38"/>
      <c r="C453" s="40" t="s">
        <v>261</v>
      </c>
      <c r="D453" s="40"/>
      <c r="E453" s="40"/>
      <c r="F453" s="40"/>
      <c r="G453" s="40"/>
      <c r="H453" s="40"/>
      <c r="I453" s="40"/>
      <c r="J453" s="245">
        <f>IF(J452=$B$973,$A$973,IF(J452=$B$974,$A$974,IF(J452=$B$975,$A$975,IF(J452=$B$976,$A$976,IF(J452=$B$977,$A$977,"Not Calculated")))))</f>
        <v>2</v>
      </c>
      <c r="K453" s="41"/>
    </row>
    <row r="454" spans="2:11" x14ac:dyDescent="0.2">
      <c r="B454" s="38"/>
      <c r="C454" s="40" t="s">
        <v>893</v>
      </c>
      <c r="D454" s="40"/>
      <c r="E454" s="40"/>
      <c r="F454" s="40"/>
      <c r="G454" s="40"/>
      <c r="H454" s="40"/>
      <c r="I454" s="40"/>
      <c r="J454" s="40"/>
      <c r="K454" s="41"/>
    </row>
    <row r="455" spans="2:11" ht="45" customHeight="1" x14ac:dyDescent="0.2">
      <c r="B455" s="38"/>
      <c r="C455" s="399" t="s">
        <v>464</v>
      </c>
      <c r="D455" s="400"/>
      <c r="E455" s="400"/>
      <c r="F455" s="400"/>
      <c r="G455" s="400"/>
      <c r="H455" s="400"/>
      <c r="I455" s="400"/>
      <c r="J455" s="401"/>
      <c r="K455" s="41"/>
    </row>
    <row r="456" spans="2:11" x14ac:dyDescent="0.2">
      <c r="B456" s="38"/>
      <c r="C456" s="40"/>
      <c r="D456" s="40"/>
      <c r="E456" s="40"/>
      <c r="F456" s="40"/>
      <c r="G456" s="40"/>
      <c r="H456" s="40"/>
      <c r="I456" s="40"/>
      <c r="J456" s="40"/>
      <c r="K456" s="41"/>
    </row>
    <row r="457" spans="2:11" x14ac:dyDescent="0.2">
      <c r="B457" s="38"/>
      <c r="C457" s="179" t="s">
        <v>304</v>
      </c>
      <c r="D457" s="40"/>
      <c r="E457" s="40"/>
      <c r="F457" s="40"/>
      <c r="G457" s="40"/>
      <c r="H457" s="40"/>
      <c r="I457" s="40"/>
      <c r="J457" s="245">
        <f>IF(OR(J446="Not Calculated",J453="Not Calculated")=TRUE,"Not Calculated",AVERAGE(J446,J453))</f>
        <v>3</v>
      </c>
      <c r="K457" s="41"/>
    </row>
    <row r="458" spans="2:11" x14ac:dyDescent="0.2">
      <c r="B458" s="38"/>
      <c r="C458" s="40"/>
      <c r="D458" s="40"/>
      <c r="E458" s="40"/>
      <c r="F458" s="40"/>
      <c r="G458" s="40"/>
      <c r="H458" s="40"/>
      <c r="I458" s="40"/>
      <c r="J458" s="40"/>
      <c r="K458" s="41"/>
    </row>
    <row r="459" spans="2:11" x14ac:dyDescent="0.2">
      <c r="B459" s="38"/>
      <c r="C459" s="40"/>
      <c r="D459" s="40"/>
      <c r="E459" s="40"/>
      <c r="F459" s="40"/>
      <c r="G459" s="40"/>
      <c r="H459" s="40"/>
      <c r="I459" s="40"/>
      <c r="J459" s="40"/>
      <c r="K459" s="41"/>
    </row>
    <row r="460" spans="2:11" ht="16" x14ac:dyDescent="0.2">
      <c r="B460" s="38"/>
      <c r="C460" s="45" t="s">
        <v>306</v>
      </c>
      <c r="D460" s="40"/>
      <c r="E460" s="40"/>
      <c r="F460" s="40"/>
      <c r="G460" s="40"/>
      <c r="H460" s="40"/>
      <c r="I460" s="40"/>
      <c r="J460" s="40"/>
      <c r="K460" s="41"/>
    </row>
    <row r="461" spans="2:11" x14ac:dyDescent="0.2">
      <c r="B461" s="38"/>
      <c r="C461" s="40" t="s">
        <v>949</v>
      </c>
      <c r="D461" s="40"/>
      <c r="E461" s="40"/>
      <c r="F461" s="40"/>
      <c r="G461" s="40"/>
      <c r="H461" s="40"/>
      <c r="I461" s="40"/>
      <c r="J461" s="270">
        <v>0</v>
      </c>
      <c r="K461" s="41"/>
    </row>
    <row r="462" spans="2:11" x14ac:dyDescent="0.2">
      <c r="B462" s="38"/>
      <c r="C462" s="40" t="s">
        <v>260</v>
      </c>
      <c r="D462" s="40"/>
      <c r="E462" s="40"/>
      <c r="F462" s="40"/>
      <c r="G462" s="40"/>
      <c r="H462" s="40"/>
      <c r="I462" s="40"/>
      <c r="J462" s="248">
        <f>IF(J461&lt;=0,0,IF(J461&lt;=1,1,IF(J461&lt;=5,2,IF(J461&lt;=10,3,4))))</f>
        <v>0</v>
      </c>
      <c r="K462" s="41"/>
    </row>
    <row r="463" spans="2:11" ht="9.75" customHeight="1" x14ac:dyDescent="0.2">
      <c r="B463" s="38"/>
      <c r="C463" s="279" t="str">
        <f>"0:"</f>
        <v>0:</v>
      </c>
      <c r="D463" s="290" t="s">
        <v>944</v>
      </c>
      <c r="E463" s="40"/>
      <c r="F463" s="40"/>
      <c r="G463" s="40"/>
      <c r="H463" s="40"/>
      <c r="I463" s="40"/>
      <c r="J463" s="245"/>
      <c r="K463" s="41"/>
    </row>
    <row r="464" spans="2:11" ht="9.75" customHeight="1" x14ac:dyDescent="0.2">
      <c r="B464" s="38"/>
      <c r="C464" s="280" t="str">
        <f>"1:"</f>
        <v>1:</v>
      </c>
      <c r="D464" s="290" t="s">
        <v>945</v>
      </c>
      <c r="E464" s="40"/>
      <c r="F464" s="40"/>
      <c r="G464" s="40"/>
      <c r="H464" s="40"/>
      <c r="I464" s="40"/>
      <c r="J464" s="245"/>
      <c r="K464" s="41"/>
    </row>
    <row r="465" spans="2:11" ht="9.75" customHeight="1" x14ac:dyDescent="0.2">
      <c r="B465" s="38"/>
      <c r="C465" s="280" t="str">
        <f>"2:"</f>
        <v>2:</v>
      </c>
      <c r="D465" s="290" t="s">
        <v>946</v>
      </c>
      <c r="E465" s="40"/>
      <c r="F465" s="40"/>
      <c r="G465" s="40"/>
      <c r="H465" s="40"/>
      <c r="I465" s="40"/>
      <c r="J465" s="245"/>
      <c r="K465" s="41"/>
    </row>
    <row r="466" spans="2:11" ht="9.75" customHeight="1" x14ac:dyDescent="0.2">
      <c r="B466" s="38"/>
      <c r="C466" s="280" t="str">
        <f>"3:"</f>
        <v>3:</v>
      </c>
      <c r="D466" s="290" t="s">
        <v>947</v>
      </c>
      <c r="E466" s="40"/>
      <c r="F466" s="40"/>
      <c r="G466" s="40"/>
      <c r="H466" s="40"/>
      <c r="I466" s="40"/>
      <c r="J466" s="245"/>
      <c r="K466" s="41"/>
    </row>
    <row r="467" spans="2:11" ht="9.75" customHeight="1" x14ac:dyDescent="0.2">
      <c r="B467" s="38"/>
      <c r="C467" s="280" t="str">
        <f>"4:"</f>
        <v>4:</v>
      </c>
      <c r="D467" s="290" t="s">
        <v>948</v>
      </c>
      <c r="E467" s="40"/>
      <c r="F467" s="40"/>
      <c r="G467" s="40"/>
      <c r="H467" s="40"/>
      <c r="I467" s="40"/>
      <c r="J467" s="247"/>
      <c r="K467" s="41"/>
    </row>
    <row r="468" spans="2:11" x14ac:dyDescent="0.2">
      <c r="B468" s="38"/>
      <c r="C468" s="40" t="s">
        <v>257</v>
      </c>
      <c r="D468" s="40"/>
      <c r="E468" s="40"/>
      <c r="F468" s="40"/>
      <c r="G468" s="40"/>
      <c r="H468" s="40"/>
      <c r="I468" s="40"/>
      <c r="J468" s="266" t="s">
        <v>870</v>
      </c>
      <c r="K468" s="41"/>
    </row>
    <row r="469" spans="2:11" ht="15" customHeight="1" x14ac:dyDescent="0.2">
      <c r="B469" s="38"/>
      <c r="C469" s="40" t="s">
        <v>261</v>
      </c>
      <c r="D469" s="40"/>
      <c r="E469" s="40"/>
      <c r="F469" s="40"/>
      <c r="G469" s="40"/>
      <c r="H469" s="40"/>
      <c r="I469" s="40"/>
      <c r="J469" s="245">
        <f>IF(J468=$B$973,$A$973,IF(J468=$B$974,$A$974,IF(J468=$B$975,$A$975,IF(J468=$B$976,$A$976,IF(J468=$B$977,$A$977,"Not Calculated")))))</f>
        <v>0</v>
      </c>
      <c r="K469" s="41"/>
    </row>
    <row r="470" spans="2:11" x14ac:dyDescent="0.2">
      <c r="B470" s="38"/>
      <c r="C470" s="40" t="s">
        <v>893</v>
      </c>
      <c r="D470" s="40"/>
      <c r="E470" s="40"/>
      <c r="F470" s="40"/>
      <c r="G470" s="40"/>
      <c r="H470" s="40"/>
      <c r="I470" s="40"/>
      <c r="J470" s="40"/>
      <c r="K470" s="41"/>
    </row>
    <row r="471" spans="2:11" ht="30" customHeight="1" x14ac:dyDescent="0.2">
      <c r="B471" s="38"/>
      <c r="C471" s="399"/>
      <c r="D471" s="400"/>
      <c r="E471" s="400"/>
      <c r="F471" s="400"/>
      <c r="G471" s="400"/>
      <c r="H471" s="400"/>
      <c r="I471" s="400"/>
      <c r="J471" s="401"/>
      <c r="K471" s="41"/>
    </row>
    <row r="472" spans="2:11" x14ac:dyDescent="0.2">
      <c r="B472" s="38"/>
      <c r="C472" s="40"/>
      <c r="D472" s="40"/>
      <c r="E472" s="40"/>
      <c r="F472" s="40"/>
      <c r="G472" s="40"/>
      <c r="H472" s="40"/>
      <c r="I472" s="40"/>
      <c r="J472" s="40"/>
      <c r="K472" s="41"/>
    </row>
    <row r="473" spans="2:11" x14ac:dyDescent="0.2">
      <c r="B473" s="38"/>
      <c r="C473" s="179" t="s">
        <v>307</v>
      </c>
      <c r="D473" s="40"/>
      <c r="E473" s="40"/>
      <c r="F473" s="40"/>
      <c r="G473" s="40"/>
      <c r="H473" s="40"/>
      <c r="I473" s="40"/>
      <c r="J473" s="245">
        <f>IF(OR(J462="Not Calculated",J469="Not Calculated")=TRUE,"Not Calculated",AVERAGE(J462,J469))</f>
        <v>0</v>
      </c>
      <c r="K473" s="41"/>
    </row>
    <row r="474" spans="2:11" x14ac:dyDescent="0.2">
      <c r="B474" s="38"/>
      <c r="C474" s="40"/>
      <c r="D474" s="40"/>
      <c r="E474" s="40"/>
      <c r="F474" s="40"/>
      <c r="G474" s="40"/>
      <c r="H474" s="40"/>
      <c r="I474" s="40"/>
      <c r="J474" s="40"/>
      <c r="K474" s="41"/>
    </row>
    <row r="475" spans="2:11" x14ac:dyDescent="0.2">
      <c r="B475" s="38"/>
      <c r="C475" s="40"/>
      <c r="D475" s="40"/>
      <c r="E475" s="40"/>
      <c r="F475" s="40"/>
      <c r="G475" s="40"/>
      <c r="H475" s="40"/>
      <c r="I475" s="40"/>
      <c r="J475" s="40"/>
      <c r="K475" s="41"/>
    </row>
    <row r="476" spans="2:11" ht="16" x14ac:dyDescent="0.2">
      <c r="B476" s="38"/>
      <c r="C476" s="45" t="s">
        <v>308</v>
      </c>
      <c r="D476" s="40"/>
      <c r="E476" s="40"/>
      <c r="F476" s="40"/>
      <c r="G476" s="40"/>
      <c r="H476" s="40"/>
      <c r="I476" s="40"/>
      <c r="J476" s="40"/>
      <c r="K476" s="41"/>
    </row>
    <row r="477" spans="2:11" ht="15" customHeight="1" x14ac:dyDescent="0.2">
      <c r="B477" s="38"/>
      <c r="C477" s="380" t="s">
        <v>310</v>
      </c>
      <c r="D477" s="380"/>
      <c r="E477" s="380"/>
      <c r="F477" s="380"/>
      <c r="G477" s="380"/>
      <c r="H477" s="380"/>
      <c r="I477" s="380"/>
      <c r="J477" s="40"/>
      <c r="K477" s="41"/>
    </row>
    <row r="478" spans="2:11" x14ac:dyDescent="0.2">
      <c r="B478" s="38"/>
      <c r="C478" s="380"/>
      <c r="D478" s="380"/>
      <c r="E478" s="380"/>
      <c r="F478" s="380"/>
      <c r="G478" s="380"/>
      <c r="H478" s="380"/>
      <c r="I478" s="380"/>
      <c r="J478" s="131">
        <v>2</v>
      </c>
      <c r="K478" s="41"/>
    </row>
    <row r="479" spans="2:11" x14ac:dyDescent="0.2">
      <c r="B479" s="38"/>
      <c r="C479" s="40" t="s">
        <v>261</v>
      </c>
      <c r="D479" s="40"/>
      <c r="E479" s="40"/>
      <c r="F479" s="40"/>
      <c r="G479" s="40"/>
      <c r="H479" s="40"/>
      <c r="I479" s="40"/>
      <c r="J479" s="245">
        <f>IF(J478&lt;=0,0,IF(J478&lt;=1,1,IF(J478&lt;=7,2,IF(J478&lt;=14,3,4))))</f>
        <v>2</v>
      </c>
      <c r="K479" s="41"/>
    </row>
    <row r="480" spans="2:11" s="51" customFormat="1" ht="9.75" customHeight="1" x14ac:dyDescent="0.2">
      <c r="B480" s="283"/>
      <c r="C480" s="279" t="str">
        <f>"0:"</f>
        <v>0:</v>
      </c>
      <c r="D480" s="284" t="s">
        <v>950</v>
      </c>
      <c r="E480" s="285"/>
      <c r="F480" s="285"/>
      <c r="G480" s="285"/>
      <c r="H480" s="285"/>
      <c r="I480" s="285"/>
      <c r="J480" s="43"/>
      <c r="K480" s="286"/>
    </row>
    <row r="481" spans="2:11" s="51" customFormat="1" ht="9.75" customHeight="1" x14ac:dyDescent="0.2">
      <c r="B481" s="283"/>
      <c r="C481" s="280" t="str">
        <f>"1:"</f>
        <v>1:</v>
      </c>
      <c r="D481" s="284" t="s">
        <v>951</v>
      </c>
      <c r="E481" s="285"/>
      <c r="F481" s="285"/>
      <c r="G481" s="285"/>
      <c r="H481" s="285"/>
      <c r="I481" s="285"/>
      <c r="J481" s="43"/>
      <c r="K481" s="286"/>
    </row>
    <row r="482" spans="2:11" s="51" customFormat="1" ht="9.75" customHeight="1" x14ac:dyDescent="0.2">
      <c r="B482" s="283"/>
      <c r="C482" s="280" t="str">
        <f>"2:"</f>
        <v>2:</v>
      </c>
      <c r="D482" s="284" t="s">
        <v>952</v>
      </c>
      <c r="E482" s="285"/>
      <c r="F482" s="285"/>
      <c r="G482" s="285"/>
      <c r="H482" s="285"/>
      <c r="I482" s="285"/>
      <c r="J482" s="43"/>
      <c r="K482" s="286"/>
    </row>
    <row r="483" spans="2:11" s="51" customFormat="1" ht="9.75" customHeight="1" x14ac:dyDescent="0.2">
      <c r="B483" s="283"/>
      <c r="C483" s="280" t="str">
        <f>"3:"</f>
        <v>3:</v>
      </c>
      <c r="D483" s="284" t="s">
        <v>953</v>
      </c>
      <c r="E483" s="285"/>
      <c r="F483" s="285"/>
      <c r="G483" s="285"/>
      <c r="H483" s="285"/>
      <c r="I483" s="285"/>
      <c r="J483" s="43"/>
      <c r="K483" s="286"/>
    </row>
    <row r="484" spans="2:11" s="51" customFormat="1" ht="9.75" customHeight="1" x14ac:dyDescent="0.2">
      <c r="B484" s="283"/>
      <c r="C484" s="280" t="str">
        <f>"4:"</f>
        <v>4:</v>
      </c>
      <c r="D484" s="284" t="s">
        <v>954</v>
      </c>
      <c r="E484" s="285"/>
      <c r="F484" s="285"/>
      <c r="G484" s="285"/>
      <c r="H484" s="285"/>
      <c r="I484" s="285"/>
      <c r="J484" s="43"/>
      <c r="K484" s="286"/>
    </row>
    <row r="485" spans="2:11" x14ac:dyDescent="0.2">
      <c r="B485" s="38"/>
      <c r="C485" s="40" t="s">
        <v>893</v>
      </c>
      <c r="D485" s="40"/>
      <c r="E485" s="40"/>
      <c r="F485" s="40"/>
      <c r="G485" s="40"/>
      <c r="H485" s="40"/>
      <c r="I485" s="40"/>
      <c r="J485" s="40"/>
      <c r="K485" s="41"/>
    </row>
    <row r="486" spans="2:11" ht="30" customHeight="1" x14ac:dyDescent="0.2">
      <c r="B486" s="38"/>
      <c r="C486" s="399" t="s">
        <v>487</v>
      </c>
      <c r="D486" s="400"/>
      <c r="E486" s="400"/>
      <c r="F486" s="400"/>
      <c r="G486" s="400"/>
      <c r="H486" s="400"/>
      <c r="I486" s="400"/>
      <c r="J486" s="401"/>
      <c r="K486" s="41"/>
    </row>
    <row r="487" spans="2:11" x14ac:dyDescent="0.2">
      <c r="B487" s="38"/>
      <c r="C487" s="40"/>
      <c r="D487" s="40"/>
      <c r="E487" s="40"/>
      <c r="F487" s="40"/>
      <c r="G487" s="40"/>
      <c r="H487" s="40"/>
      <c r="I487" s="40"/>
      <c r="J487" s="40"/>
      <c r="K487" s="41"/>
    </row>
    <row r="488" spans="2:11" x14ac:dyDescent="0.2">
      <c r="B488" s="38"/>
      <c r="C488" s="179" t="s">
        <v>309</v>
      </c>
      <c r="D488" s="40"/>
      <c r="E488" s="40"/>
      <c r="F488" s="40"/>
      <c r="G488" s="40"/>
      <c r="H488" s="40"/>
      <c r="I488" s="40"/>
      <c r="J488" s="245">
        <f>J479</f>
        <v>2</v>
      </c>
      <c r="K488" s="41"/>
    </row>
    <row r="489" spans="2:11" x14ac:dyDescent="0.2">
      <c r="B489" s="38"/>
      <c r="C489" s="40"/>
      <c r="D489" s="40"/>
      <c r="E489" s="40"/>
      <c r="F489" s="40"/>
      <c r="G489" s="40"/>
      <c r="H489" s="40"/>
      <c r="I489" s="40"/>
      <c r="J489" s="40"/>
      <c r="K489" s="41"/>
    </row>
    <row r="490" spans="2:11" x14ac:dyDescent="0.2">
      <c r="B490" s="38"/>
      <c r="C490" s="40"/>
      <c r="D490" s="40"/>
      <c r="E490" s="40"/>
      <c r="F490" s="40"/>
      <c r="G490" s="40"/>
      <c r="H490" s="40"/>
      <c r="I490" s="40"/>
      <c r="J490" s="40"/>
      <c r="K490" s="41"/>
    </row>
    <row r="491" spans="2:11" ht="16" x14ac:dyDescent="0.2">
      <c r="B491" s="38"/>
      <c r="C491" s="45" t="s">
        <v>311</v>
      </c>
      <c r="D491" s="40"/>
      <c r="E491" s="40"/>
      <c r="F491" s="40"/>
      <c r="G491" s="40"/>
      <c r="H491" s="40"/>
      <c r="I491" s="40"/>
      <c r="J491" s="40"/>
      <c r="K491" s="41"/>
    </row>
    <row r="492" spans="2:11" x14ac:dyDescent="0.2">
      <c r="B492" s="38"/>
      <c r="C492" s="40" t="s">
        <v>312</v>
      </c>
      <c r="D492" s="40"/>
      <c r="E492" s="40"/>
      <c r="F492" s="40"/>
      <c r="G492" s="40"/>
      <c r="H492" s="40"/>
      <c r="I492" s="40"/>
      <c r="J492" s="270">
        <v>0</v>
      </c>
      <c r="K492" s="41"/>
    </row>
    <row r="493" spans="2:11" x14ac:dyDescent="0.2">
      <c r="B493" s="38"/>
      <c r="C493" s="40" t="s">
        <v>260</v>
      </c>
      <c r="D493" s="40"/>
      <c r="E493" s="40"/>
      <c r="F493" s="40"/>
      <c r="G493" s="40"/>
      <c r="H493" s="40"/>
      <c r="I493" s="40"/>
      <c r="J493" s="248">
        <f>IF(J492&lt;=0,0,IF(J492&lt;=1,1,IF(J492&lt;=5,2,IF(J492&lt;=10,3,4))))</f>
        <v>0</v>
      </c>
      <c r="K493" s="41"/>
    </row>
    <row r="494" spans="2:11" ht="9.75" customHeight="1" x14ac:dyDescent="0.2">
      <c r="B494" s="38"/>
      <c r="C494" s="279" t="str">
        <f>"0:"</f>
        <v>0:</v>
      </c>
      <c r="D494" s="290" t="s">
        <v>955</v>
      </c>
      <c r="E494" s="40"/>
      <c r="F494" s="40"/>
      <c r="G494" s="40"/>
      <c r="H494" s="40"/>
      <c r="I494" s="40"/>
      <c r="J494" s="245"/>
      <c r="K494" s="41"/>
    </row>
    <row r="495" spans="2:11" ht="9.75" customHeight="1" x14ac:dyDescent="0.2">
      <c r="B495" s="38"/>
      <c r="C495" s="280" t="str">
        <f>"1:"</f>
        <v>1:</v>
      </c>
      <c r="D495" s="290" t="s">
        <v>956</v>
      </c>
      <c r="E495" s="40"/>
      <c r="F495" s="40"/>
      <c r="G495" s="40"/>
      <c r="H495" s="40"/>
      <c r="I495" s="40"/>
      <c r="J495" s="245"/>
      <c r="K495" s="41"/>
    </row>
    <row r="496" spans="2:11" ht="9.75" customHeight="1" x14ac:dyDescent="0.2">
      <c r="B496" s="38"/>
      <c r="C496" s="280" t="str">
        <f>"2:"</f>
        <v>2:</v>
      </c>
      <c r="D496" s="290" t="s">
        <v>957</v>
      </c>
      <c r="E496" s="40"/>
      <c r="F496" s="40"/>
      <c r="G496" s="40"/>
      <c r="H496" s="40"/>
      <c r="I496" s="40"/>
      <c r="J496" s="245"/>
      <c r="K496" s="41"/>
    </row>
    <row r="497" spans="2:11" ht="9.75" customHeight="1" x14ac:dyDescent="0.2">
      <c r="B497" s="38"/>
      <c r="C497" s="280" t="str">
        <f>"3:"</f>
        <v>3:</v>
      </c>
      <c r="D497" s="290" t="s">
        <v>958</v>
      </c>
      <c r="E497" s="40"/>
      <c r="F497" s="40"/>
      <c r="G497" s="40"/>
      <c r="H497" s="40"/>
      <c r="I497" s="40"/>
      <c r="J497" s="245"/>
      <c r="K497" s="41"/>
    </row>
    <row r="498" spans="2:11" ht="9.75" customHeight="1" x14ac:dyDescent="0.2">
      <c r="B498" s="38"/>
      <c r="C498" s="280" t="str">
        <f>"4:"</f>
        <v>4:</v>
      </c>
      <c r="D498" s="290" t="s">
        <v>959</v>
      </c>
      <c r="E498" s="40"/>
      <c r="F498" s="40"/>
      <c r="G498" s="40"/>
      <c r="H498" s="40"/>
      <c r="I498" s="40"/>
      <c r="J498" s="247"/>
      <c r="K498" s="41"/>
    </row>
    <row r="499" spans="2:11" x14ac:dyDescent="0.2">
      <c r="B499" s="38"/>
      <c r="C499" s="40" t="s">
        <v>313</v>
      </c>
      <c r="D499" s="40"/>
      <c r="E499" s="40"/>
      <c r="F499" s="40"/>
      <c r="G499" s="40"/>
      <c r="H499" s="40"/>
      <c r="I499" s="40"/>
      <c r="J499" s="266" t="s">
        <v>870</v>
      </c>
      <c r="K499" s="41"/>
    </row>
    <row r="500" spans="2:11" x14ac:dyDescent="0.2">
      <c r="B500" s="38"/>
      <c r="C500" s="40" t="s">
        <v>261</v>
      </c>
      <c r="D500" s="40"/>
      <c r="E500" s="40"/>
      <c r="F500" s="40"/>
      <c r="G500" s="40"/>
      <c r="H500" s="40"/>
      <c r="I500" s="40"/>
      <c r="J500" s="245">
        <f>IF(J499=$B$973,$A$973,IF(J499=$B$974,$A$974,IF(J499=$B$975,$A$975,IF(J499=$B$976,$A$976,IF(J499=$B$977,$A$977,"Not Calculated")))))</f>
        <v>0</v>
      </c>
      <c r="K500" s="41"/>
    </row>
    <row r="501" spans="2:11" x14ac:dyDescent="0.2">
      <c r="B501" s="38"/>
      <c r="C501" s="40" t="s">
        <v>893</v>
      </c>
      <c r="D501" s="40"/>
      <c r="E501" s="40"/>
      <c r="F501" s="40"/>
      <c r="G501" s="40"/>
      <c r="H501" s="40"/>
      <c r="I501" s="40"/>
      <c r="J501" s="40"/>
      <c r="K501" s="41"/>
    </row>
    <row r="502" spans="2:11" ht="30" customHeight="1" x14ac:dyDescent="0.2">
      <c r="B502" s="38"/>
      <c r="C502" s="399"/>
      <c r="D502" s="400"/>
      <c r="E502" s="400"/>
      <c r="F502" s="400"/>
      <c r="G502" s="400"/>
      <c r="H502" s="400"/>
      <c r="I502" s="400"/>
      <c r="J502" s="401"/>
      <c r="K502" s="41"/>
    </row>
    <row r="503" spans="2:11" x14ac:dyDescent="0.2">
      <c r="B503" s="38"/>
      <c r="C503" s="40"/>
      <c r="D503" s="40"/>
      <c r="E503" s="40"/>
      <c r="F503" s="40"/>
      <c r="G503" s="40"/>
      <c r="H503" s="40"/>
      <c r="I503" s="40"/>
      <c r="J503" s="40"/>
      <c r="K503" s="41"/>
    </row>
    <row r="504" spans="2:11" x14ac:dyDescent="0.2">
      <c r="B504" s="38"/>
      <c r="C504" s="179" t="s">
        <v>321</v>
      </c>
      <c r="D504" s="40"/>
      <c r="E504" s="40"/>
      <c r="F504" s="40"/>
      <c r="G504" s="40"/>
      <c r="H504" s="40"/>
      <c r="I504" s="40"/>
      <c r="J504" s="245">
        <f>IF(OR(J493="Not Calculated",J500="Not Calculated")=TRUE,"Not Calculated",AVERAGE(J493,J500))</f>
        <v>0</v>
      </c>
      <c r="K504" s="41"/>
    </row>
    <row r="505" spans="2:11" x14ac:dyDescent="0.2">
      <c r="B505" s="38"/>
      <c r="C505" s="40"/>
      <c r="D505" s="40"/>
      <c r="E505" s="40"/>
      <c r="F505" s="40"/>
      <c r="G505" s="40"/>
      <c r="H505" s="40"/>
      <c r="I505" s="40"/>
      <c r="J505" s="40"/>
      <c r="K505" s="41"/>
    </row>
    <row r="506" spans="2:11" x14ac:dyDescent="0.2">
      <c r="B506" s="38"/>
      <c r="C506" s="40"/>
      <c r="D506" s="40"/>
      <c r="E506" s="40"/>
      <c r="F506" s="40"/>
      <c r="G506" s="40"/>
      <c r="H506" s="40"/>
      <c r="I506" s="40"/>
      <c r="J506" s="40"/>
      <c r="K506" s="41"/>
    </row>
    <row r="507" spans="2:11" ht="16" x14ac:dyDescent="0.2">
      <c r="B507" s="38"/>
      <c r="C507" s="45" t="s">
        <v>314</v>
      </c>
      <c r="D507" s="40"/>
      <c r="E507" s="40"/>
      <c r="F507" s="40"/>
      <c r="G507" s="40"/>
      <c r="H507" s="40"/>
      <c r="I507" s="40"/>
      <c r="J507" s="40"/>
      <c r="K507" s="41"/>
    </row>
    <row r="508" spans="2:11" x14ac:dyDescent="0.2">
      <c r="B508" s="38"/>
      <c r="C508" s="40" t="s">
        <v>316</v>
      </c>
      <c r="D508" s="40"/>
      <c r="E508" s="40"/>
      <c r="F508" s="40"/>
      <c r="G508" s="40"/>
      <c r="H508" s="40"/>
      <c r="I508" s="40"/>
      <c r="J508" s="269">
        <v>500</v>
      </c>
      <c r="K508" s="41"/>
    </row>
    <row r="509" spans="2:11" x14ac:dyDescent="0.2">
      <c r="B509" s="38"/>
      <c r="C509" s="40" t="s">
        <v>260</v>
      </c>
      <c r="D509" s="40"/>
      <c r="E509" s="40"/>
      <c r="F509" s="40"/>
      <c r="G509" s="40"/>
      <c r="H509" s="40"/>
      <c r="I509" s="40"/>
      <c r="J509" s="248">
        <f>IF(J508&lt;=0,0,IF(J508&lt;=1000,1,IF(J508&lt;=5000,2,IF(J508&lt;=25000,3,4))))</f>
        <v>1</v>
      </c>
      <c r="K509" s="41"/>
    </row>
    <row r="510" spans="2:11" s="51" customFormat="1" ht="9.75" customHeight="1" x14ac:dyDescent="0.2">
      <c r="B510" s="283"/>
      <c r="C510" s="279" t="str">
        <f>"0:"</f>
        <v>0:</v>
      </c>
      <c r="D510" s="284" t="s">
        <v>960</v>
      </c>
      <c r="E510" s="285"/>
      <c r="F510" s="285"/>
      <c r="G510" s="285"/>
      <c r="H510" s="285"/>
      <c r="I510" s="285"/>
      <c r="J510" s="43"/>
      <c r="K510" s="286"/>
    </row>
    <row r="511" spans="2:11" s="51" customFormat="1" ht="9.75" customHeight="1" x14ac:dyDescent="0.2">
      <c r="B511" s="283"/>
      <c r="C511" s="280" t="str">
        <f>"1:"</f>
        <v>1:</v>
      </c>
      <c r="D511" s="284" t="s">
        <v>961</v>
      </c>
      <c r="E511" s="285"/>
      <c r="F511" s="285"/>
      <c r="G511" s="285"/>
      <c r="H511" s="285"/>
      <c r="I511" s="285"/>
      <c r="J511" s="43"/>
      <c r="K511" s="286"/>
    </row>
    <row r="512" spans="2:11" s="51" customFormat="1" ht="9.75" customHeight="1" x14ac:dyDescent="0.2">
      <c r="B512" s="283"/>
      <c r="C512" s="280" t="str">
        <f>"2:"</f>
        <v>2:</v>
      </c>
      <c r="D512" s="284" t="s">
        <v>962</v>
      </c>
      <c r="E512" s="285"/>
      <c r="F512" s="285"/>
      <c r="G512" s="285"/>
      <c r="H512" s="285"/>
      <c r="I512" s="285"/>
      <c r="J512" s="43"/>
      <c r="K512" s="286"/>
    </row>
    <row r="513" spans="2:11" s="51" customFormat="1" ht="9.75" customHeight="1" x14ac:dyDescent="0.2">
      <c r="B513" s="283"/>
      <c r="C513" s="280" t="str">
        <f>"3:"</f>
        <v>3:</v>
      </c>
      <c r="D513" s="284" t="s">
        <v>963</v>
      </c>
      <c r="E513" s="285"/>
      <c r="F513" s="285"/>
      <c r="G513" s="285"/>
      <c r="H513" s="285"/>
      <c r="I513" s="285"/>
      <c r="J513" s="43"/>
      <c r="K513" s="286"/>
    </row>
    <row r="514" spans="2:11" s="51" customFormat="1" ht="9.75" customHeight="1" x14ac:dyDescent="0.2">
      <c r="B514" s="283"/>
      <c r="C514" s="280" t="str">
        <f>"4:"</f>
        <v>4:</v>
      </c>
      <c r="D514" s="284" t="s">
        <v>964</v>
      </c>
      <c r="E514" s="285"/>
      <c r="F514" s="285"/>
      <c r="G514" s="285"/>
      <c r="H514" s="285"/>
      <c r="I514" s="285"/>
      <c r="J514" s="287"/>
      <c r="K514" s="286"/>
    </row>
    <row r="515" spans="2:11" x14ac:dyDescent="0.2">
      <c r="B515" s="38"/>
      <c r="C515" s="40" t="s">
        <v>315</v>
      </c>
      <c r="D515" s="40"/>
      <c r="E515" s="40"/>
      <c r="F515" s="40"/>
      <c r="G515" s="40"/>
      <c r="H515" s="40"/>
      <c r="I515" s="40"/>
      <c r="J515" s="266" t="s">
        <v>873</v>
      </c>
      <c r="K515" s="41"/>
    </row>
    <row r="516" spans="2:11" x14ac:dyDescent="0.2">
      <c r="B516" s="38"/>
      <c r="C516" s="40" t="s">
        <v>261</v>
      </c>
      <c r="D516" s="40"/>
      <c r="E516" s="40"/>
      <c r="F516" s="40"/>
      <c r="G516" s="40"/>
      <c r="H516" s="40"/>
      <c r="I516" s="40"/>
      <c r="J516" s="245">
        <f>IF(J515=$B$973,$A$973,IF(J515=$B$974,$A$974,IF(J515=$B$975,$A$975,IF(J515=$B$976,$A$976,IF(J515=$B$977,$A$977,"Not Calculated")))))</f>
        <v>3</v>
      </c>
      <c r="K516" s="41"/>
    </row>
    <row r="517" spans="2:11" x14ac:dyDescent="0.2">
      <c r="B517" s="38"/>
      <c r="C517" s="40" t="s">
        <v>893</v>
      </c>
      <c r="D517" s="40"/>
      <c r="E517" s="40"/>
      <c r="F517" s="40"/>
      <c r="G517" s="40"/>
      <c r="H517" s="40"/>
      <c r="I517" s="40"/>
      <c r="J517" s="40"/>
      <c r="K517" s="41"/>
    </row>
    <row r="518" spans="2:11" ht="30" customHeight="1" x14ac:dyDescent="0.2">
      <c r="B518" s="38"/>
      <c r="C518" s="399" t="s">
        <v>465</v>
      </c>
      <c r="D518" s="400"/>
      <c r="E518" s="400"/>
      <c r="F518" s="400"/>
      <c r="G518" s="400"/>
      <c r="H518" s="400"/>
      <c r="I518" s="400"/>
      <c r="J518" s="401"/>
      <c r="K518" s="41"/>
    </row>
    <row r="519" spans="2:11" x14ac:dyDescent="0.2">
      <c r="B519" s="38"/>
      <c r="C519" s="40"/>
      <c r="D519" s="40"/>
      <c r="E519" s="40"/>
      <c r="F519" s="40"/>
      <c r="G519" s="40"/>
      <c r="H519" s="40"/>
      <c r="I519" s="40"/>
      <c r="J519" s="40"/>
      <c r="K519" s="41"/>
    </row>
    <row r="520" spans="2:11" x14ac:dyDescent="0.2">
      <c r="B520" s="38"/>
      <c r="C520" s="179" t="s">
        <v>320</v>
      </c>
      <c r="D520" s="40"/>
      <c r="E520" s="40"/>
      <c r="F520" s="40"/>
      <c r="G520" s="40"/>
      <c r="H520" s="40"/>
      <c r="I520" s="40"/>
      <c r="J520" s="245">
        <f>IF(OR(J509="Not Calculated",J516="Not Calculated")=TRUE,"Not Calculated",AVERAGE(J509,J516))</f>
        <v>2</v>
      </c>
      <c r="K520" s="41"/>
    </row>
    <row r="521" spans="2:11" x14ac:dyDescent="0.2">
      <c r="B521" s="38"/>
      <c r="C521" s="40"/>
      <c r="D521" s="40"/>
      <c r="E521" s="40"/>
      <c r="F521" s="40"/>
      <c r="G521" s="40"/>
      <c r="H521" s="40"/>
      <c r="I521" s="40"/>
      <c r="J521" s="40"/>
      <c r="K521" s="41"/>
    </row>
    <row r="522" spans="2:11" x14ac:dyDescent="0.2">
      <c r="B522" s="38"/>
      <c r="C522" s="40"/>
      <c r="D522" s="40"/>
      <c r="E522" s="40"/>
      <c r="F522" s="40"/>
      <c r="G522" s="40"/>
      <c r="H522" s="40"/>
      <c r="I522" s="40"/>
      <c r="J522" s="40"/>
      <c r="K522" s="41"/>
    </row>
    <row r="523" spans="2:11" ht="16" x14ac:dyDescent="0.2">
      <c r="B523" s="38"/>
      <c r="C523" s="45" t="s">
        <v>317</v>
      </c>
      <c r="D523" s="40"/>
      <c r="E523" s="40"/>
      <c r="F523" s="40"/>
      <c r="G523" s="40"/>
      <c r="H523" s="40"/>
      <c r="I523" s="40"/>
      <c r="J523" s="40"/>
      <c r="K523" s="41"/>
    </row>
    <row r="524" spans="2:11" ht="15" customHeight="1" x14ac:dyDescent="0.2">
      <c r="B524" s="38"/>
      <c r="C524" s="380" t="s">
        <v>318</v>
      </c>
      <c r="D524" s="380"/>
      <c r="E524" s="380"/>
      <c r="F524" s="380"/>
      <c r="G524" s="380"/>
      <c r="H524" s="380"/>
      <c r="I524" s="380"/>
      <c r="J524" s="40"/>
      <c r="K524" s="41"/>
    </row>
    <row r="525" spans="2:11" x14ac:dyDescent="0.2">
      <c r="B525" s="38"/>
      <c r="C525" s="380"/>
      <c r="D525" s="380"/>
      <c r="E525" s="380"/>
      <c r="F525" s="380"/>
      <c r="G525" s="380"/>
      <c r="H525" s="380"/>
      <c r="I525" s="380"/>
      <c r="J525" s="274">
        <v>20</v>
      </c>
      <c r="K525" s="41"/>
    </row>
    <row r="526" spans="2:11" x14ac:dyDescent="0.2">
      <c r="B526" s="38"/>
      <c r="C526" s="40" t="s">
        <v>260</v>
      </c>
      <c r="D526" s="40"/>
      <c r="E526" s="40"/>
      <c r="F526" s="40"/>
      <c r="G526" s="40"/>
      <c r="H526" s="40"/>
      <c r="I526" s="40"/>
      <c r="J526" s="248">
        <f>IF(J525&lt;=0,0,IF(J525&lt;=1,1,IF(J525&lt;=5,2,IF(J525&lt;=10,3,4))))</f>
        <v>4</v>
      </c>
      <c r="K526" s="41"/>
    </row>
    <row r="527" spans="2:11" s="51" customFormat="1" ht="9.75" customHeight="1" x14ac:dyDescent="0.2">
      <c r="B527" s="283"/>
      <c r="C527" s="279" t="str">
        <f>"0:"</f>
        <v>0:</v>
      </c>
      <c r="D527" s="284" t="s">
        <v>965</v>
      </c>
      <c r="E527" s="285"/>
      <c r="F527" s="285"/>
      <c r="G527" s="285"/>
      <c r="H527" s="285"/>
      <c r="I527" s="285"/>
      <c r="J527" s="43"/>
      <c r="K527" s="286"/>
    </row>
    <row r="528" spans="2:11" s="51" customFormat="1" ht="9.75" customHeight="1" x14ac:dyDescent="0.2">
      <c r="B528" s="283"/>
      <c r="C528" s="280" t="str">
        <f>"1:"</f>
        <v>1:</v>
      </c>
      <c r="D528" s="284" t="s">
        <v>966</v>
      </c>
      <c r="E528" s="285"/>
      <c r="F528" s="285"/>
      <c r="G528" s="285"/>
      <c r="H528" s="285"/>
      <c r="I528" s="285"/>
      <c r="J528" s="43"/>
      <c r="K528" s="286"/>
    </row>
    <row r="529" spans="2:11" s="51" customFormat="1" ht="9.75" customHeight="1" x14ac:dyDescent="0.2">
      <c r="B529" s="283"/>
      <c r="C529" s="280" t="str">
        <f>"2:"</f>
        <v>2:</v>
      </c>
      <c r="D529" s="284" t="s">
        <v>967</v>
      </c>
      <c r="E529" s="285"/>
      <c r="F529" s="285"/>
      <c r="G529" s="285"/>
      <c r="H529" s="285"/>
      <c r="I529" s="285"/>
      <c r="J529" s="43"/>
      <c r="K529" s="286"/>
    </row>
    <row r="530" spans="2:11" s="51" customFormat="1" ht="9.75" customHeight="1" x14ac:dyDescent="0.2">
      <c r="B530" s="283"/>
      <c r="C530" s="280" t="str">
        <f>"3:"</f>
        <v>3:</v>
      </c>
      <c r="D530" s="284" t="s">
        <v>968</v>
      </c>
      <c r="E530" s="285"/>
      <c r="F530" s="285"/>
      <c r="G530" s="285"/>
      <c r="H530" s="285"/>
      <c r="I530" s="285"/>
      <c r="J530" s="43"/>
      <c r="K530" s="286"/>
    </row>
    <row r="531" spans="2:11" s="51" customFormat="1" ht="9.75" customHeight="1" x14ac:dyDescent="0.2">
      <c r="B531" s="283"/>
      <c r="C531" s="280" t="str">
        <f>"4:"</f>
        <v>4:</v>
      </c>
      <c r="D531" s="284" t="s">
        <v>969</v>
      </c>
      <c r="E531" s="285"/>
      <c r="F531" s="285"/>
      <c r="G531" s="285"/>
      <c r="H531" s="285"/>
      <c r="I531" s="285"/>
      <c r="J531" s="287"/>
      <c r="K531" s="286"/>
    </row>
    <row r="532" spans="2:11" x14ac:dyDescent="0.2">
      <c r="B532" s="38"/>
      <c r="C532" s="40" t="s">
        <v>257</v>
      </c>
      <c r="D532" s="40"/>
      <c r="E532" s="40"/>
      <c r="F532" s="40"/>
      <c r="G532" s="40"/>
      <c r="H532" s="40"/>
      <c r="I532" s="40"/>
      <c r="J532" s="266" t="s">
        <v>873</v>
      </c>
      <c r="K532" s="41"/>
    </row>
    <row r="533" spans="2:11" x14ac:dyDescent="0.2">
      <c r="B533" s="38"/>
      <c r="C533" s="40" t="s">
        <v>261</v>
      </c>
      <c r="D533" s="40"/>
      <c r="E533" s="40"/>
      <c r="F533" s="40"/>
      <c r="G533" s="40"/>
      <c r="H533" s="40"/>
      <c r="I533" s="40"/>
      <c r="J533" s="245">
        <f>IF(J532=$B$973,$A$973,IF(J532=$B$974,$A$974,IF(J532=$B$975,$A$975,IF(J532=$B$976,$A$976,IF(J532=$B$977,$A$977,"Not Calculated")))))</f>
        <v>3</v>
      </c>
      <c r="K533" s="41"/>
    </row>
    <row r="534" spans="2:11" x14ac:dyDescent="0.2">
      <c r="B534" s="38"/>
      <c r="C534" s="40" t="s">
        <v>893</v>
      </c>
      <c r="D534" s="40"/>
      <c r="E534" s="40"/>
      <c r="F534" s="40"/>
      <c r="G534" s="40"/>
      <c r="H534" s="40"/>
      <c r="I534" s="40"/>
      <c r="J534" s="40"/>
      <c r="K534" s="41"/>
    </row>
    <row r="535" spans="2:11" ht="30" customHeight="1" x14ac:dyDescent="0.2">
      <c r="B535" s="38"/>
      <c r="C535" s="399" t="s">
        <v>466</v>
      </c>
      <c r="D535" s="400"/>
      <c r="E535" s="400"/>
      <c r="F535" s="400"/>
      <c r="G535" s="400"/>
      <c r="H535" s="400"/>
      <c r="I535" s="400"/>
      <c r="J535" s="401"/>
      <c r="K535" s="41"/>
    </row>
    <row r="536" spans="2:11" x14ac:dyDescent="0.2">
      <c r="B536" s="38"/>
      <c r="C536" s="40"/>
      <c r="D536" s="40"/>
      <c r="E536" s="40"/>
      <c r="F536" s="40"/>
      <c r="G536" s="40"/>
      <c r="H536" s="40"/>
      <c r="I536" s="40"/>
      <c r="J536" s="40"/>
      <c r="K536" s="41"/>
    </row>
    <row r="537" spans="2:11" x14ac:dyDescent="0.2">
      <c r="B537" s="38"/>
      <c r="C537" s="179" t="s">
        <v>319</v>
      </c>
      <c r="D537" s="40"/>
      <c r="E537" s="40"/>
      <c r="F537" s="40"/>
      <c r="G537" s="40"/>
      <c r="H537" s="40"/>
      <c r="I537" s="40"/>
      <c r="J537" s="245">
        <f>IF(OR(J526="Not Calculated",J533="Not Calculated")=TRUE,"Not Calculated",AVERAGE(J526,J533))</f>
        <v>3.5</v>
      </c>
      <c r="K537" s="41"/>
    </row>
    <row r="538" spans="2:11" x14ac:dyDescent="0.2">
      <c r="B538" s="38"/>
      <c r="C538" s="40"/>
      <c r="D538" s="40"/>
      <c r="E538" s="40"/>
      <c r="F538" s="40"/>
      <c r="G538" s="40"/>
      <c r="H538" s="40"/>
      <c r="I538" s="40"/>
      <c r="J538" s="40"/>
      <c r="K538" s="41"/>
    </row>
    <row r="539" spans="2:11" ht="18" x14ac:dyDescent="0.2">
      <c r="B539" s="38"/>
      <c r="C539" s="180" t="s">
        <v>302</v>
      </c>
      <c r="D539" s="40"/>
      <c r="E539" s="40"/>
      <c r="F539" s="40"/>
      <c r="G539" s="40"/>
      <c r="H539" s="40"/>
      <c r="I539" s="40"/>
      <c r="J539" s="244">
        <f>IF(OR(J440="Not Calculated",J457="Not Calculated",J473="Not Calculated",J488="Not Calculated",J504="Not Calculated",J520="Not Calculated",J537="Not Calculated")=TRUE,"Not Calculated",AVERAGE(J440,J457,J473,J488,J504,J520,J537))</f>
        <v>1.6428571428571428</v>
      </c>
      <c r="K539" s="41"/>
    </row>
    <row r="540" spans="2:11" ht="16" thickBot="1" x14ac:dyDescent="0.25">
      <c r="B540" s="46"/>
      <c r="C540" s="47"/>
      <c r="D540" s="47"/>
      <c r="E540" s="47"/>
      <c r="F540" s="47"/>
      <c r="G540" s="47"/>
      <c r="H540" s="47"/>
      <c r="I540" s="47"/>
      <c r="J540" s="47"/>
      <c r="K540" s="49"/>
    </row>
    <row r="541" spans="2:11" ht="16" thickBot="1" x14ac:dyDescent="0.25"/>
    <row r="542" spans="2:11" x14ac:dyDescent="0.2">
      <c r="B542" s="33"/>
      <c r="C542" s="34"/>
      <c r="D542" s="34"/>
      <c r="E542" s="34"/>
      <c r="F542" s="34"/>
      <c r="G542" s="34"/>
      <c r="H542" s="34"/>
      <c r="I542" s="34"/>
      <c r="J542" s="34"/>
      <c r="K542" s="37"/>
    </row>
    <row r="543" spans="2:11" ht="21" x14ac:dyDescent="0.25">
      <c r="B543" s="38"/>
      <c r="C543" s="40"/>
      <c r="D543" s="40"/>
      <c r="E543" s="40"/>
      <c r="F543" s="40"/>
      <c r="G543" s="172" t="s">
        <v>29</v>
      </c>
      <c r="H543" s="40"/>
      <c r="I543" s="40"/>
      <c r="J543" s="40"/>
      <c r="K543" s="41"/>
    </row>
    <row r="544" spans="2:11" ht="15" customHeight="1" x14ac:dyDescent="0.2">
      <c r="B544" s="38"/>
      <c r="C544" s="40"/>
      <c r="D544" s="40"/>
      <c r="E544" s="40"/>
      <c r="F544" s="40"/>
      <c r="G544" s="40"/>
      <c r="H544" s="40"/>
      <c r="I544" s="40"/>
      <c r="J544" s="40"/>
      <c r="K544" s="41"/>
    </row>
    <row r="545" spans="2:14" ht="16" x14ac:dyDescent="0.2">
      <c r="B545" s="38"/>
      <c r="C545" s="45" t="s">
        <v>88</v>
      </c>
      <c r="D545" s="40"/>
      <c r="E545" s="40"/>
      <c r="F545" s="40"/>
      <c r="G545" s="40"/>
      <c r="H545" s="40"/>
      <c r="I545" s="40"/>
      <c r="J545" s="40"/>
      <c r="K545" s="41"/>
    </row>
    <row r="546" spans="2:14" x14ac:dyDescent="0.2">
      <c r="B546" s="38"/>
      <c r="C546" s="40" t="s">
        <v>448</v>
      </c>
      <c r="D546" s="40"/>
      <c r="E546" s="40"/>
      <c r="F546" s="40"/>
      <c r="G546" s="40"/>
      <c r="H546" s="40"/>
      <c r="I546" s="40"/>
      <c r="J546" s="251">
        <f>'Baseline Health'!G123</f>
        <v>0</v>
      </c>
      <c r="K546" s="41"/>
    </row>
    <row r="547" spans="2:14" x14ac:dyDescent="0.2">
      <c r="B547" s="38"/>
      <c r="C547" s="40" t="s">
        <v>322</v>
      </c>
      <c r="D547" s="40"/>
      <c r="E547" s="40"/>
      <c r="F547" s="40"/>
      <c r="G547" s="40"/>
      <c r="H547" s="40"/>
      <c r="I547" s="40"/>
      <c r="J547" s="264">
        <v>0</v>
      </c>
      <c r="K547" s="41"/>
    </row>
    <row r="548" spans="2:14" x14ac:dyDescent="0.2">
      <c r="B548" s="38"/>
      <c r="C548" s="40" t="s">
        <v>428</v>
      </c>
      <c r="D548" s="40"/>
      <c r="E548" s="40"/>
      <c r="F548" s="40"/>
      <c r="G548" s="40"/>
      <c r="H548" s="40"/>
      <c r="I548" s="40"/>
      <c r="J548" s="264">
        <f>J546*0.5</f>
        <v>0</v>
      </c>
      <c r="K548" s="41"/>
    </row>
    <row r="549" spans="2:14" x14ac:dyDescent="0.2">
      <c r="B549" s="38"/>
      <c r="C549" s="40" t="s">
        <v>260</v>
      </c>
      <c r="D549" s="40"/>
      <c r="E549" s="40"/>
      <c r="F549" s="40"/>
      <c r="G549" s="40"/>
      <c r="H549" s="40"/>
      <c r="I549" s="40"/>
      <c r="J549" s="245" t="str">
        <f>IF(OR(J546=0,J546="Not Calculated")=TRUE,"Not Calculated",IF(J546-J547=0,4,(IF(((J546+J548)/(J546-J547))&lt;=1,0,IF(((J546+J548)/(J546-J547))&lt;=1.05,1,IF(((J546+J548)/(J546-J547))&lt;=1.5, 2,IF(((J546+J548)/(J546-J547))&lt;=2,3,4)))))))</f>
        <v>Not Calculated</v>
      </c>
      <c r="K549" s="41"/>
    </row>
    <row r="550" spans="2:14" ht="9.75" customHeight="1" x14ac:dyDescent="0.2">
      <c r="B550" s="38"/>
      <c r="C550" s="279" t="str">
        <f>"0:"</f>
        <v>0:</v>
      </c>
      <c r="D550" s="278" t="s">
        <v>918</v>
      </c>
      <c r="E550" s="40"/>
      <c r="F550" s="40"/>
      <c r="G550" s="40"/>
      <c r="H550" s="40"/>
      <c r="I550" s="40"/>
      <c r="J550" s="251"/>
      <c r="K550" s="41"/>
    </row>
    <row r="551" spans="2:14" ht="9.75" customHeight="1" x14ac:dyDescent="0.2">
      <c r="B551" s="38"/>
      <c r="C551" s="280" t="str">
        <f>"1:"</f>
        <v>1:</v>
      </c>
      <c r="D551" s="278" t="s">
        <v>923</v>
      </c>
      <c r="E551" s="40"/>
      <c r="F551" s="40"/>
      <c r="G551" s="40"/>
      <c r="H551" s="40"/>
      <c r="I551" s="40"/>
      <c r="J551" s="251"/>
      <c r="K551" s="41"/>
    </row>
    <row r="552" spans="2:14" ht="9.75" customHeight="1" x14ac:dyDescent="0.2">
      <c r="B552" s="38"/>
      <c r="C552" s="280" t="str">
        <f>"2:"</f>
        <v>2:</v>
      </c>
      <c r="D552" s="278" t="s">
        <v>924</v>
      </c>
      <c r="E552" s="40"/>
      <c r="F552" s="40"/>
      <c r="G552" s="40"/>
      <c r="H552" s="40"/>
      <c r="I552" s="40"/>
      <c r="J552" s="251"/>
      <c r="K552" s="41"/>
    </row>
    <row r="553" spans="2:14" ht="9.75" customHeight="1" x14ac:dyDescent="0.2">
      <c r="B553" s="38"/>
      <c r="C553" s="280" t="str">
        <f>"3:"</f>
        <v>3:</v>
      </c>
      <c r="D553" s="278" t="s">
        <v>925</v>
      </c>
      <c r="E553" s="40"/>
      <c r="F553" s="40"/>
      <c r="G553" s="40"/>
      <c r="H553" s="40"/>
      <c r="I553" s="40"/>
      <c r="J553" s="251"/>
      <c r="K553" s="41"/>
    </row>
    <row r="554" spans="2:14" ht="9.75" customHeight="1" x14ac:dyDescent="0.2">
      <c r="B554" s="38"/>
      <c r="C554" s="280" t="str">
        <f>"4:"</f>
        <v>4:</v>
      </c>
      <c r="D554" s="278" t="s">
        <v>926</v>
      </c>
      <c r="E554" s="40"/>
      <c r="F554" s="40"/>
      <c r="G554" s="40"/>
      <c r="H554" s="40"/>
      <c r="I554" s="40"/>
      <c r="J554" s="40"/>
      <c r="K554" s="41"/>
      <c r="N554" s="12" t="s">
        <v>661</v>
      </c>
    </row>
    <row r="555" spans="2:14" x14ac:dyDescent="0.2">
      <c r="B555" s="38"/>
      <c r="C555" s="174" t="s">
        <v>662</v>
      </c>
      <c r="D555" s="40"/>
      <c r="E555" s="40"/>
      <c r="F555" s="40"/>
      <c r="G555" s="40"/>
      <c r="H555" s="40"/>
      <c r="I555" s="40"/>
      <c r="J555" s="265" t="s">
        <v>661</v>
      </c>
      <c r="K555" s="41"/>
      <c r="N555" s="12" t="s">
        <v>894</v>
      </c>
    </row>
    <row r="556" spans="2:14" x14ac:dyDescent="0.2">
      <c r="B556" s="38"/>
      <c r="C556" s="174" t="s">
        <v>660</v>
      </c>
      <c r="D556" s="40"/>
      <c r="E556" s="40"/>
      <c r="F556" s="40"/>
      <c r="G556" s="40"/>
      <c r="H556" s="40"/>
      <c r="I556" s="40"/>
      <c r="J556" s="247" t="str">
        <f>IF(J555=N554,"N/A",IF(J555=N555,0,IF(J555=N556,1,IF(J555=N557,2,IF(J555=N558,3,IF(J555=N559,4,"N/A"))))))</f>
        <v>N/A</v>
      </c>
      <c r="K556" s="41"/>
      <c r="N556" s="12" t="s">
        <v>899</v>
      </c>
    </row>
    <row r="557" spans="2:14" x14ac:dyDescent="0.2">
      <c r="B557" s="38"/>
      <c r="C557" s="40" t="s">
        <v>257</v>
      </c>
      <c r="D557" s="40"/>
      <c r="E557" s="40"/>
      <c r="F557" s="40"/>
      <c r="G557" s="40"/>
      <c r="H557" s="40"/>
      <c r="I557" s="40"/>
      <c r="J557" s="266" t="s">
        <v>873</v>
      </c>
      <c r="K557" s="41"/>
      <c r="N557" s="12" t="s">
        <v>900</v>
      </c>
    </row>
    <row r="558" spans="2:14" x14ac:dyDescent="0.2">
      <c r="B558" s="38"/>
      <c r="C558" s="40" t="s">
        <v>261</v>
      </c>
      <c r="D558" s="40"/>
      <c r="E558" s="40"/>
      <c r="F558" s="40"/>
      <c r="G558" s="40"/>
      <c r="H558" s="40"/>
      <c r="I558" s="40"/>
      <c r="J558" s="245">
        <f>IF(J557=$B$973,$A$973,IF(J557=$B$974,$A$974,IF(J557=$B$975,$A$975,IF(J557=$B$976,$A$976,IF(J557=$B$977,$A$977,"Not Calculated")))))</f>
        <v>3</v>
      </c>
      <c r="K558" s="41"/>
      <c r="N558" s="12" t="s">
        <v>901</v>
      </c>
    </row>
    <row r="559" spans="2:14" x14ac:dyDescent="0.2">
      <c r="B559" s="38"/>
      <c r="C559" s="40" t="s">
        <v>893</v>
      </c>
      <c r="D559" s="40"/>
      <c r="E559" s="40"/>
      <c r="F559" s="40"/>
      <c r="G559" s="40"/>
      <c r="H559" s="40"/>
      <c r="I559" s="40"/>
      <c r="J559" s="40"/>
      <c r="K559" s="41"/>
      <c r="N559" s="12" t="s">
        <v>902</v>
      </c>
    </row>
    <row r="560" spans="2:14" ht="30" customHeight="1" x14ac:dyDescent="0.2">
      <c r="B560" s="38"/>
      <c r="C560" s="399" t="s">
        <v>1180</v>
      </c>
      <c r="D560" s="400"/>
      <c r="E560" s="400"/>
      <c r="F560" s="400"/>
      <c r="G560" s="400"/>
      <c r="H560" s="400"/>
      <c r="I560" s="400"/>
      <c r="J560" s="401"/>
      <c r="K560" s="41"/>
    </row>
    <row r="561" spans="2:11" x14ac:dyDescent="0.2">
      <c r="B561" s="38"/>
      <c r="C561" s="40"/>
      <c r="D561" s="40"/>
      <c r="E561" s="40"/>
      <c r="F561" s="40"/>
      <c r="G561" s="40"/>
      <c r="H561" s="40"/>
      <c r="I561" s="40"/>
      <c r="J561" s="40"/>
      <c r="K561" s="41"/>
    </row>
    <row r="562" spans="2:11" x14ac:dyDescent="0.2">
      <c r="B562" s="38"/>
      <c r="C562" s="179" t="s">
        <v>323</v>
      </c>
      <c r="D562" s="40"/>
      <c r="E562" s="40"/>
      <c r="F562" s="40"/>
      <c r="G562" s="40"/>
      <c r="H562" s="40"/>
      <c r="I562" s="40"/>
      <c r="J562" s="245" t="str">
        <f>IF(J556="N/A",IF(OR(J549="Not Calculated",J558="Not Calculated")=TRUE,"Not Calculated",AVERAGE(J549,J558)),AVERAGE(J556,J558))</f>
        <v>Not Calculated</v>
      </c>
      <c r="K562" s="41"/>
    </row>
    <row r="563" spans="2:11" x14ac:dyDescent="0.2">
      <c r="B563" s="38"/>
      <c r="C563" s="40"/>
      <c r="D563" s="40"/>
      <c r="E563" s="40"/>
      <c r="F563" s="40"/>
      <c r="G563" s="40"/>
      <c r="H563" s="40"/>
      <c r="I563" s="40"/>
      <c r="J563" s="40"/>
      <c r="K563" s="41"/>
    </row>
    <row r="564" spans="2:11" x14ac:dyDescent="0.2">
      <c r="B564" s="38"/>
      <c r="C564" s="40"/>
      <c r="D564" s="40"/>
      <c r="E564" s="40"/>
      <c r="F564" s="40"/>
      <c r="G564" s="40"/>
      <c r="H564" s="40"/>
      <c r="I564" s="40"/>
      <c r="J564" s="40"/>
      <c r="K564" s="41"/>
    </row>
    <row r="565" spans="2:11" ht="16" x14ac:dyDescent="0.2">
      <c r="B565" s="38"/>
      <c r="C565" s="45" t="s">
        <v>89</v>
      </c>
      <c r="D565" s="40"/>
      <c r="E565" s="40"/>
      <c r="F565" s="40"/>
      <c r="G565" s="40"/>
      <c r="H565" s="40"/>
      <c r="I565" s="40"/>
      <c r="J565" s="40"/>
      <c r="K565" s="41"/>
    </row>
    <row r="566" spans="2:11" ht="15" customHeight="1" x14ac:dyDescent="0.2">
      <c r="B566" s="38"/>
      <c r="C566" s="380" t="s">
        <v>333</v>
      </c>
      <c r="D566" s="380"/>
      <c r="E566" s="380"/>
      <c r="F566" s="380"/>
      <c r="G566" s="380"/>
      <c r="H566" s="380"/>
      <c r="I566" s="380"/>
      <c r="J566" s="40"/>
      <c r="K566" s="41"/>
    </row>
    <row r="567" spans="2:11" x14ac:dyDescent="0.2">
      <c r="B567" s="38"/>
      <c r="C567" s="380"/>
      <c r="D567" s="380"/>
      <c r="E567" s="380"/>
      <c r="F567" s="380"/>
      <c r="G567" s="380"/>
      <c r="H567" s="380"/>
      <c r="I567" s="380"/>
      <c r="J567" s="40"/>
      <c r="K567" s="41"/>
    </row>
    <row r="568" spans="2:11" x14ac:dyDescent="0.2">
      <c r="B568" s="38"/>
      <c r="C568" s="380"/>
      <c r="D568" s="380"/>
      <c r="E568" s="380"/>
      <c r="F568" s="380"/>
      <c r="G568" s="380"/>
      <c r="H568" s="380"/>
      <c r="I568" s="380"/>
      <c r="J568" s="251">
        <f>'Baseline Health'!G132</f>
        <v>0</v>
      </c>
      <c r="K568" s="41"/>
    </row>
    <row r="569" spans="2:11" ht="15" customHeight="1" x14ac:dyDescent="0.2">
      <c r="B569" s="38"/>
      <c r="C569" s="380" t="s">
        <v>334</v>
      </c>
      <c r="D569" s="380"/>
      <c r="E569" s="380"/>
      <c r="F569" s="380"/>
      <c r="G569" s="380"/>
      <c r="H569" s="380"/>
      <c r="I569" s="380"/>
      <c r="J569" s="245"/>
      <c r="K569" s="41"/>
    </row>
    <row r="570" spans="2:11" x14ac:dyDescent="0.2">
      <c r="B570" s="38"/>
      <c r="C570" s="380"/>
      <c r="D570" s="380"/>
      <c r="E570" s="380"/>
      <c r="F570" s="380"/>
      <c r="G570" s="380"/>
      <c r="H570" s="380"/>
      <c r="I570" s="380"/>
      <c r="J570" s="245"/>
      <c r="K570" s="41"/>
    </row>
    <row r="571" spans="2:11" x14ac:dyDescent="0.2">
      <c r="B571" s="38"/>
      <c r="C571" s="380"/>
      <c r="D571" s="380"/>
      <c r="E571" s="380"/>
      <c r="F571" s="380"/>
      <c r="G571" s="380"/>
      <c r="H571" s="380"/>
      <c r="I571" s="380"/>
      <c r="J571" s="264">
        <f>J568*0.5</f>
        <v>0</v>
      </c>
      <c r="K571" s="41"/>
    </row>
    <row r="572" spans="2:11" x14ac:dyDescent="0.2">
      <c r="B572" s="38"/>
      <c r="C572" s="40" t="s">
        <v>260</v>
      </c>
      <c r="D572" s="40"/>
      <c r="E572" s="40"/>
      <c r="F572" s="40"/>
      <c r="G572" s="40"/>
      <c r="H572" s="40"/>
      <c r="I572" s="40"/>
      <c r="J572" s="245" t="str">
        <f>IF(OR(J568=0,J568="Not Calculated")=TRUE,"Not Calculated",IF(((J568+J571)/J568)&lt;=1,0,IF(((J568+J571)/J568)&lt;=1.05,1,IF(((J568+J571)/J568)&lt;=1.5, 2,IF(((J568+J571)/J568)&lt;=2,3,4)))))</f>
        <v>Not Calculated</v>
      </c>
      <c r="K572" s="41"/>
    </row>
    <row r="573" spans="2:11" ht="9.75" customHeight="1" x14ac:dyDescent="0.2">
      <c r="B573" s="38"/>
      <c r="C573" s="279" t="str">
        <f>"0:"</f>
        <v>0:</v>
      </c>
      <c r="D573" s="281" t="s">
        <v>918</v>
      </c>
      <c r="E573" s="291"/>
      <c r="F573" s="291"/>
      <c r="G573" s="291"/>
      <c r="H573" s="291"/>
      <c r="I573" s="291"/>
      <c r="J573" s="251"/>
      <c r="K573" s="41"/>
    </row>
    <row r="574" spans="2:11" ht="9.75" customHeight="1" x14ac:dyDescent="0.2">
      <c r="B574" s="38"/>
      <c r="C574" s="280" t="str">
        <f>"1:"</f>
        <v>1:</v>
      </c>
      <c r="D574" s="281" t="s">
        <v>919</v>
      </c>
      <c r="E574" s="291"/>
      <c r="F574" s="291"/>
      <c r="G574" s="291"/>
      <c r="H574" s="291"/>
      <c r="I574" s="291"/>
      <c r="J574" s="251"/>
      <c r="K574" s="41"/>
    </row>
    <row r="575" spans="2:11" ht="9.75" customHeight="1" x14ac:dyDescent="0.2">
      <c r="B575" s="38"/>
      <c r="C575" s="280" t="str">
        <f>"2:"</f>
        <v>2:</v>
      </c>
      <c r="D575" s="281" t="s">
        <v>920</v>
      </c>
      <c r="E575" s="291"/>
      <c r="F575" s="291"/>
      <c r="G575" s="291"/>
      <c r="H575" s="291"/>
      <c r="I575" s="291"/>
      <c r="J575" s="251"/>
      <c r="K575" s="41"/>
    </row>
    <row r="576" spans="2:11" ht="9.75" customHeight="1" x14ac:dyDescent="0.2">
      <c r="B576" s="38"/>
      <c r="C576" s="280" t="str">
        <f>"3:"</f>
        <v>3:</v>
      </c>
      <c r="D576" s="281" t="s">
        <v>921</v>
      </c>
      <c r="E576" s="291"/>
      <c r="F576" s="291"/>
      <c r="G576" s="291"/>
      <c r="H576" s="291"/>
      <c r="I576" s="291"/>
      <c r="J576" s="251"/>
      <c r="K576" s="41"/>
    </row>
    <row r="577" spans="2:14" ht="9.75" customHeight="1" x14ac:dyDescent="0.2">
      <c r="B577" s="38"/>
      <c r="C577" s="280" t="str">
        <f>"4:"</f>
        <v>4:</v>
      </c>
      <c r="D577" s="281" t="s">
        <v>922</v>
      </c>
      <c r="E577" s="40"/>
      <c r="F577" s="40"/>
      <c r="G577" s="40"/>
      <c r="H577" s="40"/>
      <c r="I577" s="40"/>
      <c r="J577" s="40"/>
      <c r="K577" s="41"/>
      <c r="N577" s="12" t="s">
        <v>661</v>
      </c>
    </row>
    <row r="578" spans="2:14" ht="15" customHeight="1" x14ac:dyDescent="0.2">
      <c r="B578" s="38"/>
      <c r="C578" s="174" t="s">
        <v>662</v>
      </c>
      <c r="D578" s="40"/>
      <c r="E578" s="40"/>
      <c r="F578" s="40"/>
      <c r="G578" s="40"/>
      <c r="H578" s="40"/>
      <c r="I578" s="40"/>
      <c r="J578" s="265" t="s">
        <v>661</v>
      </c>
      <c r="K578" s="41"/>
      <c r="N578" s="12" t="s">
        <v>894</v>
      </c>
    </row>
    <row r="579" spans="2:14" ht="15" customHeight="1" x14ac:dyDescent="0.2">
      <c r="B579" s="38"/>
      <c r="C579" s="174" t="s">
        <v>660</v>
      </c>
      <c r="D579" s="40"/>
      <c r="E579" s="40"/>
      <c r="F579" s="40"/>
      <c r="G579" s="40"/>
      <c r="H579" s="40"/>
      <c r="I579" s="40"/>
      <c r="J579" s="247" t="str">
        <f>IF(J578=N577,"N/A",IF(J578=N578,0,IF(J578=N579,1,IF(J578=N580,2,IF(J578=N581,3,IF(J578=N582,4,"N/A"))))))</f>
        <v>N/A</v>
      </c>
      <c r="K579" s="41"/>
      <c r="N579" s="12" t="s">
        <v>895</v>
      </c>
    </row>
    <row r="580" spans="2:14" x14ac:dyDescent="0.2">
      <c r="B580" s="38"/>
      <c r="C580" s="40" t="s">
        <v>257</v>
      </c>
      <c r="D580" s="40"/>
      <c r="E580" s="40"/>
      <c r="F580" s="40"/>
      <c r="G580" s="40"/>
      <c r="H580" s="40"/>
      <c r="I580" s="40"/>
      <c r="J580" s="266" t="s">
        <v>874</v>
      </c>
      <c r="K580" s="41"/>
      <c r="N580" s="12" t="s">
        <v>896</v>
      </c>
    </row>
    <row r="581" spans="2:14" x14ac:dyDescent="0.2">
      <c r="B581" s="38"/>
      <c r="C581" s="40" t="s">
        <v>261</v>
      </c>
      <c r="D581" s="40"/>
      <c r="E581" s="40"/>
      <c r="F581" s="40"/>
      <c r="G581" s="40"/>
      <c r="H581" s="40"/>
      <c r="I581" s="40"/>
      <c r="J581" s="245">
        <f>IF(J580=$B$973,$A$973,IF(J580=$B$974,$A$974,IF(J580=$B$975,$A$975,IF(J580=$B$976,$A$976,IF(J580=$B$977,$A$977,"Not Calculated")))))</f>
        <v>4</v>
      </c>
      <c r="K581" s="41"/>
      <c r="N581" s="12" t="s">
        <v>897</v>
      </c>
    </row>
    <row r="582" spans="2:14" x14ac:dyDescent="0.2">
      <c r="B582" s="38"/>
      <c r="C582" s="40" t="s">
        <v>893</v>
      </c>
      <c r="D582" s="40"/>
      <c r="E582" s="40"/>
      <c r="F582" s="40"/>
      <c r="G582" s="40"/>
      <c r="H582" s="40"/>
      <c r="I582" s="40"/>
      <c r="J582" s="40"/>
      <c r="K582" s="41"/>
      <c r="N582" s="12" t="s">
        <v>898</v>
      </c>
    </row>
    <row r="583" spans="2:14" ht="45" customHeight="1" x14ac:dyDescent="0.2">
      <c r="B583" s="38"/>
      <c r="C583" s="399" t="s">
        <v>467</v>
      </c>
      <c r="D583" s="400"/>
      <c r="E583" s="400"/>
      <c r="F583" s="400"/>
      <c r="G583" s="400"/>
      <c r="H583" s="400"/>
      <c r="I583" s="400"/>
      <c r="J583" s="401"/>
      <c r="K583" s="41"/>
    </row>
    <row r="584" spans="2:14" x14ac:dyDescent="0.2">
      <c r="B584" s="38"/>
      <c r="C584" s="40"/>
      <c r="D584" s="40"/>
      <c r="E584" s="40"/>
      <c r="F584" s="40"/>
      <c r="G584" s="40"/>
      <c r="H584" s="40"/>
      <c r="I584" s="40"/>
      <c r="J584" s="40"/>
      <c r="K584" s="41"/>
    </row>
    <row r="585" spans="2:14" x14ac:dyDescent="0.2">
      <c r="B585" s="38"/>
      <c r="C585" s="179" t="s">
        <v>324</v>
      </c>
      <c r="D585" s="40"/>
      <c r="E585" s="40"/>
      <c r="F585" s="40"/>
      <c r="G585" s="40"/>
      <c r="H585" s="40"/>
      <c r="I585" s="40"/>
      <c r="J585" s="245" t="str">
        <f>IF(J579="N/A",IF(OR(J572="Not Calculated",J581="Not Calculated")=TRUE,"Not Calculated",AVERAGE(J572,J581)),AVERAGE(J579,J581))</f>
        <v>Not Calculated</v>
      </c>
      <c r="K585" s="41"/>
    </row>
    <row r="586" spans="2:14" x14ac:dyDescent="0.2">
      <c r="B586" s="38"/>
      <c r="C586" s="40"/>
      <c r="D586" s="40"/>
      <c r="E586" s="40"/>
      <c r="F586" s="40"/>
      <c r="G586" s="40"/>
      <c r="H586" s="40"/>
      <c r="I586" s="40"/>
      <c r="J586" s="40"/>
      <c r="K586" s="41"/>
    </row>
    <row r="587" spans="2:14" x14ac:dyDescent="0.2">
      <c r="B587" s="38"/>
      <c r="C587" s="40"/>
      <c r="D587" s="40"/>
      <c r="E587" s="40"/>
      <c r="F587" s="40"/>
      <c r="G587" s="40"/>
      <c r="H587" s="40"/>
      <c r="I587" s="40"/>
      <c r="J587" s="40"/>
      <c r="K587" s="41"/>
    </row>
    <row r="588" spans="2:14" ht="16" x14ac:dyDescent="0.2">
      <c r="B588" s="38"/>
      <c r="C588" s="45" t="s">
        <v>115</v>
      </c>
      <c r="D588" s="40"/>
      <c r="E588" s="40"/>
      <c r="F588" s="40"/>
      <c r="G588" s="40"/>
      <c r="H588" s="40"/>
      <c r="I588" s="40"/>
      <c r="J588" s="40"/>
      <c r="K588" s="41"/>
    </row>
    <row r="589" spans="2:14" x14ac:dyDescent="0.2">
      <c r="B589" s="38"/>
      <c r="C589" s="40" t="s">
        <v>335</v>
      </c>
      <c r="D589" s="40"/>
      <c r="E589" s="40"/>
      <c r="F589" s="40"/>
      <c r="G589" s="40"/>
      <c r="H589" s="40"/>
      <c r="I589" s="40"/>
      <c r="J589" s="264">
        <v>250</v>
      </c>
      <c r="K589" s="41"/>
      <c r="L589" s="12" t="s">
        <v>1177</v>
      </c>
    </row>
    <row r="590" spans="2:14" x14ac:dyDescent="0.2">
      <c r="B590" s="38"/>
      <c r="C590" s="40" t="s">
        <v>260</v>
      </c>
      <c r="D590" s="40"/>
      <c r="E590" s="40"/>
      <c r="F590" s="40"/>
      <c r="G590" s="40"/>
      <c r="H590" s="40"/>
      <c r="I590" s="40"/>
      <c r="J590" s="255">
        <f>IF(J589&lt;=0,0,IF(J589&lt;=1000,1,IF(J589&lt;=5000,2,IF(J589&lt;=25000,3,4))))</f>
        <v>1</v>
      </c>
      <c r="K590" s="41"/>
    </row>
    <row r="591" spans="2:14" ht="9.75" customHeight="1" x14ac:dyDescent="0.2">
      <c r="B591" s="38"/>
      <c r="C591" s="279" t="str">
        <f>"0:"</f>
        <v>0:</v>
      </c>
      <c r="D591" s="284" t="s">
        <v>970</v>
      </c>
      <c r="E591" s="40"/>
      <c r="F591" s="40"/>
      <c r="G591" s="40"/>
      <c r="H591" s="40"/>
      <c r="I591" s="40"/>
      <c r="J591" s="251"/>
      <c r="K591" s="41"/>
    </row>
    <row r="592" spans="2:14" ht="9.75" customHeight="1" x14ac:dyDescent="0.2">
      <c r="B592" s="38"/>
      <c r="C592" s="280" t="str">
        <f>"1:"</f>
        <v>1:</v>
      </c>
      <c r="D592" s="284" t="s">
        <v>961</v>
      </c>
      <c r="E592" s="40"/>
      <c r="F592" s="40"/>
      <c r="G592" s="40"/>
      <c r="H592" s="40"/>
      <c r="I592" s="40"/>
      <c r="J592" s="251"/>
      <c r="K592" s="41"/>
    </row>
    <row r="593" spans="2:11" ht="9.75" customHeight="1" x14ac:dyDescent="0.2">
      <c r="B593" s="38"/>
      <c r="C593" s="280" t="str">
        <f>"2:"</f>
        <v>2:</v>
      </c>
      <c r="D593" s="284" t="s">
        <v>971</v>
      </c>
      <c r="E593" s="40"/>
      <c r="F593" s="40"/>
      <c r="G593" s="40"/>
      <c r="H593" s="40"/>
      <c r="I593" s="40"/>
      <c r="J593" s="251"/>
      <c r="K593" s="41"/>
    </row>
    <row r="594" spans="2:11" ht="9.75" customHeight="1" x14ac:dyDescent="0.2">
      <c r="B594" s="38"/>
      <c r="C594" s="280" t="str">
        <f>"3:"</f>
        <v>3:</v>
      </c>
      <c r="D594" s="284" t="s">
        <v>963</v>
      </c>
      <c r="E594" s="40"/>
      <c r="F594" s="40"/>
      <c r="G594" s="40"/>
      <c r="H594" s="40"/>
      <c r="I594" s="40"/>
      <c r="J594" s="251"/>
      <c r="K594" s="41"/>
    </row>
    <row r="595" spans="2:11" ht="9.75" customHeight="1" x14ac:dyDescent="0.2">
      <c r="B595" s="38"/>
      <c r="C595" s="280" t="str">
        <f>"4:"</f>
        <v>4:</v>
      </c>
      <c r="D595" s="284" t="s">
        <v>964</v>
      </c>
      <c r="E595" s="40"/>
      <c r="F595" s="40"/>
      <c r="G595" s="40"/>
      <c r="H595" s="40"/>
      <c r="I595" s="40"/>
      <c r="J595" s="40"/>
      <c r="K595" s="41"/>
    </row>
    <row r="596" spans="2:11" ht="15" customHeight="1" x14ac:dyDescent="0.2">
      <c r="B596" s="38"/>
      <c r="C596" s="40" t="s">
        <v>257</v>
      </c>
      <c r="D596" s="40"/>
      <c r="E596" s="40"/>
      <c r="F596" s="40"/>
      <c r="G596" s="40"/>
      <c r="H596" s="40"/>
      <c r="I596" s="40"/>
      <c r="J596" s="266" t="s">
        <v>873</v>
      </c>
      <c r="K596" s="41"/>
    </row>
    <row r="597" spans="2:11" ht="15" customHeight="1" x14ac:dyDescent="0.2">
      <c r="B597" s="38"/>
      <c r="C597" s="40" t="s">
        <v>261</v>
      </c>
      <c r="D597" s="40"/>
      <c r="E597" s="40"/>
      <c r="F597" s="40"/>
      <c r="G597" s="40"/>
      <c r="H597" s="40"/>
      <c r="I597" s="40"/>
      <c r="J597" s="245">
        <f>IF(J596=$B$973,$A$973,IF(J596=$B$974,$A$974,IF(J596=$B$975,$A$975,IF(J596=$B$976,$A$976,IF(J596=$B$977,$A$977,"Not Calculated")))))</f>
        <v>3</v>
      </c>
      <c r="K597" s="41"/>
    </row>
    <row r="598" spans="2:11" x14ac:dyDescent="0.2">
      <c r="B598" s="38"/>
      <c r="C598" s="40" t="s">
        <v>893</v>
      </c>
      <c r="D598" s="40"/>
      <c r="E598" s="40"/>
      <c r="F598" s="40"/>
      <c r="G598" s="40"/>
      <c r="H598" s="40"/>
      <c r="I598" s="40"/>
      <c r="J598" s="40"/>
      <c r="K598" s="41"/>
    </row>
    <row r="599" spans="2:11" ht="30" customHeight="1" x14ac:dyDescent="0.2">
      <c r="B599" s="38"/>
      <c r="C599" s="399" t="s">
        <v>488</v>
      </c>
      <c r="D599" s="400"/>
      <c r="E599" s="400"/>
      <c r="F599" s="400"/>
      <c r="G599" s="400"/>
      <c r="H599" s="400"/>
      <c r="I599" s="400"/>
      <c r="J599" s="401"/>
      <c r="K599" s="41"/>
    </row>
    <row r="600" spans="2:11" x14ac:dyDescent="0.2">
      <c r="B600" s="38"/>
      <c r="C600" s="40"/>
      <c r="D600" s="40"/>
      <c r="E600" s="40"/>
      <c r="F600" s="40"/>
      <c r="G600" s="40"/>
      <c r="H600" s="40"/>
      <c r="I600" s="40"/>
      <c r="J600" s="40"/>
      <c r="K600" s="41"/>
    </row>
    <row r="601" spans="2:11" x14ac:dyDescent="0.2">
      <c r="B601" s="38"/>
      <c r="C601" s="179" t="s">
        <v>325</v>
      </c>
      <c r="D601" s="40"/>
      <c r="E601" s="40"/>
      <c r="F601" s="40"/>
      <c r="G601" s="40"/>
      <c r="H601" s="40"/>
      <c r="I601" s="40"/>
      <c r="J601" s="245">
        <f>IF(J590="Not Calculated","Not Calculated",AVERAGE(J590,J597))</f>
        <v>2</v>
      </c>
      <c r="K601" s="41"/>
    </row>
    <row r="602" spans="2:11" x14ac:dyDescent="0.2">
      <c r="B602" s="38"/>
      <c r="C602" s="40"/>
      <c r="D602" s="40"/>
      <c r="E602" s="40"/>
      <c r="F602" s="40"/>
      <c r="G602" s="40"/>
      <c r="H602" s="40"/>
      <c r="I602" s="40"/>
      <c r="J602" s="40"/>
      <c r="K602" s="41"/>
    </row>
    <row r="603" spans="2:11" x14ac:dyDescent="0.2">
      <c r="B603" s="38"/>
      <c r="C603" s="40"/>
      <c r="D603" s="40"/>
      <c r="E603" s="40"/>
      <c r="F603" s="40"/>
      <c r="G603" s="40"/>
      <c r="H603" s="40"/>
      <c r="I603" s="40"/>
      <c r="J603" s="40"/>
      <c r="K603" s="41"/>
    </row>
    <row r="604" spans="2:11" ht="16" x14ac:dyDescent="0.2">
      <c r="B604" s="38"/>
      <c r="C604" s="45" t="s">
        <v>326</v>
      </c>
      <c r="D604" s="40"/>
      <c r="E604" s="40"/>
      <c r="F604" s="40"/>
      <c r="G604" s="40"/>
      <c r="H604" s="40"/>
      <c r="I604" s="40"/>
      <c r="J604" s="40"/>
      <c r="K604" s="41"/>
    </row>
    <row r="605" spans="2:11" x14ac:dyDescent="0.2">
      <c r="B605" s="38"/>
      <c r="C605" s="40" t="s">
        <v>336</v>
      </c>
      <c r="D605" s="40"/>
      <c r="E605" s="40"/>
      <c r="F605" s="40"/>
      <c r="G605" s="40"/>
      <c r="H605" s="40"/>
      <c r="I605" s="40"/>
      <c r="J605" s="271">
        <v>0</v>
      </c>
      <c r="K605" s="41"/>
    </row>
    <row r="606" spans="2:11" x14ac:dyDescent="0.2">
      <c r="B606" s="38"/>
      <c r="C606" s="40" t="s">
        <v>260</v>
      </c>
      <c r="D606" s="40"/>
      <c r="E606" s="40"/>
      <c r="F606" s="40"/>
      <c r="G606" s="40"/>
      <c r="H606" s="40"/>
      <c r="I606" s="40"/>
      <c r="J606" s="248">
        <f>IF(J605&lt;=0,0,IF(J605&lt;=10,1,IF(J605&lt;=25,2,IF(J605&lt;=50,3,4))))</f>
        <v>0</v>
      </c>
      <c r="K606" s="41"/>
    </row>
    <row r="607" spans="2:11" ht="9.75" customHeight="1" x14ac:dyDescent="0.2">
      <c r="B607" s="38"/>
      <c r="C607" s="279" t="str">
        <f>"0:"</f>
        <v>0:</v>
      </c>
      <c r="D607" s="290" t="s">
        <v>944</v>
      </c>
      <c r="E607" s="40"/>
      <c r="F607" s="40"/>
      <c r="G607" s="40"/>
      <c r="H607" s="40"/>
      <c r="I607" s="40"/>
      <c r="J607" s="244"/>
      <c r="K607" s="41"/>
    </row>
    <row r="608" spans="2:11" ht="9.75" customHeight="1" x14ac:dyDescent="0.2">
      <c r="B608" s="38"/>
      <c r="C608" s="280" t="str">
        <f>"1:"</f>
        <v>1:</v>
      </c>
      <c r="D608" s="290" t="s">
        <v>947</v>
      </c>
      <c r="E608" s="40"/>
      <c r="F608" s="40"/>
      <c r="G608" s="40"/>
      <c r="H608" s="40"/>
      <c r="I608" s="40"/>
      <c r="J608" s="244"/>
      <c r="K608" s="41"/>
    </row>
    <row r="609" spans="2:11" ht="9.75" customHeight="1" x14ac:dyDescent="0.2">
      <c r="B609" s="38"/>
      <c r="C609" s="280" t="str">
        <f>"2:"</f>
        <v>2:</v>
      </c>
      <c r="D609" s="290" t="s">
        <v>972</v>
      </c>
      <c r="E609" s="40"/>
      <c r="F609" s="40"/>
      <c r="G609" s="40"/>
      <c r="H609" s="40"/>
      <c r="I609" s="40"/>
      <c r="J609" s="244"/>
      <c r="K609" s="41"/>
    </row>
    <row r="610" spans="2:11" ht="9.75" customHeight="1" x14ac:dyDescent="0.2">
      <c r="B610" s="38"/>
      <c r="C610" s="280" t="str">
        <f>"3:"</f>
        <v>3:</v>
      </c>
      <c r="D610" s="290" t="s">
        <v>973</v>
      </c>
      <c r="E610" s="40"/>
      <c r="F610" s="40"/>
      <c r="G610" s="40"/>
      <c r="H610" s="40"/>
      <c r="I610" s="40"/>
      <c r="J610" s="244"/>
      <c r="K610" s="41"/>
    </row>
    <row r="611" spans="2:11" ht="9.75" customHeight="1" x14ac:dyDescent="0.2">
      <c r="B611" s="38"/>
      <c r="C611" s="280" t="str">
        <f>"4:"</f>
        <v>4:</v>
      </c>
      <c r="D611" s="290" t="s">
        <v>974</v>
      </c>
      <c r="E611" s="40"/>
      <c r="F611" s="40"/>
      <c r="G611" s="40"/>
      <c r="H611" s="40"/>
      <c r="I611" s="40"/>
      <c r="J611" s="40"/>
      <c r="K611" s="41"/>
    </row>
    <row r="612" spans="2:11" x14ac:dyDescent="0.2">
      <c r="B612" s="38"/>
      <c r="C612" s="40" t="s">
        <v>893</v>
      </c>
      <c r="D612" s="40"/>
      <c r="E612" s="40"/>
      <c r="F612" s="40"/>
      <c r="G612" s="40"/>
      <c r="H612" s="40"/>
      <c r="I612" s="40"/>
      <c r="J612" s="40"/>
      <c r="K612" s="41"/>
    </row>
    <row r="613" spans="2:11" ht="30" customHeight="1" x14ac:dyDescent="0.2">
      <c r="B613" s="38"/>
      <c r="C613" s="399"/>
      <c r="D613" s="400"/>
      <c r="E613" s="400"/>
      <c r="F613" s="400"/>
      <c r="G613" s="400"/>
      <c r="H613" s="400"/>
      <c r="I613" s="400"/>
      <c r="J613" s="401"/>
      <c r="K613" s="41"/>
    </row>
    <row r="614" spans="2:11" x14ac:dyDescent="0.2">
      <c r="B614" s="38"/>
      <c r="C614" s="40"/>
      <c r="D614" s="40"/>
      <c r="E614" s="40"/>
      <c r="F614" s="40"/>
      <c r="G614" s="40"/>
      <c r="H614" s="40"/>
      <c r="I614" s="40"/>
      <c r="J614" s="40"/>
      <c r="K614" s="41"/>
    </row>
    <row r="615" spans="2:11" x14ac:dyDescent="0.2">
      <c r="B615" s="38"/>
      <c r="C615" s="179" t="s">
        <v>327</v>
      </c>
      <c r="D615" s="40"/>
      <c r="E615" s="40"/>
      <c r="F615" s="40"/>
      <c r="G615" s="40"/>
      <c r="H615" s="40"/>
      <c r="I615" s="40"/>
      <c r="J615" s="245">
        <f>J606</f>
        <v>0</v>
      </c>
      <c r="K615" s="41"/>
    </row>
    <row r="616" spans="2:11" x14ac:dyDescent="0.2">
      <c r="B616" s="38"/>
      <c r="C616" s="40"/>
      <c r="D616" s="40"/>
      <c r="E616" s="40"/>
      <c r="F616" s="40"/>
      <c r="G616" s="40"/>
      <c r="H616" s="40"/>
      <c r="I616" s="40"/>
      <c r="J616" s="40"/>
      <c r="K616" s="41"/>
    </row>
    <row r="617" spans="2:11" x14ac:dyDescent="0.2">
      <c r="B617" s="38"/>
      <c r="C617" s="40"/>
      <c r="D617" s="40"/>
      <c r="E617" s="40"/>
      <c r="F617" s="40"/>
      <c r="G617" s="40"/>
      <c r="H617" s="40"/>
      <c r="I617" s="40"/>
      <c r="J617" s="40"/>
      <c r="K617" s="41"/>
    </row>
    <row r="618" spans="2:11" ht="16" x14ac:dyDescent="0.2">
      <c r="B618" s="38"/>
      <c r="C618" s="45" t="s">
        <v>92</v>
      </c>
      <c r="D618" s="40"/>
      <c r="E618" s="40"/>
      <c r="F618" s="40"/>
      <c r="G618" s="40"/>
      <c r="H618" s="40"/>
      <c r="I618" s="40"/>
      <c r="J618" s="40"/>
      <c r="K618" s="41"/>
    </row>
    <row r="619" spans="2:11" x14ac:dyDescent="0.2">
      <c r="B619" s="38"/>
      <c r="C619" s="40" t="s">
        <v>337</v>
      </c>
      <c r="D619" s="40"/>
      <c r="E619" s="40"/>
      <c r="F619" s="40"/>
      <c r="G619" s="40"/>
      <c r="H619" s="40"/>
      <c r="I619" s="40"/>
      <c r="J619" s="251">
        <f>'Baseline Health'!G137</f>
        <v>1</v>
      </c>
      <c r="K619" s="41"/>
    </row>
    <row r="620" spans="2:11" ht="15" customHeight="1" x14ac:dyDescent="0.2">
      <c r="B620" s="38"/>
      <c r="C620" s="380" t="s">
        <v>338</v>
      </c>
      <c r="D620" s="380"/>
      <c r="E620" s="380"/>
      <c r="F620" s="380"/>
      <c r="G620" s="380"/>
      <c r="H620" s="380"/>
      <c r="I620" s="380"/>
      <c r="J620" s="251"/>
      <c r="K620" s="41"/>
    </row>
    <row r="621" spans="2:11" x14ac:dyDescent="0.2">
      <c r="B621" s="38"/>
      <c r="C621" s="380"/>
      <c r="D621" s="380"/>
      <c r="E621" s="380"/>
      <c r="F621" s="380"/>
      <c r="G621" s="380"/>
      <c r="H621" s="380"/>
      <c r="I621" s="380"/>
      <c r="J621" s="264">
        <f>J619</f>
        <v>1</v>
      </c>
      <c r="K621" s="41"/>
    </row>
    <row r="622" spans="2:11" x14ac:dyDescent="0.2">
      <c r="B622" s="38"/>
      <c r="C622" s="40" t="s">
        <v>260</v>
      </c>
      <c r="D622" s="40"/>
      <c r="E622" s="40"/>
      <c r="F622" s="40"/>
      <c r="G622" s="40"/>
      <c r="H622" s="40"/>
      <c r="I622" s="40"/>
      <c r="J622" s="245">
        <f>IF(OR(J619=0,J619="Not Calculated")=TRUE,"Not Calculated",IF(((J619+J621)/J619)&lt;=1,0,IF(((J619+J621)/J619)&lt;=1.05,1,IF(((J619+J621)/J619)&lt;=1.5, 2,IF(((J619+J621)/J619)&lt;=2,3,4)))))</f>
        <v>3</v>
      </c>
      <c r="K622" s="41"/>
    </row>
    <row r="623" spans="2:11" ht="9.75" customHeight="1" x14ac:dyDescent="0.2">
      <c r="B623" s="38"/>
      <c r="C623" s="279" t="str">
        <f>"0:"</f>
        <v>0:</v>
      </c>
      <c r="D623" s="281" t="s">
        <v>918</v>
      </c>
      <c r="E623" s="291"/>
      <c r="F623" s="291"/>
      <c r="G623" s="291"/>
      <c r="H623" s="291"/>
      <c r="I623" s="291"/>
      <c r="J623" s="251"/>
      <c r="K623" s="41"/>
    </row>
    <row r="624" spans="2:11" ht="9.75" customHeight="1" x14ac:dyDescent="0.2">
      <c r="B624" s="38"/>
      <c r="C624" s="280" t="str">
        <f>"1:"</f>
        <v>1:</v>
      </c>
      <c r="D624" s="281" t="s">
        <v>919</v>
      </c>
      <c r="E624" s="291"/>
      <c r="F624" s="291"/>
      <c r="G624" s="291"/>
      <c r="H624" s="291"/>
      <c r="I624" s="291"/>
      <c r="J624" s="251"/>
      <c r="K624" s="41"/>
    </row>
    <row r="625" spans="2:14" ht="9.75" customHeight="1" x14ac:dyDescent="0.2">
      <c r="B625" s="38"/>
      <c r="C625" s="280" t="str">
        <f>"2:"</f>
        <v>2:</v>
      </c>
      <c r="D625" s="281" t="s">
        <v>920</v>
      </c>
      <c r="E625" s="291"/>
      <c r="F625" s="291"/>
      <c r="G625" s="291"/>
      <c r="H625" s="291"/>
      <c r="I625" s="291"/>
      <c r="J625" s="251"/>
      <c r="K625" s="41"/>
    </row>
    <row r="626" spans="2:14" ht="9.75" customHeight="1" x14ac:dyDescent="0.2">
      <c r="B626" s="38"/>
      <c r="C626" s="280" t="str">
        <f>"3:"</f>
        <v>3:</v>
      </c>
      <c r="D626" s="281" t="s">
        <v>921</v>
      </c>
      <c r="E626" s="291"/>
      <c r="F626" s="291"/>
      <c r="G626" s="291"/>
      <c r="H626" s="291"/>
      <c r="I626" s="291"/>
      <c r="J626" s="251"/>
      <c r="K626" s="41"/>
    </row>
    <row r="627" spans="2:14" ht="9.75" customHeight="1" x14ac:dyDescent="0.2">
      <c r="B627" s="38"/>
      <c r="C627" s="280" t="str">
        <f>"4:"</f>
        <v>4:</v>
      </c>
      <c r="D627" s="281" t="s">
        <v>922</v>
      </c>
      <c r="E627" s="40"/>
      <c r="F627" s="40"/>
      <c r="G627" s="40"/>
      <c r="H627" s="40"/>
      <c r="I627" s="40"/>
      <c r="J627" s="40"/>
      <c r="K627" s="41"/>
      <c r="N627" s="12" t="s">
        <v>661</v>
      </c>
    </row>
    <row r="628" spans="2:14" x14ac:dyDescent="0.2">
      <c r="B628" s="38"/>
      <c r="C628" s="174" t="s">
        <v>662</v>
      </c>
      <c r="D628" s="40"/>
      <c r="E628" s="40"/>
      <c r="F628" s="40"/>
      <c r="G628" s="40"/>
      <c r="H628" s="40"/>
      <c r="I628" s="40"/>
      <c r="J628" s="265" t="s">
        <v>661</v>
      </c>
      <c r="K628" s="41"/>
      <c r="N628" s="12" t="s">
        <v>894</v>
      </c>
    </row>
    <row r="629" spans="2:14" x14ac:dyDescent="0.2">
      <c r="B629" s="38"/>
      <c r="C629" s="174" t="s">
        <v>660</v>
      </c>
      <c r="D629" s="40"/>
      <c r="E629" s="40"/>
      <c r="F629" s="40"/>
      <c r="G629" s="40"/>
      <c r="H629" s="40"/>
      <c r="I629" s="40"/>
      <c r="J629" s="247" t="str">
        <f>IF(J628=N627,"N/A",IF(J628=N628,0,IF(J628=N629,1,IF(J628=N630,2,IF(J628=N631,3,IF(J628=N632,4,"N/A"))))))</f>
        <v>N/A</v>
      </c>
      <c r="K629" s="41"/>
      <c r="N629" s="12" t="s">
        <v>895</v>
      </c>
    </row>
    <row r="630" spans="2:14" x14ac:dyDescent="0.2">
      <c r="B630" s="38"/>
      <c r="C630" s="40" t="s">
        <v>257</v>
      </c>
      <c r="D630" s="40"/>
      <c r="E630" s="40"/>
      <c r="F630" s="40"/>
      <c r="G630" s="40"/>
      <c r="H630" s="40"/>
      <c r="I630" s="40"/>
      <c r="J630" s="266" t="s">
        <v>873</v>
      </c>
      <c r="K630" s="41"/>
      <c r="N630" s="12" t="s">
        <v>896</v>
      </c>
    </row>
    <row r="631" spans="2:14" x14ac:dyDescent="0.2">
      <c r="B631" s="38"/>
      <c r="C631" s="40" t="s">
        <v>261</v>
      </c>
      <c r="D631" s="40"/>
      <c r="E631" s="40"/>
      <c r="F631" s="40"/>
      <c r="G631" s="40"/>
      <c r="H631" s="40"/>
      <c r="I631" s="40"/>
      <c r="J631" s="245">
        <f>IF(J630=$B$973,$A$973,IF(J630=$B$974,$A$974,IF(J630=$B$975,$A$975,IF(J630=$B$976,$A$976,IF(J630=$B$977,$A$977,"Not Calculated")))))</f>
        <v>3</v>
      </c>
      <c r="K631" s="41"/>
      <c r="N631" s="12" t="s">
        <v>897</v>
      </c>
    </row>
    <row r="632" spans="2:14" x14ac:dyDescent="0.2">
      <c r="B632" s="38"/>
      <c r="C632" s="40" t="s">
        <v>893</v>
      </c>
      <c r="D632" s="40"/>
      <c r="E632" s="40"/>
      <c r="F632" s="40"/>
      <c r="G632" s="40"/>
      <c r="H632" s="40"/>
      <c r="I632" s="40"/>
      <c r="J632" s="40"/>
      <c r="K632" s="41"/>
      <c r="N632" s="12" t="s">
        <v>898</v>
      </c>
    </row>
    <row r="633" spans="2:14" ht="30" customHeight="1" x14ac:dyDescent="0.2">
      <c r="B633" s="38"/>
      <c r="C633" s="399" t="s">
        <v>468</v>
      </c>
      <c r="D633" s="400"/>
      <c r="E633" s="400"/>
      <c r="F633" s="400"/>
      <c r="G633" s="400"/>
      <c r="H633" s="400"/>
      <c r="I633" s="400"/>
      <c r="J633" s="401"/>
      <c r="K633" s="41"/>
    </row>
    <row r="634" spans="2:14" x14ac:dyDescent="0.2">
      <c r="B634" s="38"/>
      <c r="C634" s="40"/>
      <c r="D634" s="40"/>
      <c r="E634" s="40"/>
      <c r="F634" s="40"/>
      <c r="G634" s="40"/>
      <c r="H634" s="40"/>
      <c r="I634" s="40"/>
      <c r="J634" s="40"/>
      <c r="K634" s="41"/>
    </row>
    <row r="635" spans="2:14" x14ac:dyDescent="0.2">
      <c r="B635" s="38"/>
      <c r="C635" s="179" t="s">
        <v>328</v>
      </c>
      <c r="D635" s="40"/>
      <c r="E635" s="40"/>
      <c r="F635" s="40"/>
      <c r="G635" s="40"/>
      <c r="H635" s="40"/>
      <c r="I635" s="40"/>
      <c r="J635" s="245">
        <f>IF(J629="N/A",IF(OR(J622="Not Calculated",J631="Not Calculated")=TRUE,"Not Calculated",AVERAGE(J622,J631)),AVERAGE(J629,J631))</f>
        <v>3</v>
      </c>
      <c r="K635" s="41"/>
    </row>
    <row r="636" spans="2:14" x14ac:dyDescent="0.2">
      <c r="B636" s="38"/>
      <c r="C636" s="40"/>
      <c r="D636" s="40"/>
      <c r="E636" s="40"/>
      <c r="F636" s="40"/>
      <c r="G636" s="40"/>
      <c r="H636" s="40"/>
      <c r="I636" s="40"/>
      <c r="J636" s="40"/>
      <c r="K636" s="41"/>
    </row>
    <row r="637" spans="2:14" x14ac:dyDescent="0.2">
      <c r="B637" s="38"/>
      <c r="C637" s="40"/>
      <c r="D637" s="40"/>
      <c r="E637" s="40"/>
      <c r="F637" s="40"/>
      <c r="G637" s="40"/>
      <c r="H637" s="40"/>
      <c r="I637" s="40"/>
      <c r="J637" s="40"/>
      <c r="K637" s="41"/>
    </row>
    <row r="638" spans="2:14" ht="16" x14ac:dyDescent="0.2">
      <c r="B638" s="38"/>
      <c r="C638" s="45" t="s">
        <v>329</v>
      </c>
      <c r="D638" s="40"/>
      <c r="E638" s="40"/>
      <c r="F638" s="40"/>
      <c r="G638" s="40"/>
      <c r="H638" s="40"/>
      <c r="I638" s="40"/>
      <c r="J638" s="40"/>
      <c r="K638" s="41"/>
    </row>
    <row r="639" spans="2:14" ht="15" customHeight="1" x14ac:dyDescent="0.2">
      <c r="B639" s="38"/>
      <c r="C639" s="380" t="s">
        <v>339</v>
      </c>
      <c r="D639" s="380"/>
      <c r="E639" s="380"/>
      <c r="F639" s="380"/>
      <c r="G639" s="380"/>
      <c r="H639" s="380"/>
      <c r="I639" s="380"/>
      <c r="J639" s="40"/>
      <c r="K639" s="41"/>
    </row>
    <row r="640" spans="2:14" x14ac:dyDescent="0.2">
      <c r="B640" s="38"/>
      <c r="C640" s="380"/>
      <c r="D640" s="380"/>
      <c r="E640" s="380"/>
      <c r="F640" s="380"/>
      <c r="G640" s="380"/>
      <c r="H640" s="380"/>
      <c r="I640" s="380"/>
      <c r="J640" s="250">
        <f>'Baseline Health'!G145</f>
        <v>0</v>
      </c>
      <c r="K640" s="41"/>
    </row>
    <row r="641" spans="2:14" ht="15" customHeight="1" x14ac:dyDescent="0.2">
      <c r="B641" s="38"/>
      <c r="C641" s="380" t="s">
        <v>340</v>
      </c>
      <c r="D641" s="380"/>
      <c r="E641" s="380"/>
      <c r="F641" s="380"/>
      <c r="G641" s="380"/>
      <c r="H641" s="380"/>
      <c r="I641" s="380"/>
      <c r="J641" s="245"/>
      <c r="K641" s="41"/>
    </row>
    <row r="642" spans="2:14" x14ac:dyDescent="0.2">
      <c r="B642" s="38"/>
      <c r="C642" s="380"/>
      <c r="D642" s="380"/>
      <c r="E642" s="380"/>
      <c r="F642" s="380"/>
      <c r="G642" s="380"/>
      <c r="H642" s="380"/>
      <c r="I642" s="380"/>
      <c r="J642" s="245"/>
      <c r="K642" s="41"/>
    </row>
    <row r="643" spans="2:14" x14ac:dyDescent="0.2">
      <c r="B643" s="38"/>
      <c r="C643" s="380"/>
      <c r="D643" s="380"/>
      <c r="E643" s="380"/>
      <c r="F643" s="380"/>
      <c r="G643" s="380"/>
      <c r="H643" s="380"/>
      <c r="I643" s="380"/>
      <c r="J643" s="272">
        <v>37.5</v>
      </c>
      <c r="K643" s="41"/>
    </row>
    <row r="644" spans="2:14" x14ac:dyDescent="0.2">
      <c r="B644" s="38"/>
      <c r="C644" s="40" t="s">
        <v>260</v>
      </c>
      <c r="D644" s="40"/>
      <c r="E644" s="40"/>
      <c r="F644" s="40"/>
      <c r="G644" s="40"/>
      <c r="H644" s="40"/>
      <c r="I644" s="40"/>
      <c r="J644" s="245" t="str">
        <f>IF(OR(J640=0,J640="Not Calculated")=TRUE,"Not Calculated",IF(((J640+J643)/J640)&lt;=1,0,IF(((J640+J643)/J640)&lt;=1.05,1,IF(((J640+J643)/J640)&lt;=1.5, 2,IF(((J640+J643)/J640)&lt;=2,3,4)))))</f>
        <v>Not Calculated</v>
      </c>
      <c r="K644" s="41"/>
    </row>
    <row r="645" spans="2:14" ht="9.75" customHeight="1" x14ac:dyDescent="0.2">
      <c r="B645" s="38"/>
      <c r="C645" s="279" t="str">
        <f>"0:"</f>
        <v>0:</v>
      </c>
      <c r="D645" s="281" t="s">
        <v>918</v>
      </c>
      <c r="E645" s="291"/>
      <c r="F645" s="291"/>
      <c r="G645" s="291"/>
      <c r="H645" s="291"/>
      <c r="I645" s="291"/>
      <c r="J645" s="250"/>
      <c r="K645" s="41"/>
    </row>
    <row r="646" spans="2:14" ht="9.75" customHeight="1" x14ac:dyDescent="0.2">
      <c r="B646" s="38"/>
      <c r="C646" s="280" t="str">
        <f>"1:"</f>
        <v>1:</v>
      </c>
      <c r="D646" s="281" t="s">
        <v>919</v>
      </c>
      <c r="E646" s="291"/>
      <c r="F646" s="291"/>
      <c r="G646" s="291"/>
      <c r="H646" s="291"/>
      <c r="I646" s="291"/>
      <c r="J646" s="250"/>
      <c r="K646" s="41"/>
    </row>
    <row r="647" spans="2:14" ht="9.75" customHeight="1" x14ac:dyDescent="0.2">
      <c r="B647" s="38"/>
      <c r="C647" s="280" t="str">
        <f>"2:"</f>
        <v>2:</v>
      </c>
      <c r="D647" s="281" t="s">
        <v>920</v>
      </c>
      <c r="E647" s="291"/>
      <c r="F647" s="291"/>
      <c r="G647" s="291"/>
      <c r="H647" s="291"/>
      <c r="I647" s="291"/>
      <c r="J647" s="250"/>
      <c r="K647" s="41"/>
    </row>
    <row r="648" spans="2:14" ht="9.75" customHeight="1" x14ac:dyDescent="0.2">
      <c r="B648" s="38"/>
      <c r="C648" s="280" t="str">
        <f>"3:"</f>
        <v>3:</v>
      </c>
      <c r="D648" s="281" t="s">
        <v>921</v>
      </c>
      <c r="E648" s="291"/>
      <c r="F648" s="291"/>
      <c r="G648" s="291"/>
      <c r="H648" s="291"/>
      <c r="I648" s="291"/>
      <c r="J648" s="250"/>
      <c r="K648" s="41"/>
    </row>
    <row r="649" spans="2:14" ht="9.75" customHeight="1" x14ac:dyDescent="0.2">
      <c r="B649" s="38"/>
      <c r="C649" s="280" t="str">
        <f>"4:"</f>
        <v>4:</v>
      </c>
      <c r="D649" s="281" t="s">
        <v>922</v>
      </c>
      <c r="E649" s="40"/>
      <c r="F649" s="40"/>
      <c r="G649" s="40"/>
      <c r="H649" s="40"/>
      <c r="I649" s="40"/>
      <c r="J649" s="40"/>
      <c r="K649" s="41"/>
      <c r="N649" s="12" t="s">
        <v>661</v>
      </c>
    </row>
    <row r="650" spans="2:14" x14ac:dyDescent="0.2">
      <c r="B650" s="38"/>
      <c r="C650" s="174" t="s">
        <v>662</v>
      </c>
      <c r="D650" s="40"/>
      <c r="E650" s="40"/>
      <c r="F650" s="40"/>
      <c r="G650" s="40"/>
      <c r="H650" s="40"/>
      <c r="I650" s="40"/>
      <c r="J650" s="265" t="s">
        <v>661</v>
      </c>
      <c r="K650" s="41"/>
      <c r="N650" s="12" t="s">
        <v>894</v>
      </c>
    </row>
    <row r="651" spans="2:14" x14ac:dyDescent="0.2">
      <c r="B651" s="38"/>
      <c r="C651" s="174" t="s">
        <v>660</v>
      </c>
      <c r="D651" s="40"/>
      <c r="E651" s="40"/>
      <c r="F651" s="40"/>
      <c r="G651" s="40"/>
      <c r="H651" s="40"/>
      <c r="I651" s="40"/>
      <c r="J651" s="247" t="str">
        <f>IF(J650=N649,"N/A",IF(J650=N650,0,IF(J650=N651,1,IF(J650=N652,2,IF(J650=N653,3,IF(J650=N654,4,"N/A"))))))</f>
        <v>N/A</v>
      </c>
      <c r="K651" s="41"/>
      <c r="N651" s="12" t="s">
        <v>895</v>
      </c>
    </row>
    <row r="652" spans="2:14" ht="15" customHeight="1" x14ac:dyDescent="0.2">
      <c r="B652" s="38"/>
      <c r="C652" s="40" t="s">
        <v>257</v>
      </c>
      <c r="D652" s="40"/>
      <c r="E652" s="40"/>
      <c r="F652" s="40"/>
      <c r="G652" s="40"/>
      <c r="H652" s="40"/>
      <c r="I652" s="40"/>
      <c r="J652" s="266" t="s">
        <v>873</v>
      </c>
      <c r="K652" s="41"/>
      <c r="N652" s="12" t="s">
        <v>896</v>
      </c>
    </row>
    <row r="653" spans="2:14" x14ac:dyDescent="0.2">
      <c r="B653" s="38"/>
      <c r="C653" s="40" t="s">
        <v>261</v>
      </c>
      <c r="D653" s="40"/>
      <c r="E653" s="40"/>
      <c r="F653" s="40"/>
      <c r="G653" s="40"/>
      <c r="H653" s="40"/>
      <c r="I653" s="40"/>
      <c r="J653" s="245">
        <f>IF(J652=$B$973,$A$973,IF(J652=$B$974,$A$974,IF(J652=$B$975,$A$975,IF(J652=$B$976,$A$976,IF(J652=$B$977,$A$977,"Not Calculated")))))</f>
        <v>3</v>
      </c>
      <c r="K653" s="41"/>
      <c r="N653" s="12" t="s">
        <v>897</v>
      </c>
    </row>
    <row r="654" spans="2:14" x14ac:dyDescent="0.2">
      <c r="B654" s="38"/>
      <c r="C654" s="40" t="s">
        <v>893</v>
      </c>
      <c r="D654" s="40"/>
      <c r="E654" s="40"/>
      <c r="F654" s="40"/>
      <c r="G654" s="40"/>
      <c r="H654" s="40"/>
      <c r="I654" s="40"/>
      <c r="J654" s="40"/>
      <c r="K654" s="41"/>
      <c r="N654" s="12" t="s">
        <v>898</v>
      </c>
    </row>
    <row r="655" spans="2:14" ht="45" customHeight="1" x14ac:dyDescent="0.2">
      <c r="B655" s="38"/>
      <c r="C655" s="399" t="s">
        <v>469</v>
      </c>
      <c r="D655" s="400"/>
      <c r="E655" s="400"/>
      <c r="F655" s="400"/>
      <c r="G655" s="400"/>
      <c r="H655" s="400"/>
      <c r="I655" s="400"/>
      <c r="J655" s="401"/>
      <c r="K655" s="41"/>
    </row>
    <row r="656" spans="2:14" x14ac:dyDescent="0.2">
      <c r="B656" s="38"/>
      <c r="C656" s="40"/>
      <c r="D656" s="40"/>
      <c r="E656" s="40"/>
      <c r="F656" s="40"/>
      <c r="G656" s="40"/>
      <c r="H656" s="40"/>
      <c r="I656" s="40"/>
      <c r="J656" s="40"/>
      <c r="K656" s="41"/>
    </row>
    <row r="657" spans="2:14" x14ac:dyDescent="0.2">
      <c r="B657" s="38"/>
      <c r="C657" s="179" t="s">
        <v>330</v>
      </c>
      <c r="D657" s="40"/>
      <c r="E657" s="40"/>
      <c r="F657" s="40"/>
      <c r="G657" s="40"/>
      <c r="H657" s="40"/>
      <c r="I657" s="40"/>
      <c r="J657" s="245" t="str">
        <f>IF(J651="N/A",IF(OR(J644="Not Calculated",J653="Not Calculated")=TRUE,"Not Calculated",AVERAGE(J644,J653)),AVERAGE(J651,J653))</f>
        <v>Not Calculated</v>
      </c>
      <c r="K657" s="41"/>
    </row>
    <row r="658" spans="2:14" x14ac:dyDescent="0.2">
      <c r="B658" s="38"/>
      <c r="C658" s="40"/>
      <c r="D658" s="40"/>
      <c r="E658" s="40"/>
      <c r="F658" s="40"/>
      <c r="G658" s="40"/>
      <c r="H658" s="40"/>
      <c r="I658" s="40"/>
      <c r="J658" s="40"/>
      <c r="K658" s="41"/>
    </row>
    <row r="659" spans="2:14" x14ac:dyDescent="0.2">
      <c r="B659" s="38"/>
      <c r="C659" s="40"/>
      <c r="D659" s="40"/>
      <c r="E659" s="40"/>
      <c r="F659" s="40"/>
      <c r="G659" s="40"/>
      <c r="H659" s="40"/>
      <c r="I659" s="40"/>
      <c r="J659" s="40"/>
      <c r="K659" s="41"/>
    </row>
    <row r="660" spans="2:14" ht="16" x14ac:dyDescent="0.2">
      <c r="B660" s="38"/>
      <c r="C660" s="45" t="s">
        <v>97</v>
      </c>
      <c r="D660" s="40"/>
      <c r="E660" s="40"/>
      <c r="F660" s="40"/>
      <c r="G660" s="40"/>
      <c r="H660" s="40"/>
      <c r="I660" s="40"/>
      <c r="J660" s="40"/>
      <c r="K660" s="41"/>
    </row>
    <row r="661" spans="2:14" x14ac:dyDescent="0.2">
      <c r="B661" s="38"/>
      <c r="C661" s="40" t="s">
        <v>449</v>
      </c>
      <c r="D661" s="40"/>
      <c r="E661" s="40"/>
      <c r="F661" s="40"/>
      <c r="G661" s="40"/>
      <c r="H661" s="40"/>
      <c r="I661" s="40"/>
      <c r="J661" s="263">
        <f>'Baseline Health'!G150</f>
        <v>0</v>
      </c>
      <c r="K661" s="41"/>
    </row>
    <row r="662" spans="2:14" x14ac:dyDescent="0.2">
      <c r="B662" s="38"/>
      <c r="C662" s="40" t="s">
        <v>341</v>
      </c>
      <c r="D662" s="40"/>
      <c r="E662" s="40"/>
      <c r="F662" s="40"/>
      <c r="G662" s="40"/>
      <c r="H662" s="40"/>
      <c r="I662" s="40"/>
      <c r="J662" s="273">
        <v>0</v>
      </c>
      <c r="K662" s="41"/>
    </row>
    <row r="663" spans="2:14" x14ac:dyDescent="0.2">
      <c r="B663" s="38"/>
      <c r="C663" s="40" t="s">
        <v>450</v>
      </c>
      <c r="D663" s="40"/>
      <c r="E663" s="40"/>
      <c r="F663" s="40"/>
      <c r="G663" s="40"/>
      <c r="H663" s="40"/>
      <c r="I663" s="40"/>
      <c r="J663" s="263">
        <f>J26</f>
        <v>7</v>
      </c>
      <c r="K663" s="41"/>
    </row>
    <row r="664" spans="2:14" ht="15" customHeight="1" x14ac:dyDescent="0.2">
      <c r="B664" s="38"/>
      <c r="C664" s="291"/>
      <c r="D664" s="380" t="s">
        <v>342</v>
      </c>
      <c r="E664" s="380"/>
      <c r="F664" s="380"/>
      <c r="G664" s="380"/>
      <c r="H664" s="380"/>
      <c r="I664" s="380"/>
      <c r="J664" s="245"/>
      <c r="K664" s="41"/>
    </row>
    <row r="665" spans="2:14" x14ac:dyDescent="0.2">
      <c r="B665" s="38"/>
      <c r="C665" s="291"/>
      <c r="D665" s="380"/>
      <c r="E665" s="380"/>
      <c r="F665" s="380"/>
      <c r="G665" s="380"/>
      <c r="H665" s="380"/>
      <c r="I665" s="380"/>
      <c r="J665" s="245"/>
      <c r="K665" s="41"/>
    </row>
    <row r="666" spans="2:14" x14ac:dyDescent="0.2">
      <c r="B666" s="38"/>
      <c r="C666" s="40" t="s">
        <v>260</v>
      </c>
      <c r="D666" s="40"/>
      <c r="E666" s="40"/>
      <c r="F666" s="40"/>
      <c r="G666" s="40"/>
      <c r="H666" s="40"/>
      <c r="I666" s="40"/>
      <c r="J666" s="245" t="str">
        <f>IF(OR(J661=0,J661="Not Calculated")=TRUE,"Not Calculated",IF(((J661+J663)/(J661-J662))&lt;=1,0,IF(((J661+J663)/(J661-J662))&lt;=1.1,1,IF(((J661+J663)/(J661-J662))&lt;=1.5, 2,IF(((J661+J663)/(J661-J662))&lt;=2,3,4)))))</f>
        <v>Not Calculated</v>
      </c>
      <c r="K666" s="41"/>
    </row>
    <row r="667" spans="2:14" ht="9.75" customHeight="1" x14ac:dyDescent="0.2">
      <c r="B667" s="38"/>
      <c r="C667" s="279" t="str">
        <f>"0:"</f>
        <v>0:</v>
      </c>
      <c r="D667" s="278" t="s">
        <v>918</v>
      </c>
      <c r="E667" s="291"/>
      <c r="F667" s="291"/>
      <c r="G667" s="291"/>
      <c r="H667" s="291"/>
      <c r="I667" s="291"/>
      <c r="J667" s="245"/>
      <c r="K667" s="41"/>
    </row>
    <row r="668" spans="2:14" ht="9.75" customHeight="1" x14ac:dyDescent="0.2">
      <c r="B668" s="38"/>
      <c r="C668" s="280" t="str">
        <f>"1:"</f>
        <v>1:</v>
      </c>
      <c r="D668" s="278" t="s">
        <v>923</v>
      </c>
      <c r="E668" s="291"/>
      <c r="F668" s="291"/>
      <c r="G668" s="291"/>
      <c r="H668" s="291"/>
      <c r="I668" s="291"/>
      <c r="J668" s="245"/>
      <c r="K668" s="41"/>
    </row>
    <row r="669" spans="2:14" ht="9.75" customHeight="1" x14ac:dyDescent="0.2">
      <c r="B669" s="38"/>
      <c r="C669" s="280" t="str">
        <f>"2:"</f>
        <v>2:</v>
      </c>
      <c r="D669" s="278" t="s">
        <v>924</v>
      </c>
      <c r="E669" s="291"/>
      <c r="F669" s="291"/>
      <c r="G669" s="291"/>
      <c r="H669" s="291"/>
      <c r="I669" s="291"/>
      <c r="J669" s="245"/>
      <c r="K669" s="41"/>
    </row>
    <row r="670" spans="2:14" ht="9.75" customHeight="1" x14ac:dyDescent="0.2">
      <c r="B670" s="38"/>
      <c r="C670" s="280" t="str">
        <f>"3:"</f>
        <v>3:</v>
      </c>
      <c r="D670" s="278" t="s">
        <v>925</v>
      </c>
      <c r="E670" s="291"/>
      <c r="F670" s="291"/>
      <c r="G670" s="291"/>
      <c r="H670" s="291"/>
      <c r="I670" s="291"/>
      <c r="J670" s="245"/>
      <c r="K670" s="41"/>
    </row>
    <row r="671" spans="2:14" ht="9.75" customHeight="1" x14ac:dyDescent="0.2">
      <c r="B671" s="38"/>
      <c r="C671" s="280" t="str">
        <f>"4:"</f>
        <v>4:</v>
      </c>
      <c r="D671" s="278" t="s">
        <v>926</v>
      </c>
      <c r="E671" s="40"/>
      <c r="F671" s="40"/>
      <c r="G671" s="40"/>
      <c r="H671" s="40"/>
      <c r="I671" s="40"/>
      <c r="J671" s="40"/>
      <c r="K671" s="41"/>
      <c r="N671" s="12" t="s">
        <v>661</v>
      </c>
    </row>
    <row r="672" spans="2:14" ht="15" customHeight="1" x14ac:dyDescent="0.2">
      <c r="B672" s="38"/>
      <c r="C672" s="174" t="s">
        <v>662</v>
      </c>
      <c r="D672" s="40"/>
      <c r="E672" s="40"/>
      <c r="F672" s="40"/>
      <c r="G672" s="40"/>
      <c r="H672" s="40"/>
      <c r="I672" s="40"/>
      <c r="J672" s="265" t="s">
        <v>661</v>
      </c>
      <c r="K672" s="41"/>
      <c r="N672" s="12" t="s">
        <v>894</v>
      </c>
    </row>
    <row r="673" spans="2:14" ht="15" customHeight="1" x14ac:dyDescent="0.2">
      <c r="B673" s="38"/>
      <c r="C673" s="174" t="s">
        <v>660</v>
      </c>
      <c r="D673" s="40"/>
      <c r="E673" s="40"/>
      <c r="F673" s="40"/>
      <c r="G673" s="40"/>
      <c r="H673" s="40"/>
      <c r="I673" s="40"/>
      <c r="J673" s="246" t="str">
        <f>IF(J672=N671,"N/A",IF(J672=N672,0,IF(J672=N673,1,IF(J672=N674,2,IF(J672=N675,3,IF(J672=N676,4,"N/A"))))))</f>
        <v>N/A</v>
      </c>
      <c r="K673" s="41"/>
      <c r="N673" s="12" t="s">
        <v>908</v>
      </c>
    </row>
    <row r="674" spans="2:14" ht="15" customHeight="1" x14ac:dyDescent="0.2">
      <c r="B674" s="38"/>
      <c r="C674" s="40" t="s">
        <v>257</v>
      </c>
      <c r="D674" s="40"/>
      <c r="E674" s="40"/>
      <c r="F674" s="40"/>
      <c r="G674" s="40"/>
      <c r="H674" s="40"/>
      <c r="I674" s="40"/>
      <c r="J674" s="266" t="s">
        <v>882</v>
      </c>
      <c r="K674" s="41"/>
      <c r="N674" s="12" t="s">
        <v>900</v>
      </c>
    </row>
    <row r="675" spans="2:14" x14ac:dyDescent="0.2">
      <c r="B675" s="38"/>
      <c r="C675" s="40" t="s">
        <v>261</v>
      </c>
      <c r="D675" s="40"/>
      <c r="E675" s="40"/>
      <c r="F675" s="40"/>
      <c r="G675" s="40"/>
      <c r="H675" s="40"/>
      <c r="I675" s="40"/>
      <c r="J675" s="245">
        <f>IF(J674=$B$973,$A$973,IF(J674=$B$974,$A$974,IF(J674=$B$975,$A$975,IF(J674=$B$976,$A$976,IF(J674=$B$977,$A$977,"Not Calculated")))))</f>
        <v>1</v>
      </c>
      <c r="K675" s="41"/>
      <c r="N675" s="12" t="s">
        <v>901</v>
      </c>
    </row>
    <row r="676" spans="2:14" ht="15" customHeight="1" x14ac:dyDescent="0.2">
      <c r="B676" s="38"/>
      <c r="C676" s="40" t="s">
        <v>893</v>
      </c>
      <c r="D676" s="40"/>
      <c r="E676" s="40"/>
      <c r="F676" s="40"/>
      <c r="G676" s="40"/>
      <c r="H676" s="40"/>
      <c r="I676" s="40"/>
      <c r="J676" s="40"/>
      <c r="K676" s="41"/>
      <c r="N676" s="12" t="s">
        <v>909</v>
      </c>
    </row>
    <row r="677" spans="2:14" ht="30" customHeight="1" x14ac:dyDescent="0.2">
      <c r="B677" s="38"/>
      <c r="C677" s="399"/>
      <c r="D677" s="400"/>
      <c r="E677" s="400"/>
      <c r="F677" s="400"/>
      <c r="G677" s="400"/>
      <c r="H677" s="400"/>
      <c r="I677" s="400"/>
      <c r="J677" s="401"/>
      <c r="K677" s="41"/>
    </row>
    <row r="678" spans="2:14" x14ac:dyDescent="0.2">
      <c r="B678" s="38"/>
      <c r="C678" s="40"/>
      <c r="D678" s="40"/>
      <c r="E678" s="40"/>
      <c r="F678" s="40"/>
      <c r="G678" s="40"/>
      <c r="H678" s="40"/>
      <c r="I678" s="40"/>
      <c r="J678" s="40"/>
      <c r="K678" s="41"/>
    </row>
    <row r="679" spans="2:14" x14ac:dyDescent="0.2">
      <c r="B679" s="38"/>
      <c r="C679" s="179" t="s">
        <v>331</v>
      </c>
      <c r="D679" s="40"/>
      <c r="E679" s="40"/>
      <c r="F679" s="40"/>
      <c r="G679" s="40"/>
      <c r="H679" s="40"/>
      <c r="I679" s="40"/>
      <c r="J679" s="245" t="str">
        <f>IF(J673="N/A",IF(OR(J666="Not Calculated",J675="Not Calculated")=TRUE,"Not Calculated",AVERAGE(J666,J675)),AVERAGE(J673,J675))</f>
        <v>Not Calculated</v>
      </c>
      <c r="K679" s="41"/>
    </row>
    <row r="680" spans="2:14" x14ac:dyDescent="0.2">
      <c r="B680" s="38"/>
      <c r="C680" s="40"/>
      <c r="D680" s="40"/>
      <c r="E680" s="40"/>
      <c r="F680" s="40"/>
      <c r="G680" s="40"/>
      <c r="H680" s="40"/>
      <c r="I680" s="40"/>
      <c r="J680" s="40"/>
      <c r="K680" s="41"/>
    </row>
    <row r="681" spans="2:14" ht="18" x14ac:dyDescent="0.2">
      <c r="B681" s="38"/>
      <c r="C681" s="180" t="s">
        <v>332</v>
      </c>
      <c r="D681" s="40"/>
      <c r="E681" s="40"/>
      <c r="F681" s="40"/>
      <c r="G681" s="40"/>
      <c r="H681" s="40"/>
      <c r="I681" s="40"/>
      <c r="J681" s="244" t="str">
        <f>IF(OR(J562="Not Calculated",J585="Not Calculated",J601="Not Calculated",J615="Not Calculated",J635="Not Calculated",J657="Not Calculated",J679="Not Calculated")=TRUE,"Not Calculated",AVERAGE(J562,J585,J601,J615,J635,J657,J679))</f>
        <v>Not Calculated</v>
      </c>
      <c r="K681" s="41"/>
    </row>
    <row r="682" spans="2:14" ht="16" thickBot="1" x14ac:dyDescent="0.25">
      <c r="B682" s="46"/>
      <c r="C682" s="47"/>
      <c r="D682" s="47"/>
      <c r="E682" s="47"/>
      <c r="F682" s="47"/>
      <c r="G682" s="47"/>
      <c r="H682" s="47"/>
      <c r="I682" s="47"/>
      <c r="J682" s="47"/>
      <c r="K682" s="49"/>
    </row>
    <row r="683" spans="2:14" ht="16" thickBot="1" x14ac:dyDescent="0.25"/>
    <row r="684" spans="2:14" x14ac:dyDescent="0.2">
      <c r="B684" s="33"/>
      <c r="C684" s="34"/>
      <c r="D684" s="34"/>
      <c r="E684" s="34"/>
      <c r="F684" s="34"/>
      <c r="G684" s="34"/>
      <c r="H684" s="34"/>
      <c r="I684" s="34"/>
      <c r="J684" s="34"/>
      <c r="K684" s="37"/>
    </row>
    <row r="685" spans="2:14" ht="21" x14ac:dyDescent="0.25">
      <c r="B685" s="38"/>
      <c r="C685" s="40"/>
      <c r="D685" s="40"/>
      <c r="E685" s="40"/>
      <c r="F685" s="40"/>
      <c r="G685" s="172" t="s">
        <v>346</v>
      </c>
      <c r="H685" s="40"/>
      <c r="I685" s="40"/>
      <c r="J685" s="40"/>
      <c r="K685" s="41"/>
    </row>
    <row r="686" spans="2:14" x14ac:dyDescent="0.2">
      <c r="B686" s="38"/>
      <c r="C686" s="40"/>
      <c r="D686" s="40"/>
      <c r="E686" s="40"/>
      <c r="F686" s="40"/>
      <c r="G686" s="40"/>
      <c r="H686" s="40"/>
      <c r="I686" s="40"/>
      <c r="J686" s="40"/>
      <c r="K686" s="41"/>
    </row>
    <row r="687" spans="2:14" ht="16" x14ac:dyDescent="0.2">
      <c r="B687" s="38"/>
      <c r="C687" s="182" t="s">
        <v>986</v>
      </c>
      <c r="D687" s="40"/>
      <c r="E687" s="40"/>
      <c r="F687" s="40"/>
      <c r="G687" s="40"/>
      <c r="H687" s="40"/>
      <c r="I687" s="40"/>
      <c r="J687" s="257" t="str">
        <f>IF(OR($J$133="Not Calculated",$J$261="Not Calculated",$J$421="Not Calculated",$J$539="Not Calculated",$J$681="Not Calculated")=TRUE,"Not Calculated",AVERAGE($J$133,$J$261,$J$421,$J$539,$J$681))</f>
        <v>Not Calculated</v>
      </c>
      <c r="K687" s="41"/>
    </row>
    <row r="688" spans="2:14" x14ac:dyDescent="0.2">
      <c r="B688" s="38"/>
      <c r="C688" s="40"/>
      <c r="D688" s="40" t="s">
        <v>343</v>
      </c>
      <c r="E688" s="40"/>
      <c r="F688" s="40"/>
      <c r="G688" s="40"/>
      <c r="H688" s="40"/>
      <c r="I688" s="40"/>
      <c r="J688" s="40"/>
      <c r="K688" s="41"/>
    </row>
    <row r="689" spans="2:11" ht="15" customHeight="1" x14ac:dyDescent="0.2">
      <c r="B689" s="38"/>
      <c r="C689" s="40"/>
      <c r="D689" s="40"/>
      <c r="E689" s="40"/>
      <c r="F689" s="40"/>
      <c r="G689" s="40"/>
      <c r="H689" s="40"/>
      <c r="I689" s="40"/>
      <c r="J689" s="40"/>
      <c r="K689" s="41"/>
    </row>
    <row r="690" spans="2:11" ht="16" x14ac:dyDescent="0.2">
      <c r="B690" s="38"/>
      <c r="C690" s="182" t="s">
        <v>987</v>
      </c>
      <c r="D690" s="40"/>
      <c r="E690" s="40"/>
      <c r="F690" s="40"/>
      <c r="G690" s="40"/>
      <c r="H690" s="40"/>
      <c r="I690" s="40"/>
      <c r="J690" s="257" t="str">
        <f>IF(OR($J$133="Not Calculated",$J$261="Not Calculated",$J$539="Not Calculated",$J$681="Not Calculated")=TRUE,"Not Calculated",AVERAGE($J$133,$J$261,$J$539,$J$681))</f>
        <v>Not Calculated</v>
      </c>
      <c r="K690" s="41"/>
    </row>
    <row r="691" spans="2:11" ht="15" customHeight="1" x14ac:dyDescent="0.2">
      <c r="B691" s="38"/>
      <c r="C691" s="40"/>
      <c r="D691" s="40" t="s">
        <v>344</v>
      </c>
      <c r="E691" s="40"/>
      <c r="F691" s="40"/>
      <c r="G691" s="40"/>
      <c r="H691" s="40"/>
      <c r="I691" s="40"/>
      <c r="J691" s="40"/>
      <c r="K691" s="41"/>
    </row>
    <row r="692" spans="2:11" x14ac:dyDescent="0.2">
      <c r="B692" s="38"/>
      <c r="C692" s="40"/>
      <c r="D692" s="40"/>
      <c r="E692" s="40"/>
      <c r="F692" s="40"/>
      <c r="G692" s="40"/>
      <c r="H692" s="40"/>
      <c r="I692" s="40"/>
      <c r="J692" s="40"/>
      <c r="K692" s="41"/>
    </row>
    <row r="693" spans="2:11" ht="16" x14ac:dyDescent="0.2">
      <c r="B693" s="38"/>
      <c r="C693" s="182" t="s">
        <v>988</v>
      </c>
      <c r="D693" s="40"/>
      <c r="E693" s="40"/>
      <c r="F693" s="40"/>
      <c r="G693" s="40"/>
      <c r="H693" s="40"/>
      <c r="I693" s="40"/>
      <c r="J693" s="257" t="str">
        <f>IF(OR($J$133="Not Calculated",$J$261="Not Calculated",$J$421="Not Calculated")=TRUE,"Not Calculated",AVERAGE($J$133,$J$261,$J$421))</f>
        <v>Not Calculated</v>
      </c>
      <c r="K693" s="41"/>
    </row>
    <row r="694" spans="2:11" x14ac:dyDescent="0.2">
      <c r="B694" s="38"/>
      <c r="C694" s="40"/>
      <c r="D694" s="40" t="s">
        <v>345</v>
      </c>
      <c r="E694" s="40"/>
      <c r="F694" s="40"/>
      <c r="G694" s="40"/>
      <c r="H694" s="40"/>
      <c r="I694" s="40"/>
      <c r="J694" s="40"/>
      <c r="K694" s="41"/>
    </row>
    <row r="695" spans="2:11" ht="16" thickBot="1" x14ac:dyDescent="0.25">
      <c r="B695" s="46"/>
      <c r="C695" s="47"/>
      <c r="D695" s="47"/>
      <c r="E695" s="47"/>
      <c r="F695" s="47"/>
      <c r="G695" s="47"/>
      <c r="H695" s="47"/>
      <c r="I695" s="47"/>
      <c r="J695" s="47"/>
      <c r="K695" s="49"/>
    </row>
    <row r="696" spans="2:11" ht="16" thickBot="1" x14ac:dyDescent="0.25"/>
    <row r="697" spans="2:11" x14ac:dyDescent="0.2">
      <c r="B697" s="183"/>
      <c r="C697" s="184"/>
      <c r="D697" s="184"/>
      <c r="E697" s="184"/>
      <c r="F697" s="184"/>
      <c r="G697" s="184"/>
      <c r="H697" s="184"/>
      <c r="I697" s="184"/>
      <c r="J697" s="184"/>
      <c r="K697" s="185"/>
    </row>
    <row r="698" spans="2:11" ht="21" x14ac:dyDescent="0.25">
      <c r="B698" s="186"/>
      <c r="C698" s="187"/>
      <c r="D698" s="187"/>
      <c r="E698" s="187"/>
      <c r="F698" s="187"/>
      <c r="G698" s="188" t="s">
        <v>231</v>
      </c>
      <c r="H698" s="187"/>
      <c r="I698" s="187"/>
      <c r="J698" s="187"/>
      <c r="K698" s="189"/>
    </row>
    <row r="699" spans="2:11" x14ac:dyDescent="0.2">
      <c r="B699" s="186"/>
      <c r="C699" s="187"/>
      <c r="D699" s="187"/>
      <c r="E699" s="187"/>
      <c r="F699" s="187"/>
      <c r="G699" s="187"/>
      <c r="H699" s="187"/>
      <c r="I699" s="187"/>
      <c r="J699" s="187"/>
      <c r="K699" s="189"/>
    </row>
    <row r="700" spans="2:11" ht="16" x14ac:dyDescent="0.2">
      <c r="B700" s="186"/>
      <c r="C700" s="190" t="s">
        <v>989</v>
      </c>
      <c r="D700" s="187"/>
      <c r="E700" s="187"/>
      <c r="F700" s="187"/>
      <c r="G700" s="187"/>
      <c r="H700" s="187"/>
      <c r="I700" s="187"/>
      <c r="J700" s="256" t="str">
        <f>IF(OR(J687="Not Calculated",$E$17="Not Calculated")=TRUE,"Not Calculated",(J687*$E$17*100/16))</f>
        <v>Not Calculated</v>
      </c>
      <c r="K700" s="189"/>
    </row>
    <row r="701" spans="2:11" x14ac:dyDescent="0.2">
      <c r="B701" s="186"/>
      <c r="C701" s="187"/>
      <c r="D701" s="187" t="s">
        <v>377</v>
      </c>
      <c r="E701" s="187"/>
      <c r="F701" s="187"/>
      <c r="G701" s="187"/>
      <c r="H701" s="187"/>
      <c r="I701" s="187"/>
      <c r="J701" s="187"/>
      <c r="K701" s="189"/>
    </row>
    <row r="702" spans="2:11" x14ac:dyDescent="0.2">
      <c r="B702" s="186"/>
      <c r="C702" s="187"/>
      <c r="D702" s="187"/>
      <c r="E702" s="187"/>
      <c r="F702" s="187"/>
      <c r="G702" s="187"/>
      <c r="H702" s="187"/>
      <c r="I702" s="187"/>
      <c r="J702" s="187"/>
      <c r="K702" s="189"/>
    </row>
    <row r="703" spans="2:11" ht="16" x14ac:dyDescent="0.2">
      <c r="B703" s="186"/>
      <c r="C703" s="190" t="s">
        <v>990</v>
      </c>
      <c r="D703" s="187"/>
      <c r="E703" s="187"/>
      <c r="F703" s="187"/>
      <c r="G703" s="187"/>
      <c r="H703" s="187"/>
      <c r="I703" s="187"/>
      <c r="J703" s="256" t="str">
        <f>IF(OR(J690="Not Calculated",$E$17="Not Calculated")=TRUE,"Not Calculated",(J690*$E$17*100/16))</f>
        <v>Not Calculated</v>
      </c>
      <c r="K703" s="189"/>
    </row>
    <row r="704" spans="2:11" x14ac:dyDescent="0.2">
      <c r="B704" s="186"/>
      <c r="C704" s="187"/>
      <c r="D704" s="187" t="s">
        <v>378</v>
      </c>
      <c r="E704" s="187"/>
      <c r="F704" s="187"/>
      <c r="G704" s="187"/>
      <c r="H704" s="187"/>
      <c r="I704" s="187"/>
      <c r="J704" s="187"/>
      <c r="K704" s="189"/>
    </row>
    <row r="705" spans="2:11" x14ac:dyDescent="0.2">
      <c r="B705" s="186"/>
      <c r="C705" s="187"/>
      <c r="D705" s="187"/>
      <c r="E705" s="187"/>
      <c r="F705" s="187"/>
      <c r="G705" s="187"/>
      <c r="H705" s="187"/>
      <c r="I705" s="187"/>
      <c r="J705" s="187"/>
      <c r="K705" s="189"/>
    </row>
    <row r="706" spans="2:11" ht="16" x14ac:dyDescent="0.2">
      <c r="B706" s="186"/>
      <c r="C706" s="190" t="s">
        <v>991</v>
      </c>
      <c r="D706" s="187"/>
      <c r="E706" s="187"/>
      <c r="F706" s="187"/>
      <c r="G706" s="187"/>
      <c r="H706" s="187"/>
      <c r="I706" s="187"/>
      <c r="J706" s="256" t="str">
        <f>IF(OR(J693="Not Calculated",$E$17="Not Calculated")=TRUE,"Not Calculated",(J693*$E$17*100/16))</f>
        <v>Not Calculated</v>
      </c>
      <c r="K706" s="189"/>
    </row>
    <row r="707" spans="2:11" x14ac:dyDescent="0.2">
      <c r="B707" s="186"/>
      <c r="C707" s="187"/>
      <c r="D707" s="187" t="s">
        <v>379</v>
      </c>
      <c r="E707" s="187"/>
      <c r="F707" s="187"/>
      <c r="G707" s="187"/>
      <c r="H707" s="187"/>
      <c r="I707" s="187"/>
      <c r="J707" s="187"/>
      <c r="K707" s="189"/>
    </row>
    <row r="708" spans="2:11" ht="16" thickBot="1" x14ac:dyDescent="0.25">
      <c r="B708" s="191"/>
      <c r="C708" s="192"/>
      <c r="D708" s="192"/>
      <c r="E708" s="192"/>
      <c r="F708" s="192"/>
      <c r="G708" s="192"/>
      <c r="H708" s="192"/>
      <c r="I708" s="192"/>
      <c r="J708" s="192"/>
      <c r="K708" s="193"/>
    </row>
    <row r="709" spans="2:11" ht="16" thickBot="1" x14ac:dyDescent="0.25"/>
    <row r="710" spans="2:11" x14ac:dyDescent="0.2">
      <c r="B710" s="53"/>
      <c r="C710" s="54"/>
      <c r="D710" s="54"/>
      <c r="E710" s="54"/>
      <c r="F710" s="54"/>
      <c r="G710" s="54"/>
      <c r="H710" s="54"/>
      <c r="I710" s="54"/>
      <c r="J710" s="54"/>
      <c r="K710" s="56"/>
    </row>
    <row r="711" spans="2:11" ht="21" x14ac:dyDescent="0.25">
      <c r="B711" s="57"/>
      <c r="C711" s="59"/>
      <c r="D711" s="59"/>
      <c r="E711" s="59"/>
      <c r="F711" s="59"/>
      <c r="G711" s="194" t="s">
        <v>232</v>
      </c>
      <c r="H711" s="59"/>
      <c r="I711" s="59"/>
      <c r="J711" s="59"/>
      <c r="K711" s="61"/>
    </row>
    <row r="712" spans="2:11" x14ac:dyDescent="0.2">
      <c r="B712" s="57"/>
      <c r="C712" s="59"/>
      <c r="D712" s="59"/>
      <c r="E712" s="59"/>
      <c r="F712" s="59"/>
      <c r="G712" s="59"/>
      <c r="H712" s="59"/>
      <c r="I712" s="59"/>
      <c r="J712" s="59"/>
      <c r="K712" s="61"/>
    </row>
    <row r="713" spans="2:11" ht="16" x14ac:dyDescent="0.2">
      <c r="B713" s="57"/>
      <c r="C713" s="195" t="s">
        <v>363</v>
      </c>
      <c r="D713" s="59"/>
      <c r="E713" s="59"/>
      <c r="F713" s="59"/>
      <c r="G713" s="59"/>
      <c r="H713" s="59"/>
      <c r="I713" s="59"/>
      <c r="J713" s="59"/>
      <c r="K713" s="61"/>
    </row>
    <row r="714" spans="2:11" ht="15" customHeight="1" x14ac:dyDescent="0.2">
      <c r="B714" s="57"/>
      <c r="C714" s="411" t="s">
        <v>364</v>
      </c>
      <c r="D714" s="411"/>
      <c r="E714" s="411"/>
      <c r="F714" s="411"/>
      <c r="G714" s="411"/>
      <c r="H714" s="411"/>
      <c r="I714" s="411"/>
      <c r="J714" s="411"/>
      <c r="K714" s="61"/>
    </row>
    <row r="715" spans="2:11" x14ac:dyDescent="0.2">
      <c r="B715" s="57"/>
      <c r="C715" s="411"/>
      <c r="D715" s="411"/>
      <c r="E715" s="411"/>
      <c r="F715" s="411"/>
      <c r="G715" s="411"/>
      <c r="H715" s="411"/>
      <c r="I715" s="411"/>
      <c r="J715" s="411"/>
      <c r="K715" s="61"/>
    </row>
    <row r="716" spans="2:11" x14ac:dyDescent="0.2">
      <c r="B716" s="57"/>
      <c r="C716" s="411"/>
      <c r="D716" s="411"/>
      <c r="E716" s="411"/>
      <c r="F716" s="411"/>
      <c r="G716" s="411"/>
      <c r="H716" s="411"/>
      <c r="I716" s="411"/>
      <c r="J716" s="411"/>
      <c r="K716" s="61"/>
    </row>
    <row r="717" spans="2:11" x14ac:dyDescent="0.2">
      <c r="B717" s="57"/>
      <c r="C717" s="196" t="s">
        <v>30</v>
      </c>
      <c r="D717" s="59"/>
      <c r="E717" s="59"/>
      <c r="F717" s="59"/>
      <c r="G717" s="431" t="s">
        <v>190</v>
      </c>
      <c r="H717" s="431"/>
      <c r="I717" s="59"/>
      <c r="J717" s="260">
        <f>IF(G717=$B$994,$A$994,IF(G717=$B$995,$A$995,"Not Calculated"))</f>
        <v>1</v>
      </c>
      <c r="K717" s="61"/>
    </row>
    <row r="718" spans="2:11" x14ac:dyDescent="0.2">
      <c r="B718" s="57"/>
      <c r="C718" s="196" t="s">
        <v>32</v>
      </c>
      <c r="D718" s="59"/>
      <c r="E718" s="59"/>
      <c r="F718" s="59"/>
      <c r="G718" s="431" t="s">
        <v>190</v>
      </c>
      <c r="H718" s="431"/>
      <c r="I718" s="59"/>
      <c r="J718" s="260">
        <f t="shared" ref="J718:J725" si="0">IF(G718=$B$994,$A$994,IF(G718=$B$995,$A$995,"Not Calculated"))</f>
        <v>1</v>
      </c>
      <c r="K718" s="61"/>
    </row>
    <row r="719" spans="2:11" x14ac:dyDescent="0.2">
      <c r="B719" s="57"/>
      <c r="C719" s="196" t="s">
        <v>34</v>
      </c>
      <c r="D719" s="59"/>
      <c r="E719" s="59"/>
      <c r="F719" s="59"/>
      <c r="G719" s="431" t="s">
        <v>202</v>
      </c>
      <c r="H719" s="431"/>
      <c r="I719" s="59"/>
      <c r="J719" s="260">
        <f t="shared" si="0"/>
        <v>0</v>
      </c>
      <c r="K719" s="61"/>
    </row>
    <row r="720" spans="2:11" x14ac:dyDescent="0.2">
      <c r="B720" s="57"/>
      <c r="C720" s="196" t="s">
        <v>35</v>
      </c>
      <c r="D720" s="59"/>
      <c r="E720" s="59"/>
      <c r="F720" s="59"/>
      <c r="G720" s="431" t="s">
        <v>190</v>
      </c>
      <c r="H720" s="431"/>
      <c r="I720" s="59"/>
      <c r="J720" s="260">
        <f t="shared" si="0"/>
        <v>1</v>
      </c>
      <c r="K720" s="61"/>
    </row>
    <row r="721" spans="2:11" x14ac:dyDescent="0.2">
      <c r="B721" s="57"/>
      <c r="C721" s="196" t="s">
        <v>37</v>
      </c>
      <c r="D721" s="59"/>
      <c r="E721" s="59"/>
      <c r="F721" s="59"/>
      <c r="G721" s="431" t="s">
        <v>190</v>
      </c>
      <c r="H721" s="431"/>
      <c r="I721" s="59"/>
      <c r="J721" s="260">
        <f t="shared" si="0"/>
        <v>1</v>
      </c>
      <c r="K721" s="61"/>
    </row>
    <row r="722" spans="2:11" x14ac:dyDescent="0.2">
      <c r="B722" s="57"/>
      <c r="C722" s="196" t="s">
        <v>38</v>
      </c>
      <c r="D722" s="59"/>
      <c r="E722" s="59"/>
      <c r="F722" s="59"/>
      <c r="G722" s="431" t="s">
        <v>190</v>
      </c>
      <c r="H722" s="431"/>
      <c r="I722" s="59"/>
      <c r="J722" s="260">
        <f t="shared" si="0"/>
        <v>1</v>
      </c>
      <c r="K722" s="61"/>
    </row>
    <row r="723" spans="2:11" x14ac:dyDescent="0.2">
      <c r="B723" s="57"/>
      <c r="C723" s="196" t="s">
        <v>40</v>
      </c>
      <c r="D723" s="59"/>
      <c r="E723" s="59"/>
      <c r="F723" s="59"/>
      <c r="G723" s="431" t="s">
        <v>202</v>
      </c>
      <c r="H723" s="431"/>
      <c r="I723" s="59"/>
      <c r="J723" s="260">
        <f t="shared" si="0"/>
        <v>0</v>
      </c>
      <c r="K723" s="61"/>
    </row>
    <row r="724" spans="2:11" x14ac:dyDescent="0.2">
      <c r="B724" s="57"/>
      <c r="C724" s="196" t="s">
        <v>41</v>
      </c>
      <c r="D724" s="59"/>
      <c r="E724" s="59"/>
      <c r="F724" s="59"/>
      <c r="G724" s="431" t="s">
        <v>190</v>
      </c>
      <c r="H724" s="431"/>
      <c r="I724" s="59"/>
      <c r="J724" s="260">
        <f t="shared" si="0"/>
        <v>1</v>
      </c>
      <c r="K724" s="61"/>
    </row>
    <row r="725" spans="2:11" x14ac:dyDescent="0.2">
      <c r="B725" s="57"/>
      <c r="C725" s="196" t="s">
        <v>43</v>
      </c>
      <c r="D725" s="59"/>
      <c r="E725" s="59"/>
      <c r="F725" s="59"/>
      <c r="G725" s="431" t="s">
        <v>202</v>
      </c>
      <c r="H725" s="431"/>
      <c r="I725" s="59"/>
      <c r="J725" s="260">
        <f t="shared" si="0"/>
        <v>0</v>
      </c>
      <c r="K725" s="61"/>
    </row>
    <row r="726" spans="2:11" x14ac:dyDescent="0.2">
      <c r="B726" s="57"/>
      <c r="C726" s="59"/>
      <c r="D726" s="59"/>
      <c r="E726" s="59"/>
      <c r="F726" s="59"/>
      <c r="G726" s="59"/>
      <c r="H726" s="59"/>
      <c r="I726" s="59"/>
      <c r="J726" s="59"/>
      <c r="K726" s="61"/>
    </row>
    <row r="727" spans="2:11" x14ac:dyDescent="0.2">
      <c r="B727" s="57"/>
      <c r="C727" s="59"/>
      <c r="D727" s="59"/>
      <c r="E727" s="59"/>
      <c r="F727" s="59"/>
      <c r="G727" s="59"/>
      <c r="H727" s="59"/>
      <c r="I727" s="59"/>
      <c r="J727" s="59"/>
      <c r="K727" s="61"/>
    </row>
    <row r="728" spans="2:11" ht="16" x14ac:dyDescent="0.2">
      <c r="B728" s="57"/>
      <c r="C728" s="195" t="s">
        <v>115</v>
      </c>
      <c r="D728" s="59"/>
      <c r="E728" s="59"/>
      <c r="F728" s="59"/>
      <c r="G728" s="59"/>
      <c r="H728" s="59"/>
      <c r="I728" s="59"/>
      <c r="J728" s="59"/>
      <c r="K728" s="61"/>
    </row>
    <row r="729" spans="2:11" ht="15" customHeight="1" x14ac:dyDescent="0.2">
      <c r="B729" s="57"/>
      <c r="C729" s="411" t="s">
        <v>365</v>
      </c>
      <c r="D729" s="411"/>
      <c r="E729" s="411"/>
      <c r="F729" s="411"/>
      <c r="G729" s="411"/>
      <c r="H729" s="411"/>
      <c r="I729" s="411"/>
      <c r="J729" s="411"/>
      <c r="K729" s="61"/>
    </row>
    <row r="730" spans="2:11" x14ac:dyDescent="0.2">
      <c r="B730" s="57"/>
      <c r="C730" s="411"/>
      <c r="D730" s="411"/>
      <c r="E730" s="411"/>
      <c r="F730" s="411"/>
      <c r="G730" s="411"/>
      <c r="H730" s="411"/>
      <c r="I730" s="411"/>
      <c r="J730" s="411"/>
      <c r="K730" s="61"/>
    </row>
    <row r="731" spans="2:11" x14ac:dyDescent="0.2">
      <c r="B731" s="57"/>
      <c r="C731" s="411"/>
      <c r="D731" s="411"/>
      <c r="E731" s="411"/>
      <c r="F731" s="411"/>
      <c r="G731" s="411"/>
      <c r="H731" s="411"/>
      <c r="I731" s="411"/>
      <c r="J731" s="411"/>
      <c r="K731" s="61"/>
    </row>
    <row r="732" spans="2:11" x14ac:dyDescent="0.2">
      <c r="B732" s="57"/>
      <c r="C732" s="196" t="s">
        <v>30</v>
      </c>
      <c r="D732" s="59"/>
      <c r="E732" s="59"/>
      <c r="F732" s="59"/>
      <c r="G732" s="431" t="s">
        <v>190</v>
      </c>
      <c r="H732" s="431"/>
      <c r="I732" s="59"/>
      <c r="J732" s="260">
        <f>IF(G732=$B$994,$A$994,IF(G732=$B$995,$A$995,"Not Calculated"))</f>
        <v>1</v>
      </c>
      <c r="K732" s="61"/>
    </row>
    <row r="733" spans="2:11" x14ac:dyDescent="0.2">
      <c r="B733" s="57"/>
      <c r="C733" s="196" t="s">
        <v>32</v>
      </c>
      <c r="D733" s="59"/>
      <c r="E733" s="59"/>
      <c r="F733" s="59"/>
      <c r="G733" s="431" t="s">
        <v>190</v>
      </c>
      <c r="H733" s="431"/>
      <c r="I733" s="59"/>
      <c r="J733" s="260">
        <f t="shared" ref="J733:J740" si="1">IF(G733=$B$994,$A$994,IF(G733=$B$995,$A$995,"Not Calculated"))</f>
        <v>1</v>
      </c>
      <c r="K733" s="61"/>
    </row>
    <row r="734" spans="2:11" ht="15" customHeight="1" x14ac:dyDescent="0.2">
      <c r="B734" s="57"/>
      <c r="C734" s="196" t="s">
        <v>34</v>
      </c>
      <c r="D734" s="59"/>
      <c r="E734" s="59"/>
      <c r="F734" s="59"/>
      <c r="G734" s="431" t="s">
        <v>190</v>
      </c>
      <c r="H734" s="431"/>
      <c r="I734" s="59"/>
      <c r="J734" s="260">
        <f t="shared" si="1"/>
        <v>1</v>
      </c>
      <c r="K734" s="61"/>
    </row>
    <row r="735" spans="2:11" x14ac:dyDescent="0.2">
      <c r="B735" s="57"/>
      <c r="C735" s="196" t="s">
        <v>35</v>
      </c>
      <c r="D735" s="59"/>
      <c r="E735" s="59"/>
      <c r="F735" s="59"/>
      <c r="G735" s="431" t="s">
        <v>190</v>
      </c>
      <c r="H735" s="431"/>
      <c r="I735" s="59"/>
      <c r="J735" s="260">
        <f t="shared" si="1"/>
        <v>1</v>
      </c>
      <c r="K735" s="61"/>
    </row>
    <row r="736" spans="2:11" x14ac:dyDescent="0.2">
      <c r="B736" s="57"/>
      <c r="C736" s="196" t="s">
        <v>37</v>
      </c>
      <c r="D736" s="59"/>
      <c r="E736" s="59"/>
      <c r="F736" s="59"/>
      <c r="G736" s="431" t="s">
        <v>190</v>
      </c>
      <c r="H736" s="431"/>
      <c r="I736" s="59"/>
      <c r="J736" s="260">
        <f t="shared" si="1"/>
        <v>1</v>
      </c>
      <c r="K736" s="61"/>
    </row>
    <row r="737" spans="2:11" x14ac:dyDescent="0.2">
      <c r="B737" s="57"/>
      <c r="C737" s="196" t="s">
        <v>38</v>
      </c>
      <c r="D737" s="59"/>
      <c r="E737" s="59"/>
      <c r="F737" s="59"/>
      <c r="G737" s="431" t="s">
        <v>202</v>
      </c>
      <c r="H737" s="431"/>
      <c r="I737" s="59"/>
      <c r="J737" s="260">
        <f t="shared" si="1"/>
        <v>0</v>
      </c>
      <c r="K737" s="61"/>
    </row>
    <row r="738" spans="2:11" x14ac:dyDescent="0.2">
      <c r="B738" s="57"/>
      <c r="C738" s="196" t="s">
        <v>40</v>
      </c>
      <c r="D738" s="59"/>
      <c r="E738" s="59"/>
      <c r="F738" s="59"/>
      <c r="G738" s="431" t="s">
        <v>190</v>
      </c>
      <c r="H738" s="431"/>
      <c r="I738" s="59"/>
      <c r="J738" s="260">
        <f t="shared" si="1"/>
        <v>1</v>
      </c>
      <c r="K738" s="61"/>
    </row>
    <row r="739" spans="2:11" x14ac:dyDescent="0.2">
      <c r="B739" s="57"/>
      <c r="C739" s="196" t="s">
        <v>41</v>
      </c>
      <c r="D739" s="59"/>
      <c r="E739" s="59"/>
      <c r="F739" s="59"/>
      <c r="G739" s="431" t="s">
        <v>190</v>
      </c>
      <c r="H739" s="431"/>
      <c r="I739" s="59"/>
      <c r="J739" s="260">
        <f t="shared" si="1"/>
        <v>1</v>
      </c>
      <c r="K739" s="61"/>
    </row>
    <row r="740" spans="2:11" x14ac:dyDescent="0.2">
      <c r="B740" s="57"/>
      <c r="C740" s="196" t="s">
        <v>43</v>
      </c>
      <c r="D740" s="59"/>
      <c r="E740" s="59"/>
      <c r="F740" s="59"/>
      <c r="G740" s="431" t="s">
        <v>190</v>
      </c>
      <c r="H740" s="431"/>
      <c r="I740" s="59"/>
      <c r="J740" s="260">
        <f t="shared" si="1"/>
        <v>1</v>
      </c>
      <c r="K740" s="61"/>
    </row>
    <row r="741" spans="2:11" x14ac:dyDescent="0.2">
      <c r="B741" s="57"/>
      <c r="C741" s="59"/>
      <c r="D741" s="59"/>
      <c r="E741" s="59"/>
      <c r="F741" s="59"/>
      <c r="G741" s="59"/>
      <c r="H741" s="59"/>
      <c r="I741" s="59"/>
      <c r="J741" s="59"/>
      <c r="K741" s="61"/>
    </row>
    <row r="742" spans="2:11" x14ac:dyDescent="0.2">
      <c r="B742" s="57"/>
      <c r="C742" s="59"/>
      <c r="D742" s="59"/>
      <c r="E742" s="59"/>
      <c r="F742" s="59"/>
      <c r="G742" s="59"/>
      <c r="H742" s="59"/>
      <c r="I742" s="59"/>
      <c r="J742" s="59"/>
      <c r="K742" s="61"/>
    </row>
    <row r="743" spans="2:11" ht="16" x14ac:dyDescent="0.2">
      <c r="B743" s="57"/>
      <c r="C743" s="195" t="s">
        <v>366</v>
      </c>
      <c r="D743" s="59"/>
      <c r="E743" s="59"/>
      <c r="F743" s="59"/>
      <c r="G743" s="59"/>
      <c r="H743" s="59"/>
      <c r="I743" s="59"/>
      <c r="J743" s="59"/>
      <c r="K743" s="61"/>
    </row>
    <row r="744" spans="2:11" ht="15" customHeight="1" x14ac:dyDescent="0.2">
      <c r="B744" s="57"/>
      <c r="C744" s="411" t="s">
        <v>367</v>
      </c>
      <c r="D744" s="411"/>
      <c r="E744" s="411"/>
      <c r="F744" s="411"/>
      <c r="G744" s="411"/>
      <c r="H744" s="411"/>
      <c r="I744" s="411"/>
      <c r="J744" s="411"/>
      <c r="K744" s="61"/>
    </row>
    <row r="745" spans="2:11" x14ac:dyDescent="0.2">
      <c r="B745" s="57"/>
      <c r="C745" s="411"/>
      <c r="D745" s="411"/>
      <c r="E745" s="411"/>
      <c r="F745" s="411"/>
      <c r="G745" s="411"/>
      <c r="H745" s="411"/>
      <c r="I745" s="411"/>
      <c r="J745" s="411"/>
      <c r="K745" s="61"/>
    </row>
    <row r="746" spans="2:11" x14ac:dyDescent="0.2">
      <c r="B746" s="57"/>
      <c r="C746" s="411"/>
      <c r="D746" s="411"/>
      <c r="E746" s="411"/>
      <c r="F746" s="411"/>
      <c r="G746" s="411"/>
      <c r="H746" s="411"/>
      <c r="I746" s="411"/>
      <c r="J746" s="411"/>
      <c r="K746" s="61"/>
    </row>
    <row r="747" spans="2:11" x14ac:dyDescent="0.2">
      <c r="B747" s="57"/>
      <c r="C747" s="196" t="s">
        <v>30</v>
      </c>
      <c r="D747" s="59"/>
      <c r="E747" s="59"/>
      <c r="F747" s="59"/>
      <c r="G747" s="431" t="s">
        <v>202</v>
      </c>
      <c r="H747" s="431"/>
      <c r="I747" s="59"/>
      <c r="J747" s="260">
        <f>IF(G747=$B$994,$A$994,IF(G747=$B$995,$A$995,"Not Calculated"))</f>
        <v>0</v>
      </c>
      <c r="K747" s="61"/>
    </row>
    <row r="748" spans="2:11" x14ac:dyDescent="0.2">
      <c r="B748" s="57"/>
      <c r="C748" s="196" t="s">
        <v>32</v>
      </c>
      <c r="D748" s="59"/>
      <c r="E748" s="59"/>
      <c r="F748" s="59"/>
      <c r="G748" s="431" t="s">
        <v>190</v>
      </c>
      <c r="H748" s="431"/>
      <c r="I748" s="59"/>
      <c r="J748" s="260">
        <f t="shared" ref="J748:J755" si="2">IF(G748=$B$994,$A$994,IF(G748=$B$995,$A$995,"Not Calculated"))</f>
        <v>1</v>
      </c>
      <c r="K748" s="61"/>
    </row>
    <row r="749" spans="2:11" ht="15" customHeight="1" x14ac:dyDescent="0.2">
      <c r="B749" s="57"/>
      <c r="C749" s="196" t="s">
        <v>34</v>
      </c>
      <c r="D749" s="59"/>
      <c r="E749" s="59"/>
      <c r="F749" s="59"/>
      <c r="G749" s="431" t="s">
        <v>190</v>
      </c>
      <c r="H749" s="431"/>
      <c r="I749" s="59"/>
      <c r="J749" s="260">
        <f t="shared" si="2"/>
        <v>1</v>
      </c>
      <c r="K749" s="61"/>
    </row>
    <row r="750" spans="2:11" x14ac:dyDescent="0.2">
      <c r="B750" s="57"/>
      <c r="C750" s="196" t="s">
        <v>35</v>
      </c>
      <c r="D750" s="59"/>
      <c r="E750" s="59"/>
      <c r="F750" s="59"/>
      <c r="G750" s="431" t="s">
        <v>190</v>
      </c>
      <c r="H750" s="431"/>
      <c r="I750" s="59"/>
      <c r="J750" s="260">
        <f t="shared" si="2"/>
        <v>1</v>
      </c>
      <c r="K750" s="61"/>
    </row>
    <row r="751" spans="2:11" x14ac:dyDescent="0.2">
      <c r="B751" s="57"/>
      <c r="C751" s="196" t="s">
        <v>37</v>
      </c>
      <c r="D751" s="59"/>
      <c r="E751" s="59"/>
      <c r="F751" s="59"/>
      <c r="G751" s="431" t="s">
        <v>202</v>
      </c>
      <c r="H751" s="431"/>
      <c r="I751" s="59"/>
      <c r="J751" s="260">
        <f t="shared" si="2"/>
        <v>0</v>
      </c>
      <c r="K751" s="61"/>
    </row>
    <row r="752" spans="2:11" x14ac:dyDescent="0.2">
      <c r="B752" s="57"/>
      <c r="C752" s="196" t="s">
        <v>38</v>
      </c>
      <c r="D752" s="59"/>
      <c r="E752" s="59"/>
      <c r="F752" s="59"/>
      <c r="G752" s="431" t="s">
        <v>190</v>
      </c>
      <c r="H752" s="431"/>
      <c r="I752" s="59"/>
      <c r="J752" s="260">
        <f t="shared" si="2"/>
        <v>1</v>
      </c>
      <c r="K752" s="61"/>
    </row>
    <row r="753" spans="2:11" x14ac:dyDescent="0.2">
      <c r="B753" s="57"/>
      <c r="C753" s="196" t="s">
        <v>40</v>
      </c>
      <c r="D753" s="59"/>
      <c r="E753" s="59"/>
      <c r="F753" s="59"/>
      <c r="G753" s="431" t="s">
        <v>190</v>
      </c>
      <c r="H753" s="431"/>
      <c r="I753" s="59"/>
      <c r="J753" s="260">
        <f t="shared" si="2"/>
        <v>1</v>
      </c>
      <c r="K753" s="61"/>
    </row>
    <row r="754" spans="2:11" x14ac:dyDescent="0.2">
      <c r="B754" s="57"/>
      <c r="C754" s="196" t="s">
        <v>41</v>
      </c>
      <c r="D754" s="59"/>
      <c r="E754" s="59"/>
      <c r="F754" s="59"/>
      <c r="G754" s="431" t="s">
        <v>190</v>
      </c>
      <c r="H754" s="431"/>
      <c r="I754" s="59"/>
      <c r="J754" s="260">
        <f t="shared" si="2"/>
        <v>1</v>
      </c>
      <c r="K754" s="61"/>
    </row>
    <row r="755" spans="2:11" x14ac:dyDescent="0.2">
      <c r="B755" s="57"/>
      <c r="C755" s="196" t="s">
        <v>43</v>
      </c>
      <c r="D755" s="59"/>
      <c r="E755" s="59"/>
      <c r="F755" s="59"/>
      <c r="G755" s="431" t="s">
        <v>190</v>
      </c>
      <c r="H755" s="431"/>
      <c r="I755" s="59"/>
      <c r="J755" s="260">
        <f t="shared" si="2"/>
        <v>1</v>
      </c>
      <c r="K755" s="61"/>
    </row>
    <row r="756" spans="2:11" x14ac:dyDescent="0.2">
      <c r="B756" s="57"/>
      <c r="C756" s="59"/>
      <c r="D756" s="59"/>
      <c r="E756" s="59"/>
      <c r="F756" s="59"/>
      <c r="G756" s="59"/>
      <c r="H756" s="59"/>
      <c r="I756" s="59"/>
      <c r="J756" s="59"/>
      <c r="K756" s="61"/>
    </row>
    <row r="757" spans="2:11" x14ac:dyDescent="0.2">
      <c r="B757" s="57"/>
      <c r="C757" s="59"/>
      <c r="D757" s="59"/>
      <c r="E757" s="59"/>
      <c r="F757" s="59"/>
      <c r="G757" s="59"/>
      <c r="H757" s="59"/>
      <c r="I757" s="59"/>
      <c r="J757" s="59"/>
      <c r="K757" s="61"/>
    </row>
    <row r="758" spans="2:11" ht="16" x14ac:dyDescent="0.2">
      <c r="B758" s="57"/>
      <c r="C758" s="195" t="s">
        <v>368</v>
      </c>
      <c r="D758" s="59"/>
      <c r="E758" s="59"/>
      <c r="F758" s="59"/>
      <c r="G758" s="59"/>
      <c r="H758" s="59"/>
      <c r="I758" s="59"/>
      <c r="J758" s="59"/>
      <c r="K758" s="61"/>
    </row>
    <row r="759" spans="2:11" ht="15" customHeight="1" x14ac:dyDescent="0.2">
      <c r="B759" s="57"/>
      <c r="C759" s="411" t="s">
        <v>369</v>
      </c>
      <c r="D759" s="411"/>
      <c r="E759" s="411"/>
      <c r="F759" s="411"/>
      <c r="G759" s="411"/>
      <c r="H759" s="411"/>
      <c r="I759" s="411"/>
      <c r="J759" s="411"/>
      <c r="K759" s="61"/>
    </row>
    <row r="760" spans="2:11" x14ac:dyDescent="0.2">
      <c r="B760" s="57"/>
      <c r="C760" s="411"/>
      <c r="D760" s="411"/>
      <c r="E760" s="411"/>
      <c r="F760" s="411"/>
      <c r="G760" s="411"/>
      <c r="H760" s="411"/>
      <c r="I760" s="411"/>
      <c r="J760" s="411"/>
      <c r="K760" s="61"/>
    </row>
    <row r="761" spans="2:11" x14ac:dyDescent="0.2">
      <c r="B761" s="57"/>
      <c r="C761" s="411"/>
      <c r="D761" s="411"/>
      <c r="E761" s="411"/>
      <c r="F761" s="411"/>
      <c r="G761" s="411"/>
      <c r="H761" s="411"/>
      <c r="I761" s="411"/>
      <c r="J761" s="411"/>
      <c r="K761" s="61"/>
    </row>
    <row r="762" spans="2:11" x14ac:dyDescent="0.2">
      <c r="B762" s="57"/>
      <c r="C762" s="196" t="s">
        <v>30</v>
      </c>
      <c r="D762" s="59"/>
      <c r="E762" s="59"/>
      <c r="F762" s="59"/>
      <c r="G762" s="431" t="s">
        <v>190</v>
      </c>
      <c r="H762" s="431"/>
      <c r="I762" s="59"/>
      <c r="J762" s="260">
        <f>IF(G762=$B$994,$A$994,IF(G762=$B$995,$A$995,"Not Calculated"))</f>
        <v>1</v>
      </c>
      <c r="K762" s="61"/>
    </row>
    <row r="763" spans="2:11" x14ac:dyDescent="0.2">
      <c r="B763" s="57"/>
      <c r="C763" s="196" t="s">
        <v>32</v>
      </c>
      <c r="D763" s="59"/>
      <c r="E763" s="59"/>
      <c r="F763" s="59"/>
      <c r="G763" s="431" t="s">
        <v>190</v>
      </c>
      <c r="H763" s="431"/>
      <c r="I763" s="59"/>
      <c r="J763" s="260">
        <f t="shared" ref="J763:J770" si="3">IF(G763=$B$994,$A$994,IF(G763=$B$995,$A$995,"Not Calculated"))</f>
        <v>1</v>
      </c>
      <c r="K763" s="61"/>
    </row>
    <row r="764" spans="2:11" ht="15" customHeight="1" x14ac:dyDescent="0.2">
      <c r="B764" s="57"/>
      <c r="C764" s="196" t="s">
        <v>34</v>
      </c>
      <c r="D764" s="59"/>
      <c r="E764" s="59"/>
      <c r="F764" s="59"/>
      <c r="G764" s="431" t="s">
        <v>190</v>
      </c>
      <c r="H764" s="431"/>
      <c r="I764" s="59"/>
      <c r="J764" s="260">
        <f t="shared" si="3"/>
        <v>1</v>
      </c>
      <c r="K764" s="61"/>
    </row>
    <row r="765" spans="2:11" x14ac:dyDescent="0.2">
      <c r="B765" s="57"/>
      <c r="C765" s="196" t="s">
        <v>35</v>
      </c>
      <c r="D765" s="59"/>
      <c r="E765" s="59"/>
      <c r="F765" s="59"/>
      <c r="G765" s="431" t="s">
        <v>190</v>
      </c>
      <c r="H765" s="431"/>
      <c r="I765" s="59"/>
      <c r="J765" s="260">
        <f t="shared" si="3"/>
        <v>1</v>
      </c>
      <c r="K765" s="61"/>
    </row>
    <row r="766" spans="2:11" x14ac:dyDescent="0.2">
      <c r="B766" s="57"/>
      <c r="C766" s="196" t="s">
        <v>37</v>
      </c>
      <c r="D766" s="59"/>
      <c r="E766" s="59"/>
      <c r="F766" s="59"/>
      <c r="G766" s="431" t="s">
        <v>190</v>
      </c>
      <c r="H766" s="431"/>
      <c r="I766" s="59"/>
      <c r="J766" s="260">
        <f t="shared" si="3"/>
        <v>1</v>
      </c>
      <c r="K766" s="61"/>
    </row>
    <row r="767" spans="2:11" x14ac:dyDescent="0.2">
      <c r="B767" s="57"/>
      <c r="C767" s="196" t="s">
        <v>38</v>
      </c>
      <c r="D767" s="59"/>
      <c r="E767" s="59"/>
      <c r="F767" s="59"/>
      <c r="G767" s="431" t="s">
        <v>190</v>
      </c>
      <c r="H767" s="431"/>
      <c r="I767" s="59"/>
      <c r="J767" s="260">
        <f t="shared" si="3"/>
        <v>1</v>
      </c>
      <c r="K767" s="61"/>
    </row>
    <row r="768" spans="2:11" x14ac:dyDescent="0.2">
      <c r="B768" s="57"/>
      <c r="C768" s="196" t="s">
        <v>40</v>
      </c>
      <c r="D768" s="59"/>
      <c r="E768" s="59"/>
      <c r="F768" s="59"/>
      <c r="G768" s="431" t="s">
        <v>190</v>
      </c>
      <c r="H768" s="431"/>
      <c r="I768" s="59"/>
      <c r="J768" s="260">
        <f t="shared" si="3"/>
        <v>1</v>
      </c>
      <c r="K768" s="61"/>
    </row>
    <row r="769" spans="2:11" x14ac:dyDescent="0.2">
      <c r="B769" s="57"/>
      <c r="C769" s="196" t="s">
        <v>41</v>
      </c>
      <c r="D769" s="59"/>
      <c r="E769" s="59"/>
      <c r="F769" s="59"/>
      <c r="G769" s="431" t="s">
        <v>190</v>
      </c>
      <c r="H769" s="431"/>
      <c r="I769" s="59"/>
      <c r="J769" s="260">
        <f t="shared" si="3"/>
        <v>1</v>
      </c>
      <c r="K769" s="61"/>
    </row>
    <row r="770" spans="2:11" x14ac:dyDescent="0.2">
      <c r="B770" s="57"/>
      <c r="C770" s="196" t="s">
        <v>43</v>
      </c>
      <c r="D770" s="59"/>
      <c r="E770" s="59"/>
      <c r="F770" s="59"/>
      <c r="G770" s="431" t="s">
        <v>190</v>
      </c>
      <c r="H770" s="431"/>
      <c r="I770" s="59"/>
      <c r="J770" s="260">
        <f t="shared" si="3"/>
        <v>1</v>
      </c>
      <c r="K770" s="61"/>
    </row>
    <row r="771" spans="2:11" x14ac:dyDescent="0.2">
      <c r="B771" s="57"/>
      <c r="C771" s="59"/>
      <c r="D771" s="59"/>
      <c r="E771" s="59"/>
      <c r="F771" s="59"/>
      <c r="G771" s="59"/>
      <c r="H771" s="59"/>
      <c r="I771" s="59"/>
      <c r="J771" s="59"/>
      <c r="K771" s="61"/>
    </row>
    <row r="772" spans="2:11" x14ac:dyDescent="0.2">
      <c r="B772" s="57"/>
      <c r="C772" s="59"/>
      <c r="D772" s="59"/>
      <c r="E772" s="59"/>
      <c r="F772" s="59"/>
      <c r="G772" s="59"/>
      <c r="H772" s="59"/>
      <c r="I772" s="59"/>
      <c r="J772" s="59"/>
      <c r="K772" s="61"/>
    </row>
    <row r="773" spans="2:11" ht="16" x14ac:dyDescent="0.2">
      <c r="B773" s="57"/>
      <c r="C773" s="197" t="s">
        <v>30</v>
      </c>
      <c r="D773" s="59"/>
      <c r="E773" s="59"/>
      <c r="F773" s="59"/>
      <c r="G773" s="59"/>
      <c r="H773" s="59"/>
      <c r="I773" s="59"/>
      <c r="J773" s="59"/>
      <c r="K773" s="61"/>
    </row>
    <row r="774" spans="2:11" x14ac:dyDescent="0.2">
      <c r="B774" s="57"/>
      <c r="C774" s="59"/>
      <c r="D774" s="59" t="s">
        <v>370</v>
      </c>
      <c r="E774" s="59"/>
      <c r="F774" s="59"/>
      <c r="G774" s="59"/>
      <c r="H774" s="59"/>
      <c r="I774" s="59"/>
      <c r="J774" s="60">
        <f>'Baseline At-Risk Pops'!H8</f>
        <v>0</v>
      </c>
      <c r="K774" s="61"/>
    </row>
    <row r="775" spans="2:11" x14ac:dyDescent="0.2">
      <c r="B775" s="57"/>
      <c r="C775" s="59"/>
      <c r="D775" s="59" t="s">
        <v>371</v>
      </c>
      <c r="E775" s="59"/>
      <c r="F775" s="59"/>
      <c r="G775" s="59"/>
      <c r="H775" s="59"/>
      <c r="I775" s="59"/>
      <c r="J775" s="60">
        <f>SUM(J717,J732,J747,J762)</f>
        <v>3</v>
      </c>
      <c r="K775" s="61"/>
    </row>
    <row r="776" spans="2:11" x14ac:dyDescent="0.2">
      <c r="B776" s="57"/>
      <c r="C776" s="59"/>
      <c r="D776" s="196" t="s">
        <v>372</v>
      </c>
      <c r="E776" s="59"/>
      <c r="F776" s="59"/>
      <c r="G776" s="59"/>
      <c r="H776" s="59"/>
      <c r="I776" s="59"/>
      <c r="J776" s="60">
        <f>AVERAGE(J774,J775)</f>
        <v>1.5</v>
      </c>
      <c r="K776" s="61"/>
    </row>
    <row r="777" spans="2:11" ht="16" x14ac:dyDescent="0.2">
      <c r="B777" s="57"/>
      <c r="C777" s="197" t="s">
        <v>32</v>
      </c>
      <c r="D777" s="59"/>
      <c r="E777" s="59"/>
      <c r="F777" s="59"/>
      <c r="G777" s="59"/>
      <c r="H777" s="59"/>
      <c r="I777" s="59"/>
      <c r="J777" s="60"/>
      <c r="K777" s="61"/>
    </row>
    <row r="778" spans="2:11" x14ac:dyDescent="0.2">
      <c r="B778" s="57"/>
      <c r="C778" s="59"/>
      <c r="D778" s="59" t="s">
        <v>370</v>
      </c>
      <c r="E778" s="59"/>
      <c r="F778" s="59"/>
      <c r="G778" s="59"/>
      <c r="H778" s="59"/>
      <c r="I778" s="59"/>
      <c r="J778" s="60">
        <f>'Baseline At-Risk Pops'!H14</f>
        <v>0</v>
      </c>
      <c r="K778" s="61"/>
    </row>
    <row r="779" spans="2:11" ht="15" customHeight="1" x14ac:dyDescent="0.2">
      <c r="B779" s="57"/>
      <c r="C779" s="59"/>
      <c r="D779" s="59" t="s">
        <v>371</v>
      </c>
      <c r="E779" s="59"/>
      <c r="F779" s="59"/>
      <c r="G779" s="59"/>
      <c r="H779" s="59"/>
      <c r="I779" s="59"/>
      <c r="J779" s="60">
        <f>SUM(J718,J733,J748,J763)</f>
        <v>4</v>
      </c>
      <c r="K779" s="61"/>
    </row>
    <row r="780" spans="2:11" x14ac:dyDescent="0.2">
      <c r="B780" s="57"/>
      <c r="C780" s="59"/>
      <c r="D780" s="196" t="s">
        <v>372</v>
      </c>
      <c r="E780" s="59"/>
      <c r="F780" s="59"/>
      <c r="G780" s="59"/>
      <c r="H780" s="59"/>
      <c r="I780" s="59"/>
      <c r="J780" s="60">
        <f>AVERAGE(J778,J779)</f>
        <v>2</v>
      </c>
      <c r="K780" s="61"/>
    </row>
    <row r="781" spans="2:11" ht="16" x14ac:dyDescent="0.2">
      <c r="B781" s="57"/>
      <c r="C781" s="197" t="s">
        <v>34</v>
      </c>
      <c r="D781" s="59"/>
      <c r="E781" s="59"/>
      <c r="F781" s="59"/>
      <c r="G781" s="59"/>
      <c r="H781" s="59"/>
      <c r="I781" s="59"/>
      <c r="J781" s="60"/>
      <c r="K781" s="61"/>
    </row>
    <row r="782" spans="2:11" ht="16" x14ac:dyDescent="0.2">
      <c r="B782" s="57"/>
      <c r="C782" s="197"/>
      <c r="D782" s="59" t="s">
        <v>370</v>
      </c>
      <c r="E782" s="59"/>
      <c r="F782" s="59"/>
      <c r="G782" s="59"/>
      <c r="H782" s="59"/>
      <c r="I782" s="59"/>
      <c r="J782" s="60">
        <f>'Baseline At-Risk Pops'!H21</f>
        <v>0</v>
      </c>
      <c r="K782" s="61"/>
    </row>
    <row r="783" spans="2:11" x14ac:dyDescent="0.2">
      <c r="B783" s="57"/>
      <c r="C783" s="59"/>
      <c r="D783" s="59" t="s">
        <v>371</v>
      </c>
      <c r="E783" s="59"/>
      <c r="F783" s="59"/>
      <c r="G783" s="59"/>
      <c r="H783" s="59"/>
      <c r="I783" s="59"/>
      <c r="J783" s="60">
        <f>SUM(J719,J734,J749,J764)</f>
        <v>3</v>
      </c>
      <c r="K783" s="61"/>
    </row>
    <row r="784" spans="2:11" x14ac:dyDescent="0.2">
      <c r="B784" s="57"/>
      <c r="C784" s="59"/>
      <c r="D784" s="196" t="s">
        <v>372</v>
      </c>
      <c r="E784" s="59"/>
      <c r="F784" s="59"/>
      <c r="G784" s="59"/>
      <c r="H784" s="59"/>
      <c r="I784" s="59"/>
      <c r="J784" s="60">
        <f>AVERAGE(J782,J783)</f>
        <v>1.5</v>
      </c>
      <c r="K784" s="61"/>
    </row>
    <row r="785" spans="2:11" ht="16" x14ac:dyDescent="0.2">
      <c r="B785" s="57"/>
      <c r="C785" s="197" t="s">
        <v>35</v>
      </c>
      <c r="D785" s="59"/>
      <c r="E785" s="59"/>
      <c r="F785" s="59"/>
      <c r="G785" s="59"/>
      <c r="H785" s="59"/>
      <c r="I785" s="59"/>
      <c r="J785" s="60"/>
      <c r="K785" s="61"/>
    </row>
    <row r="786" spans="2:11" x14ac:dyDescent="0.2">
      <c r="B786" s="57"/>
      <c r="C786" s="59"/>
      <c r="D786" s="59" t="s">
        <v>370</v>
      </c>
      <c r="E786" s="59"/>
      <c r="F786" s="59"/>
      <c r="G786" s="59"/>
      <c r="H786" s="59"/>
      <c r="I786" s="59"/>
      <c r="J786" s="60">
        <f>'Baseline At-Risk Pops'!H27</f>
        <v>0</v>
      </c>
      <c r="K786" s="61"/>
    </row>
    <row r="787" spans="2:11" x14ac:dyDescent="0.2">
      <c r="B787" s="57"/>
      <c r="C787" s="59"/>
      <c r="D787" s="59" t="s">
        <v>371</v>
      </c>
      <c r="E787" s="59"/>
      <c r="F787" s="59"/>
      <c r="G787" s="59"/>
      <c r="H787" s="59"/>
      <c r="I787" s="59"/>
      <c r="J787" s="60">
        <f>SUM(J720,J735,J750,J765)</f>
        <v>4</v>
      </c>
      <c r="K787" s="61"/>
    </row>
    <row r="788" spans="2:11" x14ac:dyDescent="0.2">
      <c r="B788" s="57"/>
      <c r="C788" s="59"/>
      <c r="D788" s="196" t="s">
        <v>372</v>
      </c>
      <c r="E788" s="59"/>
      <c r="F788" s="59"/>
      <c r="G788" s="59"/>
      <c r="H788" s="59"/>
      <c r="I788" s="59"/>
      <c r="J788" s="60">
        <f>AVERAGE(J786,J787)</f>
        <v>2</v>
      </c>
      <c r="K788" s="61"/>
    </row>
    <row r="789" spans="2:11" ht="16" x14ac:dyDescent="0.2">
      <c r="B789" s="57"/>
      <c r="C789" s="197" t="s">
        <v>37</v>
      </c>
      <c r="D789" s="59"/>
      <c r="E789" s="59"/>
      <c r="F789" s="59"/>
      <c r="G789" s="59"/>
      <c r="H789" s="59"/>
      <c r="I789" s="59"/>
      <c r="J789" s="60"/>
      <c r="K789" s="61"/>
    </row>
    <row r="790" spans="2:11" x14ac:dyDescent="0.2">
      <c r="B790" s="57"/>
      <c r="C790" s="59"/>
      <c r="D790" s="59" t="s">
        <v>370</v>
      </c>
      <c r="E790" s="59"/>
      <c r="F790" s="59"/>
      <c r="G790" s="59"/>
      <c r="H790" s="59"/>
      <c r="I790" s="59"/>
      <c r="J790" s="60">
        <f>'Baseline At-Risk Pops'!H34</f>
        <v>0</v>
      </c>
      <c r="K790" s="61"/>
    </row>
    <row r="791" spans="2:11" x14ac:dyDescent="0.2">
      <c r="B791" s="57"/>
      <c r="C791" s="59"/>
      <c r="D791" s="59" t="s">
        <v>371</v>
      </c>
      <c r="E791" s="59"/>
      <c r="F791" s="59"/>
      <c r="G791" s="59"/>
      <c r="H791" s="59"/>
      <c r="I791" s="59"/>
      <c r="J791" s="60">
        <f>SUM(J721,J736,J751,J766)</f>
        <v>3</v>
      </c>
      <c r="K791" s="61"/>
    </row>
    <row r="792" spans="2:11" x14ac:dyDescent="0.2">
      <c r="B792" s="57"/>
      <c r="C792" s="59"/>
      <c r="D792" s="196" t="s">
        <v>372</v>
      </c>
      <c r="E792" s="59"/>
      <c r="F792" s="59"/>
      <c r="G792" s="59"/>
      <c r="H792" s="59"/>
      <c r="I792" s="59"/>
      <c r="J792" s="60">
        <f>AVERAGE(J790,J791)</f>
        <v>1.5</v>
      </c>
      <c r="K792" s="61"/>
    </row>
    <row r="793" spans="2:11" ht="16" x14ac:dyDescent="0.2">
      <c r="B793" s="57"/>
      <c r="C793" s="197" t="s">
        <v>38</v>
      </c>
      <c r="D793" s="59"/>
      <c r="E793" s="59"/>
      <c r="F793" s="59"/>
      <c r="G793" s="59"/>
      <c r="H793" s="59"/>
      <c r="I793" s="59"/>
      <c r="J793" s="60"/>
      <c r="K793" s="61"/>
    </row>
    <row r="794" spans="2:11" x14ac:dyDescent="0.2">
      <c r="B794" s="57"/>
      <c r="C794" s="59"/>
      <c r="D794" s="59" t="s">
        <v>370</v>
      </c>
      <c r="E794" s="59"/>
      <c r="F794" s="59"/>
      <c r="G794" s="59"/>
      <c r="H794" s="59"/>
      <c r="I794" s="59"/>
      <c r="J794" s="60">
        <f>'Baseline At-Risk Pops'!H40</f>
        <v>0</v>
      </c>
      <c r="K794" s="61"/>
    </row>
    <row r="795" spans="2:11" x14ac:dyDescent="0.2">
      <c r="B795" s="57"/>
      <c r="C795" s="59"/>
      <c r="D795" s="59" t="s">
        <v>371</v>
      </c>
      <c r="E795" s="59"/>
      <c r="F795" s="59"/>
      <c r="G795" s="59"/>
      <c r="H795" s="59"/>
      <c r="I795" s="59"/>
      <c r="J795" s="60">
        <f>SUM(J722,J737,J752,J767)</f>
        <v>3</v>
      </c>
      <c r="K795" s="61"/>
    </row>
    <row r="796" spans="2:11" x14ac:dyDescent="0.2">
      <c r="B796" s="57"/>
      <c r="C796" s="59"/>
      <c r="D796" s="196" t="s">
        <v>372</v>
      </c>
      <c r="E796" s="59"/>
      <c r="F796" s="59"/>
      <c r="G796" s="59"/>
      <c r="H796" s="59"/>
      <c r="I796" s="59"/>
      <c r="J796" s="60">
        <f>AVERAGE(J794,J795)</f>
        <v>1.5</v>
      </c>
      <c r="K796" s="61"/>
    </row>
    <row r="797" spans="2:11" ht="16" x14ac:dyDescent="0.2">
      <c r="B797" s="57"/>
      <c r="C797" s="197" t="s">
        <v>40</v>
      </c>
      <c r="D797" s="59"/>
      <c r="E797" s="59"/>
      <c r="F797" s="59"/>
      <c r="G797" s="59"/>
      <c r="H797" s="59"/>
      <c r="I797" s="59"/>
      <c r="J797" s="60"/>
      <c r="K797" s="61"/>
    </row>
    <row r="798" spans="2:11" x14ac:dyDescent="0.2">
      <c r="B798" s="57"/>
      <c r="C798" s="59"/>
      <c r="D798" s="59" t="s">
        <v>370</v>
      </c>
      <c r="E798" s="59"/>
      <c r="F798" s="59"/>
      <c r="G798" s="59"/>
      <c r="H798" s="59"/>
      <c r="I798" s="59"/>
      <c r="J798" s="60">
        <f>'Baseline At-Risk Pops'!H46</f>
        <v>0</v>
      </c>
      <c r="K798" s="61"/>
    </row>
    <row r="799" spans="2:11" x14ac:dyDescent="0.2">
      <c r="B799" s="57"/>
      <c r="C799" s="59"/>
      <c r="D799" s="59" t="s">
        <v>371</v>
      </c>
      <c r="E799" s="59"/>
      <c r="F799" s="59"/>
      <c r="G799" s="59"/>
      <c r="H799" s="59"/>
      <c r="I799" s="59"/>
      <c r="J799" s="60">
        <f>SUM(J723,J738,J753,J768)</f>
        <v>3</v>
      </c>
      <c r="K799" s="61"/>
    </row>
    <row r="800" spans="2:11" x14ac:dyDescent="0.2">
      <c r="B800" s="57"/>
      <c r="C800" s="59"/>
      <c r="D800" s="196" t="s">
        <v>372</v>
      </c>
      <c r="E800" s="59"/>
      <c r="F800" s="59"/>
      <c r="G800" s="59"/>
      <c r="H800" s="59"/>
      <c r="I800" s="59"/>
      <c r="J800" s="60">
        <f>AVERAGE(J798,J799)</f>
        <v>1.5</v>
      </c>
      <c r="K800" s="61"/>
    </row>
    <row r="801" spans="2:11" ht="16" x14ac:dyDescent="0.2">
      <c r="B801" s="57"/>
      <c r="C801" s="197" t="s">
        <v>41</v>
      </c>
      <c r="D801" s="59"/>
      <c r="E801" s="59"/>
      <c r="F801" s="59"/>
      <c r="G801" s="59"/>
      <c r="H801" s="59"/>
      <c r="I801" s="59"/>
      <c r="J801" s="60"/>
      <c r="K801" s="61"/>
    </row>
    <row r="802" spans="2:11" ht="16" x14ac:dyDescent="0.2">
      <c r="B802" s="57"/>
      <c r="C802" s="197"/>
      <c r="D802" s="59" t="s">
        <v>370</v>
      </c>
      <c r="E802" s="59"/>
      <c r="F802" s="59"/>
      <c r="G802" s="59"/>
      <c r="H802" s="59"/>
      <c r="I802" s="59"/>
      <c r="J802" s="60">
        <f>'Baseline At-Risk Pops'!H52</f>
        <v>0</v>
      </c>
      <c r="K802" s="61"/>
    </row>
    <row r="803" spans="2:11" x14ac:dyDescent="0.2">
      <c r="B803" s="57"/>
      <c r="C803" s="59"/>
      <c r="D803" s="59" t="s">
        <v>371</v>
      </c>
      <c r="E803" s="59"/>
      <c r="F803" s="59"/>
      <c r="G803" s="59"/>
      <c r="H803" s="59"/>
      <c r="I803" s="59"/>
      <c r="J803" s="60">
        <f>SUM(J724,J739,J754,J769)</f>
        <v>4</v>
      </c>
      <c r="K803" s="61"/>
    </row>
    <row r="804" spans="2:11" x14ac:dyDescent="0.2">
      <c r="B804" s="57"/>
      <c r="C804" s="59"/>
      <c r="D804" s="196" t="s">
        <v>372</v>
      </c>
      <c r="E804" s="59"/>
      <c r="F804" s="59"/>
      <c r="G804" s="59"/>
      <c r="H804" s="59"/>
      <c r="I804" s="59"/>
      <c r="J804" s="60">
        <f>AVERAGE(J802,J803)</f>
        <v>2</v>
      </c>
      <c r="K804" s="61"/>
    </row>
    <row r="805" spans="2:11" ht="16" x14ac:dyDescent="0.2">
      <c r="B805" s="57"/>
      <c r="C805" s="197" t="s">
        <v>43</v>
      </c>
      <c r="D805" s="59"/>
      <c r="E805" s="59"/>
      <c r="F805" s="59"/>
      <c r="G805" s="59"/>
      <c r="H805" s="59"/>
      <c r="I805" s="59"/>
      <c r="J805" s="60"/>
      <c r="K805" s="61"/>
    </row>
    <row r="806" spans="2:11" x14ac:dyDescent="0.2">
      <c r="B806" s="57"/>
      <c r="C806" s="59"/>
      <c r="D806" s="59" t="s">
        <v>370</v>
      </c>
      <c r="E806" s="59"/>
      <c r="F806" s="59"/>
      <c r="G806" s="59"/>
      <c r="H806" s="59"/>
      <c r="I806" s="59"/>
      <c r="J806" s="60">
        <f>'Baseline At-Risk Pops'!H58</f>
        <v>0</v>
      </c>
      <c r="K806" s="61"/>
    </row>
    <row r="807" spans="2:11" x14ac:dyDescent="0.2">
      <c r="B807" s="57"/>
      <c r="C807" s="59"/>
      <c r="D807" s="59" t="s">
        <v>371</v>
      </c>
      <c r="E807" s="59"/>
      <c r="F807" s="59"/>
      <c r="G807" s="59"/>
      <c r="H807" s="59"/>
      <c r="I807" s="59"/>
      <c r="J807" s="60">
        <f>SUM(J725,J740,J755,J770)</f>
        <v>3</v>
      </c>
      <c r="K807" s="61"/>
    </row>
    <row r="808" spans="2:11" x14ac:dyDescent="0.2">
      <c r="B808" s="57"/>
      <c r="C808" s="59"/>
      <c r="D808" s="196" t="s">
        <v>372</v>
      </c>
      <c r="E808" s="59"/>
      <c r="F808" s="59"/>
      <c r="G808" s="59"/>
      <c r="H808" s="59"/>
      <c r="I808" s="59"/>
      <c r="J808" s="60">
        <f>AVERAGE(J806,J807)</f>
        <v>1.5</v>
      </c>
      <c r="K808" s="61"/>
    </row>
    <row r="809" spans="2:11" x14ac:dyDescent="0.2">
      <c r="B809" s="57"/>
      <c r="C809" s="59"/>
      <c r="D809" s="59"/>
      <c r="E809" s="59"/>
      <c r="F809" s="59"/>
      <c r="G809" s="59"/>
      <c r="H809" s="59"/>
      <c r="I809" s="59"/>
      <c r="J809" s="59"/>
      <c r="K809" s="61"/>
    </row>
    <row r="810" spans="2:11" x14ac:dyDescent="0.2">
      <c r="B810" s="57"/>
      <c r="C810" s="59"/>
      <c r="D810" s="59"/>
      <c r="E810" s="59"/>
      <c r="F810" s="59"/>
      <c r="G810" s="59"/>
      <c r="H810" s="59"/>
      <c r="I810" s="59"/>
      <c r="J810" s="59"/>
      <c r="K810" s="61"/>
    </row>
    <row r="811" spans="2:11" ht="16" x14ac:dyDescent="0.2">
      <c r="B811" s="57"/>
      <c r="C811" s="198" t="s">
        <v>373</v>
      </c>
      <c r="D811" s="59"/>
      <c r="E811" s="59"/>
      <c r="F811" s="59"/>
      <c r="G811" s="59"/>
      <c r="H811" s="59"/>
      <c r="I811" s="59"/>
      <c r="J811" s="261">
        <f>AVERAGE(J776,J780,J784,J788,J792,J796,J800,J804,J808)</f>
        <v>1.6666666666666667</v>
      </c>
      <c r="K811" s="61"/>
    </row>
    <row r="812" spans="2:11" ht="16" thickBot="1" x14ac:dyDescent="0.25">
      <c r="B812" s="73"/>
      <c r="C812" s="74"/>
      <c r="D812" s="74"/>
      <c r="E812" s="74"/>
      <c r="F812" s="74"/>
      <c r="G812" s="74"/>
      <c r="H812" s="74"/>
      <c r="I812" s="74"/>
      <c r="J812" s="74"/>
      <c r="K812" s="76"/>
    </row>
    <row r="813" spans="2:11" ht="16" thickBot="1" x14ac:dyDescent="0.25"/>
    <row r="814" spans="2:11" x14ac:dyDescent="0.2">
      <c r="B814" s="199"/>
      <c r="C814" s="200"/>
      <c r="D814" s="200"/>
      <c r="E814" s="200"/>
      <c r="F814" s="200"/>
      <c r="G814" s="200"/>
      <c r="H814" s="200"/>
      <c r="I814" s="200"/>
      <c r="J814" s="200"/>
      <c r="K814" s="201"/>
    </row>
    <row r="815" spans="2:11" ht="21" x14ac:dyDescent="0.25">
      <c r="B815" s="202"/>
      <c r="C815" s="203"/>
      <c r="D815" s="203"/>
      <c r="E815" s="203"/>
      <c r="F815" s="203"/>
      <c r="G815" s="204" t="s">
        <v>233</v>
      </c>
      <c r="H815" s="203"/>
      <c r="I815" s="203"/>
      <c r="J815" s="203"/>
      <c r="K815" s="205"/>
    </row>
    <row r="816" spans="2:11" x14ac:dyDescent="0.2">
      <c r="B816" s="202"/>
      <c r="C816" s="203"/>
      <c r="D816" s="203"/>
      <c r="E816" s="203"/>
      <c r="F816" s="203"/>
      <c r="G816" s="203"/>
      <c r="H816" s="203"/>
      <c r="I816" s="203"/>
      <c r="J816" s="203"/>
      <c r="K816" s="205"/>
    </row>
    <row r="817" spans="2:11" ht="16" x14ac:dyDescent="0.2">
      <c r="B817" s="202"/>
      <c r="C817" s="206" t="s">
        <v>992</v>
      </c>
      <c r="D817" s="203"/>
      <c r="E817" s="203"/>
      <c r="F817" s="203"/>
      <c r="G817" s="203"/>
      <c r="H817" s="203"/>
      <c r="I817" s="203"/>
      <c r="J817" s="262" t="str">
        <f>IF(J700="Not Calculated","Not Calculated",J700*(($J$811/4)+1))</f>
        <v>Not Calculated</v>
      </c>
      <c r="K817" s="205"/>
    </row>
    <row r="818" spans="2:11" x14ac:dyDescent="0.2">
      <c r="B818" s="202"/>
      <c r="C818" s="203"/>
      <c r="D818" s="203" t="s">
        <v>1119</v>
      </c>
      <c r="E818" s="203"/>
      <c r="F818" s="203"/>
      <c r="G818" s="203"/>
      <c r="H818" s="203"/>
      <c r="I818" s="203"/>
      <c r="J818" s="203"/>
      <c r="K818" s="205"/>
    </row>
    <row r="819" spans="2:11" x14ac:dyDescent="0.2">
      <c r="B819" s="202"/>
      <c r="C819" s="203"/>
      <c r="D819" s="203"/>
      <c r="E819" s="203"/>
      <c r="F819" s="203"/>
      <c r="G819" s="203"/>
      <c r="H819" s="203"/>
      <c r="I819" s="203"/>
      <c r="J819" s="203"/>
      <c r="K819" s="205"/>
    </row>
    <row r="820" spans="2:11" ht="16" x14ac:dyDescent="0.2">
      <c r="B820" s="202"/>
      <c r="C820" s="206" t="s">
        <v>993</v>
      </c>
      <c r="D820" s="203"/>
      <c r="E820" s="203"/>
      <c r="F820" s="203"/>
      <c r="G820" s="203"/>
      <c r="H820" s="203"/>
      <c r="I820" s="203"/>
      <c r="J820" s="262" t="str">
        <f>IF(J703="Not Calculated","Not Calculated",J703*(($J$811/4)+1))</f>
        <v>Not Calculated</v>
      </c>
      <c r="K820" s="205"/>
    </row>
    <row r="821" spans="2:11" x14ac:dyDescent="0.2">
      <c r="B821" s="202"/>
      <c r="C821" s="203"/>
      <c r="D821" s="203" t="s">
        <v>1120</v>
      </c>
      <c r="E821" s="203"/>
      <c r="F821" s="203"/>
      <c r="G821" s="203"/>
      <c r="H821" s="203"/>
      <c r="I821" s="203"/>
      <c r="J821" s="203"/>
      <c r="K821" s="205"/>
    </row>
    <row r="822" spans="2:11" x14ac:dyDescent="0.2">
      <c r="B822" s="202"/>
      <c r="C822" s="203"/>
      <c r="D822" s="203"/>
      <c r="E822" s="203"/>
      <c r="F822" s="203"/>
      <c r="G822" s="203"/>
      <c r="H822" s="203"/>
      <c r="I822" s="203"/>
      <c r="J822" s="203"/>
      <c r="K822" s="205"/>
    </row>
    <row r="823" spans="2:11" ht="16" x14ac:dyDescent="0.2">
      <c r="B823" s="202"/>
      <c r="C823" s="206" t="s">
        <v>994</v>
      </c>
      <c r="D823" s="203"/>
      <c r="E823" s="203"/>
      <c r="F823" s="203"/>
      <c r="G823" s="203"/>
      <c r="H823" s="203"/>
      <c r="I823" s="203"/>
      <c r="J823" s="262" t="str">
        <f>IF(J706="Not Calculated","Not Calculated",J706*(($J$811/4)+1))</f>
        <v>Not Calculated</v>
      </c>
      <c r="K823" s="205"/>
    </row>
    <row r="824" spans="2:11" x14ac:dyDescent="0.2">
      <c r="B824" s="202"/>
      <c r="C824" s="203"/>
      <c r="D824" s="203" t="s">
        <v>1121</v>
      </c>
      <c r="E824" s="203"/>
      <c r="F824" s="203"/>
      <c r="G824" s="203"/>
      <c r="H824" s="203"/>
      <c r="I824" s="203"/>
      <c r="J824" s="203"/>
      <c r="K824" s="205"/>
    </row>
    <row r="825" spans="2:11" ht="16" thickBot="1" x14ac:dyDescent="0.25">
      <c r="B825" s="207"/>
      <c r="C825" s="208"/>
      <c r="D825" s="208"/>
      <c r="E825" s="208"/>
      <c r="F825" s="208"/>
      <c r="G825" s="208"/>
      <c r="H825" s="208"/>
      <c r="I825" s="208"/>
      <c r="J825" s="208"/>
      <c r="K825" s="209"/>
    </row>
    <row r="826" spans="2:11" ht="16" thickBot="1" x14ac:dyDescent="0.25"/>
    <row r="827" spans="2:11" x14ac:dyDescent="0.2">
      <c r="B827" s="77"/>
      <c r="C827" s="78"/>
      <c r="D827" s="78"/>
      <c r="E827" s="78"/>
      <c r="F827" s="78"/>
      <c r="G827" s="78"/>
      <c r="H827" s="78"/>
      <c r="I827" s="78"/>
      <c r="J827" s="78"/>
      <c r="K827" s="80"/>
    </row>
    <row r="828" spans="2:11" ht="21" x14ac:dyDescent="0.25">
      <c r="B828" s="81"/>
      <c r="C828" s="85"/>
      <c r="D828" s="85"/>
      <c r="E828" s="85"/>
      <c r="F828" s="85"/>
      <c r="G828" s="210" t="s">
        <v>806</v>
      </c>
      <c r="H828" s="85"/>
      <c r="I828" s="85"/>
      <c r="J828" s="85"/>
      <c r="K828" s="87"/>
    </row>
    <row r="829" spans="2:11" x14ac:dyDescent="0.2">
      <c r="B829" s="81"/>
      <c r="C829" s="85"/>
      <c r="D829" s="85"/>
      <c r="E829" s="85"/>
      <c r="F829" s="85"/>
      <c r="G829" s="85"/>
      <c r="H829" s="85"/>
      <c r="I829" s="85"/>
      <c r="J829" s="85"/>
      <c r="K829" s="87"/>
    </row>
    <row r="830" spans="2:11" ht="15" customHeight="1" x14ac:dyDescent="0.2">
      <c r="B830" s="81"/>
      <c r="C830" s="424" t="s">
        <v>808</v>
      </c>
      <c r="D830" s="424"/>
      <c r="E830" s="424"/>
      <c r="F830" s="424"/>
      <c r="G830" s="424"/>
      <c r="H830" s="424"/>
      <c r="I830" s="424"/>
      <c r="J830" s="424"/>
      <c r="K830" s="87"/>
    </row>
    <row r="831" spans="2:11" x14ac:dyDescent="0.2">
      <c r="B831" s="81"/>
      <c r="C831" s="424"/>
      <c r="D831" s="424"/>
      <c r="E831" s="424"/>
      <c r="F831" s="424"/>
      <c r="G831" s="424"/>
      <c r="H831" s="424"/>
      <c r="I831" s="424"/>
      <c r="J831" s="424"/>
      <c r="K831" s="87"/>
    </row>
    <row r="832" spans="2:11" x14ac:dyDescent="0.2">
      <c r="B832" s="81"/>
      <c r="C832" s="85"/>
      <c r="D832" s="85"/>
      <c r="E832" s="85"/>
      <c r="F832" s="85"/>
      <c r="G832" s="85"/>
      <c r="H832" s="85"/>
      <c r="I832" s="85"/>
      <c r="J832" s="85"/>
      <c r="K832" s="87"/>
    </row>
    <row r="833" spans="2:11" ht="16" x14ac:dyDescent="0.2">
      <c r="B833" s="81"/>
      <c r="C833" s="211" t="s">
        <v>654</v>
      </c>
      <c r="D833" s="85"/>
      <c r="E833" s="85"/>
      <c r="F833" s="85"/>
      <c r="G833" s="85"/>
      <c r="H833" s="85"/>
      <c r="I833" s="85"/>
      <c r="J833" s="85"/>
      <c r="K833" s="87"/>
    </row>
    <row r="834" spans="2:11" x14ac:dyDescent="0.2">
      <c r="B834" s="81"/>
      <c r="C834" s="85" t="s">
        <v>380</v>
      </c>
      <c r="D834" s="85"/>
      <c r="E834" s="85"/>
      <c r="F834" s="85"/>
      <c r="G834" s="406" t="s">
        <v>234</v>
      </c>
      <c r="H834" s="407"/>
      <c r="I834" s="85"/>
      <c r="J834" s="83">
        <f>IF(G834=$B$998,$A$998,IF(G834=$B$999,$A$999,IF(G834=$B$1000,$A$1000,IF(G834=$B$1001,$A$1001,IF(G834=$B$1002,$A$1002,"Not Calculated")))))</f>
        <v>4</v>
      </c>
      <c r="K834" s="87"/>
    </row>
    <row r="835" spans="2:11" x14ac:dyDescent="0.2">
      <c r="B835" s="81"/>
      <c r="C835" s="85" t="s">
        <v>134</v>
      </c>
      <c r="D835" s="85"/>
      <c r="E835" s="85"/>
      <c r="F835" s="85"/>
      <c r="G835" s="85"/>
      <c r="H835" s="85"/>
      <c r="I835" s="85"/>
      <c r="J835" s="240">
        <f>'Baseline PHP'!J16</f>
        <v>0</v>
      </c>
      <c r="K835" s="87"/>
    </row>
    <row r="836" spans="2:11" x14ac:dyDescent="0.2">
      <c r="B836" s="81"/>
      <c r="C836" s="85"/>
      <c r="D836" s="85"/>
      <c r="E836" s="85"/>
      <c r="F836" s="85"/>
      <c r="G836" s="85"/>
      <c r="H836" s="85"/>
      <c r="I836" s="85"/>
      <c r="J836" s="85"/>
      <c r="K836" s="87"/>
    </row>
    <row r="837" spans="2:11" ht="16" x14ac:dyDescent="0.2">
      <c r="B837" s="81"/>
      <c r="C837" s="211" t="s">
        <v>655</v>
      </c>
      <c r="D837" s="85"/>
      <c r="E837" s="85"/>
      <c r="F837" s="85"/>
      <c r="G837" s="85"/>
      <c r="H837" s="85"/>
      <c r="I837" s="85"/>
      <c r="J837" s="85"/>
      <c r="K837" s="87"/>
    </row>
    <row r="838" spans="2:11" x14ac:dyDescent="0.2">
      <c r="B838" s="81"/>
      <c r="C838" s="85" t="s">
        <v>380</v>
      </c>
      <c r="D838" s="85"/>
      <c r="E838" s="85"/>
      <c r="F838" s="85"/>
      <c r="G838" s="406" t="s">
        <v>234</v>
      </c>
      <c r="H838" s="407"/>
      <c r="I838" s="85"/>
      <c r="J838" s="83">
        <f>IF(G838=$B$998,$A$998,IF(G838=$B$999,$A$999,IF(G838=$B$1000,$A$1000,IF(G838=$B$1001,$A$1001,IF(G838=$B$1002,$A$1002,"Not Calculated")))))</f>
        <v>4</v>
      </c>
      <c r="K838" s="87"/>
    </row>
    <row r="839" spans="2:11" x14ac:dyDescent="0.2">
      <c r="B839" s="81"/>
      <c r="C839" s="85" t="s">
        <v>134</v>
      </c>
      <c r="D839" s="85"/>
      <c r="E839" s="85"/>
      <c r="F839" s="85"/>
      <c r="G839" s="85"/>
      <c r="H839" s="85"/>
      <c r="I839" s="85"/>
      <c r="J839" s="240">
        <f>'Baseline PHP'!J28</f>
        <v>0</v>
      </c>
      <c r="K839" s="87"/>
    </row>
    <row r="840" spans="2:11" x14ac:dyDescent="0.2">
      <c r="B840" s="81"/>
      <c r="C840" s="85"/>
      <c r="D840" s="85"/>
      <c r="E840" s="85"/>
      <c r="F840" s="85"/>
      <c r="G840" s="85"/>
      <c r="H840" s="85"/>
      <c r="I840" s="85"/>
      <c r="J840" s="85"/>
      <c r="K840" s="87"/>
    </row>
    <row r="841" spans="2:11" ht="16" x14ac:dyDescent="0.2">
      <c r="B841" s="81"/>
      <c r="C841" s="211" t="s">
        <v>645</v>
      </c>
      <c r="D841" s="85"/>
      <c r="E841" s="85"/>
      <c r="F841" s="85"/>
      <c r="G841" s="85"/>
      <c r="H841" s="85"/>
      <c r="I841" s="85"/>
      <c r="J841" s="85"/>
      <c r="K841" s="87"/>
    </row>
    <row r="842" spans="2:11" x14ac:dyDescent="0.2">
      <c r="B842" s="81"/>
      <c r="C842" s="85" t="s">
        <v>380</v>
      </c>
      <c r="D842" s="85"/>
      <c r="E842" s="85"/>
      <c r="F842" s="85"/>
      <c r="G842" s="406" t="s">
        <v>234</v>
      </c>
      <c r="H842" s="407"/>
      <c r="I842" s="85"/>
      <c r="J842" s="83">
        <f>IF(G842=$B$998,$A$998,IF(G842=$B$999,$A$999,IF(G842=$B$1000,$A$1000,IF(G842=$B$1001,$A$1001,IF(G842=$B$1002,$A$1002,"Not Calculated")))))</f>
        <v>4</v>
      </c>
      <c r="K842" s="87"/>
    </row>
    <row r="843" spans="2:11" x14ac:dyDescent="0.2">
      <c r="B843" s="81"/>
      <c r="C843" s="85" t="s">
        <v>134</v>
      </c>
      <c r="D843" s="85"/>
      <c r="E843" s="85"/>
      <c r="F843" s="85"/>
      <c r="G843" s="85"/>
      <c r="H843" s="85"/>
      <c r="I843" s="85"/>
      <c r="J843" s="240">
        <f>'Baseline PHP'!J44</f>
        <v>0</v>
      </c>
      <c r="K843" s="87"/>
    </row>
    <row r="844" spans="2:11" x14ac:dyDescent="0.2">
      <c r="B844" s="81"/>
      <c r="C844" s="85"/>
      <c r="D844" s="85"/>
      <c r="E844" s="85"/>
      <c r="F844" s="85"/>
      <c r="G844" s="85"/>
      <c r="H844" s="85"/>
      <c r="I844" s="85"/>
      <c r="J844" s="85"/>
      <c r="K844" s="87"/>
    </row>
    <row r="845" spans="2:11" ht="16" x14ac:dyDescent="0.2">
      <c r="B845" s="81"/>
      <c r="C845" s="211" t="s">
        <v>646</v>
      </c>
      <c r="D845" s="85"/>
      <c r="E845" s="85"/>
      <c r="F845" s="85"/>
      <c r="G845" s="85"/>
      <c r="H845" s="85"/>
      <c r="I845" s="85"/>
      <c r="J845" s="85"/>
      <c r="K845" s="87"/>
    </row>
    <row r="846" spans="2:11" x14ac:dyDescent="0.2">
      <c r="B846" s="81"/>
      <c r="C846" s="85" t="s">
        <v>380</v>
      </c>
      <c r="D846" s="85"/>
      <c r="E846" s="85"/>
      <c r="F846" s="85"/>
      <c r="G846" s="406" t="s">
        <v>234</v>
      </c>
      <c r="H846" s="407"/>
      <c r="I846" s="85"/>
      <c r="J846" s="83">
        <f>IF(G846=$B$998,$A$998,IF(G846=$B$999,$A$999,IF(G846=$B$1000,$A$1000,IF(G846=$B$1001,$A$1001,IF(G846=$B$1002,$A$1002,"Not Calculated")))))</f>
        <v>4</v>
      </c>
      <c r="K846" s="87"/>
    </row>
    <row r="847" spans="2:11" x14ac:dyDescent="0.2">
      <c r="B847" s="81"/>
      <c r="C847" s="85" t="s">
        <v>134</v>
      </c>
      <c r="D847" s="85"/>
      <c r="E847" s="85"/>
      <c r="F847" s="85"/>
      <c r="G847" s="85"/>
      <c r="H847" s="85"/>
      <c r="I847" s="85"/>
      <c r="J847" s="240">
        <f>'Baseline PHP'!J60</f>
        <v>0</v>
      </c>
      <c r="K847" s="87"/>
    </row>
    <row r="848" spans="2:11" x14ac:dyDescent="0.2">
      <c r="B848" s="81"/>
      <c r="C848" s="85"/>
      <c r="D848" s="85"/>
      <c r="E848" s="85"/>
      <c r="F848" s="85"/>
      <c r="G848" s="85"/>
      <c r="H848" s="85"/>
      <c r="I848" s="85"/>
      <c r="J848" s="85"/>
      <c r="K848" s="87"/>
    </row>
    <row r="849" spans="2:11" ht="16" x14ac:dyDescent="0.2">
      <c r="B849" s="81"/>
      <c r="C849" s="211" t="s">
        <v>648</v>
      </c>
      <c r="D849" s="85"/>
      <c r="E849" s="85"/>
      <c r="F849" s="85"/>
      <c r="G849" s="85"/>
      <c r="H849" s="85"/>
      <c r="I849" s="85"/>
      <c r="J849" s="85"/>
      <c r="K849" s="87"/>
    </row>
    <row r="850" spans="2:11" ht="15" customHeight="1" x14ac:dyDescent="0.2">
      <c r="B850" s="81"/>
      <c r="C850" s="85" t="s">
        <v>380</v>
      </c>
      <c r="D850" s="85"/>
      <c r="E850" s="85"/>
      <c r="F850" s="85"/>
      <c r="G850" s="406" t="s">
        <v>237</v>
      </c>
      <c r="H850" s="407"/>
      <c r="I850" s="85"/>
      <c r="J850" s="83">
        <f>IF(G850=$B$998,$A$998,IF(G850=$B$999,$A$999,IF(G850=$B$1000,$A$1000,IF(G850=$B$1001,$A$1001,IF(G850=$B$1002,$A$1002,"Not Calculated")))))</f>
        <v>1</v>
      </c>
      <c r="K850" s="87"/>
    </row>
    <row r="851" spans="2:11" x14ac:dyDescent="0.2">
      <c r="B851" s="81"/>
      <c r="C851" s="85" t="s">
        <v>134</v>
      </c>
      <c r="D851" s="85"/>
      <c r="E851" s="85"/>
      <c r="F851" s="85"/>
      <c r="G851" s="85"/>
      <c r="H851" s="85"/>
      <c r="I851" s="85"/>
      <c r="J851" s="240">
        <f>'Baseline PHP'!J76</f>
        <v>0</v>
      </c>
      <c r="K851" s="87"/>
    </row>
    <row r="852" spans="2:11" x14ac:dyDescent="0.2">
      <c r="B852" s="81"/>
      <c r="C852" s="85"/>
      <c r="D852" s="85"/>
      <c r="E852" s="85"/>
      <c r="F852" s="85"/>
      <c r="G852" s="85"/>
      <c r="H852" s="85"/>
      <c r="I852" s="85"/>
      <c r="J852" s="85"/>
      <c r="K852" s="87"/>
    </row>
    <row r="853" spans="2:11" ht="16" x14ac:dyDescent="0.2">
      <c r="B853" s="81"/>
      <c r="C853" s="211" t="s">
        <v>647</v>
      </c>
      <c r="D853" s="85"/>
      <c r="E853" s="85"/>
      <c r="F853" s="85"/>
      <c r="G853" s="85"/>
      <c r="H853" s="85"/>
      <c r="I853" s="85"/>
      <c r="J853" s="85"/>
      <c r="K853" s="87"/>
    </row>
    <row r="854" spans="2:11" x14ac:dyDescent="0.2">
      <c r="B854" s="81"/>
      <c r="C854" s="85" t="s">
        <v>380</v>
      </c>
      <c r="D854" s="85"/>
      <c r="E854" s="85"/>
      <c r="F854" s="85"/>
      <c r="G854" s="406" t="s">
        <v>234</v>
      </c>
      <c r="H854" s="407"/>
      <c r="I854" s="85"/>
      <c r="J854" s="83">
        <f>IF(G854=$B$998,$A$998,IF(G854=$B$999,$A$999,IF(G854=$B$1000,$A$1000,IF(G854=$B$1001,$A$1001,IF(G854=$B$1002,$A$1002,"Not Calculated")))))</f>
        <v>4</v>
      </c>
      <c r="K854" s="87"/>
    </row>
    <row r="855" spans="2:11" x14ac:dyDescent="0.2">
      <c r="B855" s="81"/>
      <c r="C855" s="85" t="s">
        <v>134</v>
      </c>
      <c r="D855" s="85"/>
      <c r="E855" s="85"/>
      <c r="F855" s="85"/>
      <c r="G855" s="85"/>
      <c r="H855" s="85"/>
      <c r="I855" s="85"/>
      <c r="J855" s="240">
        <f>'Baseline PHP'!J88</f>
        <v>0</v>
      </c>
      <c r="K855" s="87"/>
    </row>
    <row r="856" spans="2:11" x14ac:dyDescent="0.2">
      <c r="B856" s="81"/>
      <c r="C856" s="85"/>
      <c r="D856" s="85"/>
      <c r="E856" s="85"/>
      <c r="F856" s="85"/>
      <c r="G856" s="85"/>
      <c r="H856" s="85"/>
      <c r="I856" s="85"/>
      <c r="J856" s="85"/>
      <c r="K856" s="87"/>
    </row>
    <row r="857" spans="2:11" ht="16" x14ac:dyDescent="0.2">
      <c r="B857" s="81"/>
      <c r="C857" s="211" t="s">
        <v>115</v>
      </c>
      <c r="D857" s="85"/>
      <c r="E857" s="85"/>
      <c r="F857" s="85"/>
      <c r="G857" s="85"/>
      <c r="H857" s="85"/>
      <c r="I857" s="85"/>
      <c r="J857" s="85"/>
      <c r="K857" s="87"/>
    </row>
    <row r="858" spans="2:11" x14ac:dyDescent="0.2">
      <c r="B858" s="81"/>
      <c r="C858" s="85" t="s">
        <v>380</v>
      </c>
      <c r="D858" s="85"/>
      <c r="E858" s="85"/>
      <c r="F858" s="85"/>
      <c r="G858" s="406" t="s">
        <v>238</v>
      </c>
      <c r="H858" s="407"/>
      <c r="I858" s="85"/>
      <c r="J858" s="83">
        <f>IF(G858=$B$998,$A$998,IF(G858=$B$999,$A$999,IF(G858=$B$1000,$A$1000,IF(G858=$B$1001,$A$1001,IF(G858=$B$1002,$A$1002,"Not Calculated")))))</f>
        <v>3</v>
      </c>
      <c r="K858" s="87"/>
    </row>
    <row r="859" spans="2:11" x14ac:dyDescent="0.2">
      <c r="B859" s="81"/>
      <c r="C859" s="85" t="s">
        <v>134</v>
      </c>
      <c r="D859" s="85"/>
      <c r="E859" s="85"/>
      <c r="F859" s="85"/>
      <c r="G859" s="85"/>
      <c r="H859" s="85"/>
      <c r="I859" s="85"/>
      <c r="J859" s="240">
        <f>'Baseline PHP'!J102</f>
        <v>0</v>
      </c>
      <c r="K859" s="87"/>
    </row>
    <row r="860" spans="2:11" x14ac:dyDescent="0.2">
      <c r="B860" s="81"/>
      <c r="C860" s="85"/>
      <c r="D860" s="85"/>
      <c r="E860" s="85"/>
      <c r="F860" s="85"/>
      <c r="G860" s="85"/>
      <c r="H860" s="85"/>
      <c r="I860" s="85"/>
      <c r="J860" s="85"/>
      <c r="K860" s="87"/>
    </row>
    <row r="861" spans="2:11" ht="16" x14ac:dyDescent="0.2">
      <c r="B861" s="81"/>
      <c r="C861" s="211" t="s">
        <v>649</v>
      </c>
      <c r="D861" s="85"/>
      <c r="E861" s="85"/>
      <c r="F861" s="85"/>
      <c r="G861" s="85"/>
      <c r="H861" s="85"/>
      <c r="I861" s="85"/>
      <c r="J861" s="85"/>
      <c r="K861" s="87"/>
    </row>
    <row r="862" spans="2:11" x14ac:dyDescent="0.2">
      <c r="B862" s="81"/>
      <c r="C862" s="85" t="s">
        <v>380</v>
      </c>
      <c r="D862" s="85"/>
      <c r="E862" s="85"/>
      <c r="F862" s="85"/>
      <c r="G862" s="406" t="s">
        <v>236</v>
      </c>
      <c r="H862" s="407"/>
      <c r="I862" s="85"/>
      <c r="J862" s="83">
        <f>IF(G862=$B$998,$A$998,IF(G862=$B$999,$A$999,IF(G862=$B$1000,$A$1000,IF(G862=$B$1001,$A$1001,IF(G862=$B$1002,$A$1002,"Not Calculated")))))</f>
        <v>0</v>
      </c>
      <c r="K862" s="87"/>
    </row>
    <row r="863" spans="2:11" x14ac:dyDescent="0.2">
      <c r="B863" s="81"/>
      <c r="C863" s="85" t="s">
        <v>134</v>
      </c>
      <c r="D863" s="85"/>
      <c r="E863" s="85"/>
      <c r="F863" s="85"/>
      <c r="G863" s="85"/>
      <c r="H863" s="85"/>
      <c r="I863" s="85"/>
      <c r="J863" s="240">
        <f>'Baseline PHP'!J118</f>
        <v>0</v>
      </c>
      <c r="K863" s="87"/>
    </row>
    <row r="864" spans="2:11" x14ac:dyDescent="0.2">
      <c r="B864" s="81"/>
      <c r="C864" s="85"/>
      <c r="D864" s="85"/>
      <c r="E864" s="85"/>
      <c r="F864" s="85"/>
      <c r="G864" s="85"/>
      <c r="H864" s="85"/>
      <c r="I864" s="85"/>
      <c r="J864" s="85"/>
      <c r="K864" s="87"/>
    </row>
    <row r="865" spans="2:11" ht="16" x14ac:dyDescent="0.2">
      <c r="B865" s="81"/>
      <c r="C865" s="211" t="s">
        <v>656</v>
      </c>
      <c r="D865" s="85"/>
      <c r="E865" s="85"/>
      <c r="F865" s="85"/>
      <c r="G865" s="85"/>
      <c r="H865" s="85"/>
      <c r="I865" s="85"/>
      <c r="J865" s="85"/>
      <c r="K865" s="87"/>
    </row>
    <row r="866" spans="2:11" x14ac:dyDescent="0.2">
      <c r="B866" s="81"/>
      <c r="C866" s="85" t="s">
        <v>380</v>
      </c>
      <c r="D866" s="85"/>
      <c r="E866" s="85"/>
      <c r="F866" s="85"/>
      <c r="G866" s="406" t="s">
        <v>235</v>
      </c>
      <c r="H866" s="407"/>
      <c r="I866" s="85"/>
      <c r="J866" s="83">
        <f>IF(G866=$B$998,$A$998,IF(G866=$B$999,$A$999,IF(G866=$B$1000,$A$1000,IF(G866=$B$1001,$A$1001,IF(G866=$B$1002,$A$1002,"Not Calculated")))))</f>
        <v>2</v>
      </c>
      <c r="K866" s="87"/>
    </row>
    <row r="867" spans="2:11" x14ac:dyDescent="0.2">
      <c r="B867" s="81"/>
      <c r="C867" s="85" t="s">
        <v>134</v>
      </c>
      <c r="D867" s="85"/>
      <c r="E867" s="85"/>
      <c r="F867" s="85"/>
      <c r="G867" s="85"/>
      <c r="H867" s="85"/>
      <c r="I867" s="85"/>
      <c r="J867" s="240">
        <f>'Baseline PHP'!J136</f>
        <v>0</v>
      </c>
      <c r="K867" s="87"/>
    </row>
    <row r="868" spans="2:11" x14ac:dyDescent="0.2">
      <c r="B868" s="81"/>
      <c r="C868" s="85"/>
      <c r="D868" s="85"/>
      <c r="E868" s="85"/>
      <c r="F868" s="85"/>
      <c r="G868" s="85"/>
      <c r="H868" s="85"/>
      <c r="I868" s="85"/>
      <c r="J868" s="85"/>
      <c r="K868" s="87"/>
    </row>
    <row r="869" spans="2:11" ht="16" x14ac:dyDescent="0.2">
      <c r="B869" s="81"/>
      <c r="C869" s="211" t="s">
        <v>121</v>
      </c>
      <c r="D869" s="85"/>
      <c r="E869" s="85"/>
      <c r="F869" s="85"/>
      <c r="G869" s="85"/>
      <c r="H869" s="85"/>
      <c r="I869" s="85"/>
      <c r="J869" s="85"/>
      <c r="K869" s="87"/>
    </row>
    <row r="870" spans="2:11" x14ac:dyDescent="0.2">
      <c r="B870" s="81"/>
      <c r="C870" s="85" t="s">
        <v>380</v>
      </c>
      <c r="D870" s="85"/>
      <c r="E870" s="85"/>
      <c r="F870" s="85"/>
      <c r="G870" s="406" t="s">
        <v>235</v>
      </c>
      <c r="H870" s="407"/>
      <c r="I870" s="85"/>
      <c r="J870" s="83">
        <f>IF(G870=$B$998,$A$998,IF(G870=$B$999,$A$999,IF(G870=$B$1000,$A$1000,IF(G870=$B$1001,$A$1001,IF(G870=$B$1002,$A$1002,"Not Calculated")))))</f>
        <v>2</v>
      </c>
      <c r="K870" s="87"/>
    </row>
    <row r="871" spans="2:11" x14ac:dyDescent="0.2">
      <c r="B871" s="81"/>
      <c r="C871" s="85" t="s">
        <v>134</v>
      </c>
      <c r="D871" s="85"/>
      <c r="E871" s="85"/>
      <c r="F871" s="85"/>
      <c r="G871" s="85"/>
      <c r="H871" s="85"/>
      <c r="I871" s="85"/>
      <c r="J871" s="240">
        <f>'Baseline PHP'!J150</f>
        <v>0</v>
      </c>
      <c r="K871" s="87"/>
    </row>
    <row r="872" spans="2:11" x14ac:dyDescent="0.2">
      <c r="B872" s="81"/>
      <c r="C872" s="85"/>
      <c r="D872" s="85"/>
      <c r="E872" s="85"/>
      <c r="F872" s="85"/>
      <c r="G872" s="85"/>
      <c r="H872" s="85"/>
      <c r="I872" s="85"/>
      <c r="J872" s="85"/>
      <c r="K872" s="87"/>
    </row>
    <row r="873" spans="2:11" ht="16" x14ac:dyDescent="0.2">
      <c r="B873" s="81"/>
      <c r="C873" s="211" t="s">
        <v>657</v>
      </c>
      <c r="D873" s="85"/>
      <c r="E873" s="85"/>
      <c r="F873" s="85"/>
      <c r="G873" s="85"/>
      <c r="H873" s="85"/>
      <c r="I873" s="85"/>
      <c r="J873" s="85"/>
      <c r="K873" s="87"/>
    </row>
    <row r="874" spans="2:11" x14ac:dyDescent="0.2">
      <c r="B874" s="81"/>
      <c r="C874" s="85" t="s">
        <v>380</v>
      </c>
      <c r="D874" s="85"/>
      <c r="E874" s="85"/>
      <c r="F874" s="85"/>
      <c r="G874" s="406" t="s">
        <v>236</v>
      </c>
      <c r="H874" s="407"/>
      <c r="I874" s="85"/>
      <c r="J874" s="83">
        <f>IF(G874=$B$998,$A$998,IF(G874=$B$999,$A$999,IF(G874=$B$1000,$A$1000,IF(G874=$B$1001,$A$1001,IF(G874=$B$1002,$A$1002,"Not Calculated")))))</f>
        <v>0</v>
      </c>
      <c r="K874" s="87"/>
    </row>
    <row r="875" spans="2:11" x14ac:dyDescent="0.2">
      <c r="B875" s="81"/>
      <c r="C875" s="85" t="s">
        <v>134</v>
      </c>
      <c r="D875" s="85"/>
      <c r="E875" s="85"/>
      <c r="F875" s="85"/>
      <c r="G875" s="85"/>
      <c r="H875" s="85"/>
      <c r="I875" s="85"/>
      <c r="J875" s="240">
        <f>'Baseline PHP'!J164</f>
        <v>0</v>
      </c>
      <c r="K875" s="87"/>
    </row>
    <row r="876" spans="2:11" x14ac:dyDescent="0.2">
      <c r="B876" s="81"/>
      <c r="C876" s="85"/>
      <c r="D876" s="85"/>
      <c r="E876" s="85"/>
      <c r="F876" s="85"/>
      <c r="G876" s="85"/>
      <c r="H876" s="85"/>
      <c r="I876" s="85"/>
      <c r="J876" s="85"/>
      <c r="K876" s="87"/>
    </row>
    <row r="877" spans="2:11" ht="16" x14ac:dyDescent="0.2">
      <c r="B877" s="81"/>
      <c r="C877" s="211" t="s">
        <v>650</v>
      </c>
      <c r="D877" s="85"/>
      <c r="E877" s="85"/>
      <c r="F877" s="85"/>
      <c r="G877" s="85"/>
      <c r="H877" s="85"/>
      <c r="I877" s="85"/>
      <c r="J877" s="85"/>
      <c r="K877" s="87"/>
    </row>
    <row r="878" spans="2:11" x14ac:dyDescent="0.2">
      <c r="B878" s="81"/>
      <c r="C878" s="85" t="s">
        <v>380</v>
      </c>
      <c r="D878" s="85"/>
      <c r="E878" s="85"/>
      <c r="F878" s="85"/>
      <c r="G878" s="406" t="s">
        <v>237</v>
      </c>
      <c r="H878" s="407"/>
      <c r="I878" s="85"/>
      <c r="J878" s="83">
        <f>IF(G878=$B$998,$A$998,IF(G878=$B$999,$A$999,IF(G878=$B$1000,$A$1000,IF(G878=$B$1001,$A$1001,IF(G878=$B$1002,$A$1002,"Not Calculated")))))</f>
        <v>1</v>
      </c>
      <c r="K878" s="87"/>
    </row>
    <row r="879" spans="2:11" x14ac:dyDescent="0.2">
      <c r="B879" s="81"/>
      <c r="C879" s="85" t="s">
        <v>134</v>
      </c>
      <c r="D879" s="85"/>
      <c r="E879" s="85"/>
      <c r="F879" s="85"/>
      <c r="G879" s="85"/>
      <c r="H879" s="85"/>
      <c r="I879" s="85"/>
      <c r="J879" s="240">
        <f>'Baseline PHP'!J180</f>
        <v>0</v>
      </c>
      <c r="K879" s="87"/>
    </row>
    <row r="880" spans="2:11" x14ac:dyDescent="0.2">
      <c r="B880" s="81"/>
      <c r="C880" s="85"/>
      <c r="D880" s="85"/>
      <c r="E880" s="85"/>
      <c r="F880" s="85"/>
      <c r="G880" s="85"/>
      <c r="H880" s="85"/>
      <c r="I880" s="85"/>
      <c r="J880" s="85"/>
      <c r="K880" s="87"/>
    </row>
    <row r="881" spans="2:11" ht="16" x14ac:dyDescent="0.2">
      <c r="B881" s="81"/>
      <c r="C881" s="211" t="s">
        <v>651</v>
      </c>
      <c r="D881" s="85"/>
      <c r="E881" s="85"/>
      <c r="F881" s="85"/>
      <c r="G881" s="85"/>
      <c r="H881" s="85"/>
      <c r="I881" s="85"/>
      <c r="J881" s="85"/>
      <c r="K881" s="87"/>
    </row>
    <row r="882" spans="2:11" x14ac:dyDescent="0.2">
      <c r="B882" s="81"/>
      <c r="C882" s="85" t="s">
        <v>380</v>
      </c>
      <c r="D882" s="85"/>
      <c r="E882" s="85"/>
      <c r="F882" s="85"/>
      <c r="G882" s="406" t="s">
        <v>235</v>
      </c>
      <c r="H882" s="407"/>
      <c r="I882" s="85"/>
      <c r="J882" s="83">
        <f>IF(G882=$B$998,$A$998,IF(G882=$B$999,$A$999,IF(G882=$B$1000,$A$1000,IF(G882=$B$1001,$A$1001,IF(G882=$B$1002,$A$1002,"Not Calculated")))))</f>
        <v>2</v>
      </c>
      <c r="K882" s="87"/>
    </row>
    <row r="883" spans="2:11" x14ac:dyDescent="0.2">
      <c r="B883" s="81"/>
      <c r="C883" s="85" t="s">
        <v>134</v>
      </c>
      <c r="D883" s="85"/>
      <c r="E883" s="85"/>
      <c r="F883" s="85"/>
      <c r="G883" s="85"/>
      <c r="H883" s="85"/>
      <c r="I883" s="85"/>
      <c r="J883" s="240">
        <f>'Baseline PHP'!J194</f>
        <v>0</v>
      </c>
      <c r="K883" s="87"/>
    </row>
    <row r="884" spans="2:11" x14ac:dyDescent="0.2">
      <c r="B884" s="81"/>
      <c r="C884" s="85"/>
      <c r="D884" s="85"/>
      <c r="E884" s="85"/>
      <c r="F884" s="85"/>
      <c r="G884" s="85"/>
      <c r="H884" s="85"/>
      <c r="I884" s="85"/>
      <c r="J884" s="85"/>
      <c r="K884" s="87"/>
    </row>
    <row r="885" spans="2:11" ht="16" x14ac:dyDescent="0.2">
      <c r="B885" s="81"/>
      <c r="C885" s="211" t="s">
        <v>652</v>
      </c>
      <c r="D885" s="85"/>
      <c r="E885" s="85"/>
      <c r="F885" s="85"/>
      <c r="G885" s="85"/>
      <c r="H885" s="85"/>
      <c r="I885" s="85"/>
      <c r="J885" s="85"/>
      <c r="K885" s="87"/>
    </row>
    <row r="886" spans="2:11" x14ac:dyDescent="0.2">
      <c r="B886" s="81"/>
      <c r="C886" s="85" t="s">
        <v>380</v>
      </c>
      <c r="D886" s="85"/>
      <c r="E886" s="85"/>
      <c r="F886" s="85"/>
      <c r="G886" s="406" t="s">
        <v>235</v>
      </c>
      <c r="H886" s="407"/>
      <c r="I886" s="85"/>
      <c r="J886" s="83">
        <f>IF(G886=$B$998,$A$998,IF(G886=$B$999,$A$999,IF(G886=$B$1000,$A$1000,IF(G886=$B$1001,$A$1001,IF(G886=$B$1002,$A$1002,"Not Calculated")))))</f>
        <v>2</v>
      </c>
      <c r="K886" s="87"/>
    </row>
    <row r="887" spans="2:11" x14ac:dyDescent="0.2">
      <c r="B887" s="81"/>
      <c r="C887" s="85" t="s">
        <v>134</v>
      </c>
      <c r="D887" s="85"/>
      <c r="E887" s="85"/>
      <c r="F887" s="85"/>
      <c r="G887" s="85"/>
      <c r="H887" s="85"/>
      <c r="I887" s="85"/>
      <c r="J887" s="240">
        <f>'Baseline PHP'!J208</f>
        <v>0</v>
      </c>
      <c r="K887" s="87"/>
    </row>
    <row r="888" spans="2:11" x14ac:dyDescent="0.2">
      <c r="B888" s="81"/>
      <c r="C888" s="85"/>
      <c r="D888" s="85"/>
      <c r="E888" s="85"/>
      <c r="F888" s="85"/>
      <c r="G888" s="85"/>
      <c r="H888" s="85"/>
      <c r="I888" s="85"/>
      <c r="J888" s="85"/>
      <c r="K888" s="87"/>
    </row>
    <row r="889" spans="2:11" ht="16" x14ac:dyDescent="0.2">
      <c r="B889" s="81"/>
      <c r="C889" s="211" t="s">
        <v>653</v>
      </c>
      <c r="D889" s="85"/>
      <c r="E889" s="85"/>
      <c r="F889" s="85"/>
      <c r="G889" s="85"/>
      <c r="H889" s="85"/>
      <c r="I889" s="85"/>
      <c r="J889" s="85"/>
      <c r="K889" s="87"/>
    </row>
    <row r="890" spans="2:11" x14ac:dyDescent="0.2">
      <c r="B890" s="81"/>
      <c r="C890" s="85" t="s">
        <v>380</v>
      </c>
      <c r="D890" s="85"/>
      <c r="E890" s="85"/>
      <c r="F890" s="85"/>
      <c r="G890" s="406" t="s">
        <v>238</v>
      </c>
      <c r="H890" s="407"/>
      <c r="I890" s="85"/>
      <c r="J890" s="83">
        <f>IF(G890=$B$998,$A$998,IF(G890=$B$999,$A$999,IF(G890=$B$1000,$A$1000,IF(G890=$B$1001,$A$1001,IF(G890=$B$1002,$A$1002,"Not Calculated")))))</f>
        <v>3</v>
      </c>
      <c r="K890" s="87"/>
    </row>
    <row r="891" spans="2:11" x14ac:dyDescent="0.2">
      <c r="B891" s="81"/>
      <c r="C891" s="85" t="s">
        <v>134</v>
      </c>
      <c r="D891" s="85"/>
      <c r="E891" s="85"/>
      <c r="F891" s="85"/>
      <c r="G891" s="85"/>
      <c r="H891" s="85"/>
      <c r="I891" s="85"/>
      <c r="J891" s="240">
        <f>'Baseline PHP'!J222</f>
        <v>0</v>
      </c>
      <c r="K891" s="87"/>
    </row>
    <row r="892" spans="2:11" x14ac:dyDescent="0.2">
      <c r="B892" s="81"/>
      <c r="C892" s="85"/>
      <c r="D892" s="85"/>
      <c r="E892" s="85"/>
      <c r="F892" s="85"/>
      <c r="G892" s="85"/>
      <c r="H892" s="85"/>
      <c r="I892" s="85"/>
      <c r="J892" s="85"/>
      <c r="K892" s="87"/>
    </row>
    <row r="893" spans="2:11" x14ac:dyDescent="0.2">
      <c r="B893" s="81"/>
      <c r="C893" s="85"/>
      <c r="D893" s="85"/>
      <c r="E893" s="85"/>
      <c r="F893" s="85"/>
      <c r="G893" s="85"/>
      <c r="H893" s="85"/>
      <c r="I893" s="85"/>
      <c r="J893" s="85"/>
      <c r="K893" s="87"/>
    </row>
    <row r="894" spans="2:11" ht="16" x14ac:dyDescent="0.2">
      <c r="B894" s="81"/>
      <c r="C894" s="212" t="s">
        <v>813</v>
      </c>
      <c r="D894" s="85"/>
      <c r="E894" s="85"/>
      <c r="F894" s="85"/>
      <c r="G894" s="85"/>
      <c r="H894" s="85"/>
      <c r="I894" s="85"/>
      <c r="J894" s="241">
        <f>IF(OR(J854="Not Calculated",J858="Not Calculated",J862="Not Calculated",J866="Not Calculated",J870="Not Calculated",J874="Not Calculated",J878="Not Calculated",J882="Not Calculated",J886="Not Calculated",J890="Not Calculated",J834="Not Calculated",J838="Not Calculated",J842="Not Calculated",J846="Not Calculated",J850="Not Calculated",J855="Not Calculated",J859="Not Calculated",J863="Not Calculated",J867="Not Calculated",J871="Not Calculated",J875="Not Calculated",J879="Not Calculated",J883="Not Calculated",J887="Not Calculated",J891="Not Calculated",J835="Not Calculated",J839="Not Calculated",J843="Not Calculated",J847="Not Calculated",J851="Not Calculated")=TRUE,"Not Calculated",((J834*J835)+(J838*J839)+(J842*J843)+(J846*J847)+(J850*J851)+(J854*J855)+(J858*J859)+(J862*J863)+(J866*J867)+(J870*J871)+(J874*J875)+(J878*J879)+(J882*J883)+(J886*J887)+(J890*J891))/(J834+J838+J842+J846+J850+J854+J858+J862+J866+J870+J874+J878+J882+J886+J890))</f>
        <v>0</v>
      </c>
      <c r="K894" s="87"/>
    </row>
    <row r="895" spans="2:11" ht="16" thickBot="1" x14ac:dyDescent="0.25">
      <c r="B895" s="213"/>
      <c r="C895" s="94"/>
      <c r="D895" s="94"/>
      <c r="E895" s="94"/>
      <c r="F895" s="94"/>
      <c r="G895" s="94"/>
      <c r="H895" s="94"/>
      <c r="I895" s="94"/>
      <c r="J895" s="94"/>
      <c r="K895" s="96"/>
    </row>
    <row r="896" spans="2:11" ht="16" thickBot="1" x14ac:dyDescent="0.25"/>
    <row r="897" spans="2:11" x14ac:dyDescent="0.2">
      <c r="B897" s="77"/>
      <c r="C897" s="78"/>
      <c r="D897" s="78"/>
      <c r="E897" s="78"/>
      <c r="F897" s="78"/>
      <c r="G897" s="78"/>
      <c r="H897" s="78"/>
      <c r="I897" s="78"/>
      <c r="J897" s="78"/>
      <c r="K897" s="80"/>
    </row>
    <row r="898" spans="2:11" ht="21" x14ac:dyDescent="0.25">
      <c r="B898" s="81"/>
      <c r="C898" s="85"/>
      <c r="D898" s="85"/>
      <c r="E898" s="85"/>
      <c r="F898" s="85"/>
      <c r="G898" s="210" t="s">
        <v>807</v>
      </c>
      <c r="H898" s="85"/>
      <c r="I898" s="85"/>
      <c r="J898" s="85"/>
      <c r="K898" s="87"/>
    </row>
    <row r="899" spans="2:11" x14ac:dyDescent="0.2">
      <c r="B899" s="81"/>
      <c r="C899" s="85"/>
      <c r="D899" s="85"/>
      <c r="E899" s="85"/>
      <c r="F899" s="85"/>
      <c r="G899" s="85"/>
      <c r="H899" s="85"/>
      <c r="I899" s="85"/>
      <c r="J899" s="85"/>
      <c r="K899" s="87"/>
    </row>
    <row r="900" spans="2:11" ht="15" customHeight="1" x14ac:dyDescent="0.2">
      <c r="B900" s="81"/>
      <c r="C900" s="424" t="s">
        <v>809</v>
      </c>
      <c r="D900" s="424"/>
      <c r="E900" s="424"/>
      <c r="F900" s="424"/>
      <c r="G900" s="424"/>
      <c r="H900" s="424"/>
      <c r="I900" s="424"/>
      <c r="J900" s="424"/>
      <c r="K900" s="87"/>
    </row>
    <row r="901" spans="2:11" x14ac:dyDescent="0.2">
      <c r="B901" s="81"/>
      <c r="C901" s="424"/>
      <c r="D901" s="424"/>
      <c r="E901" s="424"/>
      <c r="F901" s="424"/>
      <c r="G901" s="424"/>
      <c r="H901" s="424"/>
      <c r="I901" s="424"/>
      <c r="J901" s="424"/>
      <c r="K901" s="87"/>
    </row>
    <row r="902" spans="2:11" x14ac:dyDescent="0.2">
      <c r="B902" s="81"/>
      <c r="C902" s="85"/>
      <c r="D902" s="85"/>
      <c r="E902" s="85"/>
      <c r="F902" s="85"/>
      <c r="G902" s="85"/>
      <c r="H902" s="85"/>
      <c r="I902" s="85"/>
      <c r="J902" s="85"/>
      <c r="K902" s="87"/>
    </row>
    <row r="903" spans="2:11" ht="16" x14ac:dyDescent="0.2">
      <c r="B903" s="81"/>
      <c r="C903" s="211" t="s">
        <v>810</v>
      </c>
      <c r="D903" s="85"/>
      <c r="E903" s="85"/>
      <c r="F903" s="85"/>
      <c r="G903" s="85"/>
      <c r="H903" s="85"/>
      <c r="I903" s="85"/>
      <c r="J903" s="85"/>
      <c r="K903" s="87"/>
    </row>
    <row r="904" spans="2:11" x14ac:dyDescent="0.2">
      <c r="B904" s="81"/>
      <c r="C904" s="85" t="s">
        <v>380</v>
      </c>
      <c r="D904" s="85"/>
      <c r="E904" s="85"/>
      <c r="F904" s="85"/>
      <c r="G904" s="406" t="s">
        <v>234</v>
      </c>
      <c r="H904" s="407"/>
      <c r="I904" s="85"/>
      <c r="J904" s="83">
        <f>IF(G904=$B$998,$A$998,IF(G904=$B$999,$A$999,IF(G904=$B$1000,$A$1000,IF(G904=$B$1001,$A$1001,IF(G904=$B$1002,$A$1002,"Not Calculated")))))</f>
        <v>4</v>
      </c>
      <c r="K904" s="87"/>
    </row>
    <row r="905" spans="2:11" x14ac:dyDescent="0.2">
      <c r="B905" s="81"/>
      <c r="C905" s="85" t="s">
        <v>134</v>
      </c>
      <c r="D905" s="85"/>
      <c r="E905" s="85"/>
      <c r="F905" s="85"/>
      <c r="G905" s="85"/>
      <c r="H905" s="85"/>
      <c r="I905" s="85"/>
      <c r="J905" s="240">
        <f>'Baseline HP'!J22</f>
        <v>0</v>
      </c>
      <c r="K905" s="87"/>
    </row>
    <row r="906" spans="2:11" x14ac:dyDescent="0.2">
      <c r="B906" s="81"/>
      <c r="C906" s="85"/>
      <c r="D906" s="85"/>
      <c r="E906" s="85"/>
      <c r="F906" s="85"/>
      <c r="G906" s="85"/>
      <c r="H906" s="85"/>
      <c r="I906" s="85"/>
      <c r="J906" s="85"/>
      <c r="K906" s="87"/>
    </row>
    <row r="907" spans="2:11" ht="16" x14ac:dyDescent="0.2">
      <c r="B907" s="81"/>
      <c r="C907" s="211" t="s">
        <v>811</v>
      </c>
      <c r="D907" s="85"/>
      <c r="E907" s="85"/>
      <c r="F907" s="85"/>
      <c r="G907" s="85"/>
      <c r="H907" s="85"/>
      <c r="I907" s="85"/>
      <c r="J907" s="85"/>
      <c r="K907" s="87"/>
    </row>
    <row r="908" spans="2:11" x14ac:dyDescent="0.2">
      <c r="B908" s="81"/>
      <c r="C908" s="85" t="s">
        <v>380</v>
      </c>
      <c r="D908" s="85"/>
      <c r="E908" s="85"/>
      <c r="F908" s="85"/>
      <c r="G908" s="406" t="s">
        <v>234</v>
      </c>
      <c r="H908" s="407"/>
      <c r="I908" s="85"/>
      <c r="J908" s="83">
        <f>IF(G908=$B$998,$A$998,IF(G908=$B$999,$A$999,IF(G908=$B$1000,$A$1000,IF(G908=$B$1001,$A$1001,IF(G908=$B$1002,$A$1002,"Not Calculated")))))</f>
        <v>4</v>
      </c>
      <c r="K908" s="87"/>
    </row>
    <row r="909" spans="2:11" x14ac:dyDescent="0.2">
      <c r="B909" s="81"/>
      <c r="C909" s="85" t="s">
        <v>134</v>
      </c>
      <c r="D909" s="85"/>
      <c r="E909" s="85"/>
      <c r="F909" s="85"/>
      <c r="G909" s="85"/>
      <c r="H909" s="85"/>
      <c r="I909" s="85"/>
      <c r="J909" s="240">
        <f>'Baseline HP'!J32</f>
        <v>0</v>
      </c>
      <c r="K909" s="87"/>
    </row>
    <row r="910" spans="2:11" x14ac:dyDescent="0.2">
      <c r="B910" s="81"/>
      <c r="C910" s="85"/>
      <c r="D910" s="85"/>
      <c r="E910" s="85"/>
      <c r="F910" s="85"/>
      <c r="G910" s="85"/>
      <c r="H910" s="85"/>
      <c r="I910" s="85"/>
      <c r="J910" s="85"/>
      <c r="K910" s="87"/>
    </row>
    <row r="911" spans="2:11" ht="16" x14ac:dyDescent="0.2">
      <c r="B911" s="81"/>
      <c r="C911" s="211" t="s">
        <v>645</v>
      </c>
      <c r="D911" s="85"/>
      <c r="E911" s="85"/>
      <c r="F911" s="85"/>
      <c r="G911" s="85"/>
      <c r="H911" s="85"/>
      <c r="I911" s="85"/>
      <c r="J911" s="85"/>
      <c r="K911" s="87"/>
    </row>
    <row r="912" spans="2:11" x14ac:dyDescent="0.2">
      <c r="B912" s="81"/>
      <c r="C912" s="85" t="s">
        <v>380</v>
      </c>
      <c r="D912" s="85"/>
      <c r="E912" s="85"/>
      <c r="F912" s="85"/>
      <c r="G912" s="406" t="s">
        <v>234</v>
      </c>
      <c r="H912" s="407"/>
      <c r="I912" s="85"/>
      <c r="J912" s="83">
        <f>IF(G912=$B$998,$A$998,IF(G912=$B$999,$A$999,IF(G912=$B$1000,$A$1000,IF(G912=$B$1001,$A$1001,IF(G912=$B$1002,$A$1002,"Not Calculated")))))</f>
        <v>4</v>
      </c>
      <c r="K912" s="87"/>
    </row>
    <row r="913" spans="2:11" x14ac:dyDescent="0.2">
      <c r="B913" s="81"/>
      <c r="C913" s="85" t="s">
        <v>134</v>
      </c>
      <c r="D913" s="85"/>
      <c r="E913" s="85"/>
      <c r="F913" s="85"/>
      <c r="G913" s="85"/>
      <c r="H913" s="85"/>
      <c r="I913" s="85"/>
      <c r="J913" s="240">
        <f>'Baseline HP'!J46</f>
        <v>0</v>
      </c>
      <c r="K913" s="87"/>
    </row>
    <row r="914" spans="2:11" x14ac:dyDescent="0.2">
      <c r="B914" s="81"/>
      <c r="C914" s="85"/>
      <c r="D914" s="85"/>
      <c r="E914" s="85"/>
      <c r="F914" s="85"/>
      <c r="G914" s="85"/>
      <c r="H914" s="85"/>
      <c r="I914" s="85"/>
      <c r="J914" s="85"/>
      <c r="K914" s="87"/>
    </row>
    <row r="915" spans="2:11" ht="16" x14ac:dyDescent="0.2">
      <c r="B915" s="81"/>
      <c r="C915" s="211" t="s">
        <v>648</v>
      </c>
      <c r="D915" s="85"/>
      <c r="E915" s="85"/>
      <c r="F915" s="85"/>
      <c r="G915" s="85"/>
      <c r="H915" s="85"/>
      <c r="I915" s="85"/>
      <c r="J915" s="85"/>
      <c r="K915" s="87"/>
    </row>
    <row r="916" spans="2:11" ht="15" customHeight="1" x14ac:dyDescent="0.2">
      <c r="B916" s="81"/>
      <c r="C916" s="85" t="s">
        <v>380</v>
      </c>
      <c r="D916" s="85"/>
      <c r="E916" s="85"/>
      <c r="F916" s="85"/>
      <c r="G916" s="406" t="s">
        <v>237</v>
      </c>
      <c r="H916" s="407"/>
      <c r="I916" s="85"/>
      <c r="J916" s="83">
        <f>IF(G916=$B$998,$A$998,IF(G916=$B$999,$A$999,IF(G916=$B$1000,$A$1000,IF(G916=$B$1001,$A$1001,IF(G916=$B$1002,$A$1002,"Not Calculated")))))</f>
        <v>1</v>
      </c>
      <c r="K916" s="87"/>
    </row>
    <row r="917" spans="2:11" x14ac:dyDescent="0.2">
      <c r="B917" s="81"/>
      <c r="C917" s="85" t="s">
        <v>134</v>
      </c>
      <c r="D917" s="85"/>
      <c r="E917" s="85"/>
      <c r="F917" s="85"/>
      <c r="G917" s="85"/>
      <c r="H917" s="85"/>
      <c r="I917" s="85"/>
      <c r="J917" s="240">
        <f>'Baseline HP'!J58</f>
        <v>0</v>
      </c>
      <c r="K917" s="87"/>
    </row>
    <row r="918" spans="2:11" x14ac:dyDescent="0.2">
      <c r="B918" s="81"/>
      <c r="C918" s="85"/>
      <c r="D918" s="85"/>
      <c r="E918" s="85"/>
      <c r="F918" s="85"/>
      <c r="G918" s="85"/>
      <c r="H918" s="85"/>
      <c r="I918" s="85"/>
      <c r="J918" s="85"/>
      <c r="K918" s="87"/>
    </row>
    <row r="919" spans="2:11" ht="16" x14ac:dyDescent="0.2">
      <c r="B919" s="81"/>
      <c r="C919" s="211" t="s">
        <v>647</v>
      </c>
      <c r="D919" s="85"/>
      <c r="E919" s="85"/>
      <c r="F919" s="85"/>
      <c r="G919" s="85"/>
      <c r="H919" s="85"/>
      <c r="I919" s="85"/>
      <c r="J919" s="85"/>
      <c r="K919" s="87"/>
    </row>
    <row r="920" spans="2:11" x14ac:dyDescent="0.2">
      <c r="B920" s="81"/>
      <c r="C920" s="85" t="s">
        <v>380</v>
      </c>
      <c r="D920" s="85"/>
      <c r="E920" s="85"/>
      <c r="F920" s="85"/>
      <c r="G920" s="406" t="s">
        <v>234</v>
      </c>
      <c r="H920" s="407"/>
      <c r="I920" s="85"/>
      <c r="J920" s="83">
        <f>IF(G920=$B$998,$A$998,IF(G920=$B$999,$A$999,IF(G920=$B$1000,$A$1000,IF(G920=$B$1001,$A$1001,IF(G920=$B$1002,$A$1002,"Not Calculated")))))</f>
        <v>4</v>
      </c>
      <c r="K920" s="87"/>
    </row>
    <row r="921" spans="2:11" x14ac:dyDescent="0.2">
      <c r="B921" s="81"/>
      <c r="C921" s="85" t="s">
        <v>134</v>
      </c>
      <c r="D921" s="85"/>
      <c r="E921" s="85"/>
      <c r="F921" s="85"/>
      <c r="G921" s="85"/>
      <c r="H921" s="85"/>
      <c r="I921" s="85"/>
      <c r="J921" s="240">
        <f>'Baseline HP'!J68</f>
        <v>0</v>
      </c>
      <c r="K921" s="87"/>
    </row>
    <row r="922" spans="2:11" x14ac:dyDescent="0.2">
      <c r="B922" s="81"/>
      <c r="C922" s="85"/>
      <c r="D922" s="85"/>
      <c r="E922" s="85"/>
      <c r="F922" s="85"/>
      <c r="G922" s="85"/>
      <c r="H922" s="85"/>
      <c r="I922" s="85"/>
      <c r="J922" s="85"/>
      <c r="K922" s="87"/>
    </row>
    <row r="923" spans="2:11" ht="16" x14ac:dyDescent="0.2">
      <c r="B923" s="81"/>
      <c r="C923" s="211" t="s">
        <v>121</v>
      </c>
      <c r="D923" s="85"/>
      <c r="E923" s="85"/>
      <c r="F923" s="85"/>
      <c r="G923" s="85"/>
      <c r="H923" s="85"/>
      <c r="I923" s="85"/>
      <c r="J923" s="85"/>
      <c r="K923" s="87"/>
    </row>
    <row r="924" spans="2:11" x14ac:dyDescent="0.2">
      <c r="B924" s="81"/>
      <c r="C924" s="85" t="s">
        <v>380</v>
      </c>
      <c r="D924" s="85"/>
      <c r="E924" s="85"/>
      <c r="F924" s="85"/>
      <c r="G924" s="406" t="s">
        <v>235</v>
      </c>
      <c r="H924" s="407"/>
      <c r="I924" s="85"/>
      <c r="J924" s="83">
        <f>IF(G924=$B$998,$A$998,IF(G924=$B$999,$A$999,IF(G924=$B$1000,$A$1000,IF(G924=$B$1001,$A$1001,IF(G924=$B$1002,$A$1002,"Not Calculated")))))</f>
        <v>2</v>
      </c>
      <c r="K924" s="87"/>
    </row>
    <row r="925" spans="2:11" x14ac:dyDescent="0.2">
      <c r="B925" s="81"/>
      <c r="C925" s="85" t="s">
        <v>134</v>
      </c>
      <c r="D925" s="85"/>
      <c r="E925" s="85"/>
      <c r="F925" s="85"/>
      <c r="G925" s="85"/>
      <c r="H925" s="85"/>
      <c r="I925" s="85"/>
      <c r="J925" s="240">
        <f>'Baseline HP'!J84</f>
        <v>0</v>
      </c>
      <c r="K925" s="87"/>
    </row>
    <row r="926" spans="2:11" x14ac:dyDescent="0.2">
      <c r="B926" s="81"/>
      <c r="C926" s="85"/>
      <c r="D926" s="85"/>
      <c r="E926" s="85"/>
      <c r="F926" s="85"/>
      <c r="G926" s="85"/>
      <c r="H926" s="85"/>
      <c r="I926" s="85"/>
      <c r="J926" s="85"/>
      <c r="K926" s="87"/>
    </row>
    <row r="927" spans="2:11" ht="16" x14ac:dyDescent="0.2">
      <c r="B927" s="81"/>
      <c r="C927" s="211" t="s">
        <v>652</v>
      </c>
      <c r="D927" s="85"/>
      <c r="E927" s="85"/>
      <c r="F927" s="85"/>
      <c r="G927" s="85"/>
      <c r="H927" s="85"/>
      <c r="I927" s="85"/>
      <c r="J927" s="85"/>
      <c r="K927" s="87"/>
    </row>
    <row r="928" spans="2:11" x14ac:dyDescent="0.2">
      <c r="B928" s="81"/>
      <c r="C928" s="85" t="s">
        <v>380</v>
      </c>
      <c r="D928" s="85"/>
      <c r="E928" s="85"/>
      <c r="F928" s="85"/>
      <c r="G928" s="406" t="s">
        <v>235</v>
      </c>
      <c r="H928" s="407"/>
      <c r="I928" s="85"/>
      <c r="J928" s="83">
        <f>IF(G928=$B$998,$A$998,IF(G928=$B$999,$A$999,IF(G928=$B$1000,$A$1000,IF(G928=$B$1001,$A$1001,IF(G928=$B$1002,$A$1002,"Not Calculated")))))</f>
        <v>2</v>
      </c>
      <c r="K928" s="87"/>
    </row>
    <row r="929" spans="2:11" x14ac:dyDescent="0.2">
      <c r="B929" s="81"/>
      <c r="C929" s="85" t="s">
        <v>134</v>
      </c>
      <c r="D929" s="85"/>
      <c r="E929" s="85"/>
      <c r="F929" s="85"/>
      <c r="G929" s="85"/>
      <c r="H929" s="85"/>
      <c r="I929" s="85"/>
      <c r="J929" s="240">
        <f>'Baseline HP'!J94</f>
        <v>0</v>
      </c>
      <c r="K929" s="87"/>
    </row>
    <row r="930" spans="2:11" x14ac:dyDescent="0.2">
      <c r="B930" s="81"/>
      <c r="C930" s="85"/>
      <c r="D930" s="85"/>
      <c r="E930" s="85"/>
      <c r="F930" s="85"/>
      <c r="G930" s="85"/>
      <c r="H930" s="85"/>
      <c r="I930" s="85"/>
      <c r="J930" s="85"/>
      <c r="K930" s="87"/>
    </row>
    <row r="931" spans="2:11" ht="16" x14ac:dyDescent="0.2">
      <c r="B931" s="81"/>
      <c r="C931" s="211" t="s">
        <v>653</v>
      </c>
      <c r="D931" s="85"/>
      <c r="E931" s="85"/>
      <c r="F931" s="85"/>
      <c r="G931" s="85"/>
      <c r="H931" s="85"/>
      <c r="I931" s="85"/>
      <c r="J931" s="85"/>
      <c r="K931" s="87"/>
    </row>
    <row r="932" spans="2:11" x14ac:dyDescent="0.2">
      <c r="B932" s="81"/>
      <c r="C932" s="85" t="s">
        <v>380</v>
      </c>
      <c r="D932" s="85"/>
      <c r="E932" s="85"/>
      <c r="F932" s="85"/>
      <c r="G932" s="406" t="s">
        <v>238</v>
      </c>
      <c r="H932" s="407"/>
      <c r="I932" s="85"/>
      <c r="J932" s="83">
        <f>IF(G932=$B$998,$A$998,IF(G932=$B$999,$A$999,IF(G932=$B$1000,$A$1000,IF(G932=$B$1001,$A$1001,IF(G932=$B$1002,$A$1002,"Not Calculated")))))</f>
        <v>3</v>
      </c>
      <c r="K932" s="87"/>
    </row>
    <row r="933" spans="2:11" x14ac:dyDescent="0.2">
      <c r="B933" s="81"/>
      <c r="C933" s="85" t="s">
        <v>134</v>
      </c>
      <c r="D933" s="85"/>
      <c r="E933" s="85"/>
      <c r="F933" s="85"/>
      <c r="G933" s="85"/>
      <c r="H933" s="85"/>
      <c r="I933" s="85"/>
      <c r="J933" s="240">
        <f>'Baseline HP'!J108</f>
        <v>0</v>
      </c>
      <c r="K933" s="87"/>
    </row>
    <row r="934" spans="2:11" x14ac:dyDescent="0.2">
      <c r="B934" s="81"/>
      <c r="C934" s="85"/>
      <c r="D934" s="85"/>
      <c r="E934" s="85"/>
      <c r="F934" s="85"/>
      <c r="G934" s="85"/>
      <c r="H934" s="85"/>
      <c r="I934" s="85"/>
      <c r="J934" s="85"/>
      <c r="K934" s="87"/>
    </row>
    <row r="935" spans="2:11" x14ac:dyDescent="0.2">
      <c r="B935" s="81"/>
      <c r="C935" s="85"/>
      <c r="D935" s="85"/>
      <c r="E935" s="85"/>
      <c r="F935" s="85"/>
      <c r="G935" s="85"/>
      <c r="H935" s="85"/>
      <c r="I935" s="85"/>
      <c r="J935" s="85"/>
      <c r="K935" s="87"/>
    </row>
    <row r="936" spans="2:11" ht="16" x14ac:dyDescent="0.2">
      <c r="B936" s="81"/>
      <c r="C936" s="212" t="s">
        <v>812</v>
      </c>
      <c r="D936" s="85"/>
      <c r="E936" s="85"/>
      <c r="F936" s="85"/>
      <c r="G936" s="85"/>
      <c r="H936" s="85"/>
      <c r="I936" s="85"/>
      <c r="J936" s="241">
        <f>IF(OR(J920="Not Calculated",J924="Not Calculated",J928="Not Calculated",J932="Not Calculated",J904="Not Calculated",J908="Not Calculated",J912="Not Calculated",J916="Not Calculated",J921="Not Calculated",J925="Not Calculated",J929="Not Calculated",J933="Not Calculated",J905="Not Calculated",J909="Not Calculated",J913="Not Calculated",J917="Not Calculated")=TRUE,"Not Calculated",((J904*J905)+(J908*J909)+(J912*J913)+(J916*J917)+(J920*J921)+(J924*J925)+(J928*J929)+(J932*J933))/(J904+J908+J912+J916+J920+J924+J928+J932))</f>
        <v>0</v>
      </c>
      <c r="K936" s="87"/>
    </row>
    <row r="937" spans="2:11" ht="16" thickBot="1" x14ac:dyDescent="0.25">
      <c r="B937" s="213"/>
      <c r="C937" s="94"/>
      <c r="D937" s="94"/>
      <c r="E937" s="94"/>
      <c r="F937" s="94"/>
      <c r="G937" s="94"/>
      <c r="H937" s="94"/>
      <c r="I937" s="94"/>
      <c r="J937" s="94"/>
      <c r="K937" s="96"/>
    </row>
    <row r="938" spans="2:11" ht="16" thickBot="1" x14ac:dyDescent="0.25"/>
    <row r="939" spans="2:11" x14ac:dyDescent="0.2">
      <c r="B939" s="77"/>
      <c r="C939" s="78"/>
      <c r="D939" s="78"/>
      <c r="E939" s="78"/>
      <c r="F939" s="78"/>
      <c r="G939" s="78"/>
      <c r="H939" s="78"/>
      <c r="I939" s="78"/>
      <c r="J939" s="78"/>
      <c r="K939" s="80"/>
    </row>
    <row r="940" spans="2:11" ht="21" x14ac:dyDescent="0.25">
      <c r="B940" s="81"/>
      <c r="C940" s="85"/>
      <c r="D940" s="85"/>
      <c r="E940" s="85"/>
      <c r="F940" s="85"/>
      <c r="G940" s="210" t="s">
        <v>815</v>
      </c>
      <c r="H940" s="85"/>
      <c r="I940" s="85"/>
      <c r="J940" s="85"/>
      <c r="K940" s="87"/>
    </row>
    <row r="941" spans="2:11" ht="21" x14ac:dyDescent="0.25">
      <c r="B941" s="81"/>
      <c r="C941" s="85"/>
      <c r="D941" s="85"/>
      <c r="E941" s="85"/>
      <c r="F941" s="85"/>
      <c r="G941" s="210"/>
      <c r="H941" s="85"/>
      <c r="I941" s="85"/>
      <c r="J941" s="85"/>
      <c r="K941" s="87"/>
    </row>
    <row r="942" spans="2:11" ht="16" x14ac:dyDescent="0.2">
      <c r="B942" s="81"/>
      <c r="C942" s="212" t="s">
        <v>995</v>
      </c>
      <c r="D942" s="85"/>
      <c r="E942" s="85"/>
      <c r="F942" s="85"/>
      <c r="G942" s="85"/>
      <c r="H942" s="85"/>
      <c r="I942" s="85"/>
      <c r="J942" s="241">
        <f>IF(OR(J936="Not Calculated",J894="Not Calculated")=TRUE,"Not Calculated",AVERAGE(J936,J894))</f>
        <v>0</v>
      </c>
      <c r="K942" s="87"/>
    </row>
    <row r="943" spans="2:11" ht="16" x14ac:dyDescent="0.2">
      <c r="B943" s="81"/>
      <c r="C943" s="212"/>
      <c r="D943" s="85" t="s">
        <v>814</v>
      </c>
      <c r="E943" s="85"/>
      <c r="F943" s="85"/>
      <c r="G943" s="85"/>
      <c r="H943" s="85"/>
      <c r="I943" s="85"/>
      <c r="J943" s="241"/>
      <c r="K943" s="87"/>
    </row>
    <row r="944" spans="2:11" ht="17" thickBot="1" x14ac:dyDescent="0.25">
      <c r="B944" s="213"/>
      <c r="C944" s="227"/>
      <c r="D944" s="94"/>
      <c r="E944" s="94"/>
      <c r="F944" s="94"/>
      <c r="G944" s="94"/>
      <c r="H944" s="94"/>
      <c r="I944" s="94"/>
      <c r="J944" s="228"/>
      <c r="K944" s="96"/>
    </row>
    <row r="945" spans="2:11" ht="16" thickBot="1" x14ac:dyDescent="0.25"/>
    <row r="946" spans="2:11" x14ac:dyDescent="0.2">
      <c r="B946" s="214"/>
      <c r="C946" s="215"/>
      <c r="D946" s="215"/>
      <c r="E946" s="215"/>
      <c r="F946" s="215"/>
      <c r="G946" s="215"/>
      <c r="H946" s="215"/>
      <c r="I946" s="215"/>
      <c r="J946" s="215"/>
      <c r="K946" s="216"/>
    </row>
    <row r="947" spans="2:11" ht="21" x14ac:dyDescent="0.25">
      <c r="B947" s="217"/>
      <c r="C947" s="218"/>
      <c r="D947" s="218"/>
      <c r="E947" s="218"/>
      <c r="F947" s="218"/>
      <c r="G947" s="219" t="s">
        <v>239</v>
      </c>
      <c r="H947" s="218"/>
      <c r="I947" s="218"/>
      <c r="J947" s="218"/>
      <c r="K947" s="220"/>
    </row>
    <row r="948" spans="2:11" x14ac:dyDescent="0.2">
      <c r="B948" s="217"/>
      <c r="C948" s="218"/>
      <c r="D948" s="218"/>
      <c r="E948" s="218"/>
      <c r="F948" s="218"/>
      <c r="G948" s="218"/>
      <c r="H948" s="218"/>
      <c r="I948" s="218"/>
      <c r="J948" s="218"/>
      <c r="K948" s="220"/>
    </row>
    <row r="949" spans="2:11" ht="16" x14ac:dyDescent="0.2">
      <c r="B949" s="217"/>
      <c r="C949" s="221" t="s">
        <v>393</v>
      </c>
      <c r="D949" s="218"/>
      <c r="E949" s="218"/>
      <c r="F949" s="218"/>
      <c r="G949" s="218"/>
      <c r="H949" s="218"/>
      <c r="I949" s="218"/>
      <c r="J949" s="242" t="str">
        <f>IF(OR(J817="Not Calculated",J942="Not Calculated")=TRUE,"Not Calculated",J817/J942)</f>
        <v>Not Calculated</v>
      </c>
      <c r="K949" s="220"/>
    </row>
    <row r="950" spans="2:11" x14ac:dyDescent="0.2">
      <c r="B950" s="217"/>
      <c r="C950" s="218"/>
      <c r="D950" s="218" t="s">
        <v>816</v>
      </c>
      <c r="E950" s="218"/>
      <c r="F950" s="218"/>
      <c r="G950" s="218"/>
      <c r="H950" s="218"/>
      <c r="I950" s="218"/>
      <c r="J950" s="218"/>
      <c r="K950" s="220"/>
    </row>
    <row r="951" spans="2:11" x14ac:dyDescent="0.2">
      <c r="B951" s="217"/>
      <c r="C951" s="218"/>
      <c r="D951" s="218"/>
      <c r="E951" s="218"/>
      <c r="F951" s="218"/>
      <c r="G951" s="218"/>
      <c r="H951" s="218"/>
      <c r="I951" s="218"/>
      <c r="J951" s="218"/>
      <c r="K951" s="220"/>
    </row>
    <row r="952" spans="2:11" ht="16" x14ac:dyDescent="0.2">
      <c r="B952" s="217"/>
      <c r="C952" s="221" t="s">
        <v>996</v>
      </c>
      <c r="D952" s="218"/>
      <c r="E952" s="218"/>
      <c r="F952" s="218"/>
      <c r="G952" s="218"/>
      <c r="H952" s="218"/>
      <c r="I952" s="218"/>
      <c r="J952" s="242" t="str">
        <f>IF(OR(J820="Not Calculated",J894="Not Calculated")=TRUE,"Not Calculated",J820/J894)</f>
        <v>Not Calculated</v>
      </c>
      <c r="K952" s="220"/>
    </row>
    <row r="953" spans="2:11" x14ac:dyDescent="0.2">
      <c r="B953" s="217"/>
      <c r="C953" s="218"/>
      <c r="D953" s="218" t="s">
        <v>817</v>
      </c>
      <c r="E953" s="218"/>
      <c r="F953" s="218"/>
      <c r="G953" s="218"/>
      <c r="H953" s="218"/>
      <c r="I953" s="218"/>
      <c r="J953" s="218"/>
      <c r="K953" s="220"/>
    </row>
    <row r="954" spans="2:11" x14ac:dyDescent="0.2">
      <c r="B954" s="217"/>
      <c r="C954" s="218"/>
      <c r="D954" s="218"/>
      <c r="E954" s="218"/>
      <c r="F954" s="218"/>
      <c r="G954" s="218"/>
      <c r="H954" s="218"/>
      <c r="I954" s="218"/>
      <c r="J954" s="218"/>
      <c r="K954" s="220"/>
    </row>
    <row r="955" spans="2:11" ht="16" x14ac:dyDescent="0.2">
      <c r="B955" s="217"/>
      <c r="C955" s="221" t="s">
        <v>997</v>
      </c>
      <c r="D955" s="218"/>
      <c r="E955" s="218"/>
      <c r="F955" s="218"/>
      <c r="G955" s="218"/>
      <c r="H955" s="218"/>
      <c r="I955" s="218"/>
      <c r="J955" s="242" t="str">
        <f>IF(OR(J936="Not Calculated",J823="Not Calculated")=TRUE,"Not Calculated",J823/J936)</f>
        <v>Not Calculated</v>
      </c>
      <c r="K955" s="220"/>
    </row>
    <row r="956" spans="2:11" x14ac:dyDescent="0.2">
      <c r="B956" s="217"/>
      <c r="C956" s="218"/>
      <c r="D956" s="218" t="s">
        <v>818</v>
      </c>
      <c r="E956" s="218"/>
      <c r="F956" s="218"/>
      <c r="G956" s="218"/>
      <c r="H956" s="218"/>
      <c r="I956" s="218"/>
      <c r="J956" s="218"/>
      <c r="K956" s="220"/>
    </row>
    <row r="957" spans="2:11" ht="16" thickBot="1" x14ac:dyDescent="0.25">
      <c r="B957" s="222"/>
      <c r="C957" s="223"/>
      <c r="D957" s="223"/>
      <c r="E957" s="223"/>
      <c r="F957" s="223"/>
      <c r="G957" s="223"/>
      <c r="H957" s="223"/>
      <c r="I957" s="223"/>
      <c r="J957" s="223"/>
      <c r="K957" s="224"/>
    </row>
    <row r="959" spans="2:11" ht="15" customHeight="1" x14ac:dyDescent="0.2">
      <c r="F959" s="405"/>
      <c r="G959" s="405"/>
      <c r="H959" s="405"/>
    </row>
    <row r="960" spans="2:11" x14ac:dyDescent="0.2">
      <c r="F960" s="405"/>
      <c r="G960" s="405"/>
      <c r="H960" s="405"/>
    </row>
    <row r="965" spans="1:3" ht="15" hidden="1" customHeight="1" x14ac:dyDescent="0.2">
      <c r="A965" s="12" t="s">
        <v>228</v>
      </c>
    </row>
    <row r="966" spans="1:3" ht="15" hidden="1" customHeight="1" x14ac:dyDescent="0.2">
      <c r="A966" s="12">
        <v>0</v>
      </c>
      <c r="B966" s="12" t="s">
        <v>250</v>
      </c>
      <c r="C966" s="12" t="s">
        <v>240</v>
      </c>
    </row>
    <row r="967" spans="1:3" ht="15" hidden="1" customHeight="1" x14ac:dyDescent="0.2">
      <c r="A967" s="12">
        <v>1</v>
      </c>
      <c r="B967" s="12" t="s">
        <v>251</v>
      </c>
      <c r="C967" s="12" t="s">
        <v>241</v>
      </c>
    </row>
    <row r="968" spans="1:3" ht="15" hidden="1" customHeight="1" x14ac:dyDescent="0.2">
      <c r="A968" s="12">
        <v>2</v>
      </c>
      <c r="B968" s="12" t="s">
        <v>252</v>
      </c>
      <c r="C968" s="12" t="s">
        <v>242</v>
      </c>
    </row>
    <row r="969" spans="1:3" ht="15" hidden="1" customHeight="1" x14ac:dyDescent="0.2">
      <c r="A969" s="12">
        <v>3</v>
      </c>
      <c r="B969" s="12" t="s">
        <v>253</v>
      </c>
      <c r="C969" s="12" t="s">
        <v>227</v>
      </c>
    </row>
    <row r="970" spans="1:3" ht="15" hidden="1" customHeight="1" x14ac:dyDescent="0.2">
      <c r="A970" s="12">
        <v>4</v>
      </c>
      <c r="B970" s="12" t="s">
        <v>254</v>
      </c>
      <c r="C970" s="12" t="s">
        <v>243</v>
      </c>
    </row>
    <row r="971" spans="1:3" ht="15" hidden="1" customHeight="1" x14ac:dyDescent="0.2"/>
    <row r="972" spans="1:3" ht="15" hidden="1" customHeight="1" x14ac:dyDescent="0.2">
      <c r="A972" s="12" t="s">
        <v>259</v>
      </c>
    </row>
    <row r="973" spans="1:3" ht="15" hidden="1" customHeight="1" x14ac:dyDescent="0.2">
      <c r="A973" s="12">
        <v>0</v>
      </c>
      <c r="B973" s="225" t="s">
        <v>870</v>
      </c>
    </row>
    <row r="974" spans="1:3" ht="15" hidden="1" customHeight="1" x14ac:dyDescent="0.2">
      <c r="A974" s="12">
        <v>1</v>
      </c>
      <c r="B974" s="12" t="s">
        <v>880</v>
      </c>
    </row>
    <row r="975" spans="1:3" ht="15" hidden="1" customHeight="1" x14ac:dyDescent="0.2">
      <c r="A975" s="12">
        <v>2</v>
      </c>
      <c r="B975" s="12" t="s">
        <v>872</v>
      </c>
    </row>
    <row r="976" spans="1:3" ht="15" hidden="1" customHeight="1" x14ac:dyDescent="0.2">
      <c r="A976" s="12">
        <v>3</v>
      </c>
      <c r="B976" s="12" t="s">
        <v>873</v>
      </c>
    </row>
    <row r="977" spans="1:2" ht="15" hidden="1" customHeight="1" x14ac:dyDescent="0.2">
      <c r="A977" s="12">
        <v>4</v>
      </c>
      <c r="B977" s="12" t="s">
        <v>874</v>
      </c>
    </row>
    <row r="978" spans="1:2" ht="15" hidden="1" customHeight="1" x14ac:dyDescent="0.2"/>
    <row r="979" spans="1:2" ht="15" hidden="1" customHeight="1" x14ac:dyDescent="0.2">
      <c r="A979" s="12" t="s">
        <v>294</v>
      </c>
    </row>
    <row r="980" spans="1:2" ht="15" hidden="1" customHeight="1" x14ac:dyDescent="0.2">
      <c r="A980" s="12">
        <v>0</v>
      </c>
      <c r="B980" s="225" t="s">
        <v>870</v>
      </c>
    </row>
    <row r="981" spans="1:2" ht="15" hidden="1" customHeight="1" x14ac:dyDescent="0.2">
      <c r="A981" s="12">
        <v>1</v>
      </c>
      <c r="B981" s="12" t="s">
        <v>875</v>
      </c>
    </row>
    <row r="982" spans="1:2" ht="15" hidden="1" customHeight="1" x14ac:dyDescent="0.2">
      <c r="A982" s="12">
        <v>2</v>
      </c>
      <c r="B982" s="12" t="s">
        <v>876</v>
      </c>
    </row>
    <row r="983" spans="1:2" ht="15" hidden="1" customHeight="1" x14ac:dyDescent="0.2">
      <c r="A983" s="12">
        <v>3</v>
      </c>
      <c r="B983" s="12" t="s">
        <v>877</v>
      </c>
    </row>
    <row r="984" spans="1:2" ht="15" hidden="1" customHeight="1" x14ac:dyDescent="0.2">
      <c r="A984" s="12">
        <v>4</v>
      </c>
      <c r="B984" s="12" t="s">
        <v>878</v>
      </c>
    </row>
    <row r="985" spans="1:2" ht="15" hidden="1" customHeight="1" x14ac:dyDescent="0.2"/>
    <row r="986" spans="1:2" ht="15" hidden="1" customHeight="1" x14ac:dyDescent="0.2">
      <c r="A986" s="12" t="s">
        <v>244</v>
      </c>
    </row>
    <row r="987" spans="1:2" ht="15" hidden="1" customHeight="1" x14ac:dyDescent="0.2">
      <c r="A987" s="12">
        <v>0</v>
      </c>
      <c r="B987" s="12" t="s">
        <v>245</v>
      </c>
    </row>
    <row r="988" spans="1:2" ht="15" hidden="1" customHeight="1" x14ac:dyDescent="0.2">
      <c r="A988" s="12">
        <v>1</v>
      </c>
      <c r="B988" s="12" t="s">
        <v>246</v>
      </c>
    </row>
    <row r="989" spans="1:2" ht="15" hidden="1" customHeight="1" x14ac:dyDescent="0.2">
      <c r="A989" s="12">
        <v>2</v>
      </c>
      <c r="B989" s="12" t="s">
        <v>247</v>
      </c>
    </row>
    <row r="990" spans="1:2" ht="15" hidden="1" customHeight="1" x14ac:dyDescent="0.2">
      <c r="A990" s="12">
        <v>3</v>
      </c>
      <c r="B990" s="12" t="s">
        <v>229</v>
      </c>
    </row>
    <row r="991" spans="1:2" ht="15" hidden="1" customHeight="1" x14ac:dyDescent="0.2">
      <c r="A991" s="12">
        <v>4</v>
      </c>
      <c r="B991" s="12" t="s">
        <v>248</v>
      </c>
    </row>
    <row r="992" spans="1:2" ht="15" hidden="1" customHeight="1" x14ac:dyDescent="0.2"/>
    <row r="993" spans="1:11" ht="15" hidden="1" customHeight="1" x14ac:dyDescent="0.2">
      <c r="A993" s="12" t="s">
        <v>381</v>
      </c>
    </row>
    <row r="994" spans="1:11" ht="15" hidden="1" customHeight="1" x14ac:dyDescent="0.2">
      <c r="A994" s="12">
        <v>0</v>
      </c>
      <c r="B994" s="12" t="s">
        <v>202</v>
      </c>
    </row>
    <row r="995" spans="1:11" ht="15" hidden="1" customHeight="1" x14ac:dyDescent="0.2">
      <c r="A995" s="12">
        <v>1</v>
      </c>
      <c r="B995" s="12" t="s">
        <v>190</v>
      </c>
    </row>
    <row r="996" spans="1:11" ht="15" hidden="1" customHeight="1" x14ac:dyDescent="0.2"/>
    <row r="997" spans="1:11" ht="15" hidden="1" customHeight="1" x14ac:dyDescent="0.2">
      <c r="A997" s="12" t="s">
        <v>249</v>
      </c>
    </row>
    <row r="998" spans="1:11" ht="15" hidden="1" customHeight="1" x14ac:dyDescent="0.2">
      <c r="A998" s="12">
        <v>0</v>
      </c>
      <c r="B998" s="12" t="s">
        <v>236</v>
      </c>
    </row>
    <row r="999" spans="1:11" ht="15" hidden="1" customHeight="1" x14ac:dyDescent="0.2">
      <c r="A999" s="12">
        <v>1</v>
      </c>
      <c r="B999" s="12" t="s">
        <v>237</v>
      </c>
    </row>
    <row r="1000" spans="1:11" ht="15" hidden="1" customHeight="1" x14ac:dyDescent="0.2">
      <c r="A1000" s="12">
        <v>2</v>
      </c>
      <c r="B1000" s="12" t="s">
        <v>235</v>
      </c>
    </row>
    <row r="1001" spans="1:11" ht="15" hidden="1" customHeight="1" x14ac:dyDescent="0.2">
      <c r="A1001" s="12">
        <v>3</v>
      </c>
      <c r="B1001" s="12" t="s">
        <v>238</v>
      </c>
    </row>
    <row r="1002" spans="1:11" ht="15" hidden="1" customHeight="1" x14ac:dyDescent="0.2">
      <c r="A1002" s="12">
        <v>4</v>
      </c>
      <c r="B1002" s="12" t="s">
        <v>234</v>
      </c>
    </row>
    <row r="1003" spans="1:11" ht="15" customHeight="1" x14ac:dyDescent="0.2">
      <c r="B1003" s="12" t="s">
        <v>685</v>
      </c>
    </row>
    <row r="1004" spans="1:11" ht="45" customHeight="1" x14ac:dyDescent="0.2">
      <c r="B1004" s="402" t="s">
        <v>709</v>
      </c>
      <c r="C1004" s="403"/>
      <c r="D1004" s="403"/>
      <c r="E1004" s="403"/>
      <c r="F1004" s="403"/>
      <c r="G1004" s="403"/>
      <c r="H1004" s="403"/>
      <c r="I1004" s="403"/>
      <c r="J1004" s="403"/>
      <c r="K1004" s="404"/>
    </row>
    <row r="1005" spans="1:11" ht="15" customHeight="1" x14ac:dyDescent="0.2">
      <c r="B1005" s="396"/>
      <c r="C1005" s="397"/>
      <c r="D1005" s="397"/>
      <c r="E1005" s="397"/>
      <c r="F1005" s="397"/>
      <c r="G1005" s="397"/>
      <c r="H1005" s="397"/>
      <c r="I1005" s="397"/>
      <c r="J1005" s="397"/>
      <c r="K1005" s="398"/>
    </row>
    <row r="1006" spans="1:11" ht="15" customHeight="1" x14ac:dyDescent="0.2">
      <c r="B1006" s="396" t="s">
        <v>692</v>
      </c>
      <c r="C1006" s="397"/>
      <c r="D1006" s="397"/>
      <c r="E1006" s="397"/>
      <c r="F1006" s="397"/>
      <c r="G1006" s="397"/>
      <c r="H1006" s="397"/>
      <c r="I1006" s="397"/>
      <c r="J1006" s="397"/>
      <c r="K1006" s="398"/>
    </row>
    <row r="1007" spans="1:11" ht="15" customHeight="1" x14ac:dyDescent="0.2">
      <c r="B1007" s="396"/>
      <c r="C1007" s="397"/>
      <c r="D1007" s="397"/>
      <c r="E1007" s="397"/>
      <c r="F1007" s="397"/>
      <c r="G1007" s="397"/>
      <c r="H1007" s="397"/>
      <c r="I1007" s="397"/>
      <c r="J1007" s="397"/>
      <c r="K1007" s="398"/>
    </row>
    <row r="1008" spans="1:11" ht="15" customHeight="1" x14ac:dyDescent="0.2">
      <c r="B1008" s="396" t="s">
        <v>711</v>
      </c>
      <c r="C1008" s="397"/>
      <c r="D1008" s="397"/>
      <c r="E1008" s="397"/>
      <c r="F1008" s="397"/>
      <c r="G1008" s="397"/>
      <c r="H1008" s="397"/>
      <c r="I1008" s="397"/>
      <c r="J1008" s="397"/>
      <c r="K1008" s="398"/>
    </row>
    <row r="1009" spans="2:11" ht="15" customHeight="1" x14ac:dyDescent="0.2">
      <c r="B1009" s="396"/>
      <c r="C1009" s="397"/>
      <c r="D1009" s="397"/>
      <c r="E1009" s="397"/>
      <c r="F1009" s="397"/>
      <c r="G1009" s="397"/>
      <c r="H1009" s="397"/>
      <c r="I1009" s="397"/>
      <c r="J1009" s="397"/>
      <c r="K1009" s="398"/>
    </row>
    <row r="1010" spans="2:11" ht="45" customHeight="1" x14ac:dyDescent="0.2">
      <c r="B1010" s="396" t="s">
        <v>710</v>
      </c>
      <c r="C1010" s="397"/>
      <c r="D1010" s="397"/>
      <c r="E1010" s="397"/>
      <c r="F1010" s="397"/>
      <c r="G1010" s="397"/>
      <c r="H1010" s="397"/>
      <c r="I1010" s="397"/>
      <c r="J1010" s="397"/>
      <c r="K1010" s="398"/>
    </row>
    <row r="1011" spans="2:11" ht="15" customHeight="1" x14ac:dyDescent="0.2">
      <c r="B1011" s="396"/>
      <c r="C1011" s="397"/>
      <c r="D1011" s="397"/>
      <c r="E1011" s="397"/>
      <c r="F1011" s="397"/>
      <c r="G1011" s="397"/>
      <c r="H1011" s="397"/>
      <c r="I1011" s="397"/>
      <c r="J1011" s="397"/>
      <c r="K1011" s="398"/>
    </row>
    <row r="1012" spans="2:11" ht="30" customHeight="1" x14ac:dyDescent="0.2">
      <c r="B1012" s="396" t="s">
        <v>708</v>
      </c>
      <c r="C1012" s="397"/>
      <c r="D1012" s="397"/>
      <c r="E1012" s="397"/>
      <c r="F1012" s="397"/>
      <c r="G1012" s="397"/>
      <c r="H1012" s="397"/>
      <c r="I1012" s="397"/>
      <c r="J1012" s="397"/>
      <c r="K1012" s="398"/>
    </row>
    <row r="1013" spans="2:11" ht="15" customHeight="1" x14ac:dyDescent="0.2">
      <c r="B1013" s="396"/>
      <c r="C1013" s="397"/>
      <c r="D1013" s="397"/>
      <c r="E1013" s="397"/>
      <c r="F1013" s="397"/>
      <c r="G1013" s="397"/>
      <c r="H1013" s="397"/>
      <c r="I1013" s="397"/>
      <c r="J1013" s="397"/>
      <c r="K1013" s="398"/>
    </row>
    <row r="1014" spans="2:11" ht="15" customHeight="1" x14ac:dyDescent="0.2">
      <c r="B1014" s="396"/>
      <c r="C1014" s="397"/>
      <c r="D1014" s="397"/>
      <c r="E1014" s="397"/>
      <c r="F1014" s="397"/>
      <c r="G1014" s="397"/>
      <c r="H1014" s="397"/>
      <c r="I1014" s="397"/>
      <c r="J1014" s="397"/>
      <c r="K1014" s="398"/>
    </row>
    <row r="1015" spans="2:11" ht="15" customHeight="1" x14ac:dyDescent="0.2">
      <c r="B1015" s="396"/>
      <c r="C1015" s="397"/>
      <c r="D1015" s="397"/>
      <c r="E1015" s="397"/>
      <c r="F1015" s="397"/>
      <c r="G1015" s="397"/>
      <c r="H1015" s="397"/>
      <c r="I1015" s="397"/>
      <c r="J1015" s="397"/>
      <c r="K1015" s="398"/>
    </row>
    <row r="1016" spans="2:11" ht="15" customHeight="1" x14ac:dyDescent="0.2">
      <c r="B1016" s="396"/>
      <c r="C1016" s="397"/>
      <c r="D1016" s="397"/>
      <c r="E1016" s="397"/>
      <c r="F1016" s="397"/>
      <c r="G1016" s="397"/>
      <c r="H1016" s="397"/>
      <c r="I1016" s="397"/>
      <c r="J1016" s="397"/>
      <c r="K1016" s="398"/>
    </row>
    <row r="1017" spans="2:11" ht="15" customHeight="1" x14ac:dyDescent="0.2">
      <c r="B1017" s="396"/>
      <c r="C1017" s="397"/>
      <c r="D1017" s="397"/>
      <c r="E1017" s="397"/>
      <c r="F1017" s="397"/>
      <c r="G1017" s="397"/>
      <c r="H1017" s="397"/>
      <c r="I1017" s="397"/>
      <c r="J1017" s="397"/>
      <c r="K1017" s="398"/>
    </row>
    <row r="1018" spans="2:11" ht="15" customHeight="1" x14ac:dyDescent="0.2">
      <c r="B1018" s="396"/>
      <c r="C1018" s="397"/>
      <c r="D1018" s="397"/>
      <c r="E1018" s="397"/>
      <c r="F1018" s="397"/>
      <c r="G1018" s="397"/>
      <c r="H1018" s="397"/>
      <c r="I1018" s="397"/>
      <c r="J1018" s="397"/>
      <c r="K1018" s="398"/>
    </row>
    <row r="1019" spans="2:11" ht="15" customHeight="1" x14ac:dyDescent="0.2">
      <c r="B1019" s="396"/>
      <c r="C1019" s="397"/>
      <c r="D1019" s="397"/>
      <c r="E1019" s="397"/>
      <c r="F1019" s="397"/>
      <c r="G1019" s="397"/>
      <c r="H1019" s="397"/>
      <c r="I1019" s="397"/>
      <c r="J1019" s="397"/>
      <c r="K1019" s="398"/>
    </row>
    <row r="1020" spans="2:11" ht="15" customHeight="1" x14ac:dyDescent="0.2">
      <c r="B1020" s="396"/>
      <c r="C1020" s="397"/>
      <c r="D1020" s="397"/>
      <c r="E1020" s="397"/>
      <c r="F1020" s="397"/>
      <c r="G1020" s="397"/>
      <c r="H1020" s="397"/>
      <c r="I1020" s="397"/>
      <c r="J1020" s="397"/>
      <c r="K1020" s="398"/>
    </row>
    <row r="1021" spans="2:11" ht="15" customHeight="1" x14ac:dyDescent="0.2">
      <c r="B1021" s="396"/>
      <c r="C1021" s="397"/>
      <c r="D1021" s="397"/>
      <c r="E1021" s="397"/>
      <c r="F1021" s="397"/>
      <c r="G1021" s="397"/>
      <c r="H1021" s="397"/>
      <c r="I1021" s="397"/>
      <c r="J1021" s="397"/>
      <c r="K1021" s="398"/>
    </row>
    <row r="1022" spans="2:11" ht="15" customHeight="1" x14ac:dyDescent="0.2">
      <c r="B1022" s="396"/>
      <c r="C1022" s="397"/>
      <c r="D1022" s="397"/>
      <c r="E1022" s="397"/>
      <c r="F1022" s="397"/>
      <c r="G1022" s="397"/>
      <c r="H1022" s="397"/>
      <c r="I1022" s="397"/>
      <c r="J1022" s="397"/>
      <c r="K1022" s="398"/>
    </row>
    <row r="1023" spans="2:11" ht="15" customHeight="1" x14ac:dyDescent="0.2">
      <c r="B1023" s="396"/>
      <c r="C1023" s="397"/>
      <c r="D1023" s="397"/>
      <c r="E1023" s="397"/>
      <c r="F1023" s="397"/>
      <c r="G1023" s="397"/>
      <c r="H1023" s="397"/>
      <c r="I1023" s="397"/>
      <c r="J1023" s="397"/>
      <c r="K1023" s="398"/>
    </row>
    <row r="1024" spans="2:11" ht="15" customHeight="1" x14ac:dyDescent="0.2">
      <c r="B1024" s="396"/>
      <c r="C1024" s="397"/>
      <c r="D1024" s="397"/>
      <c r="E1024" s="397"/>
      <c r="F1024" s="397"/>
      <c r="G1024" s="397"/>
      <c r="H1024" s="397"/>
      <c r="I1024" s="397"/>
      <c r="J1024" s="397"/>
      <c r="K1024" s="398"/>
    </row>
    <row r="1025" spans="2:11" ht="15" customHeight="1" x14ac:dyDescent="0.2">
      <c r="B1025" s="396"/>
      <c r="C1025" s="397"/>
      <c r="D1025" s="397"/>
      <c r="E1025" s="397"/>
      <c r="F1025" s="397"/>
      <c r="G1025" s="397"/>
      <c r="H1025" s="397"/>
      <c r="I1025" s="397"/>
      <c r="J1025" s="397"/>
      <c r="K1025" s="398"/>
    </row>
    <row r="1026" spans="2:11" ht="15" customHeight="1" x14ac:dyDescent="0.2">
      <c r="B1026" s="396"/>
      <c r="C1026" s="397"/>
      <c r="D1026" s="397"/>
      <c r="E1026" s="397"/>
      <c r="F1026" s="397"/>
      <c r="G1026" s="397"/>
      <c r="H1026" s="397"/>
      <c r="I1026" s="397"/>
      <c r="J1026" s="397"/>
      <c r="K1026" s="398"/>
    </row>
    <row r="1027" spans="2:11" ht="15" customHeight="1" x14ac:dyDescent="0.2">
      <c r="B1027" s="396"/>
      <c r="C1027" s="397"/>
      <c r="D1027" s="397"/>
      <c r="E1027" s="397"/>
      <c r="F1027" s="397"/>
      <c r="G1027" s="397"/>
      <c r="H1027" s="397"/>
      <c r="I1027" s="397"/>
      <c r="J1027" s="397"/>
      <c r="K1027" s="398"/>
    </row>
    <row r="1028" spans="2:11" ht="15" customHeight="1" x14ac:dyDescent="0.2">
      <c r="B1028" s="396"/>
      <c r="C1028" s="397"/>
      <c r="D1028" s="397"/>
      <c r="E1028" s="397"/>
      <c r="F1028" s="397"/>
      <c r="G1028" s="397"/>
      <c r="H1028" s="397"/>
      <c r="I1028" s="397"/>
      <c r="J1028" s="397"/>
      <c r="K1028" s="398"/>
    </row>
    <row r="1029" spans="2:11" ht="15" customHeight="1" x14ac:dyDescent="0.2">
      <c r="B1029" s="393"/>
      <c r="C1029" s="394"/>
      <c r="D1029" s="394"/>
      <c r="E1029" s="394"/>
      <c r="F1029" s="394"/>
      <c r="G1029" s="394"/>
      <c r="H1029" s="394"/>
      <c r="I1029" s="394"/>
      <c r="J1029" s="394"/>
      <c r="K1029" s="395"/>
    </row>
  </sheetData>
  <sheetProtection formatCells="0" formatColumns="0" formatRows="0" selectLockedCells="1"/>
  <mergeCells count="152">
    <mergeCell ref="C292:I293"/>
    <mergeCell ref="C311:I312"/>
    <mergeCell ref="C340:I341"/>
    <mergeCell ref="C305:J305"/>
    <mergeCell ref="C385:J385"/>
    <mergeCell ref="C95:J95"/>
    <mergeCell ref="C114:J114"/>
    <mergeCell ref="C76:J76"/>
    <mergeCell ref="E15:J15"/>
    <mergeCell ref="C38:J38"/>
    <mergeCell ref="C57:J57"/>
    <mergeCell ref="C286:J286"/>
    <mergeCell ref="B5:K5"/>
    <mergeCell ref="B6:K6"/>
    <mergeCell ref="B7:K7"/>
    <mergeCell ref="B8:K8"/>
    <mergeCell ref="B9:K9"/>
    <mergeCell ref="B10:K10"/>
    <mergeCell ref="C257:J257"/>
    <mergeCell ref="C237:J237"/>
    <mergeCell ref="C216:J216"/>
    <mergeCell ref="C176:J176"/>
    <mergeCell ref="C196:J196"/>
    <mergeCell ref="C155:J155"/>
    <mergeCell ref="C120:J122"/>
    <mergeCell ref="C123:J124"/>
    <mergeCell ref="C129:J129"/>
    <mergeCell ref="C455:J455"/>
    <mergeCell ref="C402:J402"/>
    <mergeCell ref="C416:J416"/>
    <mergeCell ref="C438:J438"/>
    <mergeCell ref="C444:I445"/>
    <mergeCell ref="C365:J365"/>
    <mergeCell ref="C371:I372"/>
    <mergeCell ref="C324:J324"/>
    <mergeCell ref="C330:I331"/>
    <mergeCell ref="C347:J347"/>
    <mergeCell ref="D343:I344"/>
    <mergeCell ref="C420:I421"/>
    <mergeCell ref="C391:I392"/>
    <mergeCell ref="C613:J613"/>
    <mergeCell ref="C560:J560"/>
    <mergeCell ref="C566:I568"/>
    <mergeCell ref="C569:I571"/>
    <mergeCell ref="C583:J583"/>
    <mergeCell ref="C524:I525"/>
    <mergeCell ref="C535:J535"/>
    <mergeCell ref="C518:J518"/>
    <mergeCell ref="C471:J471"/>
    <mergeCell ref="C477:I478"/>
    <mergeCell ref="C486:J486"/>
    <mergeCell ref="C502:J502"/>
    <mergeCell ref="C599:J599"/>
    <mergeCell ref="G717:H717"/>
    <mergeCell ref="G718:H718"/>
    <mergeCell ref="C729:J731"/>
    <mergeCell ref="G732:H732"/>
    <mergeCell ref="G733:H733"/>
    <mergeCell ref="C620:I621"/>
    <mergeCell ref="C633:J633"/>
    <mergeCell ref="C639:I640"/>
    <mergeCell ref="C641:I643"/>
    <mergeCell ref="C714:J716"/>
    <mergeCell ref="C655:J655"/>
    <mergeCell ref="D664:I665"/>
    <mergeCell ref="C677:J677"/>
    <mergeCell ref="G737:H737"/>
    <mergeCell ref="G738:H738"/>
    <mergeCell ref="G734:H734"/>
    <mergeCell ref="G735:H735"/>
    <mergeCell ref="G724:H724"/>
    <mergeCell ref="G725:H725"/>
    <mergeCell ref="G719:H719"/>
    <mergeCell ref="G720:H720"/>
    <mergeCell ref="G721:H721"/>
    <mergeCell ref="G846:H846"/>
    <mergeCell ref="C830:J831"/>
    <mergeCell ref="G834:H834"/>
    <mergeCell ref="G838:H838"/>
    <mergeCell ref="G842:H842"/>
    <mergeCell ref="G769:H769"/>
    <mergeCell ref="G770:H770"/>
    <mergeCell ref="G767:H767"/>
    <mergeCell ref="G768:H768"/>
    <mergeCell ref="G766:H766"/>
    <mergeCell ref="G754:H754"/>
    <mergeCell ref="G755:H755"/>
    <mergeCell ref="G752:H752"/>
    <mergeCell ref="G753:H753"/>
    <mergeCell ref="C759:J761"/>
    <mergeCell ref="G762:H762"/>
    <mergeCell ref="G763:H763"/>
    <mergeCell ref="G764:H764"/>
    <mergeCell ref="G878:H878"/>
    <mergeCell ref="G722:H722"/>
    <mergeCell ref="G723:H723"/>
    <mergeCell ref="G850:H850"/>
    <mergeCell ref="G862:H862"/>
    <mergeCell ref="G866:H866"/>
    <mergeCell ref="G854:H854"/>
    <mergeCell ref="G858:H858"/>
    <mergeCell ref="F959:H960"/>
    <mergeCell ref="G736:H736"/>
    <mergeCell ref="C744:J746"/>
    <mergeCell ref="G747:H747"/>
    <mergeCell ref="G748:H748"/>
    <mergeCell ref="G749:H749"/>
    <mergeCell ref="G886:H886"/>
    <mergeCell ref="G890:H890"/>
    <mergeCell ref="G882:H882"/>
    <mergeCell ref="G870:H870"/>
    <mergeCell ref="G874:H874"/>
    <mergeCell ref="G765:H765"/>
    <mergeCell ref="G750:H750"/>
    <mergeCell ref="G751:H751"/>
    <mergeCell ref="G739:H739"/>
    <mergeCell ref="G740:H740"/>
    <mergeCell ref="B1004:K1004"/>
    <mergeCell ref="B1005:K1005"/>
    <mergeCell ref="B1006:K1006"/>
    <mergeCell ref="B1007:K1007"/>
    <mergeCell ref="B1008:K1008"/>
    <mergeCell ref="B1009:K1009"/>
    <mergeCell ref="B1010:K1010"/>
    <mergeCell ref="B1011:K1011"/>
    <mergeCell ref="B1012:K1012"/>
    <mergeCell ref="B1022:K1022"/>
    <mergeCell ref="B1023:K1023"/>
    <mergeCell ref="B1024:K1024"/>
    <mergeCell ref="B1025:K1025"/>
    <mergeCell ref="B1026:K1026"/>
    <mergeCell ref="B1027:K1027"/>
    <mergeCell ref="B1028:K1028"/>
    <mergeCell ref="B1029:K1029"/>
    <mergeCell ref="B1013:K1013"/>
    <mergeCell ref="B1014:K1014"/>
    <mergeCell ref="B1015:K1015"/>
    <mergeCell ref="B1016:K1016"/>
    <mergeCell ref="B1017:K1017"/>
    <mergeCell ref="B1018:K1018"/>
    <mergeCell ref="B1019:K1019"/>
    <mergeCell ref="B1020:K1020"/>
    <mergeCell ref="B1021:K1021"/>
    <mergeCell ref="G928:H928"/>
    <mergeCell ref="G932:H932"/>
    <mergeCell ref="G924:H924"/>
    <mergeCell ref="G916:H916"/>
    <mergeCell ref="G920:H920"/>
    <mergeCell ref="C900:J901"/>
    <mergeCell ref="G904:H904"/>
    <mergeCell ref="G908:H908"/>
    <mergeCell ref="G912:H912"/>
  </mergeCells>
  <dataValidations count="23">
    <dataValidation type="list" allowBlank="1" showInputMessage="1" showErrorMessage="1" sqref="E15:J15" xr:uid="{00000000-0002-0000-1200-000000000000}">
      <formula1>$C$966:$C$970</formula1>
    </dataValidation>
    <dataValidation type="list" allowBlank="1" showInputMessage="1" showErrorMessage="1" sqref="G834:H834 G890:H890 G886:H886 G882:H882 G878:H878 G874:H874 G870:H870 G866:H866 G862:H862 G858:H858 G854:H854 G850:H850 G846:H846 G842:H842 G838:H838 G904:H904 G932:H932 G928:H928 G924:H924 G920:H920 G916:H916 G912:H912 G908:H908" xr:uid="{00000000-0002-0000-1200-000001000000}">
      <formula1>$B$998:$B$1002</formula1>
    </dataValidation>
    <dataValidation type="list" allowBlank="1" showInputMessage="1" showErrorMessage="1" sqref="G717:H725 G762:H770 G732:H740 G747:H755" xr:uid="{00000000-0002-0000-1200-000002000000}">
      <formula1>$B$994:$B$995</formula1>
    </dataValidation>
    <dataValidation type="list" allowBlank="1" showInputMessage="1" showErrorMessage="1" sqref="J302 J362" xr:uid="{00000000-0002-0000-1200-000003000000}">
      <formula1>$B$980:$B$984</formula1>
    </dataValidation>
    <dataValidation type="list" allowBlank="1" showInputMessage="1" showErrorMessage="1" sqref="C123:J124" xr:uid="{00000000-0002-0000-1200-000004000000}">
      <formula1>$B$987:$B$991</formula1>
    </dataValidation>
    <dataValidation type="list" allowBlank="1" showInputMessage="1" showErrorMessage="1" sqref="J35 J213 J283 J652 J234 J54 J193 J173 J152 J126 J111 J92 J73 J254 J435 J452 J468 J499 J515 J532 J557 J580 J596 J674 J630" xr:uid="{00000000-0002-0000-1200-000005000000}">
      <formula1>$B$973:$B$977</formula1>
    </dataValidation>
    <dataValidation type="list" allowBlank="1" showInputMessage="1" showErrorMessage="1" sqref="J33" xr:uid="{00000000-0002-0000-1200-000006000000}">
      <formula1>$N$32:$N$37</formula1>
    </dataValidation>
    <dataValidation type="list" allowBlank="1" showInputMessage="1" showErrorMessage="1" sqref="J52" xr:uid="{00000000-0002-0000-1200-000007000000}">
      <formula1>$N$51:$N$56</formula1>
    </dataValidation>
    <dataValidation type="list" allowBlank="1" showInputMessage="1" showErrorMessage="1" sqref="J71" xr:uid="{00000000-0002-0000-1200-000008000000}">
      <formula1>$N$70:$N$75</formula1>
    </dataValidation>
    <dataValidation type="list" allowBlank="1" showInputMessage="1" showErrorMessage="1" sqref="J90" xr:uid="{00000000-0002-0000-1200-000009000000}">
      <formula1>$N$89:$N$94</formula1>
    </dataValidation>
    <dataValidation type="list" allowBlank="1" showInputMessage="1" showErrorMessage="1" sqref="J109" xr:uid="{00000000-0002-0000-1200-00000A000000}">
      <formula1>$N$108:$N$113</formula1>
    </dataValidation>
    <dataValidation type="list" allowBlank="1" showInputMessage="1" showErrorMessage="1" sqref="J150" xr:uid="{00000000-0002-0000-1200-00000B000000}">
      <formula1>$N$149:$N$154</formula1>
    </dataValidation>
    <dataValidation type="list" allowBlank="1" showInputMessage="1" showErrorMessage="1" sqref="J171" xr:uid="{00000000-0002-0000-1200-00000C000000}">
      <formula1>$N$170:$N$175</formula1>
    </dataValidation>
    <dataValidation type="list" allowBlank="1" showInputMessage="1" showErrorMessage="1" sqref="J191" xr:uid="{00000000-0002-0000-1200-00000D000000}">
      <formula1>$N$190:$N$195</formula1>
    </dataValidation>
    <dataValidation type="list" allowBlank="1" showInputMessage="1" showErrorMessage="1" sqref="J211" xr:uid="{00000000-0002-0000-1200-00000E000000}">
      <formula1>$N$210:$N$215</formula1>
    </dataValidation>
    <dataValidation type="list" allowBlank="1" showInputMessage="1" showErrorMessage="1" sqref="J232" xr:uid="{00000000-0002-0000-1200-00000F000000}">
      <formula1>$N$231:$N$236</formula1>
    </dataValidation>
    <dataValidation type="list" allowBlank="1" showInputMessage="1" showErrorMessage="1" sqref="J252" xr:uid="{00000000-0002-0000-1200-000010000000}">
      <formula1>$N$251:$N$256</formula1>
    </dataValidation>
    <dataValidation type="list" allowBlank="1" showInputMessage="1" showErrorMessage="1" sqref="J281" xr:uid="{00000000-0002-0000-1200-000011000000}">
      <formula1>$N$280:$N$285</formula1>
    </dataValidation>
    <dataValidation type="list" allowBlank="1" showInputMessage="1" showErrorMessage="1" sqref="J555" xr:uid="{00000000-0002-0000-1200-000012000000}">
      <formula1>$N$554:$N$559</formula1>
    </dataValidation>
    <dataValidation type="list" allowBlank="1" showInputMessage="1" showErrorMessage="1" sqref="J578" xr:uid="{00000000-0002-0000-1200-000013000000}">
      <formula1>$N$577:$N$582</formula1>
    </dataValidation>
    <dataValidation type="list" allowBlank="1" showInputMessage="1" showErrorMessage="1" sqref="J628" xr:uid="{00000000-0002-0000-1200-000014000000}">
      <formula1>$N$627:$N$632</formula1>
    </dataValidation>
    <dataValidation type="list" allowBlank="1" showInputMessage="1" showErrorMessage="1" sqref="J650" xr:uid="{00000000-0002-0000-1200-000015000000}">
      <formula1>$N$649:$N$654</formula1>
    </dataValidation>
    <dataValidation type="list" allowBlank="1" showInputMessage="1" showErrorMessage="1" sqref="J672" xr:uid="{00000000-0002-0000-1200-000016000000}">
      <formula1>$N$671:$N$676</formula1>
    </dataValidation>
  </dataValidations>
  <pageMargins left="0.7" right="0.7" top="0.75" bottom="0.75" header="0.3" footer="0.3"/>
  <pageSetup scale="7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0">
    <pageSetUpPr fitToPage="1"/>
  </sheetPr>
  <dimension ref="B5:N15"/>
  <sheetViews>
    <sheetView showGridLines="0" showRowColHeaders="0" zoomScaleNormal="100" workbookViewId="0"/>
  </sheetViews>
  <sheetFormatPr baseColWidth="10" defaultColWidth="9.1640625" defaultRowHeight="15" x14ac:dyDescent="0.2"/>
  <cols>
    <col min="1" max="2" width="9.1640625" style="12"/>
    <col min="3" max="6" width="9.1640625" style="12" customWidth="1"/>
    <col min="7" max="16384" width="9.1640625" style="12"/>
  </cols>
  <sheetData>
    <row r="5" spans="2:14" x14ac:dyDescent="0.2">
      <c r="I5"/>
    </row>
    <row r="8" spans="2:14" x14ac:dyDescent="0.2">
      <c r="I8" s="15"/>
      <c r="J8" s="15"/>
    </row>
    <row r="9" spans="2:14" ht="33" x14ac:dyDescent="0.2">
      <c r="H9" s="16" t="s">
        <v>1038</v>
      </c>
      <c r="I9" s="15"/>
      <c r="J9" s="15"/>
    </row>
    <row r="10" spans="2:14" ht="16.5" customHeight="1" thickBot="1" x14ac:dyDescent="0.25">
      <c r="H10" s="16"/>
      <c r="I10" s="15"/>
      <c r="J10" s="15"/>
    </row>
    <row r="11" spans="2:14" ht="16.5" customHeight="1" x14ac:dyDescent="0.2">
      <c r="B11" s="17"/>
      <c r="C11" s="18"/>
      <c r="D11" s="18"/>
      <c r="E11" s="18"/>
      <c r="F11" s="18"/>
      <c r="G11" s="18"/>
      <c r="H11" s="18"/>
      <c r="I11" s="119"/>
      <c r="J11" s="19"/>
      <c r="K11" s="19"/>
      <c r="L11" s="18"/>
      <c r="M11" s="18"/>
      <c r="N11" s="20"/>
    </row>
    <row r="12" spans="2:14" ht="255" customHeight="1" x14ac:dyDescent="0.2">
      <c r="B12" s="21"/>
      <c r="C12" s="341" t="s">
        <v>1280</v>
      </c>
      <c r="D12" s="341"/>
      <c r="E12" s="341"/>
      <c r="F12" s="341"/>
      <c r="G12" s="341"/>
      <c r="H12" s="341"/>
      <c r="I12" s="341"/>
      <c r="J12" s="341"/>
      <c r="K12" s="341"/>
      <c r="L12" s="341"/>
      <c r="M12" s="341"/>
      <c r="N12" s="24"/>
    </row>
    <row r="13" spans="2:14" ht="16.5" customHeight="1" x14ac:dyDescent="0.2">
      <c r="B13" s="21"/>
      <c r="C13" s="341"/>
      <c r="D13" s="341"/>
      <c r="E13" s="341"/>
      <c r="F13" s="341"/>
      <c r="G13" s="341"/>
      <c r="H13" s="341"/>
      <c r="I13" s="341"/>
      <c r="J13" s="341"/>
      <c r="K13" s="341"/>
      <c r="L13" s="341"/>
      <c r="M13" s="341"/>
      <c r="N13" s="24"/>
    </row>
    <row r="14" spans="2:14" ht="330" customHeight="1" x14ac:dyDescent="0.2">
      <c r="B14" s="21"/>
      <c r="C14" s="341" t="s">
        <v>1281</v>
      </c>
      <c r="D14" s="341"/>
      <c r="E14" s="341"/>
      <c r="F14" s="341"/>
      <c r="G14" s="341"/>
      <c r="H14" s="341"/>
      <c r="I14" s="341"/>
      <c r="J14" s="341"/>
      <c r="K14" s="341"/>
      <c r="L14" s="341"/>
      <c r="M14" s="341"/>
      <c r="N14" s="24"/>
    </row>
    <row r="15" spans="2:14" ht="16" thickBot="1" x14ac:dyDescent="0.25">
      <c r="B15" s="25"/>
      <c r="C15" s="26"/>
      <c r="D15" s="26"/>
      <c r="E15" s="26"/>
      <c r="F15" s="26"/>
      <c r="G15" s="26"/>
      <c r="H15" s="26"/>
      <c r="I15" s="26"/>
      <c r="J15" s="26"/>
      <c r="K15" s="26"/>
      <c r="L15" s="26"/>
      <c r="M15" s="26"/>
      <c r="N15" s="28"/>
    </row>
  </sheetData>
  <sheetProtection selectLockedCells="1" selectUnlockedCells="1"/>
  <mergeCells count="3">
    <mergeCell ref="C12:M12"/>
    <mergeCell ref="C13:M13"/>
    <mergeCell ref="C14:M14"/>
  </mergeCells>
  <pageMargins left="0.7" right="0.7" top="0.75" bottom="0.75" header="0.3" footer="0.3"/>
  <pageSetup scale="71" fitToHeight="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dimension ref="A1:N1029"/>
  <sheetViews>
    <sheetView showGridLines="0" showRowColHeaders="0" zoomScaleNormal="100" workbookViewId="0">
      <selection activeCell="O10" sqref="O10"/>
    </sheetView>
  </sheetViews>
  <sheetFormatPr baseColWidth="10" defaultColWidth="9.1640625" defaultRowHeight="15" x14ac:dyDescent="0.2"/>
  <cols>
    <col min="1" max="1" width="9.1640625" style="12"/>
    <col min="2" max="3" width="9.1640625" style="12" customWidth="1"/>
    <col min="4" max="4" width="9.1640625" style="12"/>
    <col min="5" max="5" width="9.1640625" style="12" customWidth="1"/>
    <col min="6" max="9" width="9.1640625" style="12"/>
    <col min="10" max="10" width="25.6640625" style="12" customWidth="1"/>
    <col min="11" max="13" width="9.1640625" style="12"/>
    <col min="14" max="14" width="9.1640625" style="12" hidden="1" customWidth="1"/>
    <col min="15" max="16384" width="9.1640625" style="12"/>
  </cols>
  <sheetData>
    <row r="1" spans="2:13" x14ac:dyDescent="0.2">
      <c r="I1" s="29"/>
    </row>
    <row r="2" spans="2:13" ht="33" x14ac:dyDescent="0.2">
      <c r="G2" s="16" t="s">
        <v>1038</v>
      </c>
      <c r="I2" s="29"/>
    </row>
    <row r="3" spans="2:13" ht="23" x14ac:dyDescent="0.25">
      <c r="G3" s="30" t="s">
        <v>20</v>
      </c>
      <c r="I3" s="29"/>
      <c r="L3" s="157"/>
      <c r="M3" s="157"/>
    </row>
    <row r="4" spans="2:13" x14ac:dyDescent="0.2">
      <c r="G4" s="98"/>
      <c r="I4" s="29"/>
      <c r="L4" s="158"/>
      <c r="M4" s="157"/>
    </row>
    <row r="5" spans="2:13" ht="45" customHeight="1" x14ac:dyDescent="0.2">
      <c r="B5" s="426" t="s">
        <v>671</v>
      </c>
      <c r="C5" s="427"/>
      <c r="D5" s="427"/>
      <c r="E5" s="427"/>
      <c r="F5" s="427"/>
      <c r="G5" s="427"/>
      <c r="H5" s="427"/>
      <c r="I5" s="427"/>
      <c r="J5" s="427"/>
      <c r="K5" s="427"/>
      <c r="L5" s="158"/>
      <c r="M5" s="157"/>
    </row>
    <row r="6" spans="2:13" x14ac:dyDescent="0.2">
      <c r="B6" s="426"/>
      <c r="C6" s="426"/>
      <c r="D6" s="426"/>
      <c r="E6" s="426"/>
      <c r="F6" s="426"/>
      <c r="G6" s="426"/>
      <c r="H6" s="426"/>
      <c r="I6" s="426"/>
      <c r="J6" s="426"/>
      <c r="K6" s="426"/>
      <c r="L6" s="158"/>
    </row>
    <row r="7" spans="2:13" ht="60" customHeight="1" x14ac:dyDescent="0.2">
      <c r="B7" s="425" t="s">
        <v>664</v>
      </c>
      <c r="C7" s="341"/>
      <c r="D7" s="341"/>
      <c r="E7" s="341"/>
      <c r="F7" s="341"/>
      <c r="G7" s="341"/>
      <c r="H7" s="341"/>
      <c r="I7" s="341"/>
      <c r="J7" s="341"/>
      <c r="K7" s="341"/>
    </row>
    <row r="8" spans="2:13" x14ac:dyDescent="0.2">
      <c r="B8" s="426"/>
      <c r="C8" s="426"/>
      <c r="D8" s="426"/>
      <c r="E8" s="426"/>
      <c r="F8" s="426"/>
      <c r="G8" s="426"/>
      <c r="H8" s="426"/>
      <c r="I8" s="426"/>
      <c r="J8" s="426"/>
      <c r="K8" s="426"/>
    </row>
    <row r="9" spans="2:13" ht="30" customHeight="1" x14ac:dyDescent="0.2">
      <c r="B9" s="445" t="s">
        <v>665</v>
      </c>
      <c r="C9" s="446"/>
      <c r="D9" s="446"/>
      <c r="E9" s="446"/>
      <c r="F9" s="446"/>
      <c r="G9" s="446"/>
      <c r="H9" s="446"/>
      <c r="I9" s="446"/>
      <c r="J9" s="446"/>
      <c r="K9" s="446"/>
    </row>
    <row r="10" spans="2:13" ht="150" customHeight="1" x14ac:dyDescent="0.2">
      <c r="B10" s="447" t="s">
        <v>1332</v>
      </c>
      <c r="C10" s="448"/>
      <c r="D10" s="448"/>
      <c r="E10" s="448"/>
      <c r="F10" s="448"/>
      <c r="G10" s="448"/>
      <c r="H10" s="448"/>
      <c r="I10" s="448"/>
      <c r="J10" s="448"/>
      <c r="K10" s="449"/>
    </row>
    <row r="11" spans="2:13" ht="16" thickBot="1" x14ac:dyDescent="0.25"/>
    <row r="12" spans="2:13" x14ac:dyDescent="0.2">
      <c r="B12" s="159"/>
      <c r="C12" s="160"/>
      <c r="D12" s="160"/>
      <c r="E12" s="160"/>
      <c r="F12" s="160"/>
      <c r="G12" s="160"/>
      <c r="H12" s="160"/>
      <c r="I12" s="160"/>
      <c r="J12" s="160"/>
      <c r="K12" s="161"/>
    </row>
    <row r="13" spans="2:13" ht="21" x14ac:dyDescent="0.25">
      <c r="B13" s="162"/>
      <c r="C13" s="163"/>
      <c r="D13" s="163"/>
      <c r="E13" s="163"/>
      <c r="F13" s="163"/>
      <c r="G13" s="164" t="s">
        <v>226</v>
      </c>
      <c r="H13" s="163"/>
      <c r="I13" s="163"/>
      <c r="J13" s="163"/>
      <c r="K13" s="165"/>
    </row>
    <row r="14" spans="2:13" ht="21" x14ac:dyDescent="0.25">
      <c r="B14" s="162"/>
      <c r="C14" s="163"/>
      <c r="D14" s="163"/>
      <c r="E14" s="163"/>
      <c r="F14" s="163"/>
      <c r="G14" s="164"/>
      <c r="H14" s="163"/>
      <c r="I14" s="163"/>
      <c r="J14" s="163"/>
      <c r="K14" s="165"/>
    </row>
    <row r="15" spans="2:13" ht="26.25" customHeight="1" x14ac:dyDescent="0.2">
      <c r="B15" s="162"/>
      <c r="C15" s="163" t="s">
        <v>255</v>
      </c>
      <c r="D15" s="163"/>
      <c r="E15" s="412" t="s">
        <v>242</v>
      </c>
      <c r="F15" s="437"/>
      <c r="G15" s="437"/>
      <c r="H15" s="437"/>
      <c r="I15" s="437"/>
      <c r="J15" s="438"/>
      <c r="K15" s="165"/>
    </row>
    <row r="16" spans="2:13" x14ac:dyDescent="0.2">
      <c r="B16" s="162"/>
      <c r="C16" s="163"/>
      <c r="D16" s="163"/>
      <c r="E16" s="163"/>
      <c r="F16" s="163"/>
      <c r="G16" s="163"/>
      <c r="H16" s="163"/>
      <c r="I16" s="163"/>
      <c r="J16" s="163"/>
      <c r="K16" s="165"/>
    </row>
    <row r="17" spans="2:14" x14ac:dyDescent="0.2">
      <c r="B17" s="162"/>
      <c r="C17" s="166" t="s">
        <v>256</v>
      </c>
      <c r="D17" s="163"/>
      <c r="E17" s="167">
        <f>IF(E15=$C$966,$A$966,IF(E15=$C$967,$A$967,IF(E15=$C$968,$A$968,IF(E15=$C$969,$A$969,IF(E15=$C$970,$A$970,"Not Calculated")))))</f>
        <v>2</v>
      </c>
      <c r="F17" s="163"/>
      <c r="G17" s="163"/>
      <c r="H17" s="163"/>
      <c r="I17" s="163"/>
      <c r="J17" s="163"/>
      <c r="K17" s="165"/>
    </row>
    <row r="18" spans="2:14" x14ac:dyDescent="0.2">
      <c r="B18" s="162"/>
      <c r="C18" s="163"/>
      <c r="D18" s="163"/>
      <c r="E18" s="167" t="str">
        <f>IF(E15=$C$966,$B$966,IF(E15=$C$967,$B$967,IF(E15=$C$968,$B$968,IF(E15=$C$969,$B$969,IF(E15=$C$970,$B$970,"Not Calculated")))))</f>
        <v>Occasional</v>
      </c>
      <c r="F18" s="163"/>
      <c r="G18" s="163"/>
      <c r="H18" s="163"/>
      <c r="I18" s="163"/>
      <c r="J18" s="163"/>
      <c r="K18" s="165"/>
    </row>
    <row r="19" spans="2:14" ht="16" thickBot="1" x14ac:dyDescent="0.25">
      <c r="B19" s="168"/>
      <c r="C19" s="169"/>
      <c r="D19" s="169"/>
      <c r="E19" s="169"/>
      <c r="F19" s="169"/>
      <c r="G19" s="169"/>
      <c r="H19" s="169"/>
      <c r="I19" s="169"/>
      <c r="J19" s="169"/>
      <c r="K19" s="170"/>
    </row>
    <row r="20" spans="2:14" ht="16" thickBot="1" x14ac:dyDescent="0.25"/>
    <row r="21" spans="2:14" x14ac:dyDescent="0.2">
      <c r="B21" s="33"/>
      <c r="C21" s="34"/>
      <c r="D21" s="34"/>
      <c r="E21" s="34"/>
      <c r="F21" s="34"/>
      <c r="G21" s="34"/>
      <c r="H21" s="34"/>
      <c r="I21" s="34"/>
      <c r="J21" s="34"/>
      <c r="K21" s="37"/>
    </row>
    <row r="22" spans="2:14" ht="21" x14ac:dyDescent="0.25">
      <c r="B22" s="38"/>
      <c r="C22" s="171"/>
      <c r="D22" s="40"/>
      <c r="E22" s="40"/>
      <c r="F22" s="40"/>
      <c r="G22" s="172" t="s">
        <v>26</v>
      </c>
      <c r="H22" s="40"/>
      <c r="I22" s="40"/>
      <c r="J22" s="40"/>
      <c r="K22" s="41"/>
    </row>
    <row r="23" spans="2:14" x14ac:dyDescent="0.2">
      <c r="B23" s="38"/>
      <c r="C23" s="40"/>
      <c r="D23" s="40"/>
      <c r="E23" s="40"/>
      <c r="F23" s="40"/>
      <c r="G23" s="40"/>
      <c r="H23" s="40"/>
      <c r="I23" s="40"/>
      <c r="J23" s="40"/>
      <c r="K23" s="41"/>
    </row>
    <row r="24" spans="2:14" ht="16" x14ac:dyDescent="0.2">
      <c r="B24" s="38"/>
      <c r="C24" s="45" t="s">
        <v>61</v>
      </c>
      <c r="D24" s="40"/>
      <c r="E24" s="40"/>
      <c r="F24" s="40"/>
      <c r="G24" s="40"/>
      <c r="H24" s="40"/>
      <c r="I24" s="40"/>
      <c r="J24" s="40"/>
      <c r="K24" s="41"/>
    </row>
    <row r="25" spans="2:14" x14ac:dyDescent="0.2">
      <c r="B25" s="38"/>
      <c r="C25" s="40" t="s">
        <v>434</v>
      </c>
      <c r="D25" s="40"/>
      <c r="E25" s="40"/>
      <c r="F25" s="40"/>
      <c r="G25" s="40"/>
      <c r="H25" s="40"/>
      <c r="I25" s="40"/>
      <c r="J25" s="252">
        <f>'Baseline Health'!G11</f>
        <v>0</v>
      </c>
      <c r="K25" s="41"/>
    </row>
    <row r="26" spans="2:14" x14ac:dyDescent="0.2">
      <c r="B26" s="38"/>
      <c r="C26" s="40" t="s">
        <v>288</v>
      </c>
      <c r="D26" s="40"/>
      <c r="E26" s="40"/>
      <c r="F26" s="40"/>
      <c r="G26" s="40"/>
      <c r="H26" s="40"/>
      <c r="I26" s="40"/>
      <c r="J26" s="264">
        <v>9</v>
      </c>
      <c r="K26" s="41"/>
    </row>
    <row r="27" spans="2:14" x14ac:dyDescent="0.2">
      <c r="B27" s="38"/>
      <c r="C27" s="40" t="s">
        <v>260</v>
      </c>
      <c r="D27" s="40"/>
      <c r="E27" s="40"/>
      <c r="F27" s="40"/>
      <c r="G27" s="40"/>
      <c r="H27" s="40"/>
      <c r="I27" s="40"/>
      <c r="J27" s="248" t="str">
        <f>IF(OR(J25=0,J25="Not Calculated")=TRUE,"Not Calculated",(IF(((J26+J25)/J25)&lt;=1,0,IF(((J26+J25)/J25)&lt;=1.05,1,IF(((J26+J25)/J25)&lt;=1.5, 2,IF(((J26+J25)/J25)&lt;=2,3,4))))))</f>
        <v>Not Calculated</v>
      </c>
      <c r="K27" s="41"/>
    </row>
    <row r="28" spans="2:14" ht="9.75" customHeight="1" x14ac:dyDescent="0.2">
      <c r="B28" s="38"/>
      <c r="C28" s="279" t="str">
        <f>"0:"</f>
        <v>0:</v>
      </c>
      <c r="D28" s="281" t="s">
        <v>918</v>
      </c>
      <c r="E28" s="40"/>
      <c r="F28" s="40"/>
      <c r="G28" s="40"/>
      <c r="H28" s="40"/>
      <c r="I28" s="40"/>
      <c r="J28" s="40"/>
      <c r="K28" s="41"/>
    </row>
    <row r="29" spans="2:14" ht="9.75" customHeight="1" x14ac:dyDescent="0.2">
      <c r="B29" s="38"/>
      <c r="C29" s="280" t="str">
        <f>"1:"</f>
        <v>1:</v>
      </c>
      <c r="D29" s="281" t="s">
        <v>919</v>
      </c>
      <c r="E29" s="40"/>
      <c r="F29" s="40"/>
      <c r="G29" s="40"/>
      <c r="H29" s="40"/>
      <c r="I29" s="40"/>
      <c r="J29" s="40"/>
      <c r="K29" s="41"/>
    </row>
    <row r="30" spans="2:14" ht="9.75" customHeight="1" x14ac:dyDescent="0.2">
      <c r="B30" s="38"/>
      <c r="C30" s="280" t="str">
        <f>"2:"</f>
        <v>2:</v>
      </c>
      <c r="D30" s="281" t="s">
        <v>920</v>
      </c>
      <c r="E30" s="40"/>
      <c r="F30" s="40"/>
      <c r="G30" s="40"/>
      <c r="H30" s="40"/>
      <c r="I30" s="40"/>
      <c r="J30" s="40"/>
      <c r="K30" s="41"/>
    </row>
    <row r="31" spans="2:14" ht="9.75" customHeight="1" x14ac:dyDescent="0.2">
      <c r="B31" s="38"/>
      <c r="C31" s="280" t="str">
        <f>"3:"</f>
        <v>3:</v>
      </c>
      <c r="D31" s="281" t="s">
        <v>921</v>
      </c>
      <c r="E31" s="40"/>
      <c r="F31" s="40"/>
      <c r="G31" s="40"/>
      <c r="H31" s="40"/>
      <c r="I31" s="40"/>
      <c r="J31" s="40"/>
      <c r="K31" s="41"/>
    </row>
    <row r="32" spans="2:14" ht="9.75" customHeight="1" x14ac:dyDescent="0.2">
      <c r="B32" s="38"/>
      <c r="C32" s="280" t="str">
        <f>"4:"</f>
        <v>4:</v>
      </c>
      <c r="D32" s="281" t="s">
        <v>922</v>
      </c>
      <c r="E32" s="40"/>
      <c r="F32" s="40"/>
      <c r="G32" s="40"/>
      <c r="H32" s="40"/>
      <c r="I32" s="40"/>
      <c r="J32" s="40"/>
      <c r="K32" s="41"/>
      <c r="N32" s="12" t="s">
        <v>661</v>
      </c>
    </row>
    <row r="33" spans="2:14" x14ac:dyDescent="0.2">
      <c r="B33" s="38"/>
      <c r="C33" s="174" t="s">
        <v>662</v>
      </c>
      <c r="D33" s="40"/>
      <c r="E33" s="40"/>
      <c r="F33" s="40"/>
      <c r="G33" s="40"/>
      <c r="H33" s="40"/>
      <c r="I33" s="40"/>
      <c r="J33" s="265" t="s">
        <v>661</v>
      </c>
      <c r="K33" s="41"/>
      <c r="N33" s="12" t="s">
        <v>894</v>
      </c>
    </row>
    <row r="34" spans="2:14" x14ac:dyDescent="0.2">
      <c r="B34" s="38"/>
      <c r="C34" s="174" t="s">
        <v>660</v>
      </c>
      <c r="D34" s="40"/>
      <c r="E34" s="40"/>
      <c r="F34" s="40"/>
      <c r="G34" s="40"/>
      <c r="H34" s="40"/>
      <c r="I34" s="40"/>
      <c r="J34" s="246" t="str">
        <f>IF(J33=N32,"N/A",IF(J33=N33,0,IF(J33=N34,1,IF(J33=N35,2,IF(J33=N36,3,IF(J33=N37,4,"N/A"))))))</f>
        <v>N/A</v>
      </c>
      <c r="K34" s="41"/>
      <c r="N34" s="12" t="s">
        <v>895</v>
      </c>
    </row>
    <row r="35" spans="2:14" x14ac:dyDescent="0.2">
      <c r="B35" s="38"/>
      <c r="C35" s="40" t="s">
        <v>257</v>
      </c>
      <c r="D35" s="40"/>
      <c r="E35" s="40"/>
      <c r="F35" s="40"/>
      <c r="G35" s="40"/>
      <c r="H35" s="40"/>
      <c r="I35" s="40"/>
      <c r="J35" s="266" t="s">
        <v>882</v>
      </c>
      <c r="K35" s="41"/>
      <c r="N35" s="12" t="s">
        <v>896</v>
      </c>
    </row>
    <row r="36" spans="2:14" x14ac:dyDescent="0.2">
      <c r="B36" s="38"/>
      <c r="C36" s="40" t="s">
        <v>261</v>
      </c>
      <c r="D36" s="40"/>
      <c r="E36" s="40"/>
      <c r="F36" s="40"/>
      <c r="G36" s="40"/>
      <c r="H36" s="40"/>
      <c r="I36" s="40"/>
      <c r="J36" s="245">
        <f>IF(J35=$B$973,$A$973,IF(J35=$B$974,$A$974,IF(J35=$B$975,$A$975,IF(J35=$B$976,$A$976,IF(J35=$B$977,$A$977,"Not Calculated")))))</f>
        <v>1</v>
      </c>
      <c r="K36" s="41"/>
      <c r="N36" s="12" t="s">
        <v>897</v>
      </c>
    </row>
    <row r="37" spans="2:14" x14ac:dyDescent="0.2">
      <c r="B37" s="38"/>
      <c r="C37" s="40" t="s">
        <v>893</v>
      </c>
      <c r="D37" s="40"/>
      <c r="E37" s="40"/>
      <c r="F37" s="40"/>
      <c r="G37" s="40"/>
      <c r="H37" s="40"/>
      <c r="I37" s="40"/>
      <c r="J37" s="175"/>
      <c r="K37" s="41"/>
      <c r="N37" s="12" t="s">
        <v>898</v>
      </c>
    </row>
    <row r="38" spans="2:14" s="178" customFormat="1" ht="30" customHeight="1" x14ac:dyDescent="0.2">
      <c r="B38" s="176"/>
      <c r="C38" s="415" t="s">
        <v>489</v>
      </c>
      <c r="D38" s="400"/>
      <c r="E38" s="400"/>
      <c r="F38" s="400"/>
      <c r="G38" s="400"/>
      <c r="H38" s="400"/>
      <c r="I38" s="400"/>
      <c r="J38" s="401"/>
      <c r="K38" s="177"/>
    </row>
    <row r="39" spans="2:14" x14ac:dyDescent="0.2">
      <c r="B39" s="38"/>
      <c r="C39" s="40"/>
      <c r="D39" s="40"/>
      <c r="E39" s="40"/>
      <c r="F39" s="40"/>
      <c r="G39" s="40"/>
      <c r="H39" s="40"/>
      <c r="I39" s="40"/>
      <c r="J39" s="40"/>
      <c r="K39" s="41"/>
    </row>
    <row r="40" spans="2:14" x14ac:dyDescent="0.2">
      <c r="B40" s="38"/>
      <c r="C40" s="179" t="s">
        <v>258</v>
      </c>
      <c r="D40" s="40"/>
      <c r="E40" s="40"/>
      <c r="F40" s="40"/>
      <c r="G40" s="40"/>
      <c r="H40" s="40"/>
      <c r="I40" s="40"/>
      <c r="J40" s="245" t="str">
        <f>IF(J34="N/A",IF(OR(J27="Not Calculated",J36="Not Calculated")=TRUE,"Not Calculated",AVERAGE(J27,J36)),AVERAGE(J34,J36))</f>
        <v>Not Calculated</v>
      </c>
      <c r="K40" s="41"/>
    </row>
    <row r="41" spans="2:14" x14ac:dyDescent="0.2">
      <c r="B41" s="38"/>
      <c r="C41" s="179"/>
      <c r="D41" s="40"/>
      <c r="E41" s="40"/>
      <c r="F41" s="40"/>
      <c r="G41" s="40"/>
      <c r="H41" s="40"/>
      <c r="I41" s="40"/>
      <c r="J41" s="245"/>
      <c r="K41" s="41"/>
    </row>
    <row r="42" spans="2:14" x14ac:dyDescent="0.2">
      <c r="B42" s="38"/>
      <c r="C42" s="40"/>
      <c r="D42" s="40"/>
      <c r="E42" s="40"/>
      <c r="F42" s="40"/>
      <c r="G42" s="40"/>
      <c r="H42" s="40"/>
      <c r="I42" s="40"/>
      <c r="J42" s="40"/>
      <c r="K42" s="41"/>
    </row>
    <row r="43" spans="2:14" ht="16" x14ac:dyDescent="0.2">
      <c r="B43" s="38"/>
      <c r="C43" s="45" t="s">
        <v>51</v>
      </c>
      <c r="D43" s="40"/>
      <c r="E43" s="40"/>
      <c r="F43" s="40"/>
      <c r="G43" s="40"/>
      <c r="H43" s="40"/>
      <c r="I43" s="40"/>
      <c r="J43" s="40"/>
      <c r="K43" s="41"/>
    </row>
    <row r="44" spans="2:14" x14ac:dyDescent="0.2">
      <c r="B44" s="38"/>
      <c r="C44" s="40" t="s">
        <v>435</v>
      </c>
      <c r="D44" s="40"/>
      <c r="E44" s="40"/>
      <c r="F44" s="40"/>
      <c r="G44" s="40"/>
      <c r="H44" s="40"/>
      <c r="I44" s="40"/>
      <c r="J44" s="252">
        <f>'Baseline Health'!G17</f>
        <v>0</v>
      </c>
      <c r="K44" s="41"/>
    </row>
    <row r="45" spans="2:14" x14ac:dyDescent="0.2">
      <c r="B45" s="38"/>
      <c r="C45" s="40" t="s">
        <v>287</v>
      </c>
      <c r="D45" s="40"/>
      <c r="E45" s="40"/>
      <c r="F45" s="40"/>
      <c r="G45" s="40"/>
      <c r="H45" s="40"/>
      <c r="I45" s="40"/>
      <c r="J45" s="264">
        <v>511</v>
      </c>
      <c r="K45" s="41"/>
    </row>
    <row r="46" spans="2:14" x14ac:dyDescent="0.2">
      <c r="B46" s="38"/>
      <c r="C46" s="40" t="s">
        <v>260</v>
      </c>
      <c r="D46" s="40"/>
      <c r="E46" s="40"/>
      <c r="F46" s="40"/>
      <c r="G46" s="40"/>
      <c r="H46" s="40"/>
      <c r="I46" s="40"/>
      <c r="J46" s="248" t="str">
        <f>IF(OR(J44=0,J44="Not Calculated")=TRUE,"Not Calculated",(IF(((J45+J44)/J44)&lt;=1,0,IF(((J45+J44)/J44)&lt;=1.05,1,IF(((J45+J44)/J44)&lt;=1.5, 2,IF(((J45+J44)/J44)&lt;=2,3,4))))))</f>
        <v>Not Calculated</v>
      </c>
      <c r="K46" s="41"/>
    </row>
    <row r="47" spans="2:14" ht="9.75" customHeight="1" x14ac:dyDescent="0.2">
      <c r="B47" s="38"/>
      <c r="C47" s="279" t="str">
        <f>"0:"</f>
        <v>0:</v>
      </c>
      <c r="D47" s="281" t="s">
        <v>918</v>
      </c>
      <c r="E47" s="40"/>
      <c r="F47" s="40"/>
      <c r="G47" s="40"/>
      <c r="H47" s="40"/>
      <c r="I47" s="40"/>
      <c r="J47" s="40"/>
      <c r="K47" s="41"/>
    </row>
    <row r="48" spans="2:14" ht="9.75" customHeight="1" x14ac:dyDescent="0.2">
      <c r="B48" s="38"/>
      <c r="C48" s="280" t="str">
        <f>"1:"</f>
        <v>1:</v>
      </c>
      <c r="D48" s="281" t="s">
        <v>919</v>
      </c>
      <c r="E48" s="40"/>
      <c r="F48" s="40"/>
      <c r="G48" s="40"/>
      <c r="H48" s="40"/>
      <c r="I48" s="40"/>
      <c r="J48" s="40"/>
      <c r="K48" s="41"/>
    </row>
    <row r="49" spans="2:14" ht="9.75" customHeight="1" x14ac:dyDescent="0.2">
      <c r="B49" s="38"/>
      <c r="C49" s="280" t="str">
        <f>"2:"</f>
        <v>2:</v>
      </c>
      <c r="D49" s="281" t="s">
        <v>920</v>
      </c>
      <c r="E49" s="40"/>
      <c r="F49" s="40"/>
      <c r="G49" s="40"/>
      <c r="H49" s="40"/>
      <c r="I49" s="40"/>
      <c r="J49" s="40"/>
      <c r="K49" s="41"/>
    </row>
    <row r="50" spans="2:14" ht="9.75" customHeight="1" x14ac:dyDescent="0.2">
      <c r="B50" s="38"/>
      <c r="C50" s="280" t="str">
        <f>"3:"</f>
        <v>3:</v>
      </c>
      <c r="D50" s="281" t="s">
        <v>921</v>
      </c>
      <c r="E50" s="40"/>
      <c r="F50" s="40"/>
      <c r="G50" s="40"/>
      <c r="H50" s="40"/>
      <c r="I50" s="40"/>
      <c r="J50" s="40"/>
      <c r="K50" s="41"/>
    </row>
    <row r="51" spans="2:14" ht="9.75" customHeight="1" x14ac:dyDescent="0.2">
      <c r="B51" s="38"/>
      <c r="C51" s="280" t="str">
        <f>"4:"</f>
        <v>4:</v>
      </c>
      <c r="D51" s="281" t="s">
        <v>922</v>
      </c>
      <c r="E51" s="40"/>
      <c r="F51" s="40"/>
      <c r="G51" s="40"/>
      <c r="H51" s="40"/>
      <c r="I51" s="40"/>
      <c r="J51" s="40"/>
      <c r="K51" s="41"/>
      <c r="N51" s="12" t="s">
        <v>661</v>
      </c>
    </row>
    <row r="52" spans="2:14" x14ac:dyDescent="0.2">
      <c r="B52" s="38"/>
      <c r="C52" s="174" t="s">
        <v>662</v>
      </c>
      <c r="D52" s="40"/>
      <c r="E52" s="40"/>
      <c r="F52" s="40"/>
      <c r="G52" s="40"/>
      <c r="H52" s="40"/>
      <c r="I52" s="40"/>
      <c r="J52" s="265" t="s">
        <v>661</v>
      </c>
      <c r="K52" s="41"/>
      <c r="N52" s="12" t="s">
        <v>894</v>
      </c>
    </row>
    <row r="53" spans="2:14" x14ac:dyDescent="0.2">
      <c r="B53" s="38"/>
      <c r="C53" s="174" t="s">
        <v>660</v>
      </c>
      <c r="D53" s="40"/>
      <c r="E53" s="40"/>
      <c r="F53" s="40"/>
      <c r="G53" s="40"/>
      <c r="H53" s="40"/>
      <c r="I53" s="40"/>
      <c r="J53" s="246" t="str">
        <f>IF(J52=N51,"N/A",IF(J52=N52,0,IF(J52=N53,1,IF(J52=N54,2,IF(J52=N55,3,IF(J52=N56,4,"N/A"))))))</f>
        <v>N/A</v>
      </c>
      <c r="K53" s="41"/>
      <c r="N53" s="12" t="s">
        <v>895</v>
      </c>
    </row>
    <row r="54" spans="2:14" x14ac:dyDescent="0.2">
      <c r="B54" s="38"/>
      <c r="C54" s="40" t="s">
        <v>257</v>
      </c>
      <c r="D54" s="40"/>
      <c r="E54" s="40"/>
      <c r="F54" s="40"/>
      <c r="G54" s="40"/>
      <c r="H54" s="40"/>
      <c r="I54" s="40"/>
      <c r="J54" s="266" t="s">
        <v>882</v>
      </c>
      <c r="K54" s="41"/>
      <c r="N54" s="12" t="s">
        <v>896</v>
      </c>
    </row>
    <row r="55" spans="2:14" x14ac:dyDescent="0.2">
      <c r="B55" s="38"/>
      <c r="C55" s="40" t="s">
        <v>261</v>
      </c>
      <c r="D55" s="40"/>
      <c r="E55" s="40"/>
      <c r="F55" s="40"/>
      <c r="G55" s="40"/>
      <c r="H55" s="40"/>
      <c r="I55" s="40"/>
      <c r="J55" s="245">
        <f>IF(J54=$B$973,$A$973,IF(J54=$B$974,$A$974,IF(J54=$B$975,$A$975,IF(J54=$B$976,$A$976,IF(J54=$B$977,$A$977,"Not Calculated")))))</f>
        <v>1</v>
      </c>
      <c r="K55" s="41"/>
      <c r="N55" s="12" t="s">
        <v>897</v>
      </c>
    </row>
    <row r="56" spans="2:14" x14ac:dyDescent="0.2">
      <c r="B56" s="38"/>
      <c r="C56" s="40" t="s">
        <v>893</v>
      </c>
      <c r="D56" s="40"/>
      <c r="E56" s="40"/>
      <c r="F56" s="40"/>
      <c r="G56" s="40"/>
      <c r="H56" s="40"/>
      <c r="I56" s="40"/>
      <c r="J56" s="175"/>
      <c r="K56" s="41"/>
      <c r="N56" s="12" t="s">
        <v>898</v>
      </c>
    </row>
    <row r="57" spans="2:14" s="178" customFormat="1" ht="30" customHeight="1" x14ac:dyDescent="0.2">
      <c r="B57" s="176"/>
      <c r="C57" s="415" t="s">
        <v>490</v>
      </c>
      <c r="D57" s="400"/>
      <c r="E57" s="400"/>
      <c r="F57" s="400"/>
      <c r="G57" s="400"/>
      <c r="H57" s="400"/>
      <c r="I57" s="400"/>
      <c r="J57" s="401"/>
      <c r="K57" s="177"/>
    </row>
    <row r="58" spans="2:14" x14ac:dyDescent="0.2">
      <c r="B58" s="38"/>
      <c r="C58" s="40"/>
      <c r="D58" s="40"/>
      <c r="E58" s="40"/>
      <c r="F58" s="40"/>
      <c r="G58" s="40"/>
      <c r="H58" s="40"/>
      <c r="I58" s="40"/>
      <c r="J58" s="40"/>
      <c r="K58" s="41"/>
    </row>
    <row r="59" spans="2:14" x14ac:dyDescent="0.2">
      <c r="B59" s="38"/>
      <c r="C59" s="179" t="s">
        <v>263</v>
      </c>
      <c r="D59" s="40"/>
      <c r="E59" s="40"/>
      <c r="F59" s="40"/>
      <c r="G59" s="40"/>
      <c r="H59" s="40"/>
      <c r="I59" s="40"/>
      <c r="J59" s="245" t="str">
        <f>IF(J53="N/A",IF(OR(J46="Not Calculated",J55="Not Calculated")=TRUE,"Not Calculated",AVERAGE(J46,J55)),AVERAGE(J53,J55))</f>
        <v>Not Calculated</v>
      </c>
      <c r="K59" s="41"/>
    </row>
    <row r="60" spans="2:14" x14ac:dyDescent="0.2">
      <c r="B60" s="38"/>
      <c r="C60" s="40"/>
      <c r="D60" s="40"/>
      <c r="E60" s="40"/>
      <c r="F60" s="40"/>
      <c r="G60" s="40"/>
      <c r="H60" s="40"/>
      <c r="I60" s="40"/>
      <c r="J60" s="40"/>
      <c r="K60" s="41"/>
    </row>
    <row r="61" spans="2:14" x14ac:dyDescent="0.2">
      <c r="B61" s="38"/>
      <c r="C61" s="40"/>
      <c r="D61" s="40"/>
      <c r="E61" s="40"/>
      <c r="F61" s="40"/>
      <c r="G61" s="40"/>
      <c r="H61" s="40"/>
      <c r="I61" s="40"/>
      <c r="J61" s="40"/>
      <c r="K61" s="41"/>
    </row>
    <row r="62" spans="2:14" ht="16" x14ac:dyDescent="0.2">
      <c r="B62" s="38"/>
      <c r="C62" s="45" t="s">
        <v>54</v>
      </c>
      <c r="D62" s="40"/>
      <c r="E62" s="40"/>
      <c r="F62" s="40"/>
      <c r="G62" s="40"/>
      <c r="H62" s="40"/>
      <c r="I62" s="40"/>
      <c r="J62" s="40"/>
      <c r="K62" s="41"/>
    </row>
    <row r="63" spans="2:14" x14ac:dyDescent="0.2">
      <c r="B63" s="38"/>
      <c r="C63" s="40" t="s">
        <v>436</v>
      </c>
      <c r="D63" s="40"/>
      <c r="E63" s="40"/>
      <c r="F63" s="40"/>
      <c r="G63" s="40"/>
      <c r="H63" s="40"/>
      <c r="I63" s="40"/>
      <c r="J63" s="252">
        <f>'Baseline Health'!G23</f>
        <v>0</v>
      </c>
      <c r="K63" s="41"/>
    </row>
    <row r="64" spans="2:14" x14ac:dyDescent="0.2">
      <c r="B64" s="38"/>
      <c r="C64" s="40" t="s">
        <v>289</v>
      </c>
      <c r="D64" s="40"/>
      <c r="E64" s="40"/>
      <c r="F64" s="40"/>
      <c r="G64" s="40"/>
      <c r="H64" s="40"/>
      <c r="I64" s="40"/>
      <c r="J64" s="264">
        <v>511</v>
      </c>
      <c r="K64" s="41"/>
    </row>
    <row r="65" spans="2:14" x14ac:dyDescent="0.2">
      <c r="B65" s="38"/>
      <c r="C65" s="40" t="s">
        <v>260</v>
      </c>
      <c r="D65" s="40"/>
      <c r="E65" s="40"/>
      <c r="F65" s="40"/>
      <c r="G65" s="40"/>
      <c r="H65" s="40"/>
      <c r="I65" s="40"/>
      <c r="J65" s="248" t="str">
        <f>IF(OR(J63=0,J63="Not Calculated")=TRUE,"Not Calculated",(IF(((J64+J63)/J63)&lt;=1,0,IF(((J64+J63)/J63)&lt;=1.05,1,IF(((J64+J63)/J63)&lt;=1.5, 2,IF(((J64+J63)/J63)&lt;=2,3,4))))))</f>
        <v>Not Calculated</v>
      </c>
      <c r="K65" s="41"/>
    </row>
    <row r="66" spans="2:14" ht="9.75" customHeight="1" x14ac:dyDescent="0.2">
      <c r="B66" s="38"/>
      <c r="C66" s="279" t="str">
        <f>"0:"</f>
        <v>0:</v>
      </c>
      <c r="D66" s="281" t="s">
        <v>918</v>
      </c>
      <c r="E66" s="40"/>
      <c r="F66" s="40"/>
      <c r="G66" s="40"/>
      <c r="H66" s="40"/>
      <c r="I66" s="40"/>
      <c r="J66" s="40"/>
      <c r="K66" s="41"/>
    </row>
    <row r="67" spans="2:14" ht="9.75" customHeight="1" x14ac:dyDescent="0.2">
      <c r="B67" s="38"/>
      <c r="C67" s="280" t="str">
        <f>"1:"</f>
        <v>1:</v>
      </c>
      <c r="D67" s="281" t="s">
        <v>919</v>
      </c>
      <c r="E67" s="40"/>
      <c r="F67" s="40"/>
      <c r="G67" s="40"/>
      <c r="H67" s="40"/>
      <c r="I67" s="40"/>
      <c r="J67" s="40"/>
      <c r="K67" s="41"/>
    </row>
    <row r="68" spans="2:14" ht="9.75" customHeight="1" x14ac:dyDescent="0.2">
      <c r="B68" s="38"/>
      <c r="C68" s="280" t="str">
        <f>"2:"</f>
        <v>2:</v>
      </c>
      <c r="D68" s="281" t="s">
        <v>920</v>
      </c>
      <c r="E68" s="40"/>
      <c r="F68" s="40"/>
      <c r="G68" s="40"/>
      <c r="H68" s="40"/>
      <c r="I68" s="40"/>
      <c r="J68" s="40"/>
      <c r="K68" s="41"/>
    </row>
    <row r="69" spans="2:14" ht="9.75" customHeight="1" x14ac:dyDescent="0.2">
      <c r="B69" s="38"/>
      <c r="C69" s="280" t="str">
        <f>"3:"</f>
        <v>3:</v>
      </c>
      <c r="D69" s="281" t="s">
        <v>921</v>
      </c>
      <c r="E69" s="40"/>
      <c r="F69" s="40"/>
      <c r="G69" s="40"/>
      <c r="H69" s="40"/>
      <c r="I69" s="40"/>
      <c r="J69" s="40"/>
      <c r="K69" s="41"/>
    </row>
    <row r="70" spans="2:14" ht="9.75" customHeight="1" x14ac:dyDescent="0.2">
      <c r="B70" s="38"/>
      <c r="C70" s="280" t="str">
        <f>"4:"</f>
        <v>4:</v>
      </c>
      <c r="D70" s="281" t="s">
        <v>922</v>
      </c>
      <c r="E70" s="40"/>
      <c r="F70" s="40"/>
      <c r="G70" s="40"/>
      <c r="H70" s="40"/>
      <c r="I70" s="40"/>
      <c r="J70" s="40"/>
      <c r="K70" s="41"/>
      <c r="N70" s="12" t="s">
        <v>661</v>
      </c>
    </row>
    <row r="71" spans="2:14" x14ac:dyDescent="0.2">
      <c r="B71" s="38"/>
      <c r="C71" s="174" t="s">
        <v>662</v>
      </c>
      <c r="D71" s="40"/>
      <c r="E71" s="40"/>
      <c r="F71" s="40"/>
      <c r="G71" s="40"/>
      <c r="H71" s="40"/>
      <c r="I71" s="40"/>
      <c r="J71" s="265" t="s">
        <v>661</v>
      </c>
      <c r="K71" s="41"/>
      <c r="N71" s="12" t="s">
        <v>894</v>
      </c>
    </row>
    <row r="72" spans="2:14" x14ac:dyDescent="0.2">
      <c r="B72" s="38"/>
      <c r="C72" s="174" t="s">
        <v>660</v>
      </c>
      <c r="D72" s="40"/>
      <c r="E72" s="40"/>
      <c r="F72" s="40"/>
      <c r="G72" s="40"/>
      <c r="H72" s="40"/>
      <c r="I72" s="40"/>
      <c r="J72" s="246" t="str">
        <f>IF(J71=N70,"N/A",IF(J71=N71,0,IF(J71=N72,1,IF(J71=N73,2,IF(J71=N74,3,IF(J71=N75,4,"N/A"))))))</f>
        <v>N/A</v>
      </c>
      <c r="K72" s="41"/>
      <c r="N72" s="12" t="s">
        <v>895</v>
      </c>
    </row>
    <row r="73" spans="2:14" x14ac:dyDescent="0.2">
      <c r="B73" s="38"/>
      <c r="C73" s="40" t="s">
        <v>257</v>
      </c>
      <c r="D73" s="40"/>
      <c r="E73" s="40"/>
      <c r="F73" s="40"/>
      <c r="G73" s="40"/>
      <c r="H73" s="40"/>
      <c r="I73" s="40"/>
      <c r="J73" s="266" t="s">
        <v>882</v>
      </c>
      <c r="K73" s="41"/>
      <c r="N73" s="12" t="s">
        <v>896</v>
      </c>
    </row>
    <row r="74" spans="2:14" x14ac:dyDescent="0.2">
      <c r="B74" s="38"/>
      <c r="C74" s="40" t="s">
        <v>261</v>
      </c>
      <c r="D74" s="40"/>
      <c r="E74" s="40"/>
      <c r="F74" s="40"/>
      <c r="G74" s="40"/>
      <c r="H74" s="40"/>
      <c r="I74" s="40"/>
      <c r="J74" s="245">
        <f>IF(J73=$B$973,$A$973,IF(J73=$B$974,$A$974,IF(J73=$B$975,$A$975,IF(J73=$B$976,$A$976,IF(J73=$B$977,$A$977,"Not Calculated")))))</f>
        <v>1</v>
      </c>
      <c r="K74" s="41"/>
      <c r="N74" s="12" t="s">
        <v>897</v>
      </c>
    </row>
    <row r="75" spans="2:14" x14ac:dyDescent="0.2">
      <c r="B75" s="38"/>
      <c r="C75" s="40" t="s">
        <v>893</v>
      </c>
      <c r="D75" s="40"/>
      <c r="E75" s="40"/>
      <c r="F75" s="40"/>
      <c r="G75" s="40"/>
      <c r="H75" s="40"/>
      <c r="I75" s="40"/>
      <c r="J75" s="175"/>
      <c r="K75" s="41"/>
      <c r="N75" s="12" t="s">
        <v>898</v>
      </c>
    </row>
    <row r="76" spans="2:14" s="178" customFormat="1" ht="30" customHeight="1" x14ac:dyDescent="0.2">
      <c r="B76" s="176"/>
      <c r="C76" s="415" t="s">
        <v>491</v>
      </c>
      <c r="D76" s="400"/>
      <c r="E76" s="400"/>
      <c r="F76" s="400"/>
      <c r="G76" s="400"/>
      <c r="H76" s="400"/>
      <c r="I76" s="400"/>
      <c r="J76" s="401"/>
      <c r="K76" s="177"/>
    </row>
    <row r="77" spans="2:14" x14ac:dyDescent="0.2">
      <c r="B77" s="38"/>
      <c r="C77" s="40"/>
      <c r="D77" s="40"/>
      <c r="E77" s="40"/>
      <c r="F77" s="40"/>
      <c r="G77" s="40"/>
      <c r="H77" s="40"/>
      <c r="I77" s="40"/>
      <c r="J77" s="40"/>
      <c r="K77" s="41"/>
    </row>
    <row r="78" spans="2:14" x14ac:dyDescent="0.2">
      <c r="B78" s="38"/>
      <c r="C78" s="179" t="s">
        <v>264</v>
      </c>
      <c r="D78" s="40"/>
      <c r="E78" s="40"/>
      <c r="F78" s="40"/>
      <c r="G78" s="40"/>
      <c r="H78" s="40"/>
      <c r="I78" s="40"/>
      <c r="J78" s="245" t="str">
        <f>IF(J72="N/A",IF(OR(J65="Not Calculated",J74="Not Calculated")=TRUE,"Not Calculated",AVERAGE(J65,J74)),AVERAGE(J72,J74))</f>
        <v>Not Calculated</v>
      </c>
      <c r="K78" s="41"/>
    </row>
    <row r="79" spans="2:14" x14ac:dyDescent="0.2">
      <c r="B79" s="38"/>
      <c r="C79" s="40"/>
      <c r="D79" s="40"/>
      <c r="E79" s="40"/>
      <c r="F79" s="40"/>
      <c r="G79" s="40"/>
      <c r="H79" s="40"/>
      <c r="I79" s="40"/>
      <c r="J79" s="40"/>
      <c r="K79" s="41"/>
    </row>
    <row r="80" spans="2:14" x14ac:dyDescent="0.2">
      <c r="B80" s="38"/>
      <c r="C80" s="40"/>
      <c r="D80" s="40"/>
      <c r="E80" s="40"/>
      <c r="F80" s="40"/>
      <c r="G80" s="40"/>
      <c r="H80" s="40"/>
      <c r="I80" s="40"/>
      <c r="J80" s="40"/>
      <c r="K80" s="41"/>
    </row>
    <row r="81" spans="2:14" ht="16" x14ac:dyDescent="0.2">
      <c r="B81" s="38"/>
      <c r="C81" s="45" t="s">
        <v>57</v>
      </c>
      <c r="D81" s="40"/>
      <c r="E81" s="40"/>
      <c r="F81" s="40"/>
      <c r="G81" s="40"/>
      <c r="H81" s="40"/>
      <c r="I81" s="40"/>
      <c r="J81" s="40"/>
      <c r="K81" s="41"/>
    </row>
    <row r="82" spans="2:14" x14ac:dyDescent="0.2">
      <c r="B82" s="38"/>
      <c r="C82" s="40" t="s">
        <v>437</v>
      </c>
      <c r="D82" s="40"/>
      <c r="E82" s="40"/>
      <c r="F82" s="40"/>
      <c r="G82" s="40"/>
      <c r="H82" s="40"/>
      <c r="I82" s="40"/>
      <c r="J82" s="252">
        <f>'Baseline Health'!G29</f>
        <v>0</v>
      </c>
      <c r="K82" s="41"/>
    </row>
    <row r="83" spans="2:14" x14ac:dyDescent="0.2">
      <c r="B83" s="38"/>
      <c r="C83" s="40" t="s">
        <v>290</v>
      </c>
      <c r="D83" s="40"/>
      <c r="E83" s="40"/>
      <c r="F83" s="40"/>
      <c r="G83" s="40"/>
      <c r="H83" s="40"/>
      <c r="I83" s="40"/>
      <c r="J83" s="264">
        <v>18</v>
      </c>
      <c r="K83" s="41"/>
    </row>
    <row r="84" spans="2:14" x14ac:dyDescent="0.2">
      <c r="B84" s="38"/>
      <c r="C84" s="40" t="s">
        <v>260</v>
      </c>
      <c r="D84" s="40"/>
      <c r="E84" s="40"/>
      <c r="F84" s="40"/>
      <c r="G84" s="40"/>
      <c r="H84" s="40"/>
      <c r="I84" s="40"/>
      <c r="J84" s="248" t="str">
        <f>IF(OR(J82=0,J82="Not Calculated")=TRUE,"Not Calculated",(IF(((J83+J82)/J82)&lt;=1,0,IF(((J83+J82)/J82)&lt;=1.05,1,IF(((J83+J82)/J82)&lt;=1.5, 2,IF(((J83+J82)/J82)&lt;=2,3,4))))))</f>
        <v>Not Calculated</v>
      </c>
      <c r="K84" s="41"/>
    </row>
    <row r="85" spans="2:14" ht="9.75" customHeight="1" x14ac:dyDescent="0.2">
      <c r="B85" s="38"/>
      <c r="C85" s="279" t="str">
        <f>"0:"</f>
        <v>0:</v>
      </c>
      <c r="D85" s="281" t="s">
        <v>918</v>
      </c>
      <c r="E85" s="40"/>
      <c r="F85" s="40"/>
      <c r="G85" s="40"/>
      <c r="H85" s="40"/>
      <c r="I85" s="40"/>
      <c r="J85" s="40"/>
      <c r="K85" s="41"/>
    </row>
    <row r="86" spans="2:14" ht="9.75" customHeight="1" x14ac:dyDescent="0.2">
      <c r="B86" s="38"/>
      <c r="C86" s="280" t="str">
        <f>"1:"</f>
        <v>1:</v>
      </c>
      <c r="D86" s="281" t="s">
        <v>919</v>
      </c>
      <c r="E86" s="40"/>
      <c r="F86" s="40"/>
      <c r="G86" s="40"/>
      <c r="H86" s="40"/>
      <c r="I86" s="40"/>
      <c r="J86" s="40"/>
      <c r="K86" s="41"/>
    </row>
    <row r="87" spans="2:14" ht="9.75" customHeight="1" x14ac:dyDescent="0.2">
      <c r="B87" s="38"/>
      <c r="C87" s="280" t="str">
        <f>"2:"</f>
        <v>2:</v>
      </c>
      <c r="D87" s="281" t="s">
        <v>920</v>
      </c>
      <c r="E87" s="40"/>
      <c r="F87" s="40"/>
      <c r="G87" s="40"/>
      <c r="H87" s="40"/>
      <c r="I87" s="40"/>
      <c r="J87" s="40"/>
      <c r="K87" s="41"/>
    </row>
    <row r="88" spans="2:14" ht="9.75" customHeight="1" x14ac:dyDescent="0.2">
      <c r="B88" s="38"/>
      <c r="C88" s="280" t="str">
        <f>"3:"</f>
        <v>3:</v>
      </c>
      <c r="D88" s="281" t="s">
        <v>921</v>
      </c>
      <c r="E88" s="40"/>
      <c r="F88" s="40"/>
      <c r="G88" s="40"/>
      <c r="H88" s="40"/>
      <c r="I88" s="40"/>
      <c r="J88" s="40"/>
      <c r="K88" s="41"/>
    </row>
    <row r="89" spans="2:14" ht="9.75" customHeight="1" x14ac:dyDescent="0.2">
      <c r="B89" s="38"/>
      <c r="C89" s="280" t="str">
        <f>"4:"</f>
        <v>4:</v>
      </c>
      <c r="D89" s="281" t="s">
        <v>922</v>
      </c>
      <c r="E89" s="40"/>
      <c r="F89" s="40"/>
      <c r="G89" s="40"/>
      <c r="H89" s="40"/>
      <c r="I89" s="40"/>
      <c r="J89" s="40"/>
      <c r="K89" s="41"/>
      <c r="N89" s="12" t="s">
        <v>661</v>
      </c>
    </row>
    <row r="90" spans="2:14" x14ac:dyDescent="0.2">
      <c r="B90" s="38"/>
      <c r="C90" s="174" t="s">
        <v>662</v>
      </c>
      <c r="D90" s="40"/>
      <c r="E90" s="40"/>
      <c r="F90" s="40"/>
      <c r="G90" s="40"/>
      <c r="H90" s="40"/>
      <c r="I90" s="40"/>
      <c r="J90" s="265" t="s">
        <v>661</v>
      </c>
      <c r="K90" s="41"/>
      <c r="N90" s="12" t="s">
        <v>894</v>
      </c>
    </row>
    <row r="91" spans="2:14" x14ac:dyDescent="0.2">
      <c r="B91" s="38"/>
      <c r="C91" s="174" t="s">
        <v>660</v>
      </c>
      <c r="D91" s="40"/>
      <c r="E91" s="40"/>
      <c r="F91" s="40"/>
      <c r="G91" s="40"/>
      <c r="H91" s="40"/>
      <c r="I91" s="40"/>
      <c r="J91" s="246" t="str">
        <f>IF(J90=N89,"N/A",IF(J90=N90,0,IF(J90=N91,1,IF(J90=N92,2,IF(J90=N93,3,IF(J90=N94,4,"N/A"))))))</f>
        <v>N/A</v>
      </c>
      <c r="K91" s="41"/>
      <c r="N91" s="12" t="s">
        <v>895</v>
      </c>
    </row>
    <row r="92" spans="2:14" x14ac:dyDescent="0.2">
      <c r="B92" s="38"/>
      <c r="C92" s="40" t="s">
        <v>257</v>
      </c>
      <c r="D92" s="40"/>
      <c r="E92" s="40"/>
      <c r="F92" s="40"/>
      <c r="G92" s="40"/>
      <c r="H92" s="40"/>
      <c r="I92" s="40"/>
      <c r="J92" s="266" t="s">
        <v>882</v>
      </c>
      <c r="K92" s="41"/>
      <c r="N92" s="12" t="s">
        <v>896</v>
      </c>
    </row>
    <row r="93" spans="2:14" x14ac:dyDescent="0.2">
      <c r="B93" s="38"/>
      <c r="C93" s="40" t="s">
        <v>261</v>
      </c>
      <c r="D93" s="40"/>
      <c r="E93" s="40"/>
      <c r="F93" s="40"/>
      <c r="G93" s="40"/>
      <c r="H93" s="40"/>
      <c r="I93" s="40"/>
      <c r="J93" s="245">
        <f>IF(J92=$B$973,$A$973,IF(J92=$B$974,$A$974,IF(J92=$B$975,$A$975,IF(J92=$B$976,$A$976,IF(J92=$B$977,$A$977,"Not Calculated")))))</f>
        <v>1</v>
      </c>
      <c r="K93" s="41"/>
      <c r="N93" s="12" t="s">
        <v>897</v>
      </c>
    </row>
    <row r="94" spans="2:14" x14ac:dyDescent="0.2">
      <c r="B94" s="38"/>
      <c r="C94" s="40" t="s">
        <v>893</v>
      </c>
      <c r="D94" s="40"/>
      <c r="E94" s="40"/>
      <c r="F94" s="40"/>
      <c r="G94" s="40"/>
      <c r="H94" s="40"/>
      <c r="I94" s="40"/>
      <c r="J94" s="175"/>
      <c r="K94" s="41"/>
      <c r="N94" s="12" t="s">
        <v>898</v>
      </c>
    </row>
    <row r="95" spans="2:14" s="178" customFormat="1" ht="30" customHeight="1" x14ac:dyDescent="0.2">
      <c r="B95" s="176"/>
      <c r="C95" s="415" t="s">
        <v>492</v>
      </c>
      <c r="D95" s="400"/>
      <c r="E95" s="400"/>
      <c r="F95" s="400"/>
      <c r="G95" s="400"/>
      <c r="H95" s="400"/>
      <c r="I95" s="400"/>
      <c r="J95" s="401"/>
      <c r="K95" s="177"/>
    </row>
    <row r="96" spans="2:14" x14ac:dyDescent="0.2">
      <c r="B96" s="38"/>
      <c r="C96" s="40"/>
      <c r="D96" s="40"/>
      <c r="E96" s="40"/>
      <c r="F96" s="40"/>
      <c r="G96" s="40"/>
      <c r="H96" s="40"/>
      <c r="I96" s="40"/>
      <c r="J96" s="40"/>
      <c r="K96" s="41"/>
    </row>
    <row r="97" spans="2:14" x14ac:dyDescent="0.2">
      <c r="B97" s="38"/>
      <c r="C97" s="179" t="s">
        <v>265</v>
      </c>
      <c r="D97" s="40"/>
      <c r="E97" s="40"/>
      <c r="F97" s="40"/>
      <c r="G97" s="40"/>
      <c r="H97" s="40"/>
      <c r="I97" s="40"/>
      <c r="J97" s="245" t="str">
        <f>IF(J91="N/A",IF(OR(J84="Not Calculated",J93="Not Calculated")=TRUE,"Not Calculated",AVERAGE(J84,J93)),AVERAGE(J91,J93))</f>
        <v>Not Calculated</v>
      </c>
      <c r="K97" s="41"/>
    </row>
    <row r="98" spans="2:14" x14ac:dyDescent="0.2">
      <c r="B98" s="38"/>
      <c r="C98" s="40"/>
      <c r="D98" s="40"/>
      <c r="E98" s="40"/>
      <c r="F98" s="40"/>
      <c r="G98" s="40"/>
      <c r="H98" s="40"/>
      <c r="I98" s="40"/>
      <c r="J98" s="40"/>
      <c r="K98" s="41"/>
    </row>
    <row r="99" spans="2:14" x14ac:dyDescent="0.2">
      <c r="B99" s="38"/>
      <c r="C99" s="40"/>
      <c r="D99" s="40"/>
      <c r="E99" s="40"/>
      <c r="F99" s="40"/>
      <c r="G99" s="40"/>
      <c r="H99" s="40"/>
      <c r="I99" s="40"/>
      <c r="J99" s="40"/>
      <c r="K99" s="41"/>
    </row>
    <row r="100" spans="2:14" ht="16" x14ac:dyDescent="0.2">
      <c r="B100" s="38"/>
      <c r="C100" s="45" t="s">
        <v>60</v>
      </c>
      <c r="D100" s="40"/>
      <c r="E100" s="40"/>
      <c r="F100" s="40"/>
      <c r="G100" s="40"/>
      <c r="H100" s="40"/>
      <c r="I100" s="40"/>
      <c r="J100" s="40"/>
      <c r="K100" s="41"/>
    </row>
    <row r="101" spans="2:14" x14ac:dyDescent="0.2">
      <c r="B101" s="38"/>
      <c r="C101" s="40" t="s">
        <v>438</v>
      </c>
      <c r="D101" s="40"/>
      <c r="E101" s="40"/>
      <c r="F101" s="40"/>
      <c r="G101" s="40"/>
      <c r="H101" s="40"/>
      <c r="I101" s="40"/>
      <c r="J101" s="252">
        <f>'Baseline Health'!G35</f>
        <v>0</v>
      </c>
      <c r="K101" s="41"/>
    </row>
    <row r="102" spans="2:14" x14ac:dyDescent="0.2">
      <c r="B102" s="38"/>
      <c r="C102" s="40" t="s">
        <v>291</v>
      </c>
      <c r="D102" s="40"/>
      <c r="E102" s="40"/>
      <c r="F102" s="40"/>
      <c r="G102" s="40"/>
      <c r="H102" s="40"/>
      <c r="I102" s="40"/>
      <c r="J102" s="264">
        <v>0</v>
      </c>
      <c r="K102" s="41"/>
    </row>
    <row r="103" spans="2:14" x14ac:dyDescent="0.2">
      <c r="B103" s="38"/>
      <c r="C103" s="40" t="s">
        <v>260</v>
      </c>
      <c r="D103" s="40"/>
      <c r="E103" s="40"/>
      <c r="F103" s="40"/>
      <c r="G103" s="40"/>
      <c r="H103" s="40"/>
      <c r="I103" s="40"/>
      <c r="J103" s="248" t="str">
        <f>IF(OR(J101=0,J101="Not Calculated")=TRUE,"Not Calculated",(IF(((J102+J101)/J101)&lt;=1,0,IF(((J102+J101)/J101)&lt;=1.05,1,IF(((J102+J101)/J101)&lt;=1.5, 2,IF(((J102+J101)/J101)&lt;=2,3,4))))))</f>
        <v>Not Calculated</v>
      </c>
      <c r="K103" s="41"/>
    </row>
    <row r="104" spans="2:14" ht="9.75" customHeight="1" x14ac:dyDescent="0.2">
      <c r="B104" s="38"/>
      <c r="C104" s="279" t="str">
        <f>"0:"</f>
        <v>0:</v>
      </c>
      <c r="D104" s="281" t="s">
        <v>918</v>
      </c>
      <c r="E104" s="40"/>
      <c r="F104" s="40"/>
      <c r="G104" s="40"/>
      <c r="H104" s="40"/>
      <c r="I104" s="40"/>
      <c r="J104" s="40"/>
      <c r="K104" s="41"/>
    </row>
    <row r="105" spans="2:14" ht="9.75" customHeight="1" x14ac:dyDescent="0.2">
      <c r="B105" s="38"/>
      <c r="C105" s="280" t="str">
        <f>"1:"</f>
        <v>1:</v>
      </c>
      <c r="D105" s="281" t="s">
        <v>919</v>
      </c>
      <c r="E105" s="40"/>
      <c r="F105" s="40"/>
      <c r="G105" s="40"/>
      <c r="H105" s="40"/>
      <c r="I105" s="40"/>
      <c r="J105" s="40"/>
      <c r="K105" s="41"/>
    </row>
    <row r="106" spans="2:14" ht="9.75" customHeight="1" x14ac:dyDescent="0.2">
      <c r="B106" s="38"/>
      <c r="C106" s="280" t="str">
        <f>"2:"</f>
        <v>2:</v>
      </c>
      <c r="D106" s="281" t="s">
        <v>920</v>
      </c>
      <c r="E106" s="40"/>
      <c r="F106" s="40"/>
      <c r="G106" s="40"/>
      <c r="H106" s="40"/>
      <c r="I106" s="40"/>
      <c r="J106" s="40"/>
      <c r="K106" s="41"/>
    </row>
    <row r="107" spans="2:14" ht="9.75" customHeight="1" x14ac:dyDescent="0.2">
      <c r="B107" s="38"/>
      <c r="C107" s="280" t="str">
        <f>"3:"</f>
        <v>3:</v>
      </c>
      <c r="D107" s="281" t="s">
        <v>921</v>
      </c>
      <c r="E107" s="40"/>
      <c r="F107" s="40"/>
      <c r="G107" s="40"/>
      <c r="H107" s="40"/>
      <c r="I107" s="40"/>
      <c r="J107" s="40"/>
      <c r="K107" s="41"/>
    </row>
    <row r="108" spans="2:14" ht="9.75" customHeight="1" x14ac:dyDescent="0.2">
      <c r="B108" s="38"/>
      <c r="C108" s="280" t="str">
        <f>"4:"</f>
        <v>4:</v>
      </c>
      <c r="D108" s="281" t="s">
        <v>922</v>
      </c>
      <c r="E108" s="40"/>
      <c r="F108" s="40"/>
      <c r="G108" s="40"/>
      <c r="H108" s="40"/>
      <c r="I108" s="40"/>
      <c r="J108" s="40"/>
      <c r="K108" s="41"/>
      <c r="N108" s="12" t="s">
        <v>661</v>
      </c>
    </row>
    <row r="109" spans="2:14" x14ac:dyDescent="0.2">
      <c r="B109" s="38"/>
      <c r="C109" s="174" t="s">
        <v>662</v>
      </c>
      <c r="D109" s="40"/>
      <c r="E109" s="40"/>
      <c r="F109" s="40"/>
      <c r="G109" s="40"/>
      <c r="H109" s="40"/>
      <c r="I109" s="40"/>
      <c r="J109" s="265" t="s">
        <v>661</v>
      </c>
      <c r="K109" s="41"/>
      <c r="N109" s="12" t="s">
        <v>894</v>
      </c>
    </row>
    <row r="110" spans="2:14" x14ac:dyDescent="0.2">
      <c r="B110" s="38"/>
      <c r="C110" s="174" t="s">
        <v>660</v>
      </c>
      <c r="D110" s="40"/>
      <c r="E110" s="40"/>
      <c r="F110" s="40"/>
      <c r="G110" s="40"/>
      <c r="H110" s="40"/>
      <c r="I110" s="40"/>
      <c r="J110" s="246" t="str">
        <f>IF(J109=N108,"N/A",IF(J109=N109,0,IF(J109=N110,1,IF(J109=N111,2,IF(J109=N112,3,IF(J109=N113,4,"N/A"))))))</f>
        <v>N/A</v>
      </c>
      <c r="K110" s="41"/>
      <c r="N110" s="12" t="s">
        <v>895</v>
      </c>
    </row>
    <row r="111" spans="2:14" x14ac:dyDescent="0.2">
      <c r="B111" s="38"/>
      <c r="C111" s="40" t="s">
        <v>257</v>
      </c>
      <c r="D111" s="40"/>
      <c r="E111" s="40"/>
      <c r="F111" s="40"/>
      <c r="G111" s="40"/>
      <c r="H111" s="40"/>
      <c r="I111" s="40"/>
      <c r="J111" s="266" t="s">
        <v>870</v>
      </c>
      <c r="K111" s="41"/>
      <c r="N111" s="12" t="s">
        <v>896</v>
      </c>
    </row>
    <row r="112" spans="2:14" x14ac:dyDescent="0.2">
      <c r="B112" s="38"/>
      <c r="C112" s="40" t="s">
        <v>261</v>
      </c>
      <c r="D112" s="40"/>
      <c r="E112" s="40"/>
      <c r="F112" s="40"/>
      <c r="G112" s="40"/>
      <c r="H112" s="40"/>
      <c r="I112" s="40"/>
      <c r="J112" s="245">
        <f>IF(J111=$B$973,$A$973,IF(J111=$B$974,$A$974,IF(J111=$B$975,$A$975,IF(J111=$B$976,$A$976,IF(J111=$B$977,$A$977,"Not Calculated")))))</f>
        <v>0</v>
      </c>
      <c r="K112" s="41"/>
      <c r="N112" s="12" t="s">
        <v>897</v>
      </c>
    </row>
    <row r="113" spans="2:14" x14ac:dyDescent="0.2">
      <c r="B113" s="38"/>
      <c r="C113" s="40" t="s">
        <v>893</v>
      </c>
      <c r="D113" s="40"/>
      <c r="E113" s="40"/>
      <c r="F113" s="40"/>
      <c r="G113" s="40"/>
      <c r="H113" s="40"/>
      <c r="I113" s="40"/>
      <c r="J113" s="175"/>
      <c r="K113" s="41"/>
      <c r="N113" s="12" t="s">
        <v>898</v>
      </c>
    </row>
    <row r="114" spans="2:14" s="178" customFormat="1" ht="30" customHeight="1" x14ac:dyDescent="0.2">
      <c r="B114" s="176"/>
      <c r="C114" s="415"/>
      <c r="D114" s="400"/>
      <c r="E114" s="400"/>
      <c r="F114" s="400"/>
      <c r="G114" s="400"/>
      <c r="H114" s="400"/>
      <c r="I114" s="400"/>
      <c r="J114" s="400"/>
      <c r="K114" s="177"/>
    </row>
    <row r="115" spans="2:14" x14ac:dyDescent="0.2">
      <c r="B115" s="38"/>
      <c r="C115" s="40"/>
      <c r="D115" s="40"/>
      <c r="E115" s="40"/>
      <c r="F115" s="40"/>
      <c r="G115" s="40"/>
      <c r="H115" s="40"/>
      <c r="I115" s="40"/>
      <c r="J115" s="40"/>
      <c r="K115" s="41"/>
    </row>
    <row r="116" spans="2:14" x14ac:dyDescent="0.2">
      <c r="B116" s="38"/>
      <c r="C116" s="179" t="s">
        <v>266</v>
      </c>
      <c r="D116" s="40"/>
      <c r="E116" s="40"/>
      <c r="F116" s="40"/>
      <c r="G116" s="40"/>
      <c r="H116" s="40"/>
      <c r="I116" s="40"/>
      <c r="J116" s="245" t="str">
        <f>IF(J110="N/A",IF(OR(J103="Not Calculated",J112="Not Calculated")=TRUE,"Not Calculated",AVERAGE(J103,J112)),AVERAGE(J110,J112))</f>
        <v>Not Calculated</v>
      </c>
      <c r="K116" s="41"/>
    </row>
    <row r="117" spans="2:14" x14ac:dyDescent="0.2">
      <c r="B117" s="38"/>
      <c r="C117" s="40"/>
      <c r="D117" s="40"/>
      <c r="E117" s="40"/>
      <c r="F117" s="40"/>
      <c r="G117" s="40"/>
      <c r="H117" s="40"/>
      <c r="I117" s="40"/>
      <c r="J117" s="40"/>
      <c r="K117" s="41"/>
    </row>
    <row r="118" spans="2:14" x14ac:dyDescent="0.2">
      <c r="B118" s="38"/>
      <c r="C118" s="40"/>
      <c r="D118" s="40"/>
      <c r="E118" s="40"/>
      <c r="F118" s="40"/>
      <c r="G118" s="40"/>
      <c r="H118" s="40"/>
      <c r="I118" s="40"/>
      <c r="J118" s="40"/>
      <c r="K118" s="41"/>
    </row>
    <row r="119" spans="2:14" ht="16" x14ac:dyDescent="0.2">
      <c r="B119" s="38"/>
      <c r="C119" s="45" t="s">
        <v>262</v>
      </c>
      <c r="D119" s="40"/>
      <c r="E119" s="40"/>
      <c r="F119" s="40"/>
      <c r="G119" s="40"/>
      <c r="H119" s="40"/>
      <c r="I119" s="40"/>
      <c r="J119" s="40"/>
      <c r="K119" s="41"/>
    </row>
    <row r="120" spans="2:14" ht="15" customHeight="1" x14ac:dyDescent="0.2">
      <c r="B120" s="38"/>
      <c r="C120" s="422" t="s">
        <v>268</v>
      </c>
      <c r="D120" s="422"/>
      <c r="E120" s="422"/>
      <c r="F120" s="422"/>
      <c r="G120" s="422"/>
      <c r="H120" s="422"/>
      <c r="I120" s="422"/>
      <c r="J120" s="422"/>
      <c r="K120" s="41"/>
    </row>
    <row r="121" spans="2:14" x14ac:dyDescent="0.2">
      <c r="B121" s="38"/>
      <c r="C121" s="422"/>
      <c r="D121" s="422"/>
      <c r="E121" s="422"/>
      <c r="F121" s="422"/>
      <c r="G121" s="422"/>
      <c r="H121" s="422"/>
      <c r="I121" s="422"/>
      <c r="J121" s="422"/>
      <c r="K121" s="41"/>
    </row>
    <row r="122" spans="2:14" x14ac:dyDescent="0.2">
      <c r="B122" s="38"/>
      <c r="C122" s="423"/>
      <c r="D122" s="423"/>
      <c r="E122" s="423"/>
      <c r="F122" s="423"/>
      <c r="G122" s="423"/>
      <c r="H122" s="423"/>
      <c r="I122" s="423"/>
      <c r="J122" s="423"/>
      <c r="K122" s="41"/>
    </row>
    <row r="123" spans="2:14" ht="15" customHeight="1" x14ac:dyDescent="0.2">
      <c r="B123" s="38"/>
      <c r="C123" s="416" t="s">
        <v>248</v>
      </c>
      <c r="D123" s="417"/>
      <c r="E123" s="417"/>
      <c r="F123" s="417"/>
      <c r="G123" s="417"/>
      <c r="H123" s="417"/>
      <c r="I123" s="417"/>
      <c r="J123" s="418"/>
      <c r="K123" s="41"/>
    </row>
    <row r="124" spans="2:14" x14ac:dyDescent="0.2">
      <c r="B124" s="38"/>
      <c r="C124" s="419"/>
      <c r="D124" s="420"/>
      <c r="E124" s="420"/>
      <c r="F124" s="420"/>
      <c r="G124" s="420"/>
      <c r="H124" s="420"/>
      <c r="I124" s="420"/>
      <c r="J124" s="421"/>
      <c r="K124" s="41"/>
    </row>
    <row r="125" spans="2:14" ht="15" customHeight="1" x14ac:dyDescent="0.2">
      <c r="B125" s="38"/>
      <c r="C125" s="40" t="s">
        <v>260</v>
      </c>
      <c r="D125" s="40"/>
      <c r="E125" s="40"/>
      <c r="F125" s="40"/>
      <c r="G125" s="40"/>
      <c r="H125" s="40"/>
      <c r="I125" s="40"/>
      <c r="J125" s="247">
        <f>IF(C123=B987,A987,IF(C123=B988,A988,IF(C123=B989,A989,IF(C123=B990,A990,IF(C123=B991,A991,"Not Calculated")))))</f>
        <v>4</v>
      </c>
      <c r="K125" s="41"/>
    </row>
    <row r="126" spans="2:14" ht="15" customHeight="1" x14ac:dyDescent="0.2">
      <c r="B126" s="38"/>
      <c r="C126" s="40" t="s">
        <v>257</v>
      </c>
      <c r="D126" s="40"/>
      <c r="E126" s="40"/>
      <c r="F126" s="40"/>
      <c r="G126" s="40"/>
      <c r="H126" s="40"/>
      <c r="I126" s="40"/>
      <c r="J126" s="266" t="s">
        <v>874</v>
      </c>
      <c r="K126" s="41"/>
    </row>
    <row r="127" spans="2:14" x14ac:dyDescent="0.2">
      <c r="B127" s="38"/>
      <c r="C127" s="40" t="s">
        <v>261</v>
      </c>
      <c r="D127" s="40"/>
      <c r="E127" s="40"/>
      <c r="F127" s="40"/>
      <c r="G127" s="40"/>
      <c r="H127" s="40"/>
      <c r="I127" s="40"/>
      <c r="J127" s="245">
        <f>IF(J126=$B$973,$A$973,IF(J126=$B$974,$A$974,IF(J126=$B$975,$A$975,IF(J126=$B$976,$A$976,IF(J126=$B$977,$A$977,"Not Calculated")))))</f>
        <v>4</v>
      </c>
      <c r="K127" s="41"/>
    </row>
    <row r="128" spans="2:14" ht="15" customHeight="1" x14ac:dyDescent="0.2">
      <c r="B128" s="38"/>
      <c r="C128" s="40" t="s">
        <v>893</v>
      </c>
      <c r="D128" s="40"/>
      <c r="E128" s="40"/>
      <c r="F128" s="40"/>
      <c r="G128" s="40"/>
      <c r="H128" s="40"/>
      <c r="I128" s="40"/>
      <c r="J128" s="175"/>
      <c r="K128" s="41"/>
    </row>
    <row r="129" spans="2:11" s="178" customFormat="1" ht="60" customHeight="1" x14ac:dyDescent="0.2">
      <c r="B129" s="176"/>
      <c r="C129" s="415" t="s">
        <v>493</v>
      </c>
      <c r="D129" s="400"/>
      <c r="E129" s="400"/>
      <c r="F129" s="400"/>
      <c r="G129" s="400"/>
      <c r="H129" s="400"/>
      <c r="I129" s="400"/>
      <c r="J129" s="401"/>
      <c r="K129" s="177"/>
    </row>
    <row r="130" spans="2:11" x14ac:dyDescent="0.2">
      <c r="B130" s="38"/>
      <c r="C130" s="40"/>
      <c r="D130" s="40"/>
      <c r="E130" s="40"/>
      <c r="F130" s="40"/>
      <c r="G130" s="40"/>
      <c r="H130" s="40"/>
      <c r="I130" s="40"/>
      <c r="J130" s="40"/>
      <c r="K130" s="41"/>
    </row>
    <row r="131" spans="2:11" x14ac:dyDescent="0.2">
      <c r="B131" s="38"/>
      <c r="C131" s="179" t="s">
        <v>267</v>
      </c>
      <c r="D131" s="40"/>
      <c r="E131" s="40"/>
      <c r="F131" s="40"/>
      <c r="G131" s="40"/>
      <c r="H131" s="40"/>
      <c r="I131" s="40"/>
      <c r="J131" s="245">
        <f>IF(OR(J125="Not Calculated",J127="Not Calculated")=TRUE,"Not Calculated",AVERAGE(J125,J127))</f>
        <v>4</v>
      </c>
      <c r="K131" s="41"/>
    </row>
    <row r="132" spans="2:11" x14ac:dyDescent="0.2">
      <c r="B132" s="38"/>
      <c r="C132" s="179"/>
      <c r="D132" s="40"/>
      <c r="E132" s="40"/>
      <c r="F132" s="40"/>
      <c r="G132" s="40"/>
      <c r="H132" s="40"/>
      <c r="I132" s="40"/>
      <c r="J132" s="245"/>
      <c r="K132" s="41"/>
    </row>
    <row r="133" spans="2:11" ht="18" x14ac:dyDescent="0.2">
      <c r="B133" s="38"/>
      <c r="C133" s="180" t="s">
        <v>269</v>
      </c>
      <c r="D133" s="40"/>
      <c r="E133" s="40"/>
      <c r="F133" s="40"/>
      <c r="G133" s="40"/>
      <c r="H133" s="40"/>
      <c r="I133" s="40"/>
      <c r="J133" s="244" t="str">
        <f>IF(OR(J40="Not Calculated",J59="Not Calculated",J78="Not Calculated",J97="Not Calculated",J116="Not Calculated",J131="Not Calculated",)=TRUE,"Not Calculated",AVERAGE(J40,J59,J78,J97,J116,J131))</f>
        <v>Not Calculated</v>
      </c>
      <c r="K133" s="41"/>
    </row>
    <row r="134" spans="2:11" ht="16" thickBot="1" x14ac:dyDescent="0.25">
      <c r="B134" s="46"/>
      <c r="C134" s="47"/>
      <c r="D134" s="47"/>
      <c r="E134" s="47"/>
      <c r="F134" s="47"/>
      <c r="G134" s="47"/>
      <c r="H134" s="47"/>
      <c r="I134" s="47"/>
      <c r="J134" s="47"/>
      <c r="K134" s="49"/>
    </row>
    <row r="135" spans="2:11" ht="16" thickBot="1" x14ac:dyDescent="0.25"/>
    <row r="136" spans="2:11" x14ac:dyDescent="0.2">
      <c r="B136" s="33"/>
      <c r="C136" s="34"/>
      <c r="D136" s="34"/>
      <c r="E136" s="34"/>
      <c r="F136" s="34"/>
      <c r="G136" s="34"/>
      <c r="H136" s="34"/>
      <c r="I136" s="34"/>
      <c r="J136" s="34"/>
      <c r="K136" s="37"/>
    </row>
    <row r="137" spans="2:11" ht="21" x14ac:dyDescent="0.25">
      <c r="B137" s="38"/>
      <c r="C137" s="171"/>
      <c r="D137" s="40"/>
      <c r="E137" s="40"/>
      <c r="F137" s="40"/>
      <c r="G137" s="172" t="s">
        <v>27</v>
      </c>
      <c r="H137" s="40"/>
      <c r="I137" s="40"/>
      <c r="J137" s="40"/>
      <c r="K137" s="41"/>
    </row>
    <row r="138" spans="2:11" x14ac:dyDescent="0.2">
      <c r="B138" s="38"/>
      <c r="C138" s="40"/>
      <c r="D138" s="40"/>
      <c r="E138" s="40"/>
      <c r="F138" s="40"/>
      <c r="G138" s="40"/>
      <c r="H138" s="40"/>
      <c r="I138" s="40"/>
      <c r="J138" s="40"/>
      <c r="K138" s="41"/>
    </row>
    <row r="139" spans="2:11" ht="16" x14ac:dyDescent="0.2">
      <c r="B139" s="38"/>
      <c r="C139" s="45" t="s">
        <v>72</v>
      </c>
      <c r="D139" s="40"/>
      <c r="E139" s="40"/>
      <c r="F139" s="40"/>
      <c r="G139" s="40"/>
      <c r="H139" s="40"/>
      <c r="I139" s="40"/>
      <c r="J139" s="40"/>
      <c r="K139" s="41"/>
    </row>
    <row r="140" spans="2:11" x14ac:dyDescent="0.2">
      <c r="B140" s="38"/>
      <c r="C140" s="40" t="s">
        <v>440</v>
      </c>
      <c r="D140" s="40"/>
      <c r="E140" s="40"/>
      <c r="F140" s="40"/>
      <c r="G140" s="40"/>
      <c r="H140" s="40"/>
      <c r="I140" s="40"/>
      <c r="J140" s="252">
        <f>'Baseline Health'!G45</f>
        <v>0</v>
      </c>
      <c r="K140" s="41"/>
    </row>
    <row r="141" spans="2:11" x14ac:dyDescent="0.2">
      <c r="B141" s="38"/>
      <c r="C141" s="40" t="s">
        <v>270</v>
      </c>
      <c r="D141" s="40"/>
      <c r="E141" s="40"/>
      <c r="F141" s="40"/>
      <c r="G141" s="40"/>
      <c r="H141" s="40"/>
      <c r="I141" s="40"/>
      <c r="J141" s="264">
        <v>0</v>
      </c>
      <c r="K141" s="41"/>
    </row>
    <row r="142" spans="2:11" x14ac:dyDescent="0.2">
      <c r="B142" s="38"/>
      <c r="C142" s="40" t="s">
        <v>439</v>
      </c>
      <c r="D142" s="40"/>
      <c r="E142" s="40"/>
      <c r="F142" s="40"/>
      <c r="G142" s="40"/>
      <c r="H142" s="40"/>
      <c r="I142" s="40"/>
      <c r="J142" s="251">
        <f>J83/20</f>
        <v>0.9</v>
      </c>
      <c r="K142" s="41"/>
    </row>
    <row r="143" spans="2:11" x14ac:dyDescent="0.2">
      <c r="B143" s="38"/>
      <c r="C143" s="40"/>
      <c r="D143" s="40" t="s">
        <v>351</v>
      </c>
      <c r="E143" s="40"/>
      <c r="F143" s="40"/>
      <c r="G143" s="40"/>
      <c r="H143" s="40"/>
      <c r="I143" s="40"/>
      <c r="J143" s="40"/>
      <c r="K143" s="41"/>
    </row>
    <row r="144" spans="2:11" x14ac:dyDescent="0.2">
      <c r="B144" s="38"/>
      <c r="C144" s="40" t="s">
        <v>260</v>
      </c>
      <c r="D144" s="40"/>
      <c r="E144" s="40"/>
      <c r="F144" s="40"/>
      <c r="G144" s="40"/>
      <c r="H144" s="40"/>
      <c r="I144" s="40"/>
      <c r="J144" s="245" t="str">
        <f>IF(OR(J140=0,J140="Not Calculated")=TRUE,"Not Calculated",IF((J140-J141)&lt;=0,4,IF(((J140+J142)/(J140-J141))&lt;=1,0,IF(((J140+J142)/(J140-J141))&lt;=1.05,1,IF(((J140+J142)/(J140-J141))&lt;=1.5, 2,IF(((J140+J142)/(J140-J141))&lt;=2,3,4))))))</f>
        <v>Not Calculated</v>
      </c>
      <c r="K144" s="41"/>
    </row>
    <row r="145" spans="2:14" ht="9.75" customHeight="1" x14ac:dyDescent="0.2">
      <c r="B145" s="38"/>
      <c r="C145" s="279" t="str">
        <f>"0:"</f>
        <v>0:</v>
      </c>
      <c r="D145" s="278" t="s">
        <v>918</v>
      </c>
      <c r="E145" s="40"/>
      <c r="F145" s="40"/>
      <c r="G145" s="40"/>
      <c r="H145" s="40"/>
      <c r="I145" s="40"/>
      <c r="J145" s="40"/>
      <c r="K145" s="41"/>
    </row>
    <row r="146" spans="2:14" ht="9.75" customHeight="1" x14ac:dyDescent="0.2">
      <c r="B146" s="38"/>
      <c r="C146" s="280" t="str">
        <f>"1:"</f>
        <v>1:</v>
      </c>
      <c r="D146" s="278" t="s">
        <v>923</v>
      </c>
      <c r="E146" s="40"/>
      <c r="F146" s="40"/>
      <c r="G146" s="40"/>
      <c r="H146" s="40"/>
      <c r="I146" s="40"/>
      <c r="J146" s="40"/>
      <c r="K146" s="41"/>
    </row>
    <row r="147" spans="2:14" ht="9.75" customHeight="1" x14ac:dyDescent="0.2">
      <c r="B147" s="38"/>
      <c r="C147" s="280" t="str">
        <f>"2:"</f>
        <v>2:</v>
      </c>
      <c r="D147" s="278" t="s">
        <v>924</v>
      </c>
      <c r="E147" s="40"/>
      <c r="F147" s="40"/>
      <c r="G147" s="40"/>
      <c r="H147" s="40"/>
      <c r="I147" s="40"/>
      <c r="J147" s="40"/>
      <c r="K147" s="41"/>
    </row>
    <row r="148" spans="2:14" ht="9.75" customHeight="1" x14ac:dyDescent="0.2">
      <c r="B148" s="38"/>
      <c r="C148" s="280" t="str">
        <f>"3:"</f>
        <v>3:</v>
      </c>
      <c r="D148" s="278" t="s">
        <v>925</v>
      </c>
      <c r="E148" s="40"/>
      <c r="F148" s="40"/>
      <c r="G148" s="40"/>
      <c r="H148" s="40"/>
      <c r="I148" s="40"/>
      <c r="J148" s="40"/>
      <c r="K148" s="41"/>
    </row>
    <row r="149" spans="2:14" ht="9.75" customHeight="1" x14ac:dyDescent="0.2">
      <c r="B149" s="38"/>
      <c r="C149" s="280" t="str">
        <f>"4:"</f>
        <v>4:</v>
      </c>
      <c r="D149" s="278" t="s">
        <v>926</v>
      </c>
      <c r="E149" s="40"/>
      <c r="F149" s="40"/>
      <c r="G149" s="40"/>
      <c r="H149" s="40"/>
      <c r="I149" s="40"/>
      <c r="J149" s="40"/>
      <c r="K149" s="41"/>
      <c r="N149" s="12" t="s">
        <v>661</v>
      </c>
    </row>
    <row r="150" spans="2:14" x14ac:dyDescent="0.2">
      <c r="B150" s="38"/>
      <c r="C150" s="174" t="s">
        <v>662</v>
      </c>
      <c r="D150" s="40"/>
      <c r="E150" s="40"/>
      <c r="F150" s="40"/>
      <c r="G150" s="40"/>
      <c r="H150" s="40"/>
      <c r="I150" s="40"/>
      <c r="J150" s="265" t="s">
        <v>661</v>
      </c>
      <c r="K150" s="41"/>
      <c r="N150" s="12" t="s">
        <v>894</v>
      </c>
    </row>
    <row r="151" spans="2:14" x14ac:dyDescent="0.2">
      <c r="B151" s="38"/>
      <c r="C151" s="174" t="s">
        <v>660</v>
      </c>
      <c r="D151" s="40"/>
      <c r="E151" s="40"/>
      <c r="F151" s="40"/>
      <c r="G151" s="40"/>
      <c r="H151" s="40"/>
      <c r="I151" s="40"/>
      <c r="J151" s="246" t="str">
        <f>IF(J150=N149,"N/A",IF(J150=N150,0,IF(J150=N151,1,IF(J150=N152,2,IF(J150=N153,3,IF(J150=N154,4,"N/A"))))))</f>
        <v>N/A</v>
      </c>
      <c r="K151" s="41"/>
      <c r="N151" s="12" t="s">
        <v>899</v>
      </c>
    </row>
    <row r="152" spans="2:14" x14ac:dyDescent="0.2">
      <c r="B152" s="38"/>
      <c r="C152" s="40" t="s">
        <v>257</v>
      </c>
      <c r="D152" s="40"/>
      <c r="E152" s="40"/>
      <c r="F152" s="40"/>
      <c r="G152" s="40"/>
      <c r="H152" s="40"/>
      <c r="I152" s="40"/>
      <c r="J152" s="266" t="s">
        <v>882</v>
      </c>
      <c r="K152" s="41"/>
      <c r="N152" s="12" t="s">
        <v>900</v>
      </c>
    </row>
    <row r="153" spans="2:14" x14ac:dyDescent="0.2">
      <c r="B153" s="38"/>
      <c r="C153" s="40" t="s">
        <v>261</v>
      </c>
      <c r="D153" s="40"/>
      <c r="E153" s="40"/>
      <c r="F153" s="40"/>
      <c r="G153" s="40"/>
      <c r="H153" s="40"/>
      <c r="I153" s="40"/>
      <c r="J153" s="245">
        <f>IF(J152=$B$973,$A$973,IF(J152=$B$974,$A$974,IF(J152=$B$975,$A$975,IF(J152=$B$976,$A$976,IF(J152=$B$977,$A$977,"Not Calculated")))))</f>
        <v>1</v>
      </c>
      <c r="K153" s="41"/>
      <c r="N153" s="12" t="s">
        <v>901</v>
      </c>
    </row>
    <row r="154" spans="2:14" x14ac:dyDescent="0.2">
      <c r="B154" s="38"/>
      <c r="C154" s="40" t="s">
        <v>893</v>
      </c>
      <c r="D154" s="40"/>
      <c r="E154" s="40"/>
      <c r="F154" s="40"/>
      <c r="G154" s="40"/>
      <c r="H154" s="40"/>
      <c r="I154" s="40"/>
      <c r="J154" s="40"/>
      <c r="K154" s="41"/>
      <c r="N154" s="12" t="s">
        <v>902</v>
      </c>
    </row>
    <row r="155" spans="2:14" ht="30" customHeight="1" x14ac:dyDescent="0.2">
      <c r="B155" s="38"/>
      <c r="C155" s="399"/>
      <c r="D155" s="400"/>
      <c r="E155" s="400"/>
      <c r="F155" s="400"/>
      <c r="G155" s="400"/>
      <c r="H155" s="400"/>
      <c r="I155" s="400"/>
      <c r="J155" s="401"/>
      <c r="K155" s="41"/>
    </row>
    <row r="156" spans="2:14" x14ac:dyDescent="0.2">
      <c r="B156" s="38"/>
      <c r="C156" s="40"/>
      <c r="D156" s="40"/>
      <c r="E156" s="40"/>
      <c r="F156" s="40"/>
      <c r="G156" s="40"/>
      <c r="H156" s="40"/>
      <c r="I156" s="40"/>
      <c r="J156" s="40"/>
      <c r="K156" s="41"/>
    </row>
    <row r="157" spans="2:14" x14ac:dyDescent="0.2">
      <c r="B157" s="38"/>
      <c r="C157" s="179" t="s">
        <v>271</v>
      </c>
      <c r="D157" s="40"/>
      <c r="E157" s="40"/>
      <c r="F157" s="40"/>
      <c r="G157" s="40"/>
      <c r="H157" s="40"/>
      <c r="I157" s="40"/>
      <c r="J157" s="245" t="str">
        <f>IF(J151="N/A",IF(OR(J144="Not Calculated",J153="Not Calculated")=TRUE,"Not Calculated",AVERAGE(J144,J153)),AVERAGE(J151,J153))</f>
        <v>Not Calculated</v>
      </c>
      <c r="K157" s="41"/>
    </row>
    <row r="158" spans="2:14" x14ac:dyDescent="0.2">
      <c r="B158" s="38"/>
      <c r="C158" s="40"/>
      <c r="D158" s="40"/>
      <c r="E158" s="40"/>
      <c r="F158" s="40"/>
      <c r="G158" s="40"/>
      <c r="H158" s="40"/>
      <c r="I158" s="40"/>
      <c r="J158" s="40"/>
      <c r="K158" s="41"/>
    </row>
    <row r="159" spans="2:14" x14ac:dyDescent="0.2">
      <c r="B159" s="38"/>
      <c r="C159" s="40"/>
      <c r="D159" s="40"/>
      <c r="E159" s="40"/>
      <c r="F159" s="40"/>
      <c r="G159" s="40"/>
      <c r="H159" s="40"/>
      <c r="I159" s="40"/>
      <c r="J159" s="40"/>
      <c r="K159" s="41"/>
    </row>
    <row r="160" spans="2:14" ht="16" x14ac:dyDescent="0.2">
      <c r="B160" s="38"/>
      <c r="C160" s="45" t="s">
        <v>273</v>
      </c>
      <c r="D160" s="40"/>
      <c r="E160" s="40"/>
      <c r="F160" s="40"/>
      <c r="G160" s="40"/>
      <c r="H160" s="40"/>
      <c r="I160" s="40"/>
      <c r="J160" s="40"/>
      <c r="K160" s="41"/>
    </row>
    <row r="161" spans="2:14" x14ac:dyDescent="0.2">
      <c r="B161" s="38"/>
      <c r="C161" s="40" t="s">
        <v>441</v>
      </c>
      <c r="D161" s="40"/>
      <c r="E161" s="40"/>
      <c r="F161" s="40"/>
      <c r="G161" s="40"/>
      <c r="H161" s="40"/>
      <c r="I161" s="40"/>
      <c r="J161" s="252">
        <f>'Baseline Health'!G51</f>
        <v>0</v>
      </c>
      <c r="K161" s="41"/>
    </row>
    <row r="162" spans="2:14" x14ac:dyDescent="0.2">
      <c r="B162" s="38"/>
      <c r="C162" s="40" t="s">
        <v>280</v>
      </c>
      <c r="D162" s="40"/>
      <c r="E162" s="40"/>
      <c r="F162" s="40"/>
      <c r="G162" s="40"/>
      <c r="H162" s="40"/>
      <c r="I162" s="40"/>
      <c r="J162" s="264">
        <v>0</v>
      </c>
      <c r="K162" s="41"/>
    </row>
    <row r="163" spans="2:14" x14ac:dyDescent="0.2">
      <c r="B163" s="38"/>
      <c r="C163" s="40" t="s">
        <v>442</v>
      </c>
      <c r="D163" s="40"/>
      <c r="E163" s="40"/>
      <c r="F163" s="40"/>
      <c r="G163" s="40"/>
      <c r="H163" s="40"/>
      <c r="I163" s="40"/>
      <c r="J163" s="251">
        <f>(J64)/4.5</f>
        <v>113.55555555555556</v>
      </c>
      <c r="K163" s="41"/>
    </row>
    <row r="164" spans="2:14" x14ac:dyDescent="0.2">
      <c r="B164" s="38"/>
      <c r="C164" s="40"/>
      <c r="D164" s="40" t="s">
        <v>353</v>
      </c>
      <c r="E164" s="40"/>
      <c r="F164" s="40"/>
      <c r="G164" s="40"/>
      <c r="H164" s="40"/>
      <c r="I164" s="40"/>
      <c r="J164" s="40"/>
      <c r="K164" s="41"/>
    </row>
    <row r="165" spans="2:14" x14ac:dyDescent="0.2">
      <c r="B165" s="38"/>
      <c r="C165" s="40" t="s">
        <v>260</v>
      </c>
      <c r="D165" s="40"/>
      <c r="E165" s="40"/>
      <c r="F165" s="40"/>
      <c r="G165" s="40"/>
      <c r="H165" s="40"/>
      <c r="I165" s="40"/>
      <c r="J165" s="245" t="str">
        <f>IF(OR(J161=0,J161="Not Calculated")=TRUE,"Not Calculated",IF((J161-J162)&lt;=0,4,IF(((J161+J163)/(J161-J162))&lt;=1,0,IF(((J161+J163)/(J161-J162))&lt;=1.05,1,IF(((J161+J163)/(J161-J162))&lt;=1.5, 2,IF(((J161+J163)/(J161-J162))&lt;=2,3,4))))))</f>
        <v>Not Calculated</v>
      </c>
      <c r="K165" s="41"/>
    </row>
    <row r="166" spans="2:14" ht="9.75" customHeight="1" x14ac:dyDescent="0.2">
      <c r="B166" s="38"/>
      <c r="C166" s="279" t="str">
        <f>"0:"</f>
        <v>0:</v>
      </c>
      <c r="D166" s="278" t="s">
        <v>918</v>
      </c>
      <c r="E166" s="40"/>
      <c r="F166" s="40"/>
      <c r="G166" s="40"/>
      <c r="H166" s="40"/>
      <c r="I166" s="40"/>
      <c r="J166" s="40"/>
      <c r="K166" s="41"/>
    </row>
    <row r="167" spans="2:14" ht="9.75" customHeight="1" x14ac:dyDescent="0.2">
      <c r="B167" s="38"/>
      <c r="C167" s="280" t="str">
        <f>"1:"</f>
        <v>1:</v>
      </c>
      <c r="D167" s="278" t="s">
        <v>923</v>
      </c>
      <c r="E167" s="40"/>
      <c r="F167" s="40"/>
      <c r="G167" s="40"/>
      <c r="H167" s="40"/>
      <c r="I167" s="40"/>
      <c r="J167" s="40"/>
      <c r="K167" s="41"/>
    </row>
    <row r="168" spans="2:14" ht="9.75" customHeight="1" x14ac:dyDescent="0.2">
      <c r="B168" s="38"/>
      <c r="C168" s="280" t="str">
        <f>"2:"</f>
        <v>2:</v>
      </c>
      <c r="D168" s="278" t="s">
        <v>924</v>
      </c>
      <c r="E168" s="40"/>
      <c r="F168" s="40"/>
      <c r="G168" s="40"/>
      <c r="H168" s="40"/>
      <c r="I168" s="40"/>
      <c r="J168" s="40"/>
      <c r="K168" s="41"/>
    </row>
    <row r="169" spans="2:14" ht="9.75" customHeight="1" x14ac:dyDescent="0.2">
      <c r="B169" s="38"/>
      <c r="C169" s="280" t="str">
        <f>"3:"</f>
        <v>3:</v>
      </c>
      <c r="D169" s="278" t="s">
        <v>925</v>
      </c>
      <c r="E169" s="40"/>
      <c r="F169" s="40"/>
      <c r="G169" s="40"/>
      <c r="H169" s="40"/>
      <c r="I169" s="40"/>
      <c r="J169" s="40"/>
      <c r="K169" s="41"/>
    </row>
    <row r="170" spans="2:14" ht="9.75" customHeight="1" x14ac:dyDescent="0.2">
      <c r="B170" s="38"/>
      <c r="C170" s="280" t="str">
        <f>"4:"</f>
        <v>4:</v>
      </c>
      <c r="D170" s="278" t="s">
        <v>926</v>
      </c>
      <c r="E170" s="40"/>
      <c r="F170" s="40"/>
      <c r="G170" s="40"/>
      <c r="H170" s="40"/>
      <c r="I170" s="40"/>
      <c r="J170" s="40"/>
      <c r="K170" s="41"/>
      <c r="N170" s="12" t="s">
        <v>661</v>
      </c>
    </row>
    <row r="171" spans="2:14" x14ac:dyDescent="0.2">
      <c r="B171" s="38"/>
      <c r="C171" s="174" t="s">
        <v>662</v>
      </c>
      <c r="D171" s="40"/>
      <c r="E171" s="40"/>
      <c r="F171" s="40"/>
      <c r="G171" s="40"/>
      <c r="H171" s="40"/>
      <c r="I171" s="40"/>
      <c r="J171" s="265" t="s">
        <v>661</v>
      </c>
      <c r="K171" s="41"/>
      <c r="N171" s="12" t="s">
        <v>894</v>
      </c>
    </row>
    <row r="172" spans="2:14" x14ac:dyDescent="0.2">
      <c r="B172" s="38"/>
      <c r="C172" s="174" t="s">
        <v>660</v>
      </c>
      <c r="D172" s="40"/>
      <c r="E172" s="40"/>
      <c r="F172" s="40"/>
      <c r="G172" s="40"/>
      <c r="H172" s="40"/>
      <c r="I172" s="40"/>
      <c r="J172" s="246" t="str">
        <f>IF(J171=N170,"N/A",IF(J171=N171,0,IF(J171=N172,1,IF(J171=N173,2,IF(J171=N174,3,IF(J171=N175,4,"N/A"))))))</f>
        <v>N/A</v>
      </c>
      <c r="K172" s="41"/>
      <c r="N172" s="12" t="s">
        <v>899</v>
      </c>
    </row>
    <row r="173" spans="2:14" x14ac:dyDescent="0.2">
      <c r="B173" s="38"/>
      <c r="C173" s="40" t="s">
        <v>257</v>
      </c>
      <c r="D173" s="40"/>
      <c r="E173" s="40"/>
      <c r="F173" s="40"/>
      <c r="G173" s="40"/>
      <c r="H173" s="40"/>
      <c r="I173" s="40"/>
      <c r="J173" s="266" t="s">
        <v>882</v>
      </c>
      <c r="K173" s="41"/>
      <c r="N173" s="12" t="s">
        <v>900</v>
      </c>
    </row>
    <row r="174" spans="2:14" x14ac:dyDescent="0.2">
      <c r="B174" s="38"/>
      <c r="C174" s="40" t="s">
        <v>261</v>
      </c>
      <c r="D174" s="40"/>
      <c r="E174" s="40"/>
      <c r="F174" s="40"/>
      <c r="G174" s="40"/>
      <c r="H174" s="40"/>
      <c r="I174" s="40"/>
      <c r="J174" s="245">
        <f>IF(J173=$B$973,$A$973,IF(J173=$B$974,$A$974,IF(J173=$B$975,$A$975,IF(J173=$B$976,$A$976,IF(J173=$B$977,$A$977,"Not Calculated")))))</f>
        <v>1</v>
      </c>
      <c r="K174" s="41"/>
      <c r="N174" s="12" t="s">
        <v>901</v>
      </c>
    </row>
    <row r="175" spans="2:14" x14ac:dyDescent="0.2">
      <c r="B175" s="38"/>
      <c r="C175" s="40" t="s">
        <v>893</v>
      </c>
      <c r="D175" s="40"/>
      <c r="E175" s="40"/>
      <c r="F175" s="40"/>
      <c r="G175" s="40"/>
      <c r="H175" s="40"/>
      <c r="I175" s="40"/>
      <c r="J175" s="40"/>
      <c r="K175" s="41"/>
      <c r="N175" s="12" t="s">
        <v>902</v>
      </c>
    </row>
    <row r="176" spans="2:14" ht="30" customHeight="1" x14ac:dyDescent="0.2">
      <c r="B176" s="38"/>
      <c r="C176" s="399"/>
      <c r="D176" s="400"/>
      <c r="E176" s="400"/>
      <c r="F176" s="400"/>
      <c r="G176" s="400"/>
      <c r="H176" s="400"/>
      <c r="I176" s="400"/>
      <c r="J176" s="401"/>
      <c r="K176" s="41"/>
    </row>
    <row r="177" spans="2:14" x14ac:dyDescent="0.2">
      <c r="B177" s="38"/>
      <c r="C177" s="40"/>
      <c r="D177" s="40"/>
      <c r="E177" s="40"/>
      <c r="F177" s="40"/>
      <c r="G177" s="40"/>
      <c r="H177" s="40"/>
      <c r="I177" s="40"/>
      <c r="J177" s="40"/>
      <c r="K177" s="41"/>
    </row>
    <row r="178" spans="2:14" x14ac:dyDescent="0.2">
      <c r="B178" s="38"/>
      <c r="C178" s="179" t="s">
        <v>274</v>
      </c>
      <c r="D178" s="40"/>
      <c r="E178" s="40"/>
      <c r="F178" s="40"/>
      <c r="G178" s="40"/>
      <c r="H178" s="40"/>
      <c r="I178" s="40"/>
      <c r="J178" s="245" t="str">
        <f>IF(J172="N/A",IF(OR(J165="Not Calculated",J174="Not Calculated")=TRUE,"Not Calculated",AVERAGE(J165,J174)),AVERAGE(J172,J174))</f>
        <v>Not Calculated</v>
      </c>
      <c r="K178" s="41"/>
    </row>
    <row r="179" spans="2:14" x14ac:dyDescent="0.2">
      <c r="B179" s="38"/>
      <c r="C179" s="40"/>
      <c r="D179" s="40"/>
      <c r="E179" s="40"/>
      <c r="F179" s="40"/>
      <c r="G179" s="40"/>
      <c r="H179" s="40"/>
      <c r="I179" s="40"/>
      <c r="J179" s="40"/>
      <c r="K179" s="41"/>
    </row>
    <row r="180" spans="2:14" x14ac:dyDescent="0.2">
      <c r="B180" s="38"/>
      <c r="C180" s="40"/>
      <c r="D180" s="40"/>
      <c r="E180" s="40"/>
      <c r="F180" s="40"/>
      <c r="G180" s="40"/>
      <c r="H180" s="40"/>
      <c r="I180" s="40"/>
      <c r="J180" s="40"/>
      <c r="K180" s="41"/>
    </row>
    <row r="181" spans="2:14" ht="16" x14ac:dyDescent="0.2">
      <c r="B181" s="38"/>
      <c r="C181" s="45" t="s">
        <v>74</v>
      </c>
      <c r="D181" s="40"/>
      <c r="E181" s="40"/>
      <c r="F181" s="40"/>
      <c r="G181" s="40"/>
      <c r="H181" s="40"/>
      <c r="I181" s="40"/>
      <c r="J181" s="40"/>
      <c r="K181" s="41"/>
    </row>
    <row r="182" spans="2:14" x14ac:dyDescent="0.2">
      <c r="B182" s="38"/>
      <c r="C182" s="40" t="s">
        <v>443</v>
      </c>
      <c r="D182" s="40"/>
      <c r="E182" s="40"/>
      <c r="F182" s="40"/>
      <c r="G182" s="40"/>
      <c r="H182" s="40"/>
      <c r="I182" s="40"/>
      <c r="J182" s="252">
        <f>'Baseline Health'!G59</f>
        <v>0</v>
      </c>
      <c r="K182" s="41"/>
    </row>
    <row r="183" spans="2:14" x14ac:dyDescent="0.2">
      <c r="B183" s="38"/>
      <c r="C183" s="40" t="s">
        <v>281</v>
      </c>
      <c r="D183" s="40"/>
      <c r="E183" s="40"/>
      <c r="F183" s="40"/>
      <c r="G183" s="40"/>
      <c r="H183" s="40"/>
      <c r="I183" s="40"/>
      <c r="J183" s="264">
        <v>0</v>
      </c>
      <c r="K183" s="41"/>
    </row>
    <row r="184" spans="2:14" x14ac:dyDescent="0.2">
      <c r="B184" s="38"/>
      <c r="C184" s="40" t="s">
        <v>354</v>
      </c>
      <c r="D184" s="40"/>
      <c r="E184" s="40"/>
      <c r="F184" s="40"/>
      <c r="G184" s="40"/>
      <c r="H184" s="40"/>
      <c r="I184" s="40"/>
      <c r="J184" s="264">
        <v>69</v>
      </c>
      <c r="K184" s="41"/>
    </row>
    <row r="185" spans="2:14" x14ac:dyDescent="0.2">
      <c r="B185" s="38"/>
      <c r="C185" s="40" t="s">
        <v>260</v>
      </c>
      <c r="D185" s="40"/>
      <c r="E185" s="40"/>
      <c r="F185" s="40"/>
      <c r="G185" s="40"/>
      <c r="H185" s="40"/>
      <c r="I185" s="40"/>
      <c r="J185" s="245" t="str">
        <f>IF(OR(J182=0,J182="Not Calculated")=TRUE,"Not Calculated",IF(J182-J183=0,4,IF(((J182+J184)/(J182-J183))&lt;=1,0,IF(((J182+J184)/(J182-J183))&lt;=1.05,1,IF(((J182+J184)/(J182-J183))&lt;=1.5, 2,IF(((J182+J184)/(J182-J183))&lt;=2,3,4))))))</f>
        <v>Not Calculated</v>
      </c>
      <c r="K185" s="41"/>
    </row>
    <row r="186" spans="2:14" ht="9.75" customHeight="1" x14ac:dyDescent="0.2">
      <c r="B186" s="38"/>
      <c r="C186" s="279" t="str">
        <f>"0:"</f>
        <v>0:</v>
      </c>
      <c r="D186" s="278" t="s">
        <v>918</v>
      </c>
      <c r="E186" s="40"/>
      <c r="F186" s="40"/>
      <c r="G186" s="40"/>
      <c r="H186" s="40"/>
      <c r="I186" s="40"/>
      <c r="J186" s="40"/>
      <c r="K186" s="41"/>
    </row>
    <row r="187" spans="2:14" ht="9.75" customHeight="1" x14ac:dyDescent="0.2">
      <c r="B187" s="38"/>
      <c r="C187" s="280" t="str">
        <f>"1:"</f>
        <v>1:</v>
      </c>
      <c r="D187" s="278" t="s">
        <v>923</v>
      </c>
      <c r="E187" s="40"/>
      <c r="F187" s="40"/>
      <c r="G187" s="40"/>
      <c r="H187" s="40"/>
      <c r="I187" s="40"/>
      <c r="J187" s="40"/>
      <c r="K187" s="41"/>
    </row>
    <row r="188" spans="2:14" ht="9.75" customHeight="1" x14ac:dyDescent="0.2">
      <c r="B188" s="38"/>
      <c r="C188" s="280" t="str">
        <f>"2:"</f>
        <v>2:</v>
      </c>
      <c r="D188" s="278" t="s">
        <v>924</v>
      </c>
      <c r="E188" s="40"/>
      <c r="F188" s="40"/>
      <c r="G188" s="40"/>
      <c r="H188" s="40"/>
      <c r="I188" s="40"/>
      <c r="J188" s="40"/>
      <c r="K188" s="41"/>
    </row>
    <row r="189" spans="2:14" ht="9.75" customHeight="1" x14ac:dyDescent="0.2">
      <c r="B189" s="38"/>
      <c r="C189" s="280" t="str">
        <f>"3:"</f>
        <v>3:</v>
      </c>
      <c r="D189" s="278" t="s">
        <v>925</v>
      </c>
      <c r="E189" s="40"/>
      <c r="F189" s="40"/>
      <c r="G189" s="40"/>
      <c r="H189" s="40"/>
      <c r="I189" s="40"/>
      <c r="J189" s="40"/>
      <c r="K189" s="41"/>
    </row>
    <row r="190" spans="2:14" ht="9.75" customHeight="1" x14ac:dyDescent="0.2">
      <c r="B190" s="38"/>
      <c r="C190" s="280" t="str">
        <f>"4:"</f>
        <v>4:</v>
      </c>
      <c r="D190" s="278" t="s">
        <v>926</v>
      </c>
      <c r="E190" s="40"/>
      <c r="F190" s="40"/>
      <c r="G190" s="40"/>
      <c r="H190" s="40"/>
      <c r="I190" s="40"/>
      <c r="J190" s="40"/>
      <c r="K190" s="41"/>
      <c r="N190" s="12" t="s">
        <v>661</v>
      </c>
    </row>
    <row r="191" spans="2:14" x14ac:dyDescent="0.2">
      <c r="B191" s="38"/>
      <c r="C191" s="174" t="s">
        <v>662</v>
      </c>
      <c r="D191" s="40"/>
      <c r="E191" s="40"/>
      <c r="F191" s="40"/>
      <c r="G191" s="40"/>
      <c r="H191" s="40"/>
      <c r="I191" s="40"/>
      <c r="J191" s="265" t="s">
        <v>661</v>
      </c>
      <c r="K191" s="41"/>
      <c r="N191" s="12" t="s">
        <v>894</v>
      </c>
    </row>
    <row r="192" spans="2:14" x14ac:dyDescent="0.2">
      <c r="B192" s="38"/>
      <c r="C192" s="174" t="s">
        <v>660</v>
      </c>
      <c r="D192" s="40"/>
      <c r="E192" s="40"/>
      <c r="F192" s="40"/>
      <c r="G192" s="40"/>
      <c r="H192" s="40"/>
      <c r="I192" s="40"/>
      <c r="J192" s="246" t="str">
        <f>IF(J191=N190,"N/A",IF(J191=N191,0,IF(J191=N192,1,IF(J191=N193,2,IF(J191=N194,3,IF(J191=N195,4,"N/A"))))))</f>
        <v>N/A</v>
      </c>
      <c r="K192" s="41"/>
      <c r="N192" s="12" t="s">
        <v>899</v>
      </c>
    </row>
    <row r="193" spans="2:14" x14ac:dyDescent="0.2">
      <c r="B193" s="38"/>
      <c r="C193" s="40" t="s">
        <v>257</v>
      </c>
      <c r="D193" s="40"/>
      <c r="E193" s="40"/>
      <c r="F193" s="40"/>
      <c r="G193" s="40"/>
      <c r="H193" s="40"/>
      <c r="I193" s="40"/>
      <c r="J193" s="266" t="s">
        <v>873</v>
      </c>
      <c r="K193" s="41"/>
      <c r="N193" s="12" t="s">
        <v>900</v>
      </c>
    </row>
    <row r="194" spans="2:14" x14ac:dyDescent="0.2">
      <c r="B194" s="38"/>
      <c r="C194" s="40" t="s">
        <v>261</v>
      </c>
      <c r="D194" s="40"/>
      <c r="E194" s="40"/>
      <c r="F194" s="40"/>
      <c r="G194" s="40"/>
      <c r="H194" s="40"/>
      <c r="I194" s="40"/>
      <c r="J194" s="245">
        <f>IF(J193=$B$973,$A$973,IF(J193=$B$974,$A$974,IF(J193=$B$975,$A$975,IF(J193=$B$976,$A$976,IF(J193=$B$977,$A$977,"Not Calculated")))))</f>
        <v>3</v>
      </c>
      <c r="K194" s="41"/>
      <c r="N194" s="12" t="s">
        <v>901</v>
      </c>
    </row>
    <row r="195" spans="2:14" x14ac:dyDescent="0.2">
      <c r="B195" s="38"/>
      <c r="C195" s="40" t="s">
        <v>893</v>
      </c>
      <c r="D195" s="40"/>
      <c r="E195" s="40"/>
      <c r="F195" s="40"/>
      <c r="G195" s="40"/>
      <c r="H195" s="40"/>
      <c r="I195" s="40"/>
      <c r="J195" s="40"/>
      <c r="K195" s="41"/>
      <c r="N195" s="12" t="s">
        <v>902</v>
      </c>
    </row>
    <row r="196" spans="2:14" ht="30" customHeight="1" x14ac:dyDescent="0.2">
      <c r="B196" s="38"/>
      <c r="C196" s="399" t="s">
        <v>494</v>
      </c>
      <c r="D196" s="400"/>
      <c r="E196" s="400"/>
      <c r="F196" s="400"/>
      <c r="G196" s="400"/>
      <c r="H196" s="400"/>
      <c r="I196" s="400"/>
      <c r="J196" s="401"/>
      <c r="K196" s="41"/>
    </row>
    <row r="197" spans="2:14" x14ac:dyDescent="0.2">
      <c r="B197" s="38"/>
      <c r="C197" s="40"/>
      <c r="D197" s="40"/>
      <c r="E197" s="40"/>
      <c r="F197" s="40"/>
      <c r="G197" s="40"/>
      <c r="H197" s="40"/>
      <c r="I197" s="40"/>
      <c r="J197" s="40"/>
      <c r="K197" s="41"/>
    </row>
    <row r="198" spans="2:14" x14ac:dyDescent="0.2">
      <c r="B198" s="38"/>
      <c r="C198" s="179" t="s">
        <v>275</v>
      </c>
      <c r="D198" s="40"/>
      <c r="E198" s="40"/>
      <c r="F198" s="40"/>
      <c r="G198" s="40"/>
      <c r="H198" s="40"/>
      <c r="I198" s="40"/>
      <c r="J198" s="245" t="str">
        <f>IF(J192="N/A",IF(OR(J185="Not Calculated",J194="Not Calculated")=TRUE,"Not Calculated",AVERAGE(J185,J194)),AVERAGE(J192,J194))</f>
        <v>Not Calculated</v>
      </c>
      <c r="K198" s="41"/>
    </row>
    <row r="199" spans="2:14" x14ac:dyDescent="0.2">
      <c r="B199" s="38"/>
      <c r="C199" s="40"/>
      <c r="D199" s="40"/>
      <c r="E199" s="40"/>
      <c r="F199" s="40"/>
      <c r="G199" s="40"/>
      <c r="H199" s="40"/>
      <c r="I199" s="40"/>
      <c r="J199" s="40"/>
      <c r="K199" s="41"/>
    </row>
    <row r="200" spans="2:14" x14ac:dyDescent="0.2">
      <c r="B200" s="38"/>
      <c r="C200" s="40"/>
      <c r="D200" s="40"/>
      <c r="E200" s="40"/>
      <c r="F200" s="40"/>
      <c r="G200" s="40"/>
      <c r="H200" s="40"/>
      <c r="I200" s="40"/>
      <c r="J200" s="40"/>
      <c r="K200" s="41"/>
    </row>
    <row r="201" spans="2:14" ht="16" x14ac:dyDescent="0.2">
      <c r="B201" s="38"/>
      <c r="C201" s="45" t="s">
        <v>75</v>
      </c>
      <c r="D201" s="40"/>
      <c r="E201" s="40"/>
      <c r="F201" s="40"/>
      <c r="G201" s="40"/>
      <c r="H201" s="40"/>
      <c r="I201" s="40"/>
      <c r="J201" s="40"/>
      <c r="K201" s="41"/>
    </row>
    <row r="202" spans="2:14" x14ac:dyDescent="0.2">
      <c r="B202" s="38"/>
      <c r="C202" s="40" t="s">
        <v>444</v>
      </c>
      <c r="D202" s="40"/>
      <c r="E202" s="40"/>
      <c r="F202" s="40"/>
      <c r="G202" s="40"/>
      <c r="H202" s="40"/>
      <c r="I202" s="40"/>
      <c r="J202" s="252">
        <f>'Baseline Health'!G65</f>
        <v>0</v>
      </c>
      <c r="K202" s="41"/>
    </row>
    <row r="203" spans="2:14" x14ac:dyDescent="0.2">
      <c r="B203" s="38"/>
      <c r="C203" s="40" t="s">
        <v>282</v>
      </c>
      <c r="D203" s="40"/>
      <c r="E203" s="40"/>
      <c r="F203" s="40"/>
      <c r="G203" s="40"/>
      <c r="H203" s="40"/>
      <c r="I203" s="40"/>
      <c r="J203" s="264">
        <v>0</v>
      </c>
      <c r="K203" s="41"/>
    </row>
    <row r="204" spans="2:14" x14ac:dyDescent="0.2">
      <c r="B204" s="38"/>
      <c r="C204" s="40" t="s">
        <v>355</v>
      </c>
      <c r="D204" s="40"/>
      <c r="E204" s="40"/>
      <c r="F204" s="40"/>
      <c r="G204" s="40"/>
      <c r="H204" s="40"/>
      <c r="I204" s="40"/>
      <c r="J204" s="264">
        <v>0</v>
      </c>
      <c r="K204" s="41"/>
    </row>
    <row r="205" spans="2:14" x14ac:dyDescent="0.2">
      <c r="B205" s="38"/>
      <c r="C205" s="40" t="s">
        <v>260</v>
      </c>
      <c r="D205" s="40"/>
      <c r="E205" s="40"/>
      <c r="F205" s="40"/>
      <c r="G205" s="40"/>
      <c r="H205" s="40"/>
      <c r="I205" s="40"/>
      <c r="J205" s="245" t="str">
        <f>IF(OR(J202=0,J202="Not Calculated")=TRUE,"Not Calculated",IF(J202-J203=0,4,IF(((J202+J204)/(J202-J203))&lt;=1,0,IF(((J202+J204)/(J202-J203))&lt;=1.05,1,IF(((J202+J204)/(J202-J203))&lt;=1.5, 2,IF(((J202+J204)/(J202-J203))&lt;=2,3,4))))))</f>
        <v>Not Calculated</v>
      </c>
      <c r="K205" s="41"/>
    </row>
    <row r="206" spans="2:14" ht="9.75" customHeight="1" x14ac:dyDescent="0.2">
      <c r="B206" s="38"/>
      <c r="C206" s="279" t="str">
        <f>"0:"</f>
        <v>0:</v>
      </c>
      <c r="D206" s="278" t="s">
        <v>918</v>
      </c>
      <c r="E206" s="40"/>
      <c r="F206" s="40"/>
      <c r="G206" s="40"/>
      <c r="H206" s="40"/>
      <c r="I206" s="40"/>
      <c r="J206" s="40"/>
      <c r="K206" s="41"/>
    </row>
    <row r="207" spans="2:14" ht="9.75" customHeight="1" x14ac:dyDescent="0.2">
      <c r="B207" s="38"/>
      <c r="C207" s="280" t="str">
        <f>"1:"</f>
        <v>1:</v>
      </c>
      <c r="D207" s="278" t="s">
        <v>923</v>
      </c>
      <c r="E207" s="40"/>
      <c r="F207" s="40"/>
      <c r="G207" s="40"/>
      <c r="H207" s="40"/>
      <c r="I207" s="40"/>
      <c r="J207" s="40"/>
      <c r="K207" s="41"/>
    </row>
    <row r="208" spans="2:14" ht="9.75" customHeight="1" x14ac:dyDescent="0.2">
      <c r="B208" s="38"/>
      <c r="C208" s="280" t="str">
        <f>"2:"</f>
        <v>2:</v>
      </c>
      <c r="D208" s="278" t="s">
        <v>924</v>
      </c>
      <c r="E208" s="40"/>
      <c r="F208" s="40"/>
      <c r="G208" s="40"/>
      <c r="H208" s="40"/>
      <c r="I208" s="40"/>
      <c r="J208" s="40"/>
      <c r="K208" s="41"/>
    </row>
    <row r="209" spans="2:14" ht="9.75" customHeight="1" x14ac:dyDescent="0.2">
      <c r="B209" s="38"/>
      <c r="C209" s="280" t="str">
        <f>"3:"</f>
        <v>3:</v>
      </c>
      <c r="D209" s="278" t="s">
        <v>925</v>
      </c>
      <c r="E209" s="40"/>
      <c r="F209" s="40"/>
      <c r="G209" s="40"/>
      <c r="H209" s="40"/>
      <c r="I209" s="40"/>
      <c r="J209" s="40"/>
      <c r="K209" s="41"/>
    </row>
    <row r="210" spans="2:14" ht="9.75" customHeight="1" x14ac:dyDescent="0.2">
      <c r="B210" s="38"/>
      <c r="C210" s="280" t="str">
        <f>"4:"</f>
        <v>4:</v>
      </c>
      <c r="D210" s="278" t="s">
        <v>926</v>
      </c>
      <c r="E210" s="40"/>
      <c r="F210" s="40"/>
      <c r="G210" s="40"/>
      <c r="H210" s="40"/>
      <c r="I210" s="40"/>
      <c r="J210" s="40"/>
      <c r="K210" s="41"/>
      <c r="N210" s="12" t="s">
        <v>661</v>
      </c>
    </row>
    <row r="211" spans="2:14" x14ac:dyDescent="0.2">
      <c r="B211" s="38"/>
      <c r="C211" s="174" t="s">
        <v>662</v>
      </c>
      <c r="D211" s="40"/>
      <c r="E211" s="40"/>
      <c r="F211" s="40"/>
      <c r="G211" s="40"/>
      <c r="H211" s="40"/>
      <c r="I211" s="40"/>
      <c r="J211" s="265" t="s">
        <v>661</v>
      </c>
      <c r="K211" s="41"/>
      <c r="N211" s="12" t="s">
        <v>894</v>
      </c>
    </row>
    <row r="212" spans="2:14" x14ac:dyDescent="0.2">
      <c r="B212" s="38"/>
      <c r="C212" s="174" t="s">
        <v>660</v>
      </c>
      <c r="D212" s="40"/>
      <c r="E212" s="40"/>
      <c r="F212" s="40"/>
      <c r="G212" s="40"/>
      <c r="H212" s="40"/>
      <c r="I212" s="40"/>
      <c r="J212" s="246" t="str">
        <f>IF(J211=N210,"N/A",IF(J211=N211,0,IF(J211=N212,1,IF(J211=N213,2,IF(J211=N214,3,IF(J211=N215,4,"N/A"))))))</f>
        <v>N/A</v>
      </c>
      <c r="K212" s="41"/>
      <c r="N212" s="12" t="s">
        <v>899</v>
      </c>
    </row>
    <row r="213" spans="2:14" x14ac:dyDescent="0.2">
      <c r="B213" s="38"/>
      <c r="C213" s="40" t="s">
        <v>257</v>
      </c>
      <c r="D213" s="40"/>
      <c r="E213" s="40"/>
      <c r="F213" s="40"/>
      <c r="G213" s="40"/>
      <c r="H213" s="40"/>
      <c r="I213" s="40"/>
      <c r="J213" s="266" t="s">
        <v>870</v>
      </c>
      <c r="K213" s="41"/>
      <c r="N213" s="12" t="s">
        <v>900</v>
      </c>
    </row>
    <row r="214" spans="2:14" x14ac:dyDescent="0.2">
      <c r="B214" s="38"/>
      <c r="C214" s="40" t="s">
        <v>261</v>
      </c>
      <c r="D214" s="40"/>
      <c r="E214" s="40"/>
      <c r="F214" s="40"/>
      <c r="G214" s="40"/>
      <c r="H214" s="40"/>
      <c r="I214" s="40"/>
      <c r="J214" s="245">
        <f>IF(J213=$B$973,$A$973,IF(J213=$B$974,$A$974,IF(J213=$B$975,$A$975,IF(J213=$B$976,$A$976,IF(J213=$B$977,$A$977,"Not Calculated")))))</f>
        <v>0</v>
      </c>
      <c r="K214" s="41"/>
      <c r="N214" s="12" t="s">
        <v>901</v>
      </c>
    </row>
    <row r="215" spans="2:14" x14ac:dyDescent="0.2">
      <c r="B215" s="38"/>
      <c r="C215" s="40" t="s">
        <v>893</v>
      </c>
      <c r="D215" s="40"/>
      <c r="E215" s="40"/>
      <c r="F215" s="40"/>
      <c r="G215" s="40"/>
      <c r="H215" s="40"/>
      <c r="I215" s="40"/>
      <c r="J215" s="40"/>
      <c r="K215" s="41"/>
      <c r="N215" s="12" t="s">
        <v>902</v>
      </c>
    </row>
    <row r="216" spans="2:14" ht="30" customHeight="1" x14ac:dyDescent="0.2">
      <c r="B216" s="38"/>
      <c r="C216" s="399"/>
      <c r="D216" s="400"/>
      <c r="E216" s="400"/>
      <c r="F216" s="400"/>
      <c r="G216" s="400"/>
      <c r="H216" s="400"/>
      <c r="I216" s="400"/>
      <c r="J216" s="401"/>
      <c r="K216" s="41"/>
    </row>
    <row r="217" spans="2:14" x14ac:dyDescent="0.2">
      <c r="B217" s="38"/>
      <c r="C217" s="40"/>
      <c r="D217" s="40"/>
      <c r="E217" s="40"/>
      <c r="F217" s="40"/>
      <c r="G217" s="40"/>
      <c r="H217" s="40"/>
      <c r="I217" s="40"/>
      <c r="J217" s="40"/>
      <c r="K217" s="41"/>
    </row>
    <row r="218" spans="2:14" x14ac:dyDescent="0.2">
      <c r="B218" s="38"/>
      <c r="C218" s="179" t="s">
        <v>276</v>
      </c>
      <c r="D218" s="40"/>
      <c r="E218" s="40"/>
      <c r="F218" s="40"/>
      <c r="G218" s="40"/>
      <c r="H218" s="40"/>
      <c r="I218" s="40"/>
      <c r="J218" s="245" t="str">
        <f>IF(J212="N/A",IF(OR(J205="Not Calculated",J214="Not Calculated")=TRUE,"Not Calculated",AVERAGE(J205,J214)),AVERAGE(J212,J214))</f>
        <v>Not Calculated</v>
      </c>
      <c r="K218" s="41"/>
    </row>
    <row r="219" spans="2:14" x14ac:dyDescent="0.2">
      <c r="B219" s="38"/>
      <c r="C219" s="40"/>
      <c r="D219" s="40"/>
      <c r="E219" s="40"/>
      <c r="F219" s="40"/>
      <c r="G219" s="40"/>
      <c r="H219" s="40"/>
      <c r="I219" s="40"/>
      <c r="J219" s="40"/>
      <c r="K219" s="41"/>
    </row>
    <row r="220" spans="2:14" x14ac:dyDescent="0.2">
      <c r="B220" s="38"/>
      <c r="C220" s="40"/>
      <c r="D220" s="40"/>
      <c r="E220" s="40"/>
      <c r="F220" s="40"/>
      <c r="G220" s="40"/>
      <c r="H220" s="40"/>
      <c r="I220" s="40"/>
      <c r="J220" s="40"/>
      <c r="K220" s="41"/>
    </row>
    <row r="221" spans="2:14" ht="16" x14ac:dyDescent="0.2">
      <c r="B221" s="38"/>
      <c r="C221" s="45" t="s">
        <v>76</v>
      </c>
      <c r="D221" s="40"/>
      <c r="E221" s="40"/>
      <c r="F221" s="40"/>
      <c r="G221" s="40"/>
      <c r="H221" s="40"/>
      <c r="I221" s="40"/>
      <c r="J221" s="40"/>
      <c r="K221" s="41"/>
    </row>
    <row r="222" spans="2:14" ht="15" customHeight="1" x14ac:dyDescent="0.2">
      <c r="B222" s="38"/>
      <c r="C222" s="40" t="s">
        <v>356</v>
      </c>
      <c r="D222" s="40"/>
      <c r="E222" s="40"/>
      <c r="F222" s="40"/>
      <c r="G222" s="40"/>
      <c r="H222" s="40"/>
      <c r="I222" s="40"/>
      <c r="J222" s="252">
        <f>'Baseline Health'!G71</f>
        <v>0</v>
      </c>
      <c r="K222" s="41"/>
    </row>
    <row r="223" spans="2:14" x14ac:dyDescent="0.2">
      <c r="B223" s="38"/>
      <c r="C223" s="40" t="s">
        <v>357</v>
      </c>
      <c r="D223" s="40"/>
      <c r="E223" s="40"/>
      <c r="F223" s="40"/>
      <c r="G223" s="40"/>
      <c r="H223" s="40"/>
      <c r="I223" s="40"/>
      <c r="J223" s="264">
        <v>0</v>
      </c>
      <c r="K223" s="41"/>
    </row>
    <row r="224" spans="2:14" x14ac:dyDescent="0.2">
      <c r="B224" s="38"/>
      <c r="C224" s="40" t="s">
        <v>445</v>
      </c>
      <c r="D224" s="40"/>
      <c r="E224" s="40"/>
      <c r="F224" s="40"/>
      <c r="G224" s="40"/>
      <c r="H224" s="40"/>
      <c r="I224" s="40"/>
      <c r="J224" s="251">
        <f>J102</f>
        <v>0</v>
      </c>
      <c r="K224" s="41"/>
    </row>
    <row r="225" spans="2:14" x14ac:dyDescent="0.2">
      <c r="B225" s="38"/>
      <c r="C225" s="40"/>
      <c r="D225" s="40" t="s">
        <v>446</v>
      </c>
      <c r="E225" s="40"/>
      <c r="F225" s="40"/>
      <c r="G225" s="40"/>
      <c r="H225" s="40"/>
      <c r="I225" s="40"/>
      <c r="J225" s="40"/>
      <c r="K225" s="41"/>
    </row>
    <row r="226" spans="2:14" x14ac:dyDescent="0.2">
      <c r="B226" s="38"/>
      <c r="C226" s="40" t="s">
        <v>260</v>
      </c>
      <c r="D226" s="40"/>
      <c r="E226" s="40"/>
      <c r="F226" s="40"/>
      <c r="G226" s="40"/>
      <c r="H226" s="40"/>
      <c r="I226" s="40"/>
      <c r="J226" s="245" t="str">
        <f>IF(OR(J222=0,J222="Not Calculated")=TRUE,"Not Calculated",IF(J222-J223=0,4,IF(((J222+J224)/(J222-J223))&lt;=1,0,IF(((J222+J224)/(J222-J223))&lt;=1.05,1,IF(((J222+J224)/(J222-J223))&lt;=1.5, 2,IF(((J222+J224)/(J222-J223))&lt;=2,3,4))))))</f>
        <v>Not Calculated</v>
      </c>
      <c r="K226" s="41"/>
    </row>
    <row r="227" spans="2:14" ht="9.75" customHeight="1" x14ac:dyDescent="0.2">
      <c r="B227" s="38"/>
      <c r="C227" s="279" t="str">
        <f>"0:"</f>
        <v>0:</v>
      </c>
      <c r="D227" s="278" t="s">
        <v>918</v>
      </c>
      <c r="E227" s="40"/>
      <c r="F227" s="40"/>
      <c r="G227" s="40"/>
      <c r="H227" s="40"/>
      <c r="I227" s="40"/>
      <c r="J227" s="40"/>
      <c r="K227" s="41"/>
    </row>
    <row r="228" spans="2:14" ht="9.75" customHeight="1" x14ac:dyDescent="0.2">
      <c r="B228" s="38"/>
      <c r="C228" s="280" t="str">
        <f>"1:"</f>
        <v>1:</v>
      </c>
      <c r="D228" s="278" t="s">
        <v>923</v>
      </c>
      <c r="E228" s="40"/>
      <c r="F228" s="40"/>
      <c r="G228" s="40"/>
      <c r="H228" s="40"/>
      <c r="I228" s="40"/>
      <c r="J228" s="40"/>
      <c r="K228" s="41"/>
    </row>
    <row r="229" spans="2:14" ht="9.75" customHeight="1" x14ac:dyDescent="0.2">
      <c r="B229" s="38"/>
      <c r="C229" s="280" t="str">
        <f>"2:"</f>
        <v>2:</v>
      </c>
      <c r="D229" s="278" t="s">
        <v>924</v>
      </c>
      <c r="E229" s="40"/>
      <c r="F229" s="40"/>
      <c r="G229" s="40"/>
      <c r="H229" s="40"/>
      <c r="I229" s="40"/>
      <c r="J229" s="40"/>
      <c r="K229" s="41"/>
    </row>
    <row r="230" spans="2:14" ht="9.75" customHeight="1" x14ac:dyDescent="0.2">
      <c r="B230" s="38"/>
      <c r="C230" s="280" t="str">
        <f>"3:"</f>
        <v>3:</v>
      </c>
      <c r="D230" s="278" t="s">
        <v>925</v>
      </c>
      <c r="E230" s="40"/>
      <c r="F230" s="40"/>
      <c r="G230" s="40"/>
      <c r="H230" s="40"/>
      <c r="I230" s="40"/>
      <c r="J230" s="40"/>
      <c r="K230" s="41"/>
    </row>
    <row r="231" spans="2:14" ht="9.75" customHeight="1" x14ac:dyDescent="0.2">
      <c r="B231" s="38"/>
      <c r="C231" s="280" t="str">
        <f>"4:"</f>
        <v>4:</v>
      </c>
      <c r="D231" s="278" t="s">
        <v>926</v>
      </c>
      <c r="E231" s="40"/>
      <c r="F231" s="40"/>
      <c r="G231" s="40"/>
      <c r="H231" s="40"/>
      <c r="I231" s="40"/>
      <c r="J231" s="40"/>
      <c r="K231" s="41"/>
      <c r="N231" s="12" t="s">
        <v>661</v>
      </c>
    </row>
    <row r="232" spans="2:14" x14ac:dyDescent="0.2">
      <c r="B232" s="38"/>
      <c r="C232" s="174" t="s">
        <v>662</v>
      </c>
      <c r="D232" s="40"/>
      <c r="E232" s="40"/>
      <c r="F232" s="40"/>
      <c r="G232" s="40"/>
      <c r="H232" s="40"/>
      <c r="I232" s="40"/>
      <c r="J232" s="265" t="s">
        <v>661</v>
      </c>
      <c r="K232" s="41"/>
      <c r="N232" s="12" t="s">
        <v>894</v>
      </c>
    </row>
    <row r="233" spans="2:14" x14ac:dyDescent="0.2">
      <c r="B233" s="38"/>
      <c r="C233" s="174" t="s">
        <v>660</v>
      </c>
      <c r="D233" s="40"/>
      <c r="E233" s="40"/>
      <c r="F233" s="40"/>
      <c r="G233" s="40"/>
      <c r="H233" s="40"/>
      <c r="I233" s="40"/>
      <c r="J233" s="246" t="str">
        <f>IF(J232=N231,"N/A",IF(J232=N232,0,IF(J232=N233,1,IF(J232=N234,2,IF(J232=N235,3,IF(J232=N236,4,"N/A"))))))</f>
        <v>N/A</v>
      </c>
      <c r="K233" s="41"/>
      <c r="N233" s="12" t="s">
        <v>899</v>
      </c>
    </row>
    <row r="234" spans="2:14" x14ac:dyDescent="0.2">
      <c r="B234" s="38"/>
      <c r="C234" s="40" t="s">
        <v>257</v>
      </c>
      <c r="D234" s="40"/>
      <c r="E234" s="40"/>
      <c r="F234" s="40"/>
      <c r="G234" s="40"/>
      <c r="H234" s="40"/>
      <c r="I234" s="40"/>
      <c r="J234" s="266" t="s">
        <v>870</v>
      </c>
      <c r="K234" s="41"/>
      <c r="N234" s="12" t="s">
        <v>900</v>
      </c>
    </row>
    <row r="235" spans="2:14" x14ac:dyDescent="0.2">
      <c r="B235" s="38"/>
      <c r="C235" s="40" t="s">
        <v>261</v>
      </c>
      <c r="D235" s="40"/>
      <c r="E235" s="40"/>
      <c r="F235" s="40"/>
      <c r="G235" s="40"/>
      <c r="H235" s="40"/>
      <c r="I235" s="40"/>
      <c r="J235" s="245">
        <f>IF(J234=$B$973,$A$973,IF(J234=$B$974,$A$974,IF(J234=$B$975,$A$975,IF(J234=$B$976,$A$976,IF(J234=$B$977,$A$977,"Not Calculated")))))</f>
        <v>0</v>
      </c>
      <c r="K235" s="41"/>
      <c r="N235" s="12" t="s">
        <v>901</v>
      </c>
    </row>
    <row r="236" spans="2:14" x14ac:dyDescent="0.2">
      <c r="B236" s="38"/>
      <c r="C236" s="40" t="s">
        <v>893</v>
      </c>
      <c r="D236" s="40"/>
      <c r="E236" s="40"/>
      <c r="F236" s="40"/>
      <c r="G236" s="40"/>
      <c r="H236" s="40"/>
      <c r="I236" s="40"/>
      <c r="J236" s="40"/>
      <c r="K236" s="41"/>
      <c r="N236" s="12" t="s">
        <v>902</v>
      </c>
    </row>
    <row r="237" spans="2:14" ht="30" customHeight="1" x14ac:dyDescent="0.2">
      <c r="B237" s="38"/>
      <c r="C237" s="399"/>
      <c r="D237" s="400"/>
      <c r="E237" s="400"/>
      <c r="F237" s="400"/>
      <c r="G237" s="400"/>
      <c r="H237" s="400"/>
      <c r="I237" s="400"/>
      <c r="J237" s="401"/>
      <c r="K237" s="41"/>
    </row>
    <row r="238" spans="2:14" x14ac:dyDescent="0.2">
      <c r="B238" s="38"/>
      <c r="C238" s="40"/>
      <c r="D238" s="40"/>
      <c r="E238" s="40"/>
      <c r="F238" s="40"/>
      <c r="G238" s="40"/>
      <c r="H238" s="40"/>
      <c r="I238" s="40"/>
      <c r="J238" s="40"/>
      <c r="K238" s="41"/>
    </row>
    <row r="239" spans="2:14" x14ac:dyDescent="0.2">
      <c r="B239" s="38"/>
      <c r="C239" s="179" t="s">
        <v>277</v>
      </c>
      <c r="D239" s="40"/>
      <c r="E239" s="40"/>
      <c r="F239" s="40"/>
      <c r="G239" s="40"/>
      <c r="H239" s="40"/>
      <c r="I239" s="40"/>
      <c r="J239" s="245" t="str">
        <f>IF(J233="N/A",IF(OR(J226="Not Calculated",J235="Not Calculated")=TRUE,"Not Calculated",AVERAGE(J226,J235)),AVERAGE(J233,J235))</f>
        <v>Not Calculated</v>
      </c>
      <c r="K239" s="41"/>
    </row>
    <row r="240" spans="2:14" x14ac:dyDescent="0.2">
      <c r="B240" s="38"/>
      <c r="C240" s="40"/>
      <c r="D240" s="40"/>
      <c r="E240" s="40"/>
      <c r="F240" s="40"/>
      <c r="G240" s="40"/>
      <c r="H240" s="40"/>
      <c r="I240" s="40"/>
      <c r="J240" s="40"/>
      <c r="K240" s="41"/>
    </row>
    <row r="241" spans="2:14" x14ac:dyDescent="0.2">
      <c r="B241" s="38"/>
      <c r="C241" s="40"/>
      <c r="D241" s="40"/>
      <c r="E241" s="40"/>
      <c r="F241" s="40"/>
      <c r="G241" s="40"/>
      <c r="H241" s="40"/>
      <c r="I241" s="40"/>
      <c r="J241" s="40"/>
      <c r="K241" s="41"/>
    </row>
    <row r="242" spans="2:14" ht="16" x14ac:dyDescent="0.2">
      <c r="B242" s="38"/>
      <c r="C242" s="45" t="s">
        <v>278</v>
      </c>
      <c r="D242" s="40"/>
      <c r="E242" s="40"/>
      <c r="F242" s="40"/>
      <c r="G242" s="40"/>
      <c r="H242" s="40"/>
      <c r="I242" s="40"/>
      <c r="J242" s="40"/>
      <c r="K242" s="41"/>
    </row>
    <row r="243" spans="2:14" ht="15" customHeight="1" x14ac:dyDescent="0.2">
      <c r="B243" s="38"/>
      <c r="C243" s="40" t="s">
        <v>447</v>
      </c>
      <c r="D243" s="40"/>
      <c r="E243" s="40"/>
      <c r="F243" s="40"/>
      <c r="G243" s="40"/>
      <c r="H243" s="40"/>
      <c r="I243" s="40"/>
      <c r="J243" s="254">
        <f>'Baseline Health'!G77</f>
        <v>0</v>
      </c>
      <c r="K243" s="41"/>
    </row>
    <row r="244" spans="2:14" x14ac:dyDescent="0.2">
      <c r="B244" s="38"/>
      <c r="C244" s="40" t="s">
        <v>358</v>
      </c>
      <c r="D244" s="40"/>
      <c r="E244" s="40"/>
      <c r="F244" s="40"/>
      <c r="G244" s="40"/>
      <c r="H244" s="40"/>
      <c r="I244" s="40"/>
      <c r="J244" s="264">
        <v>0</v>
      </c>
      <c r="K244" s="41"/>
    </row>
    <row r="245" spans="2:14" x14ac:dyDescent="0.2">
      <c r="B245" s="38"/>
      <c r="C245" s="40" t="s">
        <v>360</v>
      </c>
      <c r="D245" s="291"/>
      <c r="E245" s="291"/>
      <c r="F245" s="291"/>
      <c r="G245" s="291"/>
      <c r="H245" s="291"/>
      <c r="I245" s="291"/>
      <c r="J245" s="264">
        <f>'Community Characteristics'!H21*40/250</f>
        <v>0</v>
      </c>
      <c r="K245" s="41"/>
    </row>
    <row r="246" spans="2:14" x14ac:dyDescent="0.2">
      <c r="B246" s="38"/>
      <c r="C246" s="40" t="s">
        <v>260</v>
      </c>
      <c r="D246" s="40"/>
      <c r="E246" s="40"/>
      <c r="F246" s="40"/>
      <c r="G246" s="40"/>
      <c r="H246" s="40"/>
      <c r="I246" s="40"/>
      <c r="J246" s="245" t="str">
        <f>IF(OR(J243=0,J243="Not Calculated")=TRUE,"Not Calculated",IF(J243-J244=0,4,(IF(((J243+J245)/(J243-J244))&lt;=1,0,IF(((J243+J245)/(J243-J244))&lt;=1.05,1,IF(((J243+J245)/(J243-J244))&lt;=1.5,2,IF(((J243+J245)/(J243-J244))&lt;=2,3,4)))))))</f>
        <v>Not Calculated</v>
      </c>
      <c r="K246" s="41"/>
    </row>
    <row r="247" spans="2:14" ht="9.75" customHeight="1" x14ac:dyDescent="0.2">
      <c r="B247" s="38"/>
      <c r="C247" s="279" t="str">
        <f>"0:"</f>
        <v>0:</v>
      </c>
      <c r="D247" s="278" t="s">
        <v>918</v>
      </c>
      <c r="E247" s="40"/>
      <c r="F247" s="40"/>
      <c r="G247" s="40"/>
      <c r="H247" s="40"/>
      <c r="I247" s="40"/>
      <c r="J247" s="40"/>
      <c r="K247" s="41"/>
    </row>
    <row r="248" spans="2:14" ht="9.75" customHeight="1" x14ac:dyDescent="0.2">
      <c r="B248" s="38"/>
      <c r="C248" s="280" t="str">
        <f>"1:"</f>
        <v>1:</v>
      </c>
      <c r="D248" s="278" t="s">
        <v>923</v>
      </c>
      <c r="E248" s="40"/>
      <c r="F248" s="40"/>
      <c r="G248" s="40"/>
      <c r="H248" s="40"/>
      <c r="I248" s="40"/>
      <c r="J248" s="40"/>
      <c r="K248" s="41"/>
    </row>
    <row r="249" spans="2:14" ht="9.75" customHeight="1" x14ac:dyDescent="0.2">
      <c r="B249" s="38"/>
      <c r="C249" s="280" t="str">
        <f>"2:"</f>
        <v>2:</v>
      </c>
      <c r="D249" s="278" t="s">
        <v>924</v>
      </c>
      <c r="E249" s="40"/>
      <c r="F249" s="40"/>
      <c r="G249" s="40"/>
      <c r="H249" s="40"/>
      <c r="I249" s="40"/>
      <c r="J249" s="40"/>
      <c r="K249" s="41"/>
    </row>
    <row r="250" spans="2:14" ht="9.75" customHeight="1" x14ac:dyDescent="0.2">
      <c r="B250" s="38"/>
      <c r="C250" s="280" t="str">
        <f>"3:"</f>
        <v>3:</v>
      </c>
      <c r="D250" s="278" t="s">
        <v>925</v>
      </c>
      <c r="E250" s="40"/>
      <c r="F250" s="40"/>
      <c r="G250" s="40"/>
      <c r="H250" s="40"/>
      <c r="I250" s="40"/>
      <c r="J250" s="40"/>
      <c r="K250" s="41"/>
    </row>
    <row r="251" spans="2:14" ht="9.75" customHeight="1" x14ac:dyDescent="0.2">
      <c r="B251" s="38"/>
      <c r="C251" s="280" t="str">
        <f>"4:"</f>
        <v>4:</v>
      </c>
      <c r="D251" s="278" t="s">
        <v>926</v>
      </c>
      <c r="E251" s="40"/>
      <c r="F251" s="40"/>
      <c r="G251" s="40"/>
      <c r="H251" s="40"/>
      <c r="I251" s="40"/>
      <c r="J251" s="40"/>
      <c r="K251" s="41"/>
      <c r="N251" s="12" t="s">
        <v>661</v>
      </c>
    </row>
    <row r="252" spans="2:14" x14ac:dyDescent="0.2">
      <c r="B252" s="38"/>
      <c r="C252" s="174" t="s">
        <v>662</v>
      </c>
      <c r="D252" s="40"/>
      <c r="E252" s="40"/>
      <c r="F252" s="40"/>
      <c r="G252" s="40"/>
      <c r="H252" s="40"/>
      <c r="I252" s="40"/>
      <c r="J252" s="265" t="s">
        <v>661</v>
      </c>
      <c r="K252" s="41"/>
      <c r="N252" s="12" t="s">
        <v>894</v>
      </c>
    </row>
    <row r="253" spans="2:14" x14ac:dyDescent="0.2">
      <c r="B253" s="38"/>
      <c r="C253" s="174" t="s">
        <v>660</v>
      </c>
      <c r="D253" s="40"/>
      <c r="E253" s="40"/>
      <c r="F253" s="40"/>
      <c r="G253" s="40"/>
      <c r="H253" s="40"/>
      <c r="I253" s="40"/>
      <c r="J253" s="246" t="str">
        <f>IF(J252=N251,"N/A",IF(J252=N252,0,IF(J252=N253,1,IF(J252=N254,2,IF(J252=N255,3,IF(J252=N256,4,"N/A"))))))</f>
        <v>N/A</v>
      </c>
      <c r="K253" s="41"/>
      <c r="N253" s="12" t="s">
        <v>899</v>
      </c>
    </row>
    <row r="254" spans="2:14" x14ac:dyDescent="0.2">
      <c r="B254" s="38"/>
      <c r="C254" s="40" t="s">
        <v>257</v>
      </c>
      <c r="D254" s="40"/>
      <c r="E254" s="40"/>
      <c r="F254" s="40"/>
      <c r="G254" s="40"/>
      <c r="H254" s="40"/>
      <c r="I254" s="40"/>
      <c r="J254" s="266" t="s">
        <v>874</v>
      </c>
      <c r="K254" s="41"/>
      <c r="N254" s="12" t="s">
        <v>900</v>
      </c>
    </row>
    <row r="255" spans="2:14" x14ac:dyDescent="0.2">
      <c r="B255" s="38"/>
      <c r="C255" s="40" t="s">
        <v>261</v>
      </c>
      <c r="D255" s="40"/>
      <c r="E255" s="40"/>
      <c r="F255" s="40"/>
      <c r="G255" s="40"/>
      <c r="H255" s="40"/>
      <c r="I255" s="40"/>
      <c r="J255" s="245">
        <f>IF(J254=$B$973,$A$973,IF(J254=$B$974,$A$974,IF(J254=$B$975,$A$975,IF(J254=$B$976,$A$976,IF(J254=$B$977,$A$977,"Not Calculated")))))</f>
        <v>4</v>
      </c>
      <c r="K255" s="41"/>
      <c r="N255" s="12" t="s">
        <v>901</v>
      </c>
    </row>
    <row r="256" spans="2:14" x14ac:dyDescent="0.2">
      <c r="B256" s="38"/>
      <c r="C256" s="40" t="s">
        <v>893</v>
      </c>
      <c r="D256" s="40"/>
      <c r="E256" s="40"/>
      <c r="F256" s="40"/>
      <c r="G256" s="40"/>
      <c r="H256" s="40"/>
      <c r="I256" s="40"/>
      <c r="J256" s="40"/>
      <c r="K256" s="41"/>
      <c r="N256" s="12" t="s">
        <v>902</v>
      </c>
    </row>
    <row r="257" spans="2:11" ht="60" customHeight="1" x14ac:dyDescent="0.2">
      <c r="B257" s="38"/>
      <c r="C257" s="399" t="s">
        <v>495</v>
      </c>
      <c r="D257" s="400"/>
      <c r="E257" s="400"/>
      <c r="F257" s="400"/>
      <c r="G257" s="400"/>
      <c r="H257" s="400"/>
      <c r="I257" s="400"/>
      <c r="J257" s="401"/>
      <c r="K257" s="41"/>
    </row>
    <row r="258" spans="2:11" x14ac:dyDescent="0.2">
      <c r="B258" s="38"/>
      <c r="C258" s="40"/>
      <c r="D258" s="40"/>
      <c r="E258" s="40"/>
      <c r="F258" s="40"/>
      <c r="G258" s="40"/>
      <c r="H258" s="40"/>
      <c r="I258" s="40"/>
      <c r="J258" s="40"/>
      <c r="K258" s="41"/>
    </row>
    <row r="259" spans="2:11" x14ac:dyDescent="0.2">
      <c r="B259" s="38"/>
      <c r="C259" s="179" t="s">
        <v>279</v>
      </c>
      <c r="D259" s="40"/>
      <c r="E259" s="40"/>
      <c r="F259" s="40"/>
      <c r="G259" s="40"/>
      <c r="H259" s="40"/>
      <c r="I259" s="40"/>
      <c r="J259" s="245" t="str">
        <f>IF(J253="N/A",IF(OR(J246="Not Calculated",J255="Not Calculated")=TRUE,"Not Calculated",AVERAGE(J246,J255)),AVERAGE(J253,J255))</f>
        <v>Not Calculated</v>
      </c>
      <c r="K259" s="41"/>
    </row>
    <row r="260" spans="2:11" x14ac:dyDescent="0.2">
      <c r="B260" s="38"/>
      <c r="C260" s="40"/>
      <c r="D260" s="40"/>
      <c r="E260" s="40"/>
      <c r="F260" s="40"/>
      <c r="G260" s="40"/>
      <c r="H260" s="40"/>
      <c r="I260" s="40"/>
      <c r="J260" s="40"/>
      <c r="K260" s="41"/>
    </row>
    <row r="261" spans="2:11" ht="18" x14ac:dyDescent="0.2">
      <c r="B261" s="38"/>
      <c r="C261" s="180" t="s">
        <v>272</v>
      </c>
      <c r="D261" s="40"/>
      <c r="E261" s="40"/>
      <c r="F261" s="40"/>
      <c r="G261" s="40"/>
      <c r="H261" s="40"/>
      <c r="I261" s="40"/>
      <c r="J261" s="244" t="str">
        <f>IF(OR(J157="Not Calculated",J178="Not Calculated",J198="Not Calculated",J218="Not Calculated",J239="Not Calculated",J259="Not Calculated",)=TRUE,"Not Calculated",AVERAGE(J157,J178,J198,J218,J239,J259))</f>
        <v>Not Calculated</v>
      </c>
      <c r="K261" s="41"/>
    </row>
    <row r="262" spans="2:11" ht="16" thickBot="1" x14ac:dyDescent="0.25">
      <c r="B262" s="46"/>
      <c r="C262" s="47"/>
      <c r="D262" s="47"/>
      <c r="E262" s="47"/>
      <c r="F262" s="47"/>
      <c r="G262" s="47"/>
      <c r="H262" s="47"/>
      <c r="I262" s="47"/>
      <c r="J262" s="47"/>
      <c r="K262" s="49"/>
    </row>
    <row r="263" spans="2:11" ht="16" thickBot="1" x14ac:dyDescent="0.25"/>
    <row r="264" spans="2:11" x14ac:dyDescent="0.2">
      <c r="B264" s="33"/>
      <c r="C264" s="34"/>
      <c r="D264" s="34"/>
      <c r="E264" s="34"/>
      <c r="F264" s="34"/>
      <c r="G264" s="34"/>
      <c r="H264" s="34"/>
      <c r="I264" s="34"/>
      <c r="J264" s="34"/>
      <c r="K264" s="37"/>
    </row>
    <row r="265" spans="2:11" ht="21" x14ac:dyDescent="0.25">
      <c r="B265" s="38"/>
      <c r="C265" s="40"/>
      <c r="D265" s="40"/>
      <c r="E265" s="40"/>
      <c r="F265" s="40"/>
      <c r="G265" s="172" t="s">
        <v>864</v>
      </c>
      <c r="H265" s="40"/>
      <c r="I265" s="40"/>
      <c r="J265" s="40"/>
      <c r="K265" s="41"/>
    </row>
    <row r="266" spans="2:11" ht="15" customHeight="1" x14ac:dyDescent="0.2">
      <c r="B266" s="38"/>
      <c r="C266" s="40"/>
      <c r="D266" s="40"/>
      <c r="E266" s="40"/>
      <c r="F266" s="40"/>
      <c r="G266" s="40"/>
      <c r="H266" s="40"/>
      <c r="I266" s="40"/>
      <c r="J266" s="40"/>
      <c r="K266" s="41"/>
    </row>
    <row r="267" spans="2:11" ht="16" x14ac:dyDescent="0.2">
      <c r="B267" s="38"/>
      <c r="C267" s="45" t="s">
        <v>80</v>
      </c>
      <c r="D267" s="40"/>
      <c r="E267" s="40"/>
      <c r="F267" s="40"/>
      <c r="G267" s="40"/>
      <c r="H267" s="40"/>
      <c r="I267" s="40"/>
      <c r="J267" s="40"/>
      <c r="K267" s="41"/>
    </row>
    <row r="268" spans="2:11" x14ac:dyDescent="0.2">
      <c r="B268" s="38"/>
      <c r="C268" s="40" t="s">
        <v>283</v>
      </c>
      <c r="D268" s="40"/>
      <c r="E268" s="40"/>
      <c r="F268" s="40"/>
      <c r="G268" s="40"/>
      <c r="H268" s="40"/>
      <c r="I268" s="40"/>
      <c r="J268" s="250">
        <f>'Baseline Health'!G88</f>
        <v>0</v>
      </c>
      <c r="K268" s="41"/>
    </row>
    <row r="269" spans="2:11" x14ac:dyDescent="0.2">
      <c r="B269" s="38"/>
      <c r="C269" s="40" t="s">
        <v>284</v>
      </c>
      <c r="D269" s="40"/>
      <c r="E269" s="40"/>
      <c r="F269" s="40"/>
      <c r="G269" s="40"/>
      <c r="H269" s="40"/>
      <c r="I269" s="40"/>
      <c r="J269" s="264">
        <v>0</v>
      </c>
      <c r="K269" s="41"/>
    </row>
    <row r="270" spans="2:11" x14ac:dyDescent="0.2">
      <c r="B270" s="38"/>
      <c r="C270" s="40" t="s">
        <v>285</v>
      </c>
      <c r="D270" s="40"/>
      <c r="E270" s="40"/>
      <c r="F270" s="40"/>
      <c r="G270" s="40"/>
      <c r="H270" s="40"/>
      <c r="I270" s="40"/>
      <c r="J270" s="259">
        <f>'Baseline Health'!G93</f>
        <v>0</v>
      </c>
      <c r="K270" s="41"/>
    </row>
    <row r="271" spans="2:11" x14ac:dyDescent="0.2">
      <c r="B271" s="38"/>
      <c r="C271" s="40" t="s">
        <v>286</v>
      </c>
      <c r="D271" s="40"/>
      <c r="E271" s="40"/>
      <c r="F271" s="40"/>
      <c r="G271" s="40"/>
      <c r="H271" s="40"/>
      <c r="I271" s="40"/>
      <c r="J271" s="250">
        <f>J184</f>
        <v>69</v>
      </c>
      <c r="K271" s="41"/>
    </row>
    <row r="272" spans="2:11" x14ac:dyDescent="0.2">
      <c r="B272" s="38"/>
      <c r="C272" s="40"/>
      <c r="D272" s="40" t="s">
        <v>432</v>
      </c>
      <c r="E272" s="40"/>
      <c r="F272" s="40"/>
      <c r="G272" s="40"/>
      <c r="H272" s="40"/>
      <c r="I272" s="40"/>
      <c r="J272" s="40"/>
      <c r="K272" s="41"/>
    </row>
    <row r="273" spans="2:14" x14ac:dyDescent="0.2">
      <c r="B273" s="38"/>
      <c r="C273" s="40" t="s">
        <v>292</v>
      </c>
      <c r="D273" s="40"/>
      <c r="E273" s="40"/>
      <c r="F273" s="40"/>
      <c r="G273" s="40"/>
      <c r="H273" s="40"/>
      <c r="I273" s="40"/>
      <c r="J273" s="258" t="str">
        <f>'Baseline Health'!G97</f>
        <v>N/A</v>
      </c>
      <c r="K273" s="41"/>
    </row>
    <row r="274" spans="2:14" x14ac:dyDescent="0.2">
      <c r="B274" s="38"/>
      <c r="C274" s="40" t="s">
        <v>293</v>
      </c>
      <c r="D274" s="40"/>
      <c r="E274" s="40"/>
      <c r="F274" s="40"/>
      <c r="G274" s="40"/>
      <c r="H274" s="40"/>
      <c r="I274" s="40"/>
      <c r="J274" s="258" t="str">
        <f>IF(J273="N/A","N/A",IF(J268-J269=0,"No Nurses",((J270+J271)/(J268-J269))))</f>
        <v>N/A</v>
      </c>
      <c r="K274" s="41"/>
    </row>
    <row r="275" spans="2:14" x14ac:dyDescent="0.2">
      <c r="B275" s="38"/>
      <c r="C275" s="40" t="s">
        <v>260</v>
      </c>
      <c r="D275" s="40"/>
      <c r="E275" s="40"/>
      <c r="F275" s="40"/>
      <c r="G275" s="40"/>
      <c r="H275" s="40"/>
      <c r="I275" s="40"/>
      <c r="J275" s="245">
        <f>IF(J273=0,"Not Calculated",IF(J274="N/A",0,IF(J274="No Nurses",4,IF((J274/J273)&lt;=1,0,IF((J274/J273)&lt;=1.1,1,IF((J274/J273)&lt;=1=1.25,2,IF((J274/J273)&lt;=1.5,3,4)))))))</f>
        <v>0</v>
      </c>
      <c r="K275" s="41"/>
    </row>
    <row r="276" spans="2:14" ht="9.75" customHeight="1" x14ac:dyDescent="0.2">
      <c r="B276" s="38"/>
      <c r="C276" s="279" t="str">
        <f>"0:"</f>
        <v>0:</v>
      </c>
      <c r="D276" s="278" t="s">
        <v>927</v>
      </c>
      <c r="E276" s="40"/>
      <c r="F276" s="40"/>
      <c r="G276" s="40"/>
      <c r="H276" s="40"/>
      <c r="I276" s="40"/>
      <c r="J276" s="258"/>
      <c r="K276" s="41"/>
    </row>
    <row r="277" spans="2:14" ht="9.75" customHeight="1" x14ac:dyDescent="0.2">
      <c r="B277" s="38"/>
      <c r="C277" s="280" t="str">
        <f>"1:"</f>
        <v>1:</v>
      </c>
      <c r="D277" s="278" t="s">
        <v>928</v>
      </c>
      <c r="E277" s="40"/>
      <c r="F277" s="40"/>
      <c r="G277" s="40"/>
      <c r="H277" s="40"/>
      <c r="I277" s="40"/>
      <c r="J277" s="258"/>
      <c r="K277" s="41"/>
    </row>
    <row r="278" spans="2:14" ht="9.75" customHeight="1" x14ac:dyDescent="0.2">
      <c r="B278" s="38"/>
      <c r="C278" s="280" t="str">
        <f>"2:"</f>
        <v>2:</v>
      </c>
      <c r="D278" s="278" t="s">
        <v>929</v>
      </c>
      <c r="E278" s="40"/>
      <c r="F278" s="40"/>
      <c r="G278" s="40"/>
      <c r="H278" s="40"/>
      <c r="I278" s="40"/>
      <c r="J278" s="258"/>
      <c r="K278" s="41"/>
    </row>
    <row r="279" spans="2:14" ht="9.75" customHeight="1" x14ac:dyDescent="0.2">
      <c r="B279" s="38"/>
      <c r="C279" s="280" t="str">
        <f>"3:"</f>
        <v>3:</v>
      </c>
      <c r="D279" s="278" t="s">
        <v>930</v>
      </c>
      <c r="E279" s="40"/>
      <c r="F279" s="40"/>
      <c r="G279" s="40"/>
      <c r="H279" s="40"/>
      <c r="I279" s="40"/>
      <c r="J279" s="258"/>
      <c r="K279" s="41"/>
    </row>
    <row r="280" spans="2:14" ht="9.75" customHeight="1" x14ac:dyDescent="0.2">
      <c r="B280" s="38"/>
      <c r="C280" s="280" t="str">
        <f>"4:"</f>
        <v>4:</v>
      </c>
      <c r="D280" s="278" t="s">
        <v>931</v>
      </c>
      <c r="E280" s="40"/>
      <c r="F280" s="40"/>
      <c r="G280" s="40"/>
      <c r="H280" s="40"/>
      <c r="I280" s="40"/>
      <c r="J280" s="40"/>
      <c r="K280" s="41"/>
      <c r="N280" s="12" t="s">
        <v>661</v>
      </c>
    </row>
    <row r="281" spans="2:14" x14ac:dyDescent="0.2">
      <c r="B281" s="38"/>
      <c r="C281" s="174" t="s">
        <v>662</v>
      </c>
      <c r="D281" s="40"/>
      <c r="E281" s="40"/>
      <c r="F281" s="40"/>
      <c r="G281" s="40"/>
      <c r="H281" s="40"/>
      <c r="I281" s="40"/>
      <c r="J281" s="265" t="s">
        <v>661</v>
      </c>
      <c r="K281" s="41"/>
      <c r="N281" s="12" t="s">
        <v>903</v>
      </c>
    </row>
    <row r="282" spans="2:14" x14ac:dyDescent="0.2">
      <c r="B282" s="38"/>
      <c r="C282" s="174" t="s">
        <v>660</v>
      </c>
      <c r="D282" s="40"/>
      <c r="E282" s="40"/>
      <c r="F282" s="40"/>
      <c r="G282" s="40"/>
      <c r="H282" s="40"/>
      <c r="I282" s="40"/>
      <c r="J282" s="246" t="str">
        <f>IF(J281=N280,"N/A",IF(J281=N281,0,IF(J281=N282,1,IF(J281=N283,2,IF(J281=N284,3,IF(J281=N285,4,"N/A"))))))</f>
        <v>N/A</v>
      </c>
      <c r="K282" s="41"/>
      <c r="N282" s="12" t="s">
        <v>904</v>
      </c>
    </row>
    <row r="283" spans="2:14" x14ac:dyDescent="0.2">
      <c r="B283" s="38"/>
      <c r="C283" s="40" t="s">
        <v>257</v>
      </c>
      <c r="D283" s="40"/>
      <c r="E283" s="40"/>
      <c r="F283" s="40"/>
      <c r="G283" s="40"/>
      <c r="H283" s="40"/>
      <c r="I283" s="40"/>
      <c r="J283" s="266" t="s">
        <v>873</v>
      </c>
      <c r="K283" s="41"/>
      <c r="N283" s="12" t="s">
        <v>905</v>
      </c>
    </row>
    <row r="284" spans="2:14" x14ac:dyDescent="0.2">
      <c r="B284" s="38"/>
      <c r="C284" s="40" t="s">
        <v>261</v>
      </c>
      <c r="D284" s="40"/>
      <c r="E284" s="40"/>
      <c r="F284" s="40"/>
      <c r="G284" s="40"/>
      <c r="H284" s="40"/>
      <c r="I284" s="40"/>
      <c r="J284" s="248">
        <f>IF(J283=$B$973,$A$973,IF(J283=$B$974,$A$974,IF(J283=$B$975,$A$975,IF(J283=$B$976,$A$976,IF(J283=$B$977,$A$977,"Not Calculated")))))</f>
        <v>3</v>
      </c>
      <c r="K284" s="41"/>
      <c r="N284" s="12" t="s">
        <v>906</v>
      </c>
    </row>
    <row r="285" spans="2:14" x14ac:dyDescent="0.2">
      <c r="B285" s="38"/>
      <c r="C285" s="40" t="s">
        <v>893</v>
      </c>
      <c r="D285" s="40"/>
      <c r="E285" s="40"/>
      <c r="F285" s="40"/>
      <c r="G285" s="40"/>
      <c r="H285" s="40"/>
      <c r="I285" s="40"/>
      <c r="J285" s="40"/>
      <c r="K285" s="41"/>
      <c r="N285" s="12" t="s">
        <v>907</v>
      </c>
    </row>
    <row r="286" spans="2:14" ht="30" customHeight="1" x14ac:dyDescent="0.2">
      <c r="B286" s="38"/>
      <c r="C286" s="399"/>
      <c r="D286" s="400"/>
      <c r="E286" s="400"/>
      <c r="F286" s="400"/>
      <c r="G286" s="400"/>
      <c r="H286" s="400"/>
      <c r="I286" s="400"/>
      <c r="J286" s="401"/>
      <c r="K286" s="41"/>
    </row>
    <row r="287" spans="2:14" x14ac:dyDescent="0.2">
      <c r="B287" s="38"/>
      <c r="C287" s="40"/>
      <c r="D287" s="40"/>
      <c r="E287" s="40"/>
      <c r="F287" s="40"/>
      <c r="G287" s="40"/>
      <c r="H287" s="40"/>
      <c r="I287" s="40"/>
      <c r="J287" s="40"/>
      <c r="K287" s="41"/>
    </row>
    <row r="288" spans="2:14" x14ac:dyDescent="0.2">
      <c r="B288" s="38"/>
      <c r="C288" s="179" t="s">
        <v>295</v>
      </c>
      <c r="D288" s="40"/>
      <c r="E288" s="40"/>
      <c r="F288" s="40"/>
      <c r="G288" s="40"/>
      <c r="H288" s="40"/>
      <c r="I288" s="40"/>
      <c r="J288" s="245">
        <f>IF(J282="N/A",IF(OR(J275="Not Calculated",J284="Not Calculated")=TRUE,"Not Calculated",AVERAGE(J275,J284)),AVERAGE(J282,J284))</f>
        <v>1.5</v>
      </c>
      <c r="K288" s="41"/>
    </row>
    <row r="289" spans="2:11" x14ac:dyDescent="0.2">
      <c r="B289" s="38"/>
      <c r="C289" s="40"/>
      <c r="D289" s="40"/>
      <c r="E289" s="40"/>
      <c r="F289" s="40"/>
      <c r="G289" s="40"/>
      <c r="H289" s="40"/>
      <c r="I289" s="40"/>
      <c r="J289" s="245"/>
      <c r="K289" s="41"/>
    </row>
    <row r="290" spans="2:11" x14ac:dyDescent="0.2">
      <c r="B290" s="38"/>
      <c r="C290" s="40"/>
      <c r="D290" s="40"/>
      <c r="E290" s="40"/>
      <c r="F290" s="40"/>
      <c r="G290" s="40"/>
      <c r="H290" s="40"/>
      <c r="I290" s="40"/>
      <c r="J290" s="40"/>
      <c r="K290" s="41"/>
    </row>
    <row r="291" spans="2:11" ht="16" x14ac:dyDescent="0.2">
      <c r="B291" s="38"/>
      <c r="C291" s="45" t="s">
        <v>856</v>
      </c>
      <c r="D291" s="40"/>
      <c r="E291" s="40"/>
      <c r="F291" s="40"/>
      <c r="G291" s="40"/>
      <c r="H291" s="40"/>
      <c r="I291" s="40"/>
      <c r="J291" s="40"/>
      <c r="K291" s="41"/>
    </row>
    <row r="292" spans="2:11" x14ac:dyDescent="0.2">
      <c r="B292" s="38"/>
      <c r="C292" s="380" t="s">
        <v>855</v>
      </c>
      <c r="D292" s="380"/>
      <c r="E292" s="380"/>
      <c r="F292" s="380"/>
      <c r="G292" s="380"/>
      <c r="H292" s="380"/>
      <c r="I292" s="380"/>
      <c r="J292" s="40"/>
      <c r="K292" s="41"/>
    </row>
    <row r="293" spans="2:11" x14ac:dyDescent="0.2">
      <c r="B293" s="38"/>
      <c r="C293" s="380"/>
      <c r="D293" s="380"/>
      <c r="E293" s="380"/>
      <c r="F293" s="380"/>
      <c r="G293" s="380"/>
      <c r="H293" s="380"/>
      <c r="I293" s="380"/>
      <c r="J293" s="264">
        <v>0</v>
      </c>
      <c r="K293" s="41"/>
    </row>
    <row r="294" spans="2:11" x14ac:dyDescent="0.2">
      <c r="B294" s="38"/>
      <c r="C294" s="40" t="s">
        <v>853</v>
      </c>
      <c r="D294" s="291"/>
      <c r="E294" s="291"/>
      <c r="F294" s="291"/>
      <c r="G294" s="291"/>
      <c r="H294" s="291"/>
      <c r="I294" s="291"/>
      <c r="J294" s="255">
        <f>'Baseline Health'!$G$102</f>
        <v>0</v>
      </c>
      <c r="K294" s="41"/>
    </row>
    <row r="295" spans="2:11" x14ac:dyDescent="0.2">
      <c r="B295" s="38"/>
      <c r="C295" s="40" t="s">
        <v>842</v>
      </c>
      <c r="D295" s="40"/>
      <c r="E295" s="40"/>
      <c r="F295" s="40"/>
      <c r="G295" s="40"/>
      <c r="H295" s="40"/>
      <c r="I295" s="40"/>
      <c r="J295" s="244" t="str">
        <f>IF('Baseline Health'!$G$102=0,"Not Calculated",100*J293/'Baseline Health'!$G$102)</f>
        <v>Not Calculated</v>
      </c>
      <c r="K295" s="41"/>
    </row>
    <row r="296" spans="2:11" x14ac:dyDescent="0.2">
      <c r="B296" s="38"/>
      <c r="C296" s="40" t="s">
        <v>260</v>
      </c>
      <c r="D296" s="40"/>
      <c r="E296" s="40"/>
      <c r="F296" s="40"/>
      <c r="G296" s="40"/>
      <c r="H296" s="40"/>
      <c r="I296" s="40"/>
      <c r="J296" s="245">
        <f>IF(J295&lt;=0,0,IF(J295&lt;=1,1,IF(J295&lt;=5,2,IF(J295&lt;=10,3,4))))</f>
        <v>4</v>
      </c>
      <c r="K296" s="41"/>
    </row>
    <row r="297" spans="2:11" ht="9.75" customHeight="1" x14ac:dyDescent="0.2">
      <c r="B297" s="38"/>
      <c r="C297" s="279" t="str">
        <f>"0:"</f>
        <v>0:</v>
      </c>
      <c r="D297" s="278" t="s">
        <v>932</v>
      </c>
      <c r="E297" s="40"/>
      <c r="F297" s="40"/>
      <c r="G297" s="40"/>
      <c r="H297" s="40"/>
      <c r="I297" s="40"/>
      <c r="J297" s="244"/>
      <c r="K297" s="41"/>
    </row>
    <row r="298" spans="2:11" ht="9.75" customHeight="1" x14ac:dyDescent="0.2">
      <c r="B298" s="38"/>
      <c r="C298" s="280" t="str">
        <f>"1:"</f>
        <v>1:</v>
      </c>
      <c r="D298" s="278" t="s">
        <v>934</v>
      </c>
      <c r="E298" s="40"/>
      <c r="F298" s="40"/>
      <c r="G298" s="40"/>
      <c r="H298" s="40"/>
      <c r="I298" s="40"/>
      <c r="J298" s="244"/>
      <c r="K298" s="41"/>
    </row>
    <row r="299" spans="2:11" ht="9.75" customHeight="1" x14ac:dyDescent="0.2">
      <c r="B299" s="38"/>
      <c r="C299" s="280" t="str">
        <f>"2:"</f>
        <v>2:</v>
      </c>
      <c r="D299" s="278" t="s">
        <v>933</v>
      </c>
      <c r="E299" s="40"/>
      <c r="F299" s="40"/>
      <c r="G299" s="40"/>
      <c r="H299" s="40"/>
      <c r="I299" s="40"/>
      <c r="J299" s="244"/>
      <c r="K299" s="41"/>
    </row>
    <row r="300" spans="2:11" ht="9.75" customHeight="1" x14ac:dyDescent="0.2">
      <c r="B300" s="38"/>
      <c r="C300" s="280" t="str">
        <f>"3:"</f>
        <v>3:</v>
      </c>
      <c r="D300" s="278" t="s">
        <v>935</v>
      </c>
      <c r="E300" s="40"/>
      <c r="F300" s="40"/>
      <c r="G300" s="40"/>
      <c r="H300" s="40"/>
      <c r="I300" s="40"/>
      <c r="J300" s="244"/>
      <c r="K300" s="41"/>
    </row>
    <row r="301" spans="2:11" ht="9.75" customHeight="1" x14ac:dyDescent="0.2">
      <c r="B301" s="38"/>
      <c r="C301" s="280" t="str">
        <f>"4:"</f>
        <v>4:</v>
      </c>
      <c r="D301" s="278" t="s">
        <v>936</v>
      </c>
      <c r="E301" s="40"/>
      <c r="F301" s="40"/>
      <c r="G301" s="40"/>
      <c r="H301" s="40"/>
      <c r="I301" s="40"/>
      <c r="J301" s="40"/>
      <c r="K301" s="41"/>
    </row>
    <row r="302" spans="2:11" x14ac:dyDescent="0.2">
      <c r="B302" s="38"/>
      <c r="C302" s="40" t="s">
        <v>257</v>
      </c>
      <c r="D302" s="40"/>
      <c r="E302" s="40"/>
      <c r="F302" s="40"/>
      <c r="G302" s="40"/>
      <c r="H302" s="40"/>
      <c r="I302" s="40"/>
      <c r="J302" s="266" t="s">
        <v>870</v>
      </c>
      <c r="K302" s="41"/>
    </row>
    <row r="303" spans="2:11" x14ac:dyDescent="0.2">
      <c r="B303" s="38"/>
      <c r="C303" s="40" t="s">
        <v>261</v>
      </c>
      <c r="D303" s="40"/>
      <c r="E303" s="40"/>
      <c r="F303" s="40"/>
      <c r="G303" s="40"/>
      <c r="H303" s="40"/>
      <c r="I303" s="40"/>
      <c r="J303" s="245">
        <f>IF(J302=$B$980,$A$980,IF(J302=$B$981,$A$981,IF(J302=$B$982,$A$982,IF(J302=$B$983,$A$983,IF(J302=$B$984,$A$984,"Not Calculated")))))</f>
        <v>0</v>
      </c>
      <c r="K303" s="41"/>
    </row>
    <row r="304" spans="2:11" x14ac:dyDescent="0.2">
      <c r="B304" s="38"/>
      <c r="C304" s="40" t="s">
        <v>893</v>
      </c>
      <c r="D304" s="40"/>
      <c r="E304" s="40"/>
      <c r="F304" s="40"/>
      <c r="G304" s="40"/>
      <c r="H304" s="40"/>
      <c r="I304" s="40"/>
      <c r="J304" s="40"/>
      <c r="K304" s="41"/>
    </row>
    <row r="305" spans="2:11" ht="30" customHeight="1" x14ac:dyDescent="0.2">
      <c r="B305" s="38"/>
      <c r="C305" s="399"/>
      <c r="D305" s="400"/>
      <c r="E305" s="400"/>
      <c r="F305" s="400"/>
      <c r="G305" s="400"/>
      <c r="H305" s="400"/>
      <c r="I305" s="400"/>
      <c r="J305" s="401"/>
      <c r="K305" s="41"/>
    </row>
    <row r="306" spans="2:11" x14ac:dyDescent="0.2">
      <c r="B306" s="38"/>
      <c r="C306" s="40"/>
      <c r="D306" s="40"/>
      <c r="E306" s="40"/>
      <c r="F306" s="40"/>
      <c r="G306" s="40"/>
      <c r="H306" s="40"/>
      <c r="I306" s="40"/>
      <c r="J306" s="40"/>
      <c r="K306" s="41"/>
    </row>
    <row r="307" spans="2:11" x14ac:dyDescent="0.2">
      <c r="B307" s="38"/>
      <c r="C307" s="179" t="s">
        <v>885</v>
      </c>
      <c r="D307" s="40"/>
      <c r="E307" s="40"/>
      <c r="F307" s="40"/>
      <c r="G307" s="40"/>
      <c r="H307" s="40"/>
      <c r="I307" s="40"/>
      <c r="J307" s="245">
        <f>IF(OR(J296="Not Calculated",J303="Not Calculated")=TRUE,"Not Calculated",AVERAGE(J296,J303))</f>
        <v>2</v>
      </c>
      <c r="K307" s="41"/>
    </row>
    <row r="308" spans="2:11" x14ac:dyDescent="0.2">
      <c r="B308" s="38"/>
      <c r="C308" s="40"/>
      <c r="D308" s="40"/>
      <c r="E308" s="40"/>
      <c r="F308" s="40"/>
      <c r="G308" s="40"/>
      <c r="H308" s="40"/>
      <c r="I308" s="40"/>
      <c r="J308" s="40"/>
      <c r="K308" s="41"/>
    </row>
    <row r="309" spans="2:11" x14ac:dyDescent="0.2">
      <c r="B309" s="38"/>
      <c r="C309" s="40"/>
      <c r="D309" s="40"/>
      <c r="E309" s="40"/>
      <c r="F309" s="40"/>
      <c r="G309" s="40"/>
      <c r="H309" s="40"/>
      <c r="I309" s="40"/>
      <c r="J309" s="40"/>
      <c r="K309" s="41"/>
    </row>
    <row r="310" spans="2:11" ht="16" x14ac:dyDescent="0.2">
      <c r="B310" s="38"/>
      <c r="C310" s="45" t="s">
        <v>857</v>
      </c>
      <c r="D310" s="40"/>
      <c r="E310" s="40"/>
      <c r="F310" s="40"/>
      <c r="G310" s="40"/>
      <c r="H310" s="40"/>
      <c r="I310" s="40"/>
      <c r="J310" s="40"/>
      <c r="K310" s="41"/>
    </row>
    <row r="311" spans="2:11" x14ac:dyDescent="0.2">
      <c r="B311" s="38"/>
      <c r="C311" s="380" t="s">
        <v>843</v>
      </c>
      <c r="D311" s="380"/>
      <c r="E311" s="380"/>
      <c r="F311" s="380"/>
      <c r="G311" s="380"/>
      <c r="H311" s="380"/>
      <c r="I311" s="380"/>
      <c r="J311" s="40"/>
      <c r="K311" s="41"/>
    </row>
    <row r="312" spans="2:11" x14ac:dyDescent="0.2">
      <c r="B312" s="38"/>
      <c r="C312" s="380"/>
      <c r="D312" s="380"/>
      <c r="E312" s="380"/>
      <c r="F312" s="380"/>
      <c r="G312" s="380"/>
      <c r="H312" s="380"/>
      <c r="I312" s="380"/>
      <c r="J312" s="264">
        <v>0</v>
      </c>
      <c r="K312" s="41"/>
    </row>
    <row r="313" spans="2:11" x14ac:dyDescent="0.2">
      <c r="B313" s="38"/>
      <c r="C313" s="40" t="s">
        <v>853</v>
      </c>
      <c r="D313" s="291"/>
      <c r="E313" s="291"/>
      <c r="F313" s="291"/>
      <c r="G313" s="291"/>
      <c r="H313" s="291"/>
      <c r="I313" s="291"/>
      <c r="J313" s="255">
        <f>'Baseline Health'!$G$102</f>
        <v>0</v>
      </c>
      <c r="K313" s="41"/>
    </row>
    <row r="314" spans="2:11" x14ac:dyDescent="0.2">
      <c r="B314" s="38"/>
      <c r="C314" s="40" t="s">
        <v>842</v>
      </c>
      <c r="D314" s="40"/>
      <c r="E314" s="40"/>
      <c r="F314" s="40"/>
      <c r="G314" s="40"/>
      <c r="H314" s="40"/>
      <c r="I314" s="40"/>
      <c r="J314" s="244" t="str">
        <f>IF('Baseline Health'!$G$102=0,"Not Calculated",100*J312/'Baseline Health'!$G$102)</f>
        <v>Not Calculated</v>
      </c>
      <c r="K314" s="41"/>
    </row>
    <row r="315" spans="2:11" x14ac:dyDescent="0.2">
      <c r="B315" s="38"/>
      <c r="C315" s="40" t="s">
        <v>260</v>
      </c>
      <c r="D315" s="40"/>
      <c r="E315" s="40"/>
      <c r="F315" s="40"/>
      <c r="G315" s="40"/>
      <c r="H315" s="40"/>
      <c r="I315" s="40"/>
      <c r="J315" s="245">
        <f>IF(J314&lt;=0,0,IF(J314&lt;=1,1,IF(J314&lt;=5,2,IF(J314&lt;=10,3,4))))</f>
        <v>4</v>
      </c>
      <c r="K315" s="41"/>
    </row>
    <row r="316" spans="2:11" ht="9.75" customHeight="1" x14ac:dyDescent="0.2">
      <c r="B316" s="38"/>
      <c r="C316" s="279" t="str">
        <f>"0:"</f>
        <v>0:</v>
      </c>
      <c r="D316" s="278" t="s">
        <v>932</v>
      </c>
      <c r="E316" s="40"/>
      <c r="F316" s="40"/>
      <c r="G316" s="40"/>
      <c r="H316" s="40"/>
      <c r="I316" s="40"/>
      <c r="J316" s="244"/>
      <c r="K316" s="41"/>
    </row>
    <row r="317" spans="2:11" ht="9.75" customHeight="1" x14ac:dyDescent="0.2">
      <c r="B317" s="38"/>
      <c r="C317" s="280" t="str">
        <f>"1:"</f>
        <v>1:</v>
      </c>
      <c r="D317" s="278" t="s">
        <v>934</v>
      </c>
      <c r="E317" s="40"/>
      <c r="F317" s="40"/>
      <c r="G317" s="40"/>
      <c r="H317" s="40"/>
      <c r="I317" s="40"/>
      <c r="J317" s="244"/>
      <c r="K317" s="41"/>
    </row>
    <row r="318" spans="2:11" ht="9.75" customHeight="1" x14ac:dyDescent="0.2">
      <c r="B318" s="38"/>
      <c r="C318" s="280" t="str">
        <f>"2:"</f>
        <v>2:</v>
      </c>
      <c r="D318" s="278" t="s">
        <v>933</v>
      </c>
      <c r="E318" s="40"/>
      <c r="F318" s="40"/>
      <c r="G318" s="40"/>
      <c r="H318" s="40"/>
      <c r="I318" s="40"/>
      <c r="J318" s="244"/>
      <c r="K318" s="41"/>
    </row>
    <row r="319" spans="2:11" ht="9.75" customHeight="1" x14ac:dyDescent="0.2">
      <c r="B319" s="38"/>
      <c r="C319" s="280" t="str">
        <f>"3:"</f>
        <v>3:</v>
      </c>
      <c r="D319" s="278" t="s">
        <v>935</v>
      </c>
      <c r="E319" s="40"/>
      <c r="F319" s="40"/>
      <c r="G319" s="40"/>
      <c r="H319" s="40"/>
      <c r="I319" s="40"/>
      <c r="J319" s="244"/>
      <c r="K319" s="41"/>
    </row>
    <row r="320" spans="2:11" ht="9.75" customHeight="1" x14ac:dyDescent="0.2">
      <c r="B320" s="38"/>
      <c r="C320" s="280" t="str">
        <f>"4:"</f>
        <v>4:</v>
      </c>
      <c r="D320" s="278" t="s">
        <v>936</v>
      </c>
      <c r="E320" s="40"/>
      <c r="F320" s="40"/>
      <c r="G320" s="40"/>
      <c r="H320" s="40"/>
      <c r="I320" s="40"/>
      <c r="J320" s="40"/>
      <c r="K320" s="41"/>
    </row>
    <row r="321" spans="2:11" x14ac:dyDescent="0.2">
      <c r="B321" s="38"/>
      <c r="C321" s="40" t="s">
        <v>296</v>
      </c>
      <c r="D321" s="40"/>
      <c r="E321" s="40"/>
      <c r="F321" s="40"/>
      <c r="G321" s="40"/>
      <c r="H321" s="40"/>
      <c r="I321" s="40"/>
      <c r="J321" s="266">
        <v>0</v>
      </c>
      <c r="K321" s="41"/>
    </row>
    <row r="322" spans="2:11" x14ac:dyDescent="0.2">
      <c r="B322" s="38"/>
      <c r="C322" s="40" t="s">
        <v>261</v>
      </c>
      <c r="D322" s="40"/>
      <c r="E322" s="40"/>
      <c r="F322" s="40"/>
      <c r="G322" s="40"/>
      <c r="H322" s="40"/>
      <c r="I322" s="40"/>
      <c r="J322" s="245">
        <f>IF(J321&lt;=0,0,IF(J321&lt;=2,1,IF(J321&lt;=6,2,IF(J321&lt;=12,3,4))))</f>
        <v>0</v>
      </c>
      <c r="K322" s="41"/>
    </row>
    <row r="323" spans="2:11" x14ac:dyDescent="0.2">
      <c r="B323" s="38"/>
      <c r="C323" s="40" t="s">
        <v>893</v>
      </c>
      <c r="D323" s="40"/>
      <c r="E323" s="40"/>
      <c r="F323" s="40"/>
      <c r="G323" s="40"/>
      <c r="H323" s="40"/>
      <c r="I323" s="40"/>
      <c r="J323" s="40"/>
      <c r="K323" s="41"/>
    </row>
    <row r="324" spans="2:11" ht="30" customHeight="1" x14ac:dyDescent="0.2">
      <c r="B324" s="38"/>
      <c r="C324" s="399"/>
      <c r="D324" s="400"/>
      <c r="E324" s="400"/>
      <c r="F324" s="400"/>
      <c r="G324" s="400"/>
      <c r="H324" s="400"/>
      <c r="I324" s="400"/>
      <c r="J324" s="401"/>
      <c r="K324" s="41"/>
    </row>
    <row r="325" spans="2:11" x14ac:dyDescent="0.2">
      <c r="B325" s="38"/>
      <c r="C325" s="40"/>
      <c r="D325" s="40"/>
      <c r="E325" s="40"/>
      <c r="F325" s="40"/>
      <c r="G325" s="40"/>
      <c r="H325" s="40"/>
      <c r="I325" s="40"/>
      <c r="J325" s="40"/>
      <c r="K325" s="41"/>
    </row>
    <row r="326" spans="2:11" x14ac:dyDescent="0.2">
      <c r="B326" s="38"/>
      <c r="C326" s="179" t="s">
        <v>886</v>
      </c>
      <c r="D326" s="40"/>
      <c r="E326" s="40"/>
      <c r="F326" s="40"/>
      <c r="G326" s="40"/>
      <c r="H326" s="40"/>
      <c r="I326" s="40"/>
      <c r="J326" s="245">
        <f>IF(OR(J315="Not Calculated",J322="Not Calculated")=TRUE,"Not Calculated",AVERAGE(J315,J322))</f>
        <v>2</v>
      </c>
      <c r="K326" s="41"/>
    </row>
    <row r="327" spans="2:11" x14ac:dyDescent="0.2">
      <c r="B327" s="38"/>
      <c r="C327" s="40"/>
      <c r="D327" s="40"/>
      <c r="E327" s="40"/>
      <c r="F327" s="40"/>
      <c r="G327" s="40"/>
      <c r="H327" s="40"/>
      <c r="I327" s="40"/>
      <c r="J327" s="40"/>
      <c r="K327" s="41"/>
    </row>
    <row r="328" spans="2:11" x14ac:dyDescent="0.2">
      <c r="B328" s="38"/>
      <c r="C328" s="40"/>
      <c r="D328" s="40"/>
      <c r="E328" s="40"/>
      <c r="F328" s="40"/>
      <c r="G328" s="40"/>
      <c r="H328" s="40"/>
      <c r="I328" s="40"/>
      <c r="J328" s="40"/>
      <c r="K328" s="41"/>
    </row>
    <row r="329" spans="2:11" ht="16" x14ac:dyDescent="0.2">
      <c r="B329" s="38"/>
      <c r="C329" s="45" t="s">
        <v>858</v>
      </c>
      <c r="D329" s="40"/>
      <c r="E329" s="40"/>
      <c r="F329" s="40"/>
      <c r="G329" s="40"/>
      <c r="H329" s="40"/>
      <c r="I329" s="40"/>
      <c r="J329" s="40"/>
      <c r="K329" s="41"/>
    </row>
    <row r="330" spans="2:11" ht="15" customHeight="1" x14ac:dyDescent="0.2">
      <c r="B330" s="38"/>
      <c r="C330" s="380" t="s">
        <v>844</v>
      </c>
      <c r="D330" s="380"/>
      <c r="E330" s="380"/>
      <c r="F330" s="380"/>
      <c r="G330" s="380"/>
      <c r="H330" s="380"/>
      <c r="I330" s="380"/>
      <c r="J330" s="40"/>
      <c r="K330" s="41"/>
    </row>
    <row r="331" spans="2:11" x14ac:dyDescent="0.2">
      <c r="B331" s="38"/>
      <c r="C331" s="380"/>
      <c r="D331" s="380"/>
      <c r="E331" s="380"/>
      <c r="F331" s="380"/>
      <c r="G331" s="380"/>
      <c r="H331" s="380"/>
      <c r="I331" s="380"/>
      <c r="J331" s="264">
        <v>0</v>
      </c>
      <c r="K331" s="41"/>
    </row>
    <row r="332" spans="2:11" x14ac:dyDescent="0.2">
      <c r="B332" s="38"/>
      <c r="C332" s="40" t="s">
        <v>853</v>
      </c>
      <c r="D332" s="291"/>
      <c r="E332" s="291"/>
      <c r="F332" s="291"/>
      <c r="G332" s="291"/>
      <c r="H332" s="291"/>
      <c r="I332" s="291"/>
      <c r="J332" s="255">
        <f>'Baseline Health'!$G$102</f>
        <v>0</v>
      </c>
      <c r="K332" s="41"/>
    </row>
    <row r="333" spans="2:11" x14ac:dyDescent="0.2">
      <c r="B333" s="38"/>
      <c r="C333" s="40" t="s">
        <v>845</v>
      </c>
      <c r="D333" s="40"/>
      <c r="E333" s="40"/>
      <c r="F333" s="40"/>
      <c r="G333" s="40"/>
      <c r="H333" s="40"/>
      <c r="I333" s="40"/>
      <c r="J333" s="244" t="str">
        <f>IF('Baseline Health'!$G$102=0,"Not Calculated",100*J331/'Baseline Health'!$G$102)</f>
        <v>Not Calculated</v>
      </c>
      <c r="K333" s="41"/>
    </row>
    <row r="334" spans="2:11" x14ac:dyDescent="0.2">
      <c r="B334" s="38"/>
      <c r="C334" s="40" t="s">
        <v>260</v>
      </c>
      <c r="D334" s="40"/>
      <c r="E334" s="40"/>
      <c r="F334" s="40"/>
      <c r="G334" s="40"/>
      <c r="H334" s="40"/>
      <c r="I334" s="40"/>
      <c r="J334" s="245">
        <f>IF(J333&lt;=0,0,IF(J333&lt;=1,1,IF(J333&lt;=5,2,IF(J333&lt;=10,3,4))))</f>
        <v>4</v>
      </c>
      <c r="K334" s="41"/>
    </row>
    <row r="335" spans="2:11" ht="9.75" customHeight="1" x14ac:dyDescent="0.2">
      <c r="B335" s="38"/>
      <c r="C335" s="279" t="str">
        <f>"0:"</f>
        <v>0:</v>
      </c>
      <c r="D335" s="278" t="s">
        <v>932</v>
      </c>
      <c r="E335" s="40"/>
      <c r="F335" s="40"/>
      <c r="G335" s="40"/>
      <c r="H335" s="40"/>
      <c r="I335" s="40"/>
      <c r="J335" s="244"/>
      <c r="K335" s="41"/>
    </row>
    <row r="336" spans="2:11" ht="9.75" customHeight="1" x14ac:dyDescent="0.2">
      <c r="B336" s="38"/>
      <c r="C336" s="280" t="str">
        <f>"1:"</f>
        <v>1:</v>
      </c>
      <c r="D336" s="278" t="s">
        <v>934</v>
      </c>
      <c r="E336" s="40"/>
      <c r="F336" s="40"/>
      <c r="G336" s="40"/>
      <c r="H336" s="40"/>
      <c r="I336" s="40"/>
      <c r="J336" s="244"/>
      <c r="K336" s="41"/>
    </row>
    <row r="337" spans="2:11" ht="9.75" customHeight="1" x14ac:dyDescent="0.2">
      <c r="B337" s="38"/>
      <c r="C337" s="280" t="str">
        <f>"2:"</f>
        <v>2:</v>
      </c>
      <c r="D337" s="278" t="s">
        <v>933</v>
      </c>
      <c r="E337" s="40"/>
      <c r="F337" s="40"/>
      <c r="G337" s="40"/>
      <c r="H337" s="40"/>
      <c r="I337" s="40"/>
      <c r="J337" s="244"/>
      <c r="K337" s="41"/>
    </row>
    <row r="338" spans="2:11" ht="9.75" customHeight="1" x14ac:dyDescent="0.2">
      <c r="B338" s="38"/>
      <c r="C338" s="280" t="str">
        <f>"3:"</f>
        <v>3:</v>
      </c>
      <c r="D338" s="278" t="s">
        <v>935</v>
      </c>
      <c r="E338" s="40"/>
      <c r="F338" s="40"/>
      <c r="G338" s="40"/>
      <c r="H338" s="40"/>
      <c r="I338" s="40"/>
      <c r="J338" s="244"/>
      <c r="K338" s="41"/>
    </row>
    <row r="339" spans="2:11" ht="9.75" customHeight="1" x14ac:dyDescent="0.2">
      <c r="B339" s="38"/>
      <c r="C339" s="280" t="str">
        <f>"4:"</f>
        <v>4:</v>
      </c>
      <c r="D339" s="278" t="s">
        <v>936</v>
      </c>
      <c r="E339" s="40"/>
      <c r="F339" s="40"/>
      <c r="G339" s="40"/>
      <c r="H339" s="40"/>
      <c r="I339" s="40"/>
      <c r="J339" s="40"/>
      <c r="K339" s="41"/>
    </row>
    <row r="340" spans="2:11" x14ac:dyDescent="0.2">
      <c r="B340" s="38"/>
      <c r="C340" s="380" t="s">
        <v>84</v>
      </c>
      <c r="D340" s="380"/>
      <c r="E340" s="380"/>
      <c r="F340" s="380"/>
      <c r="G340" s="380"/>
      <c r="H340" s="380"/>
      <c r="I340" s="380"/>
      <c r="J340" s="245"/>
      <c r="K340" s="41"/>
    </row>
    <row r="341" spans="2:11" x14ac:dyDescent="0.2">
      <c r="B341" s="38"/>
      <c r="C341" s="380"/>
      <c r="D341" s="380"/>
      <c r="E341" s="380"/>
      <c r="F341" s="380"/>
      <c r="G341" s="380"/>
      <c r="H341" s="380"/>
      <c r="I341" s="380"/>
      <c r="J341" s="245">
        <f>'Baseline Health'!G108</f>
        <v>40</v>
      </c>
      <c r="K341" s="41"/>
    </row>
    <row r="342" spans="2:11" ht="15" customHeight="1" x14ac:dyDescent="0.2">
      <c r="B342" s="38"/>
      <c r="C342" s="40" t="s">
        <v>833</v>
      </c>
      <c r="D342" s="40"/>
      <c r="E342" s="40"/>
      <c r="F342" s="40"/>
      <c r="G342" s="40"/>
      <c r="H342" s="40"/>
      <c r="I342" s="40"/>
      <c r="J342" s="245">
        <f>IF(J341&gt;J321,0,J321-J341)</f>
        <v>0</v>
      </c>
      <c r="K342" s="41"/>
    </row>
    <row r="343" spans="2:11" x14ac:dyDescent="0.2">
      <c r="B343" s="38"/>
      <c r="C343" s="40"/>
      <c r="D343" s="380" t="s">
        <v>834</v>
      </c>
      <c r="E343" s="380"/>
      <c r="F343" s="380"/>
      <c r="G343" s="380"/>
      <c r="H343" s="380"/>
      <c r="I343" s="380"/>
      <c r="J343" s="40"/>
      <c r="K343" s="41"/>
    </row>
    <row r="344" spans="2:11" x14ac:dyDescent="0.2">
      <c r="B344" s="38"/>
      <c r="C344" s="40"/>
      <c r="D344" s="380"/>
      <c r="E344" s="380"/>
      <c r="F344" s="380"/>
      <c r="G344" s="380"/>
      <c r="H344" s="380"/>
      <c r="I344" s="380"/>
      <c r="J344" s="40"/>
      <c r="K344" s="41"/>
    </row>
    <row r="345" spans="2:11" x14ac:dyDescent="0.2">
      <c r="B345" s="38"/>
      <c r="C345" s="40" t="s">
        <v>261</v>
      </c>
      <c r="D345" s="40"/>
      <c r="E345" s="40"/>
      <c r="F345" s="40"/>
      <c r="G345" s="40"/>
      <c r="H345" s="40"/>
      <c r="I345" s="40"/>
      <c r="J345" s="245">
        <f>IF(J342&lt;=0,0,IF(J342&lt;=2,1,IF(J342&lt;=6,2,IF(J342&lt;=12,3,4))))</f>
        <v>0</v>
      </c>
      <c r="K345" s="41"/>
    </row>
    <row r="346" spans="2:11" x14ac:dyDescent="0.2">
      <c r="B346" s="38"/>
      <c r="C346" s="40" t="s">
        <v>893</v>
      </c>
      <c r="D346" s="40"/>
      <c r="E346" s="40"/>
      <c r="F346" s="40"/>
      <c r="G346" s="40"/>
      <c r="H346" s="40"/>
      <c r="I346" s="40"/>
      <c r="J346" s="40"/>
      <c r="K346" s="41"/>
    </row>
    <row r="347" spans="2:11" ht="30" customHeight="1" x14ac:dyDescent="0.2">
      <c r="B347" s="38"/>
      <c r="C347" s="399"/>
      <c r="D347" s="400"/>
      <c r="E347" s="400"/>
      <c r="F347" s="400"/>
      <c r="G347" s="400"/>
      <c r="H347" s="400"/>
      <c r="I347" s="400"/>
      <c r="J347" s="401"/>
      <c r="K347" s="41"/>
    </row>
    <row r="348" spans="2:11" x14ac:dyDescent="0.2">
      <c r="B348" s="38"/>
      <c r="C348" s="40"/>
      <c r="D348" s="40"/>
      <c r="E348" s="40"/>
      <c r="F348" s="40"/>
      <c r="G348" s="40"/>
      <c r="H348" s="40"/>
      <c r="I348" s="40"/>
      <c r="J348" s="40"/>
      <c r="K348" s="41"/>
    </row>
    <row r="349" spans="2:11" x14ac:dyDescent="0.2">
      <c r="B349" s="38"/>
      <c r="C349" s="179" t="s">
        <v>887</v>
      </c>
      <c r="D349" s="40"/>
      <c r="E349" s="40"/>
      <c r="F349" s="40"/>
      <c r="G349" s="40"/>
      <c r="H349" s="40"/>
      <c r="I349" s="40"/>
      <c r="J349" s="245">
        <f>IF(OR(J334="Not Calculated",J345="Not Calculated")=TRUE,"Not Calculated",AVERAGE(J334,J345))</f>
        <v>2</v>
      </c>
      <c r="K349" s="41"/>
    </row>
    <row r="350" spans="2:11" x14ac:dyDescent="0.2">
      <c r="B350" s="38"/>
      <c r="C350" s="40"/>
      <c r="D350" s="40"/>
      <c r="E350" s="40"/>
      <c r="F350" s="40"/>
      <c r="G350" s="40"/>
      <c r="H350" s="40"/>
      <c r="I350" s="40"/>
      <c r="J350" s="40"/>
      <c r="K350" s="41"/>
    </row>
    <row r="351" spans="2:11" x14ac:dyDescent="0.2">
      <c r="B351" s="38"/>
      <c r="C351" s="40"/>
      <c r="D351" s="40"/>
      <c r="E351" s="40"/>
      <c r="F351" s="40"/>
      <c r="G351" s="40"/>
      <c r="H351" s="40"/>
      <c r="I351" s="40"/>
      <c r="J351" s="40"/>
      <c r="K351" s="41"/>
    </row>
    <row r="352" spans="2:11" ht="15" customHeight="1" x14ac:dyDescent="0.2">
      <c r="B352" s="38"/>
      <c r="C352" s="45" t="s">
        <v>859</v>
      </c>
      <c r="D352" s="40"/>
      <c r="E352" s="40"/>
      <c r="F352" s="40"/>
      <c r="G352" s="40"/>
      <c r="H352" s="40"/>
      <c r="I352" s="40"/>
      <c r="J352" s="40"/>
      <c r="K352" s="41"/>
    </row>
    <row r="353" spans="2:11" x14ac:dyDescent="0.2">
      <c r="B353" s="38"/>
      <c r="C353" s="40" t="s">
        <v>846</v>
      </c>
      <c r="D353" s="40"/>
      <c r="E353" s="40"/>
      <c r="F353" s="40"/>
      <c r="G353" s="40"/>
      <c r="H353" s="40"/>
      <c r="I353" s="40"/>
      <c r="J353" s="264">
        <v>0</v>
      </c>
      <c r="K353" s="41"/>
    </row>
    <row r="354" spans="2:11" x14ac:dyDescent="0.2">
      <c r="B354" s="38"/>
      <c r="C354" s="40" t="s">
        <v>854</v>
      </c>
      <c r="D354" s="40"/>
      <c r="E354" s="40"/>
      <c r="F354" s="40"/>
      <c r="G354" s="40"/>
      <c r="H354" s="40"/>
      <c r="I354" s="40"/>
      <c r="J354" s="255">
        <f>'Baseline Health'!$G$59</f>
        <v>0</v>
      </c>
      <c r="K354" s="41"/>
    </row>
    <row r="355" spans="2:11" x14ac:dyDescent="0.2">
      <c r="B355" s="38"/>
      <c r="C355" s="40" t="s">
        <v>847</v>
      </c>
      <c r="D355" s="40"/>
      <c r="E355" s="40"/>
      <c r="F355" s="40"/>
      <c r="G355" s="40"/>
      <c r="H355" s="40"/>
      <c r="I355" s="40"/>
      <c r="J355" s="244">
        <f>IF(J353=0,0,IF('Baseline Health'!G$59=0,"Not Calculated",100*J353/'Baseline Health'!$G$59))</f>
        <v>0</v>
      </c>
      <c r="K355" s="41"/>
    </row>
    <row r="356" spans="2:11" x14ac:dyDescent="0.2">
      <c r="B356" s="38"/>
      <c r="C356" s="40" t="s">
        <v>260</v>
      </c>
      <c r="D356" s="40"/>
      <c r="E356" s="40"/>
      <c r="F356" s="40"/>
      <c r="G356" s="40"/>
      <c r="H356" s="40"/>
      <c r="I356" s="40"/>
      <c r="J356" s="245">
        <f>IF(J355&lt;=0,0,IF(J355&lt;=5,1,IF(J355&lt;=10,2,IF(J355&lt;=25,3,4))))</f>
        <v>0</v>
      </c>
      <c r="K356" s="41"/>
    </row>
    <row r="357" spans="2:11" ht="9.75" customHeight="1" x14ac:dyDescent="0.2">
      <c r="B357" s="38"/>
      <c r="C357" s="279" t="str">
        <f>"0:"</f>
        <v>0:</v>
      </c>
      <c r="D357" s="278" t="s">
        <v>932</v>
      </c>
      <c r="E357" s="40"/>
      <c r="F357" s="40"/>
      <c r="G357" s="40"/>
      <c r="H357" s="40"/>
      <c r="I357" s="40"/>
      <c r="J357" s="244"/>
      <c r="K357" s="41"/>
    </row>
    <row r="358" spans="2:11" ht="9.75" customHeight="1" x14ac:dyDescent="0.2">
      <c r="B358" s="38"/>
      <c r="C358" s="280" t="str">
        <f>"1:"</f>
        <v>1:</v>
      </c>
      <c r="D358" s="278" t="s">
        <v>933</v>
      </c>
      <c r="E358" s="40"/>
      <c r="F358" s="40"/>
      <c r="G358" s="40"/>
      <c r="H358" s="40"/>
      <c r="I358" s="40"/>
      <c r="J358" s="244"/>
      <c r="K358" s="41"/>
    </row>
    <row r="359" spans="2:11" ht="9.75" customHeight="1" x14ac:dyDescent="0.2">
      <c r="B359" s="38"/>
      <c r="C359" s="280" t="str">
        <f>"2:"</f>
        <v>2:</v>
      </c>
      <c r="D359" s="278" t="s">
        <v>935</v>
      </c>
      <c r="E359" s="40"/>
      <c r="F359" s="40"/>
      <c r="G359" s="40"/>
      <c r="H359" s="40"/>
      <c r="I359" s="40"/>
      <c r="J359" s="244"/>
      <c r="K359" s="41"/>
    </row>
    <row r="360" spans="2:11" ht="9.75" customHeight="1" x14ac:dyDescent="0.2">
      <c r="B360" s="38"/>
      <c r="C360" s="280" t="str">
        <f>"3:"</f>
        <v>3:</v>
      </c>
      <c r="D360" s="278" t="s">
        <v>937</v>
      </c>
      <c r="E360" s="40"/>
      <c r="F360" s="40"/>
      <c r="G360" s="40"/>
      <c r="H360" s="40"/>
      <c r="I360" s="40"/>
      <c r="J360" s="244"/>
      <c r="K360" s="41"/>
    </row>
    <row r="361" spans="2:11" ht="9.75" customHeight="1" x14ac:dyDescent="0.2">
      <c r="B361" s="38"/>
      <c r="C361" s="280" t="str">
        <f>"4:"</f>
        <v>4:</v>
      </c>
      <c r="D361" s="278" t="s">
        <v>938</v>
      </c>
      <c r="E361" s="40"/>
      <c r="F361" s="40"/>
      <c r="G361" s="40"/>
      <c r="H361" s="40"/>
      <c r="I361" s="40"/>
      <c r="J361" s="40"/>
      <c r="K361" s="41"/>
    </row>
    <row r="362" spans="2:11" x14ac:dyDescent="0.2">
      <c r="B362" s="38"/>
      <c r="C362" s="40" t="s">
        <v>257</v>
      </c>
      <c r="D362" s="40"/>
      <c r="E362" s="40"/>
      <c r="F362" s="40"/>
      <c r="G362" s="40"/>
      <c r="H362" s="40"/>
      <c r="I362" s="40"/>
      <c r="J362" s="266" t="s">
        <v>870</v>
      </c>
      <c r="K362" s="41"/>
    </row>
    <row r="363" spans="2:11" x14ac:dyDescent="0.2">
      <c r="B363" s="38"/>
      <c r="C363" s="40" t="s">
        <v>261</v>
      </c>
      <c r="D363" s="40"/>
      <c r="E363" s="40"/>
      <c r="F363" s="40"/>
      <c r="G363" s="40"/>
      <c r="H363" s="40"/>
      <c r="I363" s="40"/>
      <c r="J363" s="245">
        <f>IF(J362=$B$980,$A$980,IF(J362=$B$981,$A$981,IF(J362=$B$982,$A$982,IF(J362=$B$983,$A$983,IF(J362=$B$984,$A$984,"Not Calculated")))))</f>
        <v>0</v>
      </c>
      <c r="K363" s="41"/>
    </row>
    <row r="364" spans="2:11" x14ac:dyDescent="0.2">
      <c r="B364" s="38"/>
      <c r="C364" s="40" t="s">
        <v>893</v>
      </c>
      <c r="D364" s="40"/>
      <c r="E364" s="40"/>
      <c r="F364" s="40"/>
      <c r="G364" s="40"/>
      <c r="H364" s="40"/>
      <c r="I364" s="40"/>
      <c r="J364" s="40"/>
      <c r="K364" s="41"/>
    </row>
    <row r="365" spans="2:11" ht="30" customHeight="1" x14ac:dyDescent="0.2">
      <c r="B365" s="38"/>
      <c r="C365" s="399"/>
      <c r="D365" s="400"/>
      <c r="E365" s="400"/>
      <c r="F365" s="400"/>
      <c r="G365" s="400"/>
      <c r="H365" s="400"/>
      <c r="I365" s="400"/>
      <c r="J365" s="401"/>
      <c r="K365" s="41"/>
    </row>
    <row r="366" spans="2:11" x14ac:dyDescent="0.2">
      <c r="B366" s="38"/>
      <c r="C366" s="40"/>
      <c r="D366" s="40"/>
      <c r="E366" s="40"/>
      <c r="F366" s="40"/>
      <c r="G366" s="40"/>
      <c r="H366" s="40"/>
      <c r="I366" s="40"/>
      <c r="J366" s="40"/>
      <c r="K366" s="41"/>
    </row>
    <row r="367" spans="2:11" x14ac:dyDescent="0.2">
      <c r="B367" s="38"/>
      <c r="C367" s="179" t="s">
        <v>888</v>
      </c>
      <c r="D367" s="40"/>
      <c r="E367" s="40"/>
      <c r="F367" s="40"/>
      <c r="G367" s="40"/>
      <c r="H367" s="40"/>
      <c r="I367" s="40"/>
      <c r="J367" s="245">
        <f>IF(OR(J356="Not Calculated",J363="Not Calculated")=TRUE,"Not Calculated",AVERAGE(J356,J363))</f>
        <v>0</v>
      </c>
      <c r="K367" s="41"/>
    </row>
    <row r="368" spans="2:11" x14ac:dyDescent="0.2">
      <c r="B368" s="38"/>
      <c r="C368" s="40"/>
      <c r="D368" s="40"/>
      <c r="E368" s="40"/>
      <c r="F368" s="40"/>
      <c r="G368" s="40"/>
      <c r="H368" s="40"/>
      <c r="I368" s="40"/>
      <c r="J368" s="40"/>
      <c r="K368" s="41"/>
    </row>
    <row r="369" spans="2:11" x14ac:dyDescent="0.2">
      <c r="B369" s="38"/>
      <c r="C369" s="40"/>
      <c r="D369" s="40"/>
      <c r="E369" s="40"/>
      <c r="F369" s="40"/>
      <c r="G369" s="40"/>
      <c r="H369" s="40"/>
      <c r="I369" s="40"/>
      <c r="J369" s="40"/>
      <c r="K369" s="41"/>
    </row>
    <row r="370" spans="2:11" ht="16" x14ac:dyDescent="0.2">
      <c r="B370" s="38"/>
      <c r="C370" s="45" t="s">
        <v>863</v>
      </c>
      <c r="D370" s="40"/>
      <c r="E370" s="40"/>
      <c r="F370" s="40"/>
      <c r="G370" s="40"/>
      <c r="H370" s="40"/>
      <c r="I370" s="40"/>
      <c r="J370" s="40"/>
      <c r="K370" s="41"/>
    </row>
    <row r="371" spans="2:11" ht="15" customHeight="1" x14ac:dyDescent="0.2">
      <c r="B371" s="38"/>
      <c r="C371" s="380" t="s">
        <v>848</v>
      </c>
      <c r="D371" s="380"/>
      <c r="E371" s="380"/>
      <c r="F371" s="380"/>
      <c r="G371" s="380"/>
      <c r="H371" s="380"/>
      <c r="I371" s="380"/>
      <c r="J371" s="181"/>
      <c r="K371" s="41"/>
    </row>
    <row r="372" spans="2:11" x14ac:dyDescent="0.2">
      <c r="B372" s="38"/>
      <c r="C372" s="380"/>
      <c r="D372" s="380"/>
      <c r="E372" s="380"/>
      <c r="F372" s="380"/>
      <c r="G372" s="380"/>
      <c r="H372" s="380"/>
      <c r="I372" s="380"/>
      <c r="J372" s="264">
        <v>0</v>
      </c>
      <c r="K372" s="41"/>
    </row>
    <row r="373" spans="2:11" x14ac:dyDescent="0.2">
      <c r="B373" s="38"/>
      <c r="C373" s="40" t="s">
        <v>853</v>
      </c>
      <c r="D373" s="291"/>
      <c r="E373" s="291"/>
      <c r="F373" s="291"/>
      <c r="G373" s="291"/>
      <c r="H373" s="291"/>
      <c r="I373" s="291"/>
      <c r="J373" s="255">
        <f>'Baseline Health'!$G$102</f>
        <v>0</v>
      </c>
      <c r="K373" s="41"/>
    </row>
    <row r="374" spans="2:11" x14ac:dyDescent="0.2">
      <c r="B374" s="38"/>
      <c r="C374" s="40" t="s">
        <v>842</v>
      </c>
      <c r="D374" s="291"/>
      <c r="E374" s="291"/>
      <c r="F374" s="291"/>
      <c r="G374" s="291"/>
      <c r="H374" s="291"/>
      <c r="I374" s="291"/>
      <c r="J374" s="244" t="str">
        <f>IF('Baseline Health'!$G$102=0,"Not Calculated",100*J372/'Baseline Health'!$G$102)</f>
        <v>Not Calculated</v>
      </c>
      <c r="K374" s="41"/>
    </row>
    <row r="375" spans="2:11" x14ac:dyDescent="0.2">
      <c r="B375" s="38"/>
      <c r="C375" s="40" t="s">
        <v>260</v>
      </c>
      <c r="D375" s="40"/>
      <c r="E375" s="40"/>
      <c r="F375" s="40"/>
      <c r="G375" s="40"/>
      <c r="H375" s="40"/>
      <c r="I375" s="40"/>
      <c r="J375" s="251">
        <f>IF(J374&lt;=0,0,IF(J374&lt;=1,1,IF(J374&lt;=5,2,IF(J374&lt;=10,3,4))))</f>
        <v>4</v>
      </c>
      <c r="K375" s="41"/>
    </row>
    <row r="376" spans="2:11" ht="9.75" customHeight="1" x14ac:dyDescent="0.2">
      <c r="B376" s="38"/>
      <c r="C376" s="279" t="str">
        <f>"0:"</f>
        <v>0:</v>
      </c>
      <c r="D376" s="278" t="s">
        <v>932</v>
      </c>
      <c r="E376" s="291"/>
      <c r="F376" s="291"/>
      <c r="G376" s="291"/>
      <c r="H376" s="291"/>
      <c r="I376" s="291"/>
      <c r="J376" s="244"/>
      <c r="K376" s="41"/>
    </row>
    <row r="377" spans="2:11" ht="9.75" customHeight="1" x14ac:dyDescent="0.2">
      <c r="B377" s="38"/>
      <c r="C377" s="280" t="str">
        <f>"1:"</f>
        <v>1:</v>
      </c>
      <c r="D377" s="278" t="s">
        <v>934</v>
      </c>
      <c r="E377" s="291"/>
      <c r="F377" s="291"/>
      <c r="G377" s="291"/>
      <c r="H377" s="291"/>
      <c r="I377" s="291"/>
      <c r="J377" s="244"/>
      <c r="K377" s="41"/>
    </row>
    <row r="378" spans="2:11" ht="9.75" customHeight="1" x14ac:dyDescent="0.2">
      <c r="B378" s="38"/>
      <c r="C378" s="280" t="str">
        <f>"2:"</f>
        <v>2:</v>
      </c>
      <c r="D378" s="278" t="s">
        <v>933</v>
      </c>
      <c r="E378" s="291"/>
      <c r="F378" s="291"/>
      <c r="G378" s="291"/>
      <c r="H378" s="291"/>
      <c r="I378" s="291"/>
      <c r="J378" s="244"/>
      <c r="K378" s="41"/>
    </row>
    <row r="379" spans="2:11" ht="9.75" customHeight="1" x14ac:dyDescent="0.2">
      <c r="B379" s="38"/>
      <c r="C379" s="280" t="str">
        <f>"3:"</f>
        <v>3:</v>
      </c>
      <c r="D379" s="278" t="s">
        <v>935</v>
      </c>
      <c r="E379" s="291"/>
      <c r="F379" s="291"/>
      <c r="G379" s="291"/>
      <c r="H379" s="291"/>
      <c r="I379" s="291"/>
      <c r="J379" s="244"/>
      <c r="K379" s="41"/>
    </row>
    <row r="380" spans="2:11" ht="9.75" customHeight="1" x14ac:dyDescent="0.2">
      <c r="B380" s="38"/>
      <c r="C380" s="280" t="str">
        <f>"4:"</f>
        <v>4:</v>
      </c>
      <c r="D380" s="278" t="s">
        <v>936</v>
      </c>
      <c r="E380" s="40"/>
      <c r="F380" s="40"/>
      <c r="G380" s="40"/>
      <c r="H380" s="40"/>
      <c r="I380" s="40"/>
      <c r="J380" s="40"/>
      <c r="K380" s="41"/>
    </row>
    <row r="381" spans="2:11" x14ac:dyDescent="0.2">
      <c r="B381" s="38"/>
      <c r="C381" s="40" t="s">
        <v>85</v>
      </c>
      <c r="D381" s="40"/>
      <c r="E381" s="40"/>
      <c r="F381" s="40"/>
      <c r="G381" s="40"/>
      <c r="H381" s="40"/>
      <c r="I381" s="40"/>
      <c r="J381" s="254">
        <f>'Baseline Health'!G114</f>
        <v>7</v>
      </c>
      <c r="K381" s="41"/>
    </row>
    <row r="382" spans="2:11" x14ac:dyDescent="0.2">
      <c r="B382" s="38"/>
      <c r="C382" s="40" t="s">
        <v>297</v>
      </c>
      <c r="D382" s="40"/>
      <c r="E382" s="40"/>
      <c r="F382" s="40"/>
      <c r="G382" s="40"/>
      <c r="H382" s="40"/>
      <c r="I382" s="40"/>
      <c r="J382" s="266">
        <v>0</v>
      </c>
      <c r="K382" s="41"/>
    </row>
    <row r="383" spans="2:11" x14ac:dyDescent="0.2">
      <c r="B383" s="38"/>
      <c r="C383" s="40" t="s">
        <v>261</v>
      </c>
      <c r="D383" s="40"/>
      <c r="E383" s="40"/>
      <c r="F383" s="40"/>
      <c r="G383" s="40"/>
      <c r="H383" s="40"/>
      <c r="I383" s="40"/>
      <c r="J383" s="248">
        <f>IF((J382-J381)&lt;1,0,IF((J382-J381)&lt;3,1,IF((J382-J381)&lt;5,2,IF((J382-J381)&lt;7,3,4))))</f>
        <v>0</v>
      </c>
      <c r="K383" s="41"/>
    </row>
    <row r="384" spans="2:11" x14ac:dyDescent="0.2">
      <c r="B384" s="38"/>
      <c r="C384" s="40" t="s">
        <v>893</v>
      </c>
      <c r="D384" s="40"/>
      <c r="E384" s="40"/>
      <c r="F384" s="40"/>
      <c r="G384" s="40"/>
      <c r="H384" s="40"/>
      <c r="I384" s="40"/>
      <c r="J384" s="40"/>
      <c r="K384" s="41"/>
    </row>
    <row r="385" spans="2:11" ht="30" customHeight="1" x14ac:dyDescent="0.2">
      <c r="B385" s="38"/>
      <c r="C385" s="399"/>
      <c r="D385" s="400"/>
      <c r="E385" s="400"/>
      <c r="F385" s="400"/>
      <c r="G385" s="400"/>
      <c r="H385" s="400"/>
      <c r="I385" s="400"/>
      <c r="J385" s="401"/>
      <c r="K385" s="41"/>
    </row>
    <row r="386" spans="2:11" x14ac:dyDescent="0.2">
      <c r="B386" s="38"/>
      <c r="C386" s="40"/>
      <c r="D386" s="40"/>
      <c r="E386" s="40"/>
      <c r="F386" s="40"/>
      <c r="G386" s="40"/>
      <c r="H386" s="40"/>
      <c r="I386" s="40"/>
      <c r="J386" s="40"/>
      <c r="K386" s="41"/>
    </row>
    <row r="387" spans="2:11" x14ac:dyDescent="0.2">
      <c r="B387" s="38"/>
      <c r="C387" s="179" t="s">
        <v>889</v>
      </c>
      <c r="D387" s="40"/>
      <c r="E387" s="40"/>
      <c r="F387" s="40"/>
      <c r="G387" s="40"/>
      <c r="H387" s="40"/>
      <c r="I387" s="40"/>
      <c r="J387" s="245">
        <f>IF(OR(J375="Not Calculated",J383="Not Calculated")=TRUE,"Not Calculated",AVERAGE(J375,J383))</f>
        <v>2</v>
      </c>
      <c r="K387" s="41"/>
    </row>
    <row r="388" spans="2:11" x14ac:dyDescent="0.2">
      <c r="B388" s="38"/>
      <c r="C388" s="40"/>
      <c r="D388" s="40"/>
      <c r="E388" s="40"/>
      <c r="F388" s="40"/>
      <c r="G388" s="40"/>
      <c r="H388" s="40"/>
      <c r="I388" s="40"/>
      <c r="J388" s="40"/>
      <c r="K388" s="41"/>
    </row>
    <row r="389" spans="2:11" x14ac:dyDescent="0.2">
      <c r="B389" s="38"/>
      <c r="C389" s="40"/>
      <c r="D389" s="40"/>
      <c r="E389" s="40"/>
      <c r="F389" s="40"/>
      <c r="G389" s="40"/>
      <c r="H389" s="40"/>
      <c r="I389" s="40"/>
      <c r="J389" s="40"/>
      <c r="K389" s="41"/>
    </row>
    <row r="390" spans="2:11" ht="16" x14ac:dyDescent="0.2">
      <c r="B390" s="38"/>
      <c r="C390" s="45" t="s">
        <v>860</v>
      </c>
      <c r="D390" s="40"/>
      <c r="E390" s="40"/>
      <c r="F390" s="40"/>
      <c r="G390" s="40"/>
      <c r="H390" s="40"/>
      <c r="I390" s="40"/>
      <c r="J390" s="40"/>
      <c r="K390" s="41"/>
    </row>
    <row r="391" spans="2:11" x14ac:dyDescent="0.2">
      <c r="B391" s="38"/>
      <c r="C391" s="380" t="s">
        <v>849</v>
      </c>
      <c r="D391" s="380"/>
      <c r="E391" s="380"/>
      <c r="F391" s="380"/>
      <c r="G391" s="380"/>
      <c r="H391" s="380"/>
      <c r="I391" s="380"/>
      <c r="J391" s="181"/>
      <c r="K391" s="41"/>
    </row>
    <row r="392" spans="2:11" x14ac:dyDescent="0.2">
      <c r="B392" s="38"/>
      <c r="C392" s="380"/>
      <c r="D392" s="380"/>
      <c r="E392" s="380"/>
      <c r="F392" s="380"/>
      <c r="G392" s="380"/>
      <c r="H392" s="380"/>
      <c r="I392" s="380"/>
      <c r="J392" s="264">
        <v>0</v>
      </c>
      <c r="K392" s="41"/>
    </row>
    <row r="393" spans="2:11" x14ac:dyDescent="0.2">
      <c r="B393" s="38"/>
      <c r="C393" s="40" t="s">
        <v>853</v>
      </c>
      <c r="D393" s="291"/>
      <c r="E393" s="291"/>
      <c r="F393" s="291"/>
      <c r="G393" s="291"/>
      <c r="H393" s="291"/>
      <c r="I393" s="291"/>
      <c r="J393" s="255">
        <f>'Baseline Health'!$G$102</f>
        <v>0</v>
      </c>
      <c r="K393" s="41"/>
    </row>
    <row r="394" spans="2:11" ht="15" customHeight="1" x14ac:dyDescent="0.2">
      <c r="B394" s="38"/>
      <c r="C394" s="40" t="s">
        <v>850</v>
      </c>
      <c r="D394" s="291"/>
      <c r="E394" s="291"/>
      <c r="F394" s="291"/>
      <c r="G394" s="291"/>
      <c r="H394" s="291"/>
      <c r="I394" s="291"/>
      <c r="J394" s="244" t="str">
        <f>IF('Baseline Health'!$G$102=0,"Not Calculated",100*J392/'Baseline Health'!$G$102)</f>
        <v>Not Calculated</v>
      </c>
      <c r="K394" s="41"/>
    </row>
    <row r="395" spans="2:11" ht="15" customHeight="1" x14ac:dyDescent="0.2">
      <c r="B395" s="38"/>
      <c r="C395" s="40" t="s">
        <v>260</v>
      </c>
      <c r="D395" s="40"/>
      <c r="E395" s="40"/>
      <c r="F395" s="40"/>
      <c r="G395" s="40"/>
      <c r="H395" s="40"/>
      <c r="I395" s="40"/>
      <c r="J395" s="43">
        <f>IF(J394&lt;=0,0,IF(J394&lt;=1,1,IF(J394&lt;=5,2,IF(J394&lt;=10,3,4))))</f>
        <v>4</v>
      </c>
      <c r="K395" s="41"/>
    </row>
    <row r="396" spans="2:11" ht="9.75" customHeight="1" x14ac:dyDescent="0.2">
      <c r="B396" s="38"/>
      <c r="C396" s="279" t="str">
        <f>"0:"</f>
        <v>0:</v>
      </c>
      <c r="D396" s="278" t="s">
        <v>932</v>
      </c>
      <c r="E396" s="291"/>
      <c r="F396" s="291"/>
      <c r="G396" s="291"/>
      <c r="H396" s="291"/>
      <c r="I396" s="291"/>
      <c r="J396" s="244"/>
      <c r="K396" s="41"/>
    </row>
    <row r="397" spans="2:11" ht="9.75" customHeight="1" x14ac:dyDescent="0.2">
      <c r="B397" s="38"/>
      <c r="C397" s="280" t="str">
        <f>"1:"</f>
        <v>1:</v>
      </c>
      <c r="D397" s="278" t="s">
        <v>934</v>
      </c>
      <c r="E397" s="291"/>
      <c r="F397" s="291"/>
      <c r="G397" s="291"/>
      <c r="H397" s="291"/>
      <c r="I397" s="291"/>
      <c r="J397" s="244"/>
      <c r="K397" s="41"/>
    </row>
    <row r="398" spans="2:11" ht="9.75" customHeight="1" x14ac:dyDescent="0.2">
      <c r="B398" s="38"/>
      <c r="C398" s="280" t="str">
        <f>"2:"</f>
        <v>2:</v>
      </c>
      <c r="D398" s="278" t="s">
        <v>933</v>
      </c>
      <c r="E398" s="291"/>
      <c r="F398" s="291"/>
      <c r="G398" s="291"/>
      <c r="H398" s="291"/>
      <c r="I398" s="291"/>
      <c r="J398" s="244"/>
      <c r="K398" s="41"/>
    </row>
    <row r="399" spans="2:11" ht="9.75" customHeight="1" x14ac:dyDescent="0.2">
      <c r="B399" s="38"/>
      <c r="C399" s="280" t="str">
        <f>"3:"</f>
        <v>3:</v>
      </c>
      <c r="D399" s="278" t="s">
        <v>935</v>
      </c>
      <c r="E399" s="291"/>
      <c r="F399" s="291"/>
      <c r="G399" s="291"/>
      <c r="H399" s="291"/>
      <c r="I399" s="291"/>
      <c r="J399" s="244"/>
      <c r="K399" s="41"/>
    </row>
    <row r="400" spans="2:11" ht="9.75" customHeight="1" x14ac:dyDescent="0.2">
      <c r="B400" s="38"/>
      <c r="C400" s="280" t="str">
        <f>"4:"</f>
        <v>4:</v>
      </c>
      <c r="D400" s="278" t="s">
        <v>936</v>
      </c>
      <c r="E400" s="40"/>
      <c r="F400" s="40"/>
      <c r="G400" s="40"/>
      <c r="H400" s="40"/>
      <c r="I400" s="40"/>
      <c r="J400" s="40"/>
      <c r="K400" s="41"/>
    </row>
    <row r="401" spans="2:11" x14ac:dyDescent="0.2">
      <c r="B401" s="38"/>
      <c r="C401" s="40" t="s">
        <v>893</v>
      </c>
      <c r="D401" s="40"/>
      <c r="E401" s="40"/>
      <c r="F401" s="40"/>
      <c r="G401" s="40"/>
      <c r="H401" s="40"/>
      <c r="I401" s="40"/>
      <c r="J401" s="40"/>
      <c r="K401" s="41"/>
    </row>
    <row r="402" spans="2:11" ht="30" customHeight="1" x14ac:dyDescent="0.2">
      <c r="B402" s="38"/>
      <c r="C402" s="399"/>
      <c r="D402" s="400"/>
      <c r="E402" s="400"/>
      <c r="F402" s="400"/>
      <c r="G402" s="400"/>
      <c r="H402" s="400"/>
      <c r="I402" s="400"/>
      <c r="J402" s="401"/>
      <c r="K402" s="41"/>
    </row>
    <row r="403" spans="2:11" x14ac:dyDescent="0.2">
      <c r="B403" s="38"/>
      <c r="C403" s="40"/>
      <c r="D403" s="40"/>
      <c r="E403" s="40"/>
      <c r="F403" s="40"/>
      <c r="G403" s="40"/>
      <c r="H403" s="40"/>
      <c r="I403" s="40"/>
      <c r="J403" s="40"/>
      <c r="K403" s="41"/>
    </row>
    <row r="404" spans="2:11" x14ac:dyDescent="0.2">
      <c r="B404" s="38"/>
      <c r="C404" s="179" t="s">
        <v>890</v>
      </c>
      <c r="D404" s="40"/>
      <c r="E404" s="40"/>
      <c r="F404" s="40"/>
      <c r="G404" s="40"/>
      <c r="H404" s="40"/>
      <c r="I404" s="40"/>
      <c r="J404" s="245">
        <f>J395</f>
        <v>4</v>
      </c>
      <c r="K404" s="41"/>
    </row>
    <row r="405" spans="2:11" x14ac:dyDescent="0.2">
      <c r="B405" s="38"/>
      <c r="C405" s="40"/>
      <c r="D405" s="40"/>
      <c r="E405" s="40"/>
      <c r="F405" s="40"/>
      <c r="G405" s="40"/>
      <c r="H405" s="40"/>
      <c r="I405" s="40"/>
      <c r="J405" s="40"/>
      <c r="K405" s="41"/>
    </row>
    <row r="406" spans="2:11" x14ac:dyDescent="0.2">
      <c r="B406" s="38"/>
      <c r="C406" s="40"/>
      <c r="D406" s="40"/>
      <c r="E406" s="40"/>
      <c r="F406" s="40"/>
      <c r="G406" s="40"/>
      <c r="H406" s="40"/>
      <c r="I406" s="40"/>
      <c r="J406" s="40"/>
      <c r="K406" s="41"/>
    </row>
    <row r="407" spans="2:11" ht="16" x14ac:dyDescent="0.2">
      <c r="B407" s="38"/>
      <c r="C407" s="45" t="s">
        <v>861</v>
      </c>
      <c r="D407" s="40"/>
      <c r="E407" s="40"/>
      <c r="F407" s="40"/>
      <c r="G407" s="40"/>
      <c r="H407" s="40"/>
      <c r="I407" s="40"/>
      <c r="J407" s="40"/>
      <c r="K407" s="41"/>
    </row>
    <row r="408" spans="2:11" x14ac:dyDescent="0.2">
      <c r="B408" s="38"/>
      <c r="C408" s="40" t="s">
        <v>298</v>
      </c>
      <c r="D408" s="40"/>
      <c r="E408" s="40"/>
      <c r="F408" s="40"/>
      <c r="G408" s="40"/>
      <c r="H408" s="40"/>
      <c r="I408" s="40"/>
      <c r="J408" s="269">
        <f>511/2</f>
        <v>255.5</v>
      </c>
      <c r="K408" s="41"/>
    </row>
    <row r="409" spans="2:11" x14ac:dyDescent="0.2">
      <c r="B409" s="38"/>
      <c r="C409" s="40" t="s">
        <v>260</v>
      </c>
      <c r="D409" s="40"/>
      <c r="E409" s="40"/>
      <c r="F409" s="40"/>
      <c r="G409" s="40"/>
      <c r="H409" s="40"/>
      <c r="I409" s="40"/>
      <c r="J409" s="253">
        <f>IF(J408&lt;=0,0,IF(J408&lt;=(J161*0.01),1,IF(J408&lt;=(J161*0.05),2,IF(J408&lt;=(J161*0.1),3,4))))</f>
        <v>4</v>
      </c>
      <c r="K409" s="41"/>
    </row>
    <row r="410" spans="2:11" ht="9.75" customHeight="1" x14ac:dyDescent="0.2">
      <c r="B410" s="38"/>
      <c r="C410" s="279" t="str">
        <f>"0:"</f>
        <v>0:</v>
      </c>
      <c r="D410" s="278" t="s">
        <v>939</v>
      </c>
      <c r="E410" s="40"/>
      <c r="F410" s="40"/>
      <c r="G410" s="40"/>
      <c r="H410" s="40"/>
      <c r="I410" s="40"/>
      <c r="J410" s="282"/>
      <c r="K410" s="41"/>
    </row>
    <row r="411" spans="2:11" ht="9.75" customHeight="1" x14ac:dyDescent="0.2">
      <c r="B411" s="38"/>
      <c r="C411" s="280" t="str">
        <f>"1:"</f>
        <v>1:</v>
      </c>
      <c r="D411" s="278" t="s">
        <v>940</v>
      </c>
      <c r="E411" s="40"/>
      <c r="F411" s="40"/>
      <c r="G411" s="40"/>
      <c r="H411" s="40"/>
      <c r="I411" s="40"/>
      <c r="J411" s="282"/>
      <c r="K411" s="41"/>
    </row>
    <row r="412" spans="2:11" ht="9.75" customHeight="1" x14ac:dyDescent="0.2">
      <c r="B412" s="38"/>
      <c r="C412" s="280" t="str">
        <f>"2:"</f>
        <v>2:</v>
      </c>
      <c r="D412" s="278" t="s">
        <v>941</v>
      </c>
      <c r="E412" s="40"/>
      <c r="F412" s="40"/>
      <c r="G412" s="40"/>
      <c r="H412" s="40"/>
      <c r="I412" s="40"/>
      <c r="J412" s="282"/>
      <c r="K412" s="41"/>
    </row>
    <row r="413" spans="2:11" ht="9.75" customHeight="1" x14ac:dyDescent="0.2">
      <c r="B413" s="38"/>
      <c r="C413" s="280" t="str">
        <f>"3:"</f>
        <v>3:</v>
      </c>
      <c r="D413" s="278" t="s">
        <v>942</v>
      </c>
      <c r="E413" s="40"/>
      <c r="F413" s="40"/>
      <c r="G413" s="40"/>
      <c r="H413" s="40"/>
      <c r="I413" s="40"/>
      <c r="J413" s="282"/>
      <c r="K413" s="41"/>
    </row>
    <row r="414" spans="2:11" ht="9.75" customHeight="1" x14ac:dyDescent="0.2">
      <c r="B414" s="38"/>
      <c r="C414" s="280" t="str">
        <f>"4:"</f>
        <v>4:</v>
      </c>
      <c r="D414" s="278" t="s">
        <v>943</v>
      </c>
      <c r="E414" s="40"/>
      <c r="F414" s="40"/>
      <c r="G414" s="40"/>
      <c r="H414" s="40"/>
      <c r="I414" s="40"/>
      <c r="J414" s="40"/>
      <c r="K414" s="41"/>
    </row>
    <row r="415" spans="2:11" x14ac:dyDescent="0.2">
      <c r="B415" s="38"/>
      <c r="C415" s="40" t="s">
        <v>893</v>
      </c>
      <c r="D415" s="40"/>
      <c r="E415" s="40"/>
      <c r="F415" s="40"/>
      <c r="G415" s="40"/>
      <c r="H415" s="40"/>
      <c r="I415" s="40"/>
      <c r="J415" s="40"/>
      <c r="K415" s="41"/>
    </row>
    <row r="416" spans="2:11" ht="45" customHeight="1" x14ac:dyDescent="0.2">
      <c r="B416" s="38"/>
      <c r="C416" s="399" t="s">
        <v>496</v>
      </c>
      <c r="D416" s="400"/>
      <c r="E416" s="400"/>
      <c r="F416" s="400"/>
      <c r="G416" s="400"/>
      <c r="H416" s="400"/>
      <c r="I416" s="400"/>
      <c r="J416" s="401"/>
      <c r="K416" s="41"/>
    </row>
    <row r="417" spans="2:11" x14ac:dyDescent="0.2">
      <c r="B417" s="38"/>
      <c r="C417" s="40"/>
      <c r="D417" s="40"/>
      <c r="E417" s="40"/>
      <c r="F417" s="40"/>
      <c r="G417" s="40"/>
      <c r="H417" s="40"/>
      <c r="I417" s="40"/>
      <c r="J417" s="40"/>
      <c r="K417" s="41"/>
    </row>
    <row r="418" spans="2:11" x14ac:dyDescent="0.2">
      <c r="B418" s="38"/>
      <c r="C418" s="179" t="s">
        <v>891</v>
      </c>
      <c r="D418" s="40"/>
      <c r="E418" s="40"/>
      <c r="F418" s="40"/>
      <c r="G418" s="40"/>
      <c r="H418" s="40"/>
      <c r="I418" s="40"/>
      <c r="J418" s="245">
        <f>J409</f>
        <v>4</v>
      </c>
      <c r="K418" s="41"/>
    </row>
    <row r="419" spans="2:11" x14ac:dyDescent="0.2">
      <c r="B419" s="38"/>
      <c r="C419" s="40"/>
      <c r="D419" s="40"/>
      <c r="E419" s="40"/>
      <c r="F419" s="40"/>
      <c r="G419" s="40"/>
      <c r="H419" s="40"/>
      <c r="I419" s="40"/>
      <c r="J419" s="40"/>
      <c r="K419" s="41"/>
    </row>
    <row r="420" spans="2:11" ht="20" customHeight="1" x14ac:dyDescent="0.2">
      <c r="B420" s="38"/>
      <c r="C420" s="410" t="s">
        <v>881</v>
      </c>
      <c r="D420" s="410"/>
      <c r="E420" s="410"/>
      <c r="F420" s="410"/>
      <c r="G420" s="410"/>
      <c r="H420" s="410"/>
      <c r="I420" s="410"/>
      <c r="J420" s="40"/>
      <c r="K420" s="41"/>
    </row>
    <row r="421" spans="2:11" ht="20" customHeight="1" x14ac:dyDescent="0.2">
      <c r="B421" s="38"/>
      <c r="C421" s="410"/>
      <c r="D421" s="410"/>
      <c r="E421" s="410"/>
      <c r="F421" s="410"/>
      <c r="G421" s="410"/>
      <c r="H421" s="410"/>
      <c r="I421" s="410"/>
      <c r="J421" s="244">
        <f>IF(OR(J288="Not Calculated",J307="Not Calculated",J326="Not Calculated",J349="Not Calculated",J367="Not Calculated",J387="Not Calculated",J404="Not Calculated",J418="Not Calculated")=TRUE,"Not Calculated",AVERAGE(J288,J307,J326,J349,J367,J387,J404,J418))</f>
        <v>2.1875</v>
      </c>
      <c r="K421" s="41"/>
    </row>
    <row r="422" spans="2:11" ht="16" thickBot="1" x14ac:dyDescent="0.25">
      <c r="B422" s="46"/>
      <c r="C422" s="47"/>
      <c r="D422" s="47"/>
      <c r="E422" s="47"/>
      <c r="F422" s="47"/>
      <c r="G422" s="47"/>
      <c r="H422" s="47"/>
      <c r="I422" s="47"/>
      <c r="J422" s="47"/>
      <c r="K422" s="49"/>
    </row>
    <row r="423" spans="2:11" ht="16" thickBot="1" x14ac:dyDescent="0.25"/>
    <row r="424" spans="2:11" x14ac:dyDescent="0.2">
      <c r="B424" s="33"/>
      <c r="C424" s="34"/>
      <c r="D424" s="34"/>
      <c r="E424" s="34"/>
      <c r="F424" s="34"/>
      <c r="G424" s="34"/>
      <c r="H424" s="34"/>
      <c r="I424" s="34"/>
      <c r="J424" s="34"/>
      <c r="K424" s="37"/>
    </row>
    <row r="425" spans="2:11" ht="21" x14ac:dyDescent="0.25">
      <c r="B425" s="38"/>
      <c r="C425" s="40"/>
      <c r="D425" s="40"/>
      <c r="E425" s="40"/>
      <c r="F425" s="40"/>
      <c r="G425" s="172" t="s">
        <v>230</v>
      </c>
      <c r="H425" s="40"/>
      <c r="I425" s="40"/>
      <c r="J425" s="40"/>
      <c r="K425" s="41"/>
    </row>
    <row r="426" spans="2:11" x14ac:dyDescent="0.2">
      <c r="B426" s="38"/>
      <c r="C426" s="40"/>
      <c r="D426" s="40"/>
      <c r="E426" s="40"/>
      <c r="F426" s="40"/>
      <c r="G426" s="40"/>
      <c r="H426" s="40"/>
      <c r="I426" s="40"/>
      <c r="J426" s="40"/>
      <c r="K426" s="41"/>
    </row>
    <row r="427" spans="2:11" ht="16" x14ac:dyDescent="0.2">
      <c r="B427" s="38"/>
      <c r="C427" s="45" t="s">
        <v>299</v>
      </c>
      <c r="D427" s="40"/>
      <c r="E427" s="40"/>
      <c r="F427" s="40"/>
      <c r="G427" s="40"/>
      <c r="H427" s="40"/>
      <c r="I427" s="40"/>
      <c r="J427" s="40"/>
      <c r="K427" s="41"/>
    </row>
    <row r="428" spans="2:11" x14ac:dyDescent="0.2">
      <c r="B428" s="38"/>
      <c r="C428" s="40" t="s">
        <v>300</v>
      </c>
      <c r="D428" s="40"/>
      <c r="E428" s="40"/>
      <c r="F428" s="40"/>
      <c r="G428" s="40"/>
      <c r="H428" s="40"/>
      <c r="I428" s="40"/>
      <c r="J428" s="270">
        <v>0</v>
      </c>
      <c r="K428" s="41"/>
    </row>
    <row r="429" spans="2:11" x14ac:dyDescent="0.2">
      <c r="B429" s="38"/>
      <c r="C429" s="40" t="s">
        <v>260</v>
      </c>
      <c r="D429" s="40"/>
      <c r="E429" s="40"/>
      <c r="F429" s="40"/>
      <c r="G429" s="40"/>
      <c r="H429" s="40"/>
      <c r="I429" s="40"/>
      <c r="J429" s="248">
        <f>IF(J428&lt;=0,0,IF(J428&lt;=1,1,IF(J428&lt;=5,2,IF(J428&lt;=10,3,4))))</f>
        <v>0</v>
      </c>
      <c r="K429" s="41"/>
    </row>
    <row r="430" spans="2:11" s="98" customFormat="1" ht="9.75" customHeight="1" x14ac:dyDescent="0.2">
      <c r="B430" s="288"/>
      <c r="C430" s="279" t="str">
        <f>"0:"</f>
        <v>0:</v>
      </c>
      <c r="D430" s="290" t="s">
        <v>944</v>
      </c>
      <c r="E430" s="245"/>
      <c r="F430" s="245"/>
      <c r="G430" s="245"/>
      <c r="H430" s="245"/>
      <c r="I430" s="245"/>
      <c r="J430" s="245"/>
      <c r="K430" s="289"/>
    </row>
    <row r="431" spans="2:11" s="98" customFormat="1" ht="9.75" customHeight="1" x14ac:dyDescent="0.2">
      <c r="B431" s="288"/>
      <c r="C431" s="280" t="str">
        <f>"1:"</f>
        <v>1:</v>
      </c>
      <c r="D431" s="290" t="s">
        <v>945</v>
      </c>
      <c r="E431" s="245"/>
      <c r="F431" s="245"/>
      <c r="G431" s="245"/>
      <c r="H431" s="245"/>
      <c r="I431" s="245"/>
      <c r="J431" s="245"/>
      <c r="K431" s="289"/>
    </row>
    <row r="432" spans="2:11" s="98" customFormat="1" ht="9.75" customHeight="1" x14ac:dyDescent="0.2">
      <c r="B432" s="288"/>
      <c r="C432" s="280" t="str">
        <f>"2:"</f>
        <v>2:</v>
      </c>
      <c r="D432" s="290" t="s">
        <v>946</v>
      </c>
      <c r="E432" s="245"/>
      <c r="F432" s="245"/>
      <c r="G432" s="245"/>
      <c r="H432" s="245"/>
      <c r="I432" s="245"/>
      <c r="J432" s="245"/>
      <c r="K432" s="289"/>
    </row>
    <row r="433" spans="2:11" s="98" customFormat="1" ht="9.75" customHeight="1" x14ac:dyDescent="0.2">
      <c r="B433" s="288"/>
      <c r="C433" s="280" t="str">
        <f>"3:"</f>
        <v>3:</v>
      </c>
      <c r="D433" s="290" t="s">
        <v>947</v>
      </c>
      <c r="E433" s="245"/>
      <c r="F433" s="245"/>
      <c r="G433" s="245"/>
      <c r="H433" s="245"/>
      <c r="I433" s="245"/>
      <c r="J433" s="245"/>
      <c r="K433" s="289"/>
    </row>
    <row r="434" spans="2:11" s="98" customFormat="1" ht="9.75" customHeight="1" x14ac:dyDescent="0.2">
      <c r="B434" s="288"/>
      <c r="C434" s="280" t="str">
        <f>"4:"</f>
        <v>4:</v>
      </c>
      <c r="D434" s="290" t="s">
        <v>948</v>
      </c>
      <c r="E434" s="245"/>
      <c r="F434" s="245"/>
      <c r="G434" s="245"/>
      <c r="H434" s="245"/>
      <c r="I434" s="245"/>
      <c r="J434" s="247"/>
      <c r="K434" s="289"/>
    </row>
    <row r="435" spans="2:11" x14ac:dyDescent="0.2">
      <c r="B435" s="38"/>
      <c r="C435" s="40" t="s">
        <v>257</v>
      </c>
      <c r="D435" s="40"/>
      <c r="E435" s="40"/>
      <c r="F435" s="40"/>
      <c r="G435" s="40"/>
      <c r="H435" s="40"/>
      <c r="I435" s="40"/>
      <c r="J435" s="266" t="s">
        <v>870</v>
      </c>
      <c r="K435" s="41"/>
    </row>
    <row r="436" spans="2:11" x14ac:dyDescent="0.2">
      <c r="B436" s="38"/>
      <c r="C436" s="40" t="s">
        <v>261</v>
      </c>
      <c r="D436" s="40"/>
      <c r="E436" s="40"/>
      <c r="F436" s="40"/>
      <c r="G436" s="40"/>
      <c r="H436" s="40"/>
      <c r="I436" s="40"/>
      <c r="J436" s="245">
        <f>IF(J435=$B$973,$A$973,IF(J435=$B$974,$A$974,IF(J435=$B$975,$A$975,IF(J435=$B$976,$A$976,IF(J435=$B$977,$A$977,"Not Calculated")))))</f>
        <v>0</v>
      </c>
      <c r="K436" s="41"/>
    </row>
    <row r="437" spans="2:11" x14ac:dyDescent="0.2">
      <c r="B437" s="38"/>
      <c r="C437" s="40" t="s">
        <v>893</v>
      </c>
      <c r="D437" s="40"/>
      <c r="E437" s="40"/>
      <c r="F437" s="40"/>
      <c r="G437" s="40"/>
      <c r="H437" s="40"/>
      <c r="I437" s="40"/>
      <c r="J437" s="40"/>
      <c r="K437" s="41"/>
    </row>
    <row r="438" spans="2:11" ht="30" customHeight="1" x14ac:dyDescent="0.2">
      <c r="B438" s="38"/>
      <c r="C438" s="399"/>
      <c r="D438" s="400"/>
      <c r="E438" s="400"/>
      <c r="F438" s="400"/>
      <c r="G438" s="400"/>
      <c r="H438" s="400"/>
      <c r="I438" s="400"/>
      <c r="J438" s="401"/>
      <c r="K438" s="41"/>
    </row>
    <row r="439" spans="2:11" x14ac:dyDescent="0.2">
      <c r="B439" s="38"/>
      <c r="C439" s="40"/>
      <c r="D439" s="40"/>
      <c r="E439" s="40"/>
      <c r="F439" s="40"/>
      <c r="G439" s="40"/>
      <c r="H439" s="40"/>
      <c r="I439" s="40"/>
      <c r="J439" s="40"/>
      <c r="K439" s="41"/>
    </row>
    <row r="440" spans="2:11" x14ac:dyDescent="0.2">
      <c r="B440" s="38"/>
      <c r="C440" s="179" t="s">
        <v>301</v>
      </c>
      <c r="D440" s="40"/>
      <c r="E440" s="40"/>
      <c r="F440" s="40"/>
      <c r="G440" s="40"/>
      <c r="H440" s="40"/>
      <c r="I440" s="40"/>
      <c r="J440" s="245">
        <f>IF(OR(J429="Not Calculated",J436="Not Calculated")=TRUE,"Not Calculated",AVERAGE(J429,J436))</f>
        <v>0</v>
      </c>
      <c r="K440" s="41"/>
    </row>
    <row r="441" spans="2:11" x14ac:dyDescent="0.2">
      <c r="B441" s="38"/>
      <c r="C441" s="40"/>
      <c r="D441" s="40"/>
      <c r="E441" s="40"/>
      <c r="F441" s="40"/>
      <c r="G441" s="40"/>
      <c r="H441" s="40"/>
      <c r="I441" s="40"/>
      <c r="J441" s="40"/>
      <c r="K441" s="41"/>
    </row>
    <row r="442" spans="2:11" x14ac:dyDescent="0.2">
      <c r="B442" s="38"/>
      <c r="C442" s="40"/>
      <c r="D442" s="40"/>
      <c r="E442" s="40"/>
      <c r="F442" s="40"/>
      <c r="G442" s="40"/>
      <c r="H442" s="40"/>
      <c r="I442" s="40"/>
      <c r="J442" s="40"/>
      <c r="K442" s="41"/>
    </row>
    <row r="443" spans="2:11" ht="16" x14ac:dyDescent="0.2">
      <c r="B443" s="38"/>
      <c r="C443" s="45" t="s">
        <v>303</v>
      </c>
      <c r="D443" s="40"/>
      <c r="E443" s="40"/>
      <c r="F443" s="40"/>
      <c r="G443" s="40"/>
      <c r="H443" s="40"/>
      <c r="I443" s="40"/>
      <c r="J443" s="40"/>
      <c r="K443" s="41"/>
    </row>
    <row r="444" spans="2:11" ht="15" customHeight="1" x14ac:dyDescent="0.2">
      <c r="B444" s="38"/>
      <c r="C444" s="380" t="s">
        <v>305</v>
      </c>
      <c r="D444" s="380"/>
      <c r="E444" s="380"/>
      <c r="F444" s="380"/>
      <c r="G444" s="380"/>
      <c r="H444" s="380"/>
      <c r="I444" s="380"/>
      <c r="J444" s="40"/>
      <c r="K444" s="41"/>
    </row>
    <row r="445" spans="2:11" x14ac:dyDescent="0.2">
      <c r="B445" s="38"/>
      <c r="C445" s="380"/>
      <c r="D445" s="380"/>
      <c r="E445" s="380"/>
      <c r="F445" s="380"/>
      <c r="G445" s="380"/>
      <c r="H445" s="380"/>
      <c r="I445" s="380"/>
      <c r="J445" s="270">
        <v>0</v>
      </c>
      <c r="K445" s="41"/>
    </row>
    <row r="446" spans="2:11" x14ac:dyDescent="0.2">
      <c r="B446" s="38"/>
      <c r="C446" s="40" t="s">
        <v>260</v>
      </c>
      <c r="D446" s="40"/>
      <c r="E446" s="40"/>
      <c r="F446" s="40"/>
      <c r="G446" s="40"/>
      <c r="H446" s="40"/>
      <c r="I446" s="40"/>
      <c r="J446" s="248">
        <f>IF(J445&lt;=0,0,IF(J445&lt;=1,1,IF(J445&lt;=5,2,IF(J445&lt;=10,3,4))))</f>
        <v>0</v>
      </c>
      <c r="K446" s="41"/>
    </row>
    <row r="447" spans="2:11" ht="9.75" customHeight="1" x14ac:dyDescent="0.2">
      <c r="B447" s="38"/>
      <c r="C447" s="279" t="str">
        <f>"0:"</f>
        <v>0:</v>
      </c>
      <c r="D447" s="278" t="s">
        <v>944</v>
      </c>
      <c r="E447" s="40"/>
      <c r="F447" s="40"/>
      <c r="G447" s="40"/>
      <c r="H447" s="40"/>
      <c r="I447" s="40"/>
      <c r="J447" s="245"/>
      <c r="K447" s="41"/>
    </row>
    <row r="448" spans="2:11" ht="9.75" customHeight="1" x14ac:dyDescent="0.2">
      <c r="B448" s="38"/>
      <c r="C448" s="280" t="str">
        <f>"1:"</f>
        <v>1:</v>
      </c>
      <c r="D448" s="278" t="s">
        <v>945</v>
      </c>
      <c r="E448" s="40"/>
      <c r="F448" s="40"/>
      <c r="G448" s="40"/>
      <c r="H448" s="40"/>
      <c r="I448" s="40"/>
      <c r="J448" s="245"/>
      <c r="K448" s="41"/>
    </row>
    <row r="449" spans="2:11" ht="9.75" customHeight="1" x14ac:dyDescent="0.2">
      <c r="B449" s="38"/>
      <c r="C449" s="280" t="str">
        <f>"2:"</f>
        <v>2:</v>
      </c>
      <c r="D449" s="278" t="s">
        <v>946</v>
      </c>
      <c r="E449" s="40"/>
      <c r="F449" s="40"/>
      <c r="G449" s="40"/>
      <c r="H449" s="40"/>
      <c r="I449" s="40"/>
      <c r="J449" s="245"/>
      <c r="K449" s="41"/>
    </row>
    <row r="450" spans="2:11" ht="9.75" customHeight="1" x14ac:dyDescent="0.2">
      <c r="B450" s="38"/>
      <c r="C450" s="280" t="str">
        <f>"3:"</f>
        <v>3:</v>
      </c>
      <c r="D450" s="278" t="s">
        <v>947</v>
      </c>
      <c r="E450" s="40"/>
      <c r="F450" s="40"/>
      <c r="G450" s="40"/>
      <c r="H450" s="40"/>
      <c r="I450" s="40"/>
      <c r="J450" s="245"/>
      <c r="K450" s="41"/>
    </row>
    <row r="451" spans="2:11" ht="9.75" customHeight="1" x14ac:dyDescent="0.2">
      <c r="B451" s="38"/>
      <c r="C451" s="280" t="str">
        <f>"4:"</f>
        <v>4:</v>
      </c>
      <c r="D451" s="278" t="s">
        <v>948</v>
      </c>
      <c r="E451" s="40"/>
      <c r="F451" s="40"/>
      <c r="G451" s="40"/>
      <c r="H451" s="40"/>
      <c r="I451" s="40"/>
      <c r="J451" s="247"/>
      <c r="K451" s="41"/>
    </row>
    <row r="452" spans="2:11" x14ac:dyDescent="0.2">
      <c r="B452" s="38"/>
      <c r="C452" s="40" t="s">
        <v>257</v>
      </c>
      <c r="D452" s="40"/>
      <c r="E452" s="40"/>
      <c r="F452" s="40"/>
      <c r="G452" s="40"/>
      <c r="H452" s="40"/>
      <c r="I452" s="40"/>
      <c r="J452" s="266" t="s">
        <v>870</v>
      </c>
      <c r="K452" s="41"/>
    </row>
    <row r="453" spans="2:11" x14ac:dyDescent="0.2">
      <c r="B453" s="38"/>
      <c r="C453" s="40" t="s">
        <v>261</v>
      </c>
      <c r="D453" s="40"/>
      <c r="E453" s="40"/>
      <c r="F453" s="40"/>
      <c r="G453" s="40"/>
      <c r="H453" s="40"/>
      <c r="I453" s="40"/>
      <c r="J453" s="245">
        <f>IF(J452=$B$973,$A$973,IF(J452=$B$974,$A$974,IF(J452=$B$975,$A$975,IF(J452=$B$976,$A$976,IF(J452=$B$977,$A$977,"Not Calculated")))))</f>
        <v>0</v>
      </c>
      <c r="K453" s="41"/>
    </row>
    <row r="454" spans="2:11" x14ac:dyDescent="0.2">
      <c r="B454" s="38"/>
      <c r="C454" s="40" t="s">
        <v>893</v>
      </c>
      <c r="D454" s="40"/>
      <c r="E454" s="40"/>
      <c r="F454" s="40"/>
      <c r="G454" s="40"/>
      <c r="H454" s="40"/>
      <c r="I454" s="40"/>
      <c r="J454" s="40"/>
      <c r="K454" s="41"/>
    </row>
    <row r="455" spans="2:11" ht="30" customHeight="1" x14ac:dyDescent="0.2">
      <c r="B455" s="38"/>
      <c r="C455" s="399"/>
      <c r="D455" s="400"/>
      <c r="E455" s="400"/>
      <c r="F455" s="400"/>
      <c r="G455" s="400"/>
      <c r="H455" s="400"/>
      <c r="I455" s="400"/>
      <c r="J455" s="401"/>
      <c r="K455" s="41"/>
    </row>
    <row r="456" spans="2:11" x14ac:dyDescent="0.2">
      <c r="B456" s="38"/>
      <c r="C456" s="40"/>
      <c r="D456" s="40"/>
      <c r="E456" s="40"/>
      <c r="F456" s="40"/>
      <c r="G456" s="40"/>
      <c r="H456" s="40"/>
      <c r="I456" s="40"/>
      <c r="J456" s="40"/>
      <c r="K456" s="41"/>
    </row>
    <row r="457" spans="2:11" x14ac:dyDescent="0.2">
      <c r="B457" s="38"/>
      <c r="C457" s="179" t="s">
        <v>304</v>
      </c>
      <c r="D457" s="40"/>
      <c r="E457" s="40"/>
      <c r="F457" s="40"/>
      <c r="G457" s="40"/>
      <c r="H457" s="40"/>
      <c r="I457" s="40"/>
      <c r="J457" s="245">
        <f>IF(OR(J446="Not Calculated",J453="Not Calculated")=TRUE,"Not Calculated",AVERAGE(J446,J453))</f>
        <v>0</v>
      </c>
      <c r="K457" s="41"/>
    </row>
    <row r="458" spans="2:11" x14ac:dyDescent="0.2">
      <c r="B458" s="38"/>
      <c r="C458" s="40"/>
      <c r="D458" s="40"/>
      <c r="E458" s="40"/>
      <c r="F458" s="40"/>
      <c r="G458" s="40"/>
      <c r="H458" s="40"/>
      <c r="I458" s="40"/>
      <c r="J458" s="40"/>
      <c r="K458" s="41"/>
    </row>
    <row r="459" spans="2:11" x14ac:dyDescent="0.2">
      <c r="B459" s="38"/>
      <c r="C459" s="40"/>
      <c r="D459" s="40"/>
      <c r="E459" s="40"/>
      <c r="F459" s="40"/>
      <c r="G459" s="40"/>
      <c r="H459" s="40"/>
      <c r="I459" s="40"/>
      <c r="J459" s="40"/>
      <c r="K459" s="41"/>
    </row>
    <row r="460" spans="2:11" ht="16" x14ac:dyDescent="0.2">
      <c r="B460" s="38"/>
      <c r="C460" s="45" t="s">
        <v>306</v>
      </c>
      <c r="D460" s="40"/>
      <c r="E460" s="40"/>
      <c r="F460" s="40"/>
      <c r="G460" s="40"/>
      <c r="H460" s="40"/>
      <c r="I460" s="40"/>
      <c r="J460" s="40"/>
      <c r="K460" s="41"/>
    </row>
    <row r="461" spans="2:11" x14ac:dyDescent="0.2">
      <c r="B461" s="38"/>
      <c r="C461" s="40" t="s">
        <v>949</v>
      </c>
      <c r="D461" s="40"/>
      <c r="E461" s="40"/>
      <c r="F461" s="40"/>
      <c r="G461" s="40"/>
      <c r="H461" s="40"/>
      <c r="I461" s="40"/>
      <c r="J461" s="270">
        <v>0</v>
      </c>
      <c r="K461" s="41"/>
    </row>
    <row r="462" spans="2:11" x14ac:dyDescent="0.2">
      <c r="B462" s="38"/>
      <c r="C462" s="40" t="s">
        <v>260</v>
      </c>
      <c r="D462" s="40"/>
      <c r="E462" s="40"/>
      <c r="F462" s="40"/>
      <c r="G462" s="40"/>
      <c r="H462" s="40"/>
      <c r="I462" s="40"/>
      <c r="J462" s="248">
        <f>IF(J461&lt;=0,0,IF(J461&lt;=1,1,IF(J461&lt;=5,2,IF(J461&lt;=10,3,4))))</f>
        <v>0</v>
      </c>
      <c r="K462" s="41"/>
    </row>
    <row r="463" spans="2:11" ht="9.75" customHeight="1" x14ac:dyDescent="0.2">
      <c r="B463" s="38"/>
      <c r="C463" s="279" t="str">
        <f>"0:"</f>
        <v>0:</v>
      </c>
      <c r="D463" s="290" t="s">
        <v>944</v>
      </c>
      <c r="E463" s="40"/>
      <c r="F463" s="40"/>
      <c r="G463" s="40"/>
      <c r="H463" s="40"/>
      <c r="I463" s="40"/>
      <c r="J463" s="245"/>
      <c r="K463" s="41"/>
    </row>
    <row r="464" spans="2:11" ht="9.75" customHeight="1" x14ac:dyDescent="0.2">
      <c r="B464" s="38"/>
      <c r="C464" s="280" t="str">
        <f>"1:"</f>
        <v>1:</v>
      </c>
      <c r="D464" s="290" t="s">
        <v>945</v>
      </c>
      <c r="E464" s="40"/>
      <c r="F464" s="40"/>
      <c r="G464" s="40"/>
      <c r="H464" s="40"/>
      <c r="I464" s="40"/>
      <c r="J464" s="245"/>
      <c r="K464" s="41"/>
    </row>
    <row r="465" spans="2:11" ht="9.75" customHeight="1" x14ac:dyDescent="0.2">
      <c r="B465" s="38"/>
      <c r="C465" s="280" t="str">
        <f>"2:"</f>
        <v>2:</v>
      </c>
      <c r="D465" s="290" t="s">
        <v>946</v>
      </c>
      <c r="E465" s="40"/>
      <c r="F465" s="40"/>
      <c r="G465" s="40"/>
      <c r="H465" s="40"/>
      <c r="I465" s="40"/>
      <c r="J465" s="245"/>
      <c r="K465" s="41"/>
    </row>
    <row r="466" spans="2:11" ht="9.75" customHeight="1" x14ac:dyDescent="0.2">
      <c r="B466" s="38"/>
      <c r="C466" s="280" t="str">
        <f>"3:"</f>
        <v>3:</v>
      </c>
      <c r="D466" s="290" t="s">
        <v>947</v>
      </c>
      <c r="E466" s="40"/>
      <c r="F466" s="40"/>
      <c r="G466" s="40"/>
      <c r="H466" s="40"/>
      <c r="I466" s="40"/>
      <c r="J466" s="245"/>
      <c r="K466" s="41"/>
    </row>
    <row r="467" spans="2:11" ht="9.75" customHeight="1" x14ac:dyDescent="0.2">
      <c r="B467" s="38"/>
      <c r="C467" s="280" t="str">
        <f>"4:"</f>
        <v>4:</v>
      </c>
      <c r="D467" s="290" t="s">
        <v>948</v>
      </c>
      <c r="E467" s="40"/>
      <c r="F467" s="40"/>
      <c r="G467" s="40"/>
      <c r="H467" s="40"/>
      <c r="I467" s="40"/>
      <c r="J467" s="247"/>
      <c r="K467" s="41"/>
    </row>
    <row r="468" spans="2:11" x14ac:dyDescent="0.2">
      <c r="B468" s="38"/>
      <c r="C468" s="40" t="s">
        <v>257</v>
      </c>
      <c r="D468" s="40"/>
      <c r="E468" s="40"/>
      <c r="F468" s="40"/>
      <c r="G468" s="40"/>
      <c r="H468" s="40"/>
      <c r="I468" s="40"/>
      <c r="J468" s="266" t="s">
        <v>870</v>
      </c>
      <c r="K468" s="41"/>
    </row>
    <row r="469" spans="2:11" ht="15" customHeight="1" x14ac:dyDescent="0.2">
      <c r="B469" s="38"/>
      <c r="C469" s="40" t="s">
        <v>261</v>
      </c>
      <c r="D469" s="40"/>
      <c r="E469" s="40"/>
      <c r="F469" s="40"/>
      <c r="G469" s="40"/>
      <c r="H469" s="40"/>
      <c r="I469" s="40"/>
      <c r="J469" s="245">
        <f>IF(J468=$B$973,$A$973,IF(J468=$B$974,$A$974,IF(J468=$B$975,$A$975,IF(J468=$B$976,$A$976,IF(J468=$B$977,$A$977,"Not Calculated")))))</f>
        <v>0</v>
      </c>
      <c r="K469" s="41"/>
    </row>
    <row r="470" spans="2:11" x14ac:dyDescent="0.2">
      <c r="B470" s="38"/>
      <c r="C470" s="40" t="s">
        <v>893</v>
      </c>
      <c r="D470" s="40"/>
      <c r="E470" s="40"/>
      <c r="F470" s="40"/>
      <c r="G470" s="40"/>
      <c r="H470" s="40"/>
      <c r="I470" s="40"/>
      <c r="J470" s="40"/>
      <c r="K470" s="41"/>
    </row>
    <row r="471" spans="2:11" ht="30" customHeight="1" x14ac:dyDescent="0.2">
      <c r="B471" s="38"/>
      <c r="C471" s="399"/>
      <c r="D471" s="400"/>
      <c r="E471" s="400"/>
      <c r="F471" s="400"/>
      <c r="G471" s="400"/>
      <c r="H471" s="400"/>
      <c r="I471" s="400"/>
      <c r="J471" s="401"/>
      <c r="K471" s="41"/>
    </row>
    <row r="472" spans="2:11" x14ac:dyDescent="0.2">
      <c r="B472" s="38"/>
      <c r="C472" s="40"/>
      <c r="D472" s="40"/>
      <c r="E472" s="40"/>
      <c r="F472" s="40"/>
      <c r="G472" s="40"/>
      <c r="H472" s="40"/>
      <c r="I472" s="40"/>
      <c r="J472" s="40"/>
      <c r="K472" s="41"/>
    </row>
    <row r="473" spans="2:11" x14ac:dyDescent="0.2">
      <c r="B473" s="38"/>
      <c r="C473" s="179" t="s">
        <v>307</v>
      </c>
      <c r="D473" s="40"/>
      <c r="E473" s="40"/>
      <c r="F473" s="40"/>
      <c r="G473" s="40"/>
      <c r="H473" s="40"/>
      <c r="I473" s="40"/>
      <c r="J473" s="245">
        <f>IF(OR(J462="Not Calculated",J469="Not Calculated")=TRUE,"Not Calculated",AVERAGE(J462,J469))</f>
        <v>0</v>
      </c>
      <c r="K473" s="41"/>
    </row>
    <row r="474" spans="2:11" x14ac:dyDescent="0.2">
      <c r="B474" s="38"/>
      <c r="C474" s="40"/>
      <c r="D474" s="40"/>
      <c r="E474" s="40"/>
      <c r="F474" s="40"/>
      <c r="G474" s="40"/>
      <c r="H474" s="40"/>
      <c r="I474" s="40"/>
      <c r="J474" s="40"/>
      <c r="K474" s="41"/>
    </row>
    <row r="475" spans="2:11" x14ac:dyDescent="0.2">
      <c r="B475" s="38"/>
      <c r="C475" s="40"/>
      <c r="D475" s="40"/>
      <c r="E475" s="40"/>
      <c r="F475" s="40"/>
      <c r="G475" s="40"/>
      <c r="H475" s="40"/>
      <c r="I475" s="40"/>
      <c r="J475" s="40"/>
      <c r="K475" s="41"/>
    </row>
    <row r="476" spans="2:11" ht="16" x14ac:dyDescent="0.2">
      <c r="B476" s="38"/>
      <c r="C476" s="45" t="s">
        <v>308</v>
      </c>
      <c r="D476" s="40"/>
      <c r="E476" s="40"/>
      <c r="F476" s="40"/>
      <c r="G476" s="40"/>
      <c r="H476" s="40"/>
      <c r="I476" s="40"/>
      <c r="J476" s="40"/>
      <c r="K476" s="41"/>
    </row>
    <row r="477" spans="2:11" ht="15" customHeight="1" x14ac:dyDescent="0.2">
      <c r="B477" s="38"/>
      <c r="C477" s="380" t="s">
        <v>310</v>
      </c>
      <c r="D477" s="380"/>
      <c r="E477" s="380"/>
      <c r="F477" s="380"/>
      <c r="G477" s="380"/>
      <c r="H477" s="380"/>
      <c r="I477" s="380"/>
      <c r="J477" s="40"/>
      <c r="K477" s="41"/>
    </row>
    <row r="478" spans="2:11" x14ac:dyDescent="0.2">
      <c r="B478" s="38"/>
      <c r="C478" s="380"/>
      <c r="D478" s="380"/>
      <c r="E478" s="380"/>
      <c r="F478" s="380"/>
      <c r="G478" s="380"/>
      <c r="H478" s="380"/>
      <c r="I478" s="380"/>
      <c r="J478" s="131">
        <v>2</v>
      </c>
      <c r="K478" s="41"/>
    </row>
    <row r="479" spans="2:11" x14ac:dyDescent="0.2">
      <c r="B479" s="38"/>
      <c r="C479" s="40" t="s">
        <v>261</v>
      </c>
      <c r="D479" s="40"/>
      <c r="E479" s="40"/>
      <c r="F479" s="40"/>
      <c r="G479" s="40"/>
      <c r="H479" s="40"/>
      <c r="I479" s="40"/>
      <c r="J479" s="245">
        <f>IF(J478&lt;=0,0,IF(J478&lt;=1,1,IF(J478&lt;=7,2,IF(J478&lt;=14,3,4))))</f>
        <v>2</v>
      </c>
      <c r="K479" s="41"/>
    </row>
    <row r="480" spans="2:11" s="51" customFormat="1" ht="9.75" customHeight="1" x14ac:dyDescent="0.2">
      <c r="B480" s="283"/>
      <c r="C480" s="279" t="str">
        <f>"0:"</f>
        <v>0:</v>
      </c>
      <c r="D480" s="284" t="s">
        <v>950</v>
      </c>
      <c r="E480" s="285"/>
      <c r="F480" s="285"/>
      <c r="G480" s="285"/>
      <c r="H480" s="285"/>
      <c r="I480" s="285"/>
      <c r="J480" s="43"/>
      <c r="K480" s="286"/>
    </row>
    <row r="481" spans="2:11" s="51" customFormat="1" ht="9.75" customHeight="1" x14ac:dyDescent="0.2">
      <c r="B481" s="283"/>
      <c r="C481" s="280" t="str">
        <f>"1:"</f>
        <v>1:</v>
      </c>
      <c r="D481" s="284" t="s">
        <v>951</v>
      </c>
      <c r="E481" s="285"/>
      <c r="F481" s="285"/>
      <c r="G481" s="285"/>
      <c r="H481" s="285"/>
      <c r="I481" s="285"/>
      <c r="J481" s="43"/>
      <c r="K481" s="286"/>
    </row>
    <row r="482" spans="2:11" s="51" customFormat="1" ht="9.75" customHeight="1" x14ac:dyDescent="0.2">
      <c r="B482" s="283"/>
      <c r="C482" s="280" t="str">
        <f>"2:"</f>
        <v>2:</v>
      </c>
      <c r="D482" s="284" t="s">
        <v>952</v>
      </c>
      <c r="E482" s="285"/>
      <c r="F482" s="285"/>
      <c r="G482" s="285"/>
      <c r="H482" s="285"/>
      <c r="I482" s="285"/>
      <c r="J482" s="43"/>
      <c r="K482" s="286"/>
    </row>
    <row r="483" spans="2:11" s="51" customFormat="1" ht="9.75" customHeight="1" x14ac:dyDescent="0.2">
      <c r="B483" s="283"/>
      <c r="C483" s="280" t="str">
        <f>"3:"</f>
        <v>3:</v>
      </c>
      <c r="D483" s="284" t="s">
        <v>953</v>
      </c>
      <c r="E483" s="285"/>
      <c r="F483" s="285"/>
      <c r="G483" s="285"/>
      <c r="H483" s="285"/>
      <c r="I483" s="285"/>
      <c r="J483" s="43"/>
      <c r="K483" s="286"/>
    </row>
    <row r="484" spans="2:11" s="51" customFormat="1" ht="9.75" customHeight="1" x14ac:dyDescent="0.2">
      <c r="B484" s="283"/>
      <c r="C484" s="280" t="str">
        <f>"4:"</f>
        <v>4:</v>
      </c>
      <c r="D484" s="284" t="s">
        <v>954</v>
      </c>
      <c r="E484" s="285"/>
      <c r="F484" s="285"/>
      <c r="G484" s="285"/>
      <c r="H484" s="285"/>
      <c r="I484" s="285"/>
      <c r="J484" s="43"/>
      <c r="K484" s="286"/>
    </row>
    <row r="485" spans="2:11" x14ac:dyDescent="0.2">
      <c r="B485" s="38"/>
      <c r="C485" s="40" t="s">
        <v>893</v>
      </c>
      <c r="D485" s="40"/>
      <c r="E485" s="40"/>
      <c r="F485" s="40"/>
      <c r="G485" s="40"/>
      <c r="H485" s="40"/>
      <c r="I485" s="40"/>
      <c r="J485" s="40"/>
      <c r="K485" s="41"/>
    </row>
    <row r="486" spans="2:11" ht="45" customHeight="1" x14ac:dyDescent="0.2">
      <c r="B486" s="38"/>
      <c r="C486" s="399" t="s">
        <v>497</v>
      </c>
      <c r="D486" s="400"/>
      <c r="E486" s="400"/>
      <c r="F486" s="400"/>
      <c r="G486" s="400"/>
      <c r="H486" s="400"/>
      <c r="I486" s="400"/>
      <c r="J486" s="401"/>
      <c r="K486" s="41"/>
    </row>
    <row r="487" spans="2:11" x14ac:dyDescent="0.2">
      <c r="B487" s="38"/>
      <c r="C487" s="40"/>
      <c r="D487" s="40"/>
      <c r="E487" s="40"/>
      <c r="F487" s="40"/>
      <c r="G487" s="40"/>
      <c r="H487" s="40"/>
      <c r="I487" s="40"/>
      <c r="J487" s="40"/>
      <c r="K487" s="41"/>
    </row>
    <row r="488" spans="2:11" x14ac:dyDescent="0.2">
      <c r="B488" s="38"/>
      <c r="C488" s="179" t="s">
        <v>309</v>
      </c>
      <c r="D488" s="40"/>
      <c r="E488" s="40"/>
      <c r="F488" s="40"/>
      <c r="G488" s="40"/>
      <c r="H488" s="40"/>
      <c r="I488" s="40"/>
      <c r="J488" s="245">
        <f>J479</f>
        <v>2</v>
      </c>
      <c r="K488" s="41"/>
    </row>
    <row r="489" spans="2:11" x14ac:dyDescent="0.2">
      <c r="B489" s="38"/>
      <c r="C489" s="40"/>
      <c r="D489" s="40"/>
      <c r="E489" s="40"/>
      <c r="F489" s="40"/>
      <c r="G489" s="40"/>
      <c r="H489" s="40"/>
      <c r="I489" s="40"/>
      <c r="J489" s="40"/>
      <c r="K489" s="41"/>
    </row>
    <row r="490" spans="2:11" x14ac:dyDescent="0.2">
      <c r="B490" s="38"/>
      <c r="C490" s="40"/>
      <c r="D490" s="40"/>
      <c r="E490" s="40"/>
      <c r="F490" s="40"/>
      <c r="G490" s="40"/>
      <c r="H490" s="40"/>
      <c r="I490" s="40"/>
      <c r="J490" s="40"/>
      <c r="K490" s="41"/>
    </row>
    <row r="491" spans="2:11" ht="16" x14ac:dyDescent="0.2">
      <c r="B491" s="38"/>
      <c r="C491" s="45" t="s">
        <v>311</v>
      </c>
      <c r="D491" s="40"/>
      <c r="E491" s="40"/>
      <c r="F491" s="40"/>
      <c r="G491" s="40"/>
      <c r="H491" s="40"/>
      <c r="I491" s="40"/>
      <c r="J491" s="40"/>
      <c r="K491" s="41"/>
    </row>
    <row r="492" spans="2:11" x14ac:dyDescent="0.2">
      <c r="B492" s="38"/>
      <c r="C492" s="40" t="s">
        <v>312</v>
      </c>
      <c r="D492" s="40"/>
      <c r="E492" s="40"/>
      <c r="F492" s="40"/>
      <c r="G492" s="40"/>
      <c r="H492" s="40"/>
      <c r="I492" s="40"/>
      <c r="J492" s="270">
        <v>5</v>
      </c>
      <c r="K492" s="41"/>
    </row>
    <row r="493" spans="2:11" x14ac:dyDescent="0.2">
      <c r="B493" s="38"/>
      <c r="C493" s="40" t="s">
        <v>260</v>
      </c>
      <c r="D493" s="40"/>
      <c r="E493" s="40"/>
      <c r="F493" s="40"/>
      <c r="G493" s="40"/>
      <c r="H493" s="40"/>
      <c r="I493" s="40"/>
      <c r="J493" s="248">
        <f>IF(J492&lt;=0,0,IF(J492&lt;=1,1,IF(J492&lt;=5,2,IF(J492&lt;=10,3,4))))</f>
        <v>2</v>
      </c>
      <c r="K493" s="41"/>
    </row>
    <row r="494" spans="2:11" ht="9.75" customHeight="1" x14ac:dyDescent="0.2">
      <c r="B494" s="38"/>
      <c r="C494" s="279" t="str">
        <f>"0:"</f>
        <v>0:</v>
      </c>
      <c r="D494" s="290" t="s">
        <v>955</v>
      </c>
      <c r="E494" s="40"/>
      <c r="F494" s="40"/>
      <c r="G494" s="40"/>
      <c r="H494" s="40"/>
      <c r="I494" s="40"/>
      <c r="J494" s="245"/>
      <c r="K494" s="41"/>
    </row>
    <row r="495" spans="2:11" ht="9.75" customHeight="1" x14ac:dyDescent="0.2">
      <c r="B495" s="38"/>
      <c r="C495" s="280" t="str">
        <f>"1:"</f>
        <v>1:</v>
      </c>
      <c r="D495" s="290" t="s">
        <v>956</v>
      </c>
      <c r="E495" s="40"/>
      <c r="F495" s="40"/>
      <c r="G495" s="40"/>
      <c r="H495" s="40"/>
      <c r="I495" s="40"/>
      <c r="J495" s="245"/>
      <c r="K495" s="41"/>
    </row>
    <row r="496" spans="2:11" ht="9.75" customHeight="1" x14ac:dyDescent="0.2">
      <c r="B496" s="38"/>
      <c r="C496" s="280" t="str">
        <f>"2:"</f>
        <v>2:</v>
      </c>
      <c r="D496" s="290" t="s">
        <v>957</v>
      </c>
      <c r="E496" s="40"/>
      <c r="F496" s="40"/>
      <c r="G496" s="40"/>
      <c r="H496" s="40"/>
      <c r="I496" s="40"/>
      <c r="J496" s="245"/>
      <c r="K496" s="41"/>
    </row>
    <row r="497" spans="2:11" ht="9.75" customHeight="1" x14ac:dyDescent="0.2">
      <c r="B497" s="38"/>
      <c r="C497" s="280" t="str">
        <f>"3:"</f>
        <v>3:</v>
      </c>
      <c r="D497" s="290" t="s">
        <v>958</v>
      </c>
      <c r="E497" s="40"/>
      <c r="F497" s="40"/>
      <c r="G497" s="40"/>
      <c r="H497" s="40"/>
      <c r="I497" s="40"/>
      <c r="J497" s="245"/>
      <c r="K497" s="41"/>
    </row>
    <row r="498" spans="2:11" ht="9.75" customHeight="1" x14ac:dyDescent="0.2">
      <c r="B498" s="38"/>
      <c r="C498" s="280" t="str">
        <f>"4:"</f>
        <v>4:</v>
      </c>
      <c r="D498" s="290" t="s">
        <v>959</v>
      </c>
      <c r="E498" s="40"/>
      <c r="F498" s="40"/>
      <c r="G498" s="40"/>
      <c r="H498" s="40"/>
      <c r="I498" s="40"/>
      <c r="J498" s="247"/>
      <c r="K498" s="41"/>
    </row>
    <row r="499" spans="2:11" x14ac:dyDescent="0.2">
      <c r="B499" s="38"/>
      <c r="C499" s="40" t="s">
        <v>313</v>
      </c>
      <c r="D499" s="40"/>
      <c r="E499" s="40"/>
      <c r="F499" s="40"/>
      <c r="G499" s="40"/>
      <c r="H499" s="40"/>
      <c r="I499" s="40"/>
      <c r="J499" s="266" t="s">
        <v>873</v>
      </c>
      <c r="K499" s="41"/>
    </row>
    <row r="500" spans="2:11" x14ac:dyDescent="0.2">
      <c r="B500" s="38"/>
      <c r="C500" s="40" t="s">
        <v>261</v>
      </c>
      <c r="D500" s="40"/>
      <c r="E500" s="40"/>
      <c r="F500" s="40"/>
      <c r="G500" s="40"/>
      <c r="H500" s="40"/>
      <c r="I500" s="40"/>
      <c r="J500" s="245">
        <f>IF(J499=$B$973,$A$973,IF(J499=$B$974,$A$974,IF(J499=$B$975,$A$975,IF(J499=$B$976,$A$976,IF(J499=$B$977,$A$977,"Not Calculated")))))</f>
        <v>3</v>
      </c>
      <c r="K500" s="41"/>
    </row>
    <row r="501" spans="2:11" x14ac:dyDescent="0.2">
      <c r="B501" s="38"/>
      <c r="C501" s="40" t="s">
        <v>893</v>
      </c>
      <c r="D501" s="40"/>
      <c r="E501" s="40"/>
      <c r="F501" s="40"/>
      <c r="G501" s="40"/>
      <c r="H501" s="40"/>
      <c r="I501" s="40"/>
      <c r="J501" s="40"/>
      <c r="K501" s="41"/>
    </row>
    <row r="502" spans="2:11" ht="30" customHeight="1" x14ac:dyDescent="0.2">
      <c r="B502" s="38"/>
      <c r="C502" s="399" t="s">
        <v>498</v>
      </c>
      <c r="D502" s="400"/>
      <c r="E502" s="400"/>
      <c r="F502" s="400"/>
      <c r="G502" s="400"/>
      <c r="H502" s="400"/>
      <c r="I502" s="400"/>
      <c r="J502" s="401"/>
      <c r="K502" s="41"/>
    </row>
    <row r="503" spans="2:11" x14ac:dyDescent="0.2">
      <c r="B503" s="38"/>
      <c r="C503" s="40"/>
      <c r="D503" s="40"/>
      <c r="E503" s="40"/>
      <c r="F503" s="40"/>
      <c r="G503" s="40"/>
      <c r="H503" s="40"/>
      <c r="I503" s="40"/>
      <c r="J503" s="40"/>
      <c r="K503" s="41"/>
    </row>
    <row r="504" spans="2:11" x14ac:dyDescent="0.2">
      <c r="B504" s="38"/>
      <c r="C504" s="179" t="s">
        <v>321</v>
      </c>
      <c r="D504" s="40"/>
      <c r="E504" s="40"/>
      <c r="F504" s="40"/>
      <c r="G504" s="40"/>
      <c r="H504" s="40"/>
      <c r="I504" s="40"/>
      <c r="J504" s="245">
        <f>IF(OR(J493="Not Calculated",J500="Not Calculated")=TRUE,"Not Calculated",AVERAGE(J493,J500))</f>
        <v>2.5</v>
      </c>
      <c r="K504" s="41"/>
    </row>
    <row r="505" spans="2:11" x14ac:dyDescent="0.2">
      <c r="B505" s="38"/>
      <c r="C505" s="40"/>
      <c r="D505" s="40"/>
      <c r="E505" s="40"/>
      <c r="F505" s="40"/>
      <c r="G505" s="40"/>
      <c r="H505" s="40"/>
      <c r="I505" s="40"/>
      <c r="J505" s="40"/>
      <c r="K505" s="41"/>
    </row>
    <row r="506" spans="2:11" x14ac:dyDescent="0.2">
      <c r="B506" s="38"/>
      <c r="C506" s="40"/>
      <c r="D506" s="40"/>
      <c r="E506" s="40"/>
      <c r="F506" s="40"/>
      <c r="G506" s="40"/>
      <c r="H506" s="40"/>
      <c r="I506" s="40"/>
      <c r="J506" s="40"/>
      <c r="K506" s="41"/>
    </row>
    <row r="507" spans="2:11" ht="16" x14ac:dyDescent="0.2">
      <c r="B507" s="38"/>
      <c r="C507" s="45" t="s">
        <v>314</v>
      </c>
      <c r="D507" s="40"/>
      <c r="E507" s="40"/>
      <c r="F507" s="40"/>
      <c r="G507" s="40"/>
      <c r="H507" s="40"/>
      <c r="I507" s="40"/>
      <c r="J507" s="40"/>
      <c r="K507" s="41"/>
    </row>
    <row r="508" spans="2:11" x14ac:dyDescent="0.2">
      <c r="B508" s="38"/>
      <c r="C508" s="40" t="s">
        <v>316</v>
      </c>
      <c r="D508" s="40"/>
      <c r="E508" s="40"/>
      <c r="F508" s="40"/>
      <c r="G508" s="40"/>
      <c r="H508" s="40"/>
      <c r="I508" s="40"/>
      <c r="J508" s="269">
        <f>3.14159*'Community Characteristics'!$H$24</f>
        <v>0</v>
      </c>
      <c r="K508" s="41"/>
    </row>
    <row r="509" spans="2:11" x14ac:dyDescent="0.2">
      <c r="B509" s="38"/>
      <c r="C509" s="40" t="s">
        <v>260</v>
      </c>
      <c r="D509" s="40"/>
      <c r="E509" s="40"/>
      <c r="F509" s="40"/>
      <c r="G509" s="40"/>
      <c r="H509" s="40"/>
      <c r="I509" s="40"/>
      <c r="J509" s="248">
        <f>IF(J508&lt;=0,0,IF(J508&lt;=1000,1,IF(J508&lt;=5000,2,IF(J508&lt;=25000,3,4))))</f>
        <v>0</v>
      </c>
      <c r="K509" s="41"/>
    </row>
    <row r="510" spans="2:11" s="51" customFormat="1" ht="9.75" customHeight="1" x14ac:dyDescent="0.2">
      <c r="B510" s="283"/>
      <c r="C510" s="279" t="str">
        <f>"0:"</f>
        <v>0:</v>
      </c>
      <c r="D510" s="284" t="s">
        <v>960</v>
      </c>
      <c r="E510" s="285"/>
      <c r="F510" s="285"/>
      <c r="G510" s="285"/>
      <c r="H510" s="285"/>
      <c r="I510" s="285"/>
      <c r="J510" s="43"/>
      <c r="K510" s="286"/>
    </row>
    <row r="511" spans="2:11" s="51" customFormat="1" ht="9.75" customHeight="1" x14ac:dyDescent="0.2">
      <c r="B511" s="283"/>
      <c r="C511" s="280" t="str">
        <f>"1:"</f>
        <v>1:</v>
      </c>
      <c r="D511" s="284" t="s">
        <v>961</v>
      </c>
      <c r="E511" s="285"/>
      <c r="F511" s="285"/>
      <c r="G511" s="285"/>
      <c r="H511" s="285"/>
      <c r="I511" s="285"/>
      <c r="J511" s="43"/>
      <c r="K511" s="286"/>
    </row>
    <row r="512" spans="2:11" s="51" customFormat="1" ht="9.75" customHeight="1" x14ac:dyDescent="0.2">
      <c r="B512" s="283"/>
      <c r="C512" s="280" t="str">
        <f>"2:"</f>
        <v>2:</v>
      </c>
      <c r="D512" s="284" t="s">
        <v>962</v>
      </c>
      <c r="E512" s="285"/>
      <c r="F512" s="285"/>
      <c r="G512" s="285"/>
      <c r="H512" s="285"/>
      <c r="I512" s="285"/>
      <c r="J512" s="43"/>
      <c r="K512" s="286"/>
    </row>
    <row r="513" spans="2:11" s="51" customFormat="1" ht="9.75" customHeight="1" x14ac:dyDescent="0.2">
      <c r="B513" s="283"/>
      <c r="C513" s="280" t="str">
        <f>"3:"</f>
        <v>3:</v>
      </c>
      <c r="D513" s="284" t="s">
        <v>963</v>
      </c>
      <c r="E513" s="285"/>
      <c r="F513" s="285"/>
      <c r="G513" s="285"/>
      <c r="H513" s="285"/>
      <c r="I513" s="285"/>
      <c r="J513" s="43"/>
      <c r="K513" s="286"/>
    </row>
    <row r="514" spans="2:11" s="51" customFormat="1" ht="9.75" customHeight="1" x14ac:dyDescent="0.2">
      <c r="B514" s="283"/>
      <c r="C514" s="280" t="str">
        <f>"4:"</f>
        <v>4:</v>
      </c>
      <c r="D514" s="284" t="s">
        <v>964</v>
      </c>
      <c r="E514" s="285"/>
      <c r="F514" s="285"/>
      <c r="G514" s="285"/>
      <c r="H514" s="285"/>
      <c r="I514" s="285"/>
      <c r="J514" s="287"/>
      <c r="K514" s="286"/>
    </row>
    <row r="515" spans="2:11" x14ac:dyDescent="0.2">
      <c r="B515" s="38"/>
      <c r="C515" s="40" t="s">
        <v>315</v>
      </c>
      <c r="D515" s="40"/>
      <c r="E515" s="40"/>
      <c r="F515" s="40"/>
      <c r="G515" s="40"/>
      <c r="H515" s="40"/>
      <c r="I515" s="40"/>
      <c r="J515" s="266" t="s">
        <v>874</v>
      </c>
      <c r="K515" s="41"/>
    </row>
    <row r="516" spans="2:11" x14ac:dyDescent="0.2">
      <c r="B516" s="38"/>
      <c r="C516" s="40" t="s">
        <v>261</v>
      </c>
      <c r="D516" s="40"/>
      <c r="E516" s="40"/>
      <c r="F516" s="40"/>
      <c r="G516" s="40"/>
      <c r="H516" s="40"/>
      <c r="I516" s="40"/>
      <c r="J516" s="245">
        <f>IF(J515=$B$973,$A$973,IF(J515=$B$974,$A$974,IF(J515=$B$975,$A$975,IF(J515=$B$976,$A$976,IF(J515=$B$977,$A$977,"Not Calculated")))))</f>
        <v>4</v>
      </c>
      <c r="K516" s="41"/>
    </row>
    <row r="517" spans="2:11" x14ac:dyDescent="0.2">
      <c r="B517" s="38"/>
      <c r="C517" s="40" t="s">
        <v>893</v>
      </c>
      <c r="D517" s="40"/>
      <c r="E517" s="40"/>
      <c r="F517" s="40"/>
      <c r="G517" s="40"/>
      <c r="H517" s="40"/>
      <c r="I517" s="40"/>
      <c r="J517" s="40"/>
      <c r="K517" s="41"/>
    </row>
    <row r="518" spans="2:11" ht="45" customHeight="1" x14ac:dyDescent="0.2">
      <c r="B518" s="38"/>
      <c r="C518" s="399" t="s">
        <v>499</v>
      </c>
      <c r="D518" s="400"/>
      <c r="E518" s="400"/>
      <c r="F518" s="400"/>
      <c r="G518" s="400"/>
      <c r="H518" s="400"/>
      <c r="I518" s="400"/>
      <c r="J518" s="401"/>
      <c r="K518" s="41"/>
    </row>
    <row r="519" spans="2:11" x14ac:dyDescent="0.2">
      <c r="B519" s="38"/>
      <c r="C519" s="40"/>
      <c r="D519" s="40"/>
      <c r="E519" s="40"/>
      <c r="F519" s="40"/>
      <c r="G519" s="40"/>
      <c r="H519" s="40"/>
      <c r="I519" s="40"/>
      <c r="J519" s="40"/>
      <c r="K519" s="41"/>
    </row>
    <row r="520" spans="2:11" x14ac:dyDescent="0.2">
      <c r="B520" s="38"/>
      <c r="C520" s="179" t="s">
        <v>320</v>
      </c>
      <c r="D520" s="40"/>
      <c r="E520" s="40"/>
      <c r="F520" s="40"/>
      <c r="G520" s="40"/>
      <c r="H520" s="40"/>
      <c r="I520" s="40"/>
      <c r="J520" s="245">
        <f>IF(OR(J509="Not Calculated",J516="Not Calculated")=TRUE,"Not Calculated",AVERAGE(J509,J516))</f>
        <v>2</v>
      </c>
      <c r="K520" s="41"/>
    </row>
    <row r="521" spans="2:11" x14ac:dyDescent="0.2">
      <c r="B521" s="38"/>
      <c r="C521" s="40"/>
      <c r="D521" s="40"/>
      <c r="E521" s="40"/>
      <c r="F521" s="40"/>
      <c r="G521" s="40"/>
      <c r="H521" s="40"/>
      <c r="I521" s="40"/>
      <c r="J521" s="40"/>
      <c r="K521" s="41"/>
    </row>
    <row r="522" spans="2:11" x14ac:dyDescent="0.2">
      <c r="B522" s="38"/>
      <c r="C522" s="40"/>
      <c r="D522" s="40"/>
      <c r="E522" s="40"/>
      <c r="F522" s="40"/>
      <c r="G522" s="40"/>
      <c r="H522" s="40"/>
      <c r="I522" s="40"/>
      <c r="J522" s="40"/>
      <c r="K522" s="41"/>
    </row>
    <row r="523" spans="2:11" ht="16" x14ac:dyDescent="0.2">
      <c r="B523" s="38"/>
      <c r="C523" s="45" t="s">
        <v>317</v>
      </c>
      <c r="D523" s="40"/>
      <c r="E523" s="40"/>
      <c r="F523" s="40"/>
      <c r="G523" s="40"/>
      <c r="H523" s="40"/>
      <c r="I523" s="40"/>
      <c r="J523" s="40"/>
      <c r="K523" s="41"/>
    </row>
    <row r="524" spans="2:11" ht="15" customHeight="1" x14ac:dyDescent="0.2">
      <c r="B524" s="38"/>
      <c r="C524" s="380" t="s">
        <v>318</v>
      </c>
      <c r="D524" s="380"/>
      <c r="E524" s="380"/>
      <c r="F524" s="380"/>
      <c r="G524" s="380"/>
      <c r="H524" s="380"/>
      <c r="I524" s="380"/>
      <c r="J524" s="40"/>
      <c r="K524" s="41"/>
    </row>
    <row r="525" spans="2:11" x14ac:dyDescent="0.2">
      <c r="B525" s="38"/>
      <c r="C525" s="380"/>
      <c r="D525" s="380"/>
      <c r="E525" s="380"/>
      <c r="F525" s="380"/>
      <c r="G525" s="380"/>
      <c r="H525" s="380"/>
      <c r="I525" s="380"/>
      <c r="J525" s="274">
        <v>0.3</v>
      </c>
      <c r="K525" s="41"/>
    </row>
    <row r="526" spans="2:11" x14ac:dyDescent="0.2">
      <c r="B526" s="38"/>
      <c r="C526" s="40" t="s">
        <v>260</v>
      </c>
      <c r="D526" s="40"/>
      <c r="E526" s="40"/>
      <c r="F526" s="40"/>
      <c r="G526" s="40"/>
      <c r="H526" s="40"/>
      <c r="I526" s="40"/>
      <c r="J526" s="248">
        <f>IF(J525&lt;=0,0,IF(J525&lt;=1,1,IF(J525&lt;=5,2,IF(J525&lt;=10,3,4))))</f>
        <v>1</v>
      </c>
      <c r="K526" s="41"/>
    </row>
    <row r="527" spans="2:11" s="51" customFormat="1" ht="9.75" customHeight="1" x14ac:dyDescent="0.2">
      <c r="B527" s="283"/>
      <c r="C527" s="279" t="str">
        <f>"0:"</f>
        <v>0:</v>
      </c>
      <c r="D527" s="284" t="s">
        <v>965</v>
      </c>
      <c r="E527" s="285"/>
      <c r="F527" s="285"/>
      <c r="G527" s="285"/>
      <c r="H527" s="285"/>
      <c r="I527" s="285"/>
      <c r="J527" s="43"/>
      <c r="K527" s="286"/>
    </row>
    <row r="528" spans="2:11" s="51" customFormat="1" ht="9.75" customHeight="1" x14ac:dyDescent="0.2">
      <c r="B528" s="283"/>
      <c r="C528" s="280" t="str">
        <f>"1:"</f>
        <v>1:</v>
      </c>
      <c r="D528" s="284" t="s">
        <v>966</v>
      </c>
      <c r="E528" s="285"/>
      <c r="F528" s="285"/>
      <c r="G528" s="285"/>
      <c r="H528" s="285"/>
      <c r="I528" s="285"/>
      <c r="J528" s="43"/>
      <c r="K528" s="286"/>
    </row>
    <row r="529" spans="2:11" s="51" customFormat="1" ht="9.75" customHeight="1" x14ac:dyDescent="0.2">
      <c r="B529" s="283"/>
      <c r="C529" s="280" t="str">
        <f>"2:"</f>
        <v>2:</v>
      </c>
      <c r="D529" s="284" t="s">
        <v>967</v>
      </c>
      <c r="E529" s="285"/>
      <c r="F529" s="285"/>
      <c r="G529" s="285"/>
      <c r="H529" s="285"/>
      <c r="I529" s="285"/>
      <c r="J529" s="43"/>
      <c r="K529" s="286"/>
    </row>
    <row r="530" spans="2:11" s="51" customFormat="1" ht="9.75" customHeight="1" x14ac:dyDescent="0.2">
      <c r="B530" s="283"/>
      <c r="C530" s="280" t="str">
        <f>"3:"</f>
        <v>3:</v>
      </c>
      <c r="D530" s="284" t="s">
        <v>968</v>
      </c>
      <c r="E530" s="285"/>
      <c r="F530" s="285"/>
      <c r="G530" s="285"/>
      <c r="H530" s="285"/>
      <c r="I530" s="285"/>
      <c r="J530" s="43"/>
      <c r="K530" s="286"/>
    </row>
    <row r="531" spans="2:11" s="51" customFormat="1" ht="9.75" customHeight="1" x14ac:dyDescent="0.2">
      <c r="B531" s="283"/>
      <c r="C531" s="280" t="str">
        <f>"4:"</f>
        <v>4:</v>
      </c>
      <c r="D531" s="284" t="s">
        <v>969</v>
      </c>
      <c r="E531" s="285"/>
      <c r="F531" s="285"/>
      <c r="G531" s="285"/>
      <c r="H531" s="285"/>
      <c r="I531" s="285"/>
      <c r="J531" s="287"/>
      <c r="K531" s="286"/>
    </row>
    <row r="532" spans="2:11" x14ac:dyDescent="0.2">
      <c r="B532" s="38"/>
      <c r="C532" s="40" t="s">
        <v>257</v>
      </c>
      <c r="D532" s="40"/>
      <c r="E532" s="40"/>
      <c r="F532" s="40"/>
      <c r="G532" s="40"/>
      <c r="H532" s="40"/>
      <c r="I532" s="40"/>
      <c r="J532" s="266" t="s">
        <v>874</v>
      </c>
      <c r="K532" s="41"/>
    </row>
    <row r="533" spans="2:11" x14ac:dyDescent="0.2">
      <c r="B533" s="38"/>
      <c r="C533" s="40" t="s">
        <v>261</v>
      </c>
      <c r="D533" s="40"/>
      <c r="E533" s="40"/>
      <c r="F533" s="40"/>
      <c r="G533" s="40"/>
      <c r="H533" s="40"/>
      <c r="I533" s="40"/>
      <c r="J533" s="245">
        <f>IF(J532=$B$973,$A$973,IF(J532=$B$974,$A$974,IF(J532=$B$975,$A$975,IF(J532=$B$976,$A$976,IF(J532=$B$977,$A$977,"Not Calculated")))))</f>
        <v>4</v>
      </c>
      <c r="K533" s="41"/>
    </row>
    <row r="534" spans="2:11" x14ac:dyDescent="0.2">
      <c r="B534" s="38"/>
      <c r="C534" s="40" t="s">
        <v>893</v>
      </c>
      <c r="D534" s="40"/>
      <c r="E534" s="40"/>
      <c r="F534" s="40"/>
      <c r="G534" s="40"/>
      <c r="H534" s="40"/>
      <c r="I534" s="40"/>
      <c r="J534" s="40"/>
      <c r="K534" s="41"/>
    </row>
    <row r="535" spans="2:11" ht="30" customHeight="1" x14ac:dyDescent="0.2">
      <c r="B535" s="38"/>
      <c r="C535" s="399" t="s">
        <v>500</v>
      </c>
      <c r="D535" s="400"/>
      <c r="E535" s="400"/>
      <c r="F535" s="400"/>
      <c r="G535" s="400"/>
      <c r="H535" s="400"/>
      <c r="I535" s="400"/>
      <c r="J535" s="401"/>
      <c r="K535" s="41"/>
    </row>
    <row r="536" spans="2:11" x14ac:dyDescent="0.2">
      <c r="B536" s="38"/>
      <c r="C536" s="40"/>
      <c r="D536" s="40"/>
      <c r="E536" s="40"/>
      <c r="F536" s="40"/>
      <c r="G536" s="40"/>
      <c r="H536" s="40"/>
      <c r="I536" s="40"/>
      <c r="J536" s="40"/>
      <c r="K536" s="41"/>
    </row>
    <row r="537" spans="2:11" x14ac:dyDescent="0.2">
      <c r="B537" s="38"/>
      <c r="C537" s="179" t="s">
        <v>319</v>
      </c>
      <c r="D537" s="40"/>
      <c r="E537" s="40"/>
      <c r="F537" s="40"/>
      <c r="G537" s="40"/>
      <c r="H537" s="40"/>
      <c r="I537" s="40"/>
      <c r="J537" s="245">
        <f>IF(OR(J526="Not Calculated",J533="Not Calculated")=TRUE,"Not Calculated",AVERAGE(J526,J533))</f>
        <v>2.5</v>
      </c>
      <c r="K537" s="41"/>
    </row>
    <row r="538" spans="2:11" x14ac:dyDescent="0.2">
      <c r="B538" s="38"/>
      <c r="C538" s="40"/>
      <c r="D538" s="40"/>
      <c r="E538" s="40"/>
      <c r="F538" s="40"/>
      <c r="G538" s="40"/>
      <c r="H538" s="40"/>
      <c r="I538" s="40"/>
      <c r="J538" s="40"/>
      <c r="K538" s="41"/>
    </row>
    <row r="539" spans="2:11" ht="18" x14ac:dyDescent="0.2">
      <c r="B539" s="38"/>
      <c r="C539" s="180" t="s">
        <v>302</v>
      </c>
      <c r="D539" s="40"/>
      <c r="E539" s="40"/>
      <c r="F539" s="40"/>
      <c r="G539" s="40"/>
      <c r="H539" s="40"/>
      <c r="I539" s="40"/>
      <c r="J539" s="244">
        <f>IF(OR(J440="Not Calculated",J457="Not Calculated",J473="Not Calculated",J488="Not Calculated",J504="Not Calculated",J520="Not Calculated",J537="Not Calculated")=TRUE,"Not Calculated",AVERAGE(J440,J457,J473,J488,J504,J520,J537))</f>
        <v>1.2857142857142858</v>
      </c>
      <c r="K539" s="41"/>
    </row>
    <row r="540" spans="2:11" ht="16" thickBot="1" x14ac:dyDescent="0.25">
      <c r="B540" s="46"/>
      <c r="C540" s="47"/>
      <c r="D540" s="47"/>
      <c r="E540" s="47"/>
      <c r="F540" s="47"/>
      <c r="G540" s="47"/>
      <c r="H540" s="47"/>
      <c r="I540" s="47"/>
      <c r="J540" s="47"/>
      <c r="K540" s="49"/>
    </row>
    <row r="541" spans="2:11" ht="16" thickBot="1" x14ac:dyDescent="0.25"/>
    <row r="542" spans="2:11" x14ac:dyDescent="0.2">
      <c r="B542" s="33"/>
      <c r="C542" s="34"/>
      <c r="D542" s="34"/>
      <c r="E542" s="34"/>
      <c r="F542" s="34"/>
      <c r="G542" s="34"/>
      <c r="H542" s="34"/>
      <c r="I542" s="34"/>
      <c r="J542" s="34"/>
      <c r="K542" s="37"/>
    </row>
    <row r="543" spans="2:11" ht="21" x14ac:dyDescent="0.25">
      <c r="B543" s="38"/>
      <c r="C543" s="40"/>
      <c r="D543" s="40"/>
      <c r="E543" s="40"/>
      <c r="F543" s="40"/>
      <c r="G543" s="172" t="s">
        <v>29</v>
      </c>
      <c r="H543" s="40"/>
      <c r="I543" s="40"/>
      <c r="J543" s="40"/>
      <c r="K543" s="41"/>
    </row>
    <row r="544" spans="2:11" ht="15" customHeight="1" x14ac:dyDescent="0.2">
      <c r="B544" s="38"/>
      <c r="C544" s="40"/>
      <c r="D544" s="40"/>
      <c r="E544" s="40"/>
      <c r="F544" s="40"/>
      <c r="G544" s="40"/>
      <c r="H544" s="40"/>
      <c r="I544" s="40"/>
      <c r="J544" s="40"/>
      <c r="K544" s="41"/>
    </row>
    <row r="545" spans="2:14" ht="16" x14ac:dyDescent="0.2">
      <c r="B545" s="38"/>
      <c r="C545" s="45" t="s">
        <v>88</v>
      </c>
      <c r="D545" s="40"/>
      <c r="E545" s="40"/>
      <c r="F545" s="40"/>
      <c r="G545" s="40"/>
      <c r="H545" s="40"/>
      <c r="I545" s="40"/>
      <c r="J545" s="40"/>
      <c r="K545" s="41"/>
    </row>
    <row r="546" spans="2:14" x14ac:dyDescent="0.2">
      <c r="B546" s="38"/>
      <c r="C546" s="40" t="s">
        <v>448</v>
      </c>
      <c r="D546" s="40"/>
      <c r="E546" s="40"/>
      <c r="F546" s="40"/>
      <c r="G546" s="40"/>
      <c r="H546" s="40"/>
      <c r="I546" s="40"/>
      <c r="J546" s="251">
        <f>'Baseline Health'!G123</f>
        <v>0</v>
      </c>
      <c r="K546" s="41"/>
    </row>
    <row r="547" spans="2:14" x14ac:dyDescent="0.2">
      <c r="B547" s="38"/>
      <c r="C547" s="40" t="s">
        <v>322</v>
      </c>
      <c r="D547" s="40"/>
      <c r="E547" s="40"/>
      <c r="F547" s="40"/>
      <c r="G547" s="40"/>
      <c r="H547" s="40"/>
      <c r="I547" s="40"/>
      <c r="J547" s="264">
        <v>0</v>
      </c>
      <c r="K547" s="41"/>
    </row>
    <row r="548" spans="2:14" x14ac:dyDescent="0.2">
      <c r="B548" s="38"/>
      <c r="C548" s="40" t="s">
        <v>428</v>
      </c>
      <c r="D548" s="40"/>
      <c r="E548" s="40"/>
      <c r="F548" s="40"/>
      <c r="G548" s="40"/>
      <c r="H548" s="40"/>
      <c r="I548" s="40"/>
      <c r="J548" s="264">
        <v>70</v>
      </c>
      <c r="K548" s="41"/>
    </row>
    <row r="549" spans="2:14" x14ac:dyDescent="0.2">
      <c r="B549" s="38"/>
      <c r="C549" s="40" t="s">
        <v>260</v>
      </c>
      <c r="D549" s="40"/>
      <c r="E549" s="40"/>
      <c r="F549" s="40"/>
      <c r="G549" s="40"/>
      <c r="H549" s="40"/>
      <c r="I549" s="40"/>
      <c r="J549" s="245" t="str">
        <f>IF(OR(J546=0,J546="Not Calculated")=TRUE,"Not Calculated",IF(J546-J547=0,4,(IF(((J546+J548)/(J546-J547))&lt;=1,0,IF(((J546+J548)/(J546-J547))&lt;=1.05,1,IF(((J546+J548)/(J546-J547))&lt;=1.5, 2,IF(((J546+J548)/(J546-J547))&lt;=2,3,4)))))))</f>
        <v>Not Calculated</v>
      </c>
      <c r="K549" s="41"/>
    </row>
    <row r="550" spans="2:14" ht="9.75" customHeight="1" x14ac:dyDescent="0.2">
      <c r="B550" s="38"/>
      <c r="C550" s="279" t="str">
        <f>"0:"</f>
        <v>0:</v>
      </c>
      <c r="D550" s="278" t="s">
        <v>918</v>
      </c>
      <c r="E550" s="40"/>
      <c r="F550" s="40"/>
      <c r="G550" s="40"/>
      <c r="H550" s="40"/>
      <c r="I550" s="40"/>
      <c r="J550" s="251"/>
      <c r="K550" s="41"/>
    </row>
    <row r="551" spans="2:14" ht="9.75" customHeight="1" x14ac:dyDescent="0.2">
      <c r="B551" s="38"/>
      <c r="C551" s="280" t="str">
        <f>"1:"</f>
        <v>1:</v>
      </c>
      <c r="D551" s="278" t="s">
        <v>923</v>
      </c>
      <c r="E551" s="40"/>
      <c r="F551" s="40"/>
      <c r="G551" s="40"/>
      <c r="H551" s="40"/>
      <c r="I551" s="40"/>
      <c r="J551" s="251"/>
      <c r="K551" s="41"/>
    </row>
    <row r="552" spans="2:14" ht="9.75" customHeight="1" x14ac:dyDescent="0.2">
      <c r="B552" s="38"/>
      <c r="C552" s="280" t="str">
        <f>"2:"</f>
        <v>2:</v>
      </c>
      <c r="D552" s="278" t="s">
        <v>924</v>
      </c>
      <c r="E552" s="40"/>
      <c r="F552" s="40"/>
      <c r="G552" s="40"/>
      <c r="H552" s="40"/>
      <c r="I552" s="40"/>
      <c r="J552" s="251"/>
      <c r="K552" s="41"/>
    </row>
    <row r="553" spans="2:14" ht="9.75" customHeight="1" x14ac:dyDescent="0.2">
      <c r="B553" s="38"/>
      <c r="C553" s="280" t="str">
        <f>"3:"</f>
        <v>3:</v>
      </c>
      <c r="D553" s="278" t="s">
        <v>925</v>
      </c>
      <c r="E553" s="40"/>
      <c r="F553" s="40"/>
      <c r="G553" s="40"/>
      <c r="H553" s="40"/>
      <c r="I553" s="40"/>
      <c r="J553" s="251"/>
      <c r="K553" s="41"/>
    </row>
    <row r="554" spans="2:14" ht="9.75" customHeight="1" x14ac:dyDescent="0.2">
      <c r="B554" s="38"/>
      <c r="C554" s="280" t="str">
        <f>"4:"</f>
        <v>4:</v>
      </c>
      <c r="D554" s="278" t="s">
        <v>926</v>
      </c>
      <c r="E554" s="40"/>
      <c r="F554" s="40"/>
      <c r="G554" s="40"/>
      <c r="H554" s="40"/>
      <c r="I554" s="40"/>
      <c r="J554" s="40"/>
      <c r="K554" s="41"/>
      <c r="N554" s="12" t="s">
        <v>661</v>
      </c>
    </row>
    <row r="555" spans="2:14" x14ac:dyDescent="0.2">
      <c r="B555" s="38"/>
      <c r="C555" s="174" t="s">
        <v>662</v>
      </c>
      <c r="D555" s="40"/>
      <c r="E555" s="40"/>
      <c r="F555" s="40"/>
      <c r="G555" s="40"/>
      <c r="H555" s="40"/>
      <c r="I555" s="40"/>
      <c r="J555" s="265" t="s">
        <v>661</v>
      </c>
      <c r="K555" s="41"/>
      <c r="N555" s="12" t="s">
        <v>894</v>
      </c>
    </row>
    <row r="556" spans="2:14" x14ac:dyDescent="0.2">
      <c r="B556" s="38"/>
      <c r="C556" s="174" t="s">
        <v>660</v>
      </c>
      <c r="D556" s="40"/>
      <c r="E556" s="40"/>
      <c r="F556" s="40"/>
      <c r="G556" s="40"/>
      <c r="H556" s="40"/>
      <c r="I556" s="40"/>
      <c r="J556" s="247" t="str">
        <f>IF(J555=N554,"N/A",IF(J555=N555,0,IF(J555=N556,1,IF(J555=N557,2,IF(J555=N558,3,IF(J555=N559,4,"N/A"))))))</f>
        <v>N/A</v>
      </c>
      <c r="K556" s="41"/>
      <c r="N556" s="12" t="s">
        <v>899</v>
      </c>
    </row>
    <row r="557" spans="2:14" x14ac:dyDescent="0.2">
      <c r="B557" s="38"/>
      <c r="C557" s="40" t="s">
        <v>257</v>
      </c>
      <c r="D557" s="40"/>
      <c r="E557" s="40"/>
      <c r="F557" s="40"/>
      <c r="G557" s="40"/>
      <c r="H557" s="40"/>
      <c r="I557" s="40"/>
      <c r="J557" s="266" t="s">
        <v>874</v>
      </c>
      <c r="K557" s="41"/>
      <c r="N557" s="12" t="s">
        <v>900</v>
      </c>
    </row>
    <row r="558" spans="2:14" x14ac:dyDescent="0.2">
      <c r="B558" s="38"/>
      <c r="C558" s="40" t="s">
        <v>261</v>
      </c>
      <c r="D558" s="40"/>
      <c r="E558" s="40"/>
      <c r="F558" s="40"/>
      <c r="G558" s="40"/>
      <c r="H558" s="40"/>
      <c r="I558" s="40"/>
      <c r="J558" s="245">
        <f>IF(J557=$B$973,$A$973,IF(J557=$B$974,$A$974,IF(J557=$B$975,$A$975,IF(J557=$B$976,$A$976,IF(J557=$B$977,$A$977,"Not Calculated")))))</f>
        <v>4</v>
      </c>
      <c r="K558" s="41"/>
      <c r="N558" s="12" t="s">
        <v>901</v>
      </c>
    </row>
    <row r="559" spans="2:14" x14ac:dyDescent="0.2">
      <c r="B559" s="38"/>
      <c r="C559" s="40" t="s">
        <v>893</v>
      </c>
      <c r="D559" s="40"/>
      <c r="E559" s="40"/>
      <c r="F559" s="40"/>
      <c r="G559" s="40"/>
      <c r="H559" s="40"/>
      <c r="I559" s="40"/>
      <c r="J559" s="40"/>
      <c r="K559" s="41"/>
      <c r="N559" s="12" t="s">
        <v>902</v>
      </c>
    </row>
    <row r="560" spans="2:14" ht="30" customHeight="1" x14ac:dyDescent="0.2">
      <c r="B560" s="38"/>
      <c r="C560" s="399" t="s">
        <v>501</v>
      </c>
      <c r="D560" s="400"/>
      <c r="E560" s="400"/>
      <c r="F560" s="400"/>
      <c r="G560" s="400"/>
      <c r="H560" s="400"/>
      <c r="I560" s="400"/>
      <c r="J560" s="401"/>
      <c r="K560" s="41"/>
    </row>
    <row r="561" spans="2:11" x14ac:dyDescent="0.2">
      <c r="B561" s="38"/>
      <c r="C561" s="40"/>
      <c r="D561" s="40"/>
      <c r="E561" s="40"/>
      <c r="F561" s="40"/>
      <c r="G561" s="40"/>
      <c r="H561" s="40"/>
      <c r="I561" s="40"/>
      <c r="J561" s="40"/>
      <c r="K561" s="41"/>
    </row>
    <row r="562" spans="2:11" x14ac:dyDescent="0.2">
      <c r="B562" s="38"/>
      <c r="C562" s="179" t="s">
        <v>323</v>
      </c>
      <c r="D562" s="40"/>
      <c r="E562" s="40"/>
      <c r="F562" s="40"/>
      <c r="G562" s="40"/>
      <c r="H562" s="40"/>
      <c r="I562" s="40"/>
      <c r="J562" s="245" t="str">
        <f>IF(J556="N/A",IF(OR(J549="Not Calculated",J558="Not Calculated")=TRUE,"Not Calculated",AVERAGE(J549,J558)),AVERAGE(J556,J558))</f>
        <v>Not Calculated</v>
      </c>
      <c r="K562" s="41"/>
    </row>
    <row r="563" spans="2:11" x14ac:dyDescent="0.2">
      <c r="B563" s="38"/>
      <c r="C563" s="40"/>
      <c r="D563" s="40"/>
      <c r="E563" s="40"/>
      <c r="F563" s="40"/>
      <c r="G563" s="40"/>
      <c r="H563" s="40"/>
      <c r="I563" s="40"/>
      <c r="J563" s="40"/>
      <c r="K563" s="41"/>
    </row>
    <row r="564" spans="2:11" x14ac:dyDescent="0.2">
      <c r="B564" s="38"/>
      <c r="C564" s="40"/>
      <c r="D564" s="40"/>
      <c r="E564" s="40"/>
      <c r="F564" s="40"/>
      <c r="G564" s="40"/>
      <c r="H564" s="40"/>
      <c r="I564" s="40"/>
      <c r="J564" s="40"/>
      <c r="K564" s="41"/>
    </row>
    <row r="565" spans="2:11" ht="16" x14ac:dyDescent="0.2">
      <c r="B565" s="38"/>
      <c r="C565" s="45" t="s">
        <v>89</v>
      </c>
      <c r="D565" s="40"/>
      <c r="E565" s="40"/>
      <c r="F565" s="40"/>
      <c r="G565" s="40"/>
      <c r="H565" s="40"/>
      <c r="I565" s="40"/>
      <c r="J565" s="40"/>
      <c r="K565" s="41"/>
    </row>
    <row r="566" spans="2:11" ht="15" customHeight="1" x14ac:dyDescent="0.2">
      <c r="B566" s="38"/>
      <c r="C566" s="380" t="s">
        <v>333</v>
      </c>
      <c r="D566" s="380"/>
      <c r="E566" s="380"/>
      <c r="F566" s="380"/>
      <c r="G566" s="380"/>
      <c r="H566" s="380"/>
      <c r="I566" s="380"/>
      <c r="J566" s="40"/>
      <c r="K566" s="41"/>
    </row>
    <row r="567" spans="2:11" x14ac:dyDescent="0.2">
      <c r="B567" s="38"/>
      <c r="C567" s="380"/>
      <c r="D567" s="380"/>
      <c r="E567" s="380"/>
      <c r="F567" s="380"/>
      <c r="G567" s="380"/>
      <c r="H567" s="380"/>
      <c r="I567" s="380"/>
      <c r="J567" s="40"/>
      <c r="K567" s="41"/>
    </row>
    <row r="568" spans="2:11" x14ac:dyDescent="0.2">
      <c r="B568" s="38"/>
      <c r="C568" s="380"/>
      <c r="D568" s="380"/>
      <c r="E568" s="380"/>
      <c r="F568" s="380"/>
      <c r="G568" s="380"/>
      <c r="H568" s="380"/>
      <c r="I568" s="380"/>
      <c r="J568" s="251">
        <f>'Baseline Health'!G132</f>
        <v>0</v>
      </c>
      <c r="K568" s="41"/>
    </row>
    <row r="569" spans="2:11" ht="15" customHeight="1" x14ac:dyDescent="0.2">
      <c r="B569" s="38"/>
      <c r="C569" s="380" t="s">
        <v>334</v>
      </c>
      <c r="D569" s="380"/>
      <c r="E569" s="380"/>
      <c r="F569" s="380"/>
      <c r="G569" s="380"/>
      <c r="H569" s="380"/>
      <c r="I569" s="380"/>
      <c r="J569" s="245"/>
      <c r="K569" s="41"/>
    </row>
    <row r="570" spans="2:11" x14ac:dyDescent="0.2">
      <c r="B570" s="38"/>
      <c r="C570" s="380"/>
      <c r="D570" s="380"/>
      <c r="E570" s="380"/>
      <c r="F570" s="380"/>
      <c r="G570" s="380"/>
      <c r="H570" s="380"/>
      <c r="I570" s="380"/>
      <c r="J570" s="245"/>
      <c r="K570" s="41"/>
    </row>
    <row r="571" spans="2:11" x14ac:dyDescent="0.2">
      <c r="B571" s="38"/>
      <c r="C571" s="380"/>
      <c r="D571" s="380"/>
      <c r="E571" s="380"/>
      <c r="F571" s="380"/>
      <c r="G571" s="380"/>
      <c r="H571" s="380"/>
      <c r="I571" s="380"/>
      <c r="J571" s="264">
        <v>511</v>
      </c>
      <c r="K571" s="41"/>
    </row>
    <row r="572" spans="2:11" x14ac:dyDescent="0.2">
      <c r="B572" s="38"/>
      <c r="C572" s="40" t="s">
        <v>260</v>
      </c>
      <c r="D572" s="40"/>
      <c r="E572" s="40"/>
      <c r="F572" s="40"/>
      <c r="G572" s="40"/>
      <c r="H572" s="40"/>
      <c r="I572" s="40"/>
      <c r="J572" s="245" t="str">
        <f>IF(OR(J568=0,J568="Not Calculated")=TRUE,"Not Calculated",IF(((J568+J571)/J568)&lt;=1,0,IF(((J568+J571)/J568)&lt;=1.05,1,IF(((J568+J571)/J568)&lt;=1.5, 2,IF(((J568+J571)/J568)&lt;=2,3,4)))))</f>
        <v>Not Calculated</v>
      </c>
      <c r="K572" s="41"/>
    </row>
    <row r="573" spans="2:11" ht="9.75" customHeight="1" x14ac:dyDescent="0.2">
      <c r="B573" s="38"/>
      <c r="C573" s="279" t="str">
        <f>"0:"</f>
        <v>0:</v>
      </c>
      <c r="D573" s="281" t="s">
        <v>918</v>
      </c>
      <c r="E573" s="291"/>
      <c r="F573" s="291"/>
      <c r="G573" s="291"/>
      <c r="H573" s="291"/>
      <c r="I573" s="291"/>
      <c r="J573" s="251"/>
      <c r="K573" s="41"/>
    </row>
    <row r="574" spans="2:11" ht="9.75" customHeight="1" x14ac:dyDescent="0.2">
      <c r="B574" s="38"/>
      <c r="C574" s="280" t="str">
        <f>"1:"</f>
        <v>1:</v>
      </c>
      <c r="D574" s="281" t="s">
        <v>919</v>
      </c>
      <c r="E574" s="291"/>
      <c r="F574" s="291"/>
      <c r="G574" s="291"/>
      <c r="H574" s="291"/>
      <c r="I574" s="291"/>
      <c r="J574" s="251"/>
      <c r="K574" s="41"/>
    </row>
    <row r="575" spans="2:11" ht="9.75" customHeight="1" x14ac:dyDescent="0.2">
      <c r="B575" s="38"/>
      <c r="C575" s="280" t="str">
        <f>"2:"</f>
        <v>2:</v>
      </c>
      <c r="D575" s="281" t="s">
        <v>920</v>
      </c>
      <c r="E575" s="291"/>
      <c r="F575" s="291"/>
      <c r="G575" s="291"/>
      <c r="H575" s="291"/>
      <c r="I575" s="291"/>
      <c r="J575" s="251"/>
      <c r="K575" s="41"/>
    </row>
    <row r="576" spans="2:11" ht="9.75" customHeight="1" x14ac:dyDescent="0.2">
      <c r="B576" s="38"/>
      <c r="C576" s="280" t="str">
        <f>"3:"</f>
        <v>3:</v>
      </c>
      <c r="D576" s="281" t="s">
        <v>921</v>
      </c>
      <c r="E576" s="291"/>
      <c r="F576" s="291"/>
      <c r="G576" s="291"/>
      <c r="H576" s="291"/>
      <c r="I576" s="291"/>
      <c r="J576" s="251"/>
      <c r="K576" s="41"/>
    </row>
    <row r="577" spans="2:14" ht="9.75" customHeight="1" x14ac:dyDescent="0.2">
      <c r="B577" s="38"/>
      <c r="C577" s="280" t="str">
        <f>"4:"</f>
        <v>4:</v>
      </c>
      <c r="D577" s="281" t="s">
        <v>922</v>
      </c>
      <c r="E577" s="40"/>
      <c r="F577" s="40"/>
      <c r="G577" s="40"/>
      <c r="H577" s="40"/>
      <c r="I577" s="40"/>
      <c r="J577" s="40"/>
      <c r="K577" s="41"/>
      <c r="N577" s="12" t="s">
        <v>661</v>
      </c>
    </row>
    <row r="578" spans="2:14" ht="15" customHeight="1" x14ac:dyDescent="0.2">
      <c r="B578" s="38"/>
      <c r="C578" s="174" t="s">
        <v>662</v>
      </c>
      <c r="D578" s="40"/>
      <c r="E578" s="40"/>
      <c r="F578" s="40"/>
      <c r="G578" s="40"/>
      <c r="H578" s="40"/>
      <c r="I578" s="40"/>
      <c r="J578" s="265" t="s">
        <v>661</v>
      </c>
      <c r="K578" s="41"/>
      <c r="N578" s="12" t="s">
        <v>894</v>
      </c>
    </row>
    <row r="579" spans="2:14" ht="15" customHeight="1" x14ac:dyDescent="0.2">
      <c r="B579" s="38"/>
      <c r="C579" s="174" t="s">
        <v>660</v>
      </c>
      <c r="D579" s="40"/>
      <c r="E579" s="40"/>
      <c r="F579" s="40"/>
      <c r="G579" s="40"/>
      <c r="H579" s="40"/>
      <c r="I579" s="40"/>
      <c r="J579" s="247" t="str">
        <f>IF(J578=N577,"N/A",IF(J578=N578,0,IF(J578=N579,1,IF(J578=N580,2,IF(J578=N581,3,IF(J578=N582,4,"N/A"))))))</f>
        <v>N/A</v>
      </c>
      <c r="K579" s="41"/>
      <c r="N579" s="12" t="s">
        <v>895</v>
      </c>
    </row>
    <row r="580" spans="2:14" x14ac:dyDescent="0.2">
      <c r="B580" s="38"/>
      <c r="C580" s="40" t="s">
        <v>257</v>
      </c>
      <c r="D580" s="40"/>
      <c r="E580" s="40"/>
      <c r="F580" s="40"/>
      <c r="G580" s="40"/>
      <c r="H580" s="40"/>
      <c r="I580" s="40"/>
      <c r="J580" s="266" t="s">
        <v>874</v>
      </c>
      <c r="K580" s="41"/>
      <c r="N580" s="12" t="s">
        <v>896</v>
      </c>
    </row>
    <row r="581" spans="2:14" x14ac:dyDescent="0.2">
      <c r="B581" s="38"/>
      <c r="C581" s="40" t="s">
        <v>261</v>
      </c>
      <c r="D581" s="40"/>
      <c r="E581" s="40"/>
      <c r="F581" s="40"/>
      <c r="G581" s="40"/>
      <c r="H581" s="40"/>
      <c r="I581" s="40"/>
      <c r="J581" s="245">
        <f>IF(J580=$B$973,$A$973,IF(J580=$B$974,$A$974,IF(J580=$B$975,$A$975,IF(J580=$B$976,$A$976,IF(J580=$B$977,$A$977,"Not Calculated")))))</f>
        <v>4</v>
      </c>
      <c r="K581" s="41"/>
      <c r="N581" s="12" t="s">
        <v>897</v>
      </c>
    </row>
    <row r="582" spans="2:14" x14ac:dyDescent="0.2">
      <c r="B582" s="38"/>
      <c r="C582" s="40" t="s">
        <v>893</v>
      </c>
      <c r="D582" s="40"/>
      <c r="E582" s="40"/>
      <c r="F582" s="40"/>
      <c r="G582" s="40"/>
      <c r="H582" s="40"/>
      <c r="I582" s="40"/>
      <c r="J582" s="40"/>
      <c r="K582" s="41"/>
      <c r="N582" s="12" t="s">
        <v>898</v>
      </c>
    </row>
    <row r="583" spans="2:14" ht="30" customHeight="1" x14ac:dyDescent="0.2">
      <c r="B583" s="38"/>
      <c r="C583" s="399" t="s">
        <v>502</v>
      </c>
      <c r="D583" s="400"/>
      <c r="E583" s="400"/>
      <c r="F583" s="400"/>
      <c r="G583" s="400"/>
      <c r="H583" s="400"/>
      <c r="I583" s="400"/>
      <c r="J583" s="401"/>
      <c r="K583" s="41"/>
    </row>
    <row r="584" spans="2:14" x14ac:dyDescent="0.2">
      <c r="B584" s="38"/>
      <c r="C584" s="40"/>
      <c r="D584" s="40"/>
      <c r="E584" s="40"/>
      <c r="F584" s="40"/>
      <c r="G584" s="40"/>
      <c r="H584" s="40"/>
      <c r="I584" s="40"/>
      <c r="J584" s="40"/>
      <c r="K584" s="41"/>
    </row>
    <row r="585" spans="2:14" x14ac:dyDescent="0.2">
      <c r="B585" s="38"/>
      <c r="C585" s="179" t="s">
        <v>324</v>
      </c>
      <c r="D585" s="40"/>
      <c r="E585" s="40"/>
      <c r="F585" s="40"/>
      <c r="G585" s="40"/>
      <c r="H585" s="40"/>
      <c r="I585" s="40"/>
      <c r="J585" s="245" t="str">
        <f>IF(J579="N/A",IF(OR(J572="Not Calculated",J581="Not Calculated")=TRUE,"Not Calculated",AVERAGE(J572,J581)),AVERAGE(J579,J581))</f>
        <v>Not Calculated</v>
      </c>
      <c r="K585" s="41"/>
    </row>
    <row r="586" spans="2:14" x14ac:dyDescent="0.2">
      <c r="B586" s="38"/>
      <c r="C586" s="40"/>
      <c r="D586" s="40"/>
      <c r="E586" s="40"/>
      <c r="F586" s="40"/>
      <c r="G586" s="40"/>
      <c r="H586" s="40"/>
      <c r="I586" s="40"/>
      <c r="J586" s="40"/>
      <c r="K586" s="41"/>
    </row>
    <row r="587" spans="2:14" x14ac:dyDescent="0.2">
      <c r="B587" s="38"/>
      <c r="C587" s="40"/>
      <c r="D587" s="40"/>
      <c r="E587" s="40"/>
      <c r="F587" s="40"/>
      <c r="G587" s="40"/>
      <c r="H587" s="40"/>
      <c r="I587" s="40"/>
      <c r="J587" s="40"/>
      <c r="K587" s="41"/>
    </row>
    <row r="588" spans="2:14" ht="16" x14ac:dyDescent="0.2">
      <c r="B588" s="38"/>
      <c r="C588" s="45" t="s">
        <v>115</v>
      </c>
      <c r="D588" s="40"/>
      <c r="E588" s="40"/>
      <c r="F588" s="40"/>
      <c r="G588" s="40"/>
      <c r="H588" s="40"/>
      <c r="I588" s="40"/>
      <c r="J588" s="40"/>
      <c r="K588" s="41"/>
    </row>
    <row r="589" spans="2:14" x14ac:dyDescent="0.2">
      <c r="B589" s="38"/>
      <c r="C589" s="40" t="s">
        <v>335</v>
      </c>
      <c r="D589" s="40"/>
      <c r="E589" s="40"/>
      <c r="F589" s="40"/>
      <c r="G589" s="40"/>
      <c r="H589" s="40"/>
      <c r="I589" s="40"/>
      <c r="J589" s="264">
        <f>3.14159*'Community Characteristics'!$H$24</f>
        <v>0</v>
      </c>
      <c r="K589" s="41"/>
    </row>
    <row r="590" spans="2:14" x14ac:dyDescent="0.2">
      <c r="B590" s="38"/>
      <c r="C590" s="40" t="s">
        <v>260</v>
      </c>
      <c r="D590" s="40"/>
      <c r="E590" s="40"/>
      <c r="F590" s="40"/>
      <c r="G590" s="40"/>
      <c r="H590" s="40"/>
      <c r="I590" s="40"/>
      <c r="J590" s="255">
        <f>IF(J589&lt;=0,0,IF(J589&lt;=1000,1,IF(J589&lt;=5000,2,IF(J589&lt;=25000,3,4))))</f>
        <v>0</v>
      </c>
      <c r="K590" s="41"/>
    </row>
    <row r="591" spans="2:14" ht="9.75" customHeight="1" x14ac:dyDescent="0.2">
      <c r="B591" s="38"/>
      <c r="C591" s="279" t="str">
        <f>"0:"</f>
        <v>0:</v>
      </c>
      <c r="D591" s="284" t="s">
        <v>970</v>
      </c>
      <c r="E591" s="40"/>
      <c r="F591" s="40"/>
      <c r="G591" s="40"/>
      <c r="H591" s="40"/>
      <c r="I591" s="40"/>
      <c r="J591" s="251"/>
      <c r="K591" s="41"/>
    </row>
    <row r="592" spans="2:14" ht="9.75" customHeight="1" x14ac:dyDescent="0.2">
      <c r="B592" s="38"/>
      <c r="C592" s="280" t="str">
        <f>"1:"</f>
        <v>1:</v>
      </c>
      <c r="D592" s="284" t="s">
        <v>961</v>
      </c>
      <c r="E592" s="40"/>
      <c r="F592" s="40"/>
      <c r="G592" s="40"/>
      <c r="H592" s="40"/>
      <c r="I592" s="40"/>
      <c r="J592" s="251"/>
      <c r="K592" s="41"/>
    </row>
    <row r="593" spans="2:11" ht="9.75" customHeight="1" x14ac:dyDescent="0.2">
      <c r="B593" s="38"/>
      <c r="C593" s="280" t="str">
        <f>"2:"</f>
        <v>2:</v>
      </c>
      <c r="D593" s="284" t="s">
        <v>971</v>
      </c>
      <c r="E593" s="40"/>
      <c r="F593" s="40"/>
      <c r="G593" s="40"/>
      <c r="H593" s="40"/>
      <c r="I593" s="40"/>
      <c r="J593" s="251"/>
      <c r="K593" s="41"/>
    </row>
    <row r="594" spans="2:11" ht="9.75" customHeight="1" x14ac:dyDescent="0.2">
      <c r="B594" s="38"/>
      <c r="C594" s="280" t="str">
        <f>"3:"</f>
        <v>3:</v>
      </c>
      <c r="D594" s="284" t="s">
        <v>963</v>
      </c>
      <c r="E594" s="40"/>
      <c r="F594" s="40"/>
      <c r="G594" s="40"/>
      <c r="H594" s="40"/>
      <c r="I594" s="40"/>
      <c r="J594" s="251"/>
      <c r="K594" s="41"/>
    </row>
    <row r="595" spans="2:11" ht="9.75" customHeight="1" x14ac:dyDescent="0.2">
      <c r="B595" s="38"/>
      <c r="C595" s="280" t="str">
        <f>"4:"</f>
        <v>4:</v>
      </c>
      <c r="D595" s="284" t="s">
        <v>964</v>
      </c>
      <c r="E595" s="40"/>
      <c r="F595" s="40"/>
      <c r="G595" s="40"/>
      <c r="H595" s="40"/>
      <c r="I595" s="40"/>
      <c r="J595" s="40"/>
      <c r="K595" s="41"/>
    </row>
    <row r="596" spans="2:11" ht="15" customHeight="1" x14ac:dyDescent="0.2">
      <c r="B596" s="38"/>
      <c r="C596" s="40" t="s">
        <v>257</v>
      </c>
      <c r="D596" s="40"/>
      <c r="E596" s="40"/>
      <c r="F596" s="40"/>
      <c r="G596" s="40"/>
      <c r="H596" s="40"/>
      <c r="I596" s="40"/>
      <c r="J596" s="266" t="s">
        <v>872</v>
      </c>
      <c r="K596" s="41"/>
    </row>
    <row r="597" spans="2:11" ht="15" customHeight="1" x14ac:dyDescent="0.2">
      <c r="B597" s="38"/>
      <c r="C597" s="40" t="s">
        <v>261</v>
      </c>
      <c r="D597" s="40"/>
      <c r="E597" s="40"/>
      <c r="F597" s="40"/>
      <c r="G597" s="40"/>
      <c r="H597" s="40"/>
      <c r="I597" s="40"/>
      <c r="J597" s="245">
        <f>IF(J596=$B$973,$A$973,IF(J596=$B$974,$A$974,IF(J596=$B$975,$A$975,IF(J596=$B$976,$A$976,IF(J596=$B$977,$A$977,"Not Calculated")))))</f>
        <v>2</v>
      </c>
      <c r="K597" s="41"/>
    </row>
    <row r="598" spans="2:11" x14ac:dyDescent="0.2">
      <c r="B598" s="38"/>
      <c r="C598" s="40" t="s">
        <v>893</v>
      </c>
      <c r="D598" s="40"/>
      <c r="E598" s="40"/>
      <c r="F598" s="40"/>
      <c r="G598" s="40"/>
      <c r="H598" s="40"/>
      <c r="I598" s="40"/>
      <c r="J598" s="40"/>
      <c r="K598" s="41"/>
    </row>
    <row r="599" spans="2:11" ht="60" customHeight="1" x14ac:dyDescent="0.2">
      <c r="B599" s="38"/>
      <c r="C599" s="399" t="s">
        <v>503</v>
      </c>
      <c r="D599" s="400"/>
      <c r="E599" s="400"/>
      <c r="F599" s="400"/>
      <c r="G599" s="400"/>
      <c r="H599" s="400"/>
      <c r="I599" s="400"/>
      <c r="J599" s="401"/>
      <c r="K599" s="41"/>
    </row>
    <row r="600" spans="2:11" x14ac:dyDescent="0.2">
      <c r="B600" s="38"/>
      <c r="C600" s="40"/>
      <c r="D600" s="40"/>
      <c r="E600" s="40"/>
      <c r="F600" s="40"/>
      <c r="G600" s="40"/>
      <c r="H600" s="40"/>
      <c r="I600" s="40"/>
      <c r="J600" s="40"/>
      <c r="K600" s="41"/>
    </row>
    <row r="601" spans="2:11" x14ac:dyDescent="0.2">
      <c r="B601" s="38"/>
      <c r="C601" s="179" t="s">
        <v>325</v>
      </c>
      <c r="D601" s="40"/>
      <c r="E601" s="40"/>
      <c r="F601" s="40"/>
      <c r="G601" s="40"/>
      <c r="H601" s="40"/>
      <c r="I601" s="40"/>
      <c r="J601" s="245">
        <f>IF(J590="Not Calculated","Not Calculated",AVERAGE(J590,J597))</f>
        <v>1</v>
      </c>
      <c r="K601" s="41"/>
    </row>
    <row r="602" spans="2:11" x14ac:dyDescent="0.2">
      <c r="B602" s="38"/>
      <c r="C602" s="40"/>
      <c r="D602" s="40"/>
      <c r="E602" s="40"/>
      <c r="F602" s="40"/>
      <c r="G602" s="40"/>
      <c r="H602" s="40"/>
      <c r="I602" s="40"/>
      <c r="J602" s="40"/>
      <c r="K602" s="41"/>
    </row>
    <row r="603" spans="2:11" x14ac:dyDescent="0.2">
      <c r="B603" s="38"/>
      <c r="C603" s="40"/>
      <c r="D603" s="40"/>
      <c r="E603" s="40"/>
      <c r="F603" s="40"/>
      <c r="G603" s="40"/>
      <c r="H603" s="40"/>
      <c r="I603" s="40"/>
      <c r="J603" s="40"/>
      <c r="K603" s="41"/>
    </row>
    <row r="604" spans="2:11" ht="16" x14ac:dyDescent="0.2">
      <c r="B604" s="38"/>
      <c r="C604" s="45" t="s">
        <v>326</v>
      </c>
      <c r="D604" s="40"/>
      <c r="E604" s="40"/>
      <c r="F604" s="40"/>
      <c r="G604" s="40"/>
      <c r="H604" s="40"/>
      <c r="I604" s="40"/>
      <c r="J604" s="40"/>
      <c r="K604" s="41"/>
    </row>
    <row r="605" spans="2:11" x14ac:dyDescent="0.2">
      <c r="B605" s="38"/>
      <c r="C605" s="40" t="s">
        <v>336</v>
      </c>
      <c r="D605" s="40"/>
      <c r="E605" s="40"/>
      <c r="F605" s="40"/>
      <c r="G605" s="40"/>
      <c r="H605" s="40"/>
      <c r="I605" s="40"/>
      <c r="J605" s="271">
        <v>0</v>
      </c>
      <c r="K605" s="41"/>
    </row>
    <row r="606" spans="2:11" x14ac:dyDescent="0.2">
      <c r="B606" s="38"/>
      <c r="C606" s="40" t="s">
        <v>260</v>
      </c>
      <c r="D606" s="40"/>
      <c r="E606" s="40"/>
      <c r="F606" s="40"/>
      <c r="G606" s="40"/>
      <c r="H606" s="40"/>
      <c r="I606" s="40"/>
      <c r="J606" s="248">
        <f>IF(J605&lt;=0,0,IF(J605&lt;=10,1,IF(J605&lt;=25,2,IF(J605&lt;=50,3,4))))</f>
        <v>0</v>
      </c>
      <c r="K606" s="41"/>
    </row>
    <row r="607" spans="2:11" ht="9.75" customHeight="1" x14ac:dyDescent="0.2">
      <c r="B607" s="38"/>
      <c r="C607" s="279" t="str">
        <f>"0:"</f>
        <v>0:</v>
      </c>
      <c r="D607" s="290" t="s">
        <v>944</v>
      </c>
      <c r="E607" s="40"/>
      <c r="F607" s="40"/>
      <c r="G607" s="40"/>
      <c r="H607" s="40"/>
      <c r="I607" s="40"/>
      <c r="J607" s="244"/>
      <c r="K607" s="41"/>
    </row>
    <row r="608" spans="2:11" ht="9.75" customHeight="1" x14ac:dyDescent="0.2">
      <c r="B608" s="38"/>
      <c r="C608" s="280" t="str">
        <f>"1:"</f>
        <v>1:</v>
      </c>
      <c r="D608" s="290" t="s">
        <v>947</v>
      </c>
      <c r="E608" s="40"/>
      <c r="F608" s="40"/>
      <c r="G608" s="40"/>
      <c r="H608" s="40"/>
      <c r="I608" s="40"/>
      <c r="J608" s="244"/>
      <c r="K608" s="41"/>
    </row>
    <row r="609" spans="2:11" ht="9.75" customHeight="1" x14ac:dyDescent="0.2">
      <c r="B609" s="38"/>
      <c r="C609" s="280" t="str">
        <f>"2:"</f>
        <v>2:</v>
      </c>
      <c r="D609" s="290" t="s">
        <v>972</v>
      </c>
      <c r="E609" s="40"/>
      <c r="F609" s="40"/>
      <c r="G609" s="40"/>
      <c r="H609" s="40"/>
      <c r="I609" s="40"/>
      <c r="J609" s="244"/>
      <c r="K609" s="41"/>
    </row>
    <row r="610" spans="2:11" ht="9.75" customHeight="1" x14ac:dyDescent="0.2">
      <c r="B610" s="38"/>
      <c r="C610" s="280" t="str">
        <f>"3:"</f>
        <v>3:</v>
      </c>
      <c r="D610" s="290" t="s">
        <v>973</v>
      </c>
      <c r="E610" s="40"/>
      <c r="F610" s="40"/>
      <c r="G610" s="40"/>
      <c r="H610" s="40"/>
      <c r="I610" s="40"/>
      <c r="J610" s="244"/>
      <c r="K610" s="41"/>
    </row>
    <row r="611" spans="2:11" ht="9.75" customHeight="1" x14ac:dyDescent="0.2">
      <c r="B611" s="38"/>
      <c r="C611" s="280" t="str">
        <f>"4:"</f>
        <v>4:</v>
      </c>
      <c r="D611" s="290" t="s">
        <v>974</v>
      </c>
      <c r="E611" s="40"/>
      <c r="F611" s="40"/>
      <c r="G611" s="40"/>
      <c r="H611" s="40"/>
      <c r="I611" s="40"/>
      <c r="J611" s="40"/>
      <c r="K611" s="41"/>
    </row>
    <row r="612" spans="2:11" x14ac:dyDescent="0.2">
      <c r="B612" s="38"/>
      <c r="C612" s="40" t="s">
        <v>893</v>
      </c>
      <c r="D612" s="40"/>
      <c r="E612" s="40"/>
      <c r="F612" s="40"/>
      <c r="G612" s="40"/>
      <c r="H612" s="40"/>
      <c r="I612" s="40"/>
      <c r="J612" s="40"/>
      <c r="K612" s="41"/>
    </row>
    <row r="613" spans="2:11" ht="30" customHeight="1" x14ac:dyDescent="0.2">
      <c r="B613" s="38"/>
      <c r="C613" s="399"/>
      <c r="D613" s="400"/>
      <c r="E613" s="400"/>
      <c r="F613" s="400"/>
      <c r="G613" s="400"/>
      <c r="H613" s="400"/>
      <c r="I613" s="400"/>
      <c r="J613" s="401"/>
      <c r="K613" s="41"/>
    </row>
    <row r="614" spans="2:11" x14ac:dyDescent="0.2">
      <c r="B614" s="38"/>
      <c r="C614" s="40"/>
      <c r="D614" s="40"/>
      <c r="E614" s="40"/>
      <c r="F614" s="40"/>
      <c r="G614" s="40"/>
      <c r="H614" s="40"/>
      <c r="I614" s="40"/>
      <c r="J614" s="40"/>
      <c r="K614" s="41"/>
    </row>
    <row r="615" spans="2:11" x14ac:dyDescent="0.2">
      <c r="B615" s="38"/>
      <c r="C615" s="179" t="s">
        <v>327</v>
      </c>
      <c r="D615" s="40"/>
      <c r="E615" s="40"/>
      <c r="F615" s="40"/>
      <c r="G615" s="40"/>
      <c r="H615" s="40"/>
      <c r="I615" s="40"/>
      <c r="J615" s="245">
        <f>J606</f>
        <v>0</v>
      </c>
      <c r="K615" s="41"/>
    </row>
    <row r="616" spans="2:11" x14ac:dyDescent="0.2">
      <c r="B616" s="38"/>
      <c r="C616" s="40"/>
      <c r="D616" s="40"/>
      <c r="E616" s="40"/>
      <c r="F616" s="40"/>
      <c r="G616" s="40"/>
      <c r="H616" s="40"/>
      <c r="I616" s="40"/>
      <c r="J616" s="40"/>
      <c r="K616" s="41"/>
    </row>
    <row r="617" spans="2:11" x14ac:dyDescent="0.2">
      <c r="B617" s="38"/>
      <c r="C617" s="40"/>
      <c r="D617" s="40"/>
      <c r="E617" s="40"/>
      <c r="F617" s="40"/>
      <c r="G617" s="40"/>
      <c r="H617" s="40"/>
      <c r="I617" s="40"/>
      <c r="J617" s="40"/>
      <c r="K617" s="41"/>
    </row>
    <row r="618" spans="2:11" ht="16" x14ac:dyDescent="0.2">
      <c r="B618" s="38"/>
      <c r="C618" s="45" t="s">
        <v>92</v>
      </c>
      <c r="D618" s="40"/>
      <c r="E618" s="40"/>
      <c r="F618" s="40"/>
      <c r="G618" s="40"/>
      <c r="H618" s="40"/>
      <c r="I618" s="40"/>
      <c r="J618" s="40"/>
      <c r="K618" s="41"/>
    </row>
    <row r="619" spans="2:11" x14ac:dyDescent="0.2">
      <c r="B619" s="38"/>
      <c r="C619" s="40" t="s">
        <v>337</v>
      </c>
      <c r="D619" s="40"/>
      <c r="E619" s="40"/>
      <c r="F619" s="40"/>
      <c r="G619" s="40"/>
      <c r="H619" s="40"/>
      <c r="I619" s="40"/>
      <c r="J619" s="251">
        <f>'Baseline Health'!G137</f>
        <v>1</v>
      </c>
      <c r="K619" s="41"/>
    </row>
    <row r="620" spans="2:11" ht="15" customHeight="1" x14ac:dyDescent="0.2">
      <c r="B620" s="38"/>
      <c r="C620" s="380" t="s">
        <v>338</v>
      </c>
      <c r="D620" s="380"/>
      <c r="E620" s="380"/>
      <c r="F620" s="380"/>
      <c r="G620" s="380"/>
      <c r="H620" s="380"/>
      <c r="I620" s="380"/>
      <c r="J620" s="251"/>
      <c r="K620" s="41"/>
    </row>
    <row r="621" spans="2:11" x14ac:dyDescent="0.2">
      <c r="B621" s="38"/>
      <c r="C621" s="380"/>
      <c r="D621" s="380"/>
      <c r="E621" s="380"/>
      <c r="F621" s="380"/>
      <c r="G621" s="380"/>
      <c r="H621" s="380"/>
      <c r="I621" s="380"/>
      <c r="J621" s="264">
        <v>100</v>
      </c>
      <c r="K621" s="41"/>
    </row>
    <row r="622" spans="2:11" x14ac:dyDescent="0.2">
      <c r="B622" s="38"/>
      <c r="C622" s="40" t="s">
        <v>260</v>
      </c>
      <c r="D622" s="40"/>
      <c r="E622" s="40"/>
      <c r="F622" s="40"/>
      <c r="G622" s="40"/>
      <c r="H622" s="40"/>
      <c r="I622" s="40"/>
      <c r="J622" s="245">
        <f>IF(OR(J619=0,J619="Not Calculated")=TRUE,"Not Calculated",IF(((J619+J621)/J619)&lt;=1,0,IF(((J619+J621)/J619)&lt;=1.05,1,IF(((J619+J621)/J619)&lt;=1.5, 2,IF(((J619+J621)/J619)&lt;=2,3,4)))))</f>
        <v>4</v>
      </c>
      <c r="K622" s="41"/>
    </row>
    <row r="623" spans="2:11" ht="9.75" customHeight="1" x14ac:dyDescent="0.2">
      <c r="B623" s="38"/>
      <c r="C623" s="279" t="str">
        <f>"0:"</f>
        <v>0:</v>
      </c>
      <c r="D623" s="281" t="s">
        <v>918</v>
      </c>
      <c r="E623" s="291"/>
      <c r="F623" s="291"/>
      <c r="G623" s="291"/>
      <c r="H623" s="291"/>
      <c r="I623" s="291"/>
      <c r="J623" s="251"/>
      <c r="K623" s="41"/>
    </row>
    <row r="624" spans="2:11" ht="9.75" customHeight="1" x14ac:dyDescent="0.2">
      <c r="B624" s="38"/>
      <c r="C624" s="280" t="str">
        <f>"1:"</f>
        <v>1:</v>
      </c>
      <c r="D624" s="281" t="s">
        <v>919</v>
      </c>
      <c r="E624" s="291"/>
      <c r="F624" s="291"/>
      <c r="G624" s="291"/>
      <c r="H624" s="291"/>
      <c r="I624" s="291"/>
      <c r="J624" s="251"/>
      <c r="K624" s="41"/>
    </row>
    <row r="625" spans="2:14" ht="9.75" customHeight="1" x14ac:dyDescent="0.2">
      <c r="B625" s="38"/>
      <c r="C625" s="280" t="str">
        <f>"2:"</f>
        <v>2:</v>
      </c>
      <c r="D625" s="281" t="s">
        <v>920</v>
      </c>
      <c r="E625" s="291"/>
      <c r="F625" s="291"/>
      <c r="G625" s="291"/>
      <c r="H625" s="291"/>
      <c r="I625" s="291"/>
      <c r="J625" s="251"/>
      <c r="K625" s="41"/>
    </row>
    <row r="626" spans="2:14" ht="9.75" customHeight="1" x14ac:dyDescent="0.2">
      <c r="B626" s="38"/>
      <c r="C626" s="280" t="str">
        <f>"3:"</f>
        <v>3:</v>
      </c>
      <c r="D626" s="281" t="s">
        <v>921</v>
      </c>
      <c r="E626" s="291"/>
      <c r="F626" s="291"/>
      <c r="G626" s="291"/>
      <c r="H626" s="291"/>
      <c r="I626" s="291"/>
      <c r="J626" s="251"/>
      <c r="K626" s="41"/>
    </row>
    <row r="627" spans="2:14" ht="9.75" customHeight="1" x14ac:dyDescent="0.2">
      <c r="B627" s="38"/>
      <c r="C627" s="280" t="str">
        <f>"4:"</f>
        <v>4:</v>
      </c>
      <c r="D627" s="281" t="s">
        <v>922</v>
      </c>
      <c r="E627" s="40"/>
      <c r="F627" s="40"/>
      <c r="G627" s="40"/>
      <c r="H627" s="40"/>
      <c r="I627" s="40"/>
      <c r="J627" s="40"/>
      <c r="K627" s="41"/>
      <c r="N627" s="12" t="s">
        <v>661</v>
      </c>
    </row>
    <row r="628" spans="2:14" x14ac:dyDescent="0.2">
      <c r="B628" s="38"/>
      <c r="C628" s="174" t="s">
        <v>662</v>
      </c>
      <c r="D628" s="40"/>
      <c r="E628" s="40"/>
      <c r="F628" s="40"/>
      <c r="G628" s="40"/>
      <c r="H628" s="40"/>
      <c r="I628" s="40"/>
      <c r="J628" s="265" t="s">
        <v>661</v>
      </c>
      <c r="K628" s="41"/>
      <c r="N628" s="12" t="s">
        <v>894</v>
      </c>
    </row>
    <row r="629" spans="2:14" x14ac:dyDescent="0.2">
      <c r="B629" s="38"/>
      <c r="C629" s="174" t="s">
        <v>660</v>
      </c>
      <c r="D629" s="40"/>
      <c r="E629" s="40"/>
      <c r="F629" s="40"/>
      <c r="G629" s="40"/>
      <c r="H629" s="40"/>
      <c r="I629" s="40"/>
      <c r="J629" s="247" t="str">
        <f>IF(J628=N627,"N/A",IF(J628=N628,0,IF(J628=N629,1,IF(J628=N630,2,IF(J628=N631,3,IF(J628=N632,4,"N/A"))))))</f>
        <v>N/A</v>
      </c>
      <c r="K629" s="41"/>
      <c r="N629" s="12" t="s">
        <v>895</v>
      </c>
    </row>
    <row r="630" spans="2:14" x14ac:dyDescent="0.2">
      <c r="B630" s="38"/>
      <c r="C630" s="40" t="s">
        <v>257</v>
      </c>
      <c r="D630" s="40"/>
      <c r="E630" s="40"/>
      <c r="F630" s="40"/>
      <c r="G630" s="40"/>
      <c r="H630" s="40"/>
      <c r="I630" s="40"/>
      <c r="J630" s="266" t="s">
        <v>874</v>
      </c>
      <c r="K630" s="41"/>
      <c r="N630" s="12" t="s">
        <v>896</v>
      </c>
    </row>
    <row r="631" spans="2:14" x14ac:dyDescent="0.2">
      <c r="B631" s="38"/>
      <c r="C631" s="40" t="s">
        <v>261</v>
      </c>
      <c r="D631" s="40"/>
      <c r="E631" s="40"/>
      <c r="F631" s="40"/>
      <c r="G631" s="40"/>
      <c r="H631" s="40"/>
      <c r="I631" s="40"/>
      <c r="J631" s="245">
        <f>IF(J630=$B$973,$A$973,IF(J630=$B$974,$A$974,IF(J630=$B$975,$A$975,IF(J630=$B$976,$A$976,IF(J630=$B$977,$A$977,"Not Calculated")))))</f>
        <v>4</v>
      </c>
      <c r="K631" s="41"/>
      <c r="N631" s="12" t="s">
        <v>897</v>
      </c>
    </row>
    <row r="632" spans="2:14" x14ac:dyDescent="0.2">
      <c r="B632" s="38"/>
      <c r="C632" s="40" t="s">
        <v>893</v>
      </c>
      <c r="D632" s="40"/>
      <c r="E632" s="40"/>
      <c r="F632" s="40"/>
      <c r="G632" s="40"/>
      <c r="H632" s="40"/>
      <c r="I632" s="40"/>
      <c r="J632" s="40"/>
      <c r="K632" s="41"/>
      <c r="N632" s="12" t="s">
        <v>898</v>
      </c>
    </row>
    <row r="633" spans="2:14" ht="15" customHeight="1" x14ac:dyDescent="0.2">
      <c r="B633" s="38"/>
      <c r="C633" s="399" t="s">
        <v>504</v>
      </c>
      <c r="D633" s="400"/>
      <c r="E633" s="400"/>
      <c r="F633" s="400"/>
      <c r="G633" s="400"/>
      <c r="H633" s="400"/>
      <c r="I633" s="400"/>
      <c r="J633" s="401"/>
      <c r="K633" s="41"/>
    </row>
    <row r="634" spans="2:14" x14ac:dyDescent="0.2">
      <c r="B634" s="38"/>
      <c r="C634" s="40"/>
      <c r="D634" s="40"/>
      <c r="E634" s="40"/>
      <c r="F634" s="40"/>
      <c r="G634" s="40"/>
      <c r="H634" s="40"/>
      <c r="I634" s="40"/>
      <c r="J634" s="40"/>
      <c r="K634" s="41"/>
    </row>
    <row r="635" spans="2:14" x14ac:dyDescent="0.2">
      <c r="B635" s="38"/>
      <c r="C635" s="179" t="s">
        <v>328</v>
      </c>
      <c r="D635" s="40"/>
      <c r="E635" s="40"/>
      <c r="F635" s="40"/>
      <c r="G635" s="40"/>
      <c r="H635" s="40"/>
      <c r="I635" s="40"/>
      <c r="J635" s="245">
        <f>IF(J629="N/A",IF(OR(J622="Not Calculated",J631="Not Calculated")=TRUE,"Not Calculated",AVERAGE(J622,J631)),AVERAGE(J629,J631))</f>
        <v>4</v>
      </c>
      <c r="K635" s="41"/>
    </row>
    <row r="636" spans="2:14" x14ac:dyDescent="0.2">
      <c r="B636" s="38"/>
      <c r="C636" s="40"/>
      <c r="D636" s="40"/>
      <c r="E636" s="40"/>
      <c r="F636" s="40"/>
      <c r="G636" s="40"/>
      <c r="H636" s="40"/>
      <c r="I636" s="40"/>
      <c r="J636" s="40"/>
      <c r="K636" s="41"/>
    </row>
    <row r="637" spans="2:14" x14ac:dyDescent="0.2">
      <c r="B637" s="38"/>
      <c r="C637" s="40"/>
      <c r="D637" s="40"/>
      <c r="E637" s="40"/>
      <c r="F637" s="40"/>
      <c r="G637" s="40"/>
      <c r="H637" s="40"/>
      <c r="I637" s="40"/>
      <c r="J637" s="40"/>
      <c r="K637" s="41"/>
    </row>
    <row r="638" spans="2:14" ht="16" x14ac:dyDescent="0.2">
      <c r="B638" s="38"/>
      <c r="C638" s="45" t="s">
        <v>329</v>
      </c>
      <c r="D638" s="40"/>
      <c r="E638" s="40"/>
      <c r="F638" s="40"/>
      <c r="G638" s="40"/>
      <c r="H638" s="40"/>
      <c r="I638" s="40"/>
      <c r="J638" s="40"/>
      <c r="K638" s="41"/>
    </row>
    <row r="639" spans="2:14" ht="15" customHeight="1" x14ac:dyDescent="0.2">
      <c r="B639" s="38"/>
      <c r="C639" s="380" t="s">
        <v>339</v>
      </c>
      <c r="D639" s="380"/>
      <c r="E639" s="380"/>
      <c r="F639" s="380"/>
      <c r="G639" s="380"/>
      <c r="H639" s="380"/>
      <c r="I639" s="380"/>
      <c r="J639" s="40"/>
      <c r="K639" s="41"/>
    </row>
    <row r="640" spans="2:14" x14ac:dyDescent="0.2">
      <c r="B640" s="38"/>
      <c r="C640" s="380"/>
      <c r="D640" s="380"/>
      <c r="E640" s="380"/>
      <c r="F640" s="380"/>
      <c r="G640" s="380"/>
      <c r="H640" s="380"/>
      <c r="I640" s="380"/>
      <c r="J640" s="250">
        <f>'Baseline Health'!G145</f>
        <v>0</v>
      </c>
      <c r="K640" s="41"/>
    </row>
    <row r="641" spans="2:14" ht="15" customHeight="1" x14ac:dyDescent="0.2">
      <c r="B641" s="38"/>
      <c r="C641" s="380" t="s">
        <v>340</v>
      </c>
      <c r="D641" s="380"/>
      <c r="E641" s="380"/>
      <c r="F641" s="380"/>
      <c r="G641" s="380"/>
      <c r="H641" s="380"/>
      <c r="I641" s="380"/>
      <c r="J641" s="245"/>
      <c r="K641" s="41"/>
    </row>
    <row r="642" spans="2:14" x14ac:dyDescent="0.2">
      <c r="B642" s="38"/>
      <c r="C642" s="380"/>
      <c r="D642" s="380"/>
      <c r="E642" s="380"/>
      <c r="F642" s="380"/>
      <c r="G642" s="380"/>
      <c r="H642" s="380"/>
      <c r="I642" s="380"/>
      <c r="J642" s="245"/>
      <c r="K642" s="41"/>
    </row>
    <row r="643" spans="2:14" x14ac:dyDescent="0.2">
      <c r="B643" s="38"/>
      <c r="C643" s="380"/>
      <c r="D643" s="380"/>
      <c r="E643" s="380"/>
      <c r="F643" s="380"/>
      <c r="G643" s="380"/>
      <c r="H643" s="380"/>
      <c r="I643" s="380"/>
      <c r="J643" s="272">
        <v>37.5</v>
      </c>
      <c r="K643" s="41"/>
    </row>
    <row r="644" spans="2:14" x14ac:dyDescent="0.2">
      <c r="B644" s="38"/>
      <c r="C644" s="40" t="s">
        <v>260</v>
      </c>
      <c r="D644" s="40"/>
      <c r="E644" s="40"/>
      <c r="F644" s="40"/>
      <c r="G644" s="40"/>
      <c r="H644" s="40"/>
      <c r="I644" s="40"/>
      <c r="J644" s="245" t="str">
        <f>IF(OR(J640=0,J640="Not Calculated")=TRUE,"Not Calculated",IF(((J640+J643)/J640)&lt;=1,0,IF(((J640+J643)/J640)&lt;=1.05,1,IF(((J640+J643)/J640)&lt;=1.5, 2,IF(((J640+J643)/J640)&lt;=2,3,4)))))</f>
        <v>Not Calculated</v>
      </c>
      <c r="K644" s="41"/>
    </row>
    <row r="645" spans="2:14" ht="9.75" customHeight="1" x14ac:dyDescent="0.2">
      <c r="B645" s="38"/>
      <c r="C645" s="279" t="str">
        <f>"0:"</f>
        <v>0:</v>
      </c>
      <c r="D645" s="281" t="s">
        <v>918</v>
      </c>
      <c r="E645" s="291"/>
      <c r="F645" s="291"/>
      <c r="G645" s="291"/>
      <c r="H645" s="291"/>
      <c r="I645" s="291"/>
      <c r="J645" s="250"/>
      <c r="K645" s="41"/>
    </row>
    <row r="646" spans="2:14" ht="9.75" customHeight="1" x14ac:dyDescent="0.2">
      <c r="B646" s="38"/>
      <c r="C646" s="280" t="str">
        <f>"1:"</f>
        <v>1:</v>
      </c>
      <c r="D646" s="281" t="s">
        <v>919</v>
      </c>
      <c r="E646" s="291"/>
      <c r="F646" s="291"/>
      <c r="G646" s="291"/>
      <c r="H646" s="291"/>
      <c r="I646" s="291"/>
      <c r="J646" s="250"/>
      <c r="K646" s="41"/>
    </row>
    <row r="647" spans="2:14" ht="9.75" customHeight="1" x14ac:dyDescent="0.2">
      <c r="B647" s="38"/>
      <c r="C647" s="280" t="str">
        <f>"2:"</f>
        <v>2:</v>
      </c>
      <c r="D647" s="281" t="s">
        <v>920</v>
      </c>
      <c r="E647" s="291"/>
      <c r="F647" s="291"/>
      <c r="G647" s="291"/>
      <c r="H647" s="291"/>
      <c r="I647" s="291"/>
      <c r="J647" s="250"/>
      <c r="K647" s="41"/>
    </row>
    <row r="648" spans="2:14" ht="9.75" customHeight="1" x14ac:dyDescent="0.2">
      <c r="B648" s="38"/>
      <c r="C648" s="280" t="str">
        <f>"3:"</f>
        <v>3:</v>
      </c>
      <c r="D648" s="281" t="s">
        <v>921</v>
      </c>
      <c r="E648" s="291"/>
      <c r="F648" s="291"/>
      <c r="G648" s="291"/>
      <c r="H648" s="291"/>
      <c r="I648" s="291"/>
      <c r="J648" s="250"/>
      <c r="K648" s="41"/>
    </row>
    <row r="649" spans="2:14" ht="9.75" customHeight="1" x14ac:dyDescent="0.2">
      <c r="B649" s="38"/>
      <c r="C649" s="280" t="str">
        <f>"4:"</f>
        <v>4:</v>
      </c>
      <c r="D649" s="281" t="s">
        <v>922</v>
      </c>
      <c r="E649" s="40"/>
      <c r="F649" s="40"/>
      <c r="G649" s="40"/>
      <c r="H649" s="40"/>
      <c r="I649" s="40"/>
      <c r="J649" s="40"/>
      <c r="K649" s="41"/>
      <c r="N649" s="12" t="s">
        <v>661</v>
      </c>
    </row>
    <row r="650" spans="2:14" x14ac:dyDescent="0.2">
      <c r="B650" s="38"/>
      <c r="C650" s="174" t="s">
        <v>662</v>
      </c>
      <c r="D650" s="40"/>
      <c r="E650" s="40"/>
      <c r="F650" s="40"/>
      <c r="G650" s="40"/>
      <c r="H650" s="40"/>
      <c r="I650" s="40"/>
      <c r="J650" s="265" t="s">
        <v>661</v>
      </c>
      <c r="K650" s="41"/>
      <c r="N650" s="12" t="s">
        <v>894</v>
      </c>
    </row>
    <row r="651" spans="2:14" x14ac:dyDescent="0.2">
      <c r="B651" s="38"/>
      <c r="C651" s="174" t="s">
        <v>660</v>
      </c>
      <c r="D651" s="40"/>
      <c r="E651" s="40"/>
      <c r="F651" s="40"/>
      <c r="G651" s="40"/>
      <c r="H651" s="40"/>
      <c r="I651" s="40"/>
      <c r="J651" s="247" t="str">
        <f>IF(J650=N649,"N/A",IF(J650=N650,0,IF(J650=N651,1,IF(J650=N652,2,IF(J650=N653,3,IF(J650=N654,4,"N/A"))))))</f>
        <v>N/A</v>
      </c>
      <c r="K651" s="41"/>
      <c r="N651" s="12" t="s">
        <v>895</v>
      </c>
    </row>
    <row r="652" spans="2:14" ht="15" customHeight="1" x14ac:dyDescent="0.2">
      <c r="B652" s="38"/>
      <c r="C652" s="40" t="s">
        <v>257</v>
      </c>
      <c r="D652" s="40"/>
      <c r="E652" s="40"/>
      <c r="F652" s="40"/>
      <c r="G652" s="40"/>
      <c r="H652" s="40"/>
      <c r="I652" s="40"/>
      <c r="J652" s="266" t="s">
        <v>874</v>
      </c>
      <c r="K652" s="41"/>
      <c r="N652" s="12" t="s">
        <v>896</v>
      </c>
    </row>
    <row r="653" spans="2:14" x14ac:dyDescent="0.2">
      <c r="B653" s="38"/>
      <c r="C653" s="40" t="s">
        <v>261</v>
      </c>
      <c r="D653" s="40"/>
      <c r="E653" s="40"/>
      <c r="F653" s="40"/>
      <c r="G653" s="40"/>
      <c r="H653" s="40"/>
      <c r="I653" s="40"/>
      <c r="J653" s="245">
        <f>IF(J652=$B$973,$A$973,IF(J652=$B$974,$A$974,IF(J652=$B$975,$A$975,IF(J652=$B$976,$A$976,IF(J652=$B$977,$A$977,"Not Calculated")))))</f>
        <v>4</v>
      </c>
      <c r="K653" s="41"/>
      <c r="N653" s="12" t="s">
        <v>897</v>
      </c>
    </row>
    <row r="654" spans="2:14" x14ac:dyDescent="0.2">
      <c r="B654" s="38"/>
      <c r="C654" s="40" t="s">
        <v>893</v>
      </c>
      <c r="D654" s="40"/>
      <c r="E654" s="40"/>
      <c r="F654" s="40"/>
      <c r="G654" s="40"/>
      <c r="H654" s="40"/>
      <c r="I654" s="40"/>
      <c r="J654" s="40"/>
      <c r="K654" s="41"/>
      <c r="N654" s="12" t="s">
        <v>898</v>
      </c>
    </row>
    <row r="655" spans="2:14" ht="45" customHeight="1" x14ac:dyDescent="0.2">
      <c r="B655" s="38"/>
      <c r="C655" s="399" t="s">
        <v>505</v>
      </c>
      <c r="D655" s="400"/>
      <c r="E655" s="400"/>
      <c r="F655" s="400"/>
      <c r="G655" s="400"/>
      <c r="H655" s="400"/>
      <c r="I655" s="400"/>
      <c r="J655" s="401"/>
      <c r="K655" s="41"/>
    </row>
    <row r="656" spans="2:14" x14ac:dyDescent="0.2">
      <c r="B656" s="38"/>
      <c r="C656" s="40"/>
      <c r="D656" s="40"/>
      <c r="E656" s="40"/>
      <c r="F656" s="40"/>
      <c r="G656" s="40"/>
      <c r="H656" s="40"/>
      <c r="I656" s="40"/>
      <c r="J656" s="40"/>
      <c r="K656" s="41"/>
    </row>
    <row r="657" spans="2:14" x14ac:dyDescent="0.2">
      <c r="B657" s="38"/>
      <c r="C657" s="179" t="s">
        <v>330</v>
      </c>
      <c r="D657" s="40"/>
      <c r="E657" s="40"/>
      <c r="F657" s="40"/>
      <c r="G657" s="40"/>
      <c r="H657" s="40"/>
      <c r="I657" s="40"/>
      <c r="J657" s="245" t="str">
        <f>IF(J651="N/A",IF(OR(J644="Not Calculated",J653="Not Calculated")=TRUE,"Not Calculated",AVERAGE(J644,J653)),AVERAGE(J651,J653))</f>
        <v>Not Calculated</v>
      </c>
      <c r="K657" s="41"/>
    </row>
    <row r="658" spans="2:14" x14ac:dyDescent="0.2">
      <c r="B658" s="38"/>
      <c r="C658" s="40"/>
      <c r="D658" s="40"/>
      <c r="E658" s="40"/>
      <c r="F658" s="40"/>
      <c r="G658" s="40"/>
      <c r="H658" s="40"/>
      <c r="I658" s="40"/>
      <c r="J658" s="40"/>
      <c r="K658" s="41"/>
    </row>
    <row r="659" spans="2:14" x14ac:dyDescent="0.2">
      <c r="B659" s="38"/>
      <c r="C659" s="40"/>
      <c r="D659" s="40"/>
      <c r="E659" s="40"/>
      <c r="F659" s="40"/>
      <c r="G659" s="40"/>
      <c r="H659" s="40"/>
      <c r="I659" s="40"/>
      <c r="J659" s="40"/>
      <c r="K659" s="41"/>
    </row>
    <row r="660" spans="2:14" ht="16" x14ac:dyDescent="0.2">
      <c r="B660" s="38"/>
      <c r="C660" s="45" t="s">
        <v>97</v>
      </c>
      <c r="D660" s="40"/>
      <c r="E660" s="40"/>
      <c r="F660" s="40"/>
      <c r="G660" s="40"/>
      <c r="H660" s="40"/>
      <c r="I660" s="40"/>
      <c r="J660" s="40"/>
      <c r="K660" s="41"/>
    </row>
    <row r="661" spans="2:14" x14ac:dyDescent="0.2">
      <c r="B661" s="38"/>
      <c r="C661" s="40" t="s">
        <v>449</v>
      </c>
      <c r="D661" s="40"/>
      <c r="E661" s="40"/>
      <c r="F661" s="40"/>
      <c r="G661" s="40"/>
      <c r="H661" s="40"/>
      <c r="I661" s="40"/>
      <c r="J661" s="263">
        <f>'Baseline Health'!G150</f>
        <v>0</v>
      </c>
      <c r="K661" s="41"/>
    </row>
    <row r="662" spans="2:14" x14ac:dyDescent="0.2">
      <c r="B662" s="38"/>
      <c r="C662" s="40" t="s">
        <v>341</v>
      </c>
      <c r="D662" s="40"/>
      <c r="E662" s="40"/>
      <c r="F662" s="40"/>
      <c r="G662" s="40"/>
      <c r="H662" s="40"/>
      <c r="I662" s="40"/>
      <c r="J662" s="273">
        <v>0</v>
      </c>
      <c r="K662" s="41"/>
    </row>
    <row r="663" spans="2:14" x14ac:dyDescent="0.2">
      <c r="B663" s="38"/>
      <c r="C663" s="40" t="s">
        <v>450</v>
      </c>
      <c r="D663" s="40"/>
      <c r="E663" s="40"/>
      <c r="F663" s="40"/>
      <c r="G663" s="40"/>
      <c r="H663" s="40"/>
      <c r="I663" s="40"/>
      <c r="J663" s="263">
        <f>J26</f>
        <v>9</v>
      </c>
      <c r="K663" s="41"/>
    </row>
    <row r="664" spans="2:14" ht="15" customHeight="1" x14ac:dyDescent="0.2">
      <c r="B664" s="38"/>
      <c r="C664" s="291"/>
      <c r="D664" s="380" t="s">
        <v>342</v>
      </c>
      <c r="E664" s="380"/>
      <c r="F664" s="380"/>
      <c r="G664" s="380"/>
      <c r="H664" s="380"/>
      <c r="I664" s="380"/>
      <c r="J664" s="245"/>
      <c r="K664" s="41"/>
    </row>
    <row r="665" spans="2:14" x14ac:dyDescent="0.2">
      <c r="B665" s="38"/>
      <c r="C665" s="291"/>
      <c r="D665" s="380"/>
      <c r="E665" s="380"/>
      <c r="F665" s="380"/>
      <c r="G665" s="380"/>
      <c r="H665" s="380"/>
      <c r="I665" s="380"/>
      <c r="J665" s="245"/>
      <c r="K665" s="41"/>
    </row>
    <row r="666" spans="2:14" x14ac:dyDescent="0.2">
      <c r="B666" s="38"/>
      <c r="C666" s="40" t="s">
        <v>260</v>
      </c>
      <c r="D666" s="40"/>
      <c r="E666" s="40"/>
      <c r="F666" s="40"/>
      <c r="G666" s="40"/>
      <c r="H666" s="40"/>
      <c r="I666" s="40"/>
      <c r="J666" s="245" t="str">
        <f>IF(OR(J661=0,J661="Not Calculated")=TRUE,"Not Calculated",IF(((J661+J663)/(J661-J662))&lt;=1,0,IF(((J661+J663)/(J661-J662))&lt;=1.1,1,IF(((J661+J663)/(J661-J662))&lt;=1.5, 2,IF(((J661+J663)/(J661-J662))&lt;=2,3,4)))))</f>
        <v>Not Calculated</v>
      </c>
      <c r="K666" s="41"/>
    </row>
    <row r="667" spans="2:14" ht="9.75" customHeight="1" x14ac:dyDescent="0.2">
      <c r="B667" s="38"/>
      <c r="C667" s="279" t="str">
        <f>"0:"</f>
        <v>0:</v>
      </c>
      <c r="D667" s="278" t="s">
        <v>918</v>
      </c>
      <c r="E667" s="291"/>
      <c r="F667" s="291"/>
      <c r="G667" s="291"/>
      <c r="H667" s="291"/>
      <c r="I667" s="291"/>
      <c r="J667" s="245"/>
      <c r="K667" s="41"/>
    </row>
    <row r="668" spans="2:14" ht="9.75" customHeight="1" x14ac:dyDescent="0.2">
      <c r="B668" s="38"/>
      <c r="C668" s="280" t="str">
        <f>"1:"</f>
        <v>1:</v>
      </c>
      <c r="D668" s="278" t="s">
        <v>923</v>
      </c>
      <c r="E668" s="291"/>
      <c r="F668" s="291"/>
      <c r="G668" s="291"/>
      <c r="H668" s="291"/>
      <c r="I668" s="291"/>
      <c r="J668" s="245"/>
      <c r="K668" s="41"/>
    </row>
    <row r="669" spans="2:14" ht="9.75" customHeight="1" x14ac:dyDescent="0.2">
      <c r="B669" s="38"/>
      <c r="C669" s="280" t="str">
        <f>"2:"</f>
        <v>2:</v>
      </c>
      <c r="D669" s="278" t="s">
        <v>924</v>
      </c>
      <c r="E669" s="291"/>
      <c r="F669" s="291"/>
      <c r="G669" s="291"/>
      <c r="H669" s="291"/>
      <c r="I669" s="291"/>
      <c r="J669" s="245"/>
      <c r="K669" s="41"/>
    </row>
    <row r="670" spans="2:14" ht="9.75" customHeight="1" x14ac:dyDescent="0.2">
      <c r="B670" s="38"/>
      <c r="C670" s="280" t="str">
        <f>"3:"</f>
        <v>3:</v>
      </c>
      <c r="D670" s="278" t="s">
        <v>925</v>
      </c>
      <c r="E670" s="291"/>
      <c r="F670" s="291"/>
      <c r="G670" s="291"/>
      <c r="H670" s="291"/>
      <c r="I670" s="291"/>
      <c r="J670" s="245"/>
      <c r="K670" s="41"/>
    </row>
    <row r="671" spans="2:14" ht="9.75" customHeight="1" x14ac:dyDescent="0.2">
      <c r="B671" s="38"/>
      <c r="C671" s="280" t="str">
        <f>"4:"</f>
        <v>4:</v>
      </c>
      <c r="D671" s="278" t="s">
        <v>926</v>
      </c>
      <c r="E671" s="40"/>
      <c r="F671" s="40"/>
      <c r="G671" s="40"/>
      <c r="H671" s="40"/>
      <c r="I671" s="40"/>
      <c r="J671" s="40"/>
      <c r="K671" s="41"/>
      <c r="N671" s="12" t="s">
        <v>661</v>
      </c>
    </row>
    <row r="672" spans="2:14" ht="15" customHeight="1" x14ac:dyDescent="0.2">
      <c r="B672" s="38"/>
      <c r="C672" s="174" t="s">
        <v>662</v>
      </c>
      <c r="D672" s="40"/>
      <c r="E672" s="40"/>
      <c r="F672" s="40"/>
      <c r="G672" s="40"/>
      <c r="H672" s="40"/>
      <c r="I672" s="40"/>
      <c r="J672" s="265" t="s">
        <v>661</v>
      </c>
      <c r="K672" s="41"/>
      <c r="N672" s="12" t="s">
        <v>894</v>
      </c>
    </row>
    <row r="673" spans="2:14" ht="15" customHeight="1" x14ac:dyDescent="0.2">
      <c r="B673" s="38"/>
      <c r="C673" s="174" t="s">
        <v>660</v>
      </c>
      <c r="D673" s="40"/>
      <c r="E673" s="40"/>
      <c r="F673" s="40"/>
      <c r="G673" s="40"/>
      <c r="H673" s="40"/>
      <c r="I673" s="40"/>
      <c r="J673" s="246" t="str">
        <f>IF(J672=N671,"N/A",IF(J672=N672,0,IF(J672=N673,1,IF(J672=N674,2,IF(J672=N675,3,IF(J672=N676,4,"N/A"))))))</f>
        <v>N/A</v>
      </c>
      <c r="K673" s="41"/>
      <c r="N673" s="12" t="s">
        <v>908</v>
      </c>
    </row>
    <row r="674" spans="2:14" ht="15" customHeight="1" x14ac:dyDescent="0.2">
      <c r="B674" s="38"/>
      <c r="C674" s="40" t="s">
        <v>257</v>
      </c>
      <c r="D674" s="40"/>
      <c r="E674" s="40"/>
      <c r="F674" s="40"/>
      <c r="G674" s="40"/>
      <c r="H674" s="40"/>
      <c r="I674" s="40"/>
      <c r="J674" s="266" t="s">
        <v>882</v>
      </c>
      <c r="K674" s="41"/>
      <c r="N674" s="12" t="s">
        <v>900</v>
      </c>
    </row>
    <row r="675" spans="2:14" x14ac:dyDescent="0.2">
      <c r="B675" s="38"/>
      <c r="C675" s="40" t="s">
        <v>261</v>
      </c>
      <c r="D675" s="40"/>
      <c r="E675" s="40"/>
      <c r="F675" s="40"/>
      <c r="G675" s="40"/>
      <c r="H675" s="40"/>
      <c r="I675" s="40"/>
      <c r="J675" s="245">
        <f>IF(J674=$B$973,$A$973,IF(J674=$B$974,$A$974,IF(J674=$B$975,$A$975,IF(J674=$B$976,$A$976,IF(J674=$B$977,$A$977,"Not Calculated")))))</f>
        <v>1</v>
      </c>
      <c r="K675" s="41"/>
      <c r="N675" s="12" t="s">
        <v>901</v>
      </c>
    </row>
    <row r="676" spans="2:14" ht="15" customHeight="1" x14ac:dyDescent="0.2">
      <c r="B676" s="38"/>
      <c r="C676" s="40" t="s">
        <v>893</v>
      </c>
      <c r="D676" s="40"/>
      <c r="E676" s="40"/>
      <c r="F676" s="40"/>
      <c r="G676" s="40"/>
      <c r="H676" s="40"/>
      <c r="I676" s="40"/>
      <c r="J676" s="40"/>
      <c r="K676" s="41"/>
      <c r="N676" s="12" t="s">
        <v>909</v>
      </c>
    </row>
    <row r="677" spans="2:14" ht="30" customHeight="1" x14ac:dyDescent="0.2">
      <c r="B677" s="38"/>
      <c r="C677" s="399"/>
      <c r="D677" s="400"/>
      <c r="E677" s="400"/>
      <c r="F677" s="400"/>
      <c r="G677" s="400"/>
      <c r="H677" s="400"/>
      <c r="I677" s="400"/>
      <c r="J677" s="401"/>
      <c r="K677" s="41"/>
    </row>
    <row r="678" spans="2:14" x14ac:dyDescent="0.2">
      <c r="B678" s="38"/>
      <c r="C678" s="40"/>
      <c r="D678" s="40"/>
      <c r="E678" s="40"/>
      <c r="F678" s="40"/>
      <c r="G678" s="40"/>
      <c r="H678" s="40"/>
      <c r="I678" s="40"/>
      <c r="J678" s="40"/>
      <c r="K678" s="41"/>
    </row>
    <row r="679" spans="2:14" x14ac:dyDescent="0.2">
      <c r="B679" s="38"/>
      <c r="C679" s="179" t="s">
        <v>331</v>
      </c>
      <c r="D679" s="40"/>
      <c r="E679" s="40"/>
      <c r="F679" s="40"/>
      <c r="G679" s="40"/>
      <c r="H679" s="40"/>
      <c r="I679" s="40"/>
      <c r="J679" s="245" t="str">
        <f>IF(J673="N/A",IF(OR(J666="Not Calculated",J675="Not Calculated")=TRUE,"Not Calculated",AVERAGE(J666,J675)),AVERAGE(J673,J675))</f>
        <v>Not Calculated</v>
      </c>
      <c r="K679" s="41"/>
    </row>
    <row r="680" spans="2:14" x14ac:dyDescent="0.2">
      <c r="B680" s="38"/>
      <c r="C680" s="40"/>
      <c r="D680" s="40"/>
      <c r="E680" s="40"/>
      <c r="F680" s="40"/>
      <c r="G680" s="40"/>
      <c r="H680" s="40"/>
      <c r="I680" s="40"/>
      <c r="J680" s="40"/>
      <c r="K680" s="41"/>
    </row>
    <row r="681" spans="2:14" ht="18" x14ac:dyDescent="0.2">
      <c r="B681" s="38"/>
      <c r="C681" s="180" t="s">
        <v>332</v>
      </c>
      <c r="D681" s="40"/>
      <c r="E681" s="40"/>
      <c r="F681" s="40"/>
      <c r="G681" s="40"/>
      <c r="H681" s="40"/>
      <c r="I681" s="40"/>
      <c r="J681" s="244" t="str">
        <f>IF(OR(J562="Not Calculated",J585="Not Calculated",J601="Not Calculated",J615="Not Calculated",J635="Not Calculated",J657="Not Calculated",J679="Not Calculated")=TRUE,"Not Calculated",AVERAGE(J562,J585,J601,J615,J635,J657,J679))</f>
        <v>Not Calculated</v>
      </c>
      <c r="K681" s="41"/>
    </row>
    <row r="682" spans="2:14" ht="16" thickBot="1" x14ac:dyDescent="0.25">
      <c r="B682" s="46"/>
      <c r="C682" s="47"/>
      <c r="D682" s="47"/>
      <c r="E682" s="47"/>
      <c r="F682" s="47"/>
      <c r="G682" s="47"/>
      <c r="H682" s="47"/>
      <c r="I682" s="47"/>
      <c r="J682" s="47"/>
      <c r="K682" s="49"/>
    </row>
    <row r="683" spans="2:14" ht="16" thickBot="1" x14ac:dyDescent="0.25"/>
    <row r="684" spans="2:14" x14ac:dyDescent="0.2">
      <c r="B684" s="33"/>
      <c r="C684" s="34"/>
      <c r="D684" s="34"/>
      <c r="E684" s="34"/>
      <c r="F684" s="34"/>
      <c r="G684" s="34"/>
      <c r="H684" s="34"/>
      <c r="I684" s="34"/>
      <c r="J684" s="34"/>
      <c r="K684" s="37"/>
    </row>
    <row r="685" spans="2:14" ht="21" x14ac:dyDescent="0.25">
      <c r="B685" s="38"/>
      <c r="C685" s="40"/>
      <c r="D685" s="40"/>
      <c r="E685" s="40"/>
      <c r="F685" s="40"/>
      <c r="G685" s="172" t="s">
        <v>346</v>
      </c>
      <c r="H685" s="40"/>
      <c r="I685" s="40"/>
      <c r="J685" s="40"/>
      <c r="K685" s="41"/>
    </row>
    <row r="686" spans="2:14" x14ac:dyDescent="0.2">
      <c r="B686" s="38"/>
      <c r="C686" s="40"/>
      <c r="D686" s="40"/>
      <c r="E686" s="40"/>
      <c r="F686" s="40"/>
      <c r="G686" s="40"/>
      <c r="H686" s="40"/>
      <c r="I686" s="40"/>
      <c r="J686" s="40"/>
      <c r="K686" s="41"/>
    </row>
    <row r="687" spans="2:14" ht="16" x14ac:dyDescent="0.2">
      <c r="B687" s="38"/>
      <c r="C687" s="182" t="s">
        <v>986</v>
      </c>
      <c r="D687" s="40"/>
      <c r="E687" s="40"/>
      <c r="F687" s="40"/>
      <c r="G687" s="40"/>
      <c r="H687" s="40"/>
      <c r="I687" s="40"/>
      <c r="J687" s="257" t="str">
        <f>IF(OR($J$133="Not Calculated",$J$261="Not Calculated",$J$421="Not Calculated",$J$539="Not Calculated",$J$681="Not Calculated")=TRUE,"Not Calculated",AVERAGE($J$133,$J$261,$J$421,$J$539,$J$681))</f>
        <v>Not Calculated</v>
      </c>
      <c r="K687" s="41"/>
    </row>
    <row r="688" spans="2:14" x14ac:dyDescent="0.2">
      <c r="B688" s="38"/>
      <c r="C688" s="40"/>
      <c r="D688" s="40" t="s">
        <v>343</v>
      </c>
      <c r="E688" s="40"/>
      <c r="F688" s="40"/>
      <c r="G688" s="40"/>
      <c r="H688" s="40"/>
      <c r="I688" s="40"/>
      <c r="J688" s="40"/>
      <c r="K688" s="41"/>
    </row>
    <row r="689" spans="2:11" ht="15" customHeight="1" x14ac:dyDescent="0.2">
      <c r="B689" s="38"/>
      <c r="C689" s="40"/>
      <c r="D689" s="40"/>
      <c r="E689" s="40"/>
      <c r="F689" s="40"/>
      <c r="G689" s="40"/>
      <c r="H689" s="40"/>
      <c r="I689" s="40"/>
      <c r="J689" s="40"/>
      <c r="K689" s="41"/>
    </row>
    <row r="690" spans="2:11" ht="16" x14ac:dyDescent="0.2">
      <c r="B690" s="38"/>
      <c r="C690" s="182" t="s">
        <v>987</v>
      </c>
      <c r="D690" s="40"/>
      <c r="E690" s="40"/>
      <c r="F690" s="40"/>
      <c r="G690" s="40"/>
      <c r="H690" s="40"/>
      <c r="I690" s="40"/>
      <c r="J690" s="257" t="str">
        <f>IF(OR($J$133="Not Calculated",$J$261="Not Calculated",$J$539="Not Calculated",$J$681="Not Calculated")=TRUE,"Not Calculated",AVERAGE($J$133,$J$261,$J$539,$J$681))</f>
        <v>Not Calculated</v>
      </c>
      <c r="K690" s="41"/>
    </row>
    <row r="691" spans="2:11" ht="15" customHeight="1" x14ac:dyDescent="0.2">
      <c r="B691" s="38"/>
      <c r="C691" s="40"/>
      <c r="D691" s="40" t="s">
        <v>344</v>
      </c>
      <c r="E691" s="40"/>
      <c r="F691" s="40"/>
      <c r="G691" s="40"/>
      <c r="H691" s="40"/>
      <c r="I691" s="40"/>
      <c r="J691" s="40"/>
      <c r="K691" s="41"/>
    </row>
    <row r="692" spans="2:11" x14ac:dyDescent="0.2">
      <c r="B692" s="38"/>
      <c r="C692" s="40"/>
      <c r="D692" s="40"/>
      <c r="E692" s="40"/>
      <c r="F692" s="40"/>
      <c r="G692" s="40"/>
      <c r="H692" s="40"/>
      <c r="I692" s="40"/>
      <c r="J692" s="40"/>
      <c r="K692" s="41"/>
    </row>
    <row r="693" spans="2:11" ht="16" x14ac:dyDescent="0.2">
      <c r="B693" s="38"/>
      <c r="C693" s="182" t="s">
        <v>988</v>
      </c>
      <c r="D693" s="40"/>
      <c r="E693" s="40"/>
      <c r="F693" s="40"/>
      <c r="G693" s="40"/>
      <c r="H693" s="40"/>
      <c r="I693" s="40"/>
      <c r="J693" s="257" t="str">
        <f>IF(OR($J$133="Not Calculated",$J$261="Not Calculated",$J$421="Not Calculated")=TRUE,"Not Calculated",AVERAGE($J$133,$J$261,$J$421))</f>
        <v>Not Calculated</v>
      </c>
      <c r="K693" s="41"/>
    </row>
    <row r="694" spans="2:11" x14ac:dyDescent="0.2">
      <c r="B694" s="38"/>
      <c r="C694" s="40"/>
      <c r="D694" s="40" t="s">
        <v>345</v>
      </c>
      <c r="E694" s="40"/>
      <c r="F694" s="40"/>
      <c r="G694" s="40"/>
      <c r="H694" s="40"/>
      <c r="I694" s="40"/>
      <c r="J694" s="40"/>
      <c r="K694" s="41"/>
    </row>
    <row r="695" spans="2:11" ht="16" thickBot="1" x14ac:dyDescent="0.25">
      <c r="B695" s="46"/>
      <c r="C695" s="47"/>
      <c r="D695" s="47"/>
      <c r="E695" s="47"/>
      <c r="F695" s="47"/>
      <c r="G695" s="47"/>
      <c r="H695" s="47"/>
      <c r="I695" s="47"/>
      <c r="J695" s="47"/>
      <c r="K695" s="49"/>
    </row>
    <row r="696" spans="2:11" ht="16" thickBot="1" x14ac:dyDescent="0.25"/>
    <row r="697" spans="2:11" x14ac:dyDescent="0.2">
      <c r="B697" s="183"/>
      <c r="C697" s="184"/>
      <c r="D697" s="184"/>
      <c r="E697" s="184"/>
      <c r="F697" s="184"/>
      <c r="G697" s="184"/>
      <c r="H697" s="184"/>
      <c r="I697" s="184"/>
      <c r="J697" s="184"/>
      <c r="K697" s="185"/>
    </row>
    <row r="698" spans="2:11" ht="21" x14ac:dyDescent="0.25">
      <c r="B698" s="186"/>
      <c r="C698" s="187"/>
      <c r="D698" s="187"/>
      <c r="E698" s="187"/>
      <c r="F698" s="187"/>
      <c r="G698" s="188" t="s">
        <v>231</v>
      </c>
      <c r="H698" s="187"/>
      <c r="I698" s="187"/>
      <c r="J698" s="187"/>
      <c r="K698" s="189"/>
    </row>
    <row r="699" spans="2:11" x14ac:dyDescent="0.2">
      <c r="B699" s="186"/>
      <c r="C699" s="187"/>
      <c r="D699" s="187"/>
      <c r="E699" s="187"/>
      <c r="F699" s="187"/>
      <c r="G699" s="187"/>
      <c r="H699" s="187"/>
      <c r="I699" s="187"/>
      <c r="J699" s="187"/>
      <c r="K699" s="189"/>
    </row>
    <row r="700" spans="2:11" ht="16" x14ac:dyDescent="0.2">
      <c r="B700" s="186"/>
      <c r="C700" s="190" t="s">
        <v>989</v>
      </c>
      <c r="D700" s="187"/>
      <c r="E700" s="187"/>
      <c r="F700" s="187"/>
      <c r="G700" s="187"/>
      <c r="H700" s="187"/>
      <c r="I700" s="187"/>
      <c r="J700" s="256" t="str">
        <f>IF(OR(J687="Not Calculated",$E$17="Not Calculated")=TRUE,"Not Calculated",(J687*$E$17*100/16))</f>
        <v>Not Calculated</v>
      </c>
      <c r="K700" s="189"/>
    </row>
    <row r="701" spans="2:11" x14ac:dyDescent="0.2">
      <c r="B701" s="186"/>
      <c r="C701" s="187"/>
      <c r="D701" s="187" t="s">
        <v>377</v>
      </c>
      <c r="E701" s="187"/>
      <c r="F701" s="187"/>
      <c r="G701" s="187"/>
      <c r="H701" s="187"/>
      <c r="I701" s="187"/>
      <c r="J701" s="187"/>
      <c r="K701" s="189"/>
    </row>
    <row r="702" spans="2:11" x14ac:dyDescent="0.2">
      <c r="B702" s="186"/>
      <c r="C702" s="187"/>
      <c r="D702" s="187"/>
      <c r="E702" s="187"/>
      <c r="F702" s="187"/>
      <c r="G702" s="187"/>
      <c r="H702" s="187"/>
      <c r="I702" s="187"/>
      <c r="J702" s="187"/>
      <c r="K702" s="189"/>
    </row>
    <row r="703" spans="2:11" ht="16" x14ac:dyDescent="0.2">
      <c r="B703" s="186"/>
      <c r="C703" s="190" t="s">
        <v>990</v>
      </c>
      <c r="D703" s="187"/>
      <c r="E703" s="187"/>
      <c r="F703" s="187"/>
      <c r="G703" s="187"/>
      <c r="H703" s="187"/>
      <c r="I703" s="187"/>
      <c r="J703" s="256" t="str">
        <f>IF(OR(J690="Not Calculated",$E$17="Not Calculated")=TRUE,"Not Calculated",(J690*$E$17*100/16))</f>
        <v>Not Calculated</v>
      </c>
      <c r="K703" s="189"/>
    </row>
    <row r="704" spans="2:11" x14ac:dyDescent="0.2">
      <c r="B704" s="186"/>
      <c r="C704" s="187"/>
      <c r="D704" s="187" t="s">
        <v>378</v>
      </c>
      <c r="E704" s="187"/>
      <c r="F704" s="187"/>
      <c r="G704" s="187"/>
      <c r="H704" s="187"/>
      <c r="I704" s="187"/>
      <c r="J704" s="187"/>
      <c r="K704" s="189"/>
    </row>
    <row r="705" spans="2:11" x14ac:dyDescent="0.2">
      <c r="B705" s="186"/>
      <c r="C705" s="187"/>
      <c r="D705" s="187"/>
      <c r="E705" s="187"/>
      <c r="F705" s="187"/>
      <c r="G705" s="187"/>
      <c r="H705" s="187"/>
      <c r="I705" s="187"/>
      <c r="J705" s="187"/>
      <c r="K705" s="189"/>
    </row>
    <row r="706" spans="2:11" ht="16" x14ac:dyDescent="0.2">
      <c r="B706" s="186"/>
      <c r="C706" s="190" t="s">
        <v>991</v>
      </c>
      <c r="D706" s="187"/>
      <c r="E706" s="187"/>
      <c r="F706" s="187"/>
      <c r="G706" s="187"/>
      <c r="H706" s="187"/>
      <c r="I706" s="187"/>
      <c r="J706" s="256" t="str">
        <f>IF(OR(J693="Not Calculated",$E$17="Not Calculated")=TRUE,"Not Calculated",(J693*$E$17*100/16))</f>
        <v>Not Calculated</v>
      </c>
      <c r="K706" s="189"/>
    </row>
    <row r="707" spans="2:11" x14ac:dyDescent="0.2">
      <c r="B707" s="186"/>
      <c r="C707" s="187"/>
      <c r="D707" s="187" t="s">
        <v>379</v>
      </c>
      <c r="E707" s="187"/>
      <c r="F707" s="187"/>
      <c r="G707" s="187"/>
      <c r="H707" s="187"/>
      <c r="I707" s="187"/>
      <c r="J707" s="187"/>
      <c r="K707" s="189"/>
    </row>
    <row r="708" spans="2:11" ht="16" thickBot="1" x14ac:dyDescent="0.25">
      <c r="B708" s="191"/>
      <c r="C708" s="192"/>
      <c r="D708" s="192"/>
      <c r="E708" s="192"/>
      <c r="F708" s="192"/>
      <c r="G708" s="192"/>
      <c r="H708" s="192"/>
      <c r="I708" s="192"/>
      <c r="J708" s="192"/>
      <c r="K708" s="193"/>
    </row>
    <row r="709" spans="2:11" ht="16" thickBot="1" x14ac:dyDescent="0.25"/>
    <row r="710" spans="2:11" x14ac:dyDescent="0.2">
      <c r="B710" s="53"/>
      <c r="C710" s="54"/>
      <c r="D710" s="54"/>
      <c r="E710" s="54"/>
      <c r="F710" s="54"/>
      <c r="G710" s="54"/>
      <c r="H710" s="54"/>
      <c r="I710" s="54"/>
      <c r="J710" s="54"/>
      <c r="K710" s="56"/>
    </row>
    <row r="711" spans="2:11" ht="21" x14ac:dyDescent="0.25">
      <c r="B711" s="57"/>
      <c r="C711" s="59"/>
      <c r="D711" s="59"/>
      <c r="E711" s="59"/>
      <c r="F711" s="59"/>
      <c r="G711" s="194" t="s">
        <v>232</v>
      </c>
      <c r="H711" s="59"/>
      <c r="I711" s="59"/>
      <c r="J711" s="59"/>
      <c r="K711" s="61"/>
    </row>
    <row r="712" spans="2:11" x14ac:dyDescent="0.2">
      <c r="B712" s="57"/>
      <c r="C712" s="59"/>
      <c r="D712" s="59"/>
      <c r="E712" s="59"/>
      <c r="F712" s="59"/>
      <c r="G712" s="59"/>
      <c r="H712" s="59"/>
      <c r="I712" s="59"/>
      <c r="J712" s="59"/>
      <c r="K712" s="61"/>
    </row>
    <row r="713" spans="2:11" ht="16" x14ac:dyDescent="0.2">
      <c r="B713" s="57"/>
      <c r="C713" s="195" t="s">
        <v>363</v>
      </c>
      <c r="D713" s="59"/>
      <c r="E713" s="59"/>
      <c r="F713" s="59"/>
      <c r="G713" s="59"/>
      <c r="H713" s="59"/>
      <c r="I713" s="59"/>
      <c r="J713" s="59"/>
      <c r="K713" s="61"/>
    </row>
    <row r="714" spans="2:11" ht="15" customHeight="1" x14ac:dyDescent="0.2">
      <c r="B714" s="57"/>
      <c r="C714" s="411" t="s">
        <v>364</v>
      </c>
      <c r="D714" s="411"/>
      <c r="E714" s="411"/>
      <c r="F714" s="411"/>
      <c r="G714" s="411"/>
      <c r="H714" s="411"/>
      <c r="I714" s="411"/>
      <c r="J714" s="411"/>
      <c r="K714" s="61"/>
    </row>
    <row r="715" spans="2:11" x14ac:dyDescent="0.2">
      <c r="B715" s="57"/>
      <c r="C715" s="411"/>
      <c r="D715" s="411"/>
      <c r="E715" s="411"/>
      <c r="F715" s="411"/>
      <c r="G715" s="411"/>
      <c r="H715" s="411"/>
      <c r="I715" s="411"/>
      <c r="J715" s="411"/>
      <c r="K715" s="61"/>
    </row>
    <row r="716" spans="2:11" x14ac:dyDescent="0.2">
      <c r="B716" s="57"/>
      <c r="C716" s="411"/>
      <c r="D716" s="411"/>
      <c r="E716" s="411"/>
      <c r="F716" s="411"/>
      <c r="G716" s="411"/>
      <c r="H716" s="411"/>
      <c r="I716" s="411"/>
      <c r="J716" s="411"/>
      <c r="K716" s="61"/>
    </row>
    <row r="717" spans="2:11" x14ac:dyDescent="0.2">
      <c r="B717" s="57"/>
      <c r="C717" s="196" t="s">
        <v>30</v>
      </c>
      <c r="D717" s="59"/>
      <c r="E717" s="59"/>
      <c r="F717" s="59"/>
      <c r="G717" s="431" t="s">
        <v>190</v>
      </c>
      <c r="H717" s="431"/>
      <c r="I717" s="59"/>
      <c r="J717" s="260">
        <f>IF(G717=$B$994,$A$994,IF(G717=$B$995,$A$995,"Not Calculated"))</f>
        <v>1</v>
      </c>
      <c r="K717" s="61"/>
    </row>
    <row r="718" spans="2:11" x14ac:dyDescent="0.2">
      <c r="B718" s="57"/>
      <c r="C718" s="196" t="s">
        <v>32</v>
      </c>
      <c r="D718" s="59"/>
      <c r="E718" s="59"/>
      <c r="F718" s="59"/>
      <c r="G718" s="431" t="s">
        <v>190</v>
      </c>
      <c r="H718" s="431"/>
      <c r="I718" s="59"/>
      <c r="J718" s="260">
        <f t="shared" ref="J718:J725" si="0">IF(G718=$B$994,$A$994,IF(G718=$B$995,$A$995,"Not Calculated"))</f>
        <v>1</v>
      </c>
      <c r="K718" s="61"/>
    </row>
    <row r="719" spans="2:11" x14ac:dyDescent="0.2">
      <c r="B719" s="57"/>
      <c r="C719" s="196" t="s">
        <v>34</v>
      </c>
      <c r="D719" s="59"/>
      <c r="E719" s="59"/>
      <c r="F719" s="59"/>
      <c r="G719" s="431" t="s">
        <v>202</v>
      </c>
      <c r="H719" s="431"/>
      <c r="I719" s="59"/>
      <c r="J719" s="260">
        <f t="shared" si="0"/>
        <v>0</v>
      </c>
      <c r="K719" s="61"/>
    </row>
    <row r="720" spans="2:11" x14ac:dyDescent="0.2">
      <c r="B720" s="57"/>
      <c r="C720" s="196" t="s">
        <v>35</v>
      </c>
      <c r="D720" s="59"/>
      <c r="E720" s="59"/>
      <c r="F720" s="59"/>
      <c r="G720" s="431" t="s">
        <v>190</v>
      </c>
      <c r="H720" s="431"/>
      <c r="I720" s="59"/>
      <c r="J720" s="260">
        <f t="shared" si="0"/>
        <v>1</v>
      </c>
      <c r="K720" s="61"/>
    </row>
    <row r="721" spans="2:11" x14ac:dyDescent="0.2">
      <c r="B721" s="57"/>
      <c r="C721" s="196" t="s">
        <v>37</v>
      </c>
      <c r="D721" s="59"/>
      <c r="E721" s="59"/>
      <c r="F721" s="59"/>
      <c r="G721" s="431" t="s">
        <v>190</v>
      </c>
      <c r="H721" s="431"/>
      <c r="I721" s="59"/>
      <c r="J721" s="260">
        <f t="shared" si="0"/>
        <v>1</v>
      </c>
      <c r="K721" s="61"/>
    </row>
    <row r="722" spans="2:11" x14ac:dyDescent="0.2">
      <c r="B722" s="57"/>
      <c r="C722" s="196" t="s">
        <v>38</v>
      </c>
      <c r="D722" s="59"/>
      <c r="E722" s="59"/>
      <c r="F722" s="59"/>
      <c r="G722" s="431" t="s">
        <v>190</v>
      </c>
      <c r="H722" s="431"/>
      <c r="I722" s="59"/>
      <c r="J722" s="260">
        <f t="shared" si="0"/>
        <v>1</v>
      </c>
      <c r="K722" s="61"/>
    </row>
    <row r="723" spans="2:11" x14ac:dyDescent="0.2">
      <c r="B723" s="57"/>
      <c r="C723" s="196" t="s">
        <v>40</v>
      </c>
      <c r="D723" s="59"/>
      <c r="E723" s="59"/>
      <c r="F723" s="59"/>
      <c r="G723" s="431" t="s">
        <v>202</v>
      </c>
      <c r="H723" s="431"/>
      <c r="I723" s="59"/>
      <c r="J723" s="260">
        <f t="shared" si="0"/>
        <v>0</v>
      </c>
      <c r="K723" s="61"/>
    </row>
    <row r="724" spans="2:11" x14ac:dyDescent="0.2">
      <c r="B724" s="57"/>
      <c r="C724" s="196" t="s">
        <v>41</v>
      </c>
      <c r="D724" s="59"/>
      <c r="E724" s="59"/>
      <c r="F724" s="59"/>
      <c r="G724" s="431" t="s">
        <v>190</v>
      </c>
      <c r="H724" s="431"/>
      <c r="I724" s="59"/>
      <c r="J724" s="260">
        <f t="shared" si="0"/>
        <v>1</v>
      </c>
      <c r="K724" s="61"/>
    </row>
    <row r="725" spans="2:11" x14ac:dyDescent="0.2">
      <c r="B725" s="57"/>
      <c r="C725" s="196" t="s">
        <v>43</v>
      </c>
      <c r="D725" s="59"/>
      <c r="E725" s="59"/>
      <c r="F725" s="59"/>
      <c r="G725" s="431" t="s">
        <v>202</v>
      </c>
      <c r="H725" s="431"/>
      <c r="I725" s="59"/>
      <c r="J725" s="260">
        <f t="shared" si="0"/>
        <v>0</v>
      </c>
      <c r="K725" s="61"/>
    </row>
    <row r="726" spans="2:11" x14ac:dyDescent="0.2">
      <c r="B726" s="57"/>
      <c r="C726" s="59"/>
      <c r="D726" s="59"/>
      <c r="E726" s="59"/>
      <c r="F726" s="59"/>
      <c r="G726" s="59"/>
      <c r="H726" s="59"/>
      <c r="I726" s="59"/>
      <c r="J726" s="59"/>
      <c r="K726" s="61"/>
    </row>
    <row r="727" spans="2:11" x14ac:dyDescent="0.2">
      <c r="B727" s="57"/>
      <c r="C727" s="59"/>
      <c r="D727" s="59"/>
      <c r="E727" s="59"/>
      <c r="F727" s="59"/>
      <c r="G727" s="59"/>
      <c r="H727" s="59"/>
      <c r="I727" s="59"/>
      <c r="J727" s="59"/>
      <c r="K727" s="61"/>
    </row>
    <row r="728" spans="2:11" ht="16" x14ac:dyDescent="0.2">
      <c r="B728" s="57"/>
      <c r="C728" s="195" t="s">
        <v>115</v>
      </c>
      <c r="D728" s="59"/>
      <c r="E728" s="59"/>
      <c r="F728" s="59"/>
      <c r="G728" s="59"/>
      <c r="H728" s="59"/>
      <c r="I728" s="59"/>
      <c r="J728" s="59"/>
      <c r="K728" s="61"/>
    </row>
    <row r="729" spans="2:11" ht="15" customHeight="1" x14ac:dyDescent="0.2">
      <c r="B729" s="57"/>
      <c r="C729" s="411" t="s">
        <v>365</v>
      </c>
      <c r="D729" s="411"/>
      <c r="E729" s="411"/>
      <c r="F729" s="411"/>
      <c r="G729" s="411"/>
      <c r="H729" s="411"/>
      <c r="I729" s="411"/>
      <c r="J729" s="411"/>
      <c r="K729" s="61"/>
    </row>
    <row r="730" spans="2:11" x14ac:dyDescent="0.2">
      <c r="B730" s="57"/>
      <c r="C730" s="411"/>
      <c r="D730" s="411"/>
      <c r="E730" s="411"/>
      <c r="F730" s="411"/>
      <c r="G730" s="411"/>
      <c r="H730" s="411"/>
      <c r="I730" s="411"/>
      <c r="J730" s="411"/>
      <c r="K730" s="61"/>
    </row>
    <row r="731" spans="2:11" x14ac:dyDescent="0.2">
      <c r="B731" s="57"/>
      <c r="C731" s="411"/>
      <c r="D731" s="411"/>
      <c r="E731" s="411"/>
      <c r="F731" s="411"/>
      <c r="G731" s="411"/>
      <c r="H731" s="411"/>
      <c r="I731" s="411"/>
      <c r="J731" s="411"/>
      <c r="K731" s="61"/>
    </row>
    <row r="732" spans="2:11" x14ac:dyDescent="0.2">
      <c r="B732" s="57"/>
      <c r="C732" s="196" t="s">
        <v>30</v>
      </c>
      <c r="D732" s="59"/>
      <c r="E732" s="59"/>
      <c r="F732" s="59"/>
      <c r="G732" s="431" t="s">
        <v>190</v>
      </c>
      <c r="H732" s="431"/>
      <c r="I732" s="59"/>
      <c r="J732" s="260">
        <f>IF(G732=$B$994,$A$994,IF(G732=$B$995,$A$995,"Not Calculated"))</f>
        <v>1</v>
      </c>
      <c r="K732" s="61"/>
    </row>
    <row r="733" spans="2:11" x14ac:dyDescent="0.2">
      <c r="B733" s="57"/>
      <c r="C733" s="196" t="s">
        <v>32</v>
      </c>
      <c r="D733" s="59"/>
      <c r="E733" s="59"/>
      <c r="F733" s="59"/>
      <c r="G733" s="431" t="s">
        <v>190</v>
      </c>
      <c r="H733" s="431"/>
      <c r="I733" s="59"/>
      <c r="J733" s="260">
        <f t="shared" ref="J733:J740" si="1">IF(G733=$B$994,$A$994,IF(G733=$B$995,$A$995,"Not Calculated"))</f>
        <v>1</v>
      </c>
      <c r="K733" s="61"/>
    </row>
    <row r="734" spans="2:11" ht="15" customHeight="1" x14ac:dyDescent="0.2">
      <c r="B734" s="57"/>
      <c r="C734" s="196" t="s">
        <v>34</v>
      </c>
      <c r="D734" s="59"/>
      <c r="E734" s="59"/>
      <c r="F734" s="59"/>
      <c r="G734" s="431" t="s">
        <v>190</v>
      </c>
      <c r="H734" s="431"/>
      <c r="I734" s="59"/>
      <c r="J734" s="260">
        <f t="shared" si="1"/>
        <v>1</v>
      </c>
      <c r="K734" s="61"/>
    </row>
    <row r="735" spans="2:11" x14ac:dyDescent="0.2">
      <c r="B735" s="57"/>
      <c r="C735" s="196" t="s">
        <v>35</v>
      </c>
      <c r="D735" s="59"/>
      <c r="E735" s="59"/>
      <c r="F735" s="59"/>
      <c r="G735" s="431" t="s">
        <v>190</v>
      </c>
      <c r="H735" s="431"/>
      <c r="I735" s="59"/>
      <c r="J735" s="260">
        <f t="shared" si="1"/>
        <v>1</v>
      </c>
      <c r="K735" s="61"/>
    </row>
    <row r="736" spans="2:11" x14ac:dyDescent="0.2">
      <c r="B736" s="57"/>
      <c r="C736" s="196" t="s">
        <v>37</v>
      </c>
      <c r="D736" s="59"/>
      <c r="E736" s="59"/>
      <c r="F736" s="59"/>
      <c r="G736" s="431" t="s">
        <v>190</v>
      </c>
      <c r="H736" s="431"/>
      <c r="I736" s="59"/>
      <c r="J736" s="260">
        <f t="shared" si="1"/>
        <v>1</v>
      </c>
      <c r="K736" s="61"/>
    </row>
    <row r="737" spans="2:11" x14ac:dyDescent="0.2">
      <c r="B737" s="57"/>
      <c r="C737" s="196" t="s">
        <v>38</v>
      </c>
      <c r="D737" s="59"/>
      <c r="E737" s="59"/>
      <c r="F737" s="59"/>
      <c r="G737" s="431" t="s">
        <v>202</v>
      </c>
      <c r="H737" s="431"/>
      <c r="I737" s="59"/>
      <c r="J737" s="260">
        <f t="shared" si="1"/>
        <v>0</v>
      </c>
      <c r="K737" s="61"/>
    </row>
    <row r="738" spans="2:11" x14ac:dyDescent="0.2">
      <c r="B738" s="57"/>
      <c r="C738" s="196" t="s">
        <v>40</v>
      </c>
      <c r="D738" s="59"/>
      <c r="E738" s="59"/>
      <c r="F738" s="59"/>
      <c r="G738" s="431" t="s">
        <v>190</v>
      </c>
      <c r="H738" s="431"/>
      <c r="I738" s="59"/>
      <c r="J738" s="260">
        <f t="shared" si="1"/>
        <v>1</v>
      </c>
      <c r="K738" s="61"/>
    </row>
    <row r="739" spans="2:11" x14ac:dyDescent="0.2">
      <c r="B739" s="57"/>
      <c r="C739" s="196" t="s">
        <v>41</v>
      </c>
      <c r="D739" s="59"/>
      <c r="E739" s="59"/>
      <c r="F739" s="59"/>
      <c r="G739" s="431" t="s">
        <v>190</v>
      </c>
      <c r="H739" s="431"/>
      <c r="I739" s="59"/>
      <c r="J739" s="260">
        <f t="shared" si="1"/>
        <v>1</v>
      </c>
      <c r="K739" s="61"/>
    </row>
    <row r="740" spans="2:11" x14ac:dyDescent="0.2">
      <c r="B740" s="57"/>
      <c r="C740" s="196" t="s">
        <v>43</v>
      </c>
      <c r="D740" s="59"/>
      <c r="E740" s="59"/>
      <c r="F740" s="59"/>
      <c r="G740" s="431" t="s">
        <v>190</v>
      </c>
      <c r="H740" s="431"/>
      <c r="I740" s="59"/>
      <c r="J740" s="260">
        <f t="shared" si="1"/>
        <v>1</v>
      </c>
      <c r="K740" s="61"/>
    </row>
    <row r="741" spans="2:11" x14ac:dyDescent="0.2">
      <c r="B741" s="57"/>
      <c r="C741" s="59"/>
      <c r="D741" s="59"/>
      <c r="E741" s="59"/>
      <c r="F741" s="59"/>
      <c r="G741" s="59"/>
      <c r="H741" s="59"/>
      <c r="I741" s="59"/>
      <c r="J741" s="59"/>
      <c r="K741" s="61"/>
    </row>
    <row r="742" spans="2:11" x14ac:dyDescent="0.2">
      <c r="B742" s="57"/>
      <c r="C742" s="59"/>
      <c r="D742" s="59"/>
      <c r="E742" s="59"/>
      <c r="F742" s="59"/>
      <c r="G742" s="59"/>
      <c r="H742" s="59"/>
      <c r="I742" s="59"/>
      <c r="J742" s="59"/>
      <c r="K742" s="61"/>
    </row>
    <row r="743" spans="2:11" ht="16" x14ac:dyDescent="0.2">
      <c r="B743" s="57"/>
      <c r="C743" s="195" t="s">
        <v>366</v>
      </c>
      <c r="D743" s="59"/>
      <c r="E743" s="59"/>
      <c r="F743" s="59"/>
      <c r="G743" s="59"/>
      <c r="H743" s="59"/>
      <c r="I743" s="59"/>
      <c r="J743" s="59"/>
      <c r="K743" s="61"/>
    </row>
    <row r="744" spans="2:11" ht="15" customHeight="1" x14ac:dyDescent="0.2">
      <c r="B744" s="57"/>
      <c r="C744" s="411" t="s">
        <v>367</v>
      </c>
      <c r="D744" s="411"/>
      <c r="E744" s="411"/>
      <c r="F744" s="411"/>
      <c r="G744" s="411"/>
      <c r="H744" s="411"/>
      <c r="I744" s="411"/>
      <c r="J744" s="411"/>
      <c r="K744" s="61"/>
    </row>
    <row r="745" spans="2:11" x14ac:dyDescent="0.2">
      <c r="B745" s="57"/>
      <c r="C745" s="411"/>
      <c r="D745" s="411"/>
      <c r="E745" s="411"/>
      <c r="F745" s="411"/>
      <c r="G745" s="411"/>
      <c r="H745" s="411"/>
      <c r="I745" s="411"/>
      <c r="J745" s="411"/>
      <c r="K745" s="61"/>
    </row>
    <row r="746" spans="2:11" x14ac:dyDescent="0.2">
      <c r="B746" s="57"/>
      <c r="C746" s="411"/>
      <c r="D746" s="411"/>
      <c r="E746" s="411"/>
      <c r="F746" s="411"/>
      <c r="G746" s="411"/>
      <c r="H746" s="411"/>
      <c r="I746" s="411"/>
      <c r="J746" s="411"/>
      <c r="K746" s="61"/>
    </row>
    <row r="747" spans="2:11" x14ac:dyDescent="0.2">
      <c r="B747" s="57"/>
      <c r="C747" s="196" t="s">
        <v>30</v>
      </c>
      <c r="D747" s="59"/>
      <c r="E747" s="59"/>
      <c r="F747" s="59"/>
      <c r="G747" s="431" t="s">
        <v>202</v>
      </c>
      <c r="H747" s="431"/>
      <c r="I747" s="59"/>
      <c r="J747" s="260">
        <f>IF(G747=$B$994,$A$994,IF(G747=$B$995,$A$995,"Not Calculated"))</f>
        <v>0</v>
      </c>
      <c r="K747" s="61"/>
    </row>
    <row r="748" spans="2:11" x14ac:dyDescent="0.2">
      <c r="B748" s="57"/>
      <c r="C748" s="196" t="s">
        <v>32</v>
      </c>
      <c r="D748" s="59"/>
      <c r="E748" s="59"/>
      <c r="F748" s="59"/>
      <c r="G748" s="431" t="s">
        <v>190</v>
      </c>
      <c r="H748" s="431"/>
      <c r="I748" s="59"/>
      <c r="J748" s="260">
        <f t="shared" ref="J748:J755" si="2">IF(G748=$B$994,$A$994,IF(G748=$B$995,$A$995,"Not Calculated"))</f>
        <v>1</v>
      </c>
      <c r="K748" s="61"/>
    </row>
    <row r="749" spans="2:11" ht="15" customHeight="1" x14ac:dyDescent="0.2">
      <c r="B749" s="57"/>
      <c r="C749" s="196" t="s">
        <v>34</v>
      </c>
      <c r="D749" s="59"/>
      <c r="E749" s="59"/>
      <c r="F749" s="59"/>
      <c r="G749" s="431" t="s">
        <v>190</v>
      </c>
      <c r="H749" s="431"/>
      <c r="I749" s="59"/>
      <c r="J749" s="260">
        <f t="shared" si="2"/>
        <v>1</v>
      </c>
      <c r="K749" s="61"/>
    </row>
    <row r="750" spans="2:11" x14ac:dyDescent="0.2">
      <c r="B750" s="57"/>
      <c r="C750" s="196" t="s">
        <v>35</v>
      </c>
      <c r="D750" s="59"/>
      <c r="E750" s="59"/>
      <c r="F750" s="59"/>
      <c r="G750" s="431" t="s">
        <v>190</v>
      </c>
      <c r="H750" s="431"/>
      <c r="I750" s="59"/>
      <c r="J750" s="260">
        <f t="shared" si="2"/>
        <v>1</v>
      </c>
      <c r="K750" s="61"/>
    </row>
    <row r="751" spans="2:11" x14ac:dyDescent="0.2">
      <c r="B751" s="57"/>
      <c r="C751" s="196" t="s">
        <v>37</v>
      </c>
      <c r="D751" s="59"/>
      <c r="E751" s="59"/>
      <c r="F751" s="59"/>
      <c r="G751" s="431" t="s">
        <v>202</v>
      </c>
      <c r="H751" s="431"/>
      <c r="I751" s="59"/>
      <c r="J751" s="260">
        <f t="shared" si="2"/>
        <v>0</v>
      </c>
      <c r="K751" s="61"/>
    </row>
    <row r="752" spans="2:11" x14ac:dyDescent="0.2">
      <c r="B752" s="57"/>
      <c r="C752" s="196" t="s">
        <v>38</v>
      </c>
      <c r="D752" s="59"/>
      <c r="E752" s="59"/>
      <c r="F752" s="59"/>
      <c r="G752" s="431" t="s">
        <v>190</v>
      </c>
      <c r="H752" s="431"/>
      <c r="I752" s="59"/>
      <c r="J752" s="260">
        <f t="shared" si="2"/>
        <v>1</v>
      </c>
      <c r="K752" s="61"/>
    </row>
    <row r="753" spans="2:11" x14ac:dyDescent="0.2">
      <c r="B753" s="57"/>
      <c r="C753" s="196" t="s">
        <v>40</v>
      </c>
      <c r="D753" s="59"/>
      <c r="E753" s="59"/>
      <c r="F753" s="59"/>
      <c r="G753" s="431" t="s">
        <v>190</v>
      </c>
      <c r="H753" s="431"/>
      <c r="I753" s="59"/>
      <c r="J753" s="260">
        <f t="shared" si="2"/>
        <v>1</v>
      </c>
      <c r="K753" s="61"/>
    </row>
    <row r="754" spans="2:11" x14ac:dyDescent="0.2">
      <c r="B754" s="57"/>
      <c r="C754" s="196" t="s">
        <v>41</v>
      </c>
      <c r="D754" s="59"/>
      <c r="E754" s="59"/>
      <c r="F754" s="59"/>
      <c r="G754" s="431" t="s">
        <v>190</v>
      </c>
      <c r="H754" s="431"/>
      <c r="I754" s="59"/>
      <c r="J754" s="260">
        <f t="shared" si="2"/>
        <v>1</v>
      </c>
      <c r="K754" s="61"/>
    </row>
    <row r="755" spans="2:11" x14ac:dyDescent="0.2">
      <c r="B755" s="57"/>
      <c r="C755" s="196" t="s">
        <v>43</v>
      </c>
      <c r="D755" s="59"/>
      <c r="E755" s="59"/>
      <c r="F755" s="59"/>
      <c r="G755" s="431" t="s">
        <v>190</v>
      </c>
      <c r="H755" s="431"/>
      <c r="I755" s="59"/>
      <c r="J755" s="260">
        <f t="shared" si="2"/>
        <v>1</v>
      </c>
      <c r="K755" s="61"/>
    </row>
    <row r="756" spans="2:11" x14ac:dyDescent="0.2">
      <c r="B756" s="57"/>
      <c r="C756" s="59"/>
      <c r="D756" s="59"/>
      <c r="E756" s="59"/>
      <c r="F756" s="59"/>
      <c r="G756" s="59"/>
      <c r="H756" s="59"/>
      <c r="I756" s="59"/>
      <c r="J756" s="59"/>
      <c r="K756" s="61"/>
    </row>
    <row r="757" spans="2:11" x14ac:dyDescent="0.2">
      <c r="B757" s="57"/>
      <c r="C757" s="59"/>
      <c r="D757" s="59"/>
      <c r="E757" s="59"/>
      <c r="F757" s="59"/>
      <c r="G757" s="59"/>
      <c r="H757" s="59"/>
      <c r="I757" s="59"/>
      <c r="J757" s="59"/>
      <c r="K757" s="61"/>
    </row>
    <row r="758" spans="2:11" ht="16" x14ac:dyDescent="0.2">
      <c r="B758" s="57"/>
      <c r="C758" s="195" t="s">
        <v>368</v>
      </c>
      <c r="D758" s="59"/>
      <c r="E758" s="59"/>
      <c r="F758" s="59"/>
      <c r="G758" s="59"/>
      <c r="H758" s="59"/>
      <c r="I758" s="59"/>
      <c r="J758" s="59"/>
      <c r="K758" s="61"/>
    </row>
    <row r="759" spans="2:11" ht="15" customHeight="1" x14ac:dyDescent="0.2">
      <c r="B759" s="57"/>
      <c r="C759" s="411" t="s">
        <v>369</v>
      </c>
      <c r="D759" s="411"/>
      <c r="E759" s="411"/>
      <c r="F759" s="411"/>
      <c r="G759" s="411"/>
      <c r="H759" s="411"/>
      <c r="I759" s="411"/>
      <c r="J759" s="411"/>
      <c r="K759" s="61"/>
    </row>
    <row r="760" spans="2:11" x14ac:dyDescent="0.2">
      <c r="B760" s="57"/>
      <c r="C760" s="411"/>
      <c r="D760" s="411"/>
      <c r="E760" s="411"/>
      <c r="F760" s="411"/>
      <c r="G760" s="411"/>
      <c r="H760" s="411"/>
      <c r="I760" s="411"/>
      <c r="J760" s="411"/>
      <c r="K760" s="61"/>
    </row>
    <row r="761" spans="2:11" x14ac:dyDescent="0.2">
      <c r="B761" s="57"/>
      <c r="C761" s="411"/>
      <c r="D761" s="411"/>
      <c r="E761" s="411"/>
      <c r="F761" s="411"/>
      <c r="G761" s="411"/>
      <c r="H761" s="411"/>
      <c r="I761" s="411"/>
      <c r="J761" s="411"/>
      <c r="K761" s="61"/>
    </row>
    <row r="762" spans="2:11" x14ac:dyDescent="0.2">
      <c r="B762" s="57"/>
      <c r="C762" s="196" t="s">
        <v>30</v>
      </c>
      <c r="D762" s="59"/>
      <c r="E762" s="59"/>
      <c r="F762" s="59"/>
      <c r="G762" s="431" t="s">
        <v>190</v>
      </c>
      <c r="H762" s="431"/>
      <c r="I762" s="59"/>
      <c r="J762" s="260">
        <f>IF(G762=$B$994,$A$994,IF(G762=$B$995,$A$995,"Not Calculated"))</f>
        <v>1</v>
      </c>
      <c r="K762" s="61"/>
    </row>
    <row r="763" spans="2:11" x14ac:dyDescent="0.2">
      <c r="B763" s="57"/>
      <c r="C763" s="196" t="s">
        <v>32</v>
      </c>
      <c r="D763" s="59"/>
      <c r="E763" s="59"/>
      <c r="F763" s="59"/>
      <c r="G763" s="431" t="s">
        <v>190</v>
      </c>
      <c r="H763" s="431"/>
      <c r="I763" s="59"/>
      <c r="J763" s="260">
        <f t="shared" ref="J763:J770" si="3">IF(G763=$B$994,$A$994,IF(G763=$B$995,$A$995,"Not Calculated"))</f>
        <v>1</v>
      </c>
      <c r="K763" s="61"/>
    </row>
    <row r="764" spans="2:11" ht="15" customHeight="1" x14ac:dyDescent="0.2">
      <c r="B764" s="57"/>
      <c r="C764" s="196" t="s">
        <v>34</v>
      </c>
      <c r="D764" s="59"/>
      <c r="E764" s="59"/>
      <c r="F764" s="59"/>
      <c r="G764" s="431" t="s">
        <v>190</v>
      </c>
      <c r="H764" s="431"/>
      <c r="I764" s="59"/>
      <c r="J764" s="260">
        <f t="shared" si="3"/>
        <v>1</v>
      </c>
      <c r="K764" s="61"/>
    </row>
    <row r="765" spans="2:11" x14ac:dyDescent="0.2">
      <c r="B765" s="57"/>
      <c r="C765" s="196" t="s">
        <v>35</v>
      </c>
      <c r="D765" s="59"/>
      <c r="E765" s="59"/>
      <c r="F765" s="59"/>
      <c r="G765" s="431" t="s">
        <v>190</v>
      </c>
      <c r="H765" s="431"/>
      <c r="I765" s="59"/>
      <c r="J765" s="260">
        <f t="shared" si="3"/>
        <v>1</v>
      </c>
      <c r="K765" s="61"/>
    </row>
    <row r="766" spans="2:11" x14ac:dyDescent="0.2">
      <c r="B766" s="57"/>
      <c r="C766" s="196" t="s">
        <v>37</v>
      </c>
      <c r="D766" s="59"/>
      <c r="E766" s="59"/>
      <c r="F766" s="59"/>
      <c r="G766" s="431" t="s">
        <v>190</v>
      </c>
      <c r="H766" s="431"/>
      <c r="I766" s="59"/>
      <c r="J766" s="260">
        <f t="shared" si="3"/>
        <v>1</v>
      </c>
      <c r="K766" s="61"/>
    </row>
    <row r="767" spans="2:11" x14ac:dyDescent="0.2">
      <c r="B767" s="57"/>
      <c r="C767" s="196" t="s">
        <v>38</v>
      </c>
      <c r="D767" s="59"/>
      <c r="E767" s="59"/>
      <c r="F767" s="59"/>
      <c r="G767" s="431" t="s">
        <v>190</v>
      </c>
      <c r="H767" s="431"/>
      <c r="I767" s="59"/>
      <c r="J767" s="260">
        <f t="shared" si="3"/>
        <v>1</v>
      </c>
      <c r="K767" s="61"/>
    </row>
    <row r="768" spans="2:11" x14ac:dyDescent="0.2">
      <c r="B768" s="57"/>
      <c r="C768" s="196" t="s">
        <v>40</v>
      </c>
      <c r="D768" s="59"/>
      <c r="E768" s="59"/>
      <c r="F768" s="59"/>
      <c r="G768" s="431" t="s">
        <v>190</v>
      </c>
      <c r="H768" s="431"/>
      <c r="I768" s="59"/>
      <c r="J768" s="260">
        <f t="shared" si="3"/>
        <v>1</v>
      </c>
      <c r="K768" s="61"/>
    </row>
    <row r="769" spans="2:11" x14ac:dyDescent="0.2">
      <c r="B769" s="57"/>
      <c r="C769" s="196" t="s">
        <v>41</v>
      </c>
      <c r="D769" s="59"/>
      <c r="E769" s="59"/>
      <c r="F769" s="59"/>
      <c r="G769" s="431" t="s">
        <v>190</v>
      </c>
      <c r="H769" s="431"/>
      <c r="I769" s="59"/>
      <c r="J769" s="260">
        <f t="shared" si="3"/>
        <v>1</v>
      </c>
      <c r="K769" s="61"/>
    </row>
    <row r="770" spans="2:11" x14ac:dyDescent="0.2">
      <c r="B770" s="57"/>
      <c r="C770" s="196" t="s">
        <v>43</v>
      </c>
      <c r="D770" s="59"/>
      <c r="E770" s="59"/>
      <c r="F770" s="59"/>
      <c r="G770" s="431" t="s">
        <v>190</v>
      </c>
      <c r="H770" s="431"/>
      <c r="I770" s="59"/>
      <c r="J770" s="260">
        <f t="shared" si="3"/>
        <v>1</v>
      </c>
      <c r="K770" s="61"/>
    </row>
    <row r="771" spans="2:11" x14ac:dyDescent="0.2">
      <c r="B771" s="57"/>
      <c r="C771" s="59"/>
      <c r="D771" s="59"/>
      <c r="E771" s="59"/>
      <c r="F771" s="59"/>
      <c r="G771" s="59"/>
      <c r="H771" s="59"/>
      <c r="I771" s="59"/>
      <c r="J771" s="59"/>
      <c r="K771" s="61"/>
    </row>
    <row r="772" spans="2:11" x14ac:dyDescent="0.2">
      <c r="B772" s="57"/>
      <c r="C772" s="59"/>
      <c r="D772" s="59"/>
      <c r="E772" s="59"/>
      <c r="F772" s="59"/>
      <c r="G772" s="59"/>
      <c r="H772" s="59"/>
      <c r="I772" s="59"/>
      <c r="J772" s="59"/>
      <c r="K772" s="61"/>
    </row>
    <row r="773" spans="2:11" ht="16" x14ac:dyDescent="0.2">
      <c r="B773" s="57"/>
      <c r="C773" s="197" t="s">
        <v>30</v>
      </c>
      <c r="D773" s="59"/>
      <c r="E773" s="59"/>
      <c r="F773" s="59"/>
      <c r="G773" s="59"/>
      <c r="H773" s="59"/>
      <c r="I773" s="59"/>
      <c r="J773" s="59"/>
      <c r="K773" s="61"/>
    </row>
    <row r="774" spans="2:11" x14ac:dyDescent="0.2">
      <c r="B774" s="57"/>
      <c r="C774" s="59"/>
      <c r="D774" s="59" t="s">
        <v>370</v>
      </c>
      <c r="E774" s="59"/>
      <c r="F774" s="59"/>
      <c r="G774" s="59"/>
      <c r="H774" s="59"/>
      <c r="I774" s="59"/>
      <c r="J774" s="60">
        <f>'Baseline At-Risk Pops'!H8</f>
        <v>0</v>
      </c>
      <c r="K774" s="61"/>
    </row>
    <row r="775" spans="2:11" x14ac:dyDescent="0.2">
      <c r="B775" s="57"/>
      <c r="C775" s="59"/>
      <c r="D775" s="59" t="s">
        <v>371</v>
      </c>
      <c r="E775" s="59"/>
      <c r="F775" s="59"/>
      <c r="G775" s="59"/>
      <c r="H775" s="59"/>
      <c r="I775" s="59"/>
      <c r="J775" s="60">
        <f>SUM(J717,J732,J747,J762)</f>
        <v>3</v>
      </c>
      <c r="K775" s="61"/>
    </row>
    <row r="776" spans="2:11" x14ac:dyDescent="0.2">
      <c r="B776" s="57"/>
      <c r="C776" s="59"/>
      <c r="D776" s="196" t="s">
        <v>372</v>
      </c>
      <c r="E776" s="59"/>
      <c r="F776" s="59"/>
      <c r="G776" s="59"/>
      <c r="H776" s="59"/>
      <c r="I776" s="59"/>
      <c r="J776" s="60">
        <f>AVERAGE(J774,J775)</f>
        <v>1.5</v>
      </c>
      <c r="K776" s="61"/>
    </row>
    <row r="777" spans="2:11" ht="16" x14ac:dyDescent="0.2">
      <c r="B777" s="57"/>
      <c r="C777" s="197" t="s">
        <v>32</v>
      </c>
      <c r="D777" s="59"/>
      <c r="E777" s="59"/>
      <c r="F777" s="59"/>
      <c r="G777" s="59"/>
      <c r="H777" s="59"/>
      <c r="I777" s="59"/>
      <c r="J777" s="60"/>
      <c r="K777" s="61"/>
    </row>
    <row r="778" spans="2:11" x14ac:dyDescent="0.2">
      <c r="B778" s="57"/>
      <c r="C778" s="59"/>
      <c r="D778" s="59" t="s">
        <v>370</v>
      </c>
      <c r="E778" s="59"/>
      <c r="F778" s="59"/>
      <c r="G778" s="59"/>
      <c r="H778" s="59"/>
      <c r="I778" s="59"/>
      <c r="J778" s="60">
        <f>'Baseline At-Risk Pops'!H14</f>
        <v>0</v>
      </c>
      <c r="K778" s="61"/>
    </row>
    <row r="779" spans="2:11" ht="15" customHeight="1" x14ac:dyDescent="0.2">
      <c r="B779" s="57"/>
      <c r="C779" s="59"/>
      <c r="D779" s="59" t="s">
        <v>371</v>
      </c>
      <c r="E779" s="59"/>
      <c r="F779" s="59"/>
      <c r="G779" s="59"/>
      <c r="H779" s="59"/>
      <c r="I779" s="59"/>
      <c r="J779" s="60">
        <f>SUM(J718,J733,J748,J763)</f>
        <v>4</v>
      </c>
      <c r="K779" s="61"/>
    </row>
    <row r="780" spans="2:11" x14ac:dyDescent="0.2">
      <c r="B780" s="57"/>
      <c r="C780" s="59"/>
      <c r="D780" s="196" t="s">
        <v>372</v>
      </c>
      <c r="E780" s="59"/>
      <c r="F780" s="59"/>
      <c r="G780" s="59"/>
      <c r="H780" s="59"/>
      <c r="I780" s="59"/>
      <c r="J780" s="60">
        <f>AVERAGE(J778,J779)</f>
        <v>2</v>
      </c>
      <c r="K780" s="61"/>
    </row>
    <row r="781" spans="2:11" ht="16" x14ac:dyDescent="0.2">
      <c r="B781" s="57"/>
      <c r="C781" s="197" t="s">
        <v>34</v>
      </c>
      <c r="D781" s="59"/>
      <c r="E781" s="59"/>
      <c r="F781" s="59"/>
      <c r="G781" s="59"/>
      <c r="H781" s="59"/>
      <c r="I781" s="59"/>
      <c r="J781" s="60"/>
      <c r="K781" s="61"/>
    </row>
    <row r="782" spans="2:11" ht="16" x14ac:dyDescent="0.2">
      <c r="B782" s="57"/>
      <c r="C782" s="197"/>
      <c r="D782" s="59" t="s">
        <v>370</v>
      </c>
      <c r="E782" s="59"/>
      <c r="F782" s="59"/>
      <c r="G782" s="59"/>
      <c r="H782" s="59"/>
      <c r="I782" s="59"/>
      <c r="J782" s="60">
        <f>'Baseline At-Risk Pops'!H21</f>
        <v>0</v>
      </c>
      <c r="K782" s="61"/>
    </row>
    <row r="783" spans="2:11" x14ac:dyDescent="0.2">
      <c r="B783" s="57"/>
      <c r="C783" s="59"/>
      <c r="D783" s="59" t="s">
        <v>371</v>
      </c>
      <c r="E783" s="59"/>
      <c r="F783" s="59"/>
      <c r="G783" s="59"/>
      <c r="H783" s="59"/>
      <c r="I783" s="59"/>
      <c r="J783" s="60">
        <f>SUM(J719,J734,J749,J764)</f>
        <v>3</v>
      </c>
      <c r="K783" s="61"/>
    </row>
    <row r="784" spans="2:11" x14ac:dyDescent="0.2">
      <c r="B784" s="57"/>
      <c r="C784" s="59"/>
      <c r="D784" s="196" t="s">
        <v>372</v>
      </c>
      <c r="E784" s="59"/>
      <c r="F784" s="59"/>
      <c r="G784" s="59"/>
      <c r="H784" s="59"/>
      <c r="I784" s="59"/>
      <c r="J784" s="60">
        <f>AVERAGE(J782,J783)</f>
        <v>1.5</v>
      </c>
      <c r="K784" s="61"/>
    </row>
    <row r="785" spans="2:11" ht="16" x14ac:dyDescent="0.2">
      <c r="B785" s="57"/>
      <c r="C785" s="197" t="s">
        <v>35</v>
      </c>
      <c r="D785" s="59"/>
      <c r="E785" s="59"/>
      <c r="F785" s="59"/>
      <c r="G785" s="59"/>
      <c r="H785" s="59"/>
      <c r="I785" s="59"/>
      <c r="J785" s="60"/>
      <c r="K785" s="61"/>
    </row>
    <row r="786" spans="2:11" x14ac:dyDescent="0.2">
      <c r="B786" s="57"/>
      <c r="C786" s="59"/>
      <c r="D786" s="59" t="s">
        <v>370</v>
      </c>
      <c r="E786" s="59"/>
      <c r="F786" s="59"/>
      <c r="G786" s="59"/>
      <c r="H786" s="59"/>
      <c r="I786" s="59"/>
      <c r="J786" s="60">
        <f>'Baseline At-Risk Pops'!H27</f>
        <v>0</v>
      </c>
      <c r="K786" s="61"/>
    </row>
    <row r="787" spans="2:11" x14ac:dyDescent="0.2">
      <c r="B787" s="57"/>
      <c r="C787" s="59"/>
      <c r="D787" s="59" t="s">
        <v>371</v>
      </c>
      <c r="E787" s="59"/>
      <c r="F787" s="59"/>
      <c r="G787" s="59"/>
      <c r="H787" s="59"/>
      <c r="I787" s="59"/>
      <c r="J787" s="60">
        <f>SUM(J720,J735,J750,J765)</f>
        <v>4</v>
      </c>
      <c r="K787" s="61"/>
    </row>
    <row r="788" spans="2:11" x14ac:dyDescent="0.2">
      <c r="B788" s="57"/>
      <c r="C788" s="59"/>
      <c r="D788" s="196" t="s">
        <v>372</v>
      </c>
      <c r="E788" s="59"/>
      <c r="F788" s="59"/>
      <c r="G788" s="59"/>
      <c r="H788" s="59"/>
      <c r="I788" s="59"/>
      <c r="J788" s="60">
        <f>AVERAGE(J786,J787)</f>
        <v>2</v>
      </c>
      <c r="K788" s="61"/>
    </row>
    <row r="789" spans="2:11" ht="16" x14ac:dyDescent="0.2">
      <c r="B789" s="57"/>
      <c r="C789" s="197" t="s">
        <v>37</v>
      </c>
      <c r="D789" s="59"/>
      <c r="E789" s="59"/>
      <c r="F789" s="59"/>
      <c r="G789" s="59"/>
      <c r="H789" s="59"/>
      <c r="I789" s="59"/>
      <c r="J789" s="60"/>
      <c r="K789" s="61"/>
    </row>
    <row r="790" spans="2:11" x14ac:dyDescent="0.2">
      <c r="B790" s="57"/>
      <c r="C790" s="59"/>
      <c r="D790" s="59" t="s">
        <v>370</v>
      </c>
      <c r="E790" s="59"/>
      <c r="F790" s="59"/>
      <c r="G790" s="59"/>
      <c r="H790" s="59"/>
      <c r="I790" s="59"/>
      <c r="J790" s="60">
        <f>'Baseline At-Risk Pops'!H34</f>
        <v>0</v>
      </c>
      <c r="K790" s="61"/>
    </row>
    <row r="791" spans="2:11" x14ac:dyDescent="0.2">
      <c r="B791" s="57"/>
      <c r="C791" s="59"/>
      <c r="D791" s="59" t="s">
        <v>371</v>
      </c>
      <c r="E791" s="59"/>
      <c r="F791" s="59"/>
      <c r="G791" s="59"/>
      <c r="H791" s="59"/>
      <c r="I791" s="59"/>
      <c r="J791" s="60">
        <f>SUM(J721,J736,J751,J766)</f>
        <v>3</v>
      </c>
      <c r="K791" s="61"/>
    </row>
    <row r="792" spans="2:11" x14ac:dyDescent="0.2">
      <c r="B792" s="57"/>
      <c r="C792" s="59"/>
      <c r="D792" s="196" t="s">
        <v>372</v>
      </c>
      <c r="E792" s="59"/>
      <c r="F792" s="59"/>
      <c r="G792" s="59"/>
      <c r="H792" s="59"/>
      <c r="I792" s="59"/>
      <c r="J792" s="60">
        <f>AVERAGE(J790,J791)</f>
        <v>1.5</v>
      </c>
      <c r="K792" s="61"/>
    </row>
    <row r="793" spans="2:11" ht="16" x14ac:dyDescent="0.2">
      <c r="B793" s="57"/>
      <c r="C793" s="197" t="s">
        <v>38</v>
      </c>
      <c r="D793" s="59"/>
      <c r="E793" s="59"/>
      <c r="F793" s="59"/>
      <c r="G793" s="59"/>
      <c r="H793" s="59"/>
      <c r="I793" s="59"/>
      <c r="J793" s="60"/>
      <c r="K793" s="61"/>
    </row>
    <row r="794" spans="2:11" x14ac:dyDescent="0.2">
      <c r="B794" s="57"/>
      <c r="C794" s="59"/>
      <c r="D794" s="59" t="s">
        <v>370</v>
      </c>
      <c r="E794" s="59"/>
      <c r="F794" s="59"/>
      <c r="G794" s="59"/>
      <c r="H794" s="59"/>
      <c r="I794" s="59"/>
      <c r="J794" s="60">
        <f>'Baseline At-Risk Pops'!H40</f>
        <v>0</v>
      </c>
      <c r="K794" s="61"/>
    </row>
    <row r="795" spans="2:11" x14ac:dyDescent="0.2">
      <c r="B795" s="57"/>
      <c r="C795" s="59"/>
      <c r="D795" s="59" t="s">
        <v>371</v>
      </c>
      <c r="E795" s="59"/>
      <c r="F795" s="59"/>
      <c r="G795" s="59"/>
      <c r="H795" s="59"/>
      <c r="I795" s="59"/>
      <c r="J795" s="60">
        <f>SUM(J722,J737,J752,J767)</f>
        <v>3</v>
      </c>
      <c r="K795" s="61"/>
    </row>
    <row r="796" spans="2:11" x14ac:dyDescent="0.2">
      <c r="B796" s="57"/>
      <c r="C796" s="59"/>
      <c r="D796" s="196" t="s">
        <v>372</v>
      </c>
      <c r="E796" s="59"/>
      <c r="F796" s="59"/>
      <c r="G796" s="59"/>
      <c r="H796" s="59"/>
      <c r="I796" s="59"/>
      <c r="J796" s="60">
        <f>AVERAGE(J794,J795)</f>
        <v>1.5</v>
      </c>
      <c r="K796" s="61"/>
    </row>
    <row r="797" spans="2:11" ht="16" x14ac:dyDescent="0.2">
      <c r="B797" s="57"/>
      <c r="C797" s="197" t="s">
        <v>40</v>
      </c>
      <c r="D797" s="59"/>
      <c r="E797" s="59"/>
      <c r="F797" s="59"/>
      <c r="G797" s="59"/>
      <c r="H797" s="59"/>
      <c r="I797" s="59"/>
      <c r="J797" s="60"/>
      <c r="K797" s="61"/>
    </row>
    <row r="798" spans="2:11" x14ac:dyDescent="0.2">
      <c r="B798" s="57"/>
      <c r="C798" s="59"/>
      <c r="D798" s="59" t="s">
        <v>370</v>
      </c>
      <c r="E798" s="59"/>
      <c r="F798" s="59"/>
      <c r="G798" s="59"/>
      <c r="H798" s="59"/>
      <c r="I798" s="59"/>
      <c r="J798" s="60">
        <f>'Baseline At-Risk Pops'!H46</f>
        <v>0</v>
      </c>
      <c r="K798" s="61"/>
    </row>
    <row r="799" spans="2:11" x14ac:dyDescent="0.2">
      <c r="B799" s="57"/>
      <c r="C799" s="59"/>
      <c r="D799" s="59" t="s">
        <v>371</v>
      </c>
      <c r="E799" s="59"/>
      <c r="F799" s="59"/>
      <c r="G799" s="59"/>
      <c r="H799" s="59"/>
      <c r="I799" s="59"/>
      <c r="J799" s="60">
        <f>SUM(J723,J738,J753,J768)</f>
        <v>3</v>
      </c>
      <c r="K799" s="61"/>
    </row>
    <row r="800" spans="2:11" x14ac:dyDescent="0.2">
      <c r="B800" s="57"/>
      <c r="C800" s="59"/>
      <c r="D800" s="196" t="s">
        <v>372</v>
      </c>
      <c r="E800" s="59"/>
      <c r="F800" s="59"/>
      <c r="G800" s="59"/>
      <c r="H800" s="59"/>
      <c r="I800" s="59"/>
      <c r="J800" s="60">
        <f>AVERAGE(J798,J799)</f>
        <v>1.5</v>
      </c>
      <c r="K800" s="61"/>
    </row>
    <row r="801" spans="2:11" ht="16" x14ac:dyDescent="0.2">
      <c r="B801" s="57"/>
      <c r="C801" s="197" t="s">
        <v>41</v>
      </c>
      <c r="D801" s="59"/>
      <c r="E801" s="59"/>
      <c r="F801" s="59"/>
      <c r="G801" s="59"/>
      <c r="H801" s="59"/>
      <c r="I801" s="59"/>
      <c r="J801" s="60"/>
      <c r="K801" s="61"/>
    </row>
    <row r="802" spans="2:11" ht="16" x14ac:dyDescent="0.2">
      <c r="B802" s="57"/>
      <c r="C802" s="197"/>
      <c r="D802" s="59" t="s">
        <v>370</v>
      </c>
      <c r="E802" s="59"/>
      <c r="F802" s="59"/>
      <c r="G802" s="59"/>
      <c r="H802" s="59"/>
      <c r="I802" s="59"/>
      <c r="J802" s="60">
        <f>'Baseline At-Risk Pops'!H52</f>
        <v>0</v>
      </c>
      <c r="K802" s="61"/>
    </row>
    <row r="803" spans="2:11" x14ac:dyDescent="0.2">
      <c r="B803" s="57"/>
      <c r="C803" s="59"/>
      <c r="D803" s="59" t="s">
        <v>371</v>
      </c>
      <c r="E803" s="59"/>
      <c r="F803" s="59"/>
      <c r="G803" s="59"/>
      <c r="H803" s="59"/>
      <c r="I803" s="59"/>
      <c r="J803" s="60">
        <f>SUM(J724,J739,J754,J769)</f>
        <v>4</v>
      </c>
      <c r="K803" s="61"/>
    </row>
    <row r="804" spans="2:11" x14ac:dyDescent="0.2">
      <c r="B804" s="57"/>
      <c r="C804" s="59"/>
      <c r="D804" s="196" t="s">
        <v>372</v>
      </c>
      <c r="E804" s="59"/>
      <c r="F804" s="59"/>
      <c r="G804" s="59"/>
      <c r="H804" s="59"/>
      <c r="I804" s="59"/>
      <c r="J804" s="60">
        <f>AVERAGE(J802,J803)</f>
        <v>2</v>
      </c>
      <c r="K804" s="61"/>
    </row>
    <row r="805" spans="2:11" ht="16" x14ac:dyDescent="0.2">
      <c r="B805" s="57"/>
      <c r="C805" s="197" t="s">
        <v>43</v>
      </c>
      <c r="D805" s="59"/>
      <c r="E805" s="59"/>
      <c r="F805" s="59"/>
      <c r="G805" s="59"/>
      <c r="H805" s="59"/>
      <c r="I805" s="59"/>
      <c r="J805" s="60"/>
      <c r="K805" s="61"/>
    </row>
    <row r="806" spans="2:11" x14ac:dyDescent="0.2">
      <c r="B806" s="57"/>
      <c r="C806" s="59"/>
      <c r="D806" s="59" t="s">
        <v>370</v>
      </c>
      <c r="E806" s="59"/>
      <c r="F806" s="59"/>
      <c r="G806" s="59"/>
      <c r="H806" s="59"/>
      <c r="I806" s="59"/>
      <c r="J806" s="60">
        <f>'Baseline At-Risk Pops'!H58</f>
        <v>0</v>
      </c>
      <c r="K806" s="61"/>
    </row>
    <row r="807" spans="2:11" x14ac:dyDescent="0.2">
      <c r="B807" s="57"/>
      <c r="C807" s="59"/>
      <c r="D807" s="59" t="s">
        <v>371</v>
      </c>
      <c r="E807" s="59"/>
      <c r="F807" s="59"/>
      <c r="G807" s="59"/>
      <c r="H807" s="59"/>
      <c r="I807" s="59"/>
      <c r="J807" s="60">
        <f>SUM(J725,J740,J755,J770)</f>
        <v>3</v>
      </c>
      <c r="K807" s="61"/>
    </row>
    <row r="808" spans="2:11" x14ac:dyDescent="0.2">
      <c r="B808" s="57"/>
      <c r="C808" s="59"/>
      <c r="D808" s="196" t="s">
        <v>372</v>
      </c>
      <c r="E808" s="59"/>
      <c r="F808" s="59"/>
      <c r="G808" s="59"/>
      <c r="H808" s="59"/>
      <c r="I808" s="59"/>
      <c r="J808" s="60">
        <f>AVERAGE(J806,J807)</f>
        <v>1.5</v>
      </c>
      <c r="K808" s="61"/>
    </row>
    <row r="809" spans="2:11" x14ac:dyDescent="0.2">
      <c r="B809" s="57"/>
      <c r="C809" s="59"/>
      <c r="D809" s="59"/>
      <c r="E809" s="59"/>
      <c r="F809" s="59"/>
      <c r="G809" s="59"/>
      <c r="H809" s="59"/>
      <c r="I809" s="59"/>
      <c r="J809" s="59"/>
      <c r="K809" s="61"/>
    </row>
    <row r="810" spans="2:11" x14ac:dyDescent="0.2">
      <c r="B810" s="57"/>
      <c r="C810" s="59"/>
      <c r="D810" s="59"/>
      <c r="E810" s="59"/>
      <c r="F810" s="59"/>
      <c r="G810" s="59"/>
      <c r="H810" s="59"/>
      <c r="I810" s="59"/>
      <c r="J810" s="59"/>
      <c r="K810" s="61"/>
    </row>
    <row r="811" spans="2:11" ht="16" x14ac:dyDescent="0.2">
      <c r="B811" s="57"/>
      <c r="C811" s="198" t="s">
        <v>373</v>
      </c>
      <c r="D811" s="59"/>
      <c r="E811" s="59"/>
      <c r="F811" s="59"/>
      <c r="G811" s="59"/>
      <c r="H811" s="59"/>
      <c r="I811" s="59"/>
      <c r="J811" s="261">
        <f>AVERAGE(J776,J780,J784,J788,J792,J796,J800,J804,J808)</f>
        <v>1.6666666666666667</v>
      </c>
      <c r="K811" s="61"/>
    </row>
    <row r="812" spans="2:11" ht="16" thickBot="1" x14ac:dyDescent="0.25">
      <c r="B812" s="73"/>
      <c r="C812" s="74"/>
      <c r="D812" s="74"/>
      <c r="E812" s="74"/>
      <c r="F812" s="74"/>
      <c r="G812" s="74"/>
      <c r="H812" s="74"/>
      <c r="I812" s="74"/>
      <c r="J812" s="74"/>
      <c r="K812" s="76"/>
    </row>
    <row r="813" spans="2:11" ht="16" thickBot="1" x14ac:dyDescent="0.25"/>
    <row r="814" spans="2:11" x14ac:dyDescent="0.2">
      <c r="B814" s="199"/>
      <c r="C814" s="200"/>
      <c r="D814" s="200"/>
      <c r="E814" s="200"/>
      <c r="F814" s="200"/>
      <c r="G814" s="200"/>
      <c r="H814" s="200"/>
      <c r="I814" s="200"/>
      <c r="J814" s="200"/>
      <c r="K814" s="201"/>
    </row>
    <row r="815" spans="2:11" ht="21" x14ac:dyDescent="0.25">
      <c r="B815" s="202"/>
      <c r="C815" s="203"/>
      <c r="D815" s="203"/>
      <c r="E815" s="203"/>
      <c r="F815" s="203"/>
      <c r="G815" s="204" t="s">
        <v>233</v>
      </c>
      <c r="H815" s="203"/>
      <c r="I815" s="203"/>
      <c r="J815" s="203"/>
      <c r="K815" s="205"/>
    </row>
    <row r="816" spans="2:11" x14ac:dyDescent="0.2">
      <c r="B816" s="202"/>
      <c r="C816" s="203"/>
      <c r="D816" s="203"/>
      <c r="E816" s="203"/>
      <c r="F816" s="203"/>
      <c r="G816" s="203"/>
      <c r="H816" s="203"/>
      <c r="I816" s="203"/>
      <c r="J816" s="203"/>
      <c r="K816" s="205"/>
    </row>
    <row r="817" spans="2:11" ht="16" x14ac:dyDescent="0.2">
      <c r="B817" s="202"/>
      <c r="C817" s="206" t="s">
        <v>992</v>
      </c>
      <c r="D817" s="203"/>
      <c r="E817" s="203"/>
      <c r="F817" s="203"/>
      <c r="G817" s="203"/>
      <c r="H817" s="203"/>
      <c r="I817" s="203"/>
      <c r="J817" s="262" t="str">
        <f>IF(J700="Not Calculated","Not Calculated",J700*(($J$811/4)+1))</f>
        <v>Not Calculated</v>
      </c>
      <c r="K817" s="205"/>
    </row>
    <row r="818" spans="2:11" x14ac:dyDescent="0.2">
      <c r="B818" s="202"/>
      <c r="C818" s="203"/>
      <c r="D818" s="203" t="s">
        <v>1119</v>
      </c>
      <c r="E818" s="203"/>
      <c r="F818" s="203"/>
      <c r="G818" s="203"/>
      <c r="H818" s="203"/>
      <c r="I818" s="203"/>
      <c r="J818" s="203"/>
      <c r="K818" s="205"/>
    </row>
    <row r="819" spans="2:11" x14ac:dyDescent="0.2">
      <c r="B819" s="202"/>
      <c r="C819" s="203"/>
      <c r="D819" s="203"/>
      <c r="E819" s="203"/>
      <c r="F819" s="203"/>
      <c r="G819" s="203"/>
      <c r="H819" s="203"/>
      <c r="I819" s="203"/>
      <c r="J819" s="203"/>
      <c r="K819" s="205"/>
    </row>
    <row r="820" spans="2:11" ht="16" x14ac:dyDescent="0.2">
      <c r="B820" s="202"/>
      <c r="C820" s="206" t="s">
        <v>993</v>
      </c>
      <c r="D820" s="203"/>
      <c r="E820" s="203"/>
      <c r="F820" s="203"/>
      <c r="G820" s="203"/>
      <c r="H820" s="203"/>
      <c r="I820" s="203"/>
      <c r="J820" s="262" t="str">
        <f>IF(J703="Not Calculated","Not Calculated",J703*(($J$811/4)+1))</f>
        <v>Not Calculated</v>
      </c>
      <c r="K820" s="205"/>
    </row>
    <row r="821" spans="2:11" x14ac:dyDescent="0.2">
      <c r="B821" s="202"/>
      <c r="C821" s="203"/>
      <c r="D821" s="203" t="s">
        <v>1120</v>
      </c>
      <c r="E821" s="203"/>
      <c r="F821" s="203"/>
      <c r="G821" s="203"/>
      <c r="H821" s="203"/>
      <c r="I821" s="203"/>
      <c r="J821" s="203"/>
      <c r="K821" s="205"/>
    </row>
    <row r="822" spans="2:11" x14ac:dyDescent="0.2">
      <c r="B822" s="202"/>
      <c r="C822" s="203"/>
      <c r="D822" s="203"/>
      <c r="E822" s="203"/>
      <c r="F822" s="203"/>
      <c r="G822" s="203"/>
      <c r="H822" s="203"/>
      <c r="I822" s="203"/>
      <c r="J822" s="203"/>
      <c r="K822" s="205"/>
    </row>
    <row r="823" spans="2:11" ht="16" x14ac:dyDescent="0.2">
      <c r="B823" s="202"/>
      <c r="C823" s="206" t="s">
        <v>994</v>
      </c>
      <c r="D823" s="203"/>
      <c r="E823" s="203"/>
      <c r="F823" s="203"/>
      <c r="G823" s="203"/>
      <c r="H823" s="203"/>
      <c r="I823" s="203"/>
      <c r="J823" s="262" t="str">
        <f>IF(J706="Not Calculated","Not Calculated",J706*(($J$811/4)+1))</f>
        <v>Not Calculated</v>
      </c>
      <c r="K823" s="205"/>
    </row>
    <row r="824" spans="2:11" x14ac:dyDescent="0.2">
      <c r="B824" s="202"/>
      <c r="C824" s="203"/>
      <c r="D824" s="203" t="s">
        <v>1121</v>
      </c>
      <c r="E824" s="203"/>
      <c r="F824" s="203"/>
      <c r="G824" s="203"/>
      <c r="H824" s="203"/>
      <c r="I824" s="203"/>
      <c r="J824" s="203"/>
      <c r="K824" s="205"/>
    </row>
    <row r="825" spans="2:11" ht="16" thickBot="1" x14ac:dyDescent="0.25">
      <c r="B825" s="207"/>
      <c r="C825" s="208"/>
      <c r="D825" s="208"/>
      <c r="E825" s="208"/>
      <c r="F825" s="208"/>
      <c r="G825" s="208"/>
      <c r="H825" s="208"/>
      <c r="I825" s="208"/>
      <c r="J825" s="208"/>
      <c r="K825" s="209"/>
    </row>
    <row r="826" spans="2:11" ht="16" thickBot="1" x14ac:dyDescent="0.25"/>
    <row r="827" spans="2:11" x14ac:dyDescent="0.2">
      <c r="B827" s="77"/>
      <c r="C827" s="78"/>
      <c r="D827" s="78"/>
      <c r="E827" s="78"/>
      <c r="F827" s="78"/>
      <c r="G827" s="78"/>
      <c r="H827" s="78"/>
      <c r="I827" s="78"/>
      <c r="J827" s="78"/>
      <c r="K827" s="80"/>
    </row>
    <row r="828" spans="2:11" ht="21" x14ac:dyDescent="0.25">
      <c r="B828" s="81"/>
      <c r="C828" s="85"/>
      <c r="D828" s="85"/>
      <c r="E828" s="85"/>
      <c r="F828" s="85"/>
      <c r="G828" s="210" t="s">
        <v>806</v>
      </c>
      <c r="H828" s="85"/>
      <c r="I828" s="85"/>
      <c r="J828" s="85"/>
      <c r="K828" s="87"/>
    </row>
    <row r="829" spans="2:11" x14ac:dyDescent="0.2">
      <c r="B829" s="81"/>
      <c r="C829" s="85"/>
      <c r="D829" s="85"/>
      <c r="E829" s="85"/>
      <c r="F829" s="85"/>
      <c r="G829" s="85"/>
      <c r="H829" s="85"/>
      <c r="I829" s="85"/>
      <c r="J829" s="85"/>
      <c r="K829" s="87"/>
    </row>
    <row r="830" spans="2:11" ht="15" customHeight="1" x14ac:dyDescent="0.2">
      <c r="B830" s="81"/>
      <c r="C830" s="424" t="s">
        <v>808</v>
      </c>
      <c r="D830" s="424"/>
      <c r="E830" s="424"/>
      <c r="F830" s="424"/>
      <c r="G830" s="424"/>
      <c r="H830" s="424"/>
      <c r="I830" s="424"/>
      <c r="J830" s="424"/>
      <c r="K830" s="87"/>
    </row>
    <row r="831" spans="2:11" x14ac:dyDescent="0.2">
      <c r="B831" s="81"/>
      <c r="C831" s="424"/>
      <c r="D831" s="424"/>
      <c r="E831" s="424"/>
      <c r="F831" s="424"/>
      <c r="G831" s="424"/>
      <c r="H831" s="424"/>
      <c r="I831" s="424"/>
      <c r="J831" s="424"/>
      <c r="K831" s="87"/>
    </row>
    <row r="832" spans="2:11" x14ac:dyDescent="0.2">
      <c r="B832" s="81"/>
      <c r="C832" s="85"/>
      <c r="D832" s="85"/>
      <c r="E832" s="85"/>
      <c r="F832" s="85"/>
      <c r="G832" s="85"/>
      <c r="H832" s="85"/>
      <c r="I832" s="85"/>
      <c r="J832" s="85"/>
      <c r="K832" s="87"/>
    </row>
    <row r="833" spans="2:11" ht="16" x14ac:dyDescent="0.2">
      <c r="B833" s="81"/>
      <c r="C833" s="211" t="s">
        <v>654</v>
      </c>
      <c r="D833" s="85"/>
      <c r="E833" s="85"/>
      <c r="F833" s="85"/>
      <c r="G833" s="85"/>
      <c r="H833" s="85"/>
      <c r="I833" s="85"/>
      <c r="J833" s="85"/>
      <c r="K833" s="87"/>
    </row>
    <row r="834" spans="2:11" x14ac:dyDescent="0.2">
      <c r="B834" s="81"/>
      <c r="C834" s="85" t="s">
        <v>380</v>
      </c>
      <c r="D834" s="85"/>
      <c r="E834" s="85"/>
      <c r="F834" s="85"/>
      <c r="G834" s="406" t="s">
        <v>234</v>
      </c>
      <c r="H834" s="407"/>
      <c r="I834" s="85"/>
      <c r="J834" s="83">
        <f>IF(G834=$B$998,$A$998,IF(G834=$B$999,$A$999,IF(G834=$B$1000,$A$1000,IF(G834=$B$1001,$A$1001,IF(G834=$B$1002,$A$1002,"Not Calculated")))))</f>
        <v>4</v>
      </c>
      <c r="K834" s="87"/>
    </row>
    <row r="835" spans="2:11" x14ac:dyDescent="0.2">
      <c r="B835" s="81"/>
      <c r="C835" s="85" t="s">
        <v>134</v>
      </c>
      <c r="D835" s="85"/>
      <c r="E835" s="85"/>
      <c r="F835" s="85"/>
      <c r="G835" s="85"/>
      <c r="H835" s="85"/>
      <c r="I835" s="85"/>
      <c r="J835" s="240">
        <f>'Baseline PHP'!J16</f>
        <v>0</v>
      </c>
      <c r="K835" s="87"/>
    </row>
    <row r="836" spans="2:11" x14ac:dyDescent="0.2">
      <c r="B836" s="81"/>
      <c r="C836" s="85"/>
      <c r="D836" s="85"/>
      <c r="E836" s="85"/>
      <c r="F836" s="85"/>
      <c r="G836" s="85"/>
      <c r="H836" s="85"/>
      <c r="I836" s="85"/>
      <c r="J836" s="85"/>
      <c r="K836" s="87"/>
    </row>
    <row r="837" spans="2:11" ht="16" x14ac:dyDescent="0.2">
      <c r="B837" s="81"/>
      <c r="C837" s="211" t="s">
        <v>655</v>
      </c>
      <c r="D837" s="85"/>
      <c r="E837" s="85"/>
      <c r="F837" s="85"/>
      <c r="G837" s="85"/>
      <c r="H837" s="85"/>
      <c r="I837" s="85"/>
      <c r="J837" s="85"/>
      <c r="K837" s="87"/>
    </row>
    <row r="838" spans="2:11" x14ac:dyDescent="0.2">
      <c r="B838" s="81"/>
      <c r="C838" s="85" t="s">
        <v>380</v>
      </c>
      <c r="D838" s="85"/>
      <c r="E838" s="85"/>
      <c r="F838" s="85"/>
      <c r="G838" s="406" t="s">
        <v>234</v>
      </c>
      <c r="H838" s="407"/>
      <c r="I838" s="85"/>
      <c r="J838" s="83">
        <f>IF(G838=$B$998,$A$998,IF(G838=$B$999,$A$999,IF(G838=$B$1000,$A$1000,IF(G838=$B$1001,$A$1001,IF(G838=$B$1002,$A$1002,"Not Calculated")))))</f>
        <v>4</v>
      </c>
      <c r="K838" s="87"/>
    </row>
    <row r="839" spans="2:11" x14ac:dyDescent="0.2">
      <c r="B839" s="81"/>
      <c r="C839" s="85" t="s">
        <v>134</v>
      </c>
      <c r="D839" s="85"/>
      <c r="E839" s="85"/>
      <c r="F839" s="85"/>
      <c r="G839" s="85"/>
      <c r="H839" s="85"/>
      <c r="I839" s="85"/>
      <c r="J839" s="240">
        <f>'Baseline PHP'!J28</f>
        <v>0</v>
      </c>
      <c r="K839" s="87"/>
    </row>
    <row r="840" spans="2:11" x14ac:dyDescent="0.2">
      <c r="B840" s="81"/>
      <c r="C840" s="85"/>
      <c r="D840" s="85"/>
      <c r="E840" s="85"/>
      <c r="F840" s="85"/>
      <c r="G840" s="85"/>
      <c r="H840" s="85"/>
      <c r="I840" s="85"/>
      <c r="J840" s="85"/>
      <c r="K840" s="87"/>
    </row>
    <row r="841" spans="2:11" ht="16" x14ac:dyDescent="0.2">
      <c r="B841" s="81"/>
      <c r="C841" s="211" t="s">
        <v>645</v>
      </c>
      <c r="D841" s="85"/>
      <c r="E841" s="85"/>
      <c r="F841" s="85"/>
      <c r="G841" s="85"/>
      <c r="H841" s="85"/>
      <c r="I841" s="85"/>
      <c r="J841" s="85"/>
      <c r="K841" s="87"/>
    </row>
    <row r="842" spans="2:11" x14ac:dyDescent="0.2">
      <c r="B842" s="81"/>
      <c r="C842" s="85" t="s">
        <v>380</v>
      </c>
      <c r="D842" s="85"/>
      <c r="E842" s="85"/>
      <c r="F842" s="85"/>
      <c r="G842" s="406" t="s">
        <v>234</v>
      </c>
      <c r="H842" s="407"/>
      <c r="I842" s="85"/>
      <c r="J842" s="83">
        <f>IF(G842=$B$998,$A$998,IF(G842=$B$999,$A$999,IF(G842=$B$1000,$A$1000,IF(G842=$B$1001,$A$1001,IF(G842=$B$1002,$A$1002,"Not Calculated")))))</f>
        <v>4</v>
      </c>
      <c r="K842" s="87"/>
    </row>
    <row r="843" spans="2:11" x14ac:dyDescent="0.2">
      <c r="B843" s="81"/>
      <c r="C843" s="85" t="s">
        <v>134</v>
      </c>
      <c r="D843" s="85"/>
      <c r="E843" s="85"/>
      <c r="F843" s="85"/>
      <c r="G843" s="85"/>
      <c r="H843" s="85"/>
      <c r="I843" s="85"/>
      <c r="J843" s="240">
        <f>'Baseline PHP'!J44</f>
        <v>0</v>
      </c>
      <c r="K843" s="87"/>
    </row>
    <row r="844" spans="2:11" x14ac:dyDescent="0.2">
      <c r="B844" s="81"/>
      <c r="C844" s="85"/>
      <c r="D844" s="85"/>
      <c r="E844" s="85"/>
      <c r="F844" s="85"/>
      <c r="G844" s="85"/>
      <c r="H844" s="85"/>
      <c r="I844" s="85"/>
      <c r="J844" s="85"/>
      <c r="K844" s="87"/>
    </row>
    <row r="845" spans="2:11" ht="16" x14ac:dyDescent="0.2">
      <c r="B845" s="81"/>
      <c r="C845" s="211" t="s">
        <v>646</v>
      </c>
      <c r="D845" s="85"/>
      <c r="E845" s="85"/>
      <c r="F845" s="85"/>
      <c r="G845" s="85"/>
      <c r="H845" s="85"/>
      <c r="I845" s="85"/>
      <c r="J845" s="85"/>
      <c r="K845" s="87"/>
    </row>
    <row r="846" spans="2:11" x14ac:dyDescent="0.2">
      <c r="B846" s="81"/>
      <c r="C846" s="85" t="s">
        <v>380</v>
      </c>
      <c r="D846" s="85"/>
      <c r="E846" s="85"/>
      <c r="F846" s="85"/>
      <c r="G846" s="406" t="s">
        <v>234</v>
      </c>
      <c r="H846" s="407"/>
      <c r="I846" s="85"/>
      <c r="J846" s="83">
        <f>IF(G846=$B$998,$A$998,IF(G846=$B$999,$A$999,IF(G846=$B$1000,$A$1000,IF(G846=$B$1001,$A$1001,IF(G846=$B$1002,$A$1002,"Not Calculated")))))</f>
        <v>4</v>
      </c>
      <c r="K846" s="87"/>
    </row>
    <row r="847" spans="2:11" x14ac:dyDescent="0.2">
      <c r="B847" s="81"/>
      <c r="C847" s="85" t="s">
        <v>134</v>
      </c>
      <c r="D847" s="85"/>
      <c r="E847" s="85"/>
      <c r="F847" s="85"/>
      <c r="G847" s="85"/>
      <c r="H847" s="85"/>
      <c r="I847" s="85"/>
      <c r="J847" s="240">
        <f>'Baseline PHP'!J60</f>
        <v>0</v>
      </c>
      <c r="K847" s="87"/>
    </row>
    <row r="848" spans="2:11" x14ac:dyDescent="0.2">
      <c r="B848" s="81"/>
      <c r="C848" s="85"/>
      <c r="D848" s="85"/>
      <c r="E848" s="85"/>
      <c r="F848" s="85"/>
      <c r="G848" s="85"/>
      <c r="H848" s="85"/>
      <c r="I848" s="85"/>
      <c r="J848" s="85"/>
      <c r="K848" s="87"/>
    </row>
    <row r="849" spans="2:11" ht="16" x14ac:dyDescent="0.2">
      <c r="B849" s="81"/>
      <c r="C849" s="211" t="s">
        <v>648</v>
      </c>
      <c r="D849" s="85"/>
      <c r="E849" s="85"/>
      <c r="F849" s="85"/>
      <c r="G849" s="85"/>
      <c r="H849" s="85"/>
      <c r="I849" s="85"/>
      <c r="J849" s="85"/>
      <c r="K849" s="87"/>
    </row>
    <row r="850" spans="2:11" ht="15" customHeight="1" x14ac:dyDescent="0.2">
      <c r="B850" s="81"/>
      <c r="C850" s="85" t="s">
        <v>380</v>
      </c>
      <c r="D850" s="85"/>
      <c r="E850" s="85"/>
      <c r="F850" s="85"/>
      <c r="G850" s="406" t="s">
        <v>234</v>
      </c>
      <c r="H850" s="407"/>
      <c r="I850" s="85"/>
      <c r="J850" s="83">
        <f>IF(G850=$B$998,$A$998,IF(G850=$B$999,$A$999,IF(G850=$B$1000,$A$1000,IF(G850=$B$1001,$A$1001,IF(G850=$B$1002,$A$1002,"Not Calculated")))))</f>
        <v>4</v>
      </c>
      <c r="K850" s="87"/>
    </row>
    <row r="851" spans="2:11" x14ac:dyDescent="0.2">
      <c r="B851" s="81"/>
      <c r="C851" s="85" t="s">
        <v>134</v>
      </c>
      <c r="D851" s="85"/>
      <c r="E851" s="85"/>
      <c r="F851" s="85"/>
      <c r="G851" s="85"/>
      <c r="H851" s="85"/>
      <c r="I851" s="85"/>
      <c r="J851" s="240">
        <f>'Baseline PHP'!J76</f>
        <v>0</v>
      </c>
      <c r="K851" s="87"/>
    </row>
    <row r="852" spans="2:11" x14ac:dyDescent="0.2">
      <c r="B852" s="81"/>
      <c r="C852" s="85"/>
      <c r="D852" s="85"/>
      <c r="E852" s="85"/>
      <c r="F852" s="85"/>
      <c r="G852" s="85"/>
      <c r="H852" s="85"/>
      <c r="I852" s="85"/>
      <c r="J852" s="85"/>
      <c r="K852" s="87"/>
    </row>
    <row r="853" spans="2:11" ht="16" x14ac:dyDescent="0.2">
      <c r="B853" s="81"/>
      <c r="C853" s="211" t="s">
        <v>647</v>
      </c>
      <c r="D853" s="85"/>
      <c r="E853" s="85"/>
      <c r="F853" s="85"/>
      <c r="G853" s="85"/>
      <c r="H853" s="85"/>
      <c r="I853" s="85"/>
      <c r="J853" s="85"/>
      <c r="K853" s="87"/>
    </row>
    <row r="854" spans="2:11" x14ac:dyDescent="0.2">
      <c r="B854" s="81"/>
      <c r="C854" s="85" t="s">
        <v>380</v>
      </c>
      <c r="D854" s="85"/>
      <c r="E854" s="85"/>
      <c r="F854" s="85"/>
      <c r="G854" s="406" t="s">
        <v>234</v>
      </c>
      <c r="H854" s="407"/>
      <c r="I854" s="85"/>
      <c r="J854" s="83">
        <f>IF(G854=$B$998,$A$998,IF(G854=$B$999,$A$999,IF(G854=$B$1000,$A$1000,IF(G854=$B$1001,$A$1001,IF(G854=$B$1002,$A$1002,"Not Calculated")))))</f>
        <v>4</v>
      </c>
      <c r="K854" s="87"/>
    </row>
    <row r="855" spans="2:11" x14ac:dyDescent="0.2">
      <c r="B855" s="81"/>
      <c r="C855" s="85" t="s">
        <v>134</v>
      </c>
      <c r="D855" s="85"/>
      <c r="E855" s="85"/>
      <c r="F855" s="85"/>
      <c r="G855" s="85"/>
      <c r="H855" s="85"/>
      <c r="I855" s="85"/>
      <c r="J855" s="240">
        <f>'Baseline PHP'!J88</f>
        <v>0</v>
      </c>
      <c r="K855" s="87"/>
    </row>
    <row r="856" spans="2:11" x14ac:dyDescent="0.2">
      <c r="B856" s="81"/>
      <c r="C856" s="85"/>
      <c r="D856" s="85"/>
      <c r="E856" s="85"/>
      <c r="F856" s="85"/>
      <c r="G856" s="85"/>
      <c r="H856" s="85"/>
      <c r="I856" s="85"/>
      <c r="J856" s="85"/>
      <c r="K856" s="87"/>
    </row>
    <row r="857" spans="2:11" ht="16" x14ac:dyDescent="0.2">
      <c r="B857" s="81"/>
      <c r="C857" s="211" t="s">
        <v>115</v>
      </c>
      <c r="D857" s="85"/>
      <c r="E857" s="85"/>
      <c r="F857" s="85"/>
      <c r="G857" s="85"/>
      <c r="H857" s="85"/>
      <c r="I857" s="85"/>
      <c r="J857" s="85"/>
      <c r="K857" s="87"/>
    </row>
    <row r="858" spans="2:11" x14ac:dyDescent="0.2">
      <c r="B858" s="81"/>
      <c r="C858" s="85" t="s">
        <v>380</v>
      </c>
      <c r="D858" s="85"/>
      <c r="E858" s="85"/>
      <c r="F858" s="85"/>
      <c r="G858" s="406" t="s">
        <v>238</v>
      </c>
      <c r="H858" s="407"/>
      <c r="I858" s="85"/>
      <c r="J858" s="83">
        <f>IF(G858=$B$998,$A$998,IF(G858=$B$999,$A$999,IF(G858=$B$1000,$A$1000,IF(G858=$B$1001,$A$1001,IF(G858=$B$1002,$A$1002,"Not Calculated")))))</f>
        <v>3</v>
      </c>
      <c r="K858" s="87"/>
    </row>
    <row r="859" spans="2:11" x14ac:dyDescent="0.2">
      <c r="B859" s="81"/>
      <c r="C859" s="85" t="s">
        <v>134</v>
      </c>
      <c r="D859" s="85"/>
      <c r="E859" s="85"/>
      <c r="F859" s="85"/>
      <c r="G859" s="85"/>
      <c r="H859" s="85"/>
      <c r="I859" s="85"/>
      <c r="J859" s="240">
        <f>'Baseline PHP'!J102</f>
        <v>0</v>
      </c>
      <c r="K859" s="87"/>
    </row>
    <row r="860" spans="2:11" x14ac:dyDescent="0.2">
      <c r="B860" s="81"/>
      <c r="C860" s="85"/>
      <c r="D860" s="85"/>
      <c r="E860" s="85"/>
      <c r="F860" s="85"/>
      <c r="G860" s="85"/>
      <c r="H860" s="85"/>
      <c r="I860" s="85"/>
      <c r="J860" s="85"/>
      <c r="K860" s="87"/>
    </row>
    <row r="861" spans="2:11" ht="16" x14ac:dyDescent="0.2">
      <c r="B861" s="81"/>
      <c r="C861" s="211" t="s">
        <v>649</v>
      </c>
      <c r="D861" s="85"/>
      <c r="E861" s="85"/>
      <c r="F861" s="85"/>
      <c r="G861" s="85"/>
      <c r="H861" s="85"/>
      <c r="I861" s="85"/>
      <c r="J861" s="85"/>
      <c r="K861" s="87"/>
    </row>
    <row r="862" spans="2:11" x14ac:dyDescent="0.2">
      <c r="B862" s="81"/>
      <c r="C862" s="85" t="s">
        <v>380</v>
      </c>
      <c r="D862" s="85"/>
      <c r="E862" s="85"/>
      <c r="F862" s="85"/>
      <c r="G862" s="406" t="s">
        <v>234</v>
      </c>
      <c r="H862" s="407"/>
      <c r="I862" s="85"/>
      <c r="J862" s="83">
        <f>IF(G862=$B$998,$A$998,IF(G862=$B$999,$A$999,IF(G862=$B$1000,$A$1000,IF(G862=$B$1001,$A$1001,IF(G862=$B$1002,$A$1002,"Not Calculated")))))</f>
        <v>4</v>
      </c>
      <c r="K862" s="87"/>
    </row>
    <row r="863" spans="2:11" x14ac:dyDescent="0.2">
      <c r="B863" s="81"/>
      <c r="C863" s="85" t="s">
        <v>134</v>
      </c>
      <c r="D863" s="85"/>
      <c r="E863" s="85"/>
      <c r="F863" s="85"/>
      <c r="G863" s="85"/>
      <c r="H863" s="85"/>
      <c r="I863" s="85"/>
      <c r="J863" s="240">
        <f>'Baseline PHP'!J118</f>
        <v>0</v>
      </c>
      <c r="K863" s="87"/>
    </row>
    <row r="864" spans="2:11" x14ac:dyDescent="0.2">
      <c r="B864" s="81"/>
      <c r="C864" s="85"/>
      <c r="D864" s="85"/>
      <c r="E864" s="85"/>
      <c r="F864" s="85"/>
      <c r="G864" s="85"/>
      <c r="H864" s="85"/>
      <c r="I864" s="85"/>
      <c r="J864" s="85"/>
      <c r="K864" s="87"/>
    </row>
    <row r="865" spans="2:11" ht="16" x14ac:dyDescent="0.2">
      <c r="B865" s="81"/>
      <c r="C865" s="211" t="s">
        <v>656</v>
      </c>
      <c r="D865" s="85"/>
      <c r="E865" s="85"/>
      <c r="F865" s="85"/>
      <c r="G865" s="85"/>
      <c r="H865" s="85"/>
      <c r="I865" s="85"/>
      <c r="J865" s="85"/>
      <c r="K865" s="87"/>
    </row>
    <row r="866" spans="2:11" x14ac:dyDescent="0.2">
      <c r="B866" s="81"/>
      <c r="C866" s="85" t="s">
        <v>380</v>
      </c>
      <c r="D866" s="85"/>
      <c r="E866" s="85"/>
      <c r="F866" s="85"/>
      <c r="G866" s="406" t="s">
        <v>234</v>
      </c>
      <c r="H866" s="407"/>
      <c r="I866" s="85"/>
      <c r="J866" s="83">
        <f>IF(G866=$B$998,$A$998,IF(G866=$B$999,$A$999,IF(G866=$B$1000,$A$1000,IF(G866=$B$1001,$A$1001,IF(G866=$B$1002,$A$1002,"Not Calculated")))))</f>
        <v>4</v>
      </c>
      <c r="K866" s="87"/>
    </row>
    <row r="867" spans="2:11" x14ac:dyDescent="0.2">
      <c r="B867" s="81"/>
      <c r="C867" s="85" t="s">
        <v>134</v>
      </c>
      <c r="D867" s="85"/>
      <c r="E867" s="85"/>
      <c r="F867" s="85"/>
      <c r="G867" s="85"/>
      <c r="H867" s="85"/>
      <c r="I867" s="85"/>
      <c r="J867" s="240">
        <f>'Baseline PHP'!J136</f>
        <v>0</v>
      </c>
      <c r="K867" s="87"/>
    </row>
    <row r="868" spans="2:11" x14ac:dyDescent="0.2">
      <c r="B868" s="81"/>
      <c r="C868" s="85"/>
      <c r="D868" s="85"/>
      <c r="E868" s="85"/>
      <c r="F868" s="85"/>
      <c r="G868" s="85"/>
      <c r="H868" s="85"/>
      <c r="I868" s="85"/>
      <c r="J868" s="85"/>
      <c r="K868" s="87"/>
    </row>
    <row r="869" spans="2:11" ht="16" x14ac:dyDescent="0.2">
      <c r="B869" s="81"/>
      <c r="C869" s="211" t="s">
        <v>121</v>
      </c>
      <c r="D869" s="85"/>
      <c r="E869" s="85"/>
      <c r="F869" s="85"/>
      <c r="G869" s="85"/>
      <c r="H869" s="85"/>
      <c r="I869" s="85"/>
      <c r="J869" s="85"/>
      <c r="K869" s="87"/>
    </row>
    <row r="870" spans="2:11" x14ac:dyDescent="0.2">
      <c r="B870" s="81"/>
      <c r="C870" s="85" t="s">
        <v>380</v>
      </c>
      <c r="D870" s="85"/>
      <c r="E870" s="85"/>
      <c r="F870" s="85"/>
      <c r="G870" s="406" t="s">
        <v>234</v>
      </c>
      <c r="H870" s="407"/>
      <c r="I870" s="85"/>
      <c r="J870" s="83">
        <f>IF(G870=$B$998,$A$998,IF(G870=$B$999,$A$999,IF(G870=$B$1000,$A$1000,IF(G870=$B$1001,$A$1001,IF(G870=$B$1002,$A$1002,"Not Calculated")))))</f>
        <v>4</v>
      </c>
      <c r="K870" s="87"/>
    </row>
    <row r="871" spans="2:11" x14ac:dyDescent="0.2">
      <c r="B871" s="81"/>
      <c r="C871" s="85" t="s">
        <v>134</v>
      </c>
      <c r="D871" s="85"/>
      <c r="E871" s="85"/>
      <c r="F871" s="85"/>
      <c r="G871" s="85"/>
      <c r="H871" s="85"/>
      <c r="I871" s="85"/>
      <c r="J871" s="240">
        <f>'Baseline PHP'!J150</f>
        <v>0</v>
      </c>
      <c r="K871" s="87"/>
    </row>
    <row r="872" spans="2:11" x14ac:dyDescent="0.2">
      <c r="B872" s="81"/>
      <c r="C872" s="85"/>
      <c r="D872" s="85"/>
      <c r="E872" s="85"/>
      <c r="F872" s="85"/>
      <c r="G872" s="85"/>
      <c r="H872" s="85"/>
      <c r="I872" s="85"/>
      <c r="J872" s="85"/>
      <c r="K872" s="87"/>
    </row>
    <row r="873" spans="2:11" ht="16" x14ac:dyDescent="0.2">
      <c r="B873" s="81"/>
      <c r="C873" s="211" t="s">
        <v>657</v>
      </c>
      <c r="D873" s="85"/>
      <c r="E873" s="85"/>
      <c r="F873" s="85"/>
      <c r="G873" s="85"/>
      <c r="H873" s="85"/>
      <c r="I873" s="85"/>
      <c r="J873" s="85"/>
      <c r="K873" s="87"/>
    </row>
    <row r="874" spans="2:11" x14ac:dyDescent="0.2">
      <c r="B874" s="81"/>
      <c r="C874" s="85" t="s">
        <v>380</v>
      </c>
      <c r="D874" s="85"/>
      <c r="E874" s="85"/>
      <c r="F874" s="85"/>
      <c r="G874" s="406" t="s">
        <v>238</v>
      </c>
      <c r="H874" s="407"/>
      <c r="I874" s="85"/>
      <c r="J874" s="83">
        <f>IF(G874=$B$998,$A$998,IF(G874=$B$999,$A$999,IF(G874=$B$1000,$A$1000,IF(G874=$B$1001,$A$1001,IF(G874=$B$1002,$A$1002,"Not Calculated")))))</f>
        <v>3</v>
      </c>
      <c r="K874" s="87"/>
    </row>
    <row r="875" spans="2:11" x14ac:dyDescent="0.2">
      <c r="B875" s="81"/>
      <c r="C875" s="85" t="s">
        <v>134</v>
      </c>
      <c r="D875" s="85"/>
      <c r="E875" s="85"/>
      <c r="F875" s="85"/>
      <c r="G875" s="85"/>
      <c r="H875" s="85"/>
      <c r="I875" s="85"/>
      <c r="J875" s="240">
        <f>'Baseline PHP'!J164</f>
        <v>0</v>
      </c>
      <c r="K875" s="87"/>
    </row>
    <row r="876" spans="2:11" x14ac:dyDescent="0.2">
      <c r="B876" s="81"/>
      <c r="C876" s="85"/>
      <c r="D876" s="85"/>
      <c r="E876" s="85"/>
      <c r="F876" s="85"/>
      <c r="G876" s="85"/>
      <c r="H876" s="85"/>
      <c r="I876" s="85"/>
      <c r="J876" s="85"/>
      <c r="K876" s="87"/>
    </row>
    <row r="877" spans="2:11" ht="16" x14ac:dyDescent="0.2">
      <c r="B877" s="81"/>
      <c r="C877" s="211" t="s">
        <v>650</v>
      </c>
      <c r="D877" s="85"/>
      <c r="E877" s="85"/>
      <c r="F877" s="85"/>
      <c r="G877" s="85"/>
      <c r="H877" s="85"/>
      <c r="I877" s="85"/>
      <c r="J877" s="85"/>
      <c r="K877" s="87"/>
    </row>
    <row r="878" spans="2:11" x14ac:dyDescent="0.2">
      <c r="B878" s="81"/>
      <c r="C878" s="85" t="s">
        <v>380</v>
      </c>
      <c r="D878" s="85"/>
      <c r="E878" s="85"/>
      <c r="F878" s="85"/>
      <c r="G878" s="406" t="s">
        <v>234</v>
      </c>
      <c r="H878" s="407"/>
      <c r="I878" s="85"/>
      <c r="J878" s="83">
        <f>IF(G878=$B$998,$A$998,IF(G878=$B$999,$A$999,IF(G878=$B$1000,$A$1000,IF(G878=$B$1001,$A$1001,IF(G878=$B$1002,$A$1002,"Not Calculated")))))</f>
        <v>4</v>
      </c>
      <c r="K878" s="87"/>
    </row>
    <row r="879" spans="2:11" x14ac:dyDescent="0.2">
      <c r="B879" s="81"/>
      <c r="C879" s="85" t="s">
        <v>134</v>
      </c>
      <c r="D879" s="85"/>
      <c r="E879" s="85"/>
      <c r="F879" s="85"/>
      <c r="G879" s="85"/>
      <c r="H879" s="85"/>
      <c r="I879" s="85"/>
      <c r="J879" s="240">
        <f>'Baseline PHP'!J180</f>
        <v>0</v>
      </c>
      <c r="K879" s="87"/>
    </row>
    <row r="880" spans="2:11" x14ac:dyDescent="0.2">
      <c r="B880" s="81"/>
      <c r="C880" s="85"/>
      <c r="D880" s="85"/>
      <c r="E880" s="85"/>
      <c r="F880" s="85"/>
      <c r="G880" s="85"/>
      <c r="H880" s="85"/>
      <c r="I880" s="85"/>
      <c r="J880" s="85"/>
      <c r="K880" s="87"/>
    </row>
    <row r="881" spans="2:11" ht="16" x14ac:dyDescent="0.2">
      <c r="B881" s="81"/>
      <c r="C881" s="211" t="s">
        <v>651</v>
      </c>
      <c r="D881" s="85"/>
      <c r="E881" s="85"/>
      <c r="F881" s="85"/>
      <c r="G881" s="85"/>
      <c r="H881" s="85"/>
      <c r="I881" s="85"/>
      <c r="J881" s="85"/>
      <c r="K881" s="87"/>
    </row>
    <row r="882" spans="2:11" x14ac:dyDescent="0.2">
      <c r="B882" s="81"/>
      <c r="C882" s="85" t="s">
        <v>380</v>
      </c>
      <c r="D882" s="85"/>
      <c r="E882" s="85"/>
      <c r="F882" s="85"/>
      <c r="G882" s="406" t="s">
        <v>238</v>
      </c>
      <c r="H882" s="407"/>
      <c r="I882" s="85"/>
      <c r="J882" s="83">
        <f>IF(G882=$B$998,$A$998,IF(G882=$B$999,$A$999,IF(G882=$B$1000,$A$1000,IF(G882=$B$1001,$A$1001,IF(G882=$B$1002,$A$1002,"Not Calculated")))))</f>
        <v>3</v>
      </c>
      <c r="K882" s="87"/>
    </row>
    <row r="883" spans="2:11" x14ac:dyDescent="0.2">
      <c r="B883" s="81"/>
      <c r="C883" s="85" t="s">
        <v>134</v>
      </c>
      <c r="D883" s="85"/>
      <c r="E883" s="85"/>
      <c r="F883" s="85"/>
      <c r="G883" s="85"/>
      <c r="H883" s="85"/>
      <c r="I883" s="85"/>
      <c r="J883" s="240">
        <f>'Baseline PHP'!J194</f>
        <v>0</v>
      </c>
      <c r="K883" s="87"/>
    </row>
    <row r="884" spans="2:11" x14ac:dyDescent="0.2">
      <c r="B884" s="81"/>
      <c r="C884" s="85"/>
      <c r="D884" s="85"/>
      <c r="E884" s="85"/>
      <c r="F884" s="85"/>
      <c r="G884" s="85"/>
      <c r="H884" s="85"/>
      <c r="I884" s="85"/>
      <c r="J884" s="85"/>
      <c r="K884" s="87"/>
    </row>
    <row r="885" spans="2:11" ht="16" x14ac:dyDescent="0.2">
      <c r="B885" s="81"/>
      <c r="C885" s="211" t="s">
        <v>652</v>
      </c>
      <c r="D885" s="85"/>
      <c r="E885" s="85"/>
      <c r="F885" s="85"/>
      <c r="G885" s="85"/>
      <c r="H885" s="85"/>
      <c r="I885" s="85"/>
      <c r="J885" s="85"/>
      <c r="K885" s="87"/>
    </row>
    <row r="886" spans="2:11" x14ac:dyDescent="0.2">
      <c r="B886" s="81"/>
      <c r="C886" s="85" t="s">
        <v>380</v>
      </c>
      <c r="D886" s="85"/>
      <c r="E886" s="85"/>
      <c r="F886" s="85"/>
      <c r="G886" s="406" t="s">
        <v>234</v>
      </c>
      <c r="H886" s="407"/>
      <c r="I886" s="85"/>
      <c r="J886" s="83">
        <f>IF(G886=$B$998,$A$998,IF(G886=$B$999,$A$999,IF(G886=$B$1000,$A$1000,IF(G886=$B$1001,$A$1001,IF(G886=$B$1002,$A$1002,"Not Calculated")))))</f>
        <v>4</v>
      </c>
      <c r="K886" s="87"/>
    </row>
    <row r="887" spans="2:11" x14ac:dyDescent="0.2">
      <c r="B887" s="81"/>
      <c r="C887" s="85" t="s">
        <v>134</v>
      </c>
      <c r="D887" s="85"/>
      <c r="E887" s="85"/>
      <c r="F887" s="85"/>
      <c r="G887" s="85"/>
      <c r="H887" s="85"/>
      <c r="I887" s="85"/>
      <c r="J887" s="240">
        <f>'Baseline PHP'!J208</f>
        <v>0</v>
      </c>
      <c r="K887" s="87"/>
    </row>
    <row r="888" spans="2:11" x14ac:dyDescent="0.2">
      <c r="B888" s="81"/>
      <c r="C888" s="85"/>
      <c r="D888" s="85"/>
      <c r="E888" s="85"/>
      <c r="F888" s="85"/>
      <c r="G888" s="85"/>
      <c r="H888" s="85"/>
      <c r="I888" s="85"/>
      <c r="J888" s="85"/>
      <c r="K888" s="87"/>
    </row>
    <row r="889" spans="2:11" ht="16" x14ac:dyDescent="0.2">
      <c r="B889" s="81"/>
      <c r="C889" s="211" t="s">
        <v>653</v>
      </c>
      <c r="D889" s="85"/>
      <c r="E889" s="85"/>
      <c r="F889" s="85"/>
      <c r="G889" s="85"/>
      <c r="H889" s="85"/>
      <c r="I889" s="85"/>
      <c r="J889" s="85"/>
      <c r="K889" s="87"/>
    </row>
    <row r="890" spans="2:11" x14ac:dyDescent="0.2">
      <c r="B890" s="81"/>
      <c r="C890" s="85" t="s">
        <v>380</v>
      </c>
      <c r="D890" s="85"/>
      <c r="E890" s="85"/>
      <c r="F890" s="85"/>
      <c r="G890" s="406" t="s">
        <v>238</v>
      </c>
      <c r="H890" s="407"/>
      <c r="I890" s="85"/>
      <c r="J890" s="83">
        <f>IF(G890=$B$998,$A$998,IF(G890=$B$999,$A$999,IF(G890=$B$1000,$A$1000,IF(G890=$B$1001,$A$1001,IF(G890=$B$1002,$A$1002,"Not Calculated")))))</f>
        <v>3</v>
      </c>
      <c r="K890" s="87"/>
    </row>
    <row r="891" spans="2:11" x14ac:dyDescent="0.2">
      <c r="B891" s="81"/>
      <c r="C891" s="85" t="s">
        <v>134</v>
      </c>
      <c r="D891" s="85"/>
      <c r="E891" s="85"/>
      <c r="F891" s="85"/>
      <c r="G891" s="85"/>
      <c r="H891" s="85"/>
      <c r="I891" s="85"/>
      <c r="J891" s="240">
        <f>'Baseline PHP'!J222</f>
        <v>0</v>
      </c>
      <c r="K891" s="87"/>
    </row>
    <row r="892" spans="2:11" x14ac:dyDescent="0.2">
      <c r="B892" s="81"/>
      <c r="C892" s="85"/>
      <c r="D892" s="85"/>
      <c r="E892" s="85"/>
      <c r="F892" s="85"/>
      <c r="G892" s="85"/>
      <c r="H892" s="85"/>
      <c r="I892" s="85"/>
      <c r="J892" s="85"/>
      <c r="K892" s="87"/>
    </row>
    <row r="893" spans="2:11" x14ac:dyDescent="0.2">
      <c r="B893" s="81"/>
      <c r="C893" s="85"/>
      <c r="D893" s="85"/>
      <c r="E893" s="85"/>
      <c r="F893" s="85"/>
      <c r="G893" s="85"/>
      <c r="H893" s="85"/>
      <c r="I893" s="85"/>
      <c r="J893" s="85"/>
      <c r="K893" s="87"/>
    </row>
    <row r="894" spans="2:11" ht="16" x14ac:dyDescent="0.2">
      <c r="B894" s="81"/>
      <c r="C894" s="212" t="s">
        <v>813</v>
      </c>
      <c r="D894" s="85"/>
      <c r="E894" s="85"/>
      <c r="F894" s="85"/>
      <c r="G894" s="85"/>
      <c r="H894" s="85"/>
      <c r="I894" s="85"/>
      <c r="J894" s="241">
        <f>IF(OR(J854="Not Calculated",J858="Not Calculated",J862="Not Calculated",J866="Not Calculated",J870="Not Calculated",J874="Not Calculated",J878="Not Calculated",J882="Not Calculated",J886="Not Calculated",J890="Not Calculated",J834="Not Calculated",J838="Not Calculated",J842="Not Calculated",J846="Not Calculated",J850="Not Calculated",J855="Not Calculated",J859="Not Calculated",J863="Not Calculated",J867="Not Calculated",J871="Not Calculated",J875="Not Calculated",J879="Not Calculated",J883="Not Calculated",J887="Not Calculated",J891="Not Calculated",J835="Not Calculated",J839="Not Calculated",J843="Not Calculated",J847="Not Calculated",J851="Not Calculated")=TRUE,"Not Calculated",((J834*J835)+(J838*J839)+(J842*J843)+(J846*J847)+(J850*J851)+(J854*J855)+(J858*J859)+(J862*J863)+(J866*J867)+(J870*J871)+(J874*J875)+(J878*J879)+(J882*J883)+(J886*J887)+(J890*J891))/(J834+J838+J842+J846+J850+J854+J858+J862+J866+J870+J874+J878+J882+J886+J890))</f>
        <v>0</v>
      </c>
      <c r="K894" s="87"/>
    </row>
    <row r="895" spans="2:11" ht="16" thickBot="1" x14ac:dyDescent="0.25">
      <c r="B895" s="213"/>
      <c r="C895" s="94"/>
      <c r="D895" s="94"/>
      <c r="E895" s="94"/>
      <c r="F895" s="94"/>
      <c r="G895" s="94"/>
      <c r="H895" s="94"/>
      <c r="I895" s="94"/>
      <c r="J895" s="94"/>
      <c r="K895" s="96"/>
    </row>
    <row r="896" spans="2:11" ht="16" thickBot="1" x14ac:dyDescent="0.25"/>
    <row r="897" spans="2:11" x14ac:dyDescent="0.2">
      <c r="B897" s="77"/>
      <c r="C897" s="78"/>
      <c r="D897" s="78"/>
      <c r="E897" s="78"/>
      <c r="F897" s="78"/>
      <c r="G897" s="78"/>
      <c r="H897" s="78"/>
      <c r="I897" s="78"/>
      <c r="J897" s="78"/>
      <c r="K897" s="80"/>
    </row>
    <row r="898" spans="2:11" ht="21" x14ac:dyDescent="0.25">
      <c r="B898" s="81"/>
      <c r="C898" s="85"/>
      <c r="D898" s="85"/>
      <c r="E898" s="85"/>
      <c r="F898" s="85"/>
      <c r="G898" s="210" t="s">
        <v>807</v>
      </c>
      <c r="H898" s="85"/>
      <c r="I898" s="85"/>
      <c r="J898" s="85"/>
      <c r="K898" s="87"/>
    </row>
    <row r="899" spans="2:11" x14ac:dyDescent="0.2">
      <c r="B899" s="81"/>
      <c r="C899" s="85"/>
      <c r="D899" s="85"/>
      <c r="E899" s="85"/>
      <c r="F899" s="85"/>
      <c r="G899" s="85"/>
      <c r="H899" s="85"/>
      <c r="I899" s="85"/>
      <c r="J899" s="85"/>
      <c r="K899" s="87"/>
    </row>
    <row r="900" spans="2:11" ht="15" customHeight="1" x14ac:dyDescent="0.2">
      <c r="B900" s="81"/>
      <c r="C900" s="424" t="s">
        <v>809</v>
      </c>
      <c r="D900" s="424"/>
      <c r="E900" s="424"/>
      <c r="F900" s="424"/>
      <c r="G900" s="424"/>
      <c r="H900" s="424"/>
      <c r="I900" s="424"/>
      <c r="J900" s="424"/>
      <c r="K900" s="87"/>
    </row>
    <row r="901" spans="2:11" x14ac:dyDescent="0.2">
      <c r="B901" s="81"/>
      <c r="C901" s="424"/>
      <c r="D901" s="424"/>
      <c r="E901" s="424"/>
      <c r="F901" s="424"/>
      <c r="G901" s="424"/>
      <c r="H901" s="424"/>
      <c r="I901" s="424"/>
      <c r="J901" s="424"/>
      <c r="K901" s="87"/>
    </row>
    <row r="902" spans="2:11" x14ac:dyDescent="0.2">
      <c r="B902" s="81"/>
      <c r="C902" s="85"/>
      <c r="D902" s="85"/>
      <c r="E902" s="85"/>
      <c r="F902" s="85"/>
      <c r="G902" s="85"/>
      <c r="H902" s="85"/>
      <c r="I902" s="85"/>
      <c r="J902" s="85"/>
      <c r="K902" s="87"/>
    </row>
    <row r="903" spans="2:11" ht="16" x14ac:dyDescent="0.2">
      <c r="B903" s="81"/>
      <c r="C903" s="211" t="s">
        <v>810</v>
      </c>
      <c r="D903" s="85"/>
      <c r="E903" s="85"/>
      <c r="F903" s="85"/>
      <c r="G903" s="85"/>
      <c r="H903" s="85"/>
      <c r="I903" s="85"/>
      <c r="J903" s="85"/>
      <c r="K903" s="87"/>
    </row>
    <row r="904" spans="2:11" x14ac:dyDescent="0.2">
      <c r="B904" s="81"/>
      <c r="C904" s="85" t="s">
        <v>380</v>
      </c>
      <c r="D904" s="85"/>
      <c r="E904" s="85"/>
      <c r="F904" s="85"/>
      <c r="G904" s="406" t="s">
        <v>234</v>
      </c>
      <c r="H904" s="407"/>
      <c r="I904" s="85"/>
      <c r="J904" s="83">
        <f>IF(G904=$B$998,$A$998,IF(G904=$B$999,$A$999,IF(G904=$B$1000,$A$1000,IF(G904=$B$1001,$A$1001,IF(G904=$B$1002,$A$1002,"Not Calculated")))))</f>
        <v>4</v>
      </c>
      <c r="K904" s="87"/>
    </row>
    <row r="905" spans="2:11" x14ac:dyDescent="0.2">
      <c r="B905" s="81"/>
      <c r="C905" s="85" t="s">
        <v>134</v>
      </c>
      <c r="D905" s="85"/>
      <c r="E905" s="85"/>
      <c r="F905" s="85"/>
      <c r="G905" s="85"/>
      <c r="H905" s="85"/>
      <c r="I905" s="85"/>
      <c r="J905" s="240">
        <f>'Baseline HP'!J22</f>
        <v>0</v>
      </c>
      <c r="K905" s="87"/>
    </row>
    <row r="906" spans="2:11" x14ac:dyDescent="0.2">
      <c r="B906" s="81"/>
      <c r="C906" s="85"/>
      <c r="D906" s="85"/>
      <c r="E906" s="85"/>
      <c r="F906" s="85"/>
      <c r="G906" s="85"/>
      <c r="H906" s="85"/>
      <c r="I906" s="85"/>
      <c r="J906" s="85"/>
      <c r="K906" s="87"/>
    </row>
    <row r="907" spans="2:11" ht="16" x14ac:dyDescent="0.2">
      <c r="B907" s="81"/>
      <c r="C907" s="211" t="s">
        <v>811</v>
      </c>
      <c r="D907" s="85"/>
      <c r="E907" s="85"/>
      <c r="F907" s="85"/>
      <c r="G907" s="85"/>
      <c r="H907" s="85"/>
      <c r="I907" s="85"/>
      <c r="J907" s="85"/>
      <c r="K907" s="87"/>
    </row>
    <row r="908" spans="2:11" x14ac:dyDescent="0.2">
      <c r="B908" s="81"/>
      <c r="C908" s="85" t="s">
        <v>380</v>
      </c>
      <c r="D908" s="85"/>
      <c r="E908" s="85"/>
      <c r="F908" s="85"/>
      <c r="G908" s="406" t="s">
        <v>234</v>
      </c>
      <c r="H908" s="407"/>
      <c r="I908" s="85"/>
      <c r="J908" s="83">
        <f>IF(G908=$B$998,$A$998,IF(G908=$B$999,$A$999,IF(G908=$B$1000,$A$1000,IF(G908=$B$1001,$A$1001,IF(G908=$B$1002,$A$1002,"Not Calculated")))))</f>
        <v>4</v>
      </c>
      <c r="K908" s="87"/>
    </row>
    <row r="909" spans="2:11" x14ac:dyDescent="0.2">
      <c r="B909" s="81"/>
      <c r="C909" s="85" t="s">
        <v>134</v>
      </c>
      <c r="D909" s="85"/>
      <c r="E909" s="85"/>
      <c r="F909" s="85"/>
      <c r="G909" s="85"/>
      <c r="H909" s="85"/>
      <c r="I909" s="85"/>
      <c r="J909" s="240">
        <f>'Baseline HP'!J32</f>
        <v>0</v>
      </c>
      <c r="K909" s="87"/>
    </row>
    <row r="910" spans="2:11" x14ac:dyDescent="0.2">
      <c r="B910" s="81"/>
      <c r="C910" s="85"/>
      <c r="D910" s="85"/>
      <c r="E910" s="85"/>
      <c r="F910" s="85"/>
      <c r="G910" s="85"/>
      <c r="H910" s="85"/>
      <c r="I910" s="85"/>
      <c r="J910" s="85"/>
      <c r="K910" s="87"/>
    </row>
    <row r="911" spans="2:11" ht="16" x14ac:dyDescent="0.2">
      <c r="B911" s="81"/>
      <c r="C911" s="211" t="s">
        <v>645</v>
      </c>
      <c r="D911" s="85"/>
      <c r="E911" s="85"/>
      <c r="F911" s="85"/>
      <c r="G911" s="85"/>
      <c r="H911" s="85"/>
      <c r="I911" s="85"/>
      <c r="J911" s="85"/>
      <c r="K911" s="87"/>
    </row>
    <row r="912" spans="2:11" x14ac:dyDescent="0.2">
      <c r="B912" s="81"/>
      <c r="C912" s="85" t="s">
        <v>380</v>
      </c>
      <c r="D912" s="85"/>
      <c r="E912" s="85"/>
      <c r="F912" s="85"/>
      <c r="G912" s="406" t="s">
        <v>234</v>
      </c>
      <c r="H912" s="407"/>
      <c r="I912" s="85"/>
      <c r="J912" s="83">
        <f>IF(G912=$B$998,$A$998,IF(G912=$B$999,$A$999,IF(G912=$B$1000,$A$1000,IF(G912=$B$1001,$A$1001,IF(G912=$B$1002,$A$1002,"Not Calculated")))))</f>
        <v>4</v>
      </c>
      <c r="K912" s="87"/>
    </row>
    <row r="913" spans="2:11" x14ac:dyDescent="0.2">
      <c r="B913" s="81"/>
      <c r="C913" s="85" t="s">
        <v>134</v>
      </c>
      <c r="D913" s="85"/>
      <c r="E913" s="85"/>
      <c r="F913" s="85"/>
      <c r="G913" s="85"/>
      <c r="H913" s="85"/>
      <c r="I913" s="85"/>
      <c r="J913" s="240">
        <f>'Baseline HP'!J46</f>
        <v>0</v>
      </c>
      <c r="K913" s="87"/>
    </row>
    <row r="914" spans="2:11" x14ac:dyDescent="0.2">
      <c r="B914" s="81"/>
      <c r="C914" s="85"/>
      <c r="D914" s="85"/>
      <c r="E914" s="85"/>
      <c r="F914" s="85"/>
      <c r="G914" s="85"/>
      <c r="H914" s="85"/>
      <c r="I914" s="85"/>
      <c r="J914" s="85"/>
      <c r="K914" s="87"/>
    </row>
    <row r="915" spans="2:11" ht="16" x14ac:dyDescent="0.2">
      <c r="B915" s="81"/>
      <c r="C915" s="211" t="s">
        <v>648</v>
      </c>
      <c r="D915" s="85"/>
      <c r="E915" s="85"/>
      <c r="F915" s="85"/>
      <c r="G915" s="85"/>
      <c r="H915" s="85"/>
      <c r="I915" s="85"/>
      <c r="J915" s="85"/>
      <c r="K915" s="87"/>
    </row>
    <row r="916" spans="2:11" ht="15" customHeight="1" x14ac:dyDescent="0.2">
      <c r="B916" s="81"/>
      <c r="C916" s="85" t="s">
        <v>380</v>
      </c>
      <c r="D916" s="85"/>
      <c r="E916" s="85"/>
      <c r="F916" s="85"/>
      <c r="G916" s="406" t="s">
        <v>234</v>
      </c>
      <c r="H916" s="407"/>
      <c r="I916" s="85"/>
      <c r="J916" s="83">
        <f>IF(G916=$B$998,$A$998,IF(G916=$B$999,$A$999,IF(G916=$B$1000,$A$1000,IF(G916=$B$1001,$A$1001,IF(G916=$B$1002,$A$1002,"Not Calculated")))))</f>
        <v>4</v>
      </c>
      <c r="K916" s="87"/>
    </row>
    <row r="917" spans="2:11" x14ac:dyDescent="0.2">
      <c r="B917" s="81"/>
      <c r="C917" s="85" t="s">
        <v>134</v>
      </c>
      <c r="D917" s="85"/>
      <c r="E917" s="85"/>
      <c r="F917" s="85"/>
      <c r="G917" s="85"/>
      <c r="H917" s="85"/>
      <c r="I917" s="85"/>
      <c r="J917" s="240">
        <f>'Baseline HP'!J58</f>
        <v>0</v>
      </c>
      <c r="K917" s="87"/>
    </row>
    <row r="918" spans="2:11" x14ac:dyDescent="0.2">
      <c r="B918" s="81"/>
      <c r="C918" s="85"/>
      <c r="D918" s="85"/>
      <c r="E918" s="85"/>
      <c r="F918" s="85"/>
      <c r="G918" s="85"/>
      <c r="H918" s="85"/>
      <c r="I918" s="85"/>
      <c r="J918" s="85"/>
      <c r="K918" s="87"/>
    </row>
    <row r="919" spans="2:11" ht="16" x14ac:dyDescent="0.2">
      <c r="B919" s="81"/>
      <c r="C919" s="211" t="s">
        <v>647</v>
      </c>
      <c r="D919" s="85"/>
      <c r="E919" s="85"/>
      <c r="F919" s="85"/>
      <c r="G919" s="85"/>
      <c r="H919" s="85"/>
      <c r="I919" s="85"/>
      <c r="J919" s="85"/>
      <c r="K919" s="87"/>
    </row>
    <row r="920" spans="2:11" x14ac:dyDescent="0.2">
      <c r="B920" s="81"/>
      <c r="C920" s="85" t="s">
        <v>380</v>
      </c>
      <c r="D920" s="85"/>
      <c r="E920" s="85"/>
      <c r="F920" s="85"/>
      <c r="G920" s="406" t="s">
        <v>234</v>
      </c>
      <c r="H920" s="407"/>
      <c r="I920" s="85"/>
      <c r="J920" s="83">
        <f>IF(G920=$B$998,$A$998,IF(G920=$B$999,$A$999,IF(G920=$B$1000,$A$1000,IF(G920=$B$1001,$A$1001,IF(G920=$B$1002,$A$1002,"Not Calculated")))))</f>
        <v>4</v>
      </c>
      <c r="K920" s="87"/>
    </row>
    <row r="921" spans="2:11" x14ac:dyDescent="0.2">
      <c r="B921" s="81"/>
      <c r="C921" s="85" t="s">
        <v>134</v>
      </c>
      <c r="D921" s="85"/>
      <c r="E921" s="85"/>
      <c r="F921" s="85"/>
      <c r="G921" s="85"/>
      <c r="H921" s="85"/>
      <c r="I921" s="85"/>
      <c r="J921" s="240">
        <f>'Baseline HP'!J68</f>
        <v>0</v>
      </c>
      <c r="K921" s="87"/>
    </row>
    <row r="922" spans="2:11" x14ac:dyDescent="0.2">
      <c r="B922" s="81"/>
      <c r="C922" s="85"/>
      <c r="D922" s="85"/>
      <c r="E922" s="85"/>
      <c r="F922" s="85"/>
      <c r="G922" s="85"/>
      <c r="H922" s="85"/>
      <c r="I922" s="85"/>
      <c r="J922" s="85"/>
      <c r="K922" s="87"/>
    </row>
    <row r="923" spans="2:11" ht="16" x14ac:dyDescent="0.2">
      <c r="B923" s="81"/>
      <c r="C923" s="211" t="s">
        <v>121</v>
      </c>
      <c r="D923" s="85"/>
      <c r="E923" s="85"/>
      <c r="F923" s="85"/>
      <c r="G923" s="85"/>
      <c r="H923" s="85"/>
      <c r="I923" s="85"/>
      <c r="J923" s="85"/>
      <c r="K923" s="87"/>
    </row>
    <row r="924" spans="2:11" x14ac:dyDescent="0.2">
      <c r="B924" s="81"/>
      <c r="C924" s="85" t="s">
        <v>380</v>
      </c>
      <c r="D924" s="85"/>
      <c r="E924" s="85"/>
      <c r="F924" s="85"/>
      <c r="G924" s="406" t="s">
        <v>234</v>
      </c>
      <c r="H924" s="407"/>
      <c r="I924" s="85"/>
      <c r="J924" s="83">
        <f>IF(G924=$B$998,$A$998,IF(G924=$B$999,$A$999,IF(G924=$B$1000,$A$1000,IF(G924=$B$1001,$A$1001,IF(G924=$B$1002,$A$1002,"Not Calculated")))))</f>
        <v>4</v>
      </c>
      <c r="K924" s="87"/>
    </row>
    <row r="925" spans="2:11" x14ac:dyDescent="0.2">
      <c r="B925" s="81"/>
      <c r="C925" s="85" t="s">
        <v>134</v>
      </c>
      <c r="D925" s="85"/>
      <c r="E925" s="85"/>
      <c r="F925" s="85"/>
      <c r="G925" s="85"/>
      <c r="H925" s="85"/>
      <c r="I925" s="85"/>
      <c r="J925" s="240">
        <f>'Baseline HP'!J84</f>
        <v>0</v>
      </c>
      <c r="K925" s="87"/>
    </row>
    <row r="926" spans="2:11" x14ac:dyDescent="0.2">
      <c r="B926" s="81"/>
      <c r="C926" s="85"/>
      <c r="D926" s="85"/>
      <c r="E926" s="85"/>
      <c r="F926" s="85"/>
      <c r="G926" s="85"/>
      <c r="H926" s="85"/>
      <c r="I926" s="85"/>
      <c r="J926" s="85"/>
      <c r="K926" s="87"/>
    </row>
    <row r="927" spans="2:11" ht="16" x14ac:dyDescent="0.2">
      <c r="B927" s="81"/>
      <c r="C927" s="211" t="s">
        <v>652</v>
      </c>
      <c r="D927" s="85"/>
      <c r="E927" s="85"/>
      <c r="F927" s="85"/>
      <c r="G927" s="85"/>
      <c r="H927" s="85"/>
      <c r="I927" s="85"/>
      <c r="J927" s="85"/>
      <c r="K927" s="87"/>
    </row>
    <row r="928" spans="2:11" x14ac:dyDescent="0.2">
      <c r="B928" s="81"/>
      <c r="C928" s="85" t="s">
        <v>380</v>
      </c>
      <c r="D928" s="85"/>
      <c r="E928" s="85"/>
      <c r="F928" s="85"/>
      <c r="G928" s="406" t="s">
        <v>234</v>
      </c>
      <c r="H928" s="407"/>
      <c r="I928" s="85"/>
      <c r="J928" s="83">
        <f>IF(G928=$B$998,$A$998,IF(G928=$B$999,$A$999,IF(G928=$B$1000,$A$1000,IF(G928=$B$1001,$A$1001,IF(G928=$B$1002,$A$1002,"Not Calculated")))))</f>
        <v>4</v>
      </c>
      <c r="K928" s="87"/>
    </row>
    <row r="929" spans="2:11" x14ac:dyDescent="0.2">
      <c r="B929" s="81"/>
      <c r="C929" s="85" t="s">
        <v>134</v>
      </c>
      <c r="D929" s="85"/>
      <c r="E929" s="85"/>
      <c r="F929" s="85"/>
      <c r="G929" s="85"/>
      <c r="H929" s="85"/>
      <c r="I929" s="85"/>
      <c r="J929" s="240">
        <f>'Baseline HP'!J94</f>
        <v>0</v>
      </c>
      <c r="K929" s="87"/>
    </row>
    <row r="930" spans="2:11" x14ac:dyDescent="0.2">
      <c r="B930" s="81"/>
      <c r="C930" s="85"/>
      <c r="D930" s="85"/>
      <c r="E930" s="85"/>
      <c r="F930" s="85"/>
      <c r="G930" s="85"/>
      <c r="H930" s="85"/>
      <c r="I930" s="85"/>
      <c r="J930" s="85"/>
      <c r="K930" s="87"/>
    </row>
    <row r="931" spans="2:11" ht="16" x14ac:dyDescent="0.2">
      <c r="B931" s="81"/>
      <c r="C931" s="211" t="s">
        <v>653</v>
      </c>
      <c r="D931" s="85"/>
      <c r="E931" s="85"/>
      <c r="F931" s="85"/>
      <c r="G931" s="85"/>
      <c r="H931" s="85"/>
      <c r="I931" s="85"/>
      <c r="J931" s="85"/>
      <c r="K931" s="87"/>
    </row>
    <row r="932" spans="2:11" x14ac:dyDescent="0.2">
      <c r="B932" s="81"/>
      <c r="C932" s="85" t="s">
        <v>380</v>
      </c>
      <c r="D932" s="85"/>
      <c r="E932" s="85"/>
      <c r="F932" s="85"/>
      <c r="G932" s="406" t="s">
        <v>238</v>
      </c>
      <c r="H932" s="407"/>
      <c r="I932" s="85"/>
      <c r="J932" s="83">
        <f>IF(G932=$B$998,$A$998,IF(G932=$B$999,$A$999,IF(G932=$B$1000,$A$1000,IF(G932=$B$1001,$A$1001,IF(G932=$B$1002,$A$1002,"Not Calculated")))))</f>
        <v>3</v>
      </c>
      <c r="K932" s="87"/>
    </row>
    <row r="933" spans="2:11" x14ac:dyDescent="0.2">
      <c r="B933" s="81"/>
      <c r="C933" s="85" t="s">
        <v>134</v>
      </c>
      <c r="D933" s="85"/>
      <c r="E933" s="85"/>
      <c r="F933" s="85"/>
      <c r="G933" s="85"/>
      <c r="H933" s="85"/>
      <c r="I933" s="85"/>
      <c r="J933" s="240">
        <f>'Baseline HP'!J108</f>
        <v>0</v>
      </c>
      <c r="K933" s="87"/>
    </row>
    <row r="934" spans="2:11" x14ac:dyDescent="0.2">
      <c r="B934" s="81"/>
      <c r="C934" s="85"/>
      <c r="D934" s="85"/>
      <c r="E934" s="85"/>
      <c r="F934" s="85"/>
      <c r="G934" s="85"/>
      <c r="H934" s="85"/>
      <c r="I934" s="85"/>
      <c r="J934" s="85"/>
      <c r="K934" s="87"/>
    </row>
    <row r="935" spans="2:11" x14ac:dyDescent="0.2">
      <c r="B935" s="81"/>
      <c r="C935" s="85"/>
      <c r="D935" s="85"/>
      <c r="E935" s="85"/>
      <c r="F935" s="85"/>
      <c r="G935" s="85"/>
      <c r="H935" s="85"/>
      <c r="I935" s="85"/>
      <c r="J935" s="85"/>
      <c r="K935" s="87"/>
    </row>
    <row r="936" spans="2:11" ht="16" x14ac:dyDescent="0.2">
      <c r="B936" s="81"/>
      <c r="C936" s="212" t="s">
        <v>812</v>
      </c>
      <c r="D936" s="85"/>
      <c r="E936" s="85"/>
      <c r="F936" s="85"/>
      <c r="G936" s="85"/>
      <c r="H936" s="85"/>
      <c r="I936" s="85"/>
      <c r="J936" s="241">
        <f>IF(OR(J920="Not Calculated",J924="Not Calculated",J928="Not Calculated",J932="Not Calculated",J904="Not Calculated",J908="Not Calculated",J912="Not Calculated",J916="Not Calculated",J921="Not Calculated",J925="Not Calculated",J929="Not Calculated",J933="Not Calculated",J905="Not Calculated",J909="Not Calculated",J913="Not Calculated",J917="Not Calculated")=TRUE,"Not Calculated",((J904*J905)+(J908*J909)+(J912*J913)+(J916*J917)+(J920*J921)+(J924*J925)+(J928*J929)+(J932*J933))/(J904+J908+J912+J916+J920+J924+J928+J932))</f>
        <v>0</v>
      </c>
      <c r="K936" s="87"/>
    </row>
    <row r="937" spans="2:11" ht="16" thickBot="1" x14ac:dyDescent="0.25">
      <c r="B937" s="213"/>
      <c r="C937" s="94"/>
      <c r="D937" s="94"/>
      <c r="E937" s="94"/>
      <c r="F937" s="94"/>
      <c r="G937" s="94"/>
      <c r="H937" s="94"/>
      <c r="I937" s="94"/>
      <c r="J937" s="94"/>
      <c r="K937" s="96"/>
    </row>
    <row r="938" spans="2:11" ht="16" thickBot="1" x14ac:dyDescent="0.25"/>
    <row r="939" spans="2:11" x14ac:dyDescent="0.2">
      <c r="B939" s="77"/>
      <c r="C939" s="78"/>
      <c r="D939" s="78"/>
      <c r="E939" s="78"/>
      <c r="F939" s="78"/>
      <c r="G939" s="78"/>
      <c r="H939" s="78"/>
      <c r="I939" s="78"/>
      <c r="J939" s="78"/>
      <c r="K939" s="80"/>
    </row>
    <row r="940" spans="2:11" ht="21" x14ac:dyDescent="0.25">
      <c r="B940" s="81"/>
      <c r="C940" s="85"/>
      <c r="D940" s="85"/>
      <c r="E940" s="85"/>
      <c r="F940" s="85"/>
      <c r="G940" s="210" t="s">
        <v>815</v>
      </c>
      <c r="H940" s="85"/>
      <c r="I940" s="85"/>
      <c r="J940" s="85"/>
      <c r="K940" s="87"/>
    </row>
    <row r="941" spans="2:11" ht="21" x14ac:dyDescent="0.25">
      <c r="B941" s="81"/>
      <c r="C941" s="85"/>
      <c r="D941" s="85"/>
      <c r="E941" s="85"/>
      <c r="F941" s="85"/>
      <c r="G941" s="210"/>
      <c r="H941" s="85"/>
      <c r="I941" s="85"/>
      <c r="J941" s="85"/>
      <c r="K941" s="87"/>
    </row>
    <row r="942" spans="2:11" ht="16" x14ac:dyDescent="0.2">
      <c r="B942" s="81"/>
      <c r="C942" s="212" t="s">
        <v>995</v>
      </c>
      <c r="D942" s="85"/>
      <c r="E942" s="85"/>
      <c r="F942" s="85"/>
      <c r="G942" s="85"/>
      <c r="H942" s="85"/>
      <c r="I942" s="85"/>
      <c r="J942" s="241">
        <f>IF(OR(J936="Not Calculated",J894="Not Calculated")=TRUE,"Not Calculated",AVERAGE(J936,J894))</f>
        <v>0</v>
      </c>
      <c r="K942" s="87"/>
    </row>
    <row r="943" spans="2:11" ht="16" x14ac:dyDescent="0.2">
      <c r="B943" s="81"/>
      <c r="C943" s="212"/>
      <c r="D943" s="85" t="s">
        <v>814</v>
      </c>
      <c r="E943" s="85"/>
      <c r="F943" s="85"/>
      <c r="G943" s="85"/>
      <c r="H943" s="85"/>
      <c r="I943" s="85"/>
      <c r="J943" s="241"/>
      <c r="K943" s="87"/>
    </row>
    <row r="944" spans="2:11" ht="17" thickBot="1" x14ac:dyDescent="0.25">
      <c r="B944" s="213"/>
      <c r="C944" s="227"/>
      <c r="D944" s="94"/>
      <c r="E944" s="94"/>
      <c r="F944" s="94"/>
      <c r="G944" s="94"/>
      <c r="H944" s="94"/>
      <c r="I944" s="94"/>
      <c r="J944" s="228"/>
      <c r="K944" s="96"/>
    </row>
    <row r="945" spans="2:11" ht="16" thickBot="1" x14ac:dyDescent="0.25"/>
    <row r="946" spans="2:11" x14ac:dyDescent="0.2">
      <c r="B946" s="214"/>
      <c r="C946" s="215"/>
      <c r="D946" s="215"/>
      <c r="E946" s="215"/>
      <c r="F946" s="215"/>
      <c r="G946" s="215"/>
      <c r="H946" s="215"/>
      <c r="I946" s="215"/>
      <c r="J946" s="215"/>
      <c r="K946" s="216"/>
    </row>
    <row r="947" spans="2:11" ht="21" x14ac:dyDescent="0.25">
      <c r="B947" s="217"/>
      <c r="C947" s="218"/>
      <c r="D947" s="218"/>
      <c r="E947" s="218"/>
      <c r="F947" s="218"/>
      <c r="G947" s="219" t="s">
        <v>239</v>
      </c>
      <c r="H947" s="218"/>
      <c r="I947" s="218"/>
      <c r="J947" s="218"/>
      <c r="K947" s="220"/>
    </row>
    <row r="948" spans="2:11" x14ac:dyDescent="0.2">
      <c r="B948" s="217"/>
      <c r="C948" s="218"/>
      <c r="D948" s="218"/>
      <c r="E948" s="218"/>
      <c r="F948" s="218"/>
      <c r="G948" s="218"/>
      <c r="H948" s="218"/>
      <c r="I948" s="218"/>
      <c r="J948" s="218"/>
      <c r="K948" s="220"/>
    </row>
    <row r="949" spans="2:11" ht="16" x14ac:dyDescent="0.2">
      <c r="B949" s="217"/>
      <c r="C949" s="221" t="s">
        <v>393</v>
      </c>
      <c r="D949" s="218"/>
      <c r="E949" s="218"/>
      <c r="F949" s="218"/>
      <c r="G949" s="218"/>
      <c r="H949" s="218"/>
      <c r="I949" s="218"/>
      <c r="J949" s="242" t="str">
        <f>IF(OR(J817="Not Calculated",J942="Not Calculated")=TRUE,"Not Calculated",J817/J942)</f>
        <v>Not Calculated</v>
      </c>
      <c r="K949" s="220"/>
    </row>
    <row r="950" spans="2:11" x14ac:dyDescent="0.2">
      <c r="B950" s="217"/>
      <c r="C950" s="218"/>
      <c r="D950" s="218" t="s">
        <v>816</v>
      </c>
      <c r="E950" s="218"/>
      <c r="F950" s="218"/>
      <c r="G950" s="218"/>
      <c r="H950" s="218"/>
      <c r="I950" s="218"/>
      <c r="J950" s="218"/>
      <c r="K950" s="220"/>
    </row>
    <row r="951" spans="2:11" x14ac:dyDescent="0.2">
      <c r="B951" s="217"/>
      <c r="C951" s="218"/>
      <c r="D951" s="218"/>
      <c r="E951" s="218"/>
      <c r="F951" s="218"/>
      <c r="G951" s="218"/>
      <c r="H951" s="218"/>
      <c r="I951" s="218"/>
      <c r="J951" s="218"/>
      <c r="K951" s="220"/>
    </row>
    <row r="952" spans="2:11" ht="16" x14ac:dyDescent="0.2">
      <c r="B952" s="217"/>
      <c r="C952" s="221" t="s">
        <v>996</v>
      </c>
      <c r="D952" s="218"/>
      <c r="E952" s="218"/>
      <c r="F952" s="218"/>
      <c r="G952" s="218"/>
      <c r="H952" s="218"/>
      <c r="I952" s="218"/>
      <c r="J952" s="242" t="str">
        <f>IF(OR(J820="Not Calculated",J894="Not Calculated")=TRUE,"Not Calculated",J820/J894)</f>
        <v>Not Calculated</v>
      </c>
      <c r="K952" s="220"/>
    </row>
    <row r="953" spans="2:11" x14ac:dyDescent="0.2">
      <c r="B953" s="217"/>
      <c r="C953" s="218"/>
      <c r="D953" s="218" t="s">
        <v>817</v>
      </c>
      <c r="E953" s="218"/>
      <c r="F953" s="218"/>
      <c r="G953" s="218"/>
      <c r="H953" s="218"/>
      <c r="I953" s="218"/>
      <c r="J953" s="218"/>
      <c r="K953" s="220"/>
    </row>
    <row r="954" spans="2:11" x14ac:dyDescent="0.2">
      <c r="B954" s="217"/>
      <c r="C954" s="218"/>
      <c r="D954" s="218"/>
      <c r="E954" s="218"/>
      <c r="F954" s="218"/>
      <c r="G954" s="218"/>
      <c r="H954" s="218"/>
      <c r="I954" s="218"/>
      <c r="J954" s="218"/>
      <c r="K954" s="220"/>
    </row>
    <row r="955" spans="2:11" ht="16" x14ac:dyDescent="0.2">
      <c r="B955" s="217"/>
      <c r="C955" s="221" t="s">
        <v>997</v>
      </c>
      <c r="D955" s="218"/>
      <c r="E955" s="218"/>
      <c r="F955" s="218"/>
      <c r="G955" s="218"/>
      <c r="H955" s="218"/>
      <c r="I955" s="218"/>
      <c r="J955" s="242" t="str">
        <f>IF(OR(J936="Not Calculated",J823="Not Calculated")=TRUE,"Not Calculated",J823/J936)</f>
        <v>Not Calculated</v>
      </c>
      <c r="K955" s="220"/>
    </row>
    <row r="956" spans="2:11" x14ac:dyDescent="0.2">
      <c r="B956" s="217"/>
      <c r="C956" s="218"/>
      <c r="D956" s="218" t="s">
        <v>818</v>
      </c>
      <c r="E956" s="218"/>
      <c r="F956" s="218"/>
      <c r="G956" s="218"/>
      <c r="H956" s="218"/>
      <c r="I956" s="218"/>
      <c r="J956" s="218"/>
      <c r="K956" s="220"/>
    </row>
    <row r="957" spans="2:11" ht="16" thickBot="1" x14ac:dyDescent="0.25">
      <c r="B957" s="222"/>
      <c r="C957" s="223"/>
      <c r="D957" s="223"/>
      <c r="E957" s="223"/>
      <c r="F957" s="223"/>
      <c r="G957" s="223"/>
      <c r="H957" s="223"/>
      <c r="I957" s="223"/>
      <c r="J957" s="223"/>
      <c r="K957" s="224"/>
    </row>
    <row r="959" spans="2:11" ht="15" customHeight="1" x14ac:dyDescent="0.2">
      <c r="F959" s="405"/>
      <c r="G959" s="405"/>
      <c r="H959" s="405"/>
    </row>
    <row r="960" spans="2:11" x14ac:dyDescent="0.2">
      <c r="F960" s="405"/>
      <c r="G960" s="405"/>
      <c r="H960" s="405"/>
    </row>
    <row r="965" spans="1:3" ht="15" hidden="1" customHeight="1" x14ac:dyDescent="0.2">
      <c r="A965" s="12" t="s">
        <v>228</v>
      </c>
    </row>
    <row r="966" spans="1:3" ht="15" hidden="1" customHeight="1" x14ac:dyDescent="0.2">
      <c r="A966" s="12">
        <v>0</v>
      </c>
      <c r="B966" s="12" t="s">
        <v>250</v>
      </c>
      <c r="C966" s="12" t="s">
        <v>240</v>
      </c>
    </row>
    <row r="967" spans="1:3" ht="15" hidden="1" customHeight="1" x14ac:dyDescent="0.2">
      <c r="A967" s="12">
        <v>1</v>
      </c>
      <c r="B967" s="12" t="s">
        <v>251</v>
      </c>
      <c r="C967" s="12" t="s">
        <v>241</v>
      </c>
    </row>
    <row r="968" spans="1:3" ht="15" hidden="1" customHeight="1" x14ac:dyDescent="0.2">
      <c r="A968" s="12">
        <v>2</v>
      </c>
      <c r="B968" s="12" t="s">
        <v>252</v>
      </c>
      <c r="C968" s="12" t="s">
        <v>242</v>
      </c>
    </row>
    <row r="969" spans="1:3" ht="15" hidden="1" customHeight="1" x14ac:dyDescent="0.2">
      <c r="A969" s="12">
        <v>3</v>
      </c>
      <c r="B969" s="12" t="s">
        <v>253</v>
      </c>
      <c r="C969" s="12" t="s">
        <v>227</v>
      </c>
    </row>
    <row r="970" spans="1:3" ht="15" hidden="1" customHeight="1" x14ac:dyDescent="0.2">
      <c r="A970" s="12">
        <v>4</v>
      </c>
      <c r="B970" s="12" t="s">
        <v>254</v>
      </c>
      <c r="C970" s="12" t="s">
        <v>243</v>
      </c>
    </row>
    <row r="971" spans="1:3" ht="15" hidden="1" customHeight="1" x14ac:dyDescent="0.2"/>
    <row r="972" spans="1:3" ht="15" hidden="1" customHeight="1" x14ac:dyDescent="0.2">
      <c r="A972" s="12" t="s">
        <v>259</v>
      </c>
    </row>
    <row r="973" spans="1:3" ht="15" hidden="1" customHeight="1" x14ac:dyDescent="0.2">
      <c r="A973" s="12">
        <v>0</v>
      </c>
      <c r="B973" s="225" t="s">
        <v>870</v>
      </c>
    </row>
    <row r="974" spans="1:3" ht="15" hidden="1" customHeight="1" x14ac:dyDescent="0.2">
      <c r="A974" s="12">
        <v>1</v>
      </c>
      <c r="B974" s="12" t="s">
        <v>880</v>
      </c>
    </row>
    <row r="975" spans="1:3" ht="15" hidden="1" customHeight="1" x14ac:dyDescent="0.2">
      <c r="A975" s="12">
        <v>2</v>
      </c>
      <c r="B975" s="12" t="s">
        <v>872</v>
      </c>
    </row>
    <row r="976" spans="1:3" ht="15" hidden="1" customHeight="1" x14ac:dyDescent="0.2">
      <c r="A976" s="12">
        <v>3</v>
      </c>
      <c r="B976" s="12" t="s">
        <v>873</v>
      </c>
    </row>
    <row r="977" spans="1:2" ht="15" hidden="1" customHeight="1" x14ac:dyDescent="0.2">
      <c r="A977" s="12">
        <v>4</v>
      </c>
      <c r="B977" s="12" t="s">
        <v>874</v>
      </c>
    </row>
    <row r="978" spans="1:2" ht="15" hidden="1" customHeight="1" x14ac:dyDescent="0.2"/>
    <row r="979" spans="1:2" ht="15" hidden="1" customHeight="1" x14ac:dyDescent="0.2">
      <c r="A979" s="12" t="s">
        <v>294</v>
      </c>
    </row>
    <row r="980" spans="1:2" ht="15" hidden="1" customHeight="1" x14ac:dyDescent="0.2">
      <c r="A980" s="12">
        <v>0</v>
      </c>
      <c r="B980" s="225" t="s">
        <v>870</v>
      </c>
    </row>
    <row r="981" spans="1:2" ht="15" hidden="1" customHeight="1" x14ac:dyDescent="0.2">
      <c r="A981" s="12">
        <v>1</v>
      </c>
      <c r="B981" s="12" t="s">
        <v>875</v>
      </c>
    </row>
    <row r="982" spans="1:2" ht="15" hidden="1" customHeight="1" x14ac:dyDescent="0.2">
      <c r="A982" s="12">
        <v>2</v>
      </c>
      <c r="B982" s="12" t="s">
        <v>876</v>
      </c>
    </row>
    <row r="983" spans="1:2" ht="15" hidden="1" customHeight="1" x14ac:dyDescent="0.2">
      <c r="A983" s="12">
        <v>3</v>
      </c>
      <c r="B983" s="12" t="s">
        <v>877</v>
      </c>
    </row>
    <row r="984" spans="1:2" ht="15" hidden="1" customHeight="1" x14ac:dyDescent="0.2">
      <c r="A984" s="12">
        <v>4</v>
      </c>
      <c r="B984" s="12" t="s">
        <v>878</v>
      </c>
    </row>
    <row r="985" spans="1:2" ht="15" hidden="1" customHeight="1" x14ac:dyDescent="0.2"/>
    <row r="986" spans="1:2" ht="15" hidden="1" customHeight="1" x14ac:dyDescent="0.2">
      <c r="A986" s="12" t="s">
        <v>244</v>
      </c>
    </row>
    <row r="987" spans="1:2" ht="15" hidden="1" customHeight="1" x14ac:dyDescent="0.2">
      <c r="A987" s="12">
        <v>0</v>
      </c>
      <c r="B987" s="12" t="s">
        <v>245</v>
      </c>
    </row>
    <row r="988" spans="1:2" ht="15" hidden="1" customHeight="1" x14ac:dyDescent="0.2">
      <c r="A988" s="12">
        <v>1</v>
      </c>
      <c r="B988" s="12" t="s">
        <v>246</v>
      </c>
    </row>
    <row r="989" spans="1:2" ht="15" hidden="1" customHeight="1" x14ac:dyDescent="0.2">
      <c r="A989" s="12">
        <v>2</v>
      </c>
      <c r="B989" s="12" t="s">
        <v>247</v>
      </c>
    </row>
    <row r="990" spans="1:2" ht="15" hidden="1" customHeight="1" x14ac:dyDescent="0.2">
      <c r="A990" s="12">
        <v>3</v>
      </c>
      <c r="B990" s="12" t="s">
        <v>229</v>
      </c>
    </row>
    <row r="991" spans="1:2" ht="15" hidden="1" customHeight="1" x14ac:dyDescent="0.2">
      <c r="A991" s="12">
        <v>4</v>
      </c>
      <c r="B991" s="12" t="s">
        <v>248</v>
      </c>
    </row>
    <row r="992" spans="1:2" ht="15" hidden="1" customHeight="1" x14ac:dyDescent="0.2"/>
    <row r="993" spans="1:11" ht="15" hidden="1" customHeight="1" x14ac:dyDescent="0.2">
      <c r="A993" s="12" t="s">
        <v>381</v>
      </c>
    </row>
    <row r="994" spans="1:11" ht="15" hidden="1" customHeight="1" x14ac:dyDescent="0.2">
      <c r="A994" s="12">
        <v>0</v>
      </c>
      <c r="B994" s="12" t="s">
        <v>202</v>
      </c>
    </row>
    <row r="995" spans="1:11" ht="15" hidden="1" customHeight="1" x14ac:dyDescent="0.2">
      <c r="A995" s="12">
        <v>1</v>
      </c>
      <c r="B995" s="12" t="s">
        <v>190</v>
      </c>
    </row>
    <row r="996" spans="1:11" ht="15" hidden="1" customHeight="1" x14ac:dyDescent="0.2"/>
    <row r="997" spans="1:11" ht="15" hidden="1" customHeight="1" x14ac:dyDescent="0.2">
      <c r="A997" s="12" t="s">
        <v>249</v>
      </c>
    </row>
    <row r="998" spans="1:11" ht="15" hidden="1" customHeight="1" x14ac:dyDescent="0.2">
      <c r="A998" s="12">
        <v>0</v>
      </c>
      <c r="B998" s="12" t="s">
        <v>236</v>
      </c>
    </row>
    <row r="999" spans="1:11" ht="15" hidden="1" customHeight="1" x14ac:dyDescent="0.2">
      <c r="A999" s="12">
        <v>1</v>
      </c>
      <c r="B999" s="12" t="s">
        <v>237</v>
      </c>
    </row>
    <row r="1000" spans="1:11" ht="15" hidden="1" customHeight="1" x14ac:dyDescent="0.2">
      <c r="A1000" s="12">
        <v>2</v>
      </c>
      <c r="B1000" s="12" t="s">
        <v>235</v>
      </c>
    </row>
    <row r="1001" spans="1:11" ht="15" hidden="1" customHeight="1" x14ac:dyDescent="0.2">
      <c r="A1001" s="12">
        <v>3</v>
      </c>
      <c r="B1001" s="12" t="s">
        <v>238</v>
      </c>
    </row>
    <row r="1002" spans="1:11" ht="15" hidden="1" customHeight="1" x14ac:dyDescent="0.2">
      <c r="A1002" s="12">
        <v>4</v>
      </c>
      <c r="B1002" s="12" t="s">
        <v>234</v>
      </c>
    </row>
    <row r="1003" spans="1:11" ht="15" customHeight="1" x14ac:dyDescent="0.2">
      <c r="B1003" s="12" t="s">
        <v>685</v>
      </c>
    </row>
    <row r="1004" spans="1:11" ht="30" customHeight="1" x14ac:dyDescent="0.2">
      <c r="B1004" s="402" t="s">
        <v>714</v>
      </c>
      <c r="C1004" s="403"/>
      <c r="D1004" s="403"/>
      <c r="E1004" s="403"/>
      <c r="F1004" s="403"/>
      <c r="G1004" s="403"/>
      <c r="H1004" s="403"/>
      <c r="I1004" s="403"/>
      <c r="J1004" s="403"/>
      <c r="K1004" s="404"/>
    </row>
    <row r="1005" spans="1:11" ht="15" customHeight="1" x14ac:dyDescent="0.2">
      <c r="B1005" s="396"/>
      <c r="C1005" s="397"/>
      <c r="D1005" s="397"/>
      <c r="E1005" s="397"/>
      <c r="F1005" s="397"/>
      <c r="G1005" s="397"/>
      <c r="H1005" s="397"/>
      <c r="I1005" s="397"/>
      <c r="J1005" s="397"/>
      <c r="K1005" s="398"/>
    </row>
    <row r="1006" spans="1:11" ht="15" customHeight="1" x14ac:dyDescent="0.2">
      <c r="B1006" s="396" t="s">
        <v>700</v>
      </c>
      <c r="C1006" s="397"/>
      <c r="D1006" s="397"/>
      <c r="E1006" s="397"/>
      <c r="F1006" s="397"/>
      <c r="G1006" s="397"/>
      <c r="H1006" s="397"/>
      <c r="I1006" s="397"/>
      <c r="J1006" s="397"/>
      <c r="K1006" s="398"/>
    </row>
    <row r="1007" spans="1:11" ht="15" customHeight="1" x14ac:dyDescent="0.2">
      <c r="B1007" s="396"/>
      <c r="C1007" s="397"/>
      <c r="D1007" s="397"/>
      <c r="E1007" s="397"/>
      <c r="F1007" s="397"/>
      <c r="G1007" s="397"/>
      <c r="H1007" s="397"/>
      <c r="I1007" s="397"/>
      <c r="J1007" s="397"/>
      <c r="K1007" s="398"/>
    </row>
    <row r="1008" spans="1:11" ht="45" customHeight="1" x14ac:dyDescent="0.2">
      <c r="B1008" s="396" t="s">
        <v>715</v>
      </c>
      <c r="C1008" s="397"/>
      <c r="D1008" s="397"/>
      <c r="E1008" s="397"/>
      <c r="F1008" s="397"/>
      <c r="G1008" s="397"/>
      <c r="H1008" s="397"/>
      <c r="I1008" s="397"/>
      <c r="J1008" s="397"/>
      <c r="K1008" s="398"/>
    </row>
    <row r="1009" spans="2:11" ht="15" customHeight="1" x14ac:dyDescent="0.2">
      <c r="B1009" s="396"/>
      <c r="C1009" s="397"/>
      <c r="D1009" s="397"/>
      <c r="E1009" s="397"/>
      <c r="F1009" s="397"/>
      <c r="G1009" s="397"/>
      <c r="H1009" s="397"/>
      <c r="I1009" s="397"/>
      <c r="J1009" s="397"/>
      <c r="K1009" s="398"/>
    </row>
    <row r="1010" spans="2:11" ht="45" customHeight="1" x14ac:dyDescent="0.2">
      <c r="B1010" s="396" t="s">
        <v>716</v>
      </c>
      <c r="C1010" s="397"/>
      <c r="D1010" s="397"/>
      <c r="E1010" s="397"/>
      <c r="F1010" s="397"/>
      <c r="G1010" s="397"/>
      <c r="H1010" s="397"/>
      <c r="I1010" s="397"/>
      <c r="J1010" s="397"/>
      <c r="K1010" s="398"/>
    </row>
    <row r="1011" spans="2:11" ht="15" customHeight="1" x14ac:dyDescent="0.2">
      <c r="B1011" s="396"/>
      <c r="C1011" s="397"/>
      <c r="D1011" s="397"/>
      <c r="E1011" s="397"/>
      <c r="F1011" s="397"/>
      <c r="G1011" s="397"/>
      <c r="H1011" s="397"/>
      <c r="I1011" s="397"/>
      <c r="J1011" s="397"/>
      <c r="K1011" s="398"/>
    </row>
    <row r="1012" spans="2:11" ht="30" customHeight="1" x14ac:dyDescent="0.2">
      <c r="B1012" s="396" t="s">
        <v>717</v>
      </c>
      <c r="C1012" s="397"/>
      <c r="D1012" s="397"/>
      <c r="E1012" s="397"/>
      <c r="F1012" s="397"/>
      <c r="G1012" s="397"/>
      <c r="H1012" s="397"/>
      <c r="I1012" s="397"/>
      <c r="J1012" s="397"/>
      <c r="K1012" s="398"/>
    </row>
    <row r="1013" spans="2:11" ht="15" customHeight="1" x14ac:dyDescent="0.2">
      <c r="B1013" s="396"/>
      <c r="C1013" s="397"/>
      <c r="D1013" s="397"/>
      <c r="E1013" s="397"/>
      <c r="F1013" s="397"/>
      <c r="G1013" s="397"/>
      <c r="H1013" s="397"/>
      <c r="I1013" s="397"/>
      <c r="J1013" s="397"/>
      <c r="K1013" s="398"/>
    </row>
    <row r="1014" spans="2:11" ht="45" customHeight="1" x14ac:dyDescent="0.2">
      <c r="B1014" s="396" t="s">
        <v>713</v>
      </c>
      <c r="C1014" s="397"/>
      <c r="D1014" s="397"/>
      <c r="E1014" s="397"/>
      <c r="F1014" s="397"/>
      <c r="G1014" s="397"/>
      <c r="H1014" s="397"/>
      <c r="I1014" s="397"/>
      <c r="J1014" s="397"/>
      <c r="K1014" s="398"/>
    </row>
    <row r="1015" spans="2:11" ht="15" customHeight="1" x14ac:dyDescent="0.2">
      <c r="B1015" s="396"/>
      <c r="C1015" s="397"/>
      <c r="D1015" s="397"/>
      <c r="E1015" s="397"/>
      <c r="F1015" s="397"/>
      <c r="G1015" s="397"/>
      <c r="H1015" s="397"/>
      <c r="I1015" s="397"/>
      <c r="J1015" s="397"/>
      <c r="K1015" s="398"/>
    </row>
    <row r="1016" spans="2:11" ht="30" customHeight="1" x14ac:dyDescent="0.2">
      <c r="B1016" s="396" t="s">
        <v>689</v>
      </c>
      <c r="C1016" s="397"/>
      <c r="D1016" s="397"/>
      <c r="E1016" s="397"/>
      <c r="F1016" s="397"/>
      <c r="G1016" s="397"/>
      <c r="H1016" s="397"/>
      <c r="I1016" s="397"/>
      <c r="J1016" s="397"/>
      <c r="K1016" s="398"/>
    </row>
    <row r="1017" spans="2:11" ht="15" customHeight="1" x14ac:dyDescent="0.2">
      <c r="B1017" s="396"/>
      <c r="C1017" s="397"/>
      <c r="D1017" s="397"/>
      <c r="E1017" s="397"/>
      <c r="F1017" s="397"/>
      <c r="G1017" s="397"/>
      <c r="H1017" s="397"/>
      <c r="I1017" s="397"/>
      <c r="J1017" s="397"/>
      <c r="K1017" s="398"/>
    </row>
    <row r="1018" spans="2:11" ht="15" customHeight="1" x14ac:dyDescent="0.2">
      <c r="B1018" s="396"/>
      <c r="C1018" s="397"/>
      <c r="D1018" s="397"/>
      <c r="E1018" s="397"/>
      <c r="F1018" s="397"/>
      <c r="G1018" s="397"/>
      <c r="H1018" s="397"/>
      <c r="I1018" s="397"/>
      <c r="J1018" s="397"/>
      <c r="K1018" s="398"/>
    </row>
    <row r="1019" spans="2:11" ht="15" customHeight="1" x14ac:dyDescent="0.2">
      <c r="B1019" s="396"/>
      <c r="C1019" s="397"/>
      <c r="D1019" s="397"/>
      <c r="E1019" s="397"/>
      <c r="F1019" s="397"/>
      <c r="G1019" s="397"/>
      <c r="H1019" s="397"/>
      <c r="I1019" s="397"/>
      <c r="J1019" s="397"/>
      <c r="K1019" s="398"/>
    </row>
    <row r="1020" spans="2:11" ht="15" customHeight="1" x14ac:dyDescent="0.2">
      <c r="B1020" s="396"/>
      <c r="C1020" s="397"/>
      <c r="D1020" s="397"/>
      <c r="E1020" s="397"/>
      <c r="F1020" s="397"/>
      <c r="G1020" s="397"/>
      <c r="H1020" s="397"/>
      <c r="I1020" s="397"/>
      <c r="J1020" s="397"/>
      <c r="K1020" s="398"/>
    </row>
    <row r="1021" spans="2:11" ht="15" customHeight="1" x14ac:dyDescent="0.2">
      <c r="B1021" s="396"/>
      <c r="C1021" s="397"/>
      <c r="D1021" s="397"/>
      <c r="E1021" s="397"/>
      <c r="F1021" s="397"/>
      <c r="G1021" s="397"/>
      <c r="H1021" s="397"/>
      <c r="I1021" s="397"/>
      <c r="J1021" s="397"/>
      <c r="K1021" s="398"/>
    </row>
    <row r="1022" spans="2:11" ht="15" customHeight="1" x14ac:dyDescent="0.2">
      <c r="B1022" s="396"/>
      <c r="C1022" s="397"/>
      <c r="D1022" s="397"/>
      <c r="E1022" s="397"/>
      <c r="F1022" s="397"/>
      <c r="G1022" s="397"/>
      <c r="H1022" s="397"/>
      <c r="I1022" s="397"/>
      <c r="J1022" s="397"/>
      <c r="K1022" s="398"/>
    </row>
    <row r="1023" spans="2:11" ht="15" customHeight="1" x14ac:dyDescent="0.2">
      <c r="B1023" s="396"/>
      <c r="C1023" s="397"/>
      <c r="D1023" s="397"/>
      <c r="E1023" s="397"/>
      <c r="F1023" s="397"/>
      <c r="G1023" s="397"/>
      <c r="H1023" s="397"/>
      <c r="I1023" s="397"/>
      <c r="J1023" s="397"/>
      <c r="K1023" s="398"/>
    </row>
    <row r="1024" spans="2:11" ht="15" customHeight="1" x14ac:dyDescent="0.2">
      <c r="B1024" s="396"/>
      <c r="C1024" s="397"/>
      <c r="D1024" s="397"/>
      <c r="E1024" s="397"/>
      <c r="F1024" s="397"/>
      <c r="G1024" s="397"/>
      <c r="H1024" s="397"/>
      <c r="I1024" s="397"/>
      <c r="J1024" s="397"/>
      <c r="K1024" s="398"/>
    </row>
    <row r="1025" spans="2:11" ht="15" customHeight="1" x14ac:dyDescent="0.2">
      <c r="B1025" s="396"/>
      <c r="C1025" s="397"/>
      <c r="D1025" s="397"/>
      <c r="E1025" s="397"/>
      <c r="F1025" s="397"/>
      <c r="G1025" s="397"/>
      <c r="H1025" s="397"/>
      <c r="I1025" s="397"/>
      <c r="J1025" s="397"/>
      <c r="K1025" s="398"/>
    </row>
    <row r="1026" spans="2:11" ht="15" customHeight="1" x14ac:dyDescent="0.2">
      <c r="B1026" s="396"/>
      <c r="C1026" s="397"/>
      <c r="D1026" s="397"/>
      <c r="E1026" s="397"/>
      <c r="F1026" s="397"/>
      <c r="G1026" s="397"/>
      <c r="H1026" s="397"/>
      <c r="I1026" s="397"/>
      <c r="J1026" s="397"/>
      <c r="K1026" s="398"/>
    </row>
    <row r="1027" spans="2:11" ht="15" customHeight="1" x14ac:dyDescent="0.2">
      <c r="B1027" s="396"/>
      <c r="C1027" s="397"/>
      <c r="D1027" s="397"/>
      <c r="E1027" s="397"/>
      <c r="F1027" s="397"/>
      <c r="G1027" s="397"/>
      <c r="H1027" s="397"/>
      <c r="I1027" s="397"/>
      <c r="J1027" s="397"/>
      <c r="K1027" s="398"/>
    </row>
    <row r="1028" spans="2:11" ht="15" customHeight="1" x14ac:dyDescent="0.2">
      <c r="B1028" s="396"/>
      <c r="C1028" s="397"/>
      <c r="D1028" s="397"/>
      <c r="E1028" s="397"/>
      <c r="F1028" s="397"/>
      <c r="G1028" s="397"/>
      <c r="H1028" s="397"/>
      <c r="I1028" s="397"/>
      <c r="J1028" s="397"/>
      <c r="K1028" s="398"/>
    </row>
    <row r="1029" spans="2:11" ht="15" customHeight="1" x14ac:dyDescent="0.2">
      <c r="B1029" s="393"/>
      <c r="C1029" s="394"/>
      <c r="D1029" s="394"/>
      <c r="E1029" s="394"/>
      <c r="F1029" s="394"/>
      <c r="G1029" s="394"/>
      <c r="H1029" s="394"/>
      <c r="I1029" s="394"/>
      <c r="J1029" s="394"/>
      <c r="K1029" s="395"/>
    </row>
  </sheetData>
  <sheetProtection formatCells="0" formatColumns="0" formatRows="0" selectLockedCells="1"/>
  <mergeCells count="152">
    <mergeCell ref="E15:J15"/>
    <mergeCell ref="C38:J38"/>
    <mergeCell ref="C57:J57"/>
    <mergeCell ref="B5:K5"/>
    <mergeCell ref="B6:K6"/>
    <mergeCell ref="B7:K7"/>
    <mergeCell ref="B8:K8"/>
    <mergeCell ref="B9:K9"/>
    <mergeCell ref="B10:K10"/>
    <mergeCell ref="C176:J176"/>
    <mergeCell ref="C196:J196"/>
    <mergeCell ref="C155:J155"/>
    <mergeCell ref="C120:J122"/>
    <mergeCell ref="C123:J124"/>
    <mergeCell ref="C129:J129"/>
    <mergeCell ref="C95:J95"/>
    <mergeCell ref="C114:J114"/>
    <mergeCell ref="C76:J76"/>
    <mergeCell ref="C455:J455"/>
    <mergeCell ref="C402:J402"/>
    <mergeCell ref="C416:J416"/>
    <mergeCell ref="C438:J438"/>
    <mergeCell ref="C444:I445"/>
    <mergeCell ref="C391:I392"/>
    <mergeCell ref="C257:J257"/>
    <mergeCell ref="C237:J237"/>
    <mergeCell ref="C216:J216"/>
    <mergeCell ref="C292:I293"/>
    <mergeCell ref="C311:I312"/>
    <mergeCell ref="C340:I341"/>
    <mergeCell ref="C305:J305"/>
    <mergeCell ref="C324:J324"/>
    <mergeCell ref="C330:I331"/>
    <mergeCell ref="C420:I421"/>
    <mergeCell ref="C385:J385"/>
    <mergeCell ref="C347:J347"/>
    <mergeCell ref="D343:I344"/>
    <mergeCell ref="C365:J365"/>
    <mergeCell ref="C371:I372"/>
    <mergeCell ref="C286:J286"/>
    <mergeCell ref="C613:J613"/>
    <mergeCell ref="C560:J560"/>
    <mergeCell ref="C566:I568"/>
    <mergeCell ref="C569:I571"/>
    <mergeCell ref="C583:J583"/>
    <mergeCell ref="C524:I525"/>
    <mergeCell ref="C535:J535"/>
    <mergeCell ref="C518:J518"/>
    <mergeCell ref="C471:J471"/>
    <mergeCell ref="C477:I478"/>
    <mergeCell ref="C486:J486"/>
    <mergeCell ref="C502:J502"/>
    <mergeCell ref="C599:J599"/>
    <mergeCell ref="G717:H717"/>
    <mergeCell ref="G718:H718"/>
    <mergeCell ref="C729:J731"/>
    <mergeCell ref="G732:H732"/>
    <mergeCell ref="G733:H733"/>
    <mergeCell ref="C620:I621"/>
    <mergeCell ref="C633:J633"/>
    <mergeCell ref="C639:I640"/>
    <mergeCell ref="C641:I643"/>
    <mergeCell ref="C714:J716"/>
    <mergeCell ref="C655:J655"/>
    <mergeCell ref="D664:I665"/>
    <mergeCell ref="C677:J677"/>
    <mergeCell ref="G737:H737"/>
    <mergeCell ref="G738:H738"/>
    <mergeCell ref="G734:H734"/>
    <mergeCell ref="G735:H735"/>
    <mergeCell ref="G724:H724"/>
    <mergeCell ref="G725:H725"/>
    <mergeCell ref="G719:H719"/>
    <mergeCell ref="G720:H720"/>
    <mergeCell ref="G721:H721"/>
    <mergeCell ref="G846:H846"/>
    <mergeCell ref="C830:J831"/>
    <mergeCell ref="G834:H834"/>
    <mergeCell ref="G838:H838"/>
    <mergeCell ref="G842:H842"/>
    <mergeCell ref="G769:H769"/>
    <mergeCell ref="G770:H770"/>
    <mergeCell ref="G767:H767"/>
    <mergeCell ref="G768:H768"/>
    <mergeCell ref="G766:H766"/>
    <mergeCell ref="G754:H754"/>
    <mergeCell ref="G755:H755"/>
    <mergeCell ref="G752:H752"/>
    <mergeCell ref="G753:H753"/>
    <mergeCell ref="C759:J761"/>
    <mergeCell ref="G762:H762"/>
    <mergeCell ref="G763:H763"/>
    <mergeCell ref="G764:H764"/>
    <mergeCell ref="G878:H878"/>
    <mergeCell ref="G722:H722"/>
    <mergeCell ref="G723:H723"/>
    <mergeCell ref="G850:H850"/>
    <mergeCell ref="G862:H862"/>
    <mergeCell ref="G866:H866"/>
    <mergeCell ref="G854:H854"/>
    <mergeCell ref="G858:H858"/>
    <mergeCell ref="F959:H960"/>
    <mergeCell ref="G736:H736"/>
    <mergeCell ref="C744:J746"/>
    <mergeCell ref="G747:H747"/>
    <mergeCell ref="G748:H748"/>
    <mergeCell ref="G749:H749"/>
    <mergeCell ref="G886:H886"/>
    <mergeCell ref="G890:H890"/>
    <mergeCell ref="G882:H882"/>
    <mergeCell ref="G870:H870"/>
    <mergeCell ref="G874:H874"/>
    <mergeCell ref="G765:H765"/>
    <mergeCell ref="G750:H750"/>
    <mergeCell ref="G751:H751"/>
    <mergeCell ref="G739:H739"/>
    <mergeCell ref="G740:H740"/>
    <mergeCell ref="B1004:K1004"/>
    <mergeCell ref="B1005:K1005"/>
    <mergeCell ref="B1006:K1006"/>
    <mergeCell ref="B1007:K1007"/>
    <mergeCell ref="B1008:K1008"/>
    <mergeCell ref="B1009:K1009"/>
    <mergeCell ref="B1010:K1010"/>
    <mergeCell ref="B1011:K1011"/>
    <mergeCell ref="B1012:K1012"/>
    <mergeCell ref="B1022:K1022"/>
    <mergeCell ref="B1023:K1023"/>
    <mergeCell ref="B1024:K1024"/>
    <mergeCell ref="B1025:K1025"/>
    <mergeCell ref="B1026:K1026"/>
    <mergeCell ref="B1027:K1027"/>
    <mergeCell ref="B1028:K1028"/>
    <mergeCell ref="B1029:K1029"/>
    <mergeCell ref="B1013:K1013"/>
    <mergeCell ref="B1014:K1014"/>
    <mergeCell ref="B1015:K1015"/>
    <mergeCell ref="B1016:K1016"/>
    <mergeCell ref="B1017:K1017"/>
    <mergeCell ref="B1018:K1018"/>
    <mergeCell ref="B1019:K1019"/>
    <mergeCell ref="B1020:K1020"/>
    <mergeCell ref="B1021:K1021"/>
    <mergeCell ref="G928:H928"/>
    <mergeCell ref="G932:H932"/>
    <mergeCell ref="G924:H924"/>
    <mergeCell ref="G916:H916"/>
    <mergeCell ref="G920:H920"/>
    <mergeCell ref="C900:J901"/>
    <mergeCell ref="G904:H904"/>
    <mergeCell ref="G908:H908"/>
    <mergeCell ref="G912:H912"/>
  </mergeCells>
  <dataValidations count="23">
    <dataValidation type="list" allowBlank="1" showInputMessage="1" showErrorMessage="1" sqref="E15:J15" xr:uid="{00000000-0002-0000-1300-000000000000}">
      <formula1>$C$966:$C$970</formula1>
    </dataValidation>
    <dataValidation type="list" allowBlank="1" showInputMessage="1" showErrorMessage="1" sqref="G834:H834 G890:H890 G886:H886 G882:H882 G878:H878 G874:H874 G870:H870 G866:H866 G862:H862 G858:H858 G854:H854 G850:H850 G846:H846 G838:H838 G842:H842 G904:H904 G932:H932 G928:H928 G924:H924 G920:H920 G916:H916 G908:H908 G912:H912" xr:uid="{00000000-0002-0000-1300-000001000000}">
      <formula1>$B$998:$B$1002</formula1>
    </dataValidation>
    <dataValidation type="list" allowBlank="1" showInputMessage="1" showErrorMessage="1" sqref="G717:H725 G762:H770 G732:H740 G747:H755" xr:uid="{00000000-0002-0000-1300-000002000000}">
      <formula1>$B$994:$B$995</formula1>
    </dataValidation>
    <dataValidation type="list" allowBlank="1" showInputMessage="1" showErrorMessage="1" sqref="J302 J362" xr:uid="{00000000-0002-0000-1300-000003000000}">
      <formula1>$B$980:$B$984</formula1>
    </dataValidation>
    <dataValidation type="list" allowBlank="1" showInputMessage="1" showErrorMessage="1" sqref="C123:J124" xr:uid="{00000000-0002-0000-1300-000004000000}">
      <formula1>$B$987:$B$991</formula1>
    </dataValidation>
    <dataValidation type="list" allowBlank="1" showInputMessage="1" showErrorMessage="1" sqref="J35 J213 J283 J652 J234 J54 J193 J173 J152 J126 J111 J92 J73 J254 J435 J452 J468 J499 J515 J532 J557 J580 J596 J674 J630" xr:uid="{00000000-0002-0000-1300-000005000000}">
      <formula1>$B$973:$B$977</formula1>
    </dataValidation>
    <dataValidation type="list" allowBlank="1" showInputMessage="1" showErrorMessage="1" sqref="J33" xr:uid="{00000000-0002-0000-1300-000006000000}">
      <formula1>$N$32:$N$37</formula1>
    </dataValidation>
    <dataValidation type="list" allowBlank="1" showInputMessage="1" showErrorMessage="1" sqref="J52" xr:uid="{00000000-0002-0000-1300-000007000000}">
      <formula1>$N$51:$N$56</formula1>
    </dataValidation>
    <dataValidation type="list" allowBlank="1" showInputMessage="1" showErrorMessage="1" sqref="J71" xr:uid="{00000000-0002-0000-1300-000008000000}">
      <formula1>$N$70:$N$75</formula1>
    </dataValidation>
    <dataValidation type="list" allowBlank="1" showInputMessage="1" showErrorMessage="1" sqref="J90" xr:uid="{00000000-0002-0000-1300-000009000000}">
      <formula1>$N$89:$N$94</formula1>
    </dataValidation>
    <dataValidation type="list" allowBlank="1" showInputMessage="1" showErrorMessage="1" sqref="J109" xr:uid="{00000000-0002-0000-1300-00000A000000}">
      <formula1>$N$108:$N$113</formula1>
    </dataValidation>
    <dataValidation type="list" allowBlank="1" showInputMessage="1" showErrorMessage="1" sqref="J150" xr:uid="{00000000-0002-0000-1300-00000B000000}">
      <formula1>$N$149:$N$154</formula1>
    </dataValidation>
    <dataValidation type="list" allowBlank="1" showInputMessage="1" showErrorMessage="1" sqref="J171" xr:uid="{00000000-0002-0000-1300-00000C000000}">
      <formula1>$N$170:$N$175</formula1>
    </dataValidation>
    <dataValidation type="list" allowBlank="1" showInputMessage="1" showErrorMessage="1" sqref="J191" xr:uid="{00000000-0002-0000-1300-00000D000000}">
      <formula1>$N$190:$N$195</formula1>
    </dataValidation>
    <dataValidation type="list" allowBlank="1" showInputMessage="1" showErrorMessage="1" sqref="J211" xr:uid="{00000000-0002-0000-1300-00000E000000}">
      <formula1>$N$210:$N$215</formula1>
    </dataValidation>
    <dataValidation type="list" allowBlank="1" showInputMessage="1" showErrorMessage="1" sqref="J232" xr:uid="{00000000-0002-0000-1300-00000F000000}">
      <formula1>$N$231:$N$236</formula1>
    </dataValidation>
    <dataValidation type="list" allowBlank="1" showInputMessage="1" showErrorMessage="1" sqref="J252" xr:uid="{00000000-0002-0000-1300-000010000000}">
      <formula1>$N$251:$N$256</formula1>
    </dataValidation>
    <dataValidation type="list" allowBlank="1" showInputMessage="1" showErrorMessage="1" sqref="J281" xr:uid="{00000000-0002-0000-1300-000011000000}">
      <formula1>$N$280:$N$285</formula1>
    </dataValidation>
    <dataValidation type="list" allowBlank="1" showInputMessage="1" showErrorMessage="1" sqref="J555" xr:uid="{00000000-0002-0000-1300-000012000000}">
      <formula1>$N$554:$N$559</formula1>
    </dataValidation>
    <dataValidation type="list" allowBlank="1" showInputMessage="1" showErrorMessage="1" sqref="J578" xr:uid="{00000000-0002-0000-1300-000013000000}">
      <formula1>$N$577:$N$582</formula1>
    </dataValidation>
    <dataValidation type="list" allowBlank="1" showInputMessage="1" showErrorMessage="1" sqref="J628" xr:uid="{00000000-0002-0000-1300-000014000000}">
      <formula1>$N$627:$N$632</formula1>
    </dataValidation>
    <dataValidation type="list" allowBlank="1" showInputMessage="1" showErrorMessage="1" sqref="J650" xr:uid="{00000000-0002-0000-1300-000015000000}">
      <formula1>$N$649:$N$654</formula1>
    </dataValidation>
    <dataValidation type="list" allowBlank="1" showInputMessage="1" showErrorMessage="1" sqref="J672" xr:uid="{00000000-0002-0000-1300-000016000000}">
      <formula1>$N$671:$N$676</formula1>
    </dataValidation>
  </dataValidations>
  <pageMargins left="0.7" right="0.7" top="0.75" bottom="0.75" header="0.3" footer="0.3"/>
  <pageSetup scale="70"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8"/>
  <dimension ref="A1:N1029"/>
  <sheetViews>
    <sheetView showGridLines="0" showRowColHeaders="0" zoomScaleNormal="100" workbookViewId="0">
      <selection activeCell="Q691" sqref="Q691"/>
    </sheetView>
  </sheetViews>
  <sheetFormatPr baseColWidth="10" defaultColWidth="9.1640625" defaultRowHeight="15" x14ac:dyDescent="0.2"/>
  <cols>
    <col min="1" max="1" width="9.1640625" style="12"/>
    <col min="2" max="3" width="9.1640625" style="12" customWidth="1"/>
    <col min="4" max="4" width="9.1640625" style="12"/>
    <col min="5" max="5" width="9.1640625" style="12" customWidth="1"/>
    <col min="6" max="9" width="9.1640625" style="12"/>
    <col min="10" max="10" width="25.6640625" style="12" customWidth="1"/>
    <col min="11" max="13" width="9.1640625" style="12"/>
    <col min="14" max="14" width="9.1640625" style="12" hidden="1" customWidth="1"/>
    <col min="15" max="16384" width="9.1640625" style="12"/>
  </cols>
  <sheetData>
    <row r="1" spans="2:13" x14ac:dyDescent="0.2">
      <c r="I1" s="29"/>
    </row>
    <row r="2" spans="2:13" ht="33" x14ac:dyDescent="0.2">
      <c r="G2" s="16" t="s">
        <v>1038</v>
      </c>
      <c r="I2" s="29"/>
    </row>
    <row r="3" spans="2:13" ht="23" x14ac:dyDescent="0.25">
      <c r="G3" s="30" t="s">
        <v>8</v>
      </c>
      <c r="I3" s="29"/>
      <c r="L3" s="157"/>
      <c r="M3" s="157"/>
    </row>
    <row r="4" spans="2:13" x14ac:dyDescent="0.2">
      <c r="G4" s="98"/>
      <c r="I4" s="29"/>
      <c r="L4" s="158"/>
      <c r="M4" s="157"/>
    </row>
    <row r="5" spans="2:13" ht="60" customHeight="1" x14ac:dyDescent="0.2">
      <c r="B5" s="426" t="s">
        <v>672</v>
      </c>
      <c r="C5" s="427"/>
      <c r="D5" s="427"/>
      <c r="E5" s="427"/>
      <c r="F5" s="427"/>
      <c r="G5" s="427"/>
      <c r="H5" s="427"/>
      <c r="I5" s="427"/>
      <c r="J5" s="427"/>
      <c r="K5" s="427"/>
      <c r="L5" s="158"/>
      <c r="M5" s="157"/>
    </row>
    <row r="6" spans="2:13" x14ac:dyDescent="0.2">
      <c r="B6" s="426"/>
      <c r="C6" s="426"/>
      <c r="D6" s="426"/>
      <c r="E6" s="426"/>
      <c r="F6" s="426"/>
      <c r="G6" s="426"/>
      <c r="H6" s="426"/>
      <c r="I6" s="426"/>
      <c r="J6" s="426"/>
      <c r="K6" s="426"/>
      <c r="L6" s="158"/>
    </row>
    <row r="7" spans="2:13" ht="60" customHeight="1" x14ac:dyDescent="0.2">
      <c r="B7" s="425" t="s">
        <v>664</v>
      </c>
      <c r="C7" s="341"/>
      <c r="D7" s="341"/>
      <c r="E7" s="341"/>
      <c r="F7" s="341"/>
      <c r="G7" s="341"/>
      <c r="H7" s="341"/>
      <c r="I7" s="341"/>
      <c r="J7" s="341"/>
      <c r="K7" s="341"/>
    </row>
    <row r="8" spans="2:13" x14ac:dyDescent="0.2">
      <c r="B8" s="426"/>
      <c r="C8" s="426"/>
      <c r="D8" s="426"/>
      <c r="E8" s="426"/>
      <c r="F8" s="426"/>
      <c r="G8" s="426"/>
      <c r="H8" s="426"/>
      <c r="I8" s="426"/>
      <c r="J8" s="426"/>
      <c r="K8" s="426"/>
    </row>
    <row r="9" spans="2:13" ht="30" customHeight="1" x14ac:dyDescent="0.2">
      <c r="B9" s="445" t="s">
        <v>665</v>
      </c>
      <c r="C9" s="446"/>
      <c r="D9" s="446"/>
      <c r="E9" s="446"/>
      <c r="F9" s="446"/>
      <c r="G9" s="446"/>
      <c r="H9" s="446"/>
      <c r="I9" s="446"/>
      <c r="J9" s="446"/>
      <c r="K9" s="446"/>
    </row>
    <row r="10" spans="2:13" ht="90" customHeight="1" x14ac:dyDescent="0.2">
      <c r="B10" s="447" t="s">
        <v>1333</v>
      </c>
      <c r="C10" s="448"/>
      <c r="D10" s="448"/>
      <c r="E10" s="448"/>
      <c r="F10" s="448"/>
      <c r="G10" s="448"/>
      <c r="H10" s="448"/>
      <c r="I10" s="448"/>
      <c r="J10" s="448"/>
      <c r="K10" s="449"/>
    </row>
    <row r="11" spans="2:13" ht="16" thickBot="1" x14ac:dyDescent="0.25"/>
    <row r="12" spans="2:13" x14ac:dyDescent="0.2">
      <c r="B12" s="159"/>
      <c r="C12" s="160"/>
      <c r="D12" s="160"/>
      <c r="E12" s="160"/>
      <c r="F12" s="160"/>
      <c r="G12" s="160"/>
      <c r="H12" s="160"/>
      <c r="I12" s="160"/>
      <c r="J12" s="160"/>
      <c r="K12" s="161"/>
    </row>
    <row r="13" spans="2:13" ht="21" x14ac:dyDescent="0.25">
      <c r="B13" s="162"/>
      <c r="C13" s="163"/>
      <c r="D13" s="163"/>
      <c r="E13" s="163"/>
      <c r="F13" s="163"/>
      <c r="G13" s="164" t="s">
        <v>226</v>
      </c>
      <c r="H13" s="163"/>
      <c r="I13" s="163"/>
      <c r="J13" s="163"/>
      <c r="K13" s="165"/>
    </row>
    <row r="14" spans="2:13" ht="21" x14ac:dyDescent="0.25">
      <c r="B14" s="162"/>
      <c r="C14" s="163"/>
      <c r="D14" s="163"/>
      <c r="E14" s="163"/>
      <c r="F14" s="163"/>
      <c r="G14" s="164"/>
      <c r="H14" s="163"/>
      <c r="I14" s="163"/>
      <c r="J14" s="163"/>
      <c r="K14" s="165"/>
    </row>
    <row r="15" spans="2:13" ht="26.25" customHeight="1" x14ac:dyDescent="0.2">
      <c r="B15" s="162"/>
      <c r="C15" s="163" t="s">
        <v>255</v>
      </c>
      <c r="D15" s="163"/>
      <c r="E15" s="412" t="s">
        <v>227</v>
      </c>
      <c r="F15" s="437"/>
      <c r="G15" s="437"/>
      <c r="H15" s="437"/>
      <c r="I15" s="437"/>
      <c r="J15" s="438"/>
      <c r="K15" s="165"/>
    </row>
    <row r="16" spans="2:13" x14ac:dyDescent="0.2">
      <c r="B16" s="162"/>
      <c r="C16" s="163"/>
      <c r="D16" s="163"/>
      <c r="E16" s="163"/>
      <c r="F16" s="163"/>
      <c r="G16" s="163"/>
      <c r="H16" s="163"/>
      <c r="I16" s="163"/>
      <c r="J16" s="163"/>
      <c r="K16" s="165"/>
    </row>
    <row r="17" spans="2:14" x14ac:dyDescent="0.2">
      <c r="B17" s="162"/>
      <c r="C17" s="166" t="s">
        <v>256</v>
      </c>
      <c r="D17" s="163"/>
      <c r="E17" s="167">
        <f>IF(E15=$C$966,$A$966,IF(E15=$C$967,$A$967,IF(E15=$C$968,$A$968,IF(E15=$C$969,$A$969,IF(E15=$C$970,$A$970,"Not Calculated")))))</f>
        <v>3</v>
      </c>
      <c r="F17" s="163"/>
      <c r="G17" s="163"/>
      <c r="H17" s="163"/>
      <c r="I17" s="163"/>
      <c r="J17" s="163"/>
      <c r="K17" s="165"/>
    </row>
    <row r="18" spans="2:14" x14ac:dyDescent="0.2">
      <c r="B18" s="162"/>
      <c r="C18" s="163"/>
      <c r="D18" s="163"/>
      <c r="E18" s="167" t="str">
        <f>IF(E15=$C$966,$B$966,IF(E15=$C$967,$B$967,IF(E15=$C$968,$B$968,IF(E15=$C$969,$B$969,IF(E15=$C$970,$B$970,"Not Calculated")))))</f>
        <v>Probable</v>
      </c>
      <c r="F18" s="163"/>
      <c r="G18" s="163"/>
      <c r="H18" s="163"/>
      <c r="I18" s="163"/>
      <c r="J18" s="163"/>
      <c r="K18" s="165"/>
    </row>
    <row r="19" spans="2:14" ht="16" thickBot="1" x14ac:dyDescent="0.25">
      <c r="B19" s="168"/>
      <c r="C19" s="169"/>
      <c r="D19" s="169"/>
      <c r="E19" s="169"/>
      <c r="F19" s="169"/>
      <c r="G19" s="169"/>
      <c r="H19" s="169"/>
      <c r="I19" s="169"/>
      <c r="J19" s="169"/>
      <c r="K19" s="170"/>
    </row>
    <row r="20" spans="2:14" ht="16" thickBot="1" x14ac:dyDescent="0.25"/>
    <row r="21" spans="2:14" x14ac:dyDescent="0.2">
      <c r="B21" s="33"/>
      <c r="C21" s="34"/>
      <c r="D21" s="34"/>
      <c r="E21" s="34"/>
      <c r="F21" s="34"/>
      <c r="G21" s="34"/>
      <c r="H21" s="34"/>
      <c r="I21" s="34"/>
      <c r="J21" s="34"/>
      <c r="K21" s="37"/>
    </row>
    <row r="22" spans="2:14" ht="21" x14ac:dyDescent="0.25">
      <c r="B22" s="38"/>
      <c r="C22" s="171"/>
      <c r="D22" s="40"/>
      <c r="E22" s="40"/>
      <c r="F22" s="40"/>
      <c r="G22" s="172" t="s">
        <v>26</v>
      </c>
      <c r="H22" s="40"/>
      <c r="I22" s="40"/>
      <c r="J22" s="40"/>
      <c r="K22" s="41"/>
    </row>
    <row r="23" spans="2:14" x14ac:dyDescent="0.2">
      <c r="B23" s="38"/>
      <c r="C23" s="40"/>
      <c r="D23" s="40"/>
      <c r="E23" s="40"/>
      <c r="F23" s="40"/>
      <c r="G23" s="40"/>
      <c r="H23" s="40"/>
      <c r="I23" s="40"/>
      <c r="J23" s="40"/>
      <c r="K23" s="41"/>
    </row>
    <row r="24" spans="2:14" ht="16" x14ac:dyDescent="0.2">
      <c r="B24" s="38"/>
      <c r="C24" s="45" t="s">
        <v>61</v>
      </c>
      <c r="D24" s="40"/>
      <c r="E24" s="40"/>
      <c r="F24" s="40"/>
      <c r="G24" s="40"/>
      <c r="H24" s="40"/>
      <c r="I24" s="40"/>
      <c r="J24" s="40"/>
      <c r="K24" s="41"/>
    </row>
    <row r="25" spans="2:14" x14ac:dyDescent="0.2">
      <c r="B25" s="38"/>
      <c r="C25" s="40" t="s">
        <v>434</v>
      </c>
      <c r="D25" s="40"/>
      <c r="E25" s="40"/>
      <c r="F25" s="40"/>
      <c r="G25" s="40"/>
      <c r="H25" s="40"/>
      <c r="I25" s="40"/>
      <c r="J25" s="252">
        <f>'Baseline Health'!G11</f>
        <v>0</v>
      </c>
      <c r="K25" s="41"/>
    </row>
    <row r="26" spans="2:14" x14ac:dyDescent="0.2">
      <c r="B26" s="38"/>
      <c r="C26" s="40" t="s">
        <v>1193</v>
      </c>
      <c r="D26" s="40"/>
      <c r="E26" s="40"/>
      <c r="F26" s="40"/>
      <c r="G26" s="40"/>
      <c r="H26" s="40"/>
      <c r="I26" s="40"/>
      <c r="J26" s="264">
        <v>0</v>
      </c>
      <c r="K26" s="41"/>
    </row>
    <row r="27" spans="2:14" x14ac:dyDescent="0.2">
      <c r="B27" s="38"/>
      <c r="C27" s="40" t="s">
        <v>260</v>
      </c>
      <c r="D27" s="40"/>
      <c r="E27" s="40"/>
      <c r="F27" s="40"/>
      <c r="G27" s="40"/>
      <c r="H27" s="40"/>
      <c r="I27" s="40"/>
      <c r="J27" s="248" t="str">
        <f>IF(OR(J25=0,J25="Not Calculated")=TRUE,"Not Calculated",(IF(((J26+J25)/J25)&lt;=1,0,IF(((J26+J25)/J25)&lt;=1.05,1,IF(((J26+J25)/J25)&lt;=1.5, 2,IF(((J26+J25)/J25)&lt;=2,3,4))))))</f>
        <v>Not Calculated</v>
      </c>
      <c r="K27" s="41"/>
    </row>
    <row r="28" spans="2:14" ht="9.75" customHeight="1" x14ac:dyDescent="0.2">
      <c r="B28" s="38"/>
      <c r="C28" s="279" t="str">
        <f>"0:"</f>
        <v>0:</v>
      </c>
      <c r="D28" s="281" t="s">
        <v>918</v>
      </c>
      <c r="E28" s="40"/>
      <c r="F28" s="40"/>
      <c r="G28" s="40"/>
      <c r="H28" s="40"/>
      <c r="I28" s="40"/>
      <c r="J28" s="40"/>
      <c r="K28" s="41"/>
    </row>
    <row r="29" spans="2:14" ht="9.75" customHeight="1" x14ac:dyDescent="0.2">
      <c r="B29" s="38"/>
      <c r="C29" s="280" t="str">
        <f>"1:"</f>
        <v>1:</v>
      </c>
      <c r="D29" s="281" t="s">
        <v>919</v>
      </c>
      <c r="E29" s="40"/>
      <c r="F29" s="40"/>
      <c r="G29" s="40"/>
      <c r="H29" s="40"/>
      <c r="I29" s="40"/>
      <c r="J29" s="40"/>
      <c r="K29" s="41"/>
    </row>
    <row r="30" spans="2:14" ht="9.75" customHeight="1" x14ac:dyDescent="0.2">
      <c r="B30" s="38"/>
      <c r="C30" s="280" t="str">
        <f>"2:"</f>
        <v>2:</v>
      </c>
      <c r="D30" s="281" t="s">
        <v>920</v>
      </c>
      <c r="E30" s="40"/>
      <c r="F30" s="40"/>
      <c r="G30" s="40"/>
      <c r="H30" s="40"/>
      <c r="I30" s="40"/>
      <c r="J30" s="40"/>
      <c r="K30" s="41"/>
    </row>
    <row r="31" spans="2:14" ht="9.75" customHeight="1" x14ac:dyDescent="0.2">
      <c r="B31" s="38"/>
      <c r="C31" s="280" t="str">
        <f>"3:"</f>
        <v>3:</v>
      </c>
      <c r="D31" s="281" t="s">
        <v>921</v>
      </c>
      <c r="E31" s="40"/>
      <c r="F31" s="40"/>
      <c r="G31" s="40"/>
      <c r="H31" s="40"/>
      <c r="I31" s="40"/>
      <c r="J31" s="40"/>
      <c r="K31" s="41"/>
    </row>
    <row r="32" spans="2:14" ht="9.75" customHeight="1" x14ac:dyDescent="0.2">
      <c r="B32" s="38"/>
      <c r="C32" s="280" t="str">
        <f>"4:"</f>
        <v>4:</v>
      </c>
      <c r="D32" s="281" t="s">
        <v>922</v>
      </c>
      <c r="E32" s="40"/>
      <c r="F32" s="40"/>
      <c r="G32" s="40"/>
      <c r="H32" s="40"/>
      <c r="I32" s="40"/>
      <c r="J32" s="40"/>
      <c r="K32" s="41"/>
      <c r="N32" s="12" t="s">
        <v>661</v>
      </c>
    </row>
    <row r="33" spans="2:14" x14ac:dyDescent="0.2">
      <c r="B33" s="38"/>
      <c r="C33" s="174" t="s">
        <v>662</v>
      </c>
      <c r="D33" s="40"/>
      <c r="E33" s="40"/>
      <c r="F33" s="40"/>
      <c r="G33" s="40"/>
      <c r="H33" s="40"/>
      <c r="I33" s="40"/>
      <c r="J33" s="265" t="s">
        <v>661</v>
      </c>
      <c r="K33" s="41"/>
      <c r="N33" s="12" t="s">
        <v>894</v>
      </c>
    </row>
    <row r="34" spans="2:14" x14ac:dyDescent="0.2">
      <c r="B34" s="38"/>
      <c r="C34" s="174" t="s">
        <v>660</v>
      </c>
      <c r="D34" s="40"/>
      <c r="E34" s="40"/>
      <c r="F34" s="40"/>
      <c r="G34" s="40"/>
      <c r="H34" s="40"/>
      <c r="I34" s="40"/>
      <c r="J34" s="246" t="str">
        <f>IF(J33=N32,"N/A",IF(J33=N33,0,IF(J33=N34,1,IF(J33=N35,2,IF(J33=N36,3,IF(J33=N37,4,"N/A"))))))</f>
        <v>N/A</v>
      </c>
      <c r="K34" s="41"/>
      <c r="N34" s="12" t="s">
        <v>895</v>
      </c>
    </row>
    <row r="35" spans="2:14" x14ac:dyDescent="0.2">
      <c r="B35" s="38"/>
      <c r="C35" s="40" t="s">
        <v>257</v>
      </c>
      <c r="D35" s="40"/>
      <c r="E35" s="40"/>
      <c r="F35" s="40"/>
      <c r="G35" s="40"/>
      <c r="H35" s="40"/>
      <c r="I35" s="40"/>
      <c r="J35" s="266" t="s">
        <v>874</v>
      </c>
      <c r="K35" s="41"/>
      <c r="N35" s="12" t="s">
        <v>896</v>
      </c>
    </row>
    <row r="36" spans="2:14" x14ac:dyDescent="0.2">
      <c r="B36" s="38"/>
      <c r="C36" s="40" t="s">
        <v>261</v>
      </c>
      <c r="D36" s="40"/>
      <c r="E36" s="40"/>
      <c r="F36" s="40"/>
      <c r="G36" s="40"/>
      <c r="H36" s="40"/>
      <c r="I36" s="40"/>
      <c r="J36" s="245">
        <f>IF(J35=$B$973,$A$973,IF(J35=$B$974,$A$974,IF(J35=$B$975,$A$975,IF(J35=$B$976,$A$976,IF(J35=$B$977,$A$977,"Not Calculated")))))</f>
        <v>4</v>
      </c>
      <c r="K36" s="41"/>
      <c r="N36" s="12" t="s">
        <v>897</v>
      </c>
    </row>
    <row r="37" spans="2:14" x14ac:dyDescent="0.2">
      <c r="B37" s="38"/>
      <c r="C37" s="40" t="s">
        <v>893</v>
      </c>
      <c r="D37" s="40"/>
      <c r="E37" s="40"/>
      <c r="F37" s="40"/>
      <c r="G37" s="40"/>
      <c r="H37" s="40"/>
      <c r="I37" s="40"/>
      <c r="J37" s="175"/>
      <c r="K37" s="41"/>
      <c r="N37" s="12" t="s">
        <v>898</v>
      </c>
    </row>
    <row r="38" spans="2:14" s="178" customFormat="1" ht="30" customHeight="1" x14ac:dyDescent="0.2">
      <c r="B38" s="176"/>
      <c r="C38" s="415" t="s">
        <v>1250</v>
      </c>
      <c r="D38" s="400"/>
      <c r="E38" s="400"/>
      <c r="F38" s="400"/>
      <c r="G38" s="400"/>
      <c r="H38" s="400"/>
      <c r="I38" s="400"/>
      <c r="J38" s="401"/>
      <c r="K38" s="177"/>
    </row>
    <row r="39" spans="2:14" x14ac:dyDescent="0.2">
      <c r="B39" s="38"/>
      <c r="C39" s="40"/>
      <c r="D39" s="40"/>
      <c r="E39" s="40"/>
      <c r="F39" s="40"/>
      <c r="G39" s="40"/>
      <c r="H39" s="40"/>
      <c r="I39" s="40"/>
      <c r="J39" s="40"/>
      <c r="K39" s="41"/>
    </row>
    <row r="40" spans="2:14" x14ac:dyDescent="0.2">
      <c r="B40" s="38"/>
      <c r="C40" s="179" t="s">
        <v>258</v>
      </c>
      <c r="D40" s="40"/>
      <c r="E40" s="40"/>
      <c r="F40" s="40"/>
      <c r="G40" s="40"/>
      <c r="H40" s="40"/>
      <c r="I40" s="40"/>
      <c r="J40" s="245" t="str">
        <f>IF(J34="N/A",IF(OR(J27="Not Calculated",J36="Not Calculated")=TRUE,"Not Calculated",AVERAGE(J27,J36)),AVERAGE(J34,J36))</f>
        <v>Not Calculated</v>
      </c>
      <c r="K40" s="41"/>
    </row>
    <row r="41" spans="2:14" x14ac:dyDescent="0.2">
      <c r="B41" s="38"/>
      <c r="C41" s="179"/>
      <c r="D41" s="40"/>
      <c r="E41" s="40"/>
      <c r="F41" s="40"/>
      <c r="G41" s="40"/>
      <c r="H41" s="40"/>
      <c r="I41" s="40"/>
      <c r="J41" s="245"/>
      <c r="K41" s="41"/>
    </row>
    <row r="42" spans="2:14" x14ac:dyDescent="0.2">
      <c r="B42" s="38"/>
      <c r="C42" s="40"/>
      <c r="D42" s="40"/>
      <c r="E42" s="40"/>
      <c r="F42" s="40"/>
      <c r="G42" s="40"/>
      <c r="H42" s="40"/>
      <c r="I42" s="40"/>
      <c r="J42" s="40"/>
      <c r="K42" s="41"/>
    </row>
    <row r="43" spans="2:14" ht="16" x14ac:dyDescent="0.2">
      <c r="B43" s="38"/>
      <c r="C43" s="45" t="s">
        <v>51</v>
      </c>
      <c r="D43" s="40"/>
      <c r="E43" s="40"/>
      <c r="F43" s="40"/>
      <c r="G43" s="40"/>
      <c r="H43" s="40"/>
      <c r="I43" s="40"/>
      <c r="J43" s="40"/>
      <c r="K43" s="41"/>
    </row>
    <row r="44" spans="2:14" x14ac:dyDescent="0.2">
      <c r="B44" s="38"/>
      <c r="C44" s="40" t="s">
        <v>435</v>
      </c>
      <c r="D44" s="40"/>
      <c r="E44" s="40"/>
      <c r="F44" s="40"/>
      <c r="G44" s="40"/>
      <c r="H44" s="40"/>
      <c r="I44" s="40"/>
      <c r="J44" s="252">
        <f>'Baseline Health'!G17</f>
        <v>0</v>
      </c>
      <c r="K44" s="41"/>
    </row>
    <row r="45" spans="2:14" x14ac:dyDescent="0.2">
      <c r="B45" s="38"/>
      <c r="C45" s="40" t="s">
        <v>287</v>
      </c>
      <c r="D45" s="40"/>
      <c r="E45" s="40"/>
      <c r="F45" s="40"/>
      <c r="G45" s="40"/>
      <c r="H45" s="40"/>
      <c r="I45" s="40"/>
      <c r="J45" s="264">
        <v>12</v>
      </c>
      <c r="K45" s="41"/>
    </row>
    <row r="46" spans="2:14" x14ac:dyDescent="0.2">
      <c r="B46" s="38"/>
      <c r="C46" s="40" t="s">
        <v>260</v>
      </c>
      <c r="D46" s="40"/>
      <c r="E46" s="40"/>
      <c r="F46" s="40"/>
      <c r="G46" s="40"/>
      <c r="H46" s="40"/>
      <c r="I46" s="40"/>
      <c r="J46" s="248" t="str">
        <f>IF(OR(J44=0,J44="Not Calculated")=TRUE,"Not Calculated",(IF(((J45+J44)/J44)&lt;=1,0,IF(((J45+J44)/J44)&lt;=1.05,1,IF(((J45+J44)/J44)&lt;=1.5, 2,IF(((J45+J44)/J44)&lt;=2,3,4))))))</f>
        <v>Not Calculated</v>
      </c>
      <c r="K46" s="41"/>
    </row>
    <row r="47" spans="2:14" ht="9.75" customHeight="1" x14ac:dyDescent="0.2">
      <c r="B47" s="38"/>
      <c r="C47" s="279" t="str">
        <f>"0:"</f>
        <v>0:</v>
      </c>
      <c r="D47" s="281" t="s">
        <v>918</v>
      </c>
      <c r="E47" s="40"/>
      <c r="F47" s="40"/>
      <c r="G47" s="40"/>
      <c r="H47" s="40"/>
      <c r="I47" s="40"/>
      <c r="J47" s="40"/>
      <c r="K47" s="41"/>
    </row>
    <row r="48" spans="2:14" ht="9.75" customHeight="1" x14ac:dyDescent="0.2">
      <c r="B48" s="38"/>
      <c r="C48" s="280" t="str">
        <f>"1:"</f>
        <v>1:</v>
      </c>
      <c r="D48" s="281" t="s">
        <v>919</v>
      </c>
      <c r="E48" s="40"/>
      <c r="F48" s="40"/>
      <c r="G48" s="40"/>
      <c r="H48" s="40"/>
      <c r="I48" s="40"/>
      <c r="J48" s="40"/>
      <c r="K48" s="41"/>
    </row>
    <row r="49" spans="2:14" ht="9.75" customHeight="1" x14ac:dyDescent="0.2">
      <c r="B49" s="38"/>
      <c r="C49" s="280" t="str">
        <f>"2:"</f>
        <v>2:</v>
      </c>
      <c r="D49" s="281" t="s">
        <v>920</v>
      </c>
      <c r="E49" s="40"/>
      <c r="F49" s="40"/>
      <c r="G49" s="40"/>
      <c r="H49" s="40"/>
      <c r="I49" s="40"/>
      <c r="J49" s="40"/>
      <c r="K49" s="41"/>
    </row>
    <row r="50" spans="2:14" ht="9.75" customHeight="1" x14ac:dyDescent="0.2">
      <c r="B50" s="38"/>
      <c r="C50" s="280" t="str">
        <f>"3:"</f>
        <v>3:</v>
      </c>
      <c r="D50" s="281" t="s">
        <v>921</v>
      </c>
      <c r="E50" s="40"/>
      <c r="F50" s="40"/>
      <c r="G50" s="40"/>
      <c r="H50" s="40"/>
      <c r="I50" s="40"/>
      <c r="J50" s="40"/>
      <c r="K50" s="41"/>
    </row>
    <row r="51" spans="2:14" ht="9.75" customHeight="1" x14ac:dyDescent="0.2">
      <c r="B51" s="38"/>
      <c r="C51" s="280" t="str">
        <f>"4:"</f>
        <v>4:</v>
      </c>
      <c r="D51" s="281" t="s">
        <v>922</v>
      </c>
      <c r="E51" s="40"/>
      <c r="F51" s="40"/>
      <c r="G51" s="40"/>
      <c r="H51" s="40"/>
      <c r="I51" s="40"/>
      <c r="J51" s="40"/>
      <c r="K51" s="41"/>
      <c r="N51" s="12" t="s">
        <v>661</v>
      </c>
    </row>
    <row r="52" spans="2:14" x14ac:dyDescent="0.2">
      <c r="B52" s="38"/>
      <c r="C52" s="174" t="s">
        <v>662</v>
      </c>
      <c r="D52" s="40"/>
      <c r="E52" s="40"/>
      <c r="F52" s="40"/>
      <c r="G52" s="40"/>
      <c r="H52" s="40"/>
      <c r="I52" s="40"/>
      <c r="J52" s="265" t="s">
        <v>661</v>
      </c>
      <c r="K52" s="41"/>
      <c r="N52" s="12" t="s">
        <v>894</v>
      </c>
    </row>
    <row r="53" spans="2:14" x14ac:dyDescent="0.2">
      <c r="B53" s="38"/>
      <c r="C53" s="174" t="s">
        <v>660</v>
      </c>
      <c r="D53" s="40"/>
      <c r="E53" s="40"/>
      <c r="F53" s="40"/>
      <c r="G53" s="40"/>
      <c r="H53" s="40"/>
      <c r="I53" s="40"/>
      <c r="J53" s="246" t="str">
        <f>IF(J52=N51,"N/A",IF(J52=N52,0,IF(J52=N53,1,IF(J52=N54,2,IF(J52=N55,3,IF(J52=N56,4,"N/A"))))))</f>
        <v>N/A</v>
      </c>
      <c r="K53" s="41"/>
      <c r="N53" s="12" t="s">
        <v>895</v>
      </c>
    </row>
    <row r="54" spans="2:14" x14ac:dyDescent="0.2">
      <c r="B54" s="38"/>
      <c r="C54" s="40" t="s">
        <v>257</v>
      </c>
      <c r="D54" s="40"/>
      <c r="E54" s="40"/>
      <c r="F54" s="40"/>
      <c r="G54" s="40"/>
      <c r="H54" s="40"/>
      <c r="I54" s="40"/>
      <c r="J54" s="266" t="s">
        <v>870</v>
      </c>
      <c r="K54" s="41"/>
      <c r="N54" s="12" t="s">
        <v>896</v>
      </c>
    </row>
    <row r="55" spans="2:14" x14ac:dyDescent="0.2">
      <c r="B55" s="38"/>
      <c r="C55" s="40" t="s">
        <v>261</v>
      </c>
      <c r="D55" s="40"/>
      <c r="E55" s="40"/>
      <c r="F55" s="40"/>
      <c r="G55" s="40"/>
      <c r="H55" s="40"/>
      <c r="I55" s="40"/>
      <c r="J55" s="245">
        <f>IF(J54=$B$973,$A$973,IF(J54=$B$974,$A$974,IF(J54=$B$975,$A$975,IF(J54=$B$976,$A$976,IF(J54=$B$977,$A$977,"Not Calculated")))))</f>
        <v>0</v>
      </c>
      <c r="K55" s="41"/>
      <c r="N55" s="12" t="s">
        <v>897</v>
      </c>
    </row>
    <row r="56" spans="2:14" x14ac:dyDescent="0.2">
      <c r="B56" s="38"/>
      <c r="C56" s="40" t="s">
        <v>893</v>
      </c>
      <c r="D56" s="40"/>
      <c r="E56" s="40"/>
      <c r="F56" s="40"/>
      <c r="G56" s="40"/>
      <c r="H56" s="40"/>
      <c r="I56" s="40"/>
      <c r="J56" s="175"/>
      <c r="K56" s="41"/>
      <c r="N56" s="12" t="s">
        <v>898</v>
      </c>
    </row>
    <row r="57" spans="2:14" s="178" customFormat="1" ht="30" customHeight="1" x14ac:dyDescent="0.2">
      <c r="B57" s="176"/>
      <c r="C57" s="415" t="s">
        <v>1334</v>
      </c>
      <c r="D57" s="400"/>
      <c r="E57" s="400"/>
      <c r="F57" s="400"/>
      <c r="G57" s="400"/>
      <c r="H57" s="400"/>
      <c r="I57" s="400"/>
      <c r="J57" s="401"/>
      <c r="K57" s="177"/>
      <c r="L57" s="178" t="s">
        <v>1100</v>
      </c>
    </row>
    <row r="58" spans="2:14" x14ac:dyDescent="0.2">
      <c r="B58" s="38"/>
      <c r="C58" s="40"/>
      <c r="D58" s="40"/>
      <c r="E58" s="40"/>
      <c r="F58" s="40"/>
      <c r="G58" s="40"/>
      <c r="H58" s="40"/>
      <c r="I58" s="40"/>
      <c r="J58" s="40"/>
      <c r="K58" s="41"/>
    </row>
    <row r="59" spans="2:14" x14ac:dyDescent="0.2">
      <c r="B59" s="38"/>
      <c r="C59" s="179" t="s">
        <v>263</v>
      </c>
      <c r="D59" s="40"/>
      <c r="E59" s="40"/>
      <c r="F59" s="40"/>
      <c r="G59" s="40"/>
      <c r="H59" s="40"/>
      <c r="I59" s="40"/>
      <c r="J59" s="245" t="str">
        <f>IF(J53="N/A",IF(OR(J46="Not Calculated",J55="Not Calculated")=TRUE,"Not Calculated",AVERAGE(J46,J55)),AVERAGE(J53,J55))</f>
        <v>Not Calculated</v>
      </c>
      <c r="K59" s="41"/>
    </row>
    <row r="60" spans="2:14" x14ac:dyDescent="0.2">
      <c r="B60" s="38"/>
      <c r="C60" s="40"/>
      <c r="D60" s="40"/>
      <c r="E60" s="40"/>
      <c r="F60" s="40"/>
      <c r="G60" s="40"/>
      <c r="H60" s="40"/>
      <c r="I60" s="40"/>
      <c r="J60" s="40"/>
      <c r="K60" s="41"/>
    </row>
    <row r="61" spans="2:14" x14ac:dyDescent="0.2">
      <c r="B61" s="38"/>
      <c r="C61" s="40"/>
      <c r="D61" s="40"/>
      <c r="E61" s="40"/>
      <c r="F61" s="40"/>
      <c r="G61" s="40"/>
      <c r="H61" s="40"/>
      <c r="I61" s="40"/>
      <c r="J61" s="40"/>
      <c r="K61" s="41"/>
    </row>
    <row r="62" spans="2:14" ht="16" x14ac:dyDescent="0.2">
      <c r="B62" s="38"/>
      <c r="C62" s="45" t="s">
        <v>54</v>
      </c>
      <c r="D62" s="40"/>
      <c r="E62" s="40"/>
      <c r="F62" s="40"/>
      <c r="G62" s="40"/>
      <c r="H62" s="40"/>
      <c r="I62" s="40"/>
      <c r="J62" s="40"/>
      <c r="K62" s="41"/>
    </row>
    <row r="63" spans="2:14" x14ac:dyDescent="0.2">
      <c r="B63" s="38"/>
      <c r="C63" s="40" t="s">
        <v>436</v>
      </c>
      <c r="D63" s="40"/>
      <c r="E63" s="40"/>
      <c r="F63" s="40"/>
      <c r="G63" s="40"/>
      <c r="H63" s="40"/>
      <c r="I63" s="40"/>
      <c r="J63" s="252">
        <f>'Baseline Health'!G23</f>
        <v>0</v>
      </c>
      <c r="K63" s="41"/>
    </row>
    <row r="64" spans="2:14" x14ac:dyDescent="0.2">
      <c r="B64" s="38"/>
      <c r="C64" s="40" t="s">
        <v>289</v>
      </c>
      <c r="D64" s="40"/>
      <c r="E64" s="40"/>
      <c r="F64" s="40"/>
      <c r="G64" s="40"/>
      <c r="H64" s="40"/>
      <c r="I64" s="40"/>
      <c r="J64" s="264">
        <f>'Baseline Health'!$G$6*0.00003971/30</f>
        <v>0</v>
      </c>
      <c r="K64" s="41"/>
      <c r="L64" s="12" t="s">
        <v>1263</v>
      </c>
    </row>
    <row r="65" spans="2:14" x14ac:dyDescent="0.2">
      <c r="B65" s="38"/>
      <c r="C65" s="40" t="s">
        <v>260</v>
      </c>
      <c r="D65" s="40"/>
      <c r="E65" s="40"/>
      <c r="F65" s="40"/>
      <c r="G65" s="40"/>
      <c r="H65" s="40"/>
      <c r="I65" s="40"/>
      <c r="J65" s="248" t="str">
        <f>IF(OR(J63=0,J63="Not Calculated")=TRUE,"Not Calculated",(IF(((J64+J63)/J63)&lt;=1,0,IF(((J64+J63)/J63)&lt;=1.05,1,IF(((J64+J63)/J63)&lt;=1.5, 2,IF(((J64+J63)/J63)&lt;=2,3,4))))))</f>
        <v>Not Calculated</v>
      </c>
      <c r="K65" s="41"/>
    </row>
    <row r="66" spans="2:14" ht="9.75" customHeight="1" x14ac:dyDescent="0.2">
      <c r="B66" s="38"/>
      <c r="C66" s="279" t="str">
        <f>"0:"</f>
        <v>0:</v>
      </c>
      <c r="D66" s="281" t="s">
        <v>918</v>
      </c>
      <c r="E66" s="40"/>
      <c r="F66" s="40"/>
      <c r="G66" s="40"/>
      <c r="H66" s="40"/>
      <c r="I66" s="40"/>
      <c r="J66" s="40"/>
      <c r="K66" s="41"/>
    </row>
    <row r="67" spans="2:14" ht="9.75" customHeight="1" x14ac:dyDescent="0.2">
      <c r="B67" s="38"/>
      <c r="C67" s="280" t="str">
        <f>"1:"</f>
        <v>1:</v>
      </c>
      <c r="D67" s="281" t="s">
        <v>919</v>
      </c>
      <c r="E67" s="40"/>
      <c r="F67" s="40"/>
      <c r="G67" s="40"/>
      <c r="H67" s="40"/>
      <c r="I67" s="40"/>
      <c r="J67" s="40"/>
      <c r="K67" s="41"/>
    </row>
    <row r="68" spans="2:14" ht="9.75" customHeight="1" x14ac:dyDescent="0.2">
      <c r="B68" s="38"/>
      <c r="C68" s="280" t="str">
        <f>"2:"</f>
        <v>2:</v>
      </c>
      <c r="D68" s="281" t="s">
        <v>920</v>
      </c>
      <c r="E68" s="40"/>
      <c r="F68" s="40"/>
      <c r="G68" s="40"/>
      <c r="H68" s="40"/>
      <c r="I68" s="40"/>
      <c r="J68" s="40"/>
      <c r="K68" s="41"/>
    </row>
    <row r="69" spans="2:14" ht="9.75" customHeight="1" x14ac:dyDescent="0.2">
      <c r="B69" s="38"/>
      <c r="C69" s="280" t="str">
        <f>"3:"</f>
        <v>3:</v>
      </c>
      <c r="D69" s="281" t="s">
        <v>921</v>
      </c>
      <c r="E69" s="40"/>
      <c r="F69" s="40"/>
      <c r="G69" s="40"/>
      <c r="H69" s="40"/>
      <c r="I69" s="40"/>
      <c r="J69" s="40"/>
      <c r="K69" s="41"/>
    </row>
    <row r="70" spans="2:14" ht="9.75" customHeight="1" x14ac:dyDescent="0.2">
      <c r="B70" s="38"/>
      <c r="C70" s="280" t="str">
        <f>"4:"</f>
        <v>4:</v>
      </c>
      <c r="D70" s="281" t="s">
        <v>922</v>
      </c>
      <c r="E70" s="40"/>
      <c r="F70" s="40"/>
      <c r="G70" s="40"/>
      <c r="H70" s="40"/>
      <c r="I70" s="40"/>
      <c r="J70" s="40"/>
      <c r="K70" s="41"/>
      <c r="N70" s="12" t="s">
        <v>661</v>
      </c>
    </row>
    <row r="71" spans="2:14" x14ac:dyDescent="0.2">
      <c r="B71" s="38"/>
      <c r="C71" s="174" t="s">
        <v>662</v>
      </c>
      <c r="D71" s="40"/>
      <c r="E71" s="40"/>
      <c r="F71" s="40"/>
      <c r="G71" s="40"/>
      <c r="H71" s="40"/>
      <c r="I71" s="40"/>
      <c r="J71" s="265" t="s">
        <v>661</v>
      </c>
      <c r="K71" s="41"/>
      <c r="N71" s="12" t="s">
        <v>894</v>
      </c>
    </row>
    <row r="72" spans="2:14" x14ac:dyDescent="0.2">
      <c r="B72" s="38"/>
      <c r="C72" s="174" t="s">
        <v>660</v>
      </c>
      <c r="D72" s="40"/>
      <c r="E72" s="40"/>
      <c r="F72" s="40"/>
      <c r="G72" s="40"/>
      <c r="H72" s="40"/>
      <c r="I72" s="40"/>
      <c r="J72" s="246" t="str">
        <f>IF(J71=N70,"N/A",IF(J71=N71,0,IF(J71=N72,1,IF(J71=N73,2,IF(J71=N74,3,IF(J71=N75,4,"N/A"))))))</f>
        <v>N/A</v>
      </c>
      <c r="K72" s="41"/>
      <c r="N72" s="12" t="s">
        <v>895</v>
      </c>
    </row>
    <row r="73" spans="2:14" x14ac:dyDescent="0.2">
      <c r="B73" s="38"/>
      <c r="C73" s="40" t="s">
        <v>257</v>
      </c>
      <c r="D73" s="40"/>
      <c r="E73" s="40"/>
      <c r="F73" s="40"/>
      <c r="G73" s="40"/>
      <c r="H73" s="40"/>
      <c r="I73" s="40"/>
      <c r="J73" s="266" t="s">
        <v>874</v>
      </c>
      <c r="K73" s="41"/>
      <c r="N73" s="12" t="s">
        <v>896</v>
      </c>
    </row>
    <row r="74" spans="2:14" x14ac:dyDescent="0.2">
      <c r="B74" s="38"/>
      <c r="C74" s="40" t="s">
        <v>261</v>
      </c>
      <c r="D74" s="40"/>
      <c r="E74" s="40"/>
      <c r="F74" s="40"/>
      <c r="G74" s="40"/>
      <c r="H74" s="40"/>
      <c r="I74" s="40"/>
      <c r="J74" s="245">
        <f>IF(J73=$B$973,$A$973,IF(J73=$B$974,$A$974,IF(J73=$B$975,$A$975,IF(J73=$B$976,$A$976,IF(J73=$B$977,$A$977,"Not Calculated")))))</f>
        <v>4</v>
      </c>
      <c r="K74" s="41"/>
      <c r="N74" s="12" t="s">
        <v>897</v>
      </c>
    </row>
    <row r="75" spans="2:14" x14ac:dyDescent="0.2">
      <c r="B75" s="38"/>
      <c r="C75" s="40" t="s">
        <v>893</v>
      </c>
      <c r="D75" s="40"/>
      <c r="E75" s="40"/>
      <c r="F75" s="40"/>
      <c r="G75" s="40"/>
      <c r="H75" s="40"/>
      <c r="I75" s="40"/>
      <c r="J75" s="175"/>
      <c r="K75" s="41"/>
      <c r="N75" s="12" t="s">
        <v>898</v>
      </c>
    </row>
    <row r="76" spans="2:14" s="178" customFormat="1" ht="60" customHeight="1" x14ac:dyDescent="0.2">
      <c r="B76" s="176"/>
      <c r="C76" s="415" t="s">
        <v>1264</v>
      </c>
      <c r="D76" s="400"/>
      <c r="E76" s="400"/>
      <c r="F76" s="400"/>
      <c r="G76" s="400"/>
      <c r="H76" s="400"/>
      <c r="I76" s="400"/>
      <c r="J76" s="401"/>
      <c r="K76" s="177"/>
    </row>
    <row r="77" spans="2:14" x14ac:dyDescent="0.2">
      <c r="B77" s="38"/>
      <c r="C77" s="40"/>
      <c r="D77" s="40"/>
      <c r="E77" s="40"/>
      <c r="F77" s="40"/>
      <c r="G77" s="40"/>
      <c r="H77" s="40"/>
      <c r="I77" s="40"/>
      <c r="J77" s="40"/>
      <c r="K77" s="41"/>
    </row>
    <row r="78" spans="2:14" x14ac:dyDescent="0.2">
      <c r="B78" s="38"/>
      <c r="C78" s="179" t="s">
        <v>264</v>
      </c>
      <c r="D78" s="40"/>
      <c r="E78" s="40"/>
      <c r="F78" s="40"/>
      <c r="G78" s="40"/>
      <c r="H78" s="40"/>
      <c r="I78" s="40"/>
      <c r="J78" s="245" t="str">
        <f>IF(J72="N/A",IF(OR(J65="Not Calculated",J74="Not Calculated")=TRUE,"Not Calculated",AVERAGE(J65,J74)),AVERAGE(J72,J74))</f>
        <v>Not Calculated</v>
      </c>
      <c r="K78" s="41"/>
    </row>
    <row r="79" spans="2:14" x14ac:dyDescent="0.2">
      <c r="B79" s="38"/>
      <c r="C79" s="40"/>
      <c r="D79" s="40"/>
      <c r="E79" s="40"/>
      <c r="F79" s="40"/>
      <c r="G79" s="40"/>
      <c r="H79" s="40"/>
      <c r="I79" s="40"/>
      <c r="J79" s="40"/>
      <c r="K79" s="41"/>
    </row>
    <row r="80" spans="2:14" x14ac:dyDescent="0.2">
      <c r="B80" s="38"/>
      <c r="C80" s="40"/>
      <c r="D80" s="40"/>
      <c r="E80" s="40"/>
      <c r="F80" s="40"/>
      <c r="G80" s="40"/>
      <c r="H80" s="40"/>
      <c r="I80" s="40"/>
      <c r="J80" s="40"/>
      <c r="K80" s="41"/>
    </row>
    <row r="81" spans="2:14" ht="16" x14ac:dyDescent="0.2">
      <c r="B81" s="38"/>
      <c r="C81" s="45" t="s">
        <v>57</v>
      </c>
      <c r="D81" s="40"/>
      <c r="E81" s="40"/>
      <c r="F81" s="40"/>
      <c r="G81" s="40"/>
      <c r="H81" s="40"/>
      <c r="I81" s="40"/>
      <c r="J81" s="40"/>
      <c r="K81" s="41"/>
    </row>
    <row r="82" spans="2:14" x14ac:dyDescent="0.2">
      <c r="B82" s="38"/>
      <c r="C82" s="40" t="s">
        <v>437</v>
      </c>
      <c r="D82" s="40"/>
      <c r="E82" s="40"/>
      <c r="F82" s="40"/>
      <c r="G82" s="40"/>
      <c r="H82" s="40"/>
      <c r="I82" s="40"/>
      <c r="J82" s="252">
        <f>'Baseline Health'!G29</f>
        <v>0</v>
      </c>
      <c r="K82" s="41"/>
    </row>
    <row r="83" spans="2:14" x14ac:dyDescent="0.2">
      <c r="B83" s="38"/>
      <c r="C83" s="40" t="s">
        <v>290</v>
      </c>
      <c r="D83" s="40"/>
      <c r="E83" s="40"/>
      <c r="F83" s="40"/>
      <c r="G83" s="40"/>
      <c r="H83" s="40"/>
      <c r="I83" s="40"/>
      <c r="J83" s="264">
        <f>'Baseline Health'!$G$6*0.00003751</f>
        <v>0</v>
      </c>
      <c r="K83" s="41"/>
      <c r="L83" s="12" t="s">
        <v>1336</v>
      </c>
    </row>
    <row r="84" spans="2:14" x14ac:dyDescent="0.2">
      <c r="B84" s="38"/>
      <c r="C84" s="40" t="s">
        <v>260</v>
      </c>
      <c r="D84" s="40"/>
      <c r="E84" s="40"/>
      <c r="F84" s="40"/>
      <c r="G84" s="40"/>
      <c r="H84" s="40"/>
      <c r="I84" s="40"/>
      <c r="J84" s="248" t="str">
        <f>IF(OR(J82=0,J82="Not Calculated")=TRUE,"Not Calculated",(IF(((J83+J82)/J82)&lt;=1,0,IF(((J83+J82)/J82)&lt;=1.05,1,IF(((J83+J82)/J82)&lt;=1.5, 2,IF(((J83+J82)/J82)&lt;=2,3,4))))))</f>
        <v>Not Calculated</v>
      </c>
      <c r="K84" s="41"/>
    </row>
    <row r="85" spans="2:14" ht="9.75" customHeight="1" x14ac:dyDescent="0.2">
      <c r="B85" s="38"/>
      <c r="C85" s="279" t="str">
        <f>"0:"</f>
        <v>0:</v>
      </c>
      <c r="D85" s="281" t="s">
        <v>918</v>
      </c>
      <c r="E85" s="40"/>
      <c r="F85" s="40"/>
      <c r="G85" s="40"/>
      <c r="H85" s="40"/>
      <c r="I85" s="40"/>
      <c r="J85" s="40"/>
      <c r="K85" s="41"/>
    </row>
    <row r="86" spans="2:14" ht="9.75" customHeight="1" x14ac:dyDescent="0.2">
      <c r="B86" s="38"/>
      <c r="C86" s="280" t="str">
        <f>"1:"</f>
        <v>1:</v>
      </c>
      <c r="D86" s="281" t="s">
        <v>919</v>
      </c>
      <c r="E86" s="40"/>
      <c r="F86" s="40"/>
      <c r="G86" s="40"/>
      <c r="H86" s="40"/>
      <c r="I86" s="40"/>
      <c r="J86" s="40"/>
      <c r="K86" s="41"/>
    </row>
    <row r="87" spans="2:14" ht="9.75" customHeight="1" x14ac:dyDescent="0.2">
      <c r="B87" s="38"/>
      <c r="C87" s="280" t="str">
        <f>"2:"</f>
        <v>2:</v>
      </c>
      <c r="D87" s="281" t="s">
        <v>920</v>
      </c>
      <c r="E87" s="40"/>
      <c r="F87" s="40"/>
      <c r="G87" s="40"/>
      <c r="H87" s="40"/>
      <c r="I87" s="40"/>
      <c r="J87" s="40"/>
      <c r="K87" s="41"/>
    </row>
    <row r="88" spans="2:14" ht="9.75" customHeight="1" x14ac:dyDescent="0.2">
      <c r="B88" s="38"/>
      <c r="C88" s="280" t="str">
        <f>"3:"</f>
        <v>3:</v>
      </c>
      <c r="D88" s="281" t="s">
        <v>921</v>
      </c>
      <c r="E88" s="40"/>
      <c r="F88" s="40"/>
      <c r="G88" s="40"/>
      <c r="H88" s="40"/>
      <c r="I88" s="40"/>
      <c r="J88" s="40"/>
      <c r="K88" s="41"/>
    </row>
    <row r="89" spans="2:14" ht="9.75" customHeight="1" x14ac:dyDescent="0.2">
      <c r="B89" s="38"/>
      <c r="C89" s="280" t="str">
        <f>"4:"</f>
        <v>4:</v>
      </c>
      <c r="D89" s="281" t="s">
        <v>922</v>
      </c>
      <c r="E89" s="40"/>
      <c r="F89" s="40"/>
      <c r="G89" s="40"/>
      <c r="H89" s="40"/>
      <c r="I89" s="40"/>
      <c r="J89" s="40"/>
      <c r="K89" s="41"/>
      <c r="N89" s="12" t="s">
        <v>661</v>
      </c>
    </row>
    <row r="90" spans="2:14" x14ac:dyDescent="0.2">
      <c r="B90" s="38"/>
      <c r="C90" s="174" t="s">
        <v>662</v>
      </c>
      <c r="D90" s="40"/>
      <c r="E90" s="40"/>
      <c r="F90" s="40"/>
      <c r="G90" s="40"/>
      <c r="H90" s="40"/>
      <c r="I90" s="40"/>
      <c r="J90" s="265" t="s">
        <v>661</v>
      </c>
      <c r="K90" s="41"/>
      <c r="N90" s="12" t="s">
        <v>894</v>
      </c>
    </row>
    <row r="91" spans="2:14" x14ac:dyDescent="0.2">
      <c r="B91" s="38"/>
      <c r="C91" s="174" t="s">
        <v>660</v>
      </c>
      <c r="D91" s="40"/>
      <c r="E91" s="40"/>
      <c r="F91" s="40"/>
      <c r="G91" s="40"/>
      <c r="H91" s="40"/>
      <c r="I91" s="40"/>
      <c r="J91" s="246" t="str">
        <f>IF(J90=N89,"N/A",IF(J90=N90,0,IF(J90=N91,1,IF(J90=N92,2,IF(J90=N93,3,IF(J90=N94,4,"N/A"))))))</f>
        <v>N/A</v>
      </c>
      <c r="K91" s="41"/>
      <c r="N91" s="12" t="s">
        <v>895</v>
      </c>
    </row>
    <row r="92" spans="2:14" x14ac:dyDescent="0.2">
      <c r="B92" s="38"/>
      <c r="C92" s="40" t="s">
        <v>257</v>
      </c>
      <c r="D92" s="40"/>
      <c r="E92" s="40"/>
      <c r="F92" s="40"/>
      <c r="G92" s="40"/>
      <c r="H92" s="40"/>
      <c r="I92" s="40"/>
      <c r="J92" s="266" t="s">
        <v>874</v>
      </c>
      <c r="K92" s="41"/>
      <c r="N92" s="12" t="s">
        <v>896</v>
      </c>
    </row>
    <row r="93" spans="2:14" x14ac:dyDescent="0.2">
      <c r="B93" s="38"/>
      <c r="C93" s="40" t="s">
        <v>261</v>
      </c>
      <c r="D93" s="40"/>
      <c r="E93" s="40"/>
      <c r="F93" s="40"/>
      <c r="G93" s="40"/>
      <c r="H93" s="40"/>
      <c r="I93" s="40"/>
      <c r="J93" s="245">
        <f>IF(J92=$B$973,$A$973,IF(J92=$B$974,$A$974,IF(J92=$B$975,$A$975,IF(J92=$B$976,$A$976,IF(J92=$B$977,$A$977,"Not Calculated")))))</f>
        <v>4</v>
      </c>
      <c r="K93" s="41"/>
      <c r="N93" s="12" t="s">
        <v>897</v>
      </c>
    </row>
    <row r="94" spans="2:14" x14ac:dyDescent="0.2">
      <c r="B94" s="38"/>
      <c r="C94" s="40" t="s">
        <v>893</v>
      </c>
      <c r="D94" s="40"/>
      <c r="E94" s="40"/>
      <c r="F94" s="40"/>
      <c r="G94" s="40"/>
      <c r="H94" s="40"/>
      <c r="I94" s="40"/>
      <c r="J94" s="175"/>
      <c r="K94" s="41"/>
      <c r="N94" s="12" t="s">
        <v>898</v>
      </c>
    </row>
    <row r="95" spans="2:14" s="178" customFormat="1" ht="90" customHeight="1" x14ac:dyDescent="0.2">
      <c r="B95" s="176"/>
      <c r="C95" s="415" t="s">
        <v>1335</v>
      </c>
      <c r="D95" s="400"/>
      <c r="E95" s="400"/>
      <c r="F95" s="400"/>
      <c r="G95" s="400"/>
      <c r="H95" s="400"/>
      <c r="I95" s="400"/>
      <c r="J95" s="401"/>
      <c r="K95" s="177"/>
    </row>
    <row r="96" spans="2:14" x14ac:dyDescent="0.2">
      <c r="B96" s="38"/>
      <c r="C96" s="40"/>
      <c r="D96" s="40"/>
      <c r="E96" s="40"/>
      <c r="F96" s="40"/>
      <c r="G96" s="40"/>
      <c r="H96" s="40"/>
      <c r="I96" s="40"/>
      <c r="J96" s="40"/>
      <c r="K96" s="41"/>
    </row>
    <row r="97" spans="2:14" x14ac:dyDescent="0.2">
      <c r="B97" s="38"/>
      <c r="C97" s="179" t="s">
        <v>265</v>
      </c>
      <c r="D97" s="40"/>
      <c r="E97" s="40"/>
      <c r="F97" s="40"/>
      <c r="G97" s="40"/>
      <c r="H97" s="40"/>
      <c r="I97" s="40"/>
      <c r="J97" s="245" t="str">
        <f>IF(J91="N/A",IF(OR(J84="Not Calculated",J93="Not Calculated")=TRUE,"Not Calculated",AVERAGE(J84,J93)),AVERAGE(J91,J93))</f>
        <v>Not Calculated</v>
      </c>
      <c r="K97" s="41"/>
    </row>
    <row r="98" spans="2:14" x14ac:dyDescent="0.2">
      <c r="B98" s="38"/>
      <c r="C98" s="40"/>
      <c r="D98" s="40"/>
      <c r="E98" s="40"/>
      <c r="F98" s="40"/>
      <c r="G98" s="40"/>
      <c r="H98" s="40"/>
      <c r="I98" s="40"/>
      <c r="J98" s="40"/>
      <c r="K98" s="41"/>
    </row>
    <row r="99" spans="2:14" x14ac:dyDescent="0.2">
      <c r="B99" s="38"/>
      <c r="C99" s="40"/>
      <c r="D99" s="40"/>
      <c r="E99" s="40"/>
      <c r="F99" s="40"/>
      <c r="G99" s="40"/>
      <c r="H99" s="40"/>
      <c r="I99" s="40"/>
      <c r="J99" s="40"/>
      <c r="K99" s="41"/>
    </row>
    <row r="100" spans="2:14" ht="16" x14ac:dyDescent="0.2">
      <c r="B100" s="38"/>
      <c r="C100" s="45" t="s">
        <v>60</v>
      </c>
      <c r="D100" s="40"/>
      <c r="E100" s="40"/>
      <c r="F100" s="40"/>
      <c r="G100" s="40"/>
      <c r="H100" s="40"/>
      <c r="I100" s="40"/>
      <c r="J100" s="40"/>
      <c r="K100" s="41"/>
    </row>
    <row r="101" spans="2:14" x14ac:dyDescent="0.2">
      <c r="B101" s="38"/>
      <c r="C101" s="40" t="s">
        <v>438</v>
      </c>
      <c r="D101" s="40"/>
      <c r="E101" s="40"/>
      <c r="F101" s="40"/>
      <c r="G101" s="40"/>
      <c r="H101" s="40"/>
      <c r="I101" s="40"/>
      <c r="J101" s="252">
        <f>'Baseline Health'!G35</f>
        <v>0</v>
      </c>
      <c r="K101" s="41"/>
    </row>
    <row r="102" spans="2:14" x14ac:dyDescent="0.2">
      <c r="B102" s="38"/>
      <c r="C102" s="40" t="s">
        <v>291</v>
      </c>
      <c r="D102" s="40"/>
      <c r="E102" s="40"/>
      <c r="F102" s="40"/>
      <c r="G102" s="40"/>
      <c r="H102" s="40"/>
      <c r="I102" s="40"/>
      <c r="J102" s="264">
        <v>0</v>
      </c>
      <c r="K102" s="41"/>
    </row>
    <row r="103" spans="2:14" x14ac:dyDescent="0.2">
      <c r="B103" s="38"/>
      <c r="C103" s="40" t="s">
        <v>260</v>
      </c>
      <c r="D103" s="40"/>
      <c r="E103" s="40"/>
      <c r="F103" s="40"/>
      <c r="G103" s="40"/>
      <c r="H103" s="40"/>
      <c r="I103" s="40"/>
      <c r="J103" s="248" t="str">
        <f>IF(OR(J101=0,J101="Not Calculated")=TRUE,"Not Calculated",(IF(((J102+J101)/J101)&lt;=1,0,IF(((J102+J101)/J101)&lt;=1.05,1,IF(((J102+J101)/J101)&lt;=1.5, 2,IF(((J102+J101)/J101)&lt;=2,3,4))))))</f>
        <v>Not Calculated</v>
      </c>
      <c r="K103" s="41"/>
    </row>
    <row r="104" spans="2:14" ht="9.75" customHeight="1" x14ac:dyDescent="0.2">
      <c r="B104" s="38"/>
      <c r="C104" s="279" t="str">
        <f>"0:"</f>
        <v>0:</v>
      </c>
      <c r="D104" s="281" t="s">
        <v>918</v>
      </c>
      <c r="E104" s="40"/>
      <c r="F104" s="40"/>
      <c r="G104" s="40"/>
      <c r="H104" s="40"/>
      <c r="I104" s="40"/>
      <c r="J104" s="40"/>
      <c r="K104" s="41"/>
    </row>
    <row r="105" spans="2:14" ht="9.75" customHeight="1" x14ac:dyDescent="0.2">
      <c r="B105" s="38"/>
      <c r="C105" s="280" t="str">
        <f>"1:"</f>
        <v>1:</v>
      </c>
      <c r="D105" s="281" t="s">
        <v>919</v>
      </c>
      <c r="E105" s="40"/>
      <c r="F105" s="40"/>
      <c r="G105" s="40"/>
      <c r="H105" s="40"/>
      <c r="I105" s="40"/>
      <c r="J105" s="40"/>
      <c r="K105" s="41"/>
    </row>
    <row r="106" spans="2:14" ht="9.75" customHeight="1" x14ac:dyDescent="0.2">
      <c r="B106" s="38"/>
      <c r="C106" s="280" t="str">
        <f>"2:"</f>
        <v>2:</v>
      </c>
      <c r="D106" s="281" t="s">
        <v>920</v>
      </c>
      <c r="E106" s="40"/>
      <c r="F106" s="40"/>
      <c r="G106" s="40"/>
      <c r="H106" s="40"/>
      <c r="I106" s="40"/>
      <c r="J106" s="40"/>
      <c r="K106" s="41"/>
    </row>
    <row r="107" spans="2:14" ht="9.75" customHeight="1" x14ac:dyDescent="0.2">
      <c r="B107" s="38"/>
      <c r="C107" s="280" t="str">
        <f>"3:"</f>
        <v>3:</v>
      </c>
      <c r="D107" s="281" t="s">
        <v>921</v>
      </c>
      <c r="E107" s="40"/>
      <c r="F107" s="40"/>
      <c r="G107" s="40"/>
      <c r="H107" s="40"/>
      <c r="I107" s="40"/>
      <c r="J107" s="40"/>
      <c r="K107" s="41"/>
    </row>
    <row r="108" spans="2:14" ht="9.75" customHeight="1" x14ac:dyDescent="0.2">
      <c r="B108" s="38"/>
      <c r="C108" s="280" t="str">
        <f>"4:"</f>
        <v>4:</v>
      </c>
      <c r="D108" s="281" t="s">
        <v>922</v>
      </c>
      <c r="E108" s="40"/>
      <c r="F108" s="40"/>
      <c r="G108" s="40"/>
      <c r="H108" s="40"/>
      <c r="I108" s="40"/>
      <c r="J108" s="40"/>
      <c r="K108" s="41"/>
      <c r="N108" s="12" t="s">
        <v>661</v>
      </c>
    </row>
    <row r="109" spans="2:14" x14ac:dyDescent="0.2">
      <c r="B109" s="38"/>
      <c r="C109" s="174" t="s">
        <v>662</v>
      </c>
      <c r="D109" s="40"/>
      <c r="E109" s="40"/>
      <c r="F109" s="40"/>
      <c r="G109" s="40"/>
      <c r="H109" s="40"/>
      <c r="I109" s="40"/>
      <c r="J109" s="265" t="s">
        <v>661</v>
      </c>
      <c r="K109" s="41"/>
      <c r="N109" s="12" t="s">
        <v>894</v>
      </c>
    </row>
    <row r="110" spans="2:14" x14ac:dyDescent="0.2">
      <c r="B110" s="38"/>
      <c r="C110" s="174" t="s">
        <v>660</v>
      </c>
      <c r="D110" s="40"/>
      <c r="E110" s="40"/>
      <c r="F110" s="40"/>
      <c r="G110" s="40"/>
      <c r="H110" s="40"/>
      <c r="I110" s="40"/>
      <c r="J110" s="246" t="str">
        <f>IF(J109=N108,"N/A",IF(J109=N109,0,IF(J109=N110,1,IF(J109=N111,2,IF(J109=N112,3,IF(J109=N113,4,"N/A"))))))</f>
        <v>N/A</v>
      </c>
      <c r="K110" s="41"/>
      <c r="N110" s="12" t="s">
        <v>895</v>
      </c>
    </row>
    <row r="111" spans="2:14" x14ac:dyDescent="0.2">
      <c r="B111" s="38"/>
      <c r="C111" s="40" t="s">
        <v>257</v>
      </c>
      <c r="D111" s="40"/>
      <c r="E111" s="40"/>
      <c r="F111" s="40"/>
      <c r="G111" s="40"/>
      <c r="H111" s="40"/>
      <c r="I111" s="40"/>
      <c r="J111" s="266" t="s">
        <v>870</v>
      </c>
      <c r="K111" s="41"/>
      <c r="N111" s="12" t="s">
        <v>896</v>
      </c>
    </row>
    <row r="112" spans="2:14" x14ac:dyDescent="0.2">
      <c r="B112" s="38"/>
      <c r="C112" s="40" t="s">
        <v>261</v>
      </c>
      <c r="D112" s="40"/>
      <c r="E112" s="40"/>
      <c r="F112" s="40"/>
      <c r="G112" s="40"/>
      <c r="H112" s="40"/>
      <c r="I112" s="40"/>
      <c r="J112" s="245">
        <f>IF(J111=$B$973,$A$973,IF(J111=$B$974,$A$974,IF(J111=$B$975,$A$975,IF(J111=$B$976,$A$976,IF(J111=$B$977,$A$977,"Not Calculated")))))</f>
        <v>0</v>
      </c>
      <c r="K112" s="41"/>
      <c r="N112" s="12" t="s">
        <v>897</v>
      </c>
    </row>
    <row r="113" spans="2:14" x14ac:dyDescent="0.2">
      <c r="B113" s="38"/>
      <c r="C113" s="40" t="s">
        <v>893</v>
      </c>
      <c r="D113" s="40"/>
      <c r="E113" s="40"/>
      <c r="F113" s="40"/>
      <c r="G113" s="40"/>
      <c r="H113" s="40"/>
      <c r="I113" s="40"/>
      <c r="J113" s="175"/>
      <c r="K113" s="41"/>
      <c r="N113" s="12" t="s">
        <v>898</v>
      </c>
    </row>
    <row r="114" spans="2:14" s="178" customFormat="1" ht="30" customHeight="1" x14ac:dyDescent="0.2">
      <c r="B114" s="176"/>
      <c r="C114" s="415"/>
      <c r="D114" s="400"/>
      <c r="E114" s="400"/>
      <c r="F114" s="400"/>
      <c r="G114" s="400"/>
      <c r="H114" s="400"/>
      <c r="I114" s="400"/>
      <c r="J114" s="400"/>
      <c r="K114" s="177"/>
    </row>
    <row r="115" spans="2:14" x14ac:dyDescent="0.2">
      <c r="B115" s="38"/>
      <c r="C115" s="40"/>
      <c r="D115" s="40"/>
      <c r="E115" s="40"/>
      <c r="F115" s="40"/>
      <c r="G115" s="40"/>
      <c r="H115" s="40"/>
      <c r="I115" s="40"/>
      <c r="J115" s="40"/>
      <c r="K115" s="41"/>
    </row>
    <row r="116" spans="2:14" x14ac:dyDescent="0.2">
      <c r="B116" s="38"/>
      <c r="C116" s="179" t="s">
        <v>266</v>
      </c>
      <c r="D116" s="40"/>
      <c r="E116" s="40"/>
      <c r="F116" s="40"/>
      <c r="G116" s="40"/>
      <c r="H116" s="40"/>
      <c r="I116" s="40"/>
      <c r="J116" s="245" t="str">
        <f>IF(J110="N/A",IF(OR(J103="Not Calculated",J112="Not Calculated")=TRUE,"Not Calculated",AVERAGE(J103,J112)),AVERAGE(J110,J112))</f>
        <v>Not Calculated</v>
      </c>
      <c r="K116" s="41"/>
    </row>
    <row r="117" spans="2:14" x14ac:dyDescent="0.2">
      <c r="B117" s="38"/>
      <c r="C117" s="40"/>
      <c r="D117" s="40"/>
      <c r="E117" s="40"/>
      <c r="F117" s="40"/>
      <c r="G117" s="40"/>
      <c r="H117" s="40"/>
      <c r="I117" s="40"/>
      <c r="J117" s="40"/>
      <c r="K117" s="41"/>
    </row>
    <row r="118" spans="2:14" x14ac:dyDescent="0.2">
      <c r="B118" s="38"/>
      <c r="C118" s="40"/>
      <c r="D118" s="40"/>
      <c r="E118" s="40"/>
      <c r="F118" s="40"/>
      <c r="G118" s="40"/>
      <c r="H118" s="40"/>
      <c r="I118" s="40"/>
      <c r="J118" s="40"/>
      <c r="K118" s="41"/>
    </row>
    <row r="119" spans="2:14" ht="16" x14ac:dyDescent="0.2">
      <c r="B119" s="38"/>
      <c r="C119" s="45" t="s">
        <v>262</v>
      </c>
      <c r="D119" s="40"/>
      <c r="E119" s="40"/>
      <c r="F119" s="40"/>
      <c r="G119" s="40"/>
      <c r="H119" s="40"/>
      <c r="I119" s="40"/>
      <c r="J119" s="40"/>
      <c r="K119" s="41"/>
    </row>
    <row r="120" spans="2:14" ht="15" customHeight="1" x14ac:dyDescent="0.2">
      <c r="B120" s="38"/>
      <c r="C120" s="422" t="s">
        <v>268</v>
      </c>
      <c r="D120" s="422"/>
      <c r="E120" s="422"/>
      <c r="F120" s="422"/>
      <c r="G120" s="422"/>
      <c r="H120" s="422"/>
      <c r="I120" s="422"/>
      <c r="J120" s="422"/>
      <c r="K120" s="41"/>
    </row>
    <row r="121" spans="2:14" x14ac:dyDescent="0.2">
      <c r="B121" s="38"/>
      <c r="C121" s="422"/>
      <c r="D121" s="422"/>
      <c r="E121" s="422"/>
      <c r="F121" s="422"/>
      <c r="G121" s="422"/>
      <c r="H121" s="422"/>
      <c r="I121" s="422"/>
      <c r="J121" s="422"/>
      <c r="K121" s="41"/>
    </row>
    <row r="122" spans="2:14" x14ac:dyDescent="0.2">
      <c r="B122" s="38"/>
      <c r="C122" s="423"/>
      <c r="D122" s="423"/>
      <c r="E122" s="423"/>
      <c r="F122" s="423"/>
      <c r="G122" s="423"/>
      <c r="H122" s="423"/>
      <c r="I122" s="423"/>
      <c r="J122" s="423"/>
      <c r="K122" s="41"/>
    </row>
    <row r="123" spans="2:14" ht="15" customHeight="1" x14ac:dyDescent="0.2">
      <c r="B123" s="38"/>
      <c r="C123" s="416" t="s">
        <v>247</v>
      </c>
      <c r="D123" s="417"/>
      <c r="E123" s="417"/>
      <c r="F123" s="417"/>
      <c r="G123" s="417"/>
      <c r="H123" s="417"/>
      <c r="I123" s="417"/>
      <c r="J123" s="418"/>
      <c r="K123" s="41"/>
    </row>
    <row r="124" spans="2:14" x14ac:dyDescent="0.2">
      <c r="B124" s="38"/>
      <c r="C124" s="419"/>
      <c r="D124" s="420"/>
      <c r="E124" s="420"/>
      <c r="F124" s="420"/>
      <c r="G124" s="420"/>
      <c r="H124" s="420"/>
      <c r="I124" s="420"/>
      <c r="J124" s="421"/>
      <c r="K124" s="41"/>
    </row>
    <row r="125" spans="2:14" ht="15" customHeight="1" x14ac:dyDescent="0.2">
      <c r="B125" s="38"/>
      <c r="C125" s="40" t="s">
        <v>260</v>
      </c>
      <c r="D125" s="40"/>
      <c r="E125" s="40"/>
      <c r="F125" s="40"/>
      <c r="G125" s="40"/>
      <c r="H125" s="40"/>
      <c r="I125" s="40"/>
      <c r="J125" s="247">
        <f>IF(C123=B987,A987,IF(C123=B988,A988,IF(C123=B989,A989,IF(C123=B990,A990,IF(C123=B991,A991,"Not Calculated")))))</f>
        <v>2</v>
      </c>
      <c r="K125" s="41"/>
    </row>
    <row r="126" spans="2:14" ht="15" customHeight="1" x14ac:dyDescent="0.2">
      <c r="B126" s="38"/>
      <c r="C126" s="40" t="s">
        <v>257</v>
      </c>
      <c r="D126" s="40"/>
      <c r="E126" s="40"/>
      <c r="F126" s="40"/>
      <c r="G126" s="40"/>
      <c r="H126" s="40"/>
      <c r="I126" s="40"/>
      <c r="J126" s="266" t="s">
        <v>870</v>
      </c>
      <c r="K126" s="41"/>
    </row>
    <row r="127" spans="2:14" x14ac:dyDescent="0.2">
      <c r="B127" s="38"/>
      <c r="C127" s="40" t="s">
        <v>261</v>
      </c>
      <c r="D127" s="40"/>
      <c r="E127" s="40"/>
      <c r="F127" s="40"/>
      <c r="G127" s="40"/>
      <c r="H127" s="40"/>
      <c r="I127" s="40"/>
      <c r="J127" s="245">
        <f>IF(J126=$B$973,$A$973,IF(J126=$B$974,$A$974,IF(J126=$B$975,$A$975,IF(J126=$B$976,$A$976,IF(J126=$B$977,$A$977,"Not Calculated")))))</f>
        <v>0</v>
      </c>
      <c r="K127" s="41"/>
    </row>
    <row r="128" spans="2:14" ht="15" customHeight="1" x14ac:dyDescent="0.2">
      <c r="B128" s="38"/>
      <c r="C128" s="40" t="s">
        <v>893</v>
      </c>
      <c r="D128" s="40"/>
      <c r="E128" s="40"/>
      <c r="F128" s="40"/>
      <c r="G128" s="40"/>
      <c r="H128" s="40"/>
      <c r="I128" s="40"/>
      <c r="J128" s="175"/>
      <c r="K128" s="41"/>
    </row>
    <row r="129" spans="2:12" s="178" customFormat="1" ht="15" customHeight="1" x14ac:dyDescent="0.2">
      <c r="B129" s="176"/>
      <c r="C129" s="415"/>
      <c r="D129" s="400"/>
      <c r="E129" s="400"/>
      <c r="F129" s="400"/>
      <c r="G129" s="400"/>
      <c r="H129" s="400"/>
      <c r="I129" s="400"/>
      <c r="J129" s="401"/>
      <c r="K129" s="177"/>
    </row>
    <row r="130" spans="2:12" x14ac:dyDescent="0.2">
      <c r="B130" s="38"/>
      <c r="C130" s="40"/>
      <c r="D130" s="40"/>
      <c r="E130" s="40"/>
      <c r="F130" s="40"/>
      <c r="G130" s="40"/>
      <c r="H130" s="40"/>
      <c r="I130" s="40"/>
      <c r="J130" s="40"/>
      <c r="K130" s="41"/>
    </row>
    <row r="131" spans="2:12" x14ac:dyDescent="0.2">
      <c r="B131" s="38"/>
      <c r="C131" s="179" t="s">
        <v>267</v>
      </c>
      <c r="D131" s="40"/>
      <c r="E131" s="40"/>
      <c r="F131" s="40"/>
      <c r="G131" s="40"/>
      <c r="H131" s="40"/>
      <c r="I131" s="40"/>
      <c r="J131" s="245">
        <f>IF(OR(J125="Not Calculated",J127="Not Calculated")=TRUE,"Not Calculated",AVERAGE(J125,J127))</f>
        <v>1</v>
      </c>
      <c r="K131" s="41"/>
    </row>
    <row r="132" spans="2:12" x14ac:dyDescent="0.2">
      <c r="B132" s="38"/>
      <c r="C132" s="179"/>
      <c r="D132" s="40"/>
      <c r="E132" s="40"/>
      <c r="F132" s="40"/>
      <c r="G132" s="40"/>
      <c r="H132" s="40"/>
      <c r="I132" s="40"/>
      <c r="J132" s="245"/>
      <c r="K132" s="41"/>
    </row>
    <row r="133" spans="2:12" ht="18" x14ac:dyDescent="0.2">
      <c r="B133" s="38"/>
      <c r="C133" s="180" t="s">
        <v>269</v>
      </c>
      <c r="D133" s="40"/>
      <c r="E133" s="40"/>
      <c r="F133" s="40"/>
      <c r="G133" s="40"/>
      <c r="H133" s="40"/>
      <c r="I133" s="40"/>
      <c r="J133" s="244" t="str">
        <f>IF(OR(J40="Not Calculated",J59="Not Calculated",J78="Not Calculated",J97="Not Calculated",J116="Not Calculated",J131="Not Calculated",)=TRUE,"Not Calculated",AVERAGE(J40,J59,J78,J97,J116,J131))</f>
        <v>Not Calculated</v>
      </c>
      <c r="K133" s="41"/>
    </row>
    <row r="134" spans="2:12" ht="16" thickBot="1" x14ac:dyDescent="0.25">
      <c r="B134" s="46"/>
      <c r="C134" s="47"/>
      <c r="D134" s="47"/>
      <c r="E134" s="47"/>
      <c r="F134" s="47"/>
      <c r="G134" s="47"/>
      <c r="H134" s="47"/>
      <c r="I134" s="47"/>
      <c r="J134" s="47"/>
      <c r="K134" s="49"/>
    </row>
    <row r="135" spans="2:12" ht="16" thickBot="1" x14ac:dyDescent="0.25"/>
    <row r="136" spans="2:12" x14ac:dyDescent="0.2">
      <c r="B136" s="33"/>
      <c r="C136" s="34"/>
      <c r="D136" s="34"/>
      <c r="E136" s="34"/>
      <c r="F136" s="34"/>
      <c r="G136" s="34"/>
      <c r="H136" s="34"/>
      <c r="I136" s="34"/>
      <c r="J136" s="34"/>
      <c r="K136" s="37"/>
    </row>
    <row r="137" spans="2:12" ht="21" x14ac:dyDescent="0.25">
      <c r="B137" s="38"/>
      <c r="C137" s="171"/>
      <c r="D137" s="40"/>
      <c r="E137" s="40"/>
      <c r="F137" s="40"/>
      <c r="G137" s="172" t="s">
        <v>27</v>
      </c>
      <c r="H137" s="40"/>
      <c r="I137" s="40"/>
      <c r="J137" s="40"/>
      <c r="K137" s="41"/>
    </row>
    <row r="138" spans="2:12" x14ac:dyDescent="0.2">
      <c r="B138" s="38"/>
      <c r="C138" s="40"/>
      <c r="D138" s="40"/>
      <c r="E138" s="40"/>
      <c r="F138" s="40"/>
      <c r="G138" s="40"/>
      <c r="H138" s="40"/>
      <c r="I138" s="40"/>
      <c r="J138" s="40"/>
      <c r="K138" s="41"/>
    </row>
    <row r="139" spans="2:12" ht="16" x14ac:dyDescent="0.2">
      <c r="B139" s="38"/>
      <c r="C139" s="45" t="s">
        <v>72</v>
      </c>
      <c r="D139" s="40"/>
      <c r="E139" s="40"/>
      <c r="F139" s="40"/>
      <c r="G139" s="40"/>
      <c r="H139" s="40"/>
      <c r="I139" s="40"/>
      <c r="J139" s="40"/>
      <c r="K139" s="41"/>
    </row>
    <row r="140" spans="2:12" x14ac:dyDescent="0.2">
      <c r="B140" s="38"/>
      <c r="C140" s="40" t="s">
        <v>440</v>
      </c>
      <c r="D140" s="40"/>
      <c r="E140" s="40"/>
      <c r="F140" s="40"/>
      <c r="G140" s="40"/>
      <c r="H140" s="40"/>
      <c r="I140" s="40"/>
      <c r="J140" s="252">
        <f>'Baseline Health'!G45</f>
        <v>0</v>
      </c>
      <c r="K140" s="41"/>
    </row>
    <row r="141" spans="2:12" x14ac:dyDescent="0.2">
      <c r="B141" s="38"/>
      <c r="C141" s="40" t="s">
        <v>270</v>
      </c>
      <c r="D141" s="40"/>
      <c r="E141" s="40"/>
      <c r="F141" s="40"/>
      <c r="G141" s="40"/>
      <c r="H141" s="40"/>
      <c r="I141" s="40"/>
      <c r="J141" s="264">
        <v>4.5</v>
      </c>
      <c r="K141" s="41"/>
      <c r="L141" s="12" t="s">
        <v>1261</v>
      </c>
    </row>
    <row r="142" spans="2:12" x14ac:dyDescent="0.2">
      <c r="B142" s="38"/>
      <c r="C142" s="40" t="s">
        <v>439</v>
      </c>
      <c r="D142" s="40"/>
      <c r="E142" s="40"/>
      <c r="F142" s="40"/>
      <c r="G142" s="40"/>
      <c r="H142" s="40"/>
      <c r="I142" s="40"/>
      <c r="J142" s="251">
        <f>J83/20</f>
        <v>0</v>
      </c>
      <c r="K142" s="41"/>
      <c r="L142" s="12" t="s">
        <v>1262</v>
      </c>
    </row>
    <row r="143" spans="2:12" x14ac:dyDescent="0.2">
      <c r="B143" s="38"/>
      <c r="C143" s="40"/>
      <c r="D143" s="40" t="s">
        <v>351</v>
      </c>
      <c r="E143" s="40"/>
      <c r="F143" s="40"/>
      <c r="G143" s="40"/>
      <c r="H143" s="40"/>
      <c r="I143" s="40"/>
      <c r="J143" s="40"/>
      <c r="K143" s="41"/>
    </row>
    <row r="144" spans="2:12" x14ac:dyDescent="0.2">
      <c r="B144" s="38"/>
      <c r="C144" s="40" t="s">
        <v>260</v>
      </c>
      <c r="D144" s="40"/>
      <c r="E144" s="40"/>
      <c r="F144" s="40"/>
      <c r="G144" s="40"/>
      <c r="H144" s="40"/>
      <c r="I144" s="40"/>
      <c r="J144" s="245" t="str">
        <f>IF(OR(J140=0,J140="Not Calculated")=TRUE,"Not Calculated",IF((J140-J141)&lt;=0,4,IF(((J140+J142)/(J140-J141))&lt;=1,0,IF(((J140+J142)/(J140-J141))&lt;=1.05,1,IF(((J140+J142)/(J140-J141))&lt;=1.5, 2,IF(((J140+J142)/(J140-J141))&lt;=2,3,4))))))</f>
        <v>Not Calculated</v>
      </c>
      <c r="K144" s="41"/>
    </row>
    <row r="145" spans="2:14" ht="9.75" customHeight="1" x14ac:dyDescent="0.2">
      <c r="B145" s="38"/>
      <c r="C145" s="279" t="str">
        <f>"0:"</f>
        <v>0:</v>
      </c>
      <c r="D145" s="278" t="s">
        <v>918</v>
      </c>
      <c r="E145" s="40"/>
      <c r="F145" s="40"/>
      <c r="G145" s="40"/>
      <c r="H145" s="40"/>
      <c r="I145" s="40"/>
      <c r="J145" s="40"/>
      <c r="K145" s="41"/>
    </row>
    <row r="146" spans="2:14" ht="9.75" customHeight="1" x14ac:dyDescent="0.2">
      <c r="B146" s="38"/>
      <c r="C146" s="280" t="str">
        <f>"1:"</f>
        <v>1:</v>
      </c>
      <c r="D146" s="278" t="s">
        <v>923</v>
      </c>
      <c r="E146" s="40"/>
      <c r="F146" s="40"/>
      <c r="G146" s="40"/>
      <c r="H146" s="40"/>
      <c r="I146" s="40"/>
      <c r="J146" s="40"/>
      <c r="K146" s="41"/>
    </row>
    <row r="147" spans="2:14" ht="9.75" customHeight="1" x14ac:dyDescent="0.2">
      <c r="B147" s="38"/>
      <c r="C147" s="280" t="str">
        <f>"2:"</f>
        <v>2:</v>
      </c>
      <c r="D147" s="278" t="s">
        <v>924</v>
      </c>
      <c r="E147" s="40"/>
      <c r="F147" s="40"/>
      <c r="G147" s="40"/>
      <c r="H147" s="40"/>
      <c r="I147" s="40"/>
      <c r="J147" s="40"/>
      <c r="K147" s="41"/>
    </row>
    <row r="148" spans="2:14" ht="9.75" customHeight="1" x14ac:dyDescent="0.2">
      <c r="B148" s="38"/>
      <c r="C148" s="280" t="str">
        <f>"3:"</f>
        <v>3:</v>
      </c>
      <c r="D148" s="278" t="s">
        <v>925</v>
      </c>
      <c r="E148" s="40"/>
      <c r="F148" s="40"/>
      <c r="G148" s="40"/>
      <c r="H148" s="40"/>
      <c r="I148" s="40"/>
      <c r="J148" s="40"/>
      <c r="K148" s="41"/>
    </row>
    <row r="149" spans="2:14" ht="9.75" customHeight="1" x14ac:dyDescent="0.2">
      <c r="B149" s="38"/>
      <c r="C149" s="280" t="str">
        <f>"4:"</f>
        <v>4:</v>
      </c>
      <c r="D149" s="278" t="s">
        <v>926</v>
      </c>
      <c r="E149" s="40"/>
      <c r="F149" s="40"/>
      <c r="G149" s="40"/>
      <c r="H149" s="40"/>
      <c r="I149" s="40"/>
      <c r="J149" s="40"/>
      <c r="K149" s="41"/>
      <c r="N149" s="12" t="s">
        <v>661</v>
      </c>
    </row>
    <row r="150" spans="2:14" x14ac:dyDescent="0.2">
      <c r="B150" s="38"/>
      <c r="C150" s="174" t="s">
        <v>662</v>
      </c>
      <c r="D150" s="40"/>
      <c r="E150" s="40"/>
      <c r="F150" s="40"/>
      <c r="G150" s="40"/>
      <c r="H150" s="40"/>
      <c r="I150" s="40"/>
      <c r="J150" s="265" t="s">
        <v>661</v>
      </c>
      <c r="K150" s="41"/>
      <c r="N150" s="12" t="s">
        <v>894</v>
      </c>
    </row>
    <row r="151" spans="2:14" x14ac:dyDescent="0.2">
      <c r="B151" s="38"/>
      <c r="C151" s="174" t="s">
        <v>660</v>
      </c>
      <c r="D151" s="40"/>
      <c r="E151" s="40"/>
      <c r="F151" s="40"/>
      <c r="G151" s="40"/>
      <c r="H151" s="40"/>
      <c r="I151" s="40"/>
      <c r="J151" s="246" t="str">
        <f>IF(J150=N149,"N/A",IF(J150=N150,0,IF(J150=N151,1,IF(J150=N152,2,IF(J150=N153,3,IF(J150=N154,4,"N/A"))))))</f>
        <v>N/A</v>
      </c>
      <c r="K151" s="41"/>
      <c r="N151" s="12" t="s">
        <v>899</v>
      </c>
    </row>
    <row r="152" spans="2:14" x14ac:dyDescent="0.2">
      <c r="B152" s="38"/>
      <c r="C152" s="40" t="s">
        <v>257</v>
      </c>
      <c r="D152" s="40"/>
      <c r="E152" s="40"/>
      <c r="F152" s="40"/>
      <c r="G152" s="40"/>
      <c r="H152" s="40"/>
      <c r="I152" s="40"/>
      <c r="J152" s="266" t="s">
        <v>874</v>
      </c>
      <c r="K152" s="41"/>
      <c r="N152" s="12" t="s">
        <v>900</v>
      </c>
    </row>
    <row r="153" spans="2:14" x14ac:dyDescent="0.2">
      <c r="B153" s="38"/>
      <c r="C153" s="40" t="s">
        <v>261</v>
      </c>
      <c r="D153" s="40"/>
      <c r="E153" s="40"/>
      <c r="F153" s="40"/>
      <c r="G153" s="40"/>
      <c r="H153" s="40"/>
      <c r="I153" s="40"/>
      <c r="J153" s="245">
        <f>IF(J152=$B$973,$A$973,IF(J152=$B$974,$A$974,IF(J152=$B$975,$A$975,IF(J152=$B$976,$A$976,IF(J152=$B$977,$A$977,"Not Calculated")))))</f>
        <v>4</v>
      </c>
      <c r="K153" s="41"/>
      <c r="N153" s="12" t="s">
        <v>901</v>
      </c>
    </row>
    <row r="154" spans="2:14" x14ac:dyDescent="0.2">
      <c r="B154" s="38"/>
      <c r="C154" s="40" t="s">
        <v>893</v>
      </c>
      <c r="D154" s="40"/>
      <c r="E154" s="40"/>
      <c r="F154" s="40"/>
      <c r="G154" s="40"/>
      <c r="H154" s="40"/>
      <c r="I154" s="40"/>
      <c r="J154" s="40"/>
      <c r="K154" s="41"/>
      <c r="N154" s="12" t="s">
        <v>902</v>
      </c>
    </row>
    <row r="155" spans="2:14" ht="115" customHeight="1" x14ac:dyDescent="0.2">
      <c r="B155" s="38"/>
      <c r="C155" s="399" t="s">
        <v>1254</v>
      </c>
      <c r="D155" s="400"/>
      <c r="E155" s="400"/>
      <c r="F155" s="400"/>
      <c r="G155" s="400"/>
      <c r="H155" s="400"/>
      <c r="I155" s="400"/>
      <c r="J155" s="401"/>
      <c r="K155" s="41"/>
    </row>
    <row r="156" spans="2:14" x14ac:dyDescent="0.2">
      <c r="B156" s="38"/>
      <c r="C156" s="40"/>
      <c r="D156" s="40"/>
      <c r="E156" s="40"/>
      <c r="F156" s="40"/>
      <c r="G156" s="40"/>
      <c r="H156" s="40"/>
      <c r="I156" s="40"/>
      <c r="J156" s="40"/>
      <c r="K156" s="41"/>
    </row>
    <row r="157" spans="2:14" x14ac:dyDescent="0.2">
      <c r="B157" s="38"/>
      <c r="C157" s="179" t="s">
        <v>271</v>
      </c>
      <c r="D157" s="40"/>
      <c r="E157" s="40"/>
      <c r="F157" s="40"/>
      <c r="G157" s="40"/>
      <c r="H157" s="40"/>
      <c r="I157" s="40"/>
      <c r="J157" s="245" t="str">
        <f>IF(J151="N/A",IF(OR(J144="Not Calculated",J153="Not Calculated")=TRUE,"Not Calculated",AVERAGE(J144,J153)),AVERAGE(J151,J153))</f>
        <v>Not Calculated</v>
      </c>
      <c r="K157" s="41"/>
    </row>
    <row r="158" spans="2:14" x14ac:dyDescent="0.2">
      <c r="B158" s="38"/>
      <c r="C158" s="40"/>
      <c r="D158" s="40"/>
      <c r="E158" s="40"/>
      <c r="F158" s="40"/>
      <c r="G158" s="40"/>
      <c r="H158" s="40"/>
      <c r="I158" s="40"/>
      <c r="J158" s="40"/>
      <c r="K158" s="41"/>
    </row>
    <row r="159" spans="2:14" x14ac:dyDescent="0.2">
      <c r="B159" s="38"/>
      <c r="C159" s="40"/>
      <c r="D159" s="40"/>
      <c r="E159" s="40"/>
      <c r="F159" s="40"/>
      <c r="G159" s="40"/>
      <c r="H159" s="40"/>
      <c r="I159" s="40"/>
      <c r="J159" s="40"/>
      <c r="K159" s="41"/>
    </row>
    <row r="160" spans="2:14" ht="16" x14ac:dyDescent="0.2">
      <c r="B160" s="38"/>
      <c r="C160" s="45" t="s">
        <v>273</v>
      </c>
      <c r="D160" s="40"/>
      <c r="E160" s="40"/>
      <c r="F160" s="40"/>
      <c r="G160" s="40"/>
      <c r="H160" s="40"/>
      <c r="I160" s="40"/>
      <c r="J160" s="40"/>
      <c r="K160" s="41"/>
    </row>
    <row r="161" spans="2:14" x14ac:dyDescent="0.2">
      <c r="B161" s="38"/>
      <c r="C161" s="40" t="s">
        <v>441</v>
      </c>
      <c r="D161" s="40"/>
      <c r="E161" s="40"/>
      <c r="F161" s="40"/>
      <c r="G161" s="40"/>
      <c r="H161" s="40"/>
      <c r="I161" s="40"/>
      <c r="J161" s="252">
        <f>'Baseline Health'!G51</f>
        <v>0</v>
      </c>
      <c r="K161" s="41"/>
    </row>
    <row r="162" spans="2:14" x14ac:dyDescent="0.2">
      <c r="B162" s="38"/>
      <c r="C162" s="40" t="s">
        <v>280</v>
      </c>
      <c r="D162" s="40"/>
      <c r="E162" s="40"/>
      <c r="F162" s="40"/>
      <c r="G162" s="40"/>
      <c r="H162" s="40"/>
      <c r="I162" s="40"/>
      <c r="J162" s="264">
        <f>'Baseline Health'!$G$6*0.00003971</f>
        <v>0</v>
      </c>
      <c r="K162" s="41"/>
    </row>
    <row r="163" spans="2:14" x14ac:dyDescent="0.2">
      <c r="B163" s="38"/>
      <c r="C163" s="40" t="s">
        <v>442</v>
      </c>
      <c r="D163" s="40"/>
      <c r="E163" s="40"/>
      <c r="F163" s="40"/>
      <c r="G163" s="40"/>
      <c r="H163" s="40"/>
      <c r="I163" s="40"/>
      <c r="J163" s="251">
        <f>(J64)/4.5</f>
        <v>0</v>
      </c>
      <c r="K163" s="41"/>
    </row>
    <row r="164" spans="2:14" x14ac:dyDescent="0.2">
      <c r="B164" s="38"/>
      <c r="C164" s="40"/>
      <c r="D164" s="40" t="s">
        <v>353</v>
      </c>
      <c r="E164" s="40"/>
      <c r="F164" s="40"/>
      <c r="G164" s="40"/>
      <c r="H164" s="40"/>
      <c r="I164" s="40"/>
      <c r="J164" s="40"/>
      <c r="K164" s="41"/>
    </row>
    <row r="165" spans="2:14" x14ac:dyDescent="0.2">
      <c r="B165" s="38"/>
      <c r="C165" s="40" t="s">
        <v>260</v>
      </c>
      <c r="D165" s="40"/>
      <c r="E165" s="40"/>
      <c r="F165" s="40"/>
      <c r="G165" s="40"/>
      <c r="H165" s="40"/>
      <c r="I165" s="40"/>
      <c r="J165" s="245" t="str">
        <f>IF(OR(J161=0,J161="Not Calculated")=TRUE,"Not Calculated",IF((J161-J162)&lt;=0,4,IF(((J161+J163)/(J161-J162))&lt;=1,0,IF(((J161+J163)/(J161-J162))&lt;=1.05,1,IF(((J161+J163)/(J161-J162))&lt;=1.5, 2,IF(((J161+J163)/(J161-J162))&lt;=2,3,4))))))</f>
        <v>Not Calculated</v>
      </c>
      <c r="K165" s="41"/>
    </row>
    <row r="166" spans="2:14" ht="9.75" customHeight="1" x14ac:dyDescent="0.2">
      <c r="B166" s="38"/>
      <c r="C166" s="279" t="str">
        <f>"0:"</f>
        <v>0:</v>
      </c>
      <c r="D166" s="278" t="s">
        <v>918</v>
      </c>
      <c r="E166" s="40"/>
      <c r="F166" s="40"/>
      <c r="G166" s="40"/>
      <c r="H166" s="40"/>
      <c r="I166" s="40"/>
      <c r="J166" s="40"/>
      <c r="K166" s="41"/>
    </row>
    <row r="167" spans="2:14" ht="9.75" customHeight="1" x14ac:dyDescent="0.2">
      <c r="B167" s="38"/>
      <c r="C167" s="280" t="str">
        <f>"1:"</f>
        <v>1:</v>
      </c>
      <c r="D167" s="278" t="s">
        <v>923</v>
      </c>
      <c r="E167" s="40"/>
      <c r="F167" s="40"/>
      <c r="G167" s="40"/>
      <c r="H167" s="40"/>
      <c r="I167" s="40"/>
      <c r="J167" s="40"/>
      <c r="K167" s="41"/>
    </row>
    <row r="168" spans="2:14" ht="9.75" customHeight="1" x14ac:dyDescent="0.2">
      <c r="B168" s="38"/>
      <c r="C168" s="280" t="str">
        <f>"2:"</f>
        <v>2:</v>
      </c>
      <c r="D168" s="278" t="s">
        <v>924</v>
      </c>
      <c r="E168" s="40"/>
      <c r="F168" s="40"/>
      <c r="G168" s="40"/>
      <c r="H168" s="40"/>
      <c r="I168" s="40"/>
      <c r="J168" s="40"/>
      <c r="K168" s="41"/>
    </row>
    <row r="169" spans="2:14" ht="9.75" customHeight="1" x14ac:dyDescent="0.2">
      <c r="B169" s="38"/>
      <c r="C169" s="280" t="str">
        <f>"3:"</f>
        <v>3:</v>
      </c>
      <c r="D169" s="278" t="s">
        <v>925</v>
      </c>
      <c r="E169" s="40"/>
      <c r="F169" s="40"/>
      <c r="G169" s="40"/>
      <c r="H169" s="40"/>
      <c r="I169" s="40"/>
      <c r="J169" s="40"/>
      <c r="K169" s="41"/>
    </row>
    <row r="170" spans="2:14" ht="9.75" customHeight="1" x14ac:dyDescent="0.2">
      <c r="B170" s="38"/>
      <c r="C170" s="280" t="str">
        <f>"4:"</f>
        <v>4:</v>
      </c>
      <c r="D170" s="278" t="s">
        <v>926</v>
      </c>
      <c r="E170" s="40"/>
      <c r="F170" s="40"/>
      <c r="G170" s="40"/>
      <c r="H170" s="40"/>
      <c r="I170" s="40"/>
      <c r="J170" s="40"/>
      <c r="K170" s="41"/>
      <c r="N170" s="12" t="s">
        <v>661</v>
      </c>
    </row>
    <row r="171" spans="2:14" x14ac:dyDescent="0.2">
      <c r="B171" s="38"/>
      <c r="C171" s="174" t="s">
        <v>662</v>
      </c>
      <c r="D171" s="40"/>
      <c r="E171" s="40"/>
      <c r="F171" s="40"/>
      <c r="G171" s="40"/>
      <c r="H171" s="40"/>
      <c r="I171" s="40"/>
      <c r="J171" s="265" t="s">
        <v>661</v>
      </c>
      <c r="K171" s="41"/>
      <c r="N171" s="12" t="s">
        <v>894</v>
      </c>
    </row>
    <row r="172" spans="2:14" x14ac:dyDescent="0.2">
      <c r="B172" s="38"/>
      <c r="C172" s="174" t="s">
        <v>660</v>
      </c>
      <c r="D172" s="40"/>
      <c r="E172" s="40"/>
      <c r="F172" s="40"/>
      <c r="G172" s="40"/>
      <c r="H172" s="40"/>
      <c r="I172" s="40"/>
      <c r="J172" s="246" t="str">
        <f>IF(J171=N170,"N/A",IF(J171=N171,0,IF(J171=N172,1,IF(J171=N173,2,IF(J171=N174,3,IF(J171=N175,4,"N/A"))))))</f>
        <v>N/A</v>
      </c>
      <c r="K172" s="41"/>
      <c r="N172" s="12" t="s">
        <v>899</v>
      </c>
    </row>
    <row r="173" spans="2:14" x14ac:dyDescent="0.2">
      <c r="B173" s="38"/>
      <c r="C173" s="40" t="s">
        <v>257</v>
      </c>
      <c r="D173" s="40"/>
      <c r="E173" s="40"/>
      <c r="F173" s="40"/>
      <c r="G173" s="40"/>
      <c r="H173" s="40"/>
      <c r="I173" s="40"/>
      <c r="J173" s="266" t="s">
        <v>874</v>
      </c>
      <c r="K173" s="41"/>
      <c r="N173" s="12" t="s">
        <v>900</v>
      </c>
    </row>
    <row r="174" spans="2:14" x14ac:dyDescent="0.2">
      <c r="B174" s="38"/>
      <c r="C174" s="40" t="s">
        <v>261</v>
      </c>
      <c r="D174" s="40"/>
      <c r="E174" s="40"/>
      <c r="F174" s="40"/>
      <c r="G174" s="40"/>
      <c r="H174" s="40"/>
      <c r="I174" s="40"/>
      <c r="J174" s="245">
        <f>IF(J173=$B$973,$A$973,IF(J173=$B$974,$A$974,IF(J173=$B$975,$A$975,IF(J173=$B$976,$A$976,IF(J173=$B$977,$A$977,"Not Calculated")))))</f>
        <v>4</v>
      </c>
      <c r="K174" s="41"/>
      <c r="N174" s="12" t="s">
        <v>901</v>
      </c>
    </row>
    <row r="175" spans="2:14" x14ac:dyDescent="0.2">
      <c r="B175" s="38"/>
      <c r="C175" s="40" t="s">
        <v>893</v>
      </c>
      <c r="D175" s="40"/>
      <c r="E175" s="40"/>
      <c r="F175" s="40"/>
      <c r="G175" s="40"/>
      <c r="H175" s="40"/>
      <c r="I175" s="40"/>
      <c r="J175" s="40"/>
      <c r="K175" s="41"/>
      <c r="N175" s="12" t="s">
        <v>902</v>
      </c>
    </row>
    <row r="176" spans="2:14" ht="90" customHeight="1" x14ac:dyDescent="0.2">
      <c r="B176" s="38"/>
      <c r="C176" s="399" t="s">
        <v>1253</v>
      </c>
      <c r="D176" s="400"/>
      <c r="E176" s="400"/>
      <c r="F176" s="400"/>
      <c r="G176" s="400"/>
      <c r="H176" s="400"/>
      <c r="I176" s="400"/>
      <c r="J176" s="401"/>
      <c r="K176" s="41"/>
    </row>
    <row r="177" spans="2:14" x14ac:dyDescent="0.2">
      <c r="B177" s="38"/>
      <c r="C177" s="40"/>
      <c r="D177" s="40"/>
      <c r="E177" s="40"/>
      <c r="F177" s="40"/>
      <c r="G177" s="40"/>
      <c r="H177" s="40"/>
      <c r="I177" s="40"/>
      <c r="J177" s="40"/>
      <c r="K177" s="41"/>
    </row>
    <row r="178" spans="2:14" x14ac:dyDescent="0.2">
      <c r="B178" s="38"/>
      <c r="C178" s="179" t="s">
        <v>274</v>
      </c>
      <c r="D178" s="40"/>
      <c r="E178" s="40"/>
      <c r="F178" s="40"/>
      <c r="G178" s="40"/>
      <c r="H178" s="40"/>
      <c r="I178" s="40"/>
      <c r="J178" s="245" t="str">
        <f>IF(J172="N/A",IF(OR(J165="Not Calculated",J174="Not Calculated")=TRUE,"Not Calculated",AVERAGE(J165,J174)),AVERAGE(J172,J174))</f>
        <v>Not Calculated</v>
      </c>
      <c r="K178" s="41"/>
    </row>
    <row r="179" spans="2:14" x14ac:dyDescent="0.2">
      <c r="B179" s="38"/>
      <c r="C179" s="40"/>
      <c r="D179" s="40"/>
      <c r="E179" s="40"/>
      <c r="F179" s="40"/>
      <c r="G179" s="40"/>
      <c r="H179" s="40"/>
      <c r="I179" s="40"/>
      <c r="J179" s="40"/>
      <c r="K179" s="41"/>
    </row>
    <row r="180" spans="2:14" x14ac:dyDescent="0.2">
      <c r="B180" s="38"/>
      <c r="C180" s="40"/>
      <c r="D180" s="40"/>
      <c r="E180" s="40"/>
      <c r="F180" s="40"/>
      <c r="G180" s="40"/>
      <c r="H180" s="40"/>
      <c r="I180" s="40"/>
      <c r="J180" s="40"/>
      <c r="K180" s="41"/>
    </row>
    <row r="181" spans="2:14" ht="16" x14ac:dyDescent="0.2">
      <c r="B181" s="38"/>
      <c r="C181" s="45" t="s">
        <v>74</v>
      </c>
      <c r="D181" s="40"/>
      <c r="E181" s="40"/>
      <c r="F181" s="40"/>
      <c r="G181" s="40"/>
      <c r="H181" s="40"/>
      <c r="I181" s="40"/>
      <c r="J181" s="40"/>
      <c r="K181" s="41"/>
    </row>
    <row r="182" spans="2:14" x14ac:dyDescent="0.2">
      <c r="B182" s="38"/>
      <c r="C182" s="40" t="s">
        <v>443</v>
      </c>
      <c r="D182" s="40"/>
      <c r="E182" s="40"/>
      <c r="F182" s="40"/>
      <c r="G182" s="40"/>
      <c r="H182" s="40"/>
      <c r="I182" s="40"/>
      <c r="J182" s="252">
        <f>'Baseline Health'!G59</f>
        <v>0</v>
      </c>
      <c r="K182" s="41"/>
    </row>
    <row r="183" spans="2:14" x14ac:dyDescent="0.2">
      <c r="B183" s="38"/>
      <c r="C183" s="40" t="s">
        <v>281</v>
      </c>
      <c r="D183" s="40"/>
      <c r="E183" s="40"/>
      <c r="F183" s="40"/>
      <c r="G183" s="40"/>
      <c r="H183" s="40"/>
      <c r="I183" s="40"/>
      <c r="J183" s="264"/>
      <c r="K183" s="41"/>
    </row>
    <row r="184" spans="2:14" x14ac:dyDescent="0.2">
      <c r="B184" s="38"/>
      <c r="C184" s="40" t="s">
        <v>354</v>
      </c>
      <c r="D184" s="40"/>
      <c r="E184" s="40"/>
      <c r="F184" s="40"/>
      <c r="G184" s="40"/>
      <c r="H184" s="40"/>
      <c r="I184" s="40"/>
      <c r="J184" s="264">
        <v>36</v>
      </c>
      <c r="K184" s="41"/>
    </row>
    <row r="185" spans="2:14" x14ac:dyDescent="0.2">
      <c r="B185" s="38"/>
      <c r="C185" s="40" t="s">
        <v>260</v>
      </c>
      <c r="D185" s="40"/>
      <c r="E185" s="40"/>
      <c r="F185" s="40"/>
      <c r="G185" s="40"/>
      <c r="H185" s="40"/>
      <c r="I185" s="40"/>
      <c r="J185" s="245" t="str">
        <f>IF(OR(J182=0,J182="Not Calculated")=TRUE,"Not Calculated",IF(J182-J183=0,4,IF(((J182+J184)/(J182-J183))&lt;=1,0,IF(((J182+J184)/(J182-J183))&lt;=1.05,1,IF(((J182+J184)/(J182-J183))&lt;=1.5, 2,IF(((J182+J184)/(J182-J183))&lt;=2,3,4))))))</f>
        <v>Not Calculated</v>
      </c>
      <c r="K185" s="41"/>
    </row>
    <row r="186" spans="2:14" ht="9.75" customHeight="1" x14ac:dyDescent="0.2">
      <c r="B186" s="38"/>
      <c r="C186" s="279" t="str">
        <f>"0:"</f>
        <v>0:</v>
      </c>
      <c r="D186" s="278" t="s">
        <v>918</v>
      </c>
      <c r="E186" s="40"/>
      <c r="F186" s="40"/>
      <c r="G186" s="40"/>
      <c r="H186" s="40"/>
      <c r="I186" s="40"/>
      <c r="J186" s="40"/>
      <c r="K186" s="41"/>
    </row>
    <row r="187" spans="2:14" ht="9.75" customHeight="1" x14ac:dyDescent="0.2">
      <c r="B187" s="38"/>
      <c r="C187" s="280" t="str">
        <f>"1:"</f>
        <v>1:</v>
      </c>
      <c r="D187" s="278" t="s">
        <v>923</v>
      </c>
      <c r="E187" s="40"/>
      <c r="F187" s="40"/>
      <c r="G187" s="40"/>
      <c r="H187" s="40"/>
      <c r="I187" s="40"/>
      <c r="J187" s="40"/>
      <c r="K187" s="41"/>
    </row>
    <row r="188" spans="2:14" ht="9.75" customHeight="1" x14ac:dyDescent="0.2">
      <c r="B188" s="38"/>
      <c r="C188" s="280" t="str">
        <f>"2:"</f>
        <v>2:</v>
      </c>
      <c r="D188" s="278" t="s">
        <v>924</v>
      </c>
      <c r="E188" s="40"/>
      <c r="F188" s="40"/>
      <c r="G188" s="40"/>
      <c r="H188" s="40"/>
      <c r="I188" s="40"/>
      <c r="J188" s="40"/>
      <c r="K188" s="41"/>
    </row>
    <row r="189" spans="2:14" ht="9.75" customHeight="1" x14ac:dyDescent="0.2">
      <c r="B189" s="38"/>
      <c r="C189" s="280" t="str">
        <f>"3:"</f>
        <v>3:</v>
      </c>
      <c r="D189" s="278" t="s">
        <v>925</v>
      </c>
      <c r="E189" s="40"/>
      <c r="F189" s="40"/>
      <c r="G189" s="40"/>
      <c r="H189" s="40"/>
      <c r="I189" s="40"/>
      <c r="J189" s="40"/>
      <c r="K189" s="41"/>
    </row>
    <row r="190" spans="2:14" ht="9.75" customHeight="1" x14ac:dyDescent="0.2">
      <c r="B190" s="38"/>
      <c r="C190" s="280" t="str">
        <f>"4:"</f>
        <v>4:</v>
      </c>
      <c r="D190" s="278" t="s">
        <v>926</v>
      </c>
      <c r="E190" s="40"/>
      <c r="F190" s="40"/>
      <c r="G190" s="40"/>
      <c r="H190" s="40"/>
      <c r="I190" s="40"/>
      <c r="J190" s="40"/>
      <c r="K190" s="41"/>
      <c r="N190" s="12" t="s">
        <v>661</v>
      </c>
    </row>
    <row r="191" spans="2:14" x14ac:dyDescent="0.2">
      <c r="B191" s="38"/>
      <c r="C191" s="174" t="s">
        <v>662</v>
      </c>
      <c r="D191" s="40"/>
      <c r="E191" s="40"/>
      <c r="F191" s="40"/>
      <c r="G191" s="40"/>
      <c r="H191" s="40"/>
      <c r="I191" s="40"/>
      <c r="J191" s="265" t="s">
        <v>661</v>
      </c>
      <c r="K191" s="41"/>
      <c r="N191" s="12" t="s">
        <v>894</v>
      </c>
    </row>
    <row r="192" spans="2:14" x14ac:dyDescent="0.2">
      <c r="B192" s="38"/>
      <c r="C192" s="174" t="s">
        <v>660</v>
      </c>
      <c r="D192" s="40"/>
      <c r="E192" s="40"/>
      <c r="F192" s="40"/>
      <c r="G192" s="40"/>
      <c r="H192" s="40"/>
      <c r="I192" s="40"/>
      <c r="J192" s="246" t="str">
        <f>IF(J191=N190,"N/A",IF(J191=N191,0,IF(J191=N192,1,IF(J191=N193,2,IF(J191=N194,3,IF(J191=N195,4,"N/A"))))))</f>
        <v>N/A</v>
      </c>
      <c r="K192" s="41"/>
      <c r="N192" s="12" t="s">
        <v>899</v>
      </c>
    </row>
    <row r="193" spans="2:14" x14ac:dyDescent="0.2">
      <c r="B193" s="38"/>
      <c r="C193" s="40" t="s">
        <v>257</v>
      </c>
      <c r="D193" s="40"/>
      <c r="E193" s="40"/>
      <c r="F193" s="40"/>
      <c r="G193" s="40"/>
      <c r="H193" s="40"/>
      <c r="I193" s="40"/>
      <c r="J193" s="266" t="s">
        <v>873</v>
      </c>
      <c r="K193" s="41"/>
      <c r="N193" s="12" t="s">
        <v>900</v>
      </c>
    </row>
    <row r="194" spans="2:14" x14ac:dyDescent="0.2">
      <c r="B194" s="38"/>
      <c r="C194" s="40" t="s">
        <v>261</v>
      </c>
      <c r="D194" s="40"/>
      <c r="E194" s="40"/>
      <c r="F194" s="40"/>
      <c r="G194" s="40"/>
      <c r="H194" s="40"/>
      <c r="I194" s="40"/>
      <c r="J194" s="245">
        <f>IF(J193=$B$973,$A$973,IF(J193=$B$974,$A$974,IF(J193=$B$975,$A$975,IF(J193=$B$976,$A$976,IF(J193=$B$977,$A$977,"Not Calculated")))))</f>
        <v>3</v>
      </c>
      <c r="K194" s="41"/>
      <c r="N194" s="12" t="s">
        <v>901</v>
      </c>
    </row>
    <row r="195" spans="2:14" x14ac:dyDescent="0.2">
      <c r="B195" s="38"/>
      <c r="C195" s="40" t="s">
        <v>893</v>
      </c>
      <c r="D195" s="40"/>
      <c r="E195" s="40"/>
      <c r="F195" s="40"/>
      <c r="G195" s="40"/>
      <c r="H195" s="40"/>
      <c r="I195" s="40"/>
      <c r="J195" s="40"/>
      <c r="K195" s="41"/>
      <c r="N195" s="12" t="s">
        <v>902</v>
      </c>
    </row>
    <row r="196" spans="2:14" ht="90" customHeight="1" x14ac:dyDescent="0.2">
      <c r="B196" s="38"/>
      <c r="C196" s="399" t="s">
        <v>1255</v>
      </c>
      <c r="D196" s="400"/>
      <c r="E196" s="400"/>
      <c r="F196" s="400"/>
      <c r="G196" s="400"/>
      <c r="H196" s="400"/>
      <c r="I196" s="400"/>
      <c r="J196" s="401"/>
      <c r="K196" s="41"/>
    </row>
    <row r="197" spans="2:14" x14ac:dyDescent="0.2">
      <c r="B197" s="38"/>
      <c r="C197" s="40"/>
      <c r="D197" s="40"/>
      <c r="E197" s="40"/>
      <c r="F197" s="40"/>
      <c r="G197" s="40"/>
      <c r="H197" s="40"/>
      <c r="I197" s="40"/>
      <c r="J197" s="40"/>
      <c r="K197" s="41"/>
    </row>
    <row r="198" spans="2:14" x14ac:dyDescent="0.2">
      <c r="B198" s="38"/>
      <c r="C198" s="179" t="s">
        <v>275</v>
      </c>
      <c r="D198" s="40"/>
      <c r="E198" s="40"/>
      <c r="F198" s="40"/>
      <c r="G198" s="40"/>
      <c r="H198" s="40"/>
      <c r="I198" s="40"/>
      <c r="J198" s="245" t="str">
        <f>IF(J192="N/A",IF(OR(J185="Not Calculated",J194="Not Calculated")=TRUE,"Not Calculated",AVERAGE(J185,J194)),AVERAGE(J192,J194))</f>
        <v>Not Calculated</v>
      </c>
      <c r="K198" s="41"/>
    </row>
    <row r="199" spans="2:14" x14ac:dyDescent="0.2">
      <c r="B199" s="38"/>
      <c r="C199" s="40"/>
      <c r="D199" s="40"/>
      <c r="E199" s="40"/>
      <c r="F199" s="40"/>
      <c r="G199" s="40"/>
      <c r="H199" s="40"/>
      <c r="I199" s="40"/>
      <c r="J199" s="40"/>
      <c r="K199" s="41"/>
    </row>
    <row r="200" spans="2:14" x14ac:dyDescent="0.2">
      <c r="B200" s="38"/>
      <c r="C200" s="40"/>
      <c r="D200" s="40"/>
      <c r="E200" s="40"/>
      <c r="F200" s="40"/>
      <c r="G200" s="40"/>
      <c r="H200" s="40"/>
      <c r="I200" s="40"/>
      <c r="J200" s="40"/>
      <c r="K200" s="41"/>
    </row>
    <row r="201" spans="2:14" ht="16" x14ac:dyDescent="0.2">
      <c r="B201" s="38"/>
      <c r="C201" s="45" t="s">
        <v>75</v>
      </c>
      <c r="D201" s="40"/>
      <c r="E201" s="40"/>
      <c r="F201" s="40"/>
      <c r="G201" s="40"/>
      <c r="H201" s="40"/>
      <c r="I201" s="40"/>
      <c r="J201" s="40"/>
      <c r="K201" s="41"/>
    </row>
    <row r="202" spans="2:14" x14ac:dyDescent="0.2">
      <c r="B202" s="38"/>
      <c r="C202" s="40" t="s">
        <v>444</v>
      </c>
      <c r="D202" s="40"/>
      <c r="E202" s="40"/>
      <c r="F202" s="40"/>
      <c r="G202" s="40"/>
      <c r="H202" s="40"/>
      <c r="I202" s="40"/>
      <c r="J202" s="252">
        <f>'Baseline Health'!G65</f>
        <v>0</v>
      </c>
      <c r="K202" s="41"/>
    </row>
    <row r="203" spans="2:14" x14ac:dyDescent="0.2">
      <c r="B203" s="38"/>
      <c r="C203" s="40" t="s">
        <v>282</v>
      </c>
      <c r="D203" s="40"/>
      <c r="E203" s="40"/>
      <c r="F203" s="40"/>
      <c r="G203" s="40"/>
      <c r="H203" s="40"/>
      <c r="I203" s="40"/>
      <c r="J203" s="264">
        <v>20.58</v>
      </c>
      <c r="K203" s="41"/>
      <c r="L203" s="12" t="s">
        <v>1266</v>
      </c>
    </row>
    <row r="204" spans="2:14" x14ac:dyDescent="0.2">
      <c r="B204" s="38"/>
      <c r="C204" s="40" t="s">
        <v>355</v>
      </c>
      <c r="D204" s="40"/>
      <c r="E204" s="40"/>
      <c r="F204" s="40"/>
      <c r="G204" s="40"/>
      <c r="H204" s="40"/>
      <c r="I204" s="40"/>
      <c r="J204" s="264">
        <v>0</v>
      </c>
      <c r="K204" s="41"/>
    </row>
    <row r="205" spans="2:14" x14ac:dyDescent="0.2">
      <c r="B205" s="38"/>
      <c r="C205" s="40" t="s">
        <v>260</v>
      </c>
      <c r="D205" s="40"/>
      <c r="E205" s="40"/>
      <c r="F205" s="40"/>
      <c r="G205" s="40"/>
      <c r="H205" s="40"/>
      <c r="I205" s="40"/>
      <c r="J205" s="245" t="str">
        <f>IF(OR(J202=0,J202="Not Calculated")=TRUE,"Not Calculated",IF(J202-J203=0,4,IF(((J202+J204)/(J202-J203))&lt;=1,0,IF(((J202+J204)/(J202-J203))&lt;=1.05,1,IF(((J202+J204)/(J202-J203))&lt;=1.5, 2,IF(((J202+J204)/(J202-J203))&lt;=2,3,4))))))</f>
        <v>Not Calculated</v>
      </c>
      <c r="K205" s="41"/>
    </row>
    <row r="206" spans="2:14" ht="9.75" customHeight="1" x14ac:dyDescent="0.2">
      <c r="B206" s="38"/>
      <c r="C206" s="279" t="str">
        <f>"0:"</f>
        <v>0:</v>
      </c>
      <c r="D206" s="278" t="s">
        <v>918</v>
      </c>
      <c r="E206" s="40"/>
      <c r="F206" s="40"/>
      <c r="G206" s="40"/>
      <c r="H206" s="40"/>
      <c r="I206" s="40"/>
      <c r="J206" s="40"/>
      <c r="K206" s="41"/>
    </row>
    <row r="207" spans="2:14" ht="9.75" customHeight="1" x14ac:dyDescent="0.2">
      <c r="B207" s="38"/>
      <c r="C207" s="280" t="str">
        <f>"1:"</f>
        <v>1:</v>
      </c>
      <c r="D207" s="278" t="s">
        <v>923</v>
      </c>
      <c r="E207" s="40"/>
      <c r="F207" s="40"/>
      <c r="G207" s="40"/>
      <c r="H207" s="40"/>
      <c r="I207" s="40"/>
      <c r="J207" s="40"/>
      <c r="K207" s="41"/>
    </row>
    <row r="208" spans="2:14" ht="9.75" customHeight="1" x14ac:dyDescent="0.2">
      <c r="B208" s="38"/>
      <c r="C208" s="280" t="str">
        <f>"2:"</f>
        <v>2:</v>
      </c>
      <c r="D208" s="278" t="s">
        <v>924</v>
      </c>
      <c r="E208" s="40"/>
      <c r="F208" s="40"/>
      <c r="G208" s="40"/>
      <c r="H208" s="40"/>
      <c r="I208" s="40"/>
      <c r="J208" s="40"/>
      <c r="K208" s="41"/>
    </row>
    <row r="209" spans="2:14" ht="9.75" customHeight="1" x14ac:dyDescent="0.2">
      <c r="B209" s="38"/>
      <c r="C209" s="280" t="str">
        <f>"3:"</f>
        <v>3:</v>
      </c>
      <c r="D209" s="278" t="s">
        <v>925</v>
      </c>
      <c r="E209" s="40"/>
      <c r="F209" s="40"/>
      <c r="G209" s="40"/>
      <c r="H209" s="40"/>
      <c r="I209" s="40"/>
      <c r="J209" s="40"/>
      <c r="K209" s="41"/>
    </row>
    <row r="210" spans="2:14" ht="9.75" customHeight="1" x14ac:dyDescent="0.2">
      <c r="B210" s="38"/>
      <c r="C210" s="280" t="str">
        <f>"4:"</f>
        <v>4:</v>
      </c>
      <c r="D210" s="278" t="s">
        <v>926</v>
      </c>
      <c r="E210" s="40"/>
      <c r="F210" s="40"/>
      <c r="G210" s="40"/>
      <c r="H210" s="40"/>
      <c r="I210" s="40"/>
      <c r="J210" s="40"/>
      <c r="K210" s="41"/>
      <c r="N210" s="12" t="s">
        <v>661</v>
      </c>
    </row>
    <row r="211" spans="2:14" x14ac:dyDescent="0.2">
      <c r="B211" s="38"/>
      <c r="C211" s="174" t="s">
        <v>662</v>
      </c>
      <c r="D211" s="40"/>
      <c r="E211" s="40"/>
      <c r="F211" s="40"/>
      <c r="G211" s="40"/>
      <c r="H211" s="40"/>
      <c r="I211" s="40"/>
      <c r="J211" s="265" t="s">
        <v>661</v>
      </c>
      <c r="K211" s="41"/>
      <c r="N211" s="12" t="s">
        <v>894</v>
      </c>
    </row>
    <row r="212" spans="2:14" x14ac:dyDescent="0.2">
      <c r="B212" s="38"/>
      <c r="C212" s="174" t="s">
        <v>660</v>
      </c>
      <c r="D212" s="40"/>
      <c r="E212" s="40"/>
      <c r="F212" s="40"/>
      <c r="G212" s="40"/>
      <c r="H212" s="40"/>
      <c r="I212" s="40"/>
      <c r="J212" s="246" t="str">
        <f>IF(J211=N210,"N/A",IF(J211=N211,0,IF(J211=N212,1,IF(J211=N213,2,IF(J211=N214,3,IF(J211=N215,4,"N/A"))))))</f>
        <v>N/A</v>
      </c>
      <c r="K212" s="41"/>
      <c r="N212" s="12" t="s">
        <v>899</v>
      </c>
    </row>
    <row r="213" spans="2:14" x14ac:dyDescent="0.2">
      <c r="B213" s="38"/>
      <c r="C213" s="40" t="s">
        <v>257</v>
      </c>
      <c r="D213" s="40"/>
      <c r="E213" s="40"/>
      <c r="F213" s="40"/>
      <c r="G213" s="40"/>
      <c r="H213" s="40"/>
      <c r="I213" s="40"/>
      <c r="J213" s="266" t="s">
        <v>870</v>
      </c>
      <c r="K213" s="41"/>
      <c r="N213" s="12" t="s">
        <v>900</v>
      </c>
    </row>
    <row r="214" spans="2:14" x14ac:dyDescent="0.2">
      <c r="B214" s="38"/>
      <c r="C214" s="40" t="s">
        <v>261</v>
      </c>
      <c r="D214" s="40"/>
      <c r="E214" s="40"/>
      <c r="F214" s="40"/>
      <c r="G214" s="40"/>
      <c r="H214" s="40"/>
      <c r="I214" s="40"/>
      <c r="J214" s="245">
        <f>IF(J213=$B$973,$A$973,IF(J213=$B$974,$A$974,IF(J213=$B$975,$A$975,IF(J213=$B$976,$A$976,IF(J213=$B$977,$A$977,"Not Calculated")))))</f>
        <v>0</v>
      </c>
      <c r="K214" s="41"/>
      <c r="N214" s="12" t="s">
        <v>901</v>
      </c>
    </row>
    <row r="215" spans="2:14" x14ac:dyDescent="0.2">
      <c r="B215" s="38"/>
      <c r="C215" s="40" t="s">
        <v>893</v>
      </c>
      <c r="D215" s="40"/>
      <c r="E215" s="40"/>
      <c r="F215" s="40"/>
      <c r="G215" s="40"/>
      <c r="H215" s="40"/>
      <c r="I215" s="40"/>
      <c r="J215" s="40"/>
      <c r="K215" s="41"/>
      <c r="N215" s="12" t="s">
        <v>902</v>
      </c>
    </row>
    <row r="216" spans="2:14" ht="30" customHeight="1" x14ac:dyDescent="0.2">
      <c r="B216" s="38"/>
      <c r="C216" s="399" t="s">
        <v>1265</v>
      </c>
      <c r="D216" s="400"/>
      <c r="E216" s="400"/>
      <c r="F216" s="400"/>
      <c r="G216" s="400"/>
      <c r="H216" s="400"/>
      <c r="I216" s="400"/>
      <c r="J216" s="401"/>
      <c r="K216" s="41"/>
    </row>
    <row r="217" spans="2:14" x14ac:dyDescent="0.2">
      <c r="B217" s="38"/>
      <c r="C217" s="40"/>
      <c r="D217" s="40"/>
      <c r="E217" s="40"/>
      <c r="F217" s="40"/>
      <c r="G217" s="40"/>
      <c r="H217" s="40"/>
      <c r="I217" s="40"/>
      <c r="J217" s="40"/>
      <c r="K217" s="41"/>
    </row>
    <row r="218" spans="2:14" x14ac:dyDescent="0.2">
      <c r="B218" s="38"/>
      <c r="C218" s="179" t="s">
        <v>276</v>
      </c>
      <c r="D218" s="40"/>
      <c r="E218" s="40"/>
      <c r="F218" s="40"/>
      <c r="G218" s="40"/>
      <c r="H218" s="40"/>
      <c r="I218" s="40"/>
      <c r="J218" s="245" t="str">
        <f>IF(J212="N/A",IF(OR(J205="Not Calculated",J214="Not Calculated")=TRUE,"Not Calculated",AVERAGE(J205,J214)),AVERAGE(J212,J214))</f>
        <v>Not Calculated</v>
      </c>
      <c r="K218" s="41"/>
    </row>
    <row r="219" spans="2:14" x14ac:dyDescent="0.2">
      <c r="B219" s="38"/>
      <c r="C219" s="40"/>
      <c r="D219" s="40"/>
      <c r="E219" s="40"/>
      <c r="F219" s="40"/>
      <c r="G219" s="40"/>
      <c r="H219" s="40"/>
      <c r="I219" s="40"/>
      <c r="J219" s="40"/>
      <c r="K219" s="41"/>
    </row>
    <row r="220" spans="2:14" x14ac:dyDescent="0.2">
      <c r="B220" s="38"/>
      <c r="C220" s="40"/>
      <c r="D220" s="40"/>
      <c r="E220" s="40"/>
      <c r="F220" s="40"/>
      <c r="G220" s="40"/>
      <c r="H220" s="40"/>
      <c r="I220" s="40"/>
      <c r="J220" s="40"/>
      <c r="K220" s="41"/>
    </row>
    <row r="221" spans="2:14" ht="16" x14ac:dyDescent="0.2">
      <c r="B221" s="38"/>
      <c r="C221" s="45" t="s">
        <v>76</v>
      </c>
      <c r="D221" s="40"/>
      <c r="E221" s="40"/>
      <c r="F221" s="40"/>
      <c r="G221" s="40"/>
      <c r="H221" s="40"/>
      <c r="I221" s="40"/>
      <c r="J221" s="40"/>
      <c r="K221" s="41"/>
    </row>
    <row r="222" spans="2:14" ht="15" customHeight="1" x14ac:dyDescent="0.2">
      <c r="B222" s="38"/>
      <c r="C222" s="40" t="s">
        <v>356</v>
      </c>
      <c r="D222" s="40"/>
      <c r="E222" s="40"/>
      <c r="F222" s="40"/>
      <c r="G222" s="40"/>
      <c r="H222" s="40"/>
      <c r="I222" s="40"/>
      <c r="J222" s="252">
        <f>'Baseline Health'!G71</f>
        <v>0</v>
      </c>
      <c r="K222" s="41"/>
    </row>
    <row r="223" spans="2:14" x14ac:dyDescent="0.2">
      <c r="B223" s="38"/>
      <c r="C223" s="40" t="s">
        <v>357</v>
      </c>
      <c r="D223" s="40"/>
      <c r="E223" s="40"/>
      <c r="F223" s="40"/>
      <c r="G223" s="40"/>
      <c r="H223" s="40"/>
      <c r="I223" s="40"/>
      <c r="J223" s="264">
        <v>0</v>
      </c>
      <c r="K223" s="41"/>
    </row>
    <row r="224" spans="2:14" x14ac:dyDescent="0.2">
      <c r="B224" s="38"/>
      <c r="C224" s="40" t="s">
        <v>445</v>
      </c>
      <c r="D224" s="40"/>
      <c r="E224" s="40"/>
      <c r="F224" s="40"/>
      <c r="G224" s="40"/>
      <c r="H224" s="40"/>
      <c r="I224" s="40"/>
      <c r="J224" s="251">
        <f>J102</f>
        <v>0</v>
      </c>
      <c r="K224" s="41"/>
    </row>
    <row r="225" spans="2:14" x14ac:dyDescent="0.2">
      <c r="B225" s="38"/>
      <c r="C225" s="40"/>
      <c r="D225" s="40" t="s">
        <v>446</v>
      </c>
      <c r="E225" s="40"/>
      <c r="F225" s="40"/>
      <c r="G225" s="40"/>
      <c r="H225" s="40"/>
      <c r="I225" s="40"/>
      <c r="J225" s="40"/>
      <c r="K225" s="41"/>
    </row>
    <row r="226" spans="2:14" x14ac:dyDescent="0.2">
      <c r="B226" s="38"/>
      <c r="C226" s="40" t="s">
        <v>260</v>
      </c>
      <c r="D226" s="40"/>
      <c r="E226" s="40"/>
      <c r="F226" s="40"/>
      <c r="G226" s="40"/>
      <c r="H226" s="40"/>
      <c r="I226" s="40"/>
      <c r="J226" s="245" t="str">
        <f>IF(OR(J222=0,J222="Not Calculated")=TRUE,"Not Calculated",IF(J222-J223=0,4,IF(((J222+J224)/(J222-J223))&lt;=1,0,IF(((J222+J224)/(J222-J223))&lt;=1.05,1,IF(((J222+J224)/(J222-J223))&lt;=1.5, 2,IF(((J222+J224)/(J222-J223))&lt;=2,3,4))))))</f>
        <v>Not Calculated</v>
      </c>
      <c r="K226" s="41"/>
    </row>
    <row r="227" spans="2:14" ht="9.75" customHeight="1" x14ac:dyDescent="0.2">
      <c r="B227" s="38"/>
      <c r="C227" s="279" t="str">
        <f>"0:"</f>
        <v>0:</v>
      </c>
      <c r="D227" s="278" t="s">
        <v>918</v>
      </c>
      <c r="E227" s="40"/>
      <c r="F227" s="40"/>
      <c r="G227" s="40"/>
      <c r="H227" s="40"/>
      <c r="I227" s="40"/>
      <c r="J227" s="40"/>
      <c r="K227" s="41"/>
    </row>
    <row r="228" spans="2:14" ht="9.75" customHeight="1" x14ac:dyDescent="0.2">
      <c r="B228" s="38"/>
      <c r="C228" s="280" t="str">
        <f>"1:"</f>
        <v>1:</v>
      </c>
      <c r="D228" s="278" t="s">
        <v>923</v>
      </c>
      <c r="E228" s="40"/>
      <c r="F228" s="40"/>
      <c r="G228" s="40"/>
      <c r="H228" s="40"/>
      <c r="I228" s="40"/>
      <c r="J228" s="40"/>
      <c r="K228" s="41"/>
    </row>
    <row r="229" spans="2:14" ht="9.75" customHeight="1" x14ac:dyDescent="0.2">
      <c r="B229" s="38"/>
      <c r="C229" s="280" t="str">
        <f>"2:"</f>
        <v>2:</v>
      </c>
      <c r="D229" s="278" t="s">
        <v>924</v>
      </c>
      <c r="E229" s="40"/>
      <c r="F229" s="40"/>
      <c r="G229" s="40"/>
      <c r="H229" s="40"/>
      <c r="I229" s="40"/>
      <c r="J229" s="40"/>
      <c r="K229" s="41"/>
    </row>
    <row r="230" spans="2:14" ht="9.75" customHeight="1" x14ac:dyDescent="0.2">
      <c r="B230" s="38"/>
      <c r="C230" s="280" t="str">
        <f>"3:"</f>
        <v>3:</v>
      </c>
      <c r="D230" s="278" t="s">
        <v>925</v>
      </c>
      <c r="E230" s="40"/>
      <c r="F230" s="40"/>
      <c r="G230" s="40"/>
      <c r="H230" s="40"/>
      <c r="I230" s="40"/>
      <c r="J230" s="40"/>
      <c r="K230" s="41"/>
    </row>
    <row r="231" spans="2:14" ht="9.75" customHeight="1" x14ac:dyDescent="0.2">
      <c r="B231" s="38"/>
      <c r="C231" s="280" t="str">
        <f>"4:"</f>
        <v>4:</v>
      </c>
      <c r="D231" s="278" t="s">
        <v>926</v>
      </c>
      <c r="E231" s="40"/>
      <c r="F231" s="40"/>
      <c r="G231" s="40"/>
      <c r="H231" s="40"/>
      <c r="I231" s="40"/>
      <c r="J231" s="40"/>
      <c r="K231" s="41"/>
      <c r="N231" s="12" t="s">
        <v>661</v>
      </c>
    </row>
    <row r="232" spans="2:14" x14ac:dyDescent="0.2">
      <c r="B232" s="38"/>
      <c r="C232" s="174" t="s">
        <v>662</v>
      </c>
      <c r="D232" s="40"/>
      <c r="E232" s="40"/>
      <c r="F232" s="40"/>
      <c r="G232" s="40"/>
      <c r="H232" s="40"/>
      <c r="I232" s="40"/>
      <c r="J232" s="265" t="s">
        <v>661</v>
      </c>
      <c r="K232" s="41"/>
      <c r="N232" s="12" t="s">
        <v>894</v>
      </c>
    </row>
    <row r="233" spans="2:14" x14ac:dyDescent="0.2">
      <c r="B233" s="38"/>
      <c r="C233" s="174" t="s">
        <v>660</v>
      </c>
      <c r="D233" s="40"/>
      <c r="E233" s="40"/>
      <c r="F233" s="40"/>
      <c r="G233" s="40"/>
      <c r="H233" s="40"/>
      <c r="I233" s="40"/>
      <c r="J233" s="246" t="str">
        <f>IF(J232=N231,"N/A",IF(J232=N232,0,IF(J232=N233,1,IF(J232=N234,2,IF(J232=N235,3,IF(J232=N236,4,"N/A"))))))</f>
        <v>N/A</v>
      </c>
      <c r="K233" s="41"/>
      <c r="N233" s="12" t="s">
        <v>899</v>
      </c>
    </row>
    <row r="234" spans="2:14" x14ac:dyDescent="0.2">
      <c r="B234" s="38"/>
      <c r="C234" s="40" t="s">
        <v>257</v>
      </c>
      <c r="D234" s="40"/>
      <c r="E234" s="40"/>
      <c r="F234" s="40"/>
      <c r="G234" s="40"/>
      <c r="H234" s="40"/>
      <c r="I234" s="40"/>
      <c r="J234" s="266" t="s">
        <v>870</v>
      </c>
      <c r="K234" s="41"/>
      <c r="N234" s="12" t="s">
        <v>900</v>
      </c>
    </row>
    <row r="235" spans="2:14" x14ac:dyDescent="0.2">
      <c r="B235" s="38"/>
      <c r="C235" s="40" t="s">
        <v>261</v>
      </c>
      <c r="D235" s="40"/>
      <c r="E235" s="40"/>
      <c r="F235" s="40"/>
      <c r="G235" s="40"/>
      <c r="H235" s="40"/>
      <c r="I235" s="40"/>
      <c r="J235" s="245">
        <f>IF(J234=$B$973,$A$973,IF(J234=$B$974,$A$974,IF(J234=$B$975,$A$975,IF(J234=$B$976,$A$976,IF(J234=$B$977,$A$977,"Not Calculated")))))</f>
        <v>0</v>
      </c>
      <c r="K235" s="41"/>
      <c r="N235" s="12" t="s">
        <v>901</v>
      </c>
    </row>
    <row r="236" spans="2:14" x14ac:dyDescent="0.2">
      <c r="B236" s="38"/>
      <c r="C236" s="40" t="s">
        <v>893</v>
      </c>
      <c r="D236" s="40"/>
      <c r="E236" s="40"/>
      <c r="F236" s="40"/>
      <c r="G236" s="40"/>
      <c r="H236" s="40"/>
      <c r="I236" s="40"/>
      <c r="J236" s="40"/>
      <c r="K236" s="41"/>
      <c r="N236" s="12" t="s">
        <v>902</v>
      </c>
    </row>
    <row r="237" spans="2:14" ht="30" customHeight="1" x14ac:dyDescent="0.2">
      <c r="B237" s="38"/>
      <c r="C237" s="399"/>
      <c r="D237" s="400"/>
      <c r="E237" s="400"/>
      <c r="F237" s="400"/>
      <c r="G237" s="400"/>
      <c r="H237" s="400"/>
      <c r="I237" s="400"/>
      <c r="J237" s="401"/>
      <c r="K237" s="41"/>
    </row>
    <row r="238" spans="2:14" x14ac:dyDescent="0.2">
      <c r="B238" s="38"/>
      <c r="C238" s="40"/>
      <c r="D238" s="40"/>
      <c r="E238" s="40"/>
      <c r="F238" s="40"/>
      <c r="G238" s="40"/>
      <c r="H238" s="40"/>
      <c r="I238" s="40"/>
      <c r="J238" s="40"/>
      <c r="K238" s="41"/>
    </row>
    <row r="239" spans="2:14" x14ac:dyDescent="0.2">
      <c r="B239" s="38"/>
      <c r="C239" s="179" t="s">
        <v>277</v>
      </c>
      <c r="D239" s="40"/>
      <c r="E239" s="40"/>
      <c r="F239" s="40"/>
      <c r="G239" s="40"/>
      <c r="H239" s="40"/>
      <c r="I239" s="40"/>
      <c r="J239" s="245" t="str">
        <f>IF(J233="N/A",IF(OR(J226="Not Calculated",J235="Not Calculated")=TRUE,"Not Calculated",AVERAGE(J226,J235)),AVERAGE(J233,J235))</f>
        <v>Not Calculated</v>
      </c>
      <c r="K239" s="41"/>
    </row>
    <row r="240" spans="2:14" x14ac:dyDescent="0.2">
      <c r="B240" s="38"/>
      <c r="C240" s="40"/>
      <c r="D240" s="40"/>
      <c r="E240" s="40"/>
      <c r="F240" s="40"/>
      <c r="G240" s="40"/>
      <c r="H240" s="40"/>
      <c r="I240" s="40"/>
      <c r="J240" s="40"/>
      <c r="K240" s="41"/>
    </row>
    <row r="241" spans="2:14" x14ac:dyDescent="0.2">
      <c r="B241" s="38"/>
      <c r="C241" s="40"/>
      <c r="D241" s="40"/>
      <c r="E241" s="40"/>
      <c r="F241" s="40"/>
      <c r="G241" s="40"/>
      <c r="H241" s="40"/>
      <c r="I241" s="40"/>
      <c r="J241" s="40"/>
      <c r="K241" s="41"/>
    </row>
    <row r="242" spans="2:14" ht="16" x14ac:dyDescent="0.2">
      <c r="B242" s="38"/>
      <c r="C242" s="45" t="s">
        <v>278</v>
      </c>
      <c r="D242" s="40"/>
      <c r="E242" s="40"/>
      <c r="F242" s="40"/>
      <c r="G242" s="40"/>
      <c r="H242" s="40"/>
      <c r="I242" s="40"/>
      <c r="J242" s="40"/>
      <c r="K242" s="41"/>
    </row>
    <row r="243" spans="2:14" ht="15" customHeight="1" x14ac:dyDescent="0.2">
      <c r="B243" s="38"/>
      <c r="C243" s="40" t="s">
        <v>447</v>
      </c>
      <c r="D243" s="40"/>
      <c r="E243" s="40"/>
      <c r="F243" s="40"/>
      <c r="G243" s="40"/>
      <c r="H243" s="40"/>
      <c r="I243" s="40"/>
      <c r="J243" s="254">
        <f>'Baseline Health'!G77</f>
        <v>0</v>
      </c>
      <c r="K243" s="41"/>
    </row>
    <row r="244" spans="2:14" x14ac:dyDescent="0.2">
      <c r="B244" s="38"/>
      <c r="C244" s="40" t="s">
        <v>358</v>
      </c>
      <c r="D244" s="40"/>
      <c r="E244" s="40"/>
      <c r="F244" s="40"/>
      <c r="G244" s="40"/>
      <c r="H244" s="40"/>
      <c r="I244" s="40"/>
      <c r="J244" s="264">
        <v>20</v>
      </c>
      <c r="K244" s="41"/>
      <c r="L244" s="12" t="s">
        <v>1267</v>
      </c>
    </row>
    <row r="245" spans="2:14" x14ac:dyDescent="0.2">
      <c r="B245" s="38"/>
      <c r="C245" s="40" t="s">
        <v>360</v>
      </c>
      <c r="D245" s="291"/>
      <c r="E245" s="291"/>
      <c r="F245" s="291"/>
      <c r="G245" s="291"/>
      <c r="H245" s="291"/>
      <c r="I245" s="291"/>
      <c r="J245" s="264">
        <v>0</v>
      </c>
      <c r="K245" s="41"/>
    </row>
    <row r="246" spans="2:14" x14ac:dyDescent="0.2">
      <c r="B246" s="38"/>
      <c r="C246" s="40" t="s">
        <v>260</v>
      </c>
      <c r="D246" s="40"/>
      <c r="E246" s="40"/>
      <c r="F246" s="40"/>
      <c r="G246" s="40"/>
      <c r="H246" s="40"/>
      <c r="I246" s="40"/>
      <c r="J246" s="245" t="str">
        <f>IF(OR(J243=0,J243="Not Calculated")=TRUE,"Not Calculated",IF(J243-J244=0,4,(IF(((J243+J245)/(J243-J244))&lt;=1,0,IF(((J243+J245)/(J243-J244))&lt;=1.05,1,IF(((J243+J245)/(J243-J244))&lt;=1.5,2,IF(((J243+J245)/(J243-J244))&lt;=2,3,4)))))))</f>
        <v>Not Calculated</v>
      </c>
      <c r="K246" s="41"/>
    </row>
    <row r="247" spans="2:14" ht="9.75" customHeight="1" x14ac:dyDescent="0.2">
      <c r="B247" s="38"/>
      <c r="C247" s="279" t="str">
        <f>"0:"</f>
        <v>0:</v>
      </c>
      <c r="D247" s="278" t="s">
        <v>918</v>
      </c>
      <c r="E247" s="40"/>
      <c r="F247" s="40"/>
      <c r="G247" s="40"/>
      <c r="H247" s="40"/>
      <c r="I247" s="40"/>
      <c r="J247" s="40"/>
      <c r="K247" s="41"/>
    </row>
    <row r="248" spans="2:14" ht="9.75" customHeight="1" x14ac:dyDescent="0.2">
      <c r="B248" s="38"/>
      <c r="C248" s="280" t="str">
        <f>"1:"</f>
        <v>1:</v>
      </c>
      <c r="D248" s="278" t="s">
        <v>923</v>
      </c>
      <c r="E248" s="40"/>
      <c r="F248" s="40"/>
      <c r="G248" s="40"/>
      <c r="H248" s="40"/>
      <c r="I248" s="40"/>
      <c r="J248" s="40"/>
      <c r="K248" s="41"/>
    </row>
    <row r="249" spans="2:14" ht="9.75" customHeight="1" x14ac:dyDescent="0.2">
      <c r="B249" s="38"/>
      <c r="C249" s="280" t="str">
        <f>"2:"</f>
        <v>2:</v>
      </c>
      <c r="D249" s="278" t="s">
        <v>924</v>
      </c>
      <c r="E249" s="40"/>
      <c r="F249" s="40"/>
      <c r="G249" s="40"/>
      <c r="H249" s="40"/>
      <c r="I249" s="40"/>
      <c r="J249" s="40"/>
      <c r="K249" s="41"/>
    </row>
    <row r="250" spans="2:14" ht="9.75" customHeight="1" x14ac:dyDescent="0.2">
      <c r="B250" s="38"/>
      <c r="C250" s="280" t="str">
        <f>"3:"</f>
        <v>3:</v>
      </c>
      <c r="D250" s="278" t="s">
        <v>925</v>
      </c>
      <c r="E250" s="40"/>
      <c r="F250" s="40"/>
      <c r="G250" s="40"/>
      <c r="H250" s="40"/>
      <c r="I250" s="40"/>
      <c r="J250" s="40"/>
      <c r="K250" s="41"/>
    </row>
    <row r="251" spans="2:14" ht="9.75" customHeight="1" x14ac:dyDescent="0.2">
      <c r="B251" s="38"/>
      <c r="C251" s="280" t="str">
        <f>"4:"</f>
        <v>4:</v>
      </c>
      <c r="D251" s="278" t="s">
        <v>926</v>
      </c>
      <c r="E251" s="40"/>
      <c r="F251" s="40"/>
      <c r="G251" s="40"/>
      <c r="H251" s="40"/>
      <c r="I251" s="40"/>
      <c r="J251" s="40"/>
      <c r="K251" s="41"/>
      <c r="N251" s="12" t="s">
        <v>661</v>
      </c>
    </row>
    <row r="252" spans="2:14" x14ac:dyDescent="0.2">
      <c r="B252" s="38"/>
      <c r="C252" s="174" t="s">
        <v>662</v>
      </c>
      <c r="D252" s="40"/>
      <c r="E252" s="40"/>
      <c r="F252" s="40"/>
      <c r="G252" s="40"/>
      <c r="H252" s="40"/>
      <c r="I252" s="40"/>
      <c r="J252" s="265" t="s">
        <v>661</v>
      </c>
      <c r="K252" s="41"/>
      <c r="N252" s="12" t="s">
        <v>894</v>
      </c>
    </row>
    <row r="253" spans="2:14" x14ac:dyDescent="0.2">
      <c r="B253" s="38"/>
      <c r="C253" s="174" t="s">
        <v>660</v>
      </c>
      <c r="D253" s="40"/>
      <c r="E253" s="40"/>
      <c r="F253" s="40"/>
      <c r="G253" s="40"/>
      <c r="H253" s="40"/>
      <c r="I253" s="40"/>
      <c r="J253" s="246" t="str">
        <f>IF(J252=N251,"N/A",IF(J252=N252,0,IF(J252=N253,1,IF(J252=N254,2,IF(J252=N255,3,IF(J252=N256,4,"N/A"))))))</f>
        <v>N/A</v>
      </c>
      <c r="K253" s="41"/>
      <c r="N253" s="12" t="s">
        <v>899</v>
      </c>
    </row>
    <row r="254" spans="2:14" x14ac:dyDescent="0.2">
      <c r="B254" s="38"/>
      <c r="C254" s="40" t="s">
        <v>257</v>
      </c>
      <c r="D254" s="40"/>
      <c r="E254" s="40"/>
      <c r="F254" s="40"/>
      <c r="G254" s="40"/>
      <c r="H254" s="40"/>
      <c r="I254" s="40"/>
      <c r="J254" s="266" t="s">
        <v>870</v>
      </c>
      <c r="K254" s="41"/>
      <c r="N254" s="12" t="s">
        <v>900</v>
      </c>
    </row>
    <row r="255" spans="2:14" x14ac:dyDescent="0.2">
      <c r="B255" s="38"/>
      <c r="C255" s="40" t="s">
        <v>261</v>
      </c>
      <c r="D255" s="40"/>
      <c r="E255" s="40"/>
      <c r="F255" s="40"/>
      <c r="G255" s="40"/>
      <c r="H255" s="40"/>
      <c r="I255" s="40"/>
      <c r="J255" s="245">
        <f>IF(J254=$B$973,$A$973,IF(J254=$B$974,$A$974,IF(J254=$B$975,$A$975,IF(J254=$B$976,$A$976,IF(J254=$B$977,$A$977,"Not Calculated")))))</f>
        <v>0</v>
      </c>
      <c r="K255" s="41"/>
      <c r="N255" s="12" t="s">
        <v>901</v>
      </c>
    </row>
    <row r="256" spans="2:14" x14ac:dyDescent="0.2">
      <c r="B256" s="38"/>
      <c r="C256" s="40" t="s">
        <v>893</v>
      </c>
      <c r="D256" s="40"/>
      <c r="E256" s="40"/>
      <c r="F256" s="40"/>
      <c r="G256" s="40"/>
      <c r="H256" s="40"/>
      <c r="I256" s="40"/>
      <c r="J256" s="40"/>
      <c r="K256" s="41"/>
      <c r="N256" s="12" t="s">
        <v>902</v>
      </c>
    </row>
    <row r="257" spans="2:12" ht="30" customHeight="1" x14ac:dyDescent="0.2">
      <c r="B257" s="38"/>
      <c r="C257" s="399" t="s">
        <v>1256</v>
      </c>
      <c r="D257" s="400"/>
      <c r="E257" s="400"/>
      <c r="F257" s="400"/>
      <c r="G257" s="400"/>
      <c r="H257" s="400"/>
      <c r="I257" s="400"/>
      <c r="J257" s="401"/>
      <c r="K257" s="41"/>
    </row>
    <row r="258" spans="2:12" x14ac:dyDescent="0.2">
      <c r="B258" s="38"/>
      <c r="C258" s="40"/>
      <c r="D258" s="40"/>
      <c r="E258" s="40"/>
      <c r="F258" s="40"/>
      <c r="G258" s="40"/>
      <c r="H258" s="40"/>
      <c r="I258" s="40"/>
      <c r="J258" s="40"/>
      <c r="K258" s="41"/>
    </row>
    <row r="259" spans="2:12" x14ac:dyDescent="0.2">
      <c r="B259" s="38"/>
      <c r="C259" s="179" t="s">
        <v>279</v>
      </c>
      <c r="D259" s="40"/>
      <c r="E259" s="40"/>
      <c r="F259" s="40"/>
      <c r="G259" s="40"/>
      <c r="H259" s="40"/>
      <c r="I259" s="40"/>
      <c r="J259" s="245" t="str">
        <f>IF(J253="N/A",IF(OR(J246="Not Calculated",J255="Not Calculated")=TRUE,"Not Calculated",AVERAGE(J246,J255)),AVERAGE(J253,J255))</f>
        <v>Not Calculated</v>
      </c>
      <c r="K259" s="41"/>
    </row>
    <row r="260" spans="2:12" x14ac:dyDescent="0.2">
      <c r="B260" s="38"/>
      <c r="C260" s="40"/>
      <c r="D260" s="40"/>
      <c r="E260" s="40"/>
      <c r="F260" s="40"/>
      <c r="G260" s="40"/>
      <c r="H260" s="40"/>
      <c r="I260" s="40"/>
      <c r="J260" s="40"/>
      <c r="K260" s="41"/>
    </row>
    <row r="261" spans="2:12" ht="18" x14ac:dyDescent="0.2">
      <c r="B261" s="38"/>
      <c r="C261" s="180" t="s">
        <v>272</v>
      </c>
      <c r="D261" s="40"/>
      <c r="E261" s="40"/>
      <c r="F261" s="40"/>
      <c r="G261" s="40"/>
      <c r="H261" s="40"/>
      <c r="I261" s="40"/>
      <c r="J261" s="244" t="str">
        <f>IF(OR(J157="Not Calculated",J178="Not Calculated",J198="Not Calculated",J218="Not Calculated",J239="Not Calculated",J259="Not Calculated",)=TRUE,"Not Calculated",AVERAGE(J157,J178,J198,J218,J239,J259))</f>
        <v>Not Calculated</v>
      </c>
      <c r="K261" s="41"/>
    </row>
    <row r="262" spans="2:12" ht="16" thickBot="1" x14ac:dyDescent="0.25">
      <c r="B262" s="46"/>
      <c r="C262" s="47"/>
      <c r="D262" s="47"/>
      <c r="E262" s="47"/>
      <c r="F262" s="47"/>
      <c r="G262" s="47"/>
      <c r="H262" s="47"/>
      <c r="I262" s="47"/>
      <c r="J262" s="47"/>
      <c r="K262" s="49"/>
    </row>
    <row r="263" spans="2:12" ht="16" thickBot="1" x14ac:dyDescent="0.25"/>
    <row r="264" spans="2:12" x14ac:dyDescent="0.2">
      <c r="B264" s="33"/>
      <c r="C264" s="34"/>
      <c r="D264" s="34"/>
      <c r="E264" s="34"/>
      <c r="F264" s="34"/>
      <c r="G264" s="34"/>
      <c r="H264" s="34"/>
      <c r="I264" s="34"/>
      <c r="J264" s="34"/>
      <c r="K264" s="37"/>
    </row>
    <row r="265" spans="2:12" ht="21" x14ac:dyDescent="0.25">
      <c r="B265" s="38"/>
      <c r="C265" s="40"/>
      <c r="D265" s="40"/>
      <c r="E265" s="40"/>
      <c r="F265" s="40"/>
      <c r="G265" s="172" t="s">
        <v>864</v>
      </c>
      <c r="H265" s="40"/>
      <c r="I265" s="40"/>
      <c r="J265" s="40"/>
      <c r="K265" s="41"/>
    </row>
    <row r="266" spans="2:12" ht="15" customHeight="1" x14ac:dyDescent="0.2">
      <c r="B266" s="38"/>
      <c r="C266" s="40"/>
      <c r="D266" s="40"/>
      <c r="E266" s="40"/>
      <c r="F266" s="40"/>
      <c r="G266" s="40"/>
      <c r="H266" s="40"/>
      <c r="I266" s="40"/>
      <c r="J266" s="40"/>
      <c r="K266" s="41"/>
    </row>
    <row r="267" spans="2:12" ht="16" x14ac:dyDescent="0.2">
      <c r="B267" s="38"/>
      <c r="C267" s="45" t="s">
        <v>80</v>
      </c>
      <c r="D267" s="40"/>
      <c r="E267" s="40"/>
      <c r="F267" s="40"/>
      <c r="G267" s="40"/>
      <c r="H267" s="40"/>
      <c r="I267" s="40"/>
      <c r="J267" s="40"/>
      <c r="K267" s="41"/>
    </row>
    <row r="268" spans="2:12" x14ac:dyDescent="0.2">
      <c r="B268" s="38"/>
      <c r="C268" s="40" t="s">
        <v>283</v>
      </c>
      <c r="D268" s="40"/>
      <c r="E268" s="40"/>
      <c r="F268" s="40"/>
      <c r="G268" s="40"/>
      <c r="H268" s="40"/>
      <c r="I268" s="40"/>
      <c r="J268" s="250">
        <f>'Baseline Health'!G88</f>
        <v>0</v>
      </c>
      <c r="K268" s="41"/>
    </row>
    <row r="269" spans="2:12" x14ac:dyDescent="0.2">
      <c r="B269" s="38"/>
      <c r="C269" s="40" t="s">
        <v>284</v>
      </c>
      <c r="D269" s="40"/>
      <c r="E269" s="40"/>
      <c r="F269" s="40"/>
      <c r="G269" s="40"/>
      <c r="H269" s="40"/>
      <c r="I269" s="40"/>
      <c r="J269" s="264">
        <v>7</v>
      </c>
      <c r="K269" s="41"/>
      <c r="L269" s="12" t="s">
        <v>1268</v>
      </c>
    </row>
    <row r="270" spans="2:12" x14ac:dyDescent="0.2">
      <c r="B270" s="38"/>
      <c r="C270" s="40" t="s">
        <v>285</v>
      </c>
      <c r="D270" s="40"/>
      <c r="E270" s="40"/>
      <c r="F270" s="40"/>
      <c r="G270" s="40"/>
      <c r="H270" s="40"/>
      <c r="I270" s="40"/>
      <c r="J270" s="259">
        <f>'Baseline Health'!G93</f>
        <v>0</v>
      </c>
      <c r="K270" s="41"/>
    </row>
    <row r="271" spans="2:12" x14ac:dyDescent="0.2">
      <c r="B271" s="38"/>
      <c r="C271" s="40" t="s">
        <v>286</v>
      </c>
      <c r="D271" s="40"/>
      <c r="E271" s="40"/>
      <c r="F271" s="40"/>
      <c r="G271" s="40"/>
      <c r="H271" s="40"/>
      <c r="I271" s="40"/>
      <c r="J271" s="250">
        <f>J184</f>
        <v>36</v>
      </c>
      <c r="K271" s="41"/>
    </row>
    <row r="272" spans="2:12" x14ac:dyDescent="0.2">
      <c r="B272" s="38"/>
      <c r="C272" s="40"/>
      <c r="D272" s="40" t="s">
        <v>432</v>
      </c>
      <c r="E272" s="40"/>
      <c r="F272" s="40"/>
      <c r="G272" s="40"/>
      <c r="H272" s="40"/>
      <c r="I272" s="40"/>
      <c r="J272" s="40"/>
      <c r="K272" s="41"/>
    </row>
    <row r="273" spans="2:14" x14ac:dyDescent="0.2">
      <c r="B273" s="38"/>
      <c r="C273" s="40" t="s">
        <v>292</v>
      </c>
      <c r="D273" s="40"/>
      <c r="E273" s="40"/>
      <c r="F273" s="40"/>
      <c r="G273" s="40"/>
      <c r="H273" s="40"/>
      <c r="I273" s="40"/>
      <c r="J273" s="258" t="str">
        <f>'Baseline Health'!G97</f>
        <v>N/A</v>
      </c>
      <c r="K273" s="41"/>
    </row>
    <row r="274" spans="2:14" x14ac:dyDescent="0.2">
      <c r="B274" s="38"/>
      <c r="C274" s="40" t="s">
        <v>293</v>
      </c>
      <c r="D274" s="40"/>
      <c r="E274" s="40"/>
      <c r="F274" s="40"/>
      <c r="G274" s="40"/>
      <c r="H274" s="40"/>
      <c r="I274" s="40"/>
      <c r="J274" s="258" t="str">
        <f>IF(J273="N/A","N/A",IF(J268-J269=0,"No Nurses",((J270+J271)/(J268-J269))))</f>
        <v>N/A</v>
      </c>
      <c r="K274" s="41"/>
    </row>
    <row r="275" spans="2:14" x14ac:dyDescent="0.2">
      <c r="B275" s="38"/>
      <c r="C275" s="40" t="s">
        <v>260</v>
      </c>
      <c r="D275" s="40"/>
      <c r="E275" s="40"/>
      <c r="F275" s="40"/>
      <c r="G275" s="40"/>
      <c r="H275" s="40"/>
      <c r="I275" s="40"/>
      <c r="J275" s="245">
        <f>IF(J273=0,"Not Calculated",IF(J274="N/A",0,IF(J274="No Nurses",4,IF((J274/J273)&lt;=1,0,IF((J274/J273)&lt;=1.1,1,IF((J274/J273)&lt;=1=1.25,2,IF((J274/J273)&lt;=1.5,3,4)))))))</f>
        <v>0</v>
      </c>
      <c r="K275" s="41"/>
    </row>
    <row r="276" spans="2:14" ht="9.75" customHeight="1" x14ac:dyDescent="0.2">
      <c r="B276" s="38"/>
      <c r="C276" s="279" t="str">
        <f>"0:"</f>
        <v>0:</v>
      </c>
      <c r="D276" s="278" t="s">
        <v>927</v>
      </c>
      <c r="E276" s="40"/>
      <c r="F276" s="40"/>
      <c r="G276" s="40"/>
      <c r="H276" s="40"/>
      <c r="I276" s="40"/>
      <c r="J276" s="258"/>
      <c r="K276" s="41"/>
    </row>
    <row r="277" spans="2:14" ht="9.75" customHeight="1" x14ac:dyDescent="0.2">
      <c r="B277" s="38"/>
      <c r="C277" s="280" t="str">
        <f>"1:"</f>
        <v>1:</v>
      </c>
      <c r="D277" s="278" t="s">
        <v>928</v>
      </c>
      <c r="E277" s="40"/>
      <c r="F277" s="40"/>
      <c r="G277" s="40"/>
      <c r="H277" s="40"/>
      <c r="I277" s="40"/>
      <c r="J277" s="258"/>
      <c r="K277" s="41"/>
    </row>
    <row r="278" spans="2:14" ht="9.75" customHeight="1" x14ac:dyDescent="0.2">
      <c r="B278" s="38"/>
      <c r="C278" s="280" t="str">
        <f>"2:"</f>
        <v>2:</v>
      </c>
      <c r="D278" s="278" t="s">
        <v>929</v>
      </c>
      <c r="E278" s="40"/>
      <c r="F278" s="40"/>
      <c r="G278" s="40"/>
      <c r="H278" s="40"/>
      <c r="I278" s="40"/>
      <c r="J278" s="258"/>
      <c r="K278" s="41"/>
    </row>
    <row r="279" spans="2:14" ht="9.75" customHeight="1" x14ac:dyDescent="0.2">
      <c r="B279" s="38"/>
      <c r="C279" s="280" t="str">
        <f>"3:"</f>
        <v>3:</v>
      </c>
      <c r="D279" s="278" t="s">
        <v>930</v>
      </c>
      <c r="E279" s="40"/>
      <c r="F279" s="40"/>
      <c r="G279" s="40"/>
      <c r="H279" s="40"/>
      <c r="I279" s="40"/>
      <c r="J279" s="258"/>
      <c r="K279" s="41"/>
    </row>
    <row r="280" spans="2:14" ht="9.75" customHeight="1" x14ac:dyDescent="0.2">
      <c r="B280" s="38"/>
      <c r="C280" s="280" t="str">
        <f>"4:"</f>
        <v>4:</v>
      </c>
      <c r="D280" s="278" t="s">
        <v>931</v>
      </c>
      <c r="E280" s="40"/>
      <c r="F280" s="40"/>
      <c r="G280" s="40"/>
      <c r="H280" s="40"/>
      <c r="I280" s="40"/>
      <c r="J280" s="40"/>
      <c r="K280" s="41"/>
      <c r="N280" s="12" t="s">
        <v>661</v>
      </c>
    </row>
    <row r="281" spans="2:14" x14ac:dyDescent="0.2">
      <c r="B281" s="38"/>
      <c r="C281" s="174" t="s">
        <v>662</v>
      </c>
      <c r="D281" s="40"/>
      <c r="E281" s="40"/>
      <c r="F281" s="40"/>
      <c r="G281" s="40"/>
      <c r="H281" s="40"/>
      <c r="I281" s="40"/>
      <c r="J281" s="265" t="s">
        <v>661</v>
      </c>
      <c r="K281" s="41"/>
      <c r="N281" s="12" t="s">
        <v>903</v>
      </c>
    </row>
    <row r="282" spans="2:14" x14ac:dyDescent="0.2">
      <c r="B282" s="38"/>
      <c r="C282" s="174" t="s">
        <v>660</v>
      </c>
      <c r="D282" s="40"/>
      <c r="E282" s="40"/>
      <c r="F282" s="40"/>
      <c r="G282" s="40"/>
      <c r="H282" s="40"/>
      <c r="I282" s="40"/>
      <c r="J282" s="246" t="str">
        <f>IF(J281=N280,"N/A",IF(J281=N281,0,IF(J281=N282,1,IF(J281=N283,2,IF(J281=N284,3,IF(J281=N285,4,"N/A"))))))</f>
        <v>N/A</v>
      </c>
      <c r="K282" s="41"/>
      <c r="N282" s="12" t="s">
        <v>904</v>
      </c>
    </row>
    <row r="283" spans="2:14" x14ac:dyDescent="0.2">
      <c r="B283" s="38"/>
      <c r="C283" s="40" t="s">
        <v>257</v>
      </c>
      <c r="D283" s="40"/>
      <c r="E283" s="40"/>
      <c r="F283" s="40"/>
      <c r="G283" s="40"/>
      <c r="H283" s="40"/>
      <c r="I283" s="40"/>
      <c r="J283" s="266" t="s">
        <v>874</v>
      </c>
      <c r="K283" s="41"/>
      <c r="N283" s="12" t="s">
        <v>905</v>
      </c>
    </row>
    <row r="284" spans="2:14" x14ac:dyDescent="0.2">
      <c r="B284" s="38"/>
      <c r="C284" s="40" t="s">
        <v>261</v>
      </c>
      <c r="D284" s="40"/>
      <c r="E284" s="40"/>
      <c r="F284" s="40"/>
      <c r="G284" s="40"/>
      <c r="H284" s="40"/>
      <c r="I284" s="40"/>
      <c r="J284" s="248">
        <f>IF(J283=$B$973,$A$973,IF(J283=$B$974,$A$974,IF(J283=$B$975,$A$975,IF(J283=$B$976,$A$976,IF(J283=$B$977,$A$977,"Not Calculated")))))</f>
        <v>4</v>
      </c>
      <c r="K284" s="41"/>
      <c r="N284" s="12" t="s">
        <v>906</v>
      </c>
    </row>
    <row r="285" spans="2:14" x14ac:dyDescent="0.2">
      <c r="B285" s="38"/>
      <c r="C285" s="40" t="s">
        <v>893</v>
      </c>
      <c r="D285" s="40"/>
      <c r="E285" s="40"/>
      <c r="F285" s="40"/>
      <c r="G285" s="40"/>
      <c r="H285" s="40"/>
      <c r="I285" s="40"/>
      <c r="J285" s="40"/>
      <c r="K285" s="41"/>
      <c r="N285" s="12" t="s">
        <v>907</v>
      </c>
    </row>
    <row r="286" spans="2:14" ht="115" customHeight="1" x14ac:dyDescent="0.2">
      <c r="B286" s="38"/>
      <c r="C286" s="399" t="s">
        <v>1257</v>
      </c>
      <c r="D286" s="400"/>
      <c r="E286" s="400"/>
      <c r="F286" s="400"/>
      <c r="G286" s="400"/>
      <c r="H286" s="400"/>
      <c r="I286" s="400"/>
      <c r="J286" s="401"/>
      <c r="K286" s="41"/>
    </row>
    <row r="287" spans="2:14" x14ac:dyDescent="0.2">
      <c r="B287" s="38"/>
      <c r="C287" s="40"/>
      <c r="D287" s="40"/>
      <c r="E287" s="40"/>
      <c r="F287" s="40"/>
      <c r="G287" s="40"/>
      <c r="H287" s="40"/>
      <c r="I287" s="40"/>
      <c r="J287" s="40"/>
      <c r="K287" s="41"/>
    </row>
    <row r="288" spans="2:14" x14ac:dyDescent="0.2">
      <c r="B288" s="38"/>
      <c r="C288" s="179" t="s">
        <v>295</v>
      </c>
      <c r="D288" s="40"/>
      <c r="E288" s="40"/>
      <c r="F288" s="40"/>
      <c r="G288" s="40"/>
      <c r="H288" s="40"/>
      <c r="I288" s="40"/>
      <c r="J288" s="245">
        <f>IF(J282="N/A",IF(OR(J275="Not Calculated",J284="Not Calculated")=TRUE,"Not Calculated",AVERAGE(J275,J284)),AVERAGE(J282,J284))</f>
        <v>2</v>
      </c>
      <c r="K288" s="41"/>
    </row>
    <row r="289" spans="2:11" x14ac:dyDescent="0.2">
      <c r="B289" s="38"/>
      <c r="C289" s="40"/>
      <c r="D289" s="40"/>
      <c r="E289" s="40"/>
      <c r="F289" s="40"/>
      <c r="G289" s="40"/>
      <c r="H289" s="40"/>
      <c r="I289" s="40"/>
      <c r="J289" s="245"/>
      <c r="K289" s="41"/>
    </row>
    <row r="290" spans="2:11" x14ac:dyDescent="0.2">
      <c r="B290" s="38"/>
      <c r="C290" s="40"/>
      <c r="D290" s="40"/>
      <c r="E290" s="40"/>
      <c r="F290" s="40"/>
      <c r="G290" s="40"/>
      <c r="H290" s="40"/>
      <c r="I290" s="40"/>
      <c r="J290" s="40"/>
      <c r="K290" s="41"/>
    </row>
    <row r="291" spans="2:11" ht="16" x14ac:dyDescent="0.2">
      <c r="B291" s="38"/>
      <c r="C291" s="45" t="s">
        <v>856</v>
      </c>
      <c r="D291" s="40"/>
      <c r="E291" s="40"/>
      <c r="F291" s="40"/>
      <c r="G291" s="40"/>
      <c r="H291" s="40"/>
      <c r="I291" s="40"/>
      <c r="J291" s="40"/>
      <c r="K291" s="41"/>
    </row>
    <row r="292" spans="2:11" x14ac:dyDescent="0.2">
      <c r="B292" s="38"/>
      <c r="C292" s="380" t="s">
        <v>855</v>
      </c>
      <c r="D292" s="380"/>
      <c r="E292" s="380"/>
      <c r="F292" s="380"/>
      <c r="G292" s="380"/>
      <c r="H292" s="380"/>
      <c r="I292" s="380"/>
      <c r="J292" s="40"/>
      <c r="K292" s="41"/>
    </row>
    <row r="293" spans="2:11" x14ac:dyDescent="0.2">
      <c r="B293" s="38"/>
      <c r="C293" s="380"/>
      <c r="D293" s="380"/>
      <c r="E293" s="380"/>
      <c r="F293" s="380"/>
      <c r="G293" s="380"/>
      <c r="H293" s="380"/>
      <c r="I293" s="380"/>
      <c r="J293" s="264">
        <v>0</v>
      </c>
      <c r="K293" s="41"/>
    </row>
    <row r="294" spans="2:11" x14ac:dyDescent="0.2">
      <c r="B294" s="38"/>
      <c r="C294" s="40" t="s">
        <v>853</v>
      </c>
      <c r="D294" s="291"/>
      <c r="E294" s="291"/>
      <c r="F294" s="291"/>
      <c r="G294" s="291"/>
      <c r="H294" s="291"/>
      <c r="I294" s="291"/>
      <c r="J294" s="255">
        <f>'Baseline Health'!$G$102</f>
        <v>0</v>
      </c>
      <c r="K294" s="41"/>
    </row>
    <row r="295" spans="2:11" x14ac:dyDescent="0.2">
      <c r="B295" s="38"/>
      <c r="C295" s="40" t="s">
        <v>842</v>
      </c>
      <c r="D295" s="40"/>
      <c r="E295" s="40"/>
      <c r="F295" s="40"/>
      <c r="G295" s="40"/>
      <c r="H295" s="40"/>
      <c r="I295" s="40"/>
      <c r="J295" s="244" t="str">
        <f>IF('Baseline Health'!$G$102=0,"Not Calculated",100*J293/'Baseline Health'!$G$102)</f>
        <v>Not Calculated</v>
      </c>
      <c r="K295" s="41"/>
    </row>
    <row r="296" spans="2:11" x14ac:dyDescent="0.2">
      <c r="B296" s="38"/>
      <c r="C296" s="40" t="s">
        <v>260</v>
      </c>
      <c r="D296" s="40"/>
      <c r="E296" s="40"/>
      <c r="F296" s="40"/>
      <c r="G296" s="40"/>
      <c r="H296" s="40"/>
      <c r="I296" s="40"/>
      <c r="J296" s="245">
        <f>IF(J295&lt;=0,0,IF(J295&lt;=1,1,IF(J295&lt;=5,2,IF(J295&lt;=10,3,4))))</f>
        <v>4</v>
      </c>
      <c r="K296" s="41"/>
    </row>
    <row r="297" spans="2:11" ht="9.75" customHeight="1" x14ac:dyDescent="0.2">
      <c r="B297" s="38"/>
      <c r="C297" s="279" t="str">
        <f>"0:"</f>
        <v>0:</v>
      </c>
      <c r="D297" s="278" t="s">
        <v>932</v>
      </c>
      <c r="E297" s="40"/>
      <c r="F297" s="40"/>
      <c r="G297" s="40"/>
      <c r="H297" s="40"/>
      <c r="I297" s="40"/>
      <c r="J297" s="244"/>
      <c r="K297" s="41"/>
    </row>
    <row r="298" spans="2:11" ht="9.75" customHeight="1" x14ac:dyDescent="0.2">
      <c r="B298" s="38"/>
      <c r="C298" s="280" t="str">
        <f>"1:"</f>
        <v>1:</v>
      </c>
      <c r="D298" s="278" t="s">
        <v>934</v>
      </c>
      <c r="E298" s="40"/>
      <c r="F298" s="40"/>
      <c r="G298" s="40"/>
      <c r="H298" s="40"/>
      <c r="I298" s="40"/>
      <c r="J298" s="244"/>
      <c r="K298" s="41"/>
    </row>
    <row r="299" spans="2:11" ht="9.75" customHeight="1" x14ac:dyDescent="0.2">
      <c r="B299" s="38"/>
      <c r="C299" s="280" t="str">
        <f>"2:"</f>
        <v>2:</v>
      </c>
      <c r="D299" s="278" t="s">
        <v>933</v>
      </c>
      <c r="E299" s="40"/>
      <c r="F299" s="40"/>
      <c r="G299" s="40"/>
      <c r="H299" s="40"/>
      <c r="I299" s="40"/>
      <c r="J299" s="244"/>
      <c r="K299" s="41"/>
    </row>
    <row r="300" spans="2:11" ht="9.75" customHeight="1" x14ac:dyDescent="0.2">
      <c r="B300" s="38"/>
      <c r="C300" s="280" t="str">
        <f>"3:"</f>
        <v>3:</v>
      </c>
      <c r="D300" s="278" t="s">
        <v>935</v>
      </c>
      <c r="E300" s="40"/>
      <c r="F300" s="40"/>
      <c r="G300" s="40"/>
      <c r="H300" s="40"/>
      <c r="I300" s="40"/>
      <c r="J300" s="244"/>
      <c r="K300" s="41"/>
    </row>
    <row r="301" spans="2:11" ht="9.75" customHeight="1" x14ac:dyDescent="0.2">
      <c r="B301" s="38"/>
      <c r="C301" s="280" t="str">
        <f>"4:"</f>
        <v>4:</v>
      </c>
      <c r="D301" s="278" t="s">
        <v>936</v>
      </c>
      <c r="E301" s="40"/>
      <c r="F301" s="40"/>
      <c r="G301" s="40"/>
      <c r="H301" s="40"/>
      <c r="I301" s="40"/>
      <c r="J301" s="40"/>
      <c r="K301" s="41"/>
    </row>
    <row r="302" spans="2:11" x14ac:dyDescent="0.2">
      <c r="B302" s="38"/>
      <c r="C302" s="40" t="s">
        <v>257</v>
      </c>
      <c r="D302" s="40"/>
      <c r="E302" s="40"/>
      <c r="F302" s="40"/>
      <c r="G302" s="40"/>
      <c r="H302" s="40"/>
      <c r="I302" s="40"/>
      <c r="J302" s="266" t="s">
        <v>870</v>
      </c>
      <c r="K302" s="41"/>
    </row>
    <row r="303" spans="2:11" x14ac:dyDescent="0.2">
      <c r="B303" s="38"/>
      <c r="C303" s="40" t="s">
        <v>261</v>
      </c>
      <c r="D303" s="40"/>
      <c r="E303" s="40"/>
      <c r="F303" s="40"/>
      <c r="G303" s="40"/>
      <c r="H303" s="40"/>
      <c r="I303" s="40"/>
      <c r="J303" s="245">
        <f>IF(J302=$B$980,$A$980,IF(J302=$B$981,$A$981,IF(J302=$B$982,$A$982,IF(J302=$B$983,$A$983,IF(J302=$B$984,$A$984,"Not Calculated")))))</f>
        <v>0</v>
      </c>
      <c r="K303" s="41"/>
    </row>
    <row r="304" spans="2:11" x14ac:dyDescent="0.2">
      <c r="B304" s="38"/>
      <c r="C304" s="40" t="s">
        <v>893</v>
      </c>
      <c r="D304" s="40"/>
      <c r="E304" s="40"/>
      <c r="F304" s="40"/>
      <c r="G304" s="40"/>
      <c r="H304" s="40"/>
      <c r="I304" s="40"/>
      <c r="J304" s="40"/>
      <c r="K304" s="41"/>
    </row>
    <row r="305" spans="2:11" ht="30" customHeight="1" x14ac:dyDescent="0.2">
      <c r="B305" s="38"/>
      <c r="C305" s="399"/>
      <c r="D305" s="400"/>
      <c r="E305" s="400"/>
      <c r="F305" s="400"/>
      <c r="G305" s="400"/>
      <c r="H305" s="400"/>
      <c r="I305" s="400"/>
      <c r="J305" s="401"/>
      <c r="K305" s="41"/>
    </row>
    <row r="306" spans="2:11" x14ac:dyDescent="0.2">
      <c r="B306" s="38"/>
      <c r="C306" s="40"/>
      <c r="D306" s="40"/>
      <c r="E306" s="40"/>
      <c r="F306" s="40"/>
      <c r="G306" s="40"/>
      <c r="H306" s="40"/>
      <c r="I306" s="40"/>
      <c r="J306" s="40"/>
      <c r="K306" s="41"/>
    </row>
    <row r="307" spans="2:11" x14ac:dyDescent="0.2">
      <c r="B307" s="38"/>
      <c r="C307" s="179" t="s">
        <v>885</v>
      </c>
      <c r="D307" s="40"/>
      <c r="E307" s="40"/>
      <c r="F307" s="40"/>
      <c r="G307" s="40"/>
      <c r="H307" s="40"/>
      <c r="I307" s="40"/>
      <c r="J307" s="245">
        <f>IF(OR(J296="Not Calculated",J303="Not Calculated")=TRUE,"Not Calculated",AVERAGE(J296,J303))</f>
        <v>2</v>
      </c>
      <c r="K307" s="41"/>
    </row>
    <row r="308" spans="2:11" x14ac:dyDescent="0.2">
      <c r="B308" s="38"/>
      <c r="C308" s="40"/>
      <c r="D308" s="40"/>
      <c r="E308" s="40"/>
      <c r="F308" s="40"/>
      <c r="G308" s="40"/>
      <c r="H308" s="40"/>
      <c r="I308" s="40"/>
      <c r="J308" s="40"/>
      <c r="K308" s="41"/>
    </row>
    <row r="309" spans="2:11" x14ac:dyDescent="0.2">
      <c r="B309" s="38"/>
      <c r="C309" s="40"/>
      <c r="D309" s="40"/>
      <c r="E309" s="40"/>
      <c r="F309" s="40"/>
      <c r="G309" s="40"/>
      <c r="H309" s="40"/>
      <c r="I309" s="40"/>
      <c r="J309" s="40"/>
      <c r="K309" s="41"/>
    </row>
    <row r="310" spans="2:11" ht="16" x14ac:dyDescent="0.2">
      <c r="B310" s="38"/>
      <c r="C310" s="45" t="s">
        <v>857</v>
      </c>
      <c r="D310" s="40"/>
      <c r="E310" s="40"/>
      <c r="F310" s="40"/>
      <c r="G310" s="40"/>
      <c r="H310" s="40"/>
      <c r="I310" s="40"/>
      <c r="J310" s="40"/>
      <c r="K310" s="41"/>
    </row>
    <row r="311" spans="2:11" x14ac:dyDescent="0.2">
      <c r="B311" s="38"/>
      <c r="C311" s="380" t="s">
        <v>843</v>
      </c>
      <c r="D311" s="380"/>
      <c r="E311" s="380"/>
      <c r="F311" s="380"/>
      <c r="G311" s="380"/>
      <c r="H311" s="380"/>
      <c r="I311" s="380"/>
      <c r="J311" s="40"/>
      <c r="K311" s="41"/>
    </row>
    <row r="312" spans="2:11" x14ac:dyDescent="0.2">
      <c r="B312" s="38"/>
      <c r="C312" s="380"/>
      <c r="D312" s="380"/>
      <c r="E312" s="380"/>
      <c r="F312" s="380"/>
      <c r="G312" s="380"/>
      <c r="H312" s="380"/>
      <c r="I312" s="380"/>
      <c r="J312" s="264">
        <v>0</v>
      </c>
      <c r="K312" s="41"/>
    </row>
    <row r="313" spans="2:11" x14ac:dyDescent="0.2">
      <c r="B313" s="38"/>
      <c r="C313" s="40" t="s">
        <v>853</v>
      </c>
      <c r="D313" s="291"/>
      <c r="E313" s="291"/>
      <c r="F313" s="291"/>
      <c r="G313" s="291"/>
      <c r="H313" s="291"/>
      <c r="I313" s="291"/>
      <c r="J313" s="255">
        <f>'Baseline Health'!$G$102</f>
        <v>0</v>
      </c>
      <c r="K313" s="41"/>
    </row>
    <row r="314" spans="2:11" x14ac:dyDescent="0.2">
      <c r="B314" s="38"/>
      <c r="C314" s="40" t="s">
        <v>842</v>
      </c>
      <c r="D314" s="40"/>
      <c r="E314" s="40"/>
      <c r="F314" s="40"/>
      <c r="G314" s="40"/>
      <c r="H314" s="40"/>
      <c r="I314" s="40"/>
      <c r="J314" s="244" t="str">
        <f>IF('Baseline Health'!$G$102=0,"Not Calculated",100*J312/'Baseline Health'!$G$102)</f>
        <v>Not Calculated</v>
      </c>
      <c r="K314" s="41"/>
    </row>
    <row r="315" spans="2:11" x14ac:dyDescent="0.2">
      <c r="B315" s="38"/>
      <c r="C315" s="40" t="s">
        <v>260</v>
      </c>
      <c r="D315" s="40"/>
      <c r="E315" s="40"/>
      <c r="F315" s="40"/>
      <c r="G315" s="40"/>
      <c r="H315" s="40"/>
      <c r="I315" s="40"/>
      <c r="J315" s="245">
        <f>IF(J314&lt;=0,0,IF(J314&lt;=1,1,IF(J314&lt;=5,2,IF(J314&lt;=10,3,4))))</f>
        <v>4</v>
      </c>
      <c r="K315" s="41"/>
    </row>
    <row r="316" spans="2:11" ht="9.75" customHeight="1" x14ac:dyDescent="0.2">
      <c r="B316" s="38"/>
      <c r="C316" s="279" t="str">
        <f>"0:"</f>
        <v>0:</v>
      </c>
      <c r="D316" s="278" t="s">
        <v>932</v>
      </c>
      <c r="E316" s="40"/>
      <c r="F316" s="40"/>
      <c r="G316" s="40"/>
      <c r="H316" s="40"/>
      <c r="I316" s="40"/>
      <c r="J316" s="244"/>
      <c r="K316" s="41"/>
    </row>
    <row r="317" spans="2:11" ht="9.75" customHeight="1" x14ac:dyDescent="0.2">
      <c r="B317" s="38"/>
      <c r="C317" s="280" t="str">
        <f>"1:"</f>
        <v>1:</v>
      </c>
      <c r="D317" s="278" t="s">
        <v>934</v>
      </c>
      <c r="E317" s="40"/>
      <c r="F317" s="40"/>
      <c r="G317" s="40"/>
      <c r="H317" s="40"/>
      <c r="I317" s="40"/>
      <c r="J317" s="244"/>
      <c r="K317" s="41"/>
    </row>
    <row r="318" spans="2:11" ht="9.75" customHeight="1" x14ac:dyDescent="0.2">
      <c r="B318" s="38"/>
      <c r="C318" s="280" t="str">
        <f>"2:"</f>
        <v>2:</v>
      </c>
      <c r="D318" s="278" t="s">
        <v>933</v>
      </c>
      <c r="E318" s="40"/>
      <c r="F318" s="40"/>
      <c r="G318" s="40"/>
      <c r="H318" s="40"/>
      <c r="I318" s="40"/>
      <c r="J318" s="244"/>
      <c r="K318" s="41"/>
    </row>
    <row r="319" spans="2:11" ht="9.75" customHeight="1" x14ac:dyDescent="0.2">
      <c r="B319" s="38"/>
      <c r="C319" s="280" t="str">
        <f>"3:"</f>
        <v>3:</v>
      </c>
      <c r="D319" s="278" t="s">
        <v>935</v>
      </c>
      <c r="E319" s="40"/>
      <c r="F319" s="40"/>
      <c r="G319" s="40"/>
      <c r="H319" s="40"/>
      <c r="I319" s="40"/>
      <c r="J319" s="244"/>
      <c r="K319" s="41"/>
    </row>
    <row r="320" spans="2:11" ht="9.75" customHeight="1" x14ac:dyDescent="0.2">
      <c r="B320" s="38"/>
      <c r="C320" s="280" t="str">
        <f>"4:"</f>
        <v>4:</v>
      </c>
      <c r="D320" s="278" t="s">
        <v>936</v>
      </c>
      <c r="E320" s="40"/>
      <c r="F320" s="40"/>
      <c r="G320" s="40"/>
      <c r="H320" s="40"/>
      <c r="I320" s="40"/>
      <c r="J320" s="40"/>
      <c r="K320" s="41"/>
    </row>
    <row r="321" spans="2:11" x14ac:dyDescent="0.2">
      <c r="B321" s="38"/>
      <c r="C321" s="40" t="s">
        <v>296</v>
      </c>
      <c r="D321" s="40"/>
      <c r="E321" s="40"/>
      <c r="F321" s="40"/>
      <c r="G321" s="40"/>
      <c r="H321" s="40"/>
      <c r="I321" s="40"/>
      <c r="J321" s="266">
        <v>0</v>
      </c>
      <c r="K321" s="41"/>
    </row>
    <row r="322" spans="2:11" x14ac:dyDescent="0.2">
      <c r="B322" s="38"/>
      <c r="C322" s="40" t="s">
        <v>261</v>
      </c>
      <c r="D322" s="40"/>
      <c r="E322" s="40"/>
      <c r="F322" s="40"/>
      <c r="G322" s="40"/>
      <c r="H322" s="40"/>
      <c r="I322" s="40"/>
      <c r="J322" s="245">
        <f>IF(J321&lt;=0,0,IF(J321&lt;=2,1,IF(J321&lt;=6,2,IF(J321&lt;=12,3,4))))</f>
        <v>0</v>
      </c>
      <c r="K322" s="41"/>
    </row>
    <row r="323" spans="2:11" x14ac:dyDescent="0.2">
      <c r="B323" s="38"/>
      <c r="C323" s="40" t="s">
        <v>893</v>
      </c>
      <c r="D323" s="40"/>
      <c r="E323" s="40"/>
      <c r="F323" s="40"/>
      <c r="G323" s="40"/>
      <c r="H323" s="40"/>
      <c r="I323" s="40"/>
      <c r="J323" s="40"/>
      <c r="K323" s="41"/>
    </row>
    <row r="324" spans="2:11" ht="30" customHeight="1" x14ac:dyDescent="0.2">
      <c r="B324" s="38"/>
      <c r="C324" s="399"/>
      <c r="D324" s="400"/>
      <c r="E324" s="400"/>
      <c r="F324" s="400"/>
      <c r="G324" s="400"/>
      <c r="H324" s="400"/>
      <c r="I324" s="400"/>
      <c r="J324" s="401"/>
      <c r="K324" s="41"/>
    </row>
    <row r="325" spans="2:11" x14ac:dyDescent="0.2">
      <c r="B325" s="38"/>
      <c r="C325" s="40"/>
      <c r="D325" s="40"/>
      <c r="E325" s="40"/>
      <c r="F325" s="40"/>
      <c r="G325" s="40"/>
      <c r="H325" s="40"/>
      <c r="I325" s="40"/>
      <c r="J325" s="40"/>
      <c r="K325" s="41"/>
    </row>
    <row r="326" spans="2:11" x14ac:dyDescent="0.2">
      <c r="B326" s="38"/>
      <c r="C326" s="179" t="s">
        <v>886</v>
      </c>
      <c r="D326" s="40"/>
      <c r="E326" s="40"/>
      <c r="F326" s="40"/>
      <c r="G326" s="40"/>
      <c r="H326" s="40"/>
      <c r="I326" s="40"/>
      <c r="J326" s="245">
        <f>IF(OR(J315="Not Calculated",J322="Not Calculated")=TRUE,"Not Calculated",AVERAGE(J315,J322))</f>
        <v>2</v>
      </c>
      <c r="K326" s="41"/>
    </row>
    <row r="327" spans="2:11" x14ac:dyDescent="0.2">
      <c r="B327" s="38"/>
      <c r="C327" s="40"/>
      <c r="D327" s="40"/>
      <c r="E327" s="40"/>
      <c r="F327" s="40"/>
      <c r="G327" s="40"/>
      <c r="H327" s="40"/>
      <c r="I327" s="40"/>
      <c r="J327" s="40"/>
      <c r="K327" s="41"/>
    </row>
    <row r="328" spans="2:11" x14ac:dyDescent="0.2">
      <c r="B328" s="38"/>
      <c r="C328" s="40"/>
      <c r="D328" s="40"/>
      <c r="E328" s="40"/>
      <c r="F328" s="40"/>
      <c r="G328" s="40"/>
      <c r="H328" s="40"/>
      <c r="I328" s="40"/>
      <c r="J328" s="40"/>
      <c r="K328" s="41"/>
    </row>
    <row r="329" spans="2:11" ht="16" x14ac:dyDescent="0.2">
      <c r="B329" s="38"/>
      <c r="C329" s="45" t="s">
        <v>858</v>
      </c>
      <c r="D329" s="40"/>
      <c r="E329" s="40"/>
      <c r="F329" s="40"/>
      <c r="G329" s="40"/>
      <c r="H329" s="40"/>
      <c r="I329" s="40"/>
      <c r="J329" s="40"/>
      <c r="K329" s="41"/>
    </row>
    <row r="330" spans="2:11" ht="15" customHeight="1" x14ac:dyDescent="0.2">
      <c r="B330" s="38"/>
      <c r="C330" s="380" t="s">
        <v>844</v>
      </c>
      <c r="D330" s="380"/>
      <c r="E330" s="380"/>
      <c r="F330" s="380"/>
      <c r="G330" s="380"/>
      <c r="H330" s="380"/>
      <c r="I330" s="380"/>
      <c r="J330" s="40"/>
      <c r="K330" s="41"/>
    </row>
    <row r="331" spans="2:11" x14ac:dyDescent="0.2">
      <c r="B331" s="38"/>
      <c r="C331" s="380"/>
      <c r="D331" s="380"/>
      <c r="E331" s="380"/>
      <c r="F331" s="380"/>
      <c r="G331" s="380"/>
      <c r="H331" s="380"/>
      <c r="I331" s="380"/>
      <c r="J331" s="264">
        <v>0</v>
      </c>
      <c r="K331" s="41"/>
    </row>
    <row r="332" spans="2:11" x14ac:dyDescent="0.2">
      <c r="B332" s="38"/>
      <c r="C332" s="40" t="s">
        <v>853</v>
      </c>
      <c r="D332" s="291"/>
      <c r="E332" s="291"/>
      <c r="F332" s="291"/>
      <c r="G332" s="291"/>
      <c r="H332" s="291"/>
      <c r="I332" s="291"/>
      <c r="J332" s="255">
        <f>'Baseline Health'!$G$102</f>
        <v>0</v>
      </c>
      <c r="K332" s="41"/>
    </row>
    <row r="333" spans="2:11" x14ac:dyDescent="0.2">
      <c r="B333" s="38"/>
      <c r="C333" s="40" t="s">
        <v>845</v>
      </c>
      <c r="D333" s="40"/>
      <c r="E333" s="40"/>
      <c r="F333" s="40"/>
      <c r="G333" s="40"/>
      <c r="H333" s="40"/>
      <c r="I333" s="40"/>
      <c r="J333" s="244" t="str">
        <f>IF('Baseline Health'!$G$102=0,"Not Calculated",100*J331/'Baseline Health'!$G$102)</f>
        <v>Not Calculated</v>
      </c>
      <c r="K333" s="41"/>
    </row>
    <row r="334" spans="2:11" x14ac:dyDescent="0.2">
      <c r="B334" s="38"/>
      <c r="C334" s="40" t="s">
        <v>260</v>
      </c>
      <c r="D334" s="40"/>
      <c r="E334" s="40"/>
      <c r="F334" s="40"/>
      <c r="G334" s="40"/>
      <c r="H334" s="40"/>
      <c r="I334" s="40"/>
      <c r="J334" s="245">
        <f>IF(J333&lt;=0,0,IF(J333&lt;=1,1,IF(J333&lt;=5,2,IF(J333&lt;=10,3,4))))</f>
        <v>4</v>
      </c>
      <c r="K334" s="41"/>
    </row>
    <row r="335" spans="2:11" ht="9.75" customHeight="1" x14ac:dyDescent="0.2">
      <c r="B335" s="38"/>
      <c r="C335" s="279" t="str">
        <f>"0:"</f>
        <v>0:</v>
      </c>
      <c r="D335" s="278" t="s">
        <v>932</v>
      </c>
      <c r="E335" s="40"/>
      <c r="F335" s="40"/>
      <c r="G335" s="40"/>
      <c r="H335" s="40"/>
      <c r="I335" s="40"/>
      <c r="J335" s="244"/>
      <c r="K335" s="41"/>
    </row>
    <row r="336" spans="2:11" ht="9.75" customHeight="1" x14ac:dyDescent="0.2">
      <c r="B336" s="38"/>
      <c r="C336" s="280" t="str">
        <f>"1:"</f>
        <v>1:</v>
      </c>
      <c r="D336" s="278" t="s">
        <v>934</v>
      </c>
      <c r="E336" s="40"/>
      <c r="F336" s="40"/>
      <c r="G336" s="40"/>
      <c r="H336" s="40"/>
      <c r="I336" s="40"/>
      <c r="J336" s="244"/>
      <c r="K336" s="41"/>
    </row>
    <row r="337" spans="2:11" ht="9.75" customHeight="1" x14ac:dyDescent="0.2">
      <c r="B337" s="38"/>
      <c r="C337" s="280" t="str">
        <f>"2:"</f>
        <v>2:</v>
      </c>
      <c r="D337" s="278" t="s">
        <v>933</v>
      </c>
      <c r="E337" s="40"/>
      <c r="F337" s="40"/>
      <c r="G337" s="40"/>
      <c r="H337" s="40"/>
      <c r="I337" s="40"/>
      <c r="J337" s="244"/>
      <c r="K337" s="41"/>
    </row>
    <row r="338" spans="2:11" ht="9.75" customHeight="1" x14ac:dyDescent="0.2">
      <c r="B338" s="38"/>
      <c r="C338" s="280" t="str">
        <f>"3:"</f>
        <v>3:</v>
      </c>
      <c r="D338" s="278" t="s">
        <v>935</v>
      </c>
      <c r="E338" s="40"/>
      <c r="F338" s="40"/>
      <c r="G338" s="40"/>
      <c r="H338" s="40"/>
      <c r="I338" s="40"/>
      <c r="J338" s="244"/>
      <c r="K338" s="41"/>
    </row>
    <row r="339" spans="2:11" ht="9.75" customHeight="1" x14ac:dyDescent="0.2">
      <c r="B339" s="38"/>
      <c r="C339" s="280" t="str">
        <f>"4:"</f>
        <v>4:</v>
      </c>
      <c r="D339" s="278" t="s">
        <v>936</v>
      </c>
      <c r="E339" s="40"/>
      <c r="F339" s="40"/>
      <c r="G339" s="40"/>
      <c r="H339" s="40"/>
      <c r="I339" s="40"/>
      <c r="J339" s="40"/>
      <c r="K339" s="41"/>
    </row>
    <row r="340" spans="2:11" x14ac:dyDescent="0.2">
      <c r="B340" s="38"/>
      <c r="C340" s="380" t="s">
        <v>84</v>
      </c>
      <c r="D340" s="380"/>
      <c r="E340" s="380"/>
      <c r="F340" s="380"/>
      <c r="G340" s="380"/>
      <c r="H340" s="380"/>
      <c r="I340" s="380"/>
      <c r="J340" s="245"/>
      <c r="K340" s="41"/>
    </row>
    <row r="341" spans="2:11" x14ac:dyDescent="0.2">
      <c r="B341" s="38"/>
      <c r="C341" s="380"/>
      <c r="D341" s="380"/>
      <c r="E341" s="380"/>
      <c r="F341" s="380"/>
      <c r="G341" s="380"/>
      <c r="H341" s="380"/>
      <c r="I341" s="380"/>
      <c r="J341" s="245">
        <f>'Baseline Health'!G108</f>
        <v>40</v>
      </c>
      <c r="K341" s="41"/>
    </row>
    <row r="342" spans="2:11" ht="15" customHeight="1" x14ac:dyDescent="0.2">
      <c r="B342" s="38"/>
      <c r="C342" s="40" t="s">
        <v>833</v>
      </c>
      <c r="D342" s="40"/>
      <c r="E342" s="40"/>
      <c r="F342" s="40"/>
      <c r="G342" s="40"/>
      <c r="H342" s="40"/>
      <c r="I342" s="40"/>
      <c r="J342" s="245">
        <f>IF(J341&gt;J321,0,J321-J341)</f>
        <v>0</v>
      </c>
      <c r="K342" s="41"/>
    </row>
    <row r="343" spans="2:11" ht="15" customHeight="1" x14ac:dyDescent="0.2">
      <c r="B343" s="38"/>
      <c r="C343" s="40"/>
      <c r="D343" s="380" t="s">
        <v>834</v>
      </c>
      <c r="E343" s="380"/>
      <c r="F343" s="380"/>
      <c r="G343" s="380"/>
      <c r="H343" s="380"/>
      <c r="I343" s="380"/>
      <c r="J343" s="40"/>
      <c r="K343" s="41"/>
    </row>
    <row r="344" spans="2:11" x14ac:dyDescent="0.2">
      <c r="B344" s="38"/>
      <c r="C344" s="40"/>
      <c r="D344" s="380"/>
      <c r="E344" s="380"/>
      <c r="F344" s="380"/>
      <c r="G344" s="380"/>
      <c r="H344" s="380"/>
      <c r="I344" s="380"/>
      <c r="J344" s="40"/>
      <c r="K344" s="41"/>
    </row>
    <row r="345" spans="2:11" x14ac:dyDescent="0.2">
      <c r="B345" s="38"/>
      <c r="C345" s="40" t="s">
        <v>261</v>
      </c>
      <c r="D345" s="40"/>
      <c r="E345" s="40"/>
      <c r="F345" s="40"/>
      <c r="G345" s="40"/>
      <c r="H345" s="40"/>
      <c r="I345" s="40"/>
      <c r="J345" s="245">
        <f>IF(J342&lt;=0,0,IF(J342&lt;=2,1,IF(J342&lt;=6,2,IF(J342&lt;=12,3,4))))</f>
        <v>0</v>
      </c>
      <c r="K345" s="41"/>
    </row>
    <row r="346" spans="2:11" x14ac:dyDescent="0.2">
      <c r="B346" s="38"/>
      <c r="C346" s="40" t="s">
        <v>893</v>
      </c>
      <c r="D346" s="40"/>
      <c r="E346" s="40"/>
      <c r="F346" s="40"/>
      <c r="G346" s="40"/>
      <c r="H346" s="40"/>
      <c r="I346" s="40"/>
      <c r="J346" s="40"/>
      <c r="K346" s="41"/>
    </row>
    <row r="347" spans="2:11" ht="30" customHeight="1" x14ac:dyDescent="0.2">
      <c r="B347" s="38"/>
      <c r="C347" s="399"/>
      <c r="D347" s="400"/>
      <c r="E347" s="400"/>
      <c r="F347" s="400"/>
      <c r="G347" s="400"/>
      <c r="H347" s="400"/>
      <c r="I347" s="400"/>
      <c r="J347" s="401"/>
      <c r="K347" s="41"/>
    </row>
    <row r="348" spans="2:11" x14ac:dyDescent="0.2">
      <c r="B348" s="38"/>
      <c r="C348" s="40"/>
      <c r="D348" s="40"/>
      <c r="E348" s="40"/>
      <c r="F348" s="40"/>
      <c r="G348" s="40"/>
      <c r="H348" s="40"/>
      <c r="I348" s="40"/>
      <c r="J348" s="40"/>
      <c r="K348" s="41"/>
    </row>
    <row r="349" spans="2:11" x14ac:dyDescent="0.2">
      <c r="B349" s="38"/>
      <c r="C349" s="179" t="s">
        <v>887</v>
      </c>
      <c r="D349" s="40"/>
      <c r="E349" s="40"/>
      <c r="F349" s="40"/>
      <c r="G349" s="40"/>
      <c r="H349" s="40"/>
      <c r="I349" s="40"/>
      <c r="J349" s="245">
        <f>IF(OR(J334="Not Calculated",J345="Not Calculated")=TRUE,"Not Calculated",AVERAGE(J334,J345))</f>
        <v>2</v>
      </c>
      <c r="K349" s="41"/>
    </row>
    <row r="350" spans="2:11" x14ac:dyDescent="0.2">
      <c r="B350" s="38"/>
      <c r="C350" s="40"/>
      <c r="D350" s="40"/>
      <c r="E350" s="40"/>
      <c r="F350" s="40"/>
      <c r="G350" s="40"/>
      <c r="H350" s="40"/>
      <c r="I350" s="40"/>
      <c r="J350" s="40"/>
      <c r="K350" s="41"/>
    </row>
    <row r="351" spans="2:11" x14ac:dyDescent="0.2">
      <c r="B351" s="38"/>
      <c r="C351" s="40"/>
      <c r="D351" s="40"/>
      <c r="E351" s="40"/>
      <c r="F351" s="40"/>
      <c r="G351" s="40"/>
      <c r="H351" s="40"/>
      <c r="I351" s="40"/>
      <c r="J351" s="40"/>
      <c r="K351" s="41"/>
    </row>
    <row r="352" spans="2:11" ht="15" customHeight="1" x14ac:dyDescent="0.2">
      <c r="B352" s="38"/>
      <c r="C352" s="45" t="s">
        <v>859</v>
      </c>
      <c r="D352" s="40"/>
      <c r="E352" s="40"/>
      <c r="F352" s="40"/>
      <c r="G352" s="40"/>
      <c r="H352" s="40"/>
      <c r="I352" s="40"/>
      <c r="J352" s="40"/>
      <c r="K352" s="41"/>
    </row>
    <row r="353" spans="2:11" x14ac:dyDescent="0.2">
      <c r="B353" s="38"/>
      <c r="C353" s="40" t="s">
        <v>846</v>
      </c>
      <c r="D353" s="40"/>
      <c r="E353" s="40"/>
      <c r="F353" s="40"/>
      <c r="G353" s="40"/>
      <c r="H353" s="40"/>
      <c r="I353" s="40"/>
      <c r="J353" s="264">
        <v>0</v>
      </c>
      <c r="K353" s="41"/>
    </row>
    <row r="354" spans="2:11" x14ac:dyDescent="0.2">
      <c r="B354" s="38"/>
      <c r="C354" s="40" t="s">
        <v>854</v>
      </c>
      <c r="D354" s="40"/>
      <c r="E354" s="40"/>
      <c r="F354" s="40"/>
      <c r="G354" s="40"/>
      <c r="H354" s="40"/>
      <c r="I354" s="40"/>
      <c r="J354" s="255">
        <f>'Baseline Health'!$G$59</f>
        <v>0</v>
      </c>
      <c r="K354" s="41"/>
    </row>
    <row r="355" spans="2:11" x14ac:dyDescent="0.2">
      <c r="B355" s="38"/>
      <c r="C355" s="40" t="s">
        <v>847</v>
      </c>
      <c r="D355" s="40"/>
      <c r="E355" s="40"/>
      <c r="F355" s="40"/>
      <c r="G355" s="40"/>
      <c r="H355" s="40"/>
      <c r="I355" s="40"/>
      <c r="J355" s="244">
        <f>IF(J353=0,0,IF('Baseline Health'!G$59=0,"Not Calculated",100*J353/'Baseline Health'!$G$59))</f>
        <v>0</v>
      </c>
      <c r="K355" s="41"/>
    </row>
    <row r="356" spans="2:11" x14ac:dyDescent="0.2">
      <c r="B356" s="38"/>
      <c r="C356" s="40" t="s">
        <v>260</v>
      </c>
      <c r="D356" s="40"/>
      <c r="E356" s="40"/>
      <c r="F356" s="40"/>
      <c r="G356" s="40"/>
      <c r="H356" s="40"/>
      <c r="I356" s="40"/>
      <c r="J356" s="245">
        <f>IF(J355&lt;=0,0,IF(J355&lt;=5,1,IF(J355&lt;=10,2,IF(J355&lt;=25,3,4))))</f>
        <v>0</v>
      </c>
      <c r="K356" s="41"/>
    </row>
    <row r="357" spans="2:11" ht="9.75" customHeight="1" x14ac:dyDescent="0.2">
      <c r="B357" s="38"/>
      <c r="C357" s="279" t="str">
        <f>"0:"</f>
        <v>0:</v>
      </c>
      <c r="D357" s="278" t="s">
        <v>932</v>
      </c>
      <c r="E357" s="40"/>
      <c r="F357" s="40"/>
      <c r="G357" s="40"/>
      <c r="H357" s="40"/>
      <c r="I357" s="40"/>
      <c r="J357" s="244"/>
      <c r="K357" s="41"/>
    </row>
    <row r="358" spans="2:11" ht="9.75" customHeight="1" x14ac:dyDescent="0.2">
      <c r="B358" s="38"/>
      <c r="C358" s="280" t="str">
        <f>"1:"</f>
        <v>1:</v>
      </c>
      <c r="D358" s="278" t="s">
        <v>933</v>
      </c>
      <c r="E358" s="40"/>
      <c r="F358" s="40"/>
      <c r="G358" s="40"/>
      <c r="H358" s="40"/>
      <c r="I358" s="40"/>
      <c r="J358" s="244"/>
      <c r="K358" s="41"/>
    </row>
    <row r="359" spans="2:11" ht="9.75" customHeight="1" x14ac:dyDescent="0.2">
      <c r="B359" s="38"/>
      <c r="C359" s="280" t="str">
        <f>"2:"</f>
        <v>2:</v>
      </c>
      <c r="D359" s="278" t="s">
        <v>935</v>
      </c>
      <c r="E359" s="40"/>
      <c r="F359" s="40"/>
      <c r="G359" s="40"/>
      <c r="H359" s="40"/>
      <c r="I359" s="40"/>
      <c r="J359" s="244"/>
      <c r="K359" s="41"/>
    </row>
    <row r="360" spans="2:11" ht="9.75" customHeight="1" x14ac:dyDescent="0.2">
      <c r="B360" s="38"/>
      <c r="C360" s="280" t="str">
        <f>"3:"</f>
        <v>3:</v>
      </c>
      <c r="D360" s="278" t="s">
        <v>937</v>
      </c>
      <c r="E360" s="40"/>
      <c r="F360" s="40"/>
      <c r="G360" s="40"/>
      <c r="H360" s="40"/>
      <c r="I360" s="40"/>
      <c r="J360" s="244"/>
      <c r="K360" s="41"/>
    </row>
    <row r="361" spans="2:11" ht="9.75" customHeight="1" x14ac:dyDescent="0.2">
      <c r="B361" s="38"/>
      <c r="C361" s="280" t="str">
        <f>"4:"</f>
        <v>4:</v>
      </c>
      <c r="D361" s="278" t="s">
        <v>938</v>
      </c>
      <c r="E361" s="40"/>
      <c r="F361" s="40"/>
      <c r="G361" s="40"/>
      <c r="H361" s="40"/>
      <c r="I361" s="40"/>
      <c r="J361" s="40"/>
      <c r="K361" s="41"/>
    </row>
    <row r="362" spans="2:11" x14ac:dyDescent="0.2">
      <c r="B362" s="38"/>
      <c r="C362" s="40" t="s">
        <v>257</v>
      </c>
      <c r="D362" s="40"/>
      <c r="E362" s="40"/>
      <c r="F362" s="40"/>
      <c r="G362" s="40"/>
      <c r="H362" s="40"/>
      <c r="I362" s="40"/>
      <c r="J362" s="266" t="s">
        <v>870</v>
      </c>
      <c r="K362" s="41"/>
    </row>
    <row r="363" spans="2:11" x14ac:dyDescent="0.2">
      <c r="B363" s="38"/>
      <c r="C363" s="40" t="s">
        <v>261</v>
      </c>
      <c r="D363" s="40"/>
      <c r="E363" s="40"/>
      <c r="F363" s="40"/>
      <c r="G363" s="40"/>
      <c r="H363" s="40"/>
      <c r="I363" s="40"/>
      <c r="J363" s="245">
        <f>IF(J362=$B$980,$A$980,IF(J362=$B$981,$A$981,IF(J362=$B$982,$A$982,IF(J362=$B$983,$A$983,IF(J362=$B$984,$A$984,"Not Calculated")))))</f>
        <v>0</v>
      </c>
      <c r="K363" s="41"/>
    </row>
    <row r="364" spans="2:11" x14ac:dyDescent="0.2">
      <c r="B364" s="38"/>
      <c r="C364" s="40" t="s">
        <v>893</v>
      </c>
      <c r="D364" s="40"/>
      <c r="E364" s="40"/>
      <c r="F364" s="40"/>
      <c r="G364" s="40"/>
      <c r="H364" s="40"/>
      <c r="I364" s="40"/>
      <c r="J364" s="40"/>
      <c r="K364" s="41"/>
    </row>
    <row r="365" spans="2:11" ht="30" customHeight="1" x14ac:dyDescent="0.2">
      <c r="B365" s="38"/>
      <c r="C365" s="399"/>
      <c r="D365" s="400"/>
      <c r="E365" s="400"/>
      <c r="F365" s="400"/>
      <c r="G365" s="400"/>
      <c r="H365" s="400"/>
      <c r="I365" s="400"/>
      <c r="J365" s="401"/>
      <c r="K365" s="41"/>
    </row>
    <row r="366" spans="2:11" x14ac:dyDescent="0.2">
      <c r="B366" s="38"/>
      <c r="C366" s="40"/>
      <c r="D366" s="40"/>
      <c r="E366" s="40"/>
      <c r="F366" s="40"/>
      <c r="G366" s="40"/>
      <c r="H366" s="40"/>
      <c r="I366" s="40"/>
      <c r="J366" s="40"/>
      <c r="K366" s="41"/>
    </row>
    <row r="367" spans="2:11" x14ac:dyDescent="0.2">
      <c r="B367" s="38"/>
      <c r="C367" s="179" t="s">
        <v>888</v>
      </c>
      <c r="D367" s="40"/>
      <c r="E367" s="40"/>
      <c r="F367" s="40"/>
      <c r="G367" s="40"/>
      <c r="H367" s="40"/>
      <c r="I367" s="40"/>
      <c r="J367" s="245">
        <f>IF(OR(J356="Not Calculated",J363="Not Calculated")=TRUE,"Not Calculated",AVERAGE(J356,J363))</f>
        <v>0</v>
      </c>
      <c r="K367" s="41"/>
    </row>
    <row r="368" spans="2:11" x14ac:dyDescent="0.2">
      <c r="B368" s="38"/>
      <c r="C368" s="40"/>
      <c r="D368" s="40"/>
      <c r="E368" s="40"/>
      <c r="F368" s="40"/>
      <c r="G368" s="40"/>
      <c r="H368" s="40"/>
      <c r="I368" s="40"/>
      <c r="J368" s="40"/>
      <c r="K368" s="41"/>
    </row>
    <row r="369" spans="2:11" x14ac:dyDescent="0.2">
      <c r="B369" s="38"/>
      <c r="C369" s="40"/>
      <c r="D369" s="40"/>
      <c r="E369" s="40"/>
      <c r="F369" s="40"/>
      <c r="G369" s="40"/>
      <c r="H369" s="40"/>
      <c r="I369" s="40"/>
      <c r="J369" s="40"/>
      <c r="K369" s="41"/>
    </row>
    <row r="370" spans="2:11" ht="16" x14ac:dyDescent="0.2">
      <c r="B370" s="38"/>
      <c r="C370" s="45" t="s">
        <v>863</v>
      </c>
      <c r="D370" s="40"/>
      <c r="E370" s="40"/>
      <c r="F370" s="40"/>
      <c r="G370" s="40"/>
      <c r="H370" s="40"/>
      <c r="I370" s="40"/>
      <c r="J370" s="40"/>
      <c r="K370" s="41"/>
    </row>
    <row r="371" spans="2:11" ht="15" customHeight="1" x14ac:dyDescent="0.2">
      <c r="B371" s="38"/>
      <c r="C371" s="380" t="s">
        <v>848</v>
      </c>
      <c r="D371" s="380"/>
      <c r="E371" s="380"/>
      <c r="F371" s="380"/>
      <c r="G371" s="380"/>
      <c r="H371" s="380"/>
      <c r="I371" s="380"/>
      <c r="J371" s="181"/>
      <c r="K371" s="41"/>
    </row>
    <row r="372" spans="2:11" x14ac:dyDescent="0.2">
      <c r="B372" s="38"/>
      <c r="C372" s="380"/>
      <c r="D372" s="380"/>
      <c r="E372" s="380"/>
      <c r="F372" s="380"/>
      <c r="G372" s="380"/>
      <c r="H372" s="380"/>
      <c r="I372" s="380"/>
      <c r="J372" s="264">
        <v>0</v>
      </c>
      <c r="K372" s="41"/>
    </row>
    <row r="373" spans="2:11" x14ac:dyDescent="0.2">
      <c r="B373" s="38"/>
      <c r="C373" s="40" t="s">
        <v>853</v>
      </c>
      <c r="D373" s="291"/>
      <c r="E373" s="291"/>
      <c r="F373" s="291"/>
      <c r="G373" s="291"/>
      <c r="H373" s="291"/>
      <c r="I373" s="291"/>
      <c r="J373" s="255">
        <f>'Baseline Health'!$G$102</f>
        <v>0</v>
      </c>
      <c r="K373" s="41"/>
    </row>
    <row r="374" spans="2:11" x14ac:dyDescent="0.2">
      <c r="B374" s="38"/>
      <c r="C374" s="40" t="s">
        <v>842</v>
      </c>
      <c r="D374" s="291"/>
      <c r="E374" s="291"/>
      <c r="F374" s="291"/>
      <c r="G374" s="291"/>
      <c r="H374" s="291"/>
      <c r="I374" s="291"/>
      <c r="J374" s="244" t="str">
        <f>IF('Baseline Health'!$G$102=0,"Not Calculated",100*J372/'Baseline Health'!$G$102)</f>
        <v>Not Calculated</v>
      </c>
      <c r="K374" s="41"/>
    </row>
    <row r="375" spans="2:11" x14ac:dyDescent="0.2">
      <c r="B375" s="38"/>
      <c r="C375" s="40" t="s">
        <v>260</v>
      </c>
      <c r="D375" s="40"/>
      <c r="E375" s="40"/>
      <c r="F375" s="40"/>
      <c r="G375" s="40"/>
      <c r="H375" s="40"/>
      <c r="I375" s="40"/>
      <c r="J375" s="251">
        <f>IF(J374&lt;=0,0,IF(J374&lt;=1,1,IF(J374&lt;=5,2,IF(J374&lt;=10,3,4))))</f>
        <v>4</v>
      </c>
      <c r="K375" s="41"/>
    </row>
    <row r="376" spans="2:11" ht="9.75" customHeight="1" x14ac:dyDescent="0.2">
      <c r="B376" s="38"/>
      <c r="C376" s="279" t="str">
        <f>"0:"</f>
        <v>0:</v>
      </c>
      <c r="D376" s="278" t="s">
        <v>932</v>
      </c>
      <c r="E376" s="291"/>
      <c r="F376" s="291"/>
      <c r="G376" s="291"/>
      <c r="H376" s="291"/>
      <c r="I376" s="291"/>
      <c r="J376" s="244"/>
      <c r="K376" s="41"/>
    </row>
    <row r="377" spans="2:11" ht="9.75" customHeight="1" x14ac:dyDescent="0.2">
      <c r="B377" s="38"/>
      <c r="C377" s="280" t="str">
        <f>"1:"</f>
        <v>1:</v>
      </c>
      <c r="D377" s="278" t="s">
        <v>934</v>
      </c>
      <c r="E377" s="291"/>
      <c r="F377" s="291"/>
      <c r="G377" s="291"/>
      <c r="H377" s="291"/>
      <c r="I377" s="291"/>
      <c r="J377" s="244"/>
      <c r="K377" s="41"/>
    </row>
    <row r="378" spans="2:11" ht="9.75" customHeight="1" x14ac:dyDescent="0.2">
      <c r="B378" s="38"/>
      <c r="C378" s="280" t="str">
        <f>"2:"</f>
        <v>2:</v>
      </c>
      <c r="D378" s="278" t="s">
        <v>933</v>
      </c>
      <c r="E378" s="291"/>
      <c r="F378" s="291"/>
      <c r="G378" s="291"/>
      <c r="H378" s="291"/>
      <c r="I378" s="291"/>
      <c r="J378" s="244"/>
      <c r="K378" s="41"/>
    </row>
    <row r="379" spans="2:11" ht="9.75" customHeight="1" x14ac:dyDescent="0.2">
      <c r="B379" s="38"/>
      <c r="C379" s="280" t="str">
        <f>"3:"</f>
        <v>3:</v>
      </c>
      <c r="D379" s="278" t="s">
        <v>935</v>
      </c>
      <c r="E379" s="291"/>
      <c r="F379" s="291"/>
      <c r="G379" s="291"/>
      <c r="H379" s="291"/>
      <c r="I379" s="291"/>
      <c r="J379" s="244"/>
      <c r="K379" s="41"/>
    </row>
    <row r="380" spans="2:11" ht="9.75" customHeight="1" x14ac:dyDescent="0.2">
      <c r="B380" s="38"/>
      <c r="C380" s="280" t="str">
        <f>"4:"</f>
        <v>4:</v>
      </c>
      <c r="D380" s="278" t="s">
        <v>936</v>
      </c>
      <c r="E380" s="40"/>
      <c r="F380" s="40"/>
      <c r="G380" s="40"/>
      <c r="H380" s="40"/>
      <c r="I380" s="40"/>
      <c r="J380" s="40"/>
      <c r="K380" s="41"/>
    </row>
    <row r="381" spans="2:11" x14ac:dyDescent="0.2">
      <c r="B381" s="38"/>
      <c r="C381" s="40" t="s">
        <v>85</v>
      </c>
      <c r="D381" s="40"/>
      <c r="E381" s="40"/>
      <c r="F381" s="40"/>
      <c r="G381" s="40"/>
      <c r="H381" s="40"/>
      <c r="I381" s="40"/>
      <c r="J381" s="254">
        <f>'Baseline Health'!G114</f>
        <v>7</v>
      </c>
      <c r="K381" s="41"/>
    </row>
    <row r="382" spans="2:11" x14ac:dyDescent="0.2">
      <c r="B382" s="38"/>
      <c r="C382" s="40" t="s">
        <v>297</v>
      </c>
      <c r="D382" s="40"/>
      <c r="E382" s="40"/>
      <c r="F382" s="40"/>
      <c r="G382" s="40"/>
      <c r="H382" s="40"/>
      <c r="I382" s="40"/>
      <c r="J382" s="266">
        <v>0</v>
      </c>
      <c r="K382" s="41"/>
    </row>
    <row r="383" spans="2:11" x14ac:dyDescent="0.2">
      <c r="B383" s="38"/>
      <c r="C383" s="40" t="s">
        <v>261</v>
      </c>
      <c r="D383" s="40"/>
      <c r="E383" s="40"/>
      <c r="F383" s="40"/>
      <c r="G383" s="40"/>
      <c r="H383" s="40"/>
      <c r="I383" s="40"/>
      <c r="J383" s="248">
        <f>IF((J382-J381)&lt;1,0,IF((J382-J381)&lt;3,1,IF((J382-J381)&lt;5,2,IF((J382-J381)&lt;7,3,4))))</f>
        <v>0</v>
      </c>
      <c r="K383" s="41"/>
    </row>
    <row r="384" spans="2:11" x14ac:dyDescent="0.2">
      <c r="B384" s="38"/>
      <c r="C384" s="40" t="s">
        <v>893</v>
      </c>
      <c r="D384" s="40"/>
      <c r="E384" s="40"/>
      <c r="F384" s="40"/>
      <c r="G384" s="40"/>
      <c r="H384" s="40"/>
      <c r="I384" s="40"/>
      <c r="J384" s="40"/>
      <c r="K384" s="41"/>
    </row>
    <row r="385" spans="2:11" ht="30" customHeight="1" x14ac:dyDescent="0.2">
      <c r="B385" s="38"/>
      <c r="C385" s="399" t="s">
        <v>1251</v>
      </c>
      <c r="D385" s="400"/>
      <c r="E385" s="400"/>
      <c r="F385" s="400"/>
      <c r="G385" s="400"/>
      <c r="H385" s="400"/>
      <c r="I385" s="400"/>
      <c r="J385" s="401"/>
      <c r="K385" s="41"/>
    </row>
    <row r="386" spans="2:11" x14ac:dyDescent="0.2">
      <c r="B386" s="38"/>
      <c r="C386" s="40"/>
      <c r="D386" s="40"/>
      <c r="E386" s="40"/>
      <c r="F386" s="40"/>
      <c r="G386" s="40"/>
      <c r="H386" s="40"/>
      <c r="I386" s="40"/>
      <c r="J386" s="40"/>
      <c r="K386" s="41"/>
    </row>
    <row r="387" spans="2:11" x14ac:dyDescent="0.2">
      <c r="B387" s="38"/>
      <c r="C387" s="179" t="s">
        <v>889</v>
      </c>
      <c r="D387" s="40"/>
      <c r="E387" s="40"/>
      <c r="F387" s="40"/>
      <c r="G387" s="40"/>
      <c r="H387" s="40"/>
      <c r="I387" s="40"/>
      <c r="J387" s="245">
        <f>IF(OR(J375="Not Calculated",J383="Not Calculated")=TRUE,"Not Calculated",AVERAGE(J375,J383))</f>
        <v>2</v>
      </c>
      <c r="K387" s="41"/>
    </row>
    <row r="388" spans="2:11" x14ac:dyDescent="0.2">
      <c r="B388" s="38"/>
      <c r="C388" s="40"/>
      <c r="D388" s="40"/>
      <c r="E388" s="40"/>
      <c r="F388" s="40"/>
      <c r="G388" s="40"/>
      <c r="H388" s="40"/>
      <c r="I388" s="40"/>
      <c r="J388" s="40"/>
      <c r="K388" s="41"/>
    </row>
    <row r="389" spans="2:11" x14ac:dyDescent="0.2">
      <c r="B389" s="38"/>
      <c r="C389" s="40"/>
      <c r="D389" s="40"/>
      <c r="E389" s="40"/>
      <c r="F389" s="40"/>
      <c r="G389" s="40"/>
      <c r="H389" s="40"/>
      <c r="I389" s="40"/>
      <c r="J389" s="40"/>
      <c r="K389" s="41"/>
    </row>
    <row r="390" spans="2:11" ht="16" x14ac:dyDescent="0.2">
      <c r="B390" s="38"/>
      <c r="C390" s="45" t="s">
        <v>860</v>
      </c>
      <c r="D390" s="40"/>
      <c r="E390" s="40"/>
      <c r="F390" s="40"/>
      <c r="G390" s="40"/>
      <c r="H390" s="40"/>
      <c r="I390" s="40"/>
      <c r="J390" s="40"/>
      <c r="K390" s="41"/>
    </row>
    <row r="391" spans="2:11" x14ac:dyDescent="0.2">
      <c r="B391" s="38"/>
      <c r="C391" s="380" t="s">
        <v>849</v>
      </c>
      <c r="D391" s="380"/>
      <c r="E391" s="380"/>
      <c r="F391" s="380"/>
      <c r="G391" s="380"/>
      <c r="H391" s="380"/>
      <c r="I391" s="380"/>
      <c r="J391" s="181"/>
      <c r="K391" s="41"/>
    </row>
    <row r="392" spans="2:11" x14ac:dyDescent="0.2">
      <c r="B392" s="38"/>
      <c r="C392" s="380"/>
      <c r="D392" s="380"/>
      <c r="E392" s="380"/>
      <c r="F392" s="380"/>
      <c r="G392" s="380"/>
      <c r="H392" s="380"/>
      <c r="I392" s="380"/>
      <c r="J392" s="264">
        <v>0</v>
      </c>
      <c r="K392" s="41"/>
    </row>
    <row r="393" spans="2:11" x14ac:dyDescent="0.2">
      <c r="B393" s="38"/>
      <c r="C393" s="40" t="s">
        <v>853</v>
      </c>
      <c r="D393" s="291"/>
      <c r="E393" s="291"/>
      <c r="F393" s="291"/>
      <c r="G393" s="291"/>
      <c r="H393" s="291"/>
      <c r="I393" s="291"/>
      <c r="J393" s="255">
        <f>'Baseline Health'!$G$102</f>
        <v>0</v>
      </c>
      <c r="K393" s="41"/>
    </row>
    <row r="394" spans="2:11" ht="15" customHeight="1" x14ac:dyDescent="0.2">
      <c r="B394" s="38"/>
      <c r="C394" s="40" t="s">
        <v>850</v>
      </c>
      <c r="D394" s="291"/>
      <c r="E394" s="291"/>
      <c r="F394" s="291"/>
      <c r="G394" s="291"/>
      <c r="H394" s="291"/>
      <c r="I394" s="291"/>
      <c r="J394" s="244" t="str">
        <f>IF('Baseline Health'!$G$102=0,"Not Calculated",100*J392/'Baseline Health'!$G$102)</f>
        <v>Not Calculated</v>
      </c>
      <c r="K394" s="41"/>
    </row>
    <row r="395" spans="2:11" ht="15" customHeight="1" x14ac:dyDescent="0.2">
      <c r="B395" s="38"/>
      <c r="C395" s="40" t="s">
        <v>260</v>
      </c>
      <c r="D395" s="40"/>
      <c r="E395" s="40"/>
      <c r="F395" s="40"/>
      <c r="G395" s="40"/>
      <c r="H395" s="40"/>
      <c r="I395" s="40"/>
      <c r="J395" s="43">
        <f>IF(J394&lt;=0,0,IF(J394&lt;=1,1,IF(J394&lt;=5,2,IF(J394&lt;=10,3,4))))</f>
        <v>4</v>
      </c>
      <c r="K395" s="41"/>
    </row>
    <row r="396" spans="2:11" ht="9.75" customHeight="1" x14ac:dyDescent="0.2">
      <c r="B396" s="38"/>
      <c r="C396" s="279" t="str">
        <f>"0:"</f>
        <v>0:</v>
      </c>
      <c r="D396" s="278" t="s">
        <v>932</v>
      </c>
      <c r="E396" s="291"/>
      <c r="F396" s="291"/>
      <c r="G396" s="291"/>
      <c r="H396" s="291"/>
      <c r="I396" s="291"/>
      <c r="J396" s="244"/>
      <c r="K396" s="41"/>
    </row>
    <row r="397" spans="2:11" ht="9.75" customHeight="1" x14ac:dyDescent="0.2">
      <c r="B397" s="38"/>
      <c r="C397" s="280" t="str">
        <f>"1:"</f>
        <v>1:</v>
      </c>
      <c r="D397" s="278" t="s">
        <v>934</v>
      </c>
      <c r="E397" s="291"/>
      <c r="F397" s="291"/>
      <c r="G397" s="291"/>
      <c r="H397" s="291"/>
      <c r="I397" s="291"/>
      <c r="J397" s="244"/>
      <c r="K397" s="41"/>
    </row>
    <row r="398" spans="2:11" ht="9.75" customHeight="1" x14ac:dyDescent="0.2">
      <c r="B398" s="38"/>
      <c r="C398" s="280" t="str">
        <f>"2:"</f>
        <v>2:</v>
      </c>
      <c r="D398" s="278" t="s">
        <v>933</v>
      </c>
      <c r="E398" s="291"/>
      <c r="F398" s="291"/>
      <c r="G398" s="291"/>
      <c r="H398" s="291"/>
      <c r="I398" s="291"/>
      <c r="J398" s="244"/>
      <c r="K398" s="41"/>
    </row>
    <row r="399" spans="2:11" ht="9.75" customHeight="1" x14ac:dyDescent="0.2">
      <c r="B399" s="38"/>
      <c r="C399" s="280" t="str">
        <f>"3:"</f>
        <v>3:</v>
      </c>
      <c r="D399" s="278" t="s">
        <v>935</v>
      </c>
      <c r="E399" s="291"/>
      <c r="F399" s="291"/>
      <c r="G399" s="291"/>
      <c r="H399" s="291"/>
      <c r="I399" s="291"/>
      <c r="J399" s="244"/>
      <c r="K399" s="41"/>
    </row>
    <row r="400" spans="2:11" ht="9.75" customHeight="1" x14ac:dyDescent="0.2">
      <c r="B400" s="38"/>
      <c r="C400" s="280" t="str">
        <f>"4:"</f>
        <v>4:</v>
      </c>
      <c r="D400" s="278" t="s">
        <v>936</v>
      </c>
      <c r="E400" s="40"/>
      <c r="F400" s="40"/>
      <c r="G400" s="40"/>
      <c r="H400" s="40"/>
      <c r="I400" s="40"/>
      <c r="J400" s="40"/>
      <c r="K400" s="41"/>
    </row>
    <row r="401" spans="2:11" x14ac:dyDescent="0.2">
      <c r="B401" s="38"/>
      <c r="C401" s="40" t="s">
        <v>893</v>
      </c>
      <c r="D401" s="40"/>
      <c r="E401" s="40"/>
      <c r="F401" s="40"/>
      <c r="G401" s="40"/>
      <c r="H401" s="40"/>
      <c r="I401" s="40"/>
      <c r="J401" s="40"/>
      <c r="K401" s="41"/>
    </row>
    <row r="402" spans="2:11" ht="30" customHeight="1" x14ac:dyDescent="0.2">
      <c r="B402" s="38"/>
      <c r="C402" s="399"/>
      <c r="D402" s="400"/>
      <c r="E402" s="400"/>
      <c r="F402" s="400"/>
      <c r="G402" s="400"/>
      <c r="H402" s="400"/>
      <c r="I402" s="400"/>
      <c r="J402" s="401"/>
      <c r="K402" s="41"/>
    </row>
    <row r="403" spans="2:11" x14ac:dyDescent="0.2">
      <c r="B403" s="38"/>
      <c r="C403" s="40"/>
      <c r="D403" s="40"/>
      <c r="E403" s="40"/>
      <c r="F403" s="40"/>
      <c r="G403" s="40"/>
      <c r="H403" s="40"/>
      <c r="I403" s="40"/>
      <c r="J403" s="40"/>
      <c r="K403" s="41"/>
    </row>
    <row r="404" spans="2:11" x14ac:dyDescent="0.2">
      <c r="B404" s="38"/>
      <c r="C404" s="179" t="s">
        <v>890</v>
      </c>
      <c r="D404" s="40"/>
      <c r="E404" s="40"/>
      <c r="F404" s="40"/>
      <c r="G404" s="40"/>
      <c r="H404" s="40"/>
      <c r="I404" s="40"/>
      <c r="J404" s="245">
        <f>J395</f>
        <v>4</v>
      </c>
      <c r="K404" s="41"/>
    </row>
    <row r="405" spans="2:11" x14ac:dyDescent="0.2">
      <c r="B405" s="38"/>
      <c r="C405" s="40"/>
      <c r="D405" s="40"/>
      <c r="E405" s="40"/>
      <c r="F405" s="40"/>
      <c r="G405" s="40"/>
      <c r="H405" s="40"/>
      <c r="I405" s="40"/>
      <c r="J405" s="40"/>
      <c r="K405" s="41"/>
    </row>
    <row r="406" spans="2:11" x14ac:dyDescent="0.2">
      <c r="B406" s="38"/>
      <c r="C406" s="40"/>
      <c r="D406" s="40"/>
      <c r="E406" s="40"/>
      <c r="F406" s="40"/>
      <c r="G406" s="40"/>
      <c r="H406" s="40"/>
      <c r="I406" s="40"/>
      <c r="J406" s="40"/>
      <c r="K406" s="41"/>
    </row>
    <row r="407" spans="2:11" ht="16" x14ac:dyDescent="0.2">
      <c r="B407" s="38"/>
      <c r="C407" s="45" t="s">
        <v>861</v>
      </c>
      <c r="D407" s="40"/>
      <c r="E407" s="40"/>
      <c r="F407" s="40"/>
      <c r="G407" s="40"/>
      <c r="H407" s="40"/>
      <c r="I407" s="40"/>
      <c r="J407" s="40"/>
      <c r="K407" s="41"/>
    </row>
    <row r="408" spans="2:11" x14ac:dyDescent="0.2">
      <c r="B408" s="38"/>
      <c r="C408" s="40" t="s">
        <v>298</v>
      </c>
      <c r="D408" s="40"/>
      <c r="E408" s="40"/>
      <c r="F408" s="40"/>
      <c r="G408" s="40"/>
      <c r="H408" s="40"/>
      <c r="I408" s="40"/>
      <c r="J408" s="269">
        <v>0</v>
      </c>
      <c r="K408" s="41"/>
    </row>
    <row r="409" spans="2:11" x14ac:dyDescent="0.2">
      <c r="B409" s="38"/>
      <c r="C409" s="40" t="s">
        <v>260</v>
      </c>
      <c r="D409" s="40"/>
      <c r="E409" s="40"/>
      <c r="F409" s="40"/>
      <c r="G409" s="40"/>
      <c r="H409" s="40"/>
      <c r="I409" s="40"/>
      <c r="J409" s="253">
        <f>IF(J408&lt;=0,0,IF(J408&lt;=(J161*0.01),1,IF(J408&lt;=(J161*0.05),2,IF(J408&lt;=(J161*0.1),3,4))))</f>
        <v>0</v>
      </c>
      <c r="K409" s="41"/>
    </row>
    <row r="410" spans="2:11" ht="9.75" customHeight="1" x14ac:dyDescent="0.2">
      <c r="B410" s="38"/>
      <c r="C410" s="279" t="str">
        <f>"0:"</f>
        <v>0:</v>
      </c>
      <c r="D410" s="278" t="s">
        <v>939</v>
      </c>
      <c r="E410" s="40"/>
      <c r="F410" s="40"/>
      <c r="G410" s="40"/>
      <c r="H410" s="40"/>
      <c r="I410" s="40"/>
      <c r="J410" s="282"/>
      <c r="K410" s="41"/>
    </row>
    <row r="411" spans="2:11" ht="9.75" customHeight="1" x14ac:dyDescent="0.2">
      <c r="B411" s="38"/>
      <c r="C411" s="280" t="str">
        <f>"1:"</f>
        <v>1:</v>
      </c>
      <c r="D411" s="278" t="s">
        <v>940</v>
      </c>
      <c r="E411" s="40"/>
      <c r="F411" s="40"/>
      <c r="G411" s="40"/>
      <c r="H411" s="40"/>
      <c r="I411" s="40"/>
      <c r="J411" s="282"/>
      <c r="K411" s="41"/>
    </row>
    <row r="412" spans="2:11" ht="9.75" customHeight="1" x14ac:dyDescent="0.2">
      <c r="B412" s="38"/>
      <c r="C412" s="280" t="str">
        <f>"2:"</f>
        <v>2:</v>
      </c>
      <c r="D412" s="278" t="s">
        <v>941</v>
      </c>
      <c r="E412" s="40"/>
      <c r="F412" s="40"/>
      <c r="G412" s="40"/>
      <c r="H412" s="40"/>
      <c r="I412" s="40"/>
      <c r="J412" s="282"/>
      <c r="K412" s="41"/>
    </row>
    <row r="413" spans="2:11" ht="9.75" customHeight="1" x14ac:dyDescent="0.2">
      <c r="B413" s="38"/>
      <c r="C413" s="280" t="str">
        <f>"3:"</f>
        <v>3:</v>
      </c>
      <c r="D413" s="278" t="s">
        <v>942</v>
      </c>
      <c r="E413" s="40"/>
      <c r="F413" s="40"/>
      <c r="G413" s="40"/>
      <c r="H413" s="40"/>
      <c r="I413" s="40"/>
      <c r="J413" s="282"/>
      <c r="K413" s="41"/>
    </row>
    <row r="414" spans="2:11" ht="9.75" customHeight="1" x14ac:dyDescent="0.2">
      <c r="B414" s="38"/>
      <c r="C414" s="280" t="str">
        <f>"4:"</f>
        <v>4:</v>
      </c>
      <c r="D414" s="278" t="s">
        <v>943</v>
      </c>
      <c r="E414" s="40"/>
      <c r="F414" s="40"/>
      <c r="G414" s="40"/>
      <c r="H414" s="40"/>
      <c r="I414" s="40"/>
      <c r="J414" s="40"/>
      <c r="K414" s="41"/>
    </row>
    <row r="415" spans="2:11" x14ac:dyDescent="0.2">
      <c r="B415" s="38"/>
      <c r="C415" s="40" t="s">
        <v>893</v>
      </c>
      <c r="D415" s="40"/>
      <c r="E415" s="40"/>
      <c r="F415" s="40"/>
      <c r="G415" s="40"/>
      <c r="H415" s="40"/>
      <c r="I415" s="40"/>
      <c r="J415" s="40"/>
      <c r="K415" s="41"/>
    </row>
    <row r="416" spans="2:11" ht="30" customHeight="1" x14ac:dyDescent="0.2">
      <c r="B416" s="38"/>
      <c r="C416" s="399"/>
      <c r="D416" s="400"/>
      <c r="E416" s="400"/>
      <c r="F416" s="400"/>
      <c r="G416" s="400"/>
      <c r="H416" s="400"/>
      <c r="I416" s="400"/>
      <c r="J416" s="401"/>
      <c r="K416" s="41"/>
    </row>
    <row r="417" spans="2:11" x14ac:dyDescent="0.2">
      <c r="B417" s="38"/>
      <c r="C417" s="40"/>
      <c r="D417" s="40"/>
      <c r="E417" s="40"/>
      <c r="F417" s="40"/>
      <c r="G417" s="40"/>
      <c r="H417" s="40"/>
      <c r="I417" s="40"/>
      <c r="J417" s="40"/>
      <c r="K417" s="41"/>
    </row>
    <row r="418" spans="2:11" x14ac:dyDescent="0.2">
      <c r="B418" s="38"/>
      <c r="C418" s="179" t="s">
        <v>891</v>
      </c>
      <c r="D418" s="40"/>
      <c r="E418" s="40"/>
      <c r="F418" s="40"/>
      <c r="G418" s="40"/>
      <c r="H418" s="40"/>
      <c r="I418" s="40"/>
      <c r="J418" s="245">
        <f>J409</f>
        <v>0</v>
      </c>
      <c r="K418" s="41"/>
    </row>
    <row r="419" spans="2:11" x14ac:dyDescent="0.2">
      <c r="B419" s="38"/>
      <c r="C419" s="40"/>
      <c r="D419" s="40"/>
      <c r="E419" s="40"/>
      <c r="F419" s="40"/>
      <c r="G419" s="40"/>
      <c r="H419" s="40"/>
      <c r="I419" s="40"/>
      <c r="J419" s="40"/>
      <c r="K419" s="41"/>
    </row>
    <row r="420" spans="2:11" ht="20" customHeight="1" x14ac:dyDescent="0.2">
      <c r="B420" s="38"/>
      <c r="C420" s="410" t="s">
        <v>881</v>
      </c>
      <c r="D420" s="410"/>
      <c r="E420" s="410"/>
      <c r="F420" s="410"/>
      <c r="G420" s="410"/>
      <c r="H420" s="410"/>
      <c r="I420" s="410"/>
      <c r="J420" s="40"/>
      <c r="K420" s="41"/>
    </row>
    <row r="421" spans="2:11" ht="20" customHeight="1" x14ac:dyDescent="0.2">
      <c r="B421" s="38"/>
      <c r="C421" s="410"/>
      <c r="D421" s="410"/>
      <c r="E421" s="410"/>
      <c r="F421" s="410"/>
      <c r="G421" s="410"/>
      <c r="H421" s="410"/>
      <c r="I421" s="410"/>
      <c r="J421" s="244">
        <f>IF(OR(J288="Not Calculated",J307="Not Calculated",J326="Not Calculated",J349="Not Calculated",J367="Not Calculated",J387="Not Calculated",J404="Not Calculated",J418="Not Calculated")=TRUE,"Not Calculated",AVERAGE(J288,J307,J326,J349,J367,J387,J404,J418))</f>
        <v>1.75</v>
      </c>
      <c r="K421" s="41"/>
    </row>
    <row r="422" spans="2:11" ht="16" thickBot="1" x14ac:dyDescent="0.25">
      <c r="B422" s="46"/>
      <c r="C422" s="47"/>
      <c r="D422" s="47"/>
      <c r="E422" s="47"/>
      <c r="F422" s="47"/>
      <c r="G422" s="47"/>
      <c r="H422" s="47"/>
      <c r="I422" s="47"/>
      <c r="J422" s="47"/>
      <c r="K422" s="49"/>
    </row>
    <row r="423" spans="2:11" ht="16" thickBot="1" x14ac:dyDescent="0.25"/>
    <row r="424" spans="2:11" x14ac:dyDescent="0.2">
      <c r="B424" s="33"/>
      <c r="C424" s="34"/>
      <c r="D424" s="34"/>
      <c r="E424" s="34"/>
      <c r="F424" s="34"/>
      <c r="G424" s="34"/>
      <c r="H424" s="34"/>
      <c r="I424" s="34"/>
      <c r="J424" s="34"/>
      <c r="K424" s="37"/>
    </row>
    <row r="425" spans="2:11" ht="21" x14ac:dyDescent="0.25">
      <c r="B425" s="38"/>
      <c r="C425" s="40"/>
      <c r="D425" s="40"/>
      <c r="E425" s="40"/>
      <c r="F425" s="40"/>
      <c r="G425" s="172" t="s">
        <v>230</v>
      </c>
      <c r="H425" s="40"/>
      <c r="I425" s="40"/>
      <c r="J425" s="40"/>
      <c r="K425" s="41"/>
    </row>
    <row r="426" spans="2:11" x14ac:dyDescent="0.2">
      <c r="B426" s="38"/>
      <c r="C426" s="40"/>
      <c r="D426" s="40"/>
      <c r="E426" s="40"/>
      <c r="F426" s="40"/>
      <c r="G426" s="40"/>
      <c r="H426" s="40"/>
      <c r="I426" s="40"/>
      <c r="J426" s="40"/>
      <c r="K426" s="41"/>
    </row>
    <row r="427" spans="2:11" ht="16" x14ac:dyDescent="0.2">
      <c r="B427" s="38"/>
      <c r="C427" s="45" t="s">
        <v>299</v>
      </c>
      <c r="D427" s="40"/>
      <c r="E427" s="40"/>
      <c r="F427" s="40"/>
      <c r="G427" s="40"/>
      <c r="H427" s="40"/>
      <c r="I427" s="40"/>
      <c r="J427" s="40"/>
      <c r="K427" s="41"/>
    </row>
    <row r="428" spans="2:11" x14ac:dyDescent="0.2">
      <c r="B428" s="38"/>
      <c r="C428" s="40" t="s">
        <v>300</v>
      </c>
      <c r="D428" s="40"/>
      <c r="E428" s="40"/>
      <c r="F428" s="40"/>
      <c r="G428" s="40"/>
      <c r="H428" s="40"/>
      <c r="I428" s="40"/>
      <c r="J428" s="270">
        <v>0</v>
      </c>
      <c r="K428" s="41"/>
    </row>
    <row r="429" spans="2:11" x14ac:dyDescent="0.2">
      <c r="B429" s="38"/>
      <c r="C429" s="40" t="s">
        <v>260</v>
      </c>
      <c r="D429" s="40"/>
      <c r="E429" s="40"/>
      <c r="F429" s="40"/>
      <c r="G429" s="40"/>
      <c r="H429" s="40"/>
      <c r="I429" s="40"/>
      <c r="J429" s="248">
        <f>IF(J428&lt;=0,0,IF(J428&lt;=1,1,IF(J428&lt;=5,2,IF(J428&lt;=10,3,4))))</f>
        <v>0</v>
      </c>
      <c r="K429" s="41"/>
    </row>
    <row r="430" spans="2:11" s="98" customFormat="1" ht="9.75" customHeight="1" x14ac:dyDescent="0.2">
      <c r="B430" s="288"/>
      <c r="C430" s="279" t="str">
        <f>"0:"</f>
        <v>0:</v>
      </c>
      <c r="D430" s="290" t="s">
        <v>944</v>
      </c>
      <c r="E430" s="245"/>
      <c r="F430" s="245"/>
      <c r="G430" s="245"/>
      <c r="H430" s="245"/>
      <c r="I430" s="245"/>
      <c r="J430" s="245"/>
      <c r="K430" s="289"/>
    </row>
    <row r="431" spans="2:11" s="98" customFormat="1" ht="9.75" customHeight="1" x14ac:dyDescent="0.2">
      <c r="B431" s="288"/>
      <c r="C431" s="280" t="str">
        <f>"1:"</f>
        <v>1:</v>
      </c>
      <c r="D431" s="290" t="s">
        <v>945</v>
      </c>
      <c r="E431" s="245"/>
      <c r="F431" s="245"/>
      <c r="G431" s="245"/>
      <c r="H431" s="245"/>
      <c r="I431" s="245"/>
      <c r="J431" s="245"/>
      <c r="K431" s="289"/>
    </row>
    <row r="432" spans="2:11" s="98" customFormat="1" ht="9.75" customHeight="1" x14ac:dyDescent="0.2">
      <c r="B432" s="288"/>
      <c r="C432" s="280" t="str">
        <f>"2:"</f>
        <v>2:</v>
      </c>
      <c r="D432" s="290" t="s">
        <v>946</v>
      </c>
      <c r="E432" s="245"/>
      <c r="F432" s="245"/>
      <c r="G432" s="245"/>
      <c r="H432" s="245"/>
      <c r="I432" s="245"/>
      <c r="J432" s="245"/>
      <c r="K432" s="289"/>
    </row>
    <row r="433" spans="2:11" s="98" customFormat="1" ht="9.75" customHeight="1" x14ac:dyDescent="0.2">
      <c r="B433" s="288"/>
      <c r="C433" s="280" t="str">
        <f>"3:"</f>
        <v>3:</v>
      </c>
      <c r="D433" s="290" t="s">
        <v>947</v>
      </c>
      <c r="E433" s="245"/>
      <c r="F433" s="245"/>
      <c r="G433" s="245"/>
      <c r="H433" s="245"/>
      <c r="I433" s="245"/>
      <c r="J433" s="245"/>
      <c r="K433" s="289"/>
    </row>
    <row r="434" spans="2:11" s="98" customFormat="1" ht="9.75" customHeight="1" x14ac:dyDescent="0.2">
      <c r="B434" s="288"/>
      <c r="C434" s="280" t="str">
        <f>"4:"</f>
        <v>4:</v>
      </c>
      <c r="D434" s="290" t="s">
        <v>948</v>
      </c>
      <c r="E434" s="245"/>
      <c r="F434" s="245"/>
      <c r="G434" s="245"/>
      <c r="H434" s="245"/>
      <c r="I434" s="245"/>
      <c r="J434" s="247"/>
      <c r="K434" s="289"/>
    </row>
    <row r="435" spans="2:11" x14ac:dyDescent="0.2">
      <c r="B435" s="38"/>
      <c r="C435" s="40" t="s">
        <v>257</v>
      </c>
      <c r="D435" s="40"/>
      <c r="E435" s="40"/>
      <c r="F435" s="40"/>
      <c r="G435" s="40"/>
      <c r="H435" s="40"/>
      <c r="I435" s="40"/>
      <c r="J435" s="266" t="s">
        <v>870</v>
      </c>
      <c r="K435" s="41"/>
    </row>
    <row r="436" spans="2:11" x14ac:dyDescent="0.2">
      <c r="B436" s="38"/>
      <c r="C436" s="40" t="s">
        <v>261</v>
      </c>
      <c r="D436" s="40"/>
      <c r="E436" s="40"/>
      <c r="F436" s="40"/>
      <c r="G436" s="40"/>
      <c r="H436" s="40"/>
      <c r="I436" s="40"/>
      <c r="J436" s="245">
        <f>IF(J435=$B$973,$A$973,IF(J435=$B$974,$A$974,IF(J435=$B$975,$A$975,IF(J435=$B$976,$A$976,IF(J435=$B$977,$A$977,"Not Calculated")))))</f>
        <v>0</v>
      </c>
      <c r="K436" s="41"/>
    </row>
    <row r="437" spans="2:11" x14ac:dyDescent="0.2">
      <c r="B437" s="38"/>
      <c r="C437" s="40" t="s">
        <v>893</v>
      </c>
      <c r="D437" s="40"/>
      <c r="E437" s="40"/>
      <c r="F437" s="40"/>
      <c r="G437" s="40"/>
      <c r="H437" s="40"/>
      <c r="I437" s="40"/>
      <c r="J437" s="40"/>
      <c r="K437" s="41"/>
    </row>
    <row r="438" spans="2:11" ht="30" customHeight="1" x14ac:dyDescent="0.2">
      <c r="B438" s="38"/>
      <c r="C438" s="399"/>
      <c r="D438" s="400"/>
      <c r="E438" s="400"/>
      <c r="F438" s="400"/>
      <c r="G438" s="400"/>
      <c r="H438" s="400"/>
      <c r="I438" s="400"/>
      <c r="J438" s="401"/>
      <c r="K438" s="41"/>
    </row>
    <row r="439" spans="2:11" x14ac:dyDescent="0.2">
      <c r="B439" s="38"/>
      <c r="C439" s="40"/>
      <c r="D439" s="40"/>
      <c r="E439" s="40"/>
      <c r="F439" s="40"/>
      <c r="G439" s="40"/>
      <c r="H439" s="40"/>
      <c r="I439" s="40"/>
      <c r="J439" s="40"/>
      <c r="K439" s="41"/>
    </row>
    <row r="440" spans="2:11" x14ac:dyDescent="0.2">
      <c r="B440" s="38"/>
      <c r="C440" s="179" t="s">
        <v>301</v>
      </c>
      <c r="D440" s="40"/>
      <c r="E440" s="40"/>
      <c r="F440" s="40"/>
      <c r="G440" s="40"/>
      <c r="H440" s="40"/>
      <c r="I440" s="40"/>
      <c r="J440" s="245">
        <f>IF(OR(J429="Not Calculated",J436="Not Calculated")=TRUE,"Not Calculated",AVERAGE(J429,J436))</f>
        <v>0</v>
      </c>
      <c r="K440" s="41"/>
    </row>
    <row r="441" spans="2:11" x14ac:dyDescent="0.2">
      <c r="B441" s="38"/>
      <c r="C441" s="40"/>
      <c r="D441" s="40"/>
      <c r="E441" s="40"/>
      <c r="F441" s="40"/>
      <c r="G441" s="40"/>
      <c r="H441" s="40"/>
      <c r="I441" s="40"/>
      <c r="J441" s="40"/>
      <c r="K441" s="41"/>
    </row>
    <row r="442" spans="2:11" x14ac:dyDescent="0.2">
      <c r="B442" s="38"/>
      <c r="C442" s="40"/>
      <c r="D442" s="40"/>
      <c r="E442" s="40"/>
      <c r="F442" s="40"/>
      <c r="G442" s="40"/>
      <c r="H442" s="40"/>
      <c r="I442" s="40"/>
      <c r="J442" s="40"/>
      <c r="K442" s="41"/>
    </row>
    <row r="443" spans="2:11" ht="16" x14ac:dyDescent="0.2">
      <c r="B443" s="38"/>
      <c r="C443" s="45" t="s">
        <v>303</v>
      </c>
      <c r="D443" s="40"/>
      <c r="E443" s="40"/>
      <c r="F443" s="40"/>
      <c r="G443" s="40"/>
      <c r="H443" s="40"/>
      <c r="I443" s="40"/>
      <c r="J443" s="40"/>
      <c r="K443" s="41"/>
    </row>
    <row r="444" spans="2:11" ht="15" customHeight="1" x14ac:dyDescent="0.2">
      <c r="B444" s="38"/>
      <c r="C444" s="380" t="s">
        <v>305</v>
      </c>
      <c r="D444" s="380"/>
      <c r="E444" s="380"/>
      <c r="F444" s="380"/>
      <c r="G444" s="380"/>
      <c r="H444" s="380"/>
      <c r="I444" s="380"/>
      <c r="J444" s="40"/>
      <c r="K444" s="41"/>
    </row>
    <row r="445" spans="2:11" x14ac:dyDescent="0.2">
      <c r="B445" s="38"/>
      <c r="C445" s="380"/>
      <c r="D445" s="380"/>
      <c r="E445" s="380"/>
      <c r="F445" s="380"/>
      <c r="G445" s="380"/>
      <c r="H445" s="380"/>
      <c r="I445" s="380"/>
      <c r="J445" s="270">
        <v>0</v>
      </c>
      <c r="K445" s="41"/>
    </row>
    <row r="446" spans="2:11" x14ac:dyDescent="0.2">
      <c r="B446" s="38"/>
      <c r="C446" s="40" t="s">
        <v>260</v>
      </c>
      <c r="D446" s="40"/>
      <c r="E446" s="40"/>
      <c r="F446" s="40"/>
      <c r="G446" s="40"/>
      <c r="H446" s="40"/>
      <c r="I446" s="40"/>
      <c r="J446" s="248">
        <f>IF(J445&lt;=0,0,IF(J445&lt;=1,1,IF(J445&lt;=5,2,IF(J445&lt;=10,3,4))))</f>
        <v>0</v>
      </c>
      <c r="K446" s="41"/>
    </row>
    <row r="447" spans="2:11" ht="9.75" customHeight="1" x14ac:dyDescent="0.2">
      <c r="B447" s="38"/>
      <c r="C447" s="279" t="str">
        <f>"0:"</f>
        <v>0:</v>
      </c>
      <c r="D447" s="278" t="s">
        <v>944</v>
      </c>
      <c r="E447" s="40"/>
      <c r="F447" s="40"/>
      <c r="G447" s="40"/>
      <c r="H447" s="40"/>
      <c r="I447" s="40"/>
      <c r="J447" s="245"/>
      <c r="K447" s="41"/>
    </row>
    <row r="448" spans="2:11" ht="9.75" customHeight="1" x14ac:dyDescent="0.2">
      <c r="B448" s="38"/>
      <c r="C448" s="280" t="str">
        <f>"1:"</f>
        <v>1:</v>
      </c>
      <c r="D448" s="278" t="s">
        <v>945</v>
      </c>
      <c r="E448" s="40"/>
      <c r="F448" s="40"/>
      <c r="G448" s="40"/>
      <c r="H448" s="40"/>
      <c r="I448" s="40"/>
      <c r="J448" s="245"/>
      <c r="K448" s="41"/>
    </row>
    <row r="449" spans="2:11" ht="9.75" customHeight="1" x14ac:dyDescent="0.2">
      <c r="B449" s="38"/>
      <c r="C449" s="280" t="str">
        <f>"2:"</f>
        <v>2:</v>
      </c>
      <c r="D449" s="278" t="s">
        <v>946</v>
      </c>
      <c r="E449" s="40"/>
      <c r="F449" s="40"/>
      <c r="G449" s="40"/>
      <c r="H449" s="40"/>
      <c r="I449" s="40"/>
      <c r="J449" s="245"/>
      <c r="K449" s="41"/>
    </row>
    <row r="450" spans="2:11" ht="9.75" customHeight="1" x14ac:dyDescent="0.2">
      <c r="B450" s="38"/>
      <c r="C450" s="280" t="str">
        <f>"3:"</f>
        <v>3:</v>
      </c>
      <c r="D450" s="278" t="s">
        <v>947</v>
      </c>
      <c r="E450" s="40"/>
      <c r="F450" s="40"/>
      <c r="G450" s="40"/>
      <c r="H450" s="40"/>
      <c r="I450" s="40"/>
      <c r="J450" s="245"/>
      <c r="K450" s="41"/>
    </row>
    <row r="451" spans="2:11" ht="9.75" customHeight="1" x14ac:dyDescent="0.2">
      <c r="B451" s="38"/>
      <c r="C451" s="280" t="str">
        <f>"4:"</f>
        <v>4:</v>
      </c>
      <c r="D451" s="278" t="s">
        <v>948</v>
      </c>
      <c r="E451" s="40"/>
      <c r="F451" s="40"/>
      <c r="G451" s="40"/>
      <c r="H451" s="40"/>
      <c r="I451" s="40"/>
      <c r="J451" s="247"/>
      <c r="K451" s="41"/>
    </row>
    <row r="452" spans="2:11" x14ac:dyDescent="0.2">
      <c r="B452" s="38"/>
      <c r="C452" s="40" t="s">
        <v>257</v>
      </c>
      <c r="D452" s="40"/>
      <c r="E452" s="40"/>
      <c r="F452" s="40"/>
      <c r="G452" s="40"/>
      <c r="H452" s="40"/>
      <c r="I452" s="40"/>
      <c r="J452" s="266" t="s">
        <v>870</v>
      </c>
      <c r="K452" s="41"/>
    </row>
    <row r="453" spans="2:11" x14ac:dyDescent="0.2">
      <c r="B453" s="38"/>
      <c r="C453" s="40" t="s">
        <v>261</v>
      </c>
      <c r="D453" s="40"/>
      <c r="E453" s="40"/>
      <c r="F453" s="40"/>
      <c r="G453" s="40"/>
      <c r="H453" s="40"/>
      <c r="I453" s="40"/>
      <c r="J453" s="245">
        <f>IF(J452=$B$973,$A$973,IF(J452=$B$974,$A$974,IF(J452=$B$975,$A$975,IF(J452=$B$976,$A$976,IF(J452=$B$977,$A$977,"Not Calculated")))))</f>
        <v>0</v>
      </c>
      <c r="K453" s="41"/>
    </row>
    <row r="454" spans="2:11" x14ac:dyDescent="0.2">
      <c r="B454" s="38"/>
      <c r="C454" s="40" t="s">
        <v>893</v>
      </c>
      <c r="D454" s="40"/>
      <c r="E454" s="40"/>
      <c r="F454" s="40"/>
      <c r="G454" s="40"/>
      <c r="H454" s="40"/>
      <c r="I454" s="40"/>
      <c r="J454" s="40"/>
      <c r="K454" s="41"/>
    </row>
    <row r="455" spans="2:11" ht="30" customHeight="1" x14ac:dyDescent="0.2">
      <c r="B455" s="38"/>
      <c r="C455" s="399"/>
      <c r="D455" s="400"/>
      <c r="E455" s="400"/>
      <c r="F455" s="400"/>
      <c r="G455" s="400"/>
      <c r="H455" s="400"/>
      <c r="I455" s="400"/>
      <c r="J455" s="401"/>
      <c r="K455" s="41"/>
    </row>
    <row r="456" spans="2:11" x14ac:dyDescent="0.2">
      <c r="B456" s="38"/>
      <c r="C456" s="40"/>
      <c r="D456" s="40"/>
      <c r="E456" s="40"/>
      <c r="F456" s="40"/>
      <c r="G456" s="40"/>
      <c r="H456" s="40"/>
      <c r="I456" s="40"/>
      <c r="J456" s="40"/>
      <c r="K456" s="41"/>
    </row>
    <row r="457" spans="2:11" x14ac:dyDescent="0.2">
      <c r="B457" s="38"/>
      <c r="C457" s="179" t="s">
        <v>304</v>
      </c>
      <c r="D457" s="40"/>
      <c r="E457" s="40"/>
      <c r="F457" s="40"/>
      <c r="G457" s="40"/>
      <c r="H457" s="40"/>
      <c r="I457" s="40"/>
      <c r="J457" s="245">
        <f>IF(OR(J446="Not Calculated",J453="Not Calculated")=TRUE,"Not Calculated",AVERAGE(J446,J453))</f>
        <v>0</v>
      </c>
      <c r="K457" s="41"/>
    </row>
    <row r="458" spans="2:11" x14ac:dyDescent="0.2">
      <c r="B458" s="38"/>
      <c r="C458" s="40"/>
      <c r="D458" s="40"/>
      <c r="E458" s="40"/>
      <c r="F458" s="40"/>
      <c r="G458" s="40"/>
      <c r="H458" s="40"/>
      <c r="I458" s="40"/>
      <c r="J458" s="40"/>
      <c r="K458" s="41"/>
    </row>
    <row r="459" spans="2:11" x14ac:dyDescent="0.2">
      <c r="B459" s="38"/>
      <c r="C459" s="40"/>
      <c r="D459" s="40"/>
      <c r="E459" s="40"/>
      <c r="F459" s="40"/>
      <c r="G459" s="40"/>
      <c r="H459" s="40"/>
      <c r="I459" s="40"/>
      <c r="J459" s="40"/>
      <c r="K459" s="41"/>
    </row>
    <row r="460" spans="2:11" ht="16" x14ac:dyDescent="0.2">
      <c r="B460" s="38"/>
      <c r="C460" s="45" t="s">
        <v>306</v>
      </c>
      <c r="D460" s="40"/>
      <c r="E460" s="40"/>
      <c r="F460" s="40"/>
      <c r="G460" s="40"/>
      <c r="H460" s="40"/>
      <c r="I460" s="40"/>
      <c r="J460" s="40"/>
      <c r="K460" s="41"/>
    </row>
    <row r="461" spans="2:11" x14ac:dyDescent="0.2">
      <c r="B461" s="38"/>
      <c r="C461" s="40" t="s">
        <v>949</v>
      </c>
      <c r="D461" s="40"/>
      <c r="E461" s="40"/>
      <c r="F461" s="40"/>
      <c r="G461" s="40"/>
      <c r="H461" s="40"/>
      <c r="I461" s="40"/>
      <c r="J461" s="270">
        <v>0</v>
      </c>
      <c r="K461" s="41"/>
    </row>
    <row r="462" spans="2:11" x14ac:dyDescent="0.2">
      <c r="B462" s="38"/>
      <c r="C462" s="40" t="s">
        <v>260</v>
      </c>
      <c r="D462" s="40"/>
      <c r="E462" s="40"/>
      <c r="F462" s="40"/>
      <c r="G462" s="40"/>
      <c r="H462" s="40"/>
      <c r="I462" s="40"/>
      <c r="J462" s="248">
        <f>IF(J461&lt;=0,0,IF(J461&lt;=1,1,IF(J461&lt;=5,2,IF(J461&lt;=10,3,4))))</f>
        <v>0</v>
      </c>
      <c r="K462" s="41"/>
    </row>
    <row r="463" spans="2:11" ht="9.75" customHeight="1" x14ac:dyDescent="0.2">
      <c r="B463" s="38"/>
      <c r="C463" s="279" t="str">
        <f>"0:"</f>
        <v>0:</v>
      </c>
      <c r="D463" s="290" t="s">
        <v>944</v>
      </c>
      <c r="E463" s="40"/>
      <c r="F463" s="40"/>
      <c r="G463" s="40"/>
      <c r="H463" s="40"/>
      <c r="I463" s="40"/>
      <c r="J463" s="245"/>
      <c r="K463" s="41"/>
    </row>
    <row r="464" spans="2:11" ht="9.75" customHeight="1" x14ac:dyDescent="0.2">
      <c r="B464" s="38"/>
      <c r="C464" s="280" t="str">
        <f>"1:"</f>
        <v>1:</v>
      </c>
      <c r="D464" s="290" t="s">
        <v>945</v>
      </c>
      <c r="E464" s="40"/>
      <c r="F464" s="40"/>
      <c r="G464" s="40"/>
      <c r="H464" s="40"/>
      <c r="I464" s="40"/>
      <c r="J464" s="245"/>
      <c r="K464" s="41"/>
    </row>
    <row r="465" spans="2:11" ht="9.75" customHeight="1" x14ac:dyDescent="0.2">
      <c r="B465" s="38"/>
      <c r="C465" s="280" t="str">
        <f>"2:"</f>
        <v>2:</v>
      </c>
      <c r="D465" s="290" t="s">
        <v>946</v>
      </c>
      <c r="E465" s="40"/>
      <c r="F465" s="40"/>
      <c r="G465" s="40"/>
      <c r="H465" s="40"/>
      <c r="I465" s="40"/>
      <c r="J465" s="245"/>
      <c r="K465" s="41"/>
    </row>
    <row r="466" spans="2:11" ht="9.75" customHeight="1" x14ac:dyDescent="0.2">
      <c r="B466" s="38"/>
      <c r="C466" s="280" t="str">
        <f>"3:"</f>
        <v>3:</v>
      </c>
      <c r="D466" s="290" t="s">
        <v>947</v>
      </c>
      <c r="E466" s="40"/>
      <c r="F466" s="40"/>
      <c r="G466" s="40"/>
      <c r="H466" s="40"/>
      <c r="I466" s="40"/>
      <c r="J466" s="245"/>
      <c r="K466" s="41"/>
    </row>
    <row r="467" spans="2:11" ht="9.75" customHeight="1" x14ac:dyDescent="0.2">
      <c r="B467" s="38"/>
      <c r="C467" s="280" t="str">
        <f>"4:"</f>
        <v>4:</v>
      </c>
      <c r="D467" s="290" t="s">
        <v>948</v>
      </c>
      <c r="E467" s="40"/>
      <c r="F467" s="40"/>
      <c r="G467" s="40"/>
      <c r="H467" s="40"/>
      <c r="I467" s="40"/>
      <c r="J467" s="247"/>
      <c r="K467" s="41"/>
    </row>
    <row r="468" spans="2:11" x14ac:dyDescent="0.2">
      <c r="B468" s="38"/>
      <c r="C468" s="40" t="s">
        <v>257</v>
      </c>
      <c r="D468" s="40"/>
      <c r="E468" s="40"/>
      <c r="F468" s="40"/>
      <c r="G468" s="40"/>
      <c r="H468" s="40"/>
      <c r="I468" s="40"/>
      <c r="J468" s="266" t="s">
        <v>870</v>
      </c>
      <c r="K468" s="41"/>
    </row>
    <row r="469" spans="2:11" ht="15" customHeight="1" x14ac:dyDescent="0.2">
      <c r="B469" s="38"/>
      <c r="C469" s="40" t="s">
        <v>261</v>
      </c>
      <c r="D469" s="40"/>
      <c r="E469" s="40"/>
      <c r="F469" s="40"/>
      <c r="G469" s="40"/>
      <c r="H469" s="40"/>
      <c r="I469" s="40"/>
      <c r="J469" s="245">
        <f>IF(J468=$B$973,$A$973,IF(J468=$B$974,$A$974,IF(J468=$B$975,$A$975,IF(J468=$B$976,$A$976,IF(J468=$B$977,$A$977,"Not Calculated")))))</f>
        <v>0</v>
      </c>
      <c r="K469" s="41"/>
    </row>
    <row r="470" spans="2:11" x14ac:dyDescent="0.2">
      <c r="B470" s="38"/>
      <c r="C470" s="40" t="s">
        <v>893</v>
      </c>
      <c r="D470" s="40"/>
      <c r="E470" s="40"/>
      <c r="F470" s="40"/>
      <c r="G470" s="40"/>
      <c r="H470" s="40"/>
      <c r="I470" s="40"/>
      <c r="J470" s="40"/>
      <c r="K470" s="41"/>
    </row>
    <row r="471" spans="2:11" ht="30" customHeight="1" x14ac:dyDescent="0.2">
      <c r="B471" s="38"/>
      <c r="C471" s="399"/>
      <c r="D471" s="400"/>
      <c r="E471" s="400"/>
      <c r="F471" s="400"/>
      <c r="G471" s="400"/>
      <c r="H471" s="400"/>
      <c r="I471" s="400"/>
      <c r="J471" s="401"/>
      <c r="K471" s="41"/>
    </row>
    <row r="472" spans="2:11" x14ac:dyDescent="0.2">
      <c r="B472" s="38"/>
      <c r="C472" s="40"/>
      <c r="D472" s="40"/>
      <c r="E472" s="40"/>
      <c r="F472" s="40"/>
      <c r="G472" s="40"/>
      <c r="H472" s="40"/>
      <c r="I472" s="40"/>
      <c r="J472" s="40"/>
      <c r="K472" s="41"/>
    </row>
    <row r="473" spans="2:11" x14ac:dyDescent="0.2">
      <c r="B473" s="38"/>
      <c r="C473" s="179" t="s">
        <v>307</v>
      </c>
      <c r="D473" s="40"/>
      <c r="E473" s="40"/>
      <c r="F473" s="40"/>
      <c r="G473" s="40"/>
      <c r="H473" s="40"/>
      <c r="I473" s="40"/>
      <c r="J473" s="245">
        <f>IF(OR(J462="Not Calculated",J469="Not Calculated")=TRUE,"Not Calculated",AVERAGE(J462,J469))</f>
        <v>0</v>
      </c>
      <c r="K473" s="41"/>
    </row>
    <row r="474" spans="2:11" x14ac:dyDescent="0.2">
      <c r="B474" s="38"/>
      <c r="C474" s="40"/>
      <c r="D474" s="40"/>
      <c r="E474" s="40"/>
      <c r="F474" s="40"/>
      <c r="G474" s="40"/>
      <c r="H474" s="40"/>
      <c r="I474" s="40"/>
      <c r="J474" s="40"/>
      <c r="K474" s="41"/>
    </row>
    <row r="475" spans="2:11" x14ac:dyDescent="0.2">
      <c r="B475" s="38"/>
      <c r="C475" s="40"/>
      <c r="D475" s="40"/>
      <c r="E475" s="40"/>
      <c r="F475" s="40"/>
      <c r="G475" s="40"/>
      <c r="H475" s="40"/>
      <c r="I475" s="40"/>
      <c r="J475" s="40"/>
      <c r="K475" s="41"/>
    </row>
    <row r="476" spans="2:11" ht="16" x14ac:dyDescent="0.2">
      <c r="B476" s="38"/>
      <c r="C476" s="45" t="s">
        <v>308</v>
      </c>
      <c r="D476" s="40"/>
      <c r="E476" s="40"/>
      <c r="F476" s="40"/>
      <c r="G476" s="40"/>
      <c r="H476" s="40"/>
      <c r="I476" s="40"/>
      <c r="J476" s="40"/>
      <c r="K476" s="41"/>
    </row>
    <row r="477" spans="2:11" ht="15" customHeight="1" x14ac:dyDescent="0.2">
      <c r="B477" s="38"/>
      <c r="C477" s="380" t="s">
        <v>310</v>
      </c>
      <c r="D477" s="380"/>
      <c r="E477" s="380"/>
      <c r="F477" s="380"/>
      <c r="G477" s="380"/>
      <c r="H477" s="380"/>
      <c r="I477" s="380"/>
      <c r="J477" s="40"/>
      <c r="K477" s="41"/>
    </row>
    <row r="478" spans="2:11" x14ac:dyDescent="0.2">
      <c r="B478" s="38"/>
      <c r="C478" s="380"/>
      <c r="D478" s="380"/>
      <c r="E478" s="380"/>
      <c r="F478" s="380"/>
      <c r="G478" s="380"/>
      <c r="H478" s="380"/>
      <c r="I478" s="380"/>
      <c r="J478" s="131">
        <v>0</v>
      </c>
      <c r="K478" s="41"/>
    </row>
    <row r="479" spans="2:11" x14ac:dyDescent="0.2">
      <c r="B479" s="38"/>
      <c r="C479" s="40" t="s">
        <v>261</v>
      </c>
      <c r="D479" s="40"/>
      <c r="E479" s="40"/>
      <c r="F479" s="40"/>
      <c r="G479" s="40"/>
      <c r="H479" s="40"/>
      <c r="I479" s="40"/>
      <c r="J479" s="245">
        <f>IF(J478&lt;=0,0,IF(J478&lt;=1,1,IF(J478&lt;=7,2,IF(J478&lt;=14,3,4))))</f>
        <v>0</v>
      </c>
      <c r="K479" s="41"/>
    </row>
    <row r="480" spans="2:11" s="51" customFormat="1" ht="9.75" customHeight="1" x14ac:dyDescent="0.2">
      <c r="B480" s="283"/>
      <c r="C480" s="279" t="str">
        <f>"0:"</f>
        <v>0:</v>
      </c>
      <c r="D480" s="284" t="s">
        <v>950</v>
      </c>
      <c r="E480" s="285"/>
      <c r="F480" s="285"/>
      <c r="G480" s="285"/>
      <c r="H480" s="285"/>
      <c r="I480" s="285"/>
      <c r="J480" s="43"/>
      <c r="K480" s="286"/>
    </row>
    <row r="481" spans="2:11" s="51" customFormat="1" ht="9.75" customHeight="1" x14ac:dyDescent="0.2">
      <c r="B481" s="283"/>
      <c r="C481" s="280" t="str">
        <f>"1:"</f>
        <v>1:</v>
      </c>
      <c r="D481" s="284" t="s">
        <v>951</v>
      </c>
      <c r="E481" s="285"/>
      <c r="F481" s="285"/>
      <c r="G481" s="285"/>
      <c r="H481" s="285"/>
      <c r="I481" s="285"/>
      <c r="J481" s="43"/>
      <c r="K481" s="286"/>
    </row>
    <row r="482" spans="2:11" s="51" customFormat="1" ht="9.75" customHeight="1" x14ac:dyDescent="0.2">
      <c r="B482" s="283"/>
      <c r="C482" s="280" t="str">
        <f>"2:"</f>
        <v>2:</v>
      </c>
      <c r="D482" s="284" t="s">
        <v>952</v>
      </c>
      <c r="E482" s="285"/>
      <c r="F482" s="285"/>
      <c r="G482" s="285"/>
      <c r="H482" s="285"/>
      <c r="I482" s="285"/>
      <c r="J482" s="43"/>
      <c r="K482" s="286"/>
    </row>
    <row r="483" spans="2:11" s="51" customFormat="1" ht="9.75" customHeight="1" x14ac:dyDescent="0.2">
      <c r="B483" s="283"/>
      <c r="C483" s="280" t="str">
        <f>"3:"</f>
        <v>3:</v>
      </c>
      <c r="D483" s="284" t="s">
        <v>953</v>
      </c>
      <c r="E483" s="285"/>
      <c r="F483" s="285"/>
      <c r="G483" s="285"/>
      <c r="H483" s="285"/>
      <c r="I483" s="285"/>
      <c r="J483" s="43"/>
      <c r="K483" s="286"/>
    </row>
    <row r="484" spans="2:11" s="51" customFormat="1" ht="9.75" customHeight="1" x14ac:dyDescent="0.2">
      <c r="B484" s="283"/>
      <c r="C484" s="280" t="str">
        <f>"4:"</f>
        <v>4:</v>
      </c>
      <c r="D484" s="284" t="s">
        <v>954</v>
      </c>
      <c r="E484" s="285"/>
      <c r="F484" s="285"/>
      <c r="G484" s="285"/>
      <c r="H484" s="285"/>
      <c r="I484" s="285"/>
      <c r="J484" s="43"/>
      <c r="K484" s="286"/>
    </row>
    <row r="485" spans="2:11" x14ac:dyDescent="0.2">
      <c r="B485" s="38"/>
      <c r="C485" s="40" t="s">
        <v>893</v>
      </c>
      <c r="D485" s="40"/>
      <c r="E485" s="40"/>
      <c r="F485" s="40"/>
      <c r="G485" s="40"/>
      <c r="H485" s="40"/>
      <c r="I485" s="40"/>
      <c r="J485" s="40"/>
      <c r="K485" s="41"/>
    </row>
    <row r="486" spans="2:11" ht="30" customHeight="1" x14ac:dyDescent="0.2">
      <c r="B486" s="38"/>
      <c r="C486" s="399"/>
      <c r="D486" s="400"/>
      <c r="E486" s="400"/>
      <c r="F486" s="400"/>
      <c r="G486" s="400"/>
      <c r="H486" s="400"/>
      <c r="I486" s="400"/>
      <c r="J486" s="401"/>
      <c r="K486" s="41"/>
    </row>
    <row r="487" spans="2:11" x14ac:dyDescent="0.2">
      <c r="B487" s="38"/>
      <c r="C487" s="40"/>
      <c r="D487" s="40"/>
      <c r="E487" s="40"/>
      <c r="F487" s="40"/>
      <c r="G487" s="40"/>
      <c r="H487" s="40"/>
      <c r="I487" s="40"/>
      <c r="J487" s="40"/>
      <c r="K487" s="41"/>
    </row>
    <row r="488" spans="2:11" x14ac:dyDescent="0.2">
      <c r="B488" s="38"/>
      <c r="C488" s="179" t="s">
        <v>309</v>
      </c>
      <c r="D488" s="40"/>
      <c r="E488" s="40"/>
      <c r="F488" s="40"/>
      <c r="G488" s="40"/>
      <c r="H488" s="40"/>
      <c r="I488" s="40"/>
      <c r="J488" s="245">
        <f>J479</f>
        <v>0</v>
      </c>
      <c r="K488" s="41"/>
    </row>
    <row r="489" spans="2:11" x14ac:dyDescent="0.2">
      <c r="B489" s="38"/>
      <c r="C489" s="40"/>
      <c r="D489" s="40"/>
      <c r="E489" s="40"/>
      <c r="F489" s="40"/>
      <c r="G489" s="40"/>
      <c r="H489" s="40"/>
      <c r="I489" s="40"/>
      <c r="J489" s="40"/>
      <c r="K489" s="41"/>
    </row>
    <row r="490" spans="2:11" x14ac:dyDescent="0.2">
      <c r="B490" s="38"/>
      <c r="C490" s="40"/>
      <c r="D490" s="40"/>
      <c r="E490" s="40"/>
      <c r="F490" s="40"/>
      <c r="G490" s="40"/>
      <c r="H490" s="40"/>
      <c r="I490" s="40"/>
      <c r="J490" s="40"/>
      <c r="K490" s="41"/>
    </row>
    <row r="491" spans="2:11" ht="16" x14ac:dyDescent="0.2">
      <c r="B491" s="38"/>
      <c r="C491" s="45" t="s">
        <v>311</v>
      </c>
      <c r="D491" s="40"/>
      <c r="E491" s="40"/>
      <c r="F491" s="40"/>
      <c r="G491" s="40"/>
      <c r="H491" s="40"/>
      <c r="I491" s="40"/>
      <c r="J491" s="40"/>
      <c r="K491" s="41"/>
    </row>
    <row r="492" spans="2:11" x14ac:dyDescent="0.2">
      <c r="B492" s="38"/>
      <c r="C492" s="40" t="s">
        <v>312</v>
      </c>
      <c r="D492" s="40"/>
      <c r="E492" s="40"/>
      <c r="F492" s="40"/>
      <c r="G492" s="40"/>
      <c r="H492" s="40"/>
      <c r="I492" s="40"/>
      <c r="J492" s="270">
        <v>0</v>
      </c>
      <c r="K492" s="41"/>
    </row>
    <row r="493" spans="2:11" x14ac:dyDescent="0.2">
      <c r="B493" s="38"/>
      <c r="C493" s="40" t="s">
        <v>260</v>
      </c>
      <c r="D493" s="40"/>
      <c r="E493" s="40"/>
      <c r="F493" s="40"/>
      <c r="G493" s="40"/>
      <c r="H493" s="40"/>
      <c r="I493" s="40"/>
      <c r="J493" s="248">
        <f>IF(J492&lt;=0,0,IF(J492&lt;=1,1,IF(J492&lt;=5,2,IF(J492&lt;=10,3,4))))</f>
        <v>0</v>
      </c>
      <c r="K493" s="41"/>
    </row>
    <row r="494" spans="2:11" ht="9.75" customHeight="1" x14ac:dyDescent="0.2">
      <c r="B494" s="38"/>
      <c r="C494" s="279" t="str">
        <f>"0:"</f>
        <v>0:</v>
      </c>
      <c r="D494" s="290" t="s">
        <v>955</v>
      </c>
      <c r="E494" s="40"/>
      <c r="F494" s="40"/>
      <c r="G494" s="40"/>
      <c r="H494" s="40"/>
      <c r="I494" s="40"/>
      <c r="J494" s="245"/>
      <c r="K494" s="41"/>
    </row>
    <row r="495" spans="2:11" ht="9.75" customHeight="1" x14ac:dyDescent="0.2">
      <c r="B495" s="38"/>
      <c r="C495" s="280" t="str">
        <f>"1:"</f>
        <v>1:</v>
      </c>
      <c r="D495" s="290" t="s">
        <v>956</v>
      </c>
      <c r="E495" s="40"/>
      <c r="F495" s="40"/>
      <c r="G495" s="40"/>
      <c r="H495" s="40"/>
      <c r="I495" s="40"/>
      <c r="J495" s="245"/>
      <c r="K495" s="41"/>
    </row>
    <row r="496" spans="2:11" ht="9.75" customHeight="1" x14ac:dyDescent="0.2">
      <c r="B496" s="38"/>
      <c r="C496" s="280" t="str">
        <f>"2:"</f>
        <v>2:</v>
      </c>
      <c r="D496" s="290" t="s">
        <v>957</v>
      </c>
      <c r="E496" s="40"/>
      <c r="F496" s="40"/>
      <c r="G496" s="40"/>
      <c r="H496" s="40"/>
      <c r="I496" s="40"/>
      <c r="J496" s="245"/>
      <c r="K496" s="41"/>
    </row>
    <row r="497" spans="2:11" ht="9.75" customHeight="1" x14ac:dyDescent="0.2">
      <c r="B497" s="38"/>
      <c r="C497" s="280" t="str">
        <f>"3:"</f>
        <v>3:</v>
      </c>
      <c r="D497" s="290" t="s">
        <v>958</v>
      </c>
      <c r="E497" s="40"/>
      <c r="F497" s="40"/>
      <c r="G497" s="40"/>
      <c r="H497" s="40"/>
      <c r="I497" s="40"/>
      <c r="J497" s="245"/>
      <c r="K497" s="41"/>
    </row>
    <row r="498" spans="2:11" ht="9.75" customHeight="1" x14ac:dyDescent="0.2">
      <c r="B498" s="38"/>
      <c r="C498" s="280" t="str">
        <f>"4:"</f>
        <v>4:</v>
      </c>
      <c r="D498" s="290" t="s">
        <v>959</v>
      </c>
      <c r="E498" s="40"/>
      <c r="F498" s="40"/>
      <c r="G498" s="40"/>
      <c r="H498" s="40"/>
      <c r="I498" s="40"/>
      <c r="J498" s="247"/>
      <c r="K498" s="41"/>
    </row>
    <row r="499" spans="2:11" x14ac:dyDescent="0.2">
      <c r="B499" s="38"/>
      <c r="C499" s="40" t="s">
        <v>313</v>
      </c>
      <c r="D499" s="40"/>
      <c r="E499" s="40"/>
      <c r="F499" s="40"/>
      <c r="G499" s="40"/>
      <c r="H499" s="40"/>
      <c r="I499" s="40"/>
      <c r="J499" s="266" t="s">
        <v>870</v>
      </c>
      <c r="K499" s="41"/>
    </row>
    <row r="500" spans="2:11" x14ac:dyDescent="0.2">
      <c r="B500" s="38"/>
      <c r="C500" s="40" t="s">
        <v>261</v>
      </c>
      <c r="D500" s="40"/>
      <c r="E500" s="40"/>
      <c r="F500" s="40"/>
      <c r="G500" s="40"/>
      <c r="H500" s="40"/>
      <c r="I500" s="40"/>
      <c r="J500" s="245">
        <f>IF(J499=$B$973,$A$973,IF(J499=$B$974,$A$974,IF(J499=$B$975,$A$975,IF(J499=$B$976,$A$976,IF(J499=$B$977,$A$977,"Not Calculated")))))</f>
        <v>0</v>
      </c>
      <c r="K500" s="41"/>
    </row>
    <row r="501" spans="2:11" x14ac:dyDescent="0.2">
      <c r="B501" s="38"/>
      <c r="C501" s="40" t="s">
        <v>893</v>
      </c>
      <c r="D501" s="40"/>
      <c r="E501" s="40"/>
      <c r="F501" s="40"/>
      <c r="G501" s="40"/>
      <c r="H501" s="40"/>
      <c r="I501" s="40"/>
      <c r="J501" s="40"/>
      <c r="K501" s="41"/>
    </row>
    <row r="502" spans="2:11" ht="30" customHeight="1" x14ac:dyDescent="0.2">
      <c r="B502" s="38"/>
      <c r="C502" s="399"/>
      <c r="D502" s="400"/>
      <c r="E502" s="400"/>
      <c r="F502" s="400"/>
      <c r="G502" s="400"/>
      <c r="H502" s="400"/>
      <c r="I502" s="400"/>
      <c r="J502" s="401"/>
      <c r="K502" s="41"/>
    </row>
    <row r="503" spans="2:11" x14ac:dyDescent="0.2">
      <c r="B503" s="38"/>
      <c r="C503" s="40"/>
      <c r="D503" s="40"/>
      <c r="E503" s="40"/>
      <c r="F503" s="40"/>
      <c r="G503" s="40"/>
      <c r="H503" s="40"/>
      <c r="I503" s="40"/>
      <c r="J503" s="40"/>
      <c r="K503" s="41"/>
    </row>
    <row r="504" spans="2:11" x14ac:dyDescent="0.2">
      <c r="B504" s="38"/>
      <c r="C504" s="179" t="s">
        <v>321</v>
      </c>
      <c r="D504" s="40"/>
      <c r="E504" s="40"/>
      <c r="F504" s="40"/>
      <c r="G504" s="40"/>
      <c r="H504" s="40"/>
      <c r="I504" s="40"/>
      <c r="J504" s="245">
        <f>IF(OR(J493="Not Calculated",J500="Not Calculated")=TRUE,"Not Calculated",AVERAGE(J493,J500))</f>
        <v>0</v>
      </c>
      <c r="K504" s="41"/>
    </row>
    <row r="505" spans="2:11" x14ac:dyDescent="0.2">
      <c r="B505" s="38"/>
      <c r="C505" s="40"/>
      <c r="D505" s="40"/>
      <c r="E505" s="40"/>
      <c r="F505" s="40"/>
      <c r="G505" s="40"/>
      <c r="H505" s="40"/>
      <c r="I505" s="40"/>
      <c r="J505" s="40"/>
      <c r="K505" s="41"/>
    </row>
    <row r="506" spans="2:11" x14ac:dyDescent="0.2">
      <c r="B506" s="38"/>
      <c r="C506" s="40"/>
      <c r="D506" s="40"/>
      <c r="E506" s="40"/>
      <c r="F506" s="40"/>
      <c r="G506" s="40"/>
      <c r="H506" s="40"/>
      <c r="I506" s="40"/>
      <c r="J506" s="40"/>
      <c r="K506" s="41"/>
    </row>
    <row r="507" spans="2:11" ht="16" x14ac:dyDescent="0.2">
      <c r="B507" s="38"/>
      <c r="C507" s="45" t="s">
        <v>314</v>
      </c>
      <c r="D507" s="40"/>
      <c r="E507" s="40"/>
      <c r="F507" s="40"/>
      <c r="G507" s="40"/>
      <c r="H507" s="40"/>
      <c r="I507" s="40"/>
      <c r="J507" s="40"/>
      <c r="K507" s="41"/>
    </row>
    <row r="508" spans="2:11" x14ac:dyDescent="0.2">
      <c r="B508" s="38"/>
      <c r="C508" s="40" t="s">
        <v>316</v>
      </c>
      <c r="D508" s="40"/>
      <c r="E508" s="40"/>
      <c r="F508" s="40"/>
      <c r="G508" s="40"/>
      <c r="H508" s="40"/>
      <c r="I508" s="40"/>
      <c r="J508" s="269">
        <v>0</v>
      </c>
      <c r="K508" s="41"/>
    </row>
    <row r="509" spans="2:11" x14ac:dyDescent="0.2">
      <c r="B509" s="38"/>
      <c r="C509" s="40" t="s">
        <v>260</v>
      </c>
      <c r="D509" s="40"/>
      <c r="E509" s="40"/>
      <c r="F509" s="40"/>
      <c r="G509" s="40"/>
      <c r="H509" s="40"/>
      <c r="I509" s="40"/>
      <c r="J509" s="248">
        <f>IF(J508&lt;=0,0,IF(J508&lt;=1000,1,IF(J508&lt;=5000,2,IF(J508&lt;=25000,3,4))))</f>
        <v>0</v>
      </c>
      <c r="K509" s="41"/>
    </row>
    <row r="510" spans="2:11" s="51" customFormat="1" ht="9.75" customHeight="1" x14ac:dyDescent="0.2">
      <c r="B510" s="283"/>
      <c r="C510" s="279" t="str">
        <f>"0:"</f>
        <v>0:</v>
      </c>
      <c r="D510" s="284" t="s">
        <v>960</v>
      </c>
      <c r="E510" s="285"/>
      <c r="F510" s="285"/>
      <c r="G510" s="285"/>
      <c r="H510" s="285"/>
      <c r="I510" s="285"/>
      <c r="J510" s="43"/>
      <c r="K510" s="286"/>
    </row>
    <row r="511" spans="2:11" s="51" customFormat="1" ht="9.75" customHeight="1" x14ac:dyDescent="0.2">
      <c r="B511" s="283"/>
      <c r="C511" s="280" t="str">
        <f>"1:"</f>
        <v>1:</v>
      </c>
      <c r="D511" s="284" t="s">
        <v>961</v>
      </c>
      <c r="E511" s="285"/>
      <c r="F511" s="285"/>
      <c r="G511" s="285"/>
      <c r="H511" s="285"/>
      <c r="I511" s="285"/>
      <c r="J511" s="43"/>
      <c r="K511" s="286"/>
    </row>
    <row r="512" spans="2:11" s="51" customFormat="1" ht="9.75" customHeight="1" x14ac:dyDescent="0.2">
      <c r="B512" s="283"/>
      <c r="C512" s="280" t="str">
        <f>"2:"</f>
        <v>2:</v>
      </c>
      <c r="D512" s="284" t="s">
        <v>962</v>
      </c>
      <c r="E512" s="285"/>
      <c r="F512" s="285"/>
      <c r="G512" s="285"/>
      <c r="H512" s="285"/>
      <c r="I512" s="285"/>
      <c r="J512" s="43"/>
      <c r="K512" s="286"/>
    </row>
    <row r="513" spans="2:11" s="51" customFormat="1" ht="9.75" customHeight="1" x14ac:dyDescent="0.2">
      <c r="B513" s="283"/>
      <c r="C513" s="280" t="str">
        <f>"3:"</f>
        <v>3:</v>
      </c>
      <c r="D513" s="284" t="s">
        <v>963</v>
      </c>
      <c r="E513" s="285"/>
      <c r="F513" s="285"/>
      <c r="G513" s="285"/>
      <c r="H513" s="285"/>
      <c r="I513" s="285"/>
      <c r="J513" s="43"/>
      <c r="K513" s="286"/>
    </row>
    <row r="514" spans="2:11" s="51" customFormat="1" ht="9.75" customHeight="1" x14ac:dyDescent="0.2">
      <c r="B514" s="283"/>
      <c r="C514" s="280" t="str">
        <f>"4:"</f>
        <v>4:</v>
      </c>
      <c r="D514" s="284" t="s">
        <v>964</v>
      </c>
      <c r="E514" s="285"/>
      <c r="F514" s="285"/>
      <c r="G514" s="285"/>
      <c r="H514" s="285"/>
      <c r="I514" s="285"/>
      <c r="J514" s="287"/>
      <c r="K514" s="286"/>
    </row>
    <row r="515" spans="2:11" x14ac:dyDescent="0.2">
      <c r="B515" s="38"/>
      <c r="C515" s="40" t="s">
        <v>315</v>
      </c>
      <c r="D515" s="40"/>
      <c r="E515" s="40"/>
      <c r="F515" s="40"/>
      <c r="G515" s="40"/>
      <c r="H515" s="40"/>
      <c r="I515" s="40"/>
      <c r="J515" s="266" t="s">
        <v>870</v>
      </c>
      <c r="K515" s="41"/>
    </row>
    <row r="516" spans="2:11" x14ac:dyDescent="0.2">
      <c r="B516" s="38"/>
      <c r="C516" s="40" t="s">
        <v>261</v>
      </c>
      <c r="D516" s="40"/>
      <c r="E516" s="40"/>
      <c r="F516" s="40"/>
      <c r="G516" s="40"/>
      <c r="H516" s="40"/>
      <c r="I516" s="40"/>
      <c r="J516" s="245">
        <f>IF(J515=$B$973,$A$973,IF(J515=$B$974,$A$974,IF(J515=$B$975,$A$975,IF(J515=$B$976,$A$976,IF(J515=$B$977,$A$977,"Not Calculated")))))</f>
        <v>0</v>
      </c>
      <c r="K516" s="41"/>
    </row>
    <row r="517" spans="2:11" x14ac:dyDescent="0.2">
      <c r="B517" s="38"/>
      <c r="C517" s="40" t="s">
        <v>893</v>
      </c>
      <c r="D517" s="40"/>
      <c r="E517" s="40"/>
      <c r="F517" s="40"/>
      <c r="G517" s="40"/>
      <c r="H517" s="40"/>
      <c r="I517" s="40"/>
      <c r="J517" s="40"/>
      <c r="K517" s="41"/>
    </row>
    <row r="518" spans="2:11" ht="30" customHeight="1" x14ac:dyDescent="0.2">
      <c r="B518" s="38"/>
      <c r="C518" s="399"/>
      <c r="D518" s="400"/>
      <c r="E518" s="400"/>
      <c r="F518" s="400"/>
      <c r="G518" s="400"/>
      <c r="H518" s="400"/>
      <c r="I518" s="400"/>
      <c r="J518" s="401"/>
      <c r="K518" s="41"/>
    </row>
    <row r="519" spans="2:11" x14ac:dyDescent="0.2">
      <c r="B519" s="38"/>
      <c r="C519" s="40"/>
      <c r="D519" s="40"/>
      <c r="E519" s="40"/>
      <c r="F519" s="40"/>
      <c r="G519" s="40"/>
      <c r="H519" s="40"/>
      <c r="I519" s="40"/>
      <c r="J519" s="40"/>
      <c r="K519" s="41"/>
    </row>
    <row r="520" spans="2:11" x14ac:dyDescent="0.2">
      <c r="B520" s="38"/>
      <c r="C520" s="179" t="s">
        <v>320</v>
      </c>
      <c r="D520" s="40"/>
      <c r="E520" s="40"/>
      <c r="F520" s="40"/>
      <c r="G520" s="40"/>
      <c r="H520" s="40"/>
      <c r="I520" s="40"/>
      <c r="J520" s="245">
        <f>IF(OR(J509="Not Calculated",J516="Not Calculated")=TRUE,"Not Calculated",AVERAGE(J509,J516))</f>
        <v>0</v>
      </c>
      <c r="K520" s="41"/>
    </row>
    <row r="521" spans="2:11" x14ac:dyDescent="0.2">
      <c r="B521" s="38"/>
      <c r="C521" s="40"/>
      <c r="D521" s="40"/>
      <c r="E521" s="40"/>
      <c r="F521" s="40"/>
      <c r="G521" s="40"/>
      <c r="H521" s="40"/>
      <c r="I521" s="40"/>
      <c r="J521" s="40"/>
      <c r="K521" s="41"/>
    </row>
    <row r="522" spans="2:11" x14ac:dyDescent="0.2">
      <c r="B522" s="38"/>
      <c r="C522" s="40"/>
      <c r="D522" s="40"/>
      <c r="E522" s="40"/>
      <c r="F522" s="40"/>
      <c r="G522" s="40"/>
      <c r="H522" s="40"/>
      <c r="I522" s="40"/>
      <c r="J522" s="40"/>
      <c r="K522" s="41"/>
    </row>
    <row r="523" spans="2:11" ht="16" x14ac:dyDescent="0.2">
      <c r="B523" s="38"/>
      <c r="C523" s="45" t="s">
        <v>317</v>
      </c>
      <c r="D523" s="40"/>
      <c r="E523" s="40"/>
      <c r="F523" s="40"/>
      <c r="G523" s="40"/>
      <c r="H523" s="40"/>
      <c r="I523" s="40"/>
      <c r="J523" s="40"/>
      <c r="K523" s="41"/>
    </row>
    <row r="524" spans="2:11" ht="15" customHeight="1" x14ac:dyDescent="0.2">
      <c r="B524" s="38"/>
      <c r="C524" s="380" t="s">
        <v>318</v>
      </c>
      <c r="D524" s="380"/>
      <c r="E524" s="380"/>
      <c r="F524" s="380"/>
      <c r="G524" s="380"/>
      <c r="H524" s="380"/>
      <c r="I524" s="380"/>
      <c r="J524" s="40"/>
      <c r="K524" s="41"/>
    </row>
    <row r="525" spans="2:11" x14ac:dyDescent="0.2">
      <c r="B525" s="38"/>
      <c r="C525" s="380"/>
      <c r="D525" s="380"/>
      <c r="E525" s="380"/>
      <c r="F525" s="380"/>
      <c r="G525" s="380"/>
      <c r="H525" s="380"/>
      <c r="I525" s="380"/>
      <c r="J525" s="274">
        <v>1</v>
      </c>
      <c r="K525" s="41"/>
    </row>
    <row r="526" spans="2:11" x14ac:dyDescent="0.2">
      <c r="B526" s="38"/>
      <c r="C526" s="40" t="s">
        <v>260</v>
      </c>
      <c r="D526" s="40"/>
      <c r="E526" s="40"/>
      <c r="F526" s="40"/>
      <c r="G526" s="40"/>
      <c r="H526" s="40"/>
      <c r="I526" s="40"/>
      <c r="J526" s="248">
        <f>IF(J525&lt;=0,0,IF(J525&lt;=1,1,IF(J525&lt;=5,2,IF(J525&lt;=10,3,4))))</f>
        <v>1</v>
      </c>
      <c r="K526" s="41"/>
    </row>
    <row r="527" spans="2:11" s="51" customFormat="1" ht="9.75" customHeight="1" x14ac:dyDescent="0.2">
      <c r="B527" s="283"/>
      <c r="C527" s="279" t="str">
        <f>"0:"</f>
        <v>0:</v>
      </c>
      <c r="D527" s="284" t="s">
        <v>965</v>
      </c>
      <c r="E527" s="285"/>
      <c r="F527" s="285"/>
      <c r="G527" s="285"/>
      <c r="H527" s="285"/>
      <c r="I527" s="285"/>
      <c r="J527" s="43"/>
      <c r="K527" s="286"/>
    </row>
    <row r="528" spans="2:11" s="51" customFormat="1" ht="9.75" customHeight="1" x14ac:dyDescent="0.2">
      <c r="B528" s="283"/>
      <c r="C528" s="280" t="str">
        <f>"1:"</f>
        <v>1:</v>
      </c>
      <c r="D528" s="284" t="s">
        <v>966</v>
      </c>
      <c r="E528" s="285"/>
      <c r="F528" s="285"/>
      <c r="G528" s="285"/>
      <c r="H528" s="285"/>
      <c r="I528" s="285"/>
      <c r="J528" s="43"/>
      <c r="K528" s="286"/>
    </row>
    <row r="529" spans="2:11" s="51" customFormat="1" ht="9.75" customHeight="1" x14ac:dyDescent="0.2">
      <c r="B529" s="283"/>
      <c r="C529" s="280" t="str">
        <f>"2:"</f>
        <v>2:</v>
      </c>
      <c r="D529" s="284" t="s">
        <v>967</v>
      </c>
      <c r="E529" s="285"/>
      <c r="F529" s="285"/>
      <c r="G529" s="285"/>
      <c r="H529" s="285"/>
      <c r="I529" s="285"/>
      <c r="J529" s="43"/>
      <c r="K529" s="286"/>
    </row>
    <row r="530" spans="2:11" s="51" customFormat="1" ht="9.75" customHeight="1" x14ac:dyDescent="0.2">
      <c r="B530" s="283"/>
      <c r="C530" s="280" t="str">
        <f>"3:"</f>
        <v>3:</v>
      </c>
      <c r="D530" s="284" t="s">
        <v>968</v>
      </c>
      <c r="E530" s="285"/>
      <c r="F530" s="285"/>
      <c r="G530" s="285"/>
      <c r="H530" s="285"/>
      <c r="I530" s="285"/>
      <c r="J530" s="43"/>
      <c r="K530" s="286"/>
    </row>
    <row r="531" spans="2:11" s="51" customFormat="1" ht="9.75" customHeight="1" x14ac:dyDescent="0.2">
      <c r="B531" s="283"/>
      <c r="C531" s="280" t="str">
        <f>"4:"</f>
        <v>4:</v>
      </c>
      <c r="D531" s="284" t="s">
        <v>969</v>
      </c>
      <c r="E531" s="285"/>
      <c r="F531" s="285"/>
      <c r="G531" s="285"/>
      <c r="H531" s="285"/>
      <c r="I531" s="285"/>
      <c r="J531" s="287"/>
      <c r="K531" s="286"/>
    </row>
    <row r="532" spans="2:11" x14ac:dyDescent="0.2">
      <c r="B532" s="38"/>
      <c r="C532" s="40" t="s">
        <v>257</v>
      </c>
      <c r="D532" s="40"/>
      <c r="E532" s="40"/>
      <c r="F532" s="40"/>
      <c r="G532" s="40"/>
      <c r="H532" s="40"/>
      <c r="I532" s="40"/>
      <c r="J532" s="266" t="s">
        <v>873</v>
      </c>
      <c r="K532" s="41"/>
    </row>
    <row r="533" spans="2:11" x14ac:dyDescent="0.2">
      <c r="B533" s="38"/>
      <c r="C533" s="40" t="s">
        <v>261</v>
      </c>
      <c r="D533" s="40"/>
      <c r="E533" s="40"/>
      <c r="F533" s="40"/>
      <c r="G533" s="40"/>
      <c r="H533" s="40"/>
      <c r="I533" s="40"/>
      <c r="J533" s="245">
        <f>IF(J532=$B$973,$A$973,IF(J532=$B$974,$A$974,IF(J532=$B$975,$A$975,IF(J532=$B$976,$A$976,IF(J532=$B$977,$A$977,"Not Calculated")))))</f>
        <v>3</v>
      </c>
      <c r="K533" s="41"/>
    </row>
    <row r="534" spans="2:11" x14ac:dyDescent="0.2">
      <c r="B534" s="38"/>
      <c r="C534" s="40" t="s">
        <v>893</v>
      </c>
      <c r="D534" s="40"/>
      <c r="E534" s="40"/>
      <c r="F534" s="40"/>
      <c r="G534" s="40"/>
      <c r="H534" s="40"/>
      <c r="I534" s="40"/>
      <c r="J534" s="40"/>
      <c r="K534" s="41"/>
    </row>
    <row r="535" spans="2:11" ht="30" customHeight="1" x14ac:dyDescent="0.2">
      <c r="B535" s="38"/>
      <c r="C535" s="399"/>
      <c r="D535" s="400"/>
      <c r="E535" s="400"/>
      <c r="F535" s="400"/>
      <c r="G535" s="400"/>
      <c r="H535" s="400"/>
      <c r="I535" s="400"/>
      <c r="J535" s="401"/>
      <c r="K535" s="41"/>
    </row>
    <row r="536" spans="2:11" x14ac:dyDescent="0.2">
      <c r="B536" s="38"/>
      <c r="C536" s="40"/>
      <c r="D536" s="40"/>
      <c r="E536" s="40"/>
      <c r="F536" s="40"/>
      <c r="G536" s="40"/>
      <c r="H536" s="40"/>
      <c r="I536" s="40"/>
      <c r="J536" s="40"/>
      <c r="K536" s="41"/>
    </row>
    <row r="537" spans="2:11" x14ac:dyDescent="0.2">
      <c r="B537" s="38"/>
      <c r="C537" s="179" t="s">
        <v>319</v>
      </c>
      <c r="D537" s="40"/>
      <c r="E537" s="40"/>
      <c r="F537" s="40"/>
      <c r="G537" s="40"/>
      <c r="H537" s="40"/>
      <c r="I537" s="40"/>
      <c r="J537" s="245">
        <f>IF(OR(J526="Not Calculated",J533="Not Calculated")=TRUE,"Not Calculated",AVERAGE(J526,J533))</f>
        <v>2</v>
      </c>
      <c r="K537" s="41"/>
    </row>
    <row r="538" spans="2:11" x14ac:dyDescent="0.2">
      <c r="B538" s="38"/>
      <c r="C538" s="40"/>
      <c r="D538" s="40"/>
      <c r="E538" s="40"/>
      <c r="F538" s="40"/>
      <c r="G538" s="40"/>
      <c r="H538" s="40"/>
      <c r="I538" s="40"/>
      <c r="J538" s="40"/>
      <c r="K538" s="41"/>
    </row>
    <row r="539" spans="2:11" ht="18" x14ac:dyDescent="0.2">
      <c r="B539" s="38"/>
      <c r="C539" s="180" t="s">
        <v>302</v>
      </c>
      <c r="D539" s="40"/>
      <c r="E539" s="40"/>
      <c r="F539" s="40"/>
      <c r="G539" s="40"/>
      <c r="H539" s="40"/>
      <c r="I539" s="40"/>
      <c r="J539" s="244">
        <f>IF(OR(J440="Not Calculated",J457="Not Calculated",J473="Not Calculated",J488="Not Calculated",J504="Not Calculated",J520="Not Calculated",J537="Not Calculated")=TRUE,"Not Calculated",AVERAGE(J440,J457,J473,J488,J504,J520,J537))</f>
        <v>0.2857142857142857</v>
      </c>
      <c r="K539" s="41"/>
    </row>
    <row r="540" spans="2:11" ht="16" thickBot="1" x14ac:dyDescent="0.25">
      <c r="B540" s="46"/>
      <c r="C540" s="47"/>
      <c r="D540" s="47"/>
      <c r="E540" s="47"/>
      <c r="F540" s="47"/>
      <c r="G540" s="47"/>
      <c r="H540" s="47"/>
      <c r="I540" s="47"/>
      <c r="J540" s="47"/>
      <c r="K540" s="49"/>
    </row>
    <row r="541" spans="2:11" ht="16" thickBot="1" x14ac:dyDescent="0.25"/>
    <row r="542" spans="2:11" x14ac:dyDescent="0.2">
      <c r="B542" s="33"/>
      <c r="C542" s="34"/>
      <c r="D542" s="34"/>
      <c r="E542" s="34"/>
      <c r="F542" s="34"/>
      <c r="G542" s="34"/>
      <c r="H542" s="34"/>
      <c r="I542" s="34"/>
      <c r="J542" s="34"/>
      <c r="K542" s="37"/>
    </row>
    <row r="543" spans="2:11" ht="21" x14ac:dyDescent="0.25">
      <c r="B543" s="38"/>
      <c r="C543" s="40"/>
      <c r="D543" s="40"/>
      <c r="E543" s="40"/>
      <c r="F543" s="40"/>
      <c r="G543" s="172" t="s">
        <v>29</v>
      </c>
      <c r="H543" s="40"/>
      <c r="I543" s="40"/>
      <c r="J543" s="40"/>
      <c r="K543" s="41"/>
    </row>
    <row r="544" spans="2:11" ht="15" customHeight="1" x14ac:dyDescent="0.2">
      <c r="B544" s="38"/>
      <c r="C544" s="40"/>
      <c r="D544" s="40"/>
      <c r="E544" s="40"/>
      <c r="F544" s="40"/>
      <c r="G544" s="40"/>
      <c r="H544" s="40"/>
      <c r="I544" s="40"/>
      <c r="J544" s="40"/>
      <c r="K544" s="41"/>
    </row>
    <row r="545" spans="2:14" ht="16" x14ac:dyDescent="0.2">
      <c r="B545" s="38"/>
      <c r="C545" s="45" t="s">
        <v>88</v>
      </c>
      <c r="D545" s="40"/>
      <c r="E545" s="40"/>
      <c r="F545" s="40"/>
      <c r="G545" s="40"/>
      <c r="H545" s="40"/>
      <c r="I545" s="40"/>
      <c r="J545" s="40"/>
      <c r="K545" s="41"/>
    </row>
    <row r="546" spans="2:14" x14ac:dyDescent="0.2">
      <c r="B546" s="38"/>
      <c r="C546" s="40" t="s">
        <v>448</v>
      </c>
      <c r="D546" s="40"/>
      <c r="E546" s="40"/>
      <c r="F546" s="40"/>
      <c r="G546" s="40"/>
      <c r="H546" s="40"/>
      <c r="I546" s="40"/>
      <c r="J546" s="251">
        <f>'Baseline Health'!G123</f>
        <v>0</v>
      </c>
      <c r="K546" s="41"/>
    </row>
    <row r="547" spans="2:14" x14ac:dyDescent="0.2">
      <c r="B547" s="38"/>
      <c r="C547" s="40" t="s">
        <v>322</v>
      </c>
      <c r="D547" s="40"/>
      <c r="E547" s="40"/>
      <c r="F547" s="40"/>
      <c r="G547" s="40"/>
      <c r="H547" s="40"/>
      <c r="I547" s="40"/>
      <c r="J547" s="264">
        <v>2</v>
      </c>
      <c r="K547" s="41"/>
      <c r="L547" s="12" t="s">
        <v>1269</v>
      </c>
    </row>
    <row r="548" spans="2:14" x14ac:dyDescent="0.2">
      <c r="B548" s="38"/>
      <c r="C548" s="40" t="s">
        <v>428</v>
      </c>
      <c r="D548" s="40"/>
      <c r="E548" s="40"/>
      <c r="F548" s="40"/>
      <c r="G548" s="40"/>
      <c r="H548" s="40"/>
      <c r="I548" s="40"/>
      <c r="J548" s="264">
        <v>6</v>
      </c>
      <c r="K548" s="41"/>
      <c r="L548" s="12" t="s">
        <v>1270</v>
      </c>
    </row>
    <row r="549" spans="2:14" x14ac:dyDescent="0.2">
      <c r="B549" s="38"/>
      <c r="C549" s="40" t="s">
        <v>260</v>
      </c>
      <c r="D549" s="40"/>
      <c r="E549" s="40"/>
      <c r="F549" s="40"/>
      <c r="G549" s="40"/>
      <c r="H549" s="40"/>
      <c r="I549" s="40"/>
      <c r="J549" s="245" t="str">
        <f>IF(OR(J546=0,J546="Not Calculated")=TRUE,"Not Calculated",IF(J546-J547=0,4,(IF(((J546+J548)/(J546-J547))&lt;=1,0,IF(((J546+J548)/(J546-J547))&lt;=1.05,1,IF(((J546+J548)/(J546-J547))&lt;=1.5, 2,IF(((J546+J548)/(J546-J547))&lt;=2,3,4)))))))</f>
        <v>Not Calculated</v>
      </c>
      <c r="K549" s="41"/>
    </row>
    <row r="550" spans="2:14" ht="9.75" customHeight="1" x14ac:dyDescent="0.2">
      <c r="B550" s="38"/>
      <c r="C550" s="279" t="str">
        <f>"0:"</f>
        <v>0:</v>
      </c>
      <c r="D550" s="278" t="s">
        <v>918</v>
      </c>
      <c r="E550" s="40"/>
      <c r="F550" s="40"/>
      <c r="G550" s="40"/>
      <c r="H550" s="40"/>
      <c r="I550" s="40"/>
      <c r="J550" s="251"/>
      <c r="K550" s="41"/>
    </row>
    <row r="551" spans="2:14" ht="9.75" customHeight="1" x14ac:dyDescent="0.2">
      <c r="B551" s="38"/>
      <c r="C551" s="280" t="str">
        <f>"1:"</f>
        <v>1:</v>
      </c>
      <c r="D551" s="278" t="s">
        <v>923</v>
      </c>
      <c r="E551" s="40"/>
      <c r="F551" s="40"/>
      <c r="G551" s="40"/>
      <c r="H551" s="40"/>
      <c r="I551" s="40"/>
      <c r="J551" s="251"/>
      <c r="K551" s="41"/>
    </row>
    <row r="552" spans="2:14" ht="9.75" customHeight="1" x14ac:dyDescent="0.2">
      <c r="B552" s="38"/>
      <c r="C552" s="280" t="str">
        <f>"2:"</f>
        <v>2:</v>
      </c>
      <c r="D552" s="278" t="s">
        <v>924</v>
      </c>
      <c r="E552" s="40"/>
      <c r="F552" s="40"/>
      <c r="G552" s="40"/>
      <c r="H552" s="40"/>
      <c r="I552" s="40"/>
      <c r="J552" s="251"/>
      <c r="K552" s="41"/>
    </row>
    <row r="553" spans="2:14" ht="9.75" customHeight="1" x14ac:dyDescent="0.2">
      <c r="B553" s="38"/>
      <c r="C553" s="280" t="str">
        <f>"3:"</f>
        <v>3:</v>
      </c>
      <c r="D553" s="278" t="s">
        <v>925</v>
      </c>
      <c r="E553" s="40"/>
      <c r="F553" s="40"/>
      <c r="G553" s="40"/>
      <c r="H553" s="40"/>
      <c r="I553" s="40"/>
      <c r="J553" s="251"/>
      <c r="K553" s="41"/>
    </row>
    <row r="554" spans="2:14" ht="9.75" customHeight="1" x14ac:dyDescent="0.2">
      <c r="B554" s="38"/>
      <c r="C554" s="280" t="str">
        <f>"4:"</f>
        <v>4:</v>
      </c>
      <c r="D554" s="278" t="s">
        <v>926</v>
      </c>
      <c r="E554" s="40"/>
      <c r="F554" s="40"/>
      <c r="G554" s="40"/>
      <c r="H554" s="40"/>
      <c r="I554" s="40"/>
      <c r="J554" s="40"/>
      <c r="K554" s="41"/>
      <c r="N554" s="12" t="s">
        <v>661</v>
      </c>
    </row>
    <row r="555" spans="2:14" x14ac:dyDescent="0.2">
      <c r="B555" s="38"/>
      <c r="C555" s="174" t="s">
        <v>662</v>
      </c>
      <c r="D555" s="40"/>
      <c r="E555" s="40"/>
      <c r="F555" s="40"/>
      <c r="G555" s="40"/>
      <c r="H555" s="40"/>
      <c r="I555" s="40"/>
      <c r="J555" s="265" t="s">
        <v>661</v>
      </c>
      <c r="K555" s="41"/>
      <c r="N555" s="12" t="s">
        <v>894</v>
      </c>
    </row>
    <row r="556" spans="2:14" x14ac:dyDescent="0.2">
      <c r="B556" s="38"/>
      <c r="C556" s="174" t="s">
        <v>660</v>
      </c>
      <c r="D556" s="40"/>
      <c r="E556" s="40"/>
      <c r="F556" s="40"/>
      <c r="G556" s="40"/>
      <c r="H556" s="40"/>
      <c r="I556" s="40"/>
      <c r="J556" s="247" t="str">
        <f>IF(J555=N554,"N/A",IF(J555=N555,0,IF(J555=N556,1,IF(J555=N557,2,IF(J555=N558,3,IF(J555=N559,4,"N/A"))))))</f>
        <v>N/A</v>
      </c>
      <c r="K556" s="41"/>
      <c r="N556" s="12" t="s">
        <v>899</v>
      </c>
    </row>
    <row r="557" spans="2:14" x14ac:dyDescent="0.2">
      <c r="B557" s="38"/>
      <c r="C557" s="40" t="s">
        <v>257</v>
      </c>
      <c r="D557" s="40"/>
      <c r="E557" s="40"/>
      <c r="F557" s="40"/>
      <c r="G557" s="40"/>
      <c r="H557" s="40"/>
      <c r="I557" s="40"/>
      <c r="J557" s="266" t="s">
        <v>874</v>
      </c>
      <c r="K557" s="41"/>
      <c r="N557" s="12" t="s">
        <v>900</v>
      </c>
    </row>
    <row r="558" spans="2:14" x14ac:dyDescent="0.2">
      <c r="B558" s="38"/>
      <c r="C558" s="40" t="s">
        <v>261</v>
      </c>
      <c r="D558" s="40"/>
      <c r="E558" s="40"/>
      <c r="F558" s="40"/>
      <c r="G558" s="40"/>
      <c r="H558" s="40"/>
      <c r="I558" s="40"/>
      <c r="J558" s="245">
        <f>IF(J557=$B$973,$A$973,IF(J557=$B$974,$A$974,IF(J557=$B$975,$A$975,IF(J557=$B$976,$A$976,IF(J557=$B$977,$A$977,"Not Calculated")))))</f>
        <v>4</v>
      </c>
      <c r="K558" s="41"/>
      <c r="N558" s="12" t="s">
        <v>901</v>
      </c>
    </row>
    <row r="559" spans="2:14" x14ac:dyDescent="0.2">
      <c r="B559" s="38"/>
      <c r="C559" s="40" t="s">
        <v>893</v>
      </c>
      <c r="D559" s="40"/>
      <c r="E559" s="40"/>
      <c r="F559" s="40"/>
      <c r="G559" s="40"/>
      <c r="H559" s="40"/>
      <c r="I559" s="40"/>
      <c r="J559" s="40"/>
      <c r="K559" s="41"/>
      <c r="N559" s="12" t="s">
        <v>902</v>
      </c>
    </row>
    <row r="560" spans="2:14" ht="115" customHeight="1" x14ac:dyDescent="0.2">
      <c r="B560" s="38"/>
      <c r="C560" s="399" t="s">
        <v>1258</v>
      </c>
      <c r="D560" s="400"/>
      <c r="E560" s="400"/>
      <c r="F560" s="400"/>
      <c r="G560" s="400"/>
      <c r="H560" s="400"/>
      <c r="I560" s="400"/>
      <c r="J560" s="401"/>
      <c r="K560" s="41"/>
    </row>
    <row r="561" spans="2:12" x14ac:dyDescent="0.2">
      <c r="B561" s="38"/>
      <c r="C561" s="40"/>
      <c r="D561" s="40"/>
      <c r="E561" s="40"/>
      <c r="F561" s="40"/>
      <c r="G561" s="40"/>
      <c r="H561" s="40"/>
      <c r="I561" s="40"/>
      <c r="J561" s="40"/>
      <c r="K561" s="41"/>
    </row>
    <row r="562" spans="2:12" x14ac:dyDescent="0.2">
      <c r="B562" s="38"/>
      <c r="C562" s="179" t="s">
        <v>323</v>
      </c>
      <c r="D562" s="40"/>
      <c r="E562" s="40"/>
      <c r="F562" s="40"/>
      <c r="G562" s="40"/>
      <c r="H562" s="40"/>
      <c r="I562" s="40"/>
      <c r="J562" s="245" t="str">
        <f>IF(J556="N/A",IF(OR(J549="Not Calculated",J558="Not Calculated")=TRUE,"Not Calculated",AVERAGE(J549,J558)),AVERAGE(J556,J558))</f>
        <v>Not Calculated</v>
      </c>
      <c r="K562" s="41"/>
    </row>
    <row r="563" spans="2:12" x14ac:dyDescent="0.2">
      <c r="B563" s="38"/>
      <c r="C563" s="40"/>
      <c r="D563" s="40"/>
      <c r="E563" s="40"/>
      <c r="F563" s="40"/>
      <c r="G563" s="40"/>
      <c r="H563" s="40"/>
      <c r="I563" s="40"/>
      <c r="J563" s="40"/>
      <c r="K563" s="41"/>
    </row>
    <row r="564" spans="2:12" x14ac:dyDescent="0.2">
      <c r="B564" s="38"/>
      <c r="C564" s="40"/>
      <c r="D564" s="40"/>
      <c r="E564" s="40"/>
      <c r="F564" s="40"/>
      <c r="G564" s="40"/>
      <c r="H564" s="40"/>
      <c r="I564" s="40"/>
      <c r="J564" s="40"/>
      <c r="K564" s="41"/>
    </row>
    <row r="565" spans="2:12" ht="16" x14ac:dyDescent="0.2">
      <c r="B565" s="38"/>
      <c r="C565" s="45" t="s">
        <v>89</v>
      </c>
      <c r="D565" s="40"/>
      <c r="E565" s="40"/>
      <c r="F565" s="40"/>
      <c r="G565" s="40"/>
      <c r="H565" s="40"/>
      <c r="I565" s="40"/>
      <c r="J565" s="40"/>
      <c r="K565" s="41"/>
    </row>
    <row r="566" spans="2:12" ht="15" customHeight="1" x14ac:dyDescent="0.2">
      <c r="B566" s="38"/>
      <c r="C566" s="380" t="s">
        <v>333</v>
      </c>
      <c r="D566" s="380"/>
      <c r="E566" s="380"/>
      <c r="F566" s="380"/>
      <c r="G566" s="380"/>
      <c r="H566" s="380"/>
      <c r="I566" s="380"/>
      <c r="J566" s="40"/>
      <c r="K566" s="41"/>
    </row>
    <row r="567" spans="2:12" x14ac:dyDescent="0.2">
      <c r="B567" s="38"/>
      <c r="C567" s="380"/>
      <c r="D567" s="380"/>
      <c r="E567" s="380"/>
      <c r="F567" s="380"/>
      <c r="G567" s="380"/>
      <c r="H567" s="380"/>
      <c r="I567" s="380"/>
      <c r="J567" s="40"/>
      <c r="K567" s="41"/>
    </row>
    <row r="568" spans="2:12" x14ac:dyDescent="0.2">
      <c r="B568" s="38"/>
      <c r="C568" s="380"/>
      <c r="D568" s="380"/>
      <c r="E568" s="380"/>
      <c r="F568" s="380"/>
      <c r="G568" s="380"/>
      <c r="H568" s="380"/>
      <c r="I568" s="380"/>
      <c r="J568" s="251">
        <f>'Baseline Health'!G132</f>
        <v>0</v>
      </c>
      <c r="K568" s="41"/>
    </row>
    <row r="569" spans="2:12" ht="15" customHeight="1" x14ac:dyDescent="0.2">
      <c r="B569" s="38"/>
      <c r="C569" s="380" t="s">
        <v>334</v>
      </c>
      <c r="D569" s="380"/>
      <c r="E569" s="380"/>
      <c r="F569" s="380"/>
      <c r="G569" s="380"/>
      <c r="H569" s="380"/>
      <c r="I569" s="380"/>
      <c r="J569" s="245"/>
      <c r="K569" s="41"/>
    </row>
    <row r="570" spans="2:12" x14ac:dyDescent="0.2">
      <c r="B570" s="38"/>
      <c r="C570" s="380"/>
      <c r="D570" s="380"/>
      <c r="E570" s="380"/>
      <c r="F570" s="380"/>
      <c r="G570" s="380"/>
      <c r="H570" s="380"/>
      <c r="I570" s="380"/>
      <c r="J570" s="245"/>
      <c r="K570" s="41"/>
    </row>
    <row r="571" spans="2:12" x14ac:dyDescent="0.2">
      <c r="B571" s="38"/>
      <c r="C571" s="380"/>
      <c r="D571" s="380"/>
      <c r="E571" s="380"/>
      <c r="F571" s="380"/>
      <c r="G571" s="380"/>
      <c r="H571" s="380"/>
      <c r="I571" s="380"/>
      <c r="J571" s="264">
        <v>180</v>
      </c>
      <c r="K571" s="41"/>
      <c r="L571" s="12" t="s">
        <v>1271</v>
      </c>
    </row>
    <row r="572" spans="2:12" x14ac:dyDescent="0.2">
      <c r="B572" s="38"/>
      <c r="C572" s="40" t="s">
        <v>260</v>
      </c>
      <c r="D572" s="40"/>
      <c r="E572" s="40"/>
      <c r="F572" s="40"/>
      <c r="G572" s="40"/>
      <c r="H572" s="40"/>
      <c r="I572" s="40"/>
      <c r="J572" s="245" t="str">
        <f>IF(OR(J568=0,J568="Not Calculated")=TRUE,"Not Calculated",IF(((J568+J571)/J568)&lt;=1,0,IF(((J568+J571)/J568)&lt;=1.05,1,IF(((J568+J571)/J568)&lt;=1.5, 2,IF(((J568+J571)/J568)&lt;=2,3,4)))))</f>
        <v>Not Calculated</v>
      </c>
      <c r="K572" s="41"/>
    </row>
    <row r="573" spans="2:12" ht="9.75" customHeight="1" x14ac:dyDescent="0.2">
      <c r="B573" s="38"/>
      <c r="C573" s="279" t="str">
        <f>"0:"</f>
        <v>0:</v>
      </c>
      <c r="D573" s="281" t="s">
        <v>918</v>
      </c>
      <c r="E573" s="291"/>
      <c r="F573" s="291"/>
      <c r="G573" s="291"/>
      <c r="H573" s="291"/>
      <c r="I573" s="291"/>
      <c r="J573" s="251"/>
      <c r="K573" s="41"/>
    </row>
    <row r="574" spans="2:12" ht="9.75" customHeight="1" x14ac:dyDescent="0.2">
      <c r="B574" s="38"/>
      <c r="C574" s="280" t="str">
        <f>"1:"</f>
        <v>1:</v>
      </c>
      <c r="D574" s="281" t="s">
        <v>919</v>
      </c>
      <c r="E574" s="291"/>
      <c r="F574" s="291"/>
      <c r="G574" s="291"/>
      <c r="H574" s="291"/>
      <c r="I574" s="291"/>
      <c r="J574" s="251"/>
      <c r="K574" s="41"/>
    </row>
    <row r="575" spans="2:12" ht="9.75" customHeight="1" x14ac:dyDescent="0.2">
      <c r="B575" s="38"/>
      <c r="C575" s="280" t="str">
        <f>"2:"</f>
        <v>2:</v>
      </c>
      <c r="D575" s="281" t="s">
        <v>920</v>
      </c>
      <c r="E575" s="291"/>
      <c r="F575" s="291"/>
      <c r="G575" s="291"/>
      <c r="H575" s="291"/>
      <c r="I575" s="291"/>
      <c r="J575" s="251"/>
      <c r="K575" s="41"/>
    </row>
    <row r="576" spans="2:12" ht="9.75" customHeight="1" x14ac:dyDescent="0.2">
      <c r="B576" s="38"/>
      <c r="C576" s="280" t="str">
        <f>"3:"</f>
        <v>3:</v>
      </c>
      <c r="D576" s="281" t="s">
        <v>921</v>
      </c>
      <c r="E576" s="291"/>
      <c r="F576" s="291"/>
      <c r="G576" s="291"/>
      <c r="H576" s="291"/>
      <c r="I576" s="291"/>
      <c r="J576" s="251"/>
      <c r="K576" s="41"/>
    </row>
    <row r="577" spans="2:14" ht="9.75" customHeight="1" x14ac:dyDescent="0.2">
      <c r="B577" s="38"/>
      <c r="C577" s="280" t="str">
        <f>"4:"</f>
        <v>4:</v>
      </c>
      <c r="D577" s="281" t="s">
        <v>922</v>
      </c>
      <c r="E577" s="40"/>
      <c r="F577" s="40"/>
      <c r="G577" s="40"/>
      <c r="H577" s="40"/>
      <c r="I577" s="40"/>
      <c r="J577" s="40"/>
      <c r="K577" s="41"/>
      <c r="N577" s="12" t="s">
        <v>661</v>
      </c>
    </row>
    <row r="578" spans="2:14" ht="15" customHeight="1" x14ac:dyDescent="0.2">
      <c r="B578" s="38"/>
      <c r="C578" s="174" t="s">
        <v>662</v>
      </c>
      <c r="D578" s="40"/>
      <c r="E578" s="40"/>
      <c r="F578" s="40"/>
      <c r="G578" s="40"/>
      <c r="H578" s="40"/>
      <c r="I578" s="40"/>
      <c r="J578" s="265" t="s">
        <v>661</v>
      </c>
      <c r="K578" s="41"/>
      <c r="N578" s="12" t="s">
        <v>894</v>
      </c>
    </row>
    <row r="579" spans="2:14" ht="15" customHeight="1" x14ac:dyDescent="0.2">
      <c r="B579" s="38"/>
      <c r="C579" s="174" t="s">
        <v>660</v>
      </c>
      <c r="D579" s="40"/>
      <c r="E579" s="40"/>
      <c r="F579" s="40"/>
      <c r="G579" s="40"/>
      <c r="H579" s="40"/>
      <c r="I579" s="40"/>
      <c r="J579" s="247" t="str">
        <f>IF(J578=N577,"N/A",IF(J578=N578,0,IF(J578=N579,1,IF(J578=N580,2,IF(J578=N581,3,IF(J578=N582,4,"N/A"))))))</f>
        <v>N/A</v>
      </c>
      <c r="K579" s="41"/>
      <c r="N579" s="12" t="s">
        <v>895</v>
      </c>
    </row>
    <row r="580" spans="2:14" x14ac:dyDescent="0.2">
      <c r="B580" s="38"/>
      <c r="C580" s="40" t="s">
        <v>257</v>
      </c>
      <c r="D580" s="40"/>
      <c r="E580" s="40"/>
      <c r="F580" s="40"/>
      <c r="G580" s="40"/>
      <c r="H580" s="40"/>
      <c r="I580" s="40"/>
      <c r="J580" s="266" t="s">
        <v>874</v>
      </c>
      <c r="K580" s="41"/>
      <c r="N580" s="12" t="s">
        <v>896</v>
      </c>
    </row>
    <row r="581" spans="2:14" x14ac:dyDescent="0.2">
      <c r="B581" s="38"/>
      <c r="C581" s="40" t="s">
        <v>261</v>
      </c>
      <c r="D581" s="40"/>
      <c r="E581" s="40"/>
      <c r="F581" s="40"/>
      <c r="G581" s="40"/>
      <c r="H581" s="40"/>
      <c r="I581" s="40"/>
      <c r="J581" s="245">
        <f>IF(J580=$B$973,$A$973,IF(J580=$B$974,$A$974,IF(J580=$B$975,$A$975,IF(J580=$B$976,$A$976,IF(J580=$B$977,$A$977,"Not Calculated")))))</f>
        <v>4</v>
      </c>
      <c r="K581" s="41"/>
      <c r="N581" s="12" t="s">
        <v>897</v>
      </c>
    </row>
    <row r="582" spans="2:14" x14ac:dyDescent="0.2">
      <c r="B582" s="38"/>
      <c r="C582" s="40" t="s">
        <v>893</v>
      </c>
      <c r="D582" s="40"/>
      <c r="E582" s="40"/>
      <c r="F582" s="40"/>
      <c r="G582" s="40"/>
      <c r="H582" s="40"/>
      <c r="I582" s="40"/>
      <c r="J582" s="40"/>
      <c r="K582" s="41"/>
      <c r="N582" s="12" t="s">
        <v>898</v>
      </c>
    </row>
    <row r="583" spans="2:14" ht="100" customHeight="1" x14ac:dyDescent="0.2">
      <c r="B583" s="38"/>
      <c r="C583" s="399" t="s">
        <v>1259</v>
      </c>
      <c r="D583" s="400"/>
      <c r="E583" s="400"/>
      <c r="F583" s="400"/>
      <c r="G583" s="400"/>
      <c r="H583" s="400"/>
      <c r="I583" s="400"/>
      <c r="J583" s="401"/>
      <c r="K583" s="41"/>
    </row>
    <row r="584" spans="2:14" x14ac:dyDescent="0.2">
      <c r="B584" s="38"/>
      <c r="C584" s="40"/>
      <c r="D584" s="40"/>
      <c r="E584" s="40"/>
      <c r="F584" s="40"/>
      <c r="G584" s="40"/>
      <c r="H584" s="40"/>
      <c r="I584" s="40"/>
      <c r="J584" s="40"/>
      <c r="K584" s="41"/>
    </row>
    <row r="585" spans="2:14" x14ac:dyDescent="0.2">
      <c r="B585" s="38"/>
      <c r="C585" s="179" t="s">
        <v>324</v>
      </c>
      <c r="D585" s="40"/>
      <c r="E585" s="40"/>
      <c r="F585" s="40"/>
      <c r="G585" s="40"/>
      <c r="H585" s="40"/>
      <c r="I585" s="40"/>
      <c r="J585" s="245" t="str">
        <f>IF(J579="N/A",IF(OR(J572="Not Calculated",J581="Not Calculated")=TRUE,"Not Calculated",AVERAGE(J572,J581)),AVERAGE(J579,J581))</f>
        <v>Not Calculated</v>
      </c>
      <c r="K585" s="41"/>
    </row>
    <row r="586" spans="2:14" x14ac:dyDescent="0.2">
      <c r="B586" s="38"/>
      <c r="C586" s="40"/>
      <c r="D586" s="40"/>
      <c r="E586" s="40"/>
      <c r="F586" s="40"/>
      <c r="G586" s="40"/>
      <c r="H586" s="40"/>
      <c r="I586" s="40"/>
      <c r="J586" s="40"/>
      <c r="K586" s="41"/>
    </row>
    <row r="587" spans="2:14" x14ac:dyDescent="0.2">
      <c r="B587" s="38"/>
      <c r="C587" s="40"/>
      <c r="D587" s="40"/>
      <c r="E587" s="40"/>
      <c r="F587" s="40"/>
      <c r="G587" s="40"/>
      <c r="H587" s="40"/>
      <c r="I587" s="40"/>
      <c r="J587" s="40"/>
      <c r="K587" s="41"/>
    </row>
    <row r="588" spans="2:14" ht="16" x14ac:dyDescent="0.2">
      <c r="B588" s="38"/>
      <c r="C588" s="45" t="s">
        <v>115</v>
      </c>
      <c r="D588" s="40"/>
      <c r="E588" s="40"/>
      <c r="F588" s="40"/>
      <c r="G588" s="40"/>
      <c r="H588" s="40"/>
      <c r="I588" s="40"/>
      <c r="J588" s="40"/>
      <c r="K588" s="41"/>
    </row>
    <row r="589" spans="2:14" x14ac:dyDescent="0.2">
      <c r="B589" s="38"/>
      <c r="C589" s="40" t="s">
        <v>335</v>
      </c>
      <c r="D589" s="40"/>
      <c r="E589" s="40"/>
      <c r="F589" s="40"/>
      <c r="G589" s="40"/>
      <c r="H589" s="40"/>
      <c r="I589" s="40"/>
      <c r="J589" s="264">
        <v>0</v>
      </c>
      <c r="K589" s="41"/>
    </row>
    <row r="590" spans="2:14" x14ac:dyDescent="0.2">
      <c r="B590" s="38"/>
      <c r="C590" s="40" t="s">
        <v>260</v>
      </c>
      <c r="D590" s="40"/>
      <c r="E590" s="40"/>
      <c r="F590" s="40"/>
      <c r="G590" s="40"/>
      <c r="H590" s="40"/>
      <c r="I590" s="40"/>
      <c r="J590" s="255">
        <f>IF(J589&lt;=0,0,IF(J589&lt;=1000,1,IF(J589&lt;=5000,2,IF(J589&lt;=25000,3,4))))</f>
        <v>0</v>
      </c>
      <c r="K590" s="41"/>
    </row>
    <row r="591" spans="2:14" ht="9.75" customHeight="1" x14ac:dyDescent="0.2">
      <c r="B591" s="38"/>
      <c r="C591" s="279" t="str">
        <f>"0:"</f>
        <v>0:</v>
      </c>
      <c r="D591" s="284" t="s">
        <v>970</v>
      </c>
      <c r="E591" s="40"/>
      <c r="F591" s="40"/>
      <c r="G591" s="40"/>
      <c r="H591" s="40"/>
      <c r="I591" s="40"/>
      <c r="J591" s="251"/>
      <c r="K591" s="41"/>
    </row>
    <row r="592" spans="2:14" ht="9.75" customHeight="1" x14ac:dyDescent="0.2">
      <c r="B592" s="38"/>
      <c r="C592" s="280" t="str">
        <f>"1:"</f>
        <v>1:</v>
      </c>
      <c r="D592" s="284" t="s">
        <v>961</v>
      </c>
      <c r="E592" s="40"/>
      <c r="F592" s="40"/>
      <c r="G592" s="40"/>
      <c r="H592" s="40"/>
      <c r="I592" s="40"/>
      <c r="J592" s="251"/>
      <c r="K592" s="41"/>
    </row>
    <row r="593" spans="2:11" ht="9.75" customHeight="1" x14ac:dyDescent="0.2">
      <c r="B593" s="38"/>
      <c r="C593" s="280" t="str">
        <f>"2:"</f>
        <v>2:</v>
      </c>
      <c r="D593" s="284" t="s">
        <v>971</v>
      </c>
      <c r="E593" s="40"/>
      <c r="F593" s="40"/>
      <c r="G593" s="40"/>
      <c r="H593" s="40"/>
      <c r="I593" s="40"/>
      <c r="J593" s="251"/>
      <c r="K593" s="41"/>
    </row>
    <row r="594" spans="2:11" ht="9.75" customHeight="1" x14ac:dyDescent="0.2">
      <c r="B594" s="38"/>
      <c r="C594" s="280" t="str">
        <f>"3:"</f>
        <v>3:</v>
      </c>
      <c r="D594" s="284" t="s">
        <v>963</v>
      </c>
      <c r="E594" s="40"/>
      <c r="F594" s="40"/>
      <c r="G594" s="40"/>
      <c r="H594" s="40"/>
      <c r="I594" s="40"/>
      <c r="J594" s="251"/>
      <c r="K594" s="41"/>
    </row>
    <row r="595" spans="2:11" ht="9.75" customHeight="1" x14ac:dyDescent="0.2">
      <c r="B595" s="38"/>
      <c r="C595" s="280" t="str">
        <f>"4:"</f>
        <v>4:</v>
      </c>
      <c r="D595" s="284" t="s">
        <v>964</v>
      </c>
      <c r="E595" s="40"/>
      <c r="F595" s="40"/>
      <c r="G595" s="40"/>
      <c r="H595" s="40"/>
      <c r="I595" s="40"/>
      <c r="J595" s="40"/>
      <c r="K595" s="41"/>
    </row>
    <row r="596" spans="2:11" ht="15" customHeight="1" x14ac:dyDescent="0.2">
      <c r="B596" s="38"/>
      <c r="C596" s="40" t="s">
        <v>257</v>
      </c>
      <c r="D596" s="40"/>
      <c r="E596" s="40"/>
      <c r="F596" s="40"/>
      <c r="G596" s="40"/>
      <c r="H596" s="40"/>
      <c r="I596" s="40"/>
      <c r="J596" s="266" t="s">
        <v>870</v>
      </c>
      <c r="K596" s="41"/>
    </row>
    <row r="597" spans="2:11" ht="15" customHeight="1" x14ac:dyDescent="0.2">
      <c r="B597" s="38"/>
      <c r="C597" s="40" t="s">
        <v>261</v>
      </c>
      <c r="D597" s="40"/>
      <c r="E597" s="40"/>
      <c r="F597" s="40"/>
      <c r="G597" s="40"/>
      <c r="H597" s="40"/>
      <c r="I597" s="40"/>
      <c r="J597" s="245">
        <f>IF(J596=$B$973,$A$973,IF(J596=$B$974,$A$974,IF(J596=$B$975,$A$975,IF(J596=$B$976,$A$976,IF(J596=$B$977,$A$977,"Not Calculated")))))</f>
        <v>0</v>
      </c>
      <c r="K597" s="41"/>
    </row>
    <row r="598" spans="2:11" x14ac:dyDescent="0.2">
      <c r="B598" s="38"/>
      <c r="C598" s="40" t="s">
        <v>893</v>
      </c>
      <c r="D598" s="40"/>
      <c r="E598" s="40"/>
      <c r="F598" s="40"/>
      <c r="G598" s="40"/>
      <c r="H598" s="40"/>
      <c r="I598" s="40"/>
      <c r="J598" s="40"/>
      <c r="K598" s="41"/>
    </row>
    <row r="599" spans="2:11" ht="30" customHeight="1" x14ac:dyDescent="0.2">
      <c r="B599" s="38"/>
      <c r="C599" s="399"/>
      <c r="D599" s="400"/>
      <c r="E599" s="400"/>
      <c r="F599" s="400"/>
      <c r="G599" s="400"/>
      <c r="H599" s="400"/>
      <c r="I599" s="400"/>
      <c r="J599" s="401"/>
      <c r="K599" s="41"/>
    </row>
    <row r="600" spans="2:11" x14ac:dyDescent="0.2">
      <c r="B600" s="38"/>
      <c r="C600" s="40"/>
      <c r="D600" s="40"/>
      <c r="E600" s="40"/>
      <c r="F600" s="40"/>
      <c r="G600" s="40"/>
      <c r="H600" s="40"/>
      <c r="I600" s="40"/>
      <c r="J600" s="40"/>
      <c r="K600" s="41"/>
    </row>
    <row r="601" spans="2:11" x14ac:dyDescent="0.2">
      <c r="B601" s="38"/>
      <c r="C601" s="179" t="s">
        <v>325</v>
      </c>
      <c r="D601" s="40"/>
      <c r="E601" s="40"/>
      <c r="F601" s="40"/>
      <c r="G601" s="40"/>
      <c r="H601" s="40"/>
      <c r="I601" s="40"/>
      <c r="J601" s="245">
        <f>IF(J590="Not Calculated","Not Calculated",AVERAGE(J590,J597))</f>
        <v>0</v>
      </c>
      <c r="K601" s="41"/>
    </row>
    <row r="602" spans="2:11" x14ac:dyDescent="0.2">
      <c r="B602" s="38"/>
      <c r="C602" s="40"/>
      <c r="D602" s="40"/>
      <c r="E602" s="40"/>
      <c r="F602" s="40"/>
      <c r="G602" s="40"/>
      <c r="H602" s="40"/>
      <c r="I602" s="40"/>
      <c r="J602" s="40"/>
      <c r="K602" s="41"/>
    </row>
    <row r="603" spans="2:11" x14ac:dyDescent="0.2">
      <c r="B603" s="38"/>
      <c r="C603" s="40"/>
      <c r="D603" s="40"/>
      <c r="E603" s="40"/>
      <c r="F603" s="40"/>
      <c r="G603" s="40"/>
      <c r="H603" s="40"/>
      <c r="I603" s="40"/>
      <c r="J603" s="40"/>
      <c r="K603" s="41"/>
    </row>
    <row r="604" spans="2:11" ht="16" x14ac:dyDescent="0.2">
      <c r="B604" s="38"/>
      <c r="C604" s="45" t="s">
        <v>326</v>
      </c>
      <c r="D604" s="40"/>
      <c r="E604" s="40"/>
      <c r="F604" s="40"/>
      <c r="G604" s="40"/>
      <c r="H604" s="40"/>
      <c r="I604" s="40"/>
      <c r="J604" s="40"/>
      <c r="K604" s="41"/>
    </row>
    <row r="605" spans="2:11" x14ac:dyDescent="0.2">
      <c r="B605" s="38"/>
      <c r="C605" s="40" t="s">
        <v>336</v>
      </c>
      <c r="D605" s="40"/>
      <c r="E605" s="40"/>
      <c r="F605" s="40"/>
      <c r="G605" s="40"/>
      <c r="H605" s="40"/>
      <c r="I605" s="40"/>
      <c r="J605" s="271">
        <f>'Baseline Health'!$G$6*0.00009376</f>
        <v>0</v>
      </c>
      <c r="K605" s="41"/>
    </row>
    <row r="606" spans="2:11" x14ac:dyDescent="0.2">
      <c r="B606" s="38"/>
      <c r="C606" s="40" t="s">
        <v>260</v>
      </c>
      <c r="D606" s="40"/>
      <c r="E606" s="40"/>
      <c r="F606" s="40"/>
      <c r="G606" s="40"/>
      <c r="H606" s="40"/>
      <c r="I606" s="40"/>
      <c r="J606" s="248">
        <f>IF(J605&lt;=0,0,IF(J605&lt;=10,1,IF(J605&lt;=25,2,IF(J605&lt;=50,3,4))))</f>
        <v>0</v>
      </c>
      <c r="K606" s="41"/>
    </row>
    <row r="607" spans="2:11" ht="9.75" customHeight="1" x14ac:dyDescent="0.2">
      <c r="B607" s="38"/>
      <c r="C607" s="279" t="str">
        <f>"0:"</f>
        <v>0:</v>
      </c>
      <c r="D607" s="290" t="s">
        <v>944</v>
      </c>
      <c r="E607" s="40"/>
      <c r="F607" s="40"/>
      <c r="G607" s="40"/>
      <c r="H607" s="40"/>
      <c r="I607" s="40"/>
      <c r="J607" s="244"/>
      <c r="K607" s="41"/>
    </row>
    <row r="608" spans="2:11" ht="9.75" customHeight="1" x14ac:dyDescent="0.2">
      <c r="B608" s="38"/>
      <c r="C608" s="280" t="str">
        <f>"1:"</f>
        <v>1:</v>
      </c>
      <c r="D608" s="290" t="s">
        <v>947</v>
      </c>
      <c r="E608" s="40"/>
      <c r="F608" s="40"/>
      <c r="G608" s="40"/>
      <c r="H608" s="40"/>
      <c r="I608" s="40"/>
      <c r="J608" s="244"/>
      <c r="K608" s="41"/>
    </row>
    <row r="609" spans="2:12" ht="9.75" customHeight="1" x14ac:dyDescent="0.2">
      <c r="B609" s="38"/>
      <c r="C609" s="280" t="str">
        <f>"2:"</f>
        <v>2:</v>
      </c>
      <c r="D609" s="290" t="s">
        <v>972</v>
      </c>
      <c r="E609" s="40"/>
      <c r="F609" s="40"/>
      <c r="G609" s="40"/>
      <c r="H609" s="40"/>
      <c r="I609" s="40"/>
      <c r="J609" s="244"/>
      <c r="K609" s="41"/>
    </row>
    <row r="610" spans="2:12" ht="9.75" customHeight="1" x14ac:dyDescent="0.2">
      <c r="B610" s="38"/>
      <c r="C610" s="280" t="str">
        <f>"3:"</f>
        <v>3:</v>
      </c>
      <c r="D610" s="290" t="s">
        <v>973</v>
      </c>
      <c r="E610" s="40"/>
      <c r="F610" s="40"/>
      <c r="G610" s="40"/>
      <c r="H610" s="40"/>
      <c r="I610" s="40"/>
      <c r="J610" s="244"/>
      <c r="K610" s="41"/>
    </row>
    <row r="611" spans="2:12" ht="9.75" customHeight="1" x14ac:dyDescent="0.2">
      <c r="B611" s="38"/>
      <c r="C611" s="280" t="str">
        <f>"4:"</f>
        <v>4:</v>
      </c>
      <c r="D611" s="290" t="s">
        <v>974</v>
      </c>
      <c r="E611" s="40"/>
      <c r="F611" s="40"/>
      <c r="G611" s="40"/>
      <c r="H611" s="40"/>
      <c r="I611" s="40"/>
      <c r="J611" s="40"/>
      <c r="K611" s="41"/>
    </row>
    <row r="612" spans="2:12" x14ac:dyDescent="0.2">
      <c r="B612" s="38"/>
      <c r="C612" s="40" t="s">
        <v>893</v>
      </c>
      <c r="D612" s="40"/>
      <c r="E612" s="40"/>
      <c r="F612" s="40"/>
      <c r="G612" s="40"/>
      <c r="H612" s="40"/>
      <c r="I612" s="40"/>
      <c r="J612" s="40"/>
      <c r="K612" s="41"/>
    </row>
    <row r="613" spans="2:12" ht="90" customHeight="1" x14ac:dyDescent="0.2">
      <c r="B613" s="38"/>
      <c r="C613" s="399" t="s">
        <v>1272</v>
      </c>
      <c r="D613" s="400"/>
      <c r="E613" s="400"/>
      <c r="F613" s="400"/>
      <c r="G613" s="400"/>
      <c r="H613" s="400"/>
      <c r="I613" s="400"/>
      <c r="J613" s="401"/>
      <c r="K613" s="41"/>
      <c r="L613" s="12" t="s">
        <v>1100</v>
      </c>
    </row>
    <row r="614" spans="2:12" x14ac:dyDescent="0.2">
      <c r="B614" s="38"/>
      <c r="C614" s="40"/>
      <c r="D614" s="40"/>
      <c r="E614" s="40"/>
      <c r="F614" s="40"/>
      <c r="G614" s="40"/>
      <c r="H614" s="40"/>
      <c r="I614" s="40"/>
      <c r="J614" s="40"/>
      <c r="K614" s="41"/>
    </row>
    <row r="615" spans="2:12" x14ac:dyDescent="0.2">
      <c r="B615" s="38"/>
      <c r="C615" s="179" t="s">
        <v>327</v>
      </c>
      <c r="D615" s="40"/>
      <c r="E615" s="40"/>
      <c r="F615" s="40"/>
      <c r="G615" s="40"/>
      <c r="H615" s="40"/>
      <c r="I615" s="40"/>
      <c r="J615" s="245">
        <f>J606</f>
        <v>0</v>
      </c>
      <c r="K615" s="41"/>
    </row>
    <row r="616" spans="2:12" x14ac:dyDescent="0.2">
      <c r="B616" s="38"/>
      <c r="C616" s="40"/>
      <c r="D616" s="40"/>
      <c r="E616" s="40"/>
      <c r="F616" s="40"/>
      <c r="G616" s="40"/>
      <c r="H616" s="40"/>
      <c r="I616" s="40"/>
      <c r="J616" s="40"/>
      <c r="K616" s="41"/>
    </row>
    <row r="617" spans="2:12" x14ac:dyDescent="0.2">
      <c r="B617" s="38"/>
      <c r="C617" s="40"/>
      <c r="D617" s="40"/>
      <c r="E617" s="40"/>
      <c r="F617" s="40"/>
      <c r="G617" s="40"/>
      <c r="H617" s="40"/>
      <c r="I617" s="40"/>
      <c r="J617" s="40"/>
      <c r="K617" s="41"/>
    </row>
    <row r="618" spans="2:12" ht="16" x14ac:dyDescent="0.2">
      <c r="B618" s="38"/>
      <c r="C618" s="45" t="s">
        <v>92</v>
      </c>
      <c r="D618" s="40"/>
      <c r="E618" s="40"/>
      <c r="F618" s="40"/>
      <c r="G618" s="40"/>
      <c r="H618" s="40"/>
      <c r="I618" s="40"/>
      <c r="J618" s="40"/>
      <c r="K618" s="41"/>
    </row>
    <row r="619" spans="2:12" x14ac:dyDescent="0.2">
      <c r="B619" s="38"/>
      <c r="C619" s="40" t="s">
        <v>337</v>
      </c>
      <c r="D619" s="40"/>
      <c r="E619" s="40"/>
      <c r="F619" s="40"/>
      <c r="G619" s="40"/>
      <c r="H619" s="40"/>
      <c r="I619" s="40"/>
      <c r="J619" s="251">
        <f>'Baseline Health'!G137</f>
        <v>1</v>
      </c>
      <c r="K619" s="41"/>
    </row>
    <row r="620" spans="2:12" ht="15" customHeight="1" x14ac:dyDescent="0.2">
      <c r="B620" s="38"/>
      <c r="C620" s="380" t="s">
        <v>338</v>
      </c>
      <c r="D620" s="380"/>
      <c r="E620" s="380"/>
      <c r="F620" s="380"/>
      <c r="G620" s="380"/>
      <c r="H620" s="380"/>
      <c r="I620" s="380"/>
      <c r="J620" s="251"/>
      <c r="K620" s="41"/>
    </row>
    <row r="621" spans="2:12" x14ac:dyDescent="0.2">
      <c r="B621" s="38"/>
      <c r="C621" s="380"/>
      <c r="D621" s="380"/>
      <c r="E621" s="380"/>
      <c r="F621" s="380"/>
      <c r="G621" s="380"/>
      <c r="H621" s="380"/>
      <c r="I621" s="380"/>
      <c r="J621" s="264">
        <f>'Baseline Health'!$G$6*0.00003751</f>
        <v>0</v>
      </c>
      <c r="K621" s="41"/>
      <c r="L621" s="12" t="s">
        <v>1100</v>
      </c>
    </row>
    <row r="622" spans="2:12" x14ac:dyDescent="0.2">
      <c r="B622" s="38"/>
      <c r="C622" s="40" t="s">
        <v>260</v>
      </c>
      <c r="D622" s="40"/>
      <c r="E622" s="40"/>
      <c r="F622" s="40"/>
      <c r="G622" s="40"/>
      <c r="H622" s="40"/>
      <c r="I622" s="40"/>
      <c r="J622" s="245">
        <f>IF(OR(J619=0,J619="Not Calculated")=TRUE,"Not Calculated",IF(((J619+J621)/J619)&lt;=1,0,IF(((J619+J621)/J619)&lt;=1.05,1,IF(((J619+J621)/J619)&lt;=1.5, 2,IF(((J619+J621)/J619)&lt;=2,3,4)))))</f>
        <v>0</v>
      </c>
      <c r="K622" s="41"/>
    </row>
    <row r="623" spans="2:12" ht="9.75" customHeight="1" x14ac:dyDescent="0.2">
      <c r="B623" s="38"/>
      <c r="C623" s="279" t="str">
        <f>"0:"</f>
        <v>0:</v>
      </c>
      <c r="D623" s="281" t="s">
        <v>918</v>
      </c>
      <c r="E623" s="291"/>
      <c r="F623" s="291"/>
      <c r="G623" s="291"/>
      <c r="H623" s="291"/>
      <c r="I623" s="291"/>
      <c r="J623" s="251"/>
      <c r="K623" s="41"/>
    </row>
    <row r="624" spans="2:12" ht="9.75" customHeight="1" x14ac:dyDescent="0.2">
      <c r="B624" s="38"/>
      <c r="C624" s="280" t="str">
        <f>"1:"</f>
        <v>1:</v>
      </c>
      <c r="D624" s="281" t="s">
        <v>919</v>
      </c>
      <c r="E624" s="291"/>
      <c r="F624" s="291"/>
      <c r="G624" s="291"/>
      <c r="H624" s="291"/>
      <c r="I624" s="291"/>
      <c r="J624" s="251"/>
      <c r="K624" s="41"/>
    </row>
    <row r="625" spans="2:14" ht="9.75" customHeight="1" x14ac:dyDescent="0.2">
      <c r="B625" s="38"/>
      <c r="C625" s="280" t="str">
        <f>"2:"</f>
        <v>2:</v>
      </c>
      <c r="D625" s="281" t="s">
        <v>920</v>
      </c>
      <c r="E625" s="291"/>
      <c r="F625" s="291"/>
      <c r="G625" s="291"/>
      <c r="H625" s="291"/>
      <c r="I625" s="291"/>
      <c r="J625" s="251"/>
      <c r="K625" s="41"/>
    </row>
    <row r="626" spans="2:14" ht="9.75" customHeight="1" x14ac:dyDescent="0.2">
      <c r="B626" s="38"/>
      <c r="C626" s="280" t="str">
        <f>"3:"</f>
        <v>3:</v>
      </c>
      <c r="D626" s="281" t="s">
        <v>921</v>
      </c>
      <c r="E626" s="291"/>
      <c r="F626" s="291"/>
      <c r="G626" s="291"/>
      <c r="H626" s="291"/>
      <c r="I626" s="291"/>
      <c r="J626" s="251"/>
      <c r="K626" s="41"/>
    </row>
    <row r="627" spans="2:14" ht="9.75" customHeight="1" x14ac:dyDescent="0.2">
      <c r="B627" s="38"/>
      <c r="C627" s="280" t="str">
        <f>"4:"</f>
        <v>4:</v>
      </c>
      <c r="D627" s="281" t="s">
        <v>922</v>
      </c>
      <c r="E627" s="40"/>
      <c r="F627" s="40"/>
      <c r="G627" s="40"/>
      <c r="H627" s="40"/>
      <c r="I627" s="40"/>
      <c r="J627" s="40"/>
      <c r="K627" s="41"/>
      <c r="N627" s="12" t="s">
        <v>661</v>
      </c>
    </row>
    <row r="628" spans="2:14" x14ac:dyDescent="0.2">
      <c r="B628" s="38"/>
      <c r="C628" s="174" t="s">
        <v>662</v>
      </c>
      <c r="D628" s="40"/>
      <c r="E628" s="40"/>
      <c r="F628" s="40"/>
      <c r="G628" s="40"/>
      <c r="H628" s="40"/>
      <c r="I628" s="40"/>
      <c r="J628" s="265" t="s">
        <v>661</v>
      </c>
      <c r="K628" s="41"/>
      <c r="N628" s="12" t="s">
        <v>894</v>
      </c>
    </row>
    <row r="629" spans="2:14" x14ac:dyDescent="0.2">
      <c r="B629" s="38"/>
      <c r="C629" s="174" t="s">
        <v>660</v>
      </c>
      <c r="D629" s="40"/>
      <c r="E629" s="40"/>
      <c r="F629" s="40"/>
      <c r="G629" s="40"/>
      <c r="H629" s="40"/>
      <c r="I629" s="40"/>
      <c r="J629" s="247" t="str">
        <f>IF(J628=N627,"N/A",IF(J628=N628,0,IF(J628=N629,1,IF(J628=N630,2,IF(J628=N631,3,IF(J628=N632,4,"N/A"))))))</f>
        <v>N/A</v>
      </c>
      <c r="K629" s="41"/>
      <c r="N629" s="12" t="s">
        <v>895</v>
      </c>
    </row>
    <row r="630" spans="2:14" x14ac:dyDescent="0.2">
      <c r="B630" s="38"/>
      <c r="C630" s="40" t="s">
        <v>257</v>
      </c>
      <c r="D630" s="40"/>
      <c r="E630" s="40"/>
      <c r="F630" s="40"/>
      <c r="G630" s="40"/>
      <c r="H630" s="40"/>
      <c r="I630" s="40"/>
      <c r="J630" s="266" t="s">
        <v>874</v>
      </c>
      <c r="K630" s="41"/>
      <c r="N630" s="12" t="s">
        <v>896</v>
      </c>
    </row>
    <row r="631" spans="2:14" x14ac:dyDescent="0.2">
      <c r="B631" s="38"/>
      <c r="C631" s="40" t="s">
        <v>261</v>
      </c>
      <c r="D631" s="40"/>
      <c r="E631" s="40"/>
      <c r="F631" s="40"/>
      <c r="G631" s="40"/>
      <c r="H631" s="40"/>
      <c r="I631" s="40"/>
      <c r="J631" s="245">
        <f>IF(J630=$B$973,$A$973,IF(J630=$B$974,$A$974,IF(J630=$B$975,$A$975,IF(J630=$B$976,$A$976,IF(J630=$B$977,$A$977,"Not Calculated")))))</f>
        <v>4</v>
      </c>
      <c r="K631" s="41"/>
      <c r="N631" s="12" t="s">
        <v>897</v>
      </c>
    </row>
    <row r="632" spans="2:14" x14ac:dyDescent="0.2">
      <c r="B632" s="38"/>
      <c r="C632" s="40" t="s">
        <v>893</v>
      </c>
      <c r="D632" s="40"/>
      <c r="E632" s="40"/>
      <c r="F632" s="40"/>
      <c r="G632" s="40"/>
      <c r="H632" s="40"/>
      <c r="I632" s="40"/>
      <c r="J632" s="40"/>
      <c r="K632" s="41"/>
      <c r="N632" s="12" t="s">
        <v>898</v>
      </c>
    </row>
    <row r="633" spans="2:14" ht="120" customHeight="1" x14ac:dyDescent="0.2">
      <c r="B633" s="38"/>
      <c r="C633" s="399" t="s">
        <v>1273</v>
      </c>
      <c r="D633" s="400"/>
      <c r="E633" s="400"/>
      <c r="F633" s="400"/>
      <c r="G633" s="400"/>
      <c r="H633" s="400"/>
      <c r="I633" s="400"/>
      <c r="J633" s="401"/>
      <c r="K633" s="41"/>
    </row>
    <row r="634" spans="2:14" x14ac:dyDescent="0.2">
      <c r="B634" s="38"/>
      <c r="C634" s="40"/>
      <c r="D634" s="40"/>
      <c r="E634" s="40"/>
      <c r="F634" s="40"/>
      <c r="G634" s="40"/>
      <c r="H634" s="40"/>
      <c r="I634" s="40"/>
      <c r="J634" s="40"/>
      <c r="K634" s="41"/>
    </row>
    <row r="635" spans="2:14" x14ac:dyDescent="0.2">
      <c r="B635" s="38"/>
      <c r="C635" s="179" t="s">
        <v>328</v>
      </c>
      <c r="D635" s="40"/>
      <c r="E635" s="40"/>
      <c r="F635" s="40"/>
      <c r="G635" s="40"/>
      <c r="H635" s="40"/>
      <c r="I635" s="40"/>
      <c r="J635" s="245">
        <f>IF(J629="N/A",IF(OR(J622="Not Calculated",J631="Not Calculated")=TRUE,"Not Calculated",AVERAGE(J622,J631)),AVERAGE(J629,J631))</f>
        <v>2</v>
      </c>
      <c r="K635" s="41"/>
    </row>
    <row r="636" spans="2:14" x14ac:dyDescent="0.2">
      <c r="B636" s="38"/>
      <c r="C636" s="40"/>
      <c r="D636" s="40"/>
      <c r="E636" s="40"/>
      <c r="F636" s="40"/>
      <c r="G636" s="40"/>
      <c r="H636" s="40"/>
      <c r="I636" s="40"/>
      <c r="J636" s="40"/>
      <c r="K636" s="41"/>
    </row>
    <row r="637" spans="2:14" x14ac:dyDescent="0.2">
      <c r="B637" s="38"/>
      <c r="C637" s="40"/>
      <c r="D637" s="40"/>
      <c r="E637" s="40"/>
      <c r="F637" s="40"/>
      <c r="G637" s="40"/>
      <c r="H637" s="40"/>
      <c r="I637" s="40"/>
      <c r="J637" s="40"/>
      <c r="K637" s="41"/>
    </row>
    <row r="638" spans="2:14" ht="16" x14ac:dyDescent="0.2">
      <c r="B638" s="38"/>
      <c r="C638" s="45" t="s">
        <v>329</v>
      </c>
      <c r="D638" s="40"/>
      <c r="E638" s="40"/>
      <c r="F638" s="40"/>
      <c r="G638" s="40"/>
      <c r="H638" s="40"/>
      <c r="I638" s="40"/>
      <c r="J638" s="40"/>
      <c r="K638" s="41"/>
    </row>
    <row r="639" spans="2:14" ht="15" customHeight="1" x14ac:dyDescent="0.2">
      <c r="B639" s="38"/>
      <c r="C639" s="380" t="s">
        <v>339</v>
      </c>
      <c r="D639" s="380"/>
      <c r="E639" s="380"/>
      <c r="F639" s="380"/>
      <c r="G639" s="380"/>
      <c r="H639" s="380"/>
      <c r="I639" s="380"/>
      <c r="J639" s="40"/>
      <c r="K639" s="41"/>
    </row>
    <row r="640" spans="2:14" x14ac:dyDescent="0.2">
      <c r="B640" s="38"/>
      <c r="C640" s="380"/>
      <c r="D640" s="380"/>
      <c r="E640" s="380"/>
      <c r="F640" s="380"/>
      <c r="G640" s="380"/>
      <c r="H640" s="380"/>
      <c r="I640" s="380"/>
      <c r="J640" s="250">
        <f>'Baseline Health'!G145</f>
        <v>0</v>
      </c>
      <c r="K640" s="41"/>
    </row>
    <row r="641" spans="2:14" ht="15" customHeight="1" x14ac:dyDescent="0.2">
      <c r="B641" s="38"/>
      <c r="C641" s="380" t="s">
        <v>340</v>
      </c>
      <c r="D641" s="380"/>
      <c r="E641" s="380"/>
      <c r="F641" s="380"/>
      <c r="G641" s="380"/>
      <c r="H641" s="380"/>
      <c r="I641" s="380"/>
      <c r="J641" s="245"/>
      <c r="K641" s="41"/>
    </row>
    <row r="642" spans="2:14" x14ac:dyDescent="0.2">
      <c r="B642" s="38"/>
      <c r="C642" s="380"/>
      <c r="D642" s="380"/>
      <c r="E642" s="380"/>
      <c r="F642" s="380"/>
      <c r="G642" s="380"/>
      <c r="H642" s="380"/>
      <c r="I642" s="380"/>
      <c r="J642" s="245"/>
      <c r="K642" s="41"/>
    </row>
    <row r="643" spans="2:14" x14ac:dyDescent="0.2">
      <c r="B643" s="38"/>
      <c r="C643" s="380"/>
      <c r="D643" s="380"/>
      <c r="E643" s="380"/>
      <c r="F643" s="380"/>
      <c r="G643" s="380"/>
      <c r="H643" s="380"/>
      <c r="I643" s="380"/>
      <c r="J643" s="272">
        <v>37.5</v>
      </c>
      <c r="K643" s="41"/>
    </row>
    <row r="644" spans="2:14" x14ac:dyDescent="0.2">
      <c r="B644" s="38"/>
      <c r="C644" s="40" t="s">
        <v>260</v>
      </c>
      <c r="D644" s="40"/>
      <c r="E644" s="40"/>
      <c r="F644" s="40"/>
      <c r="G644" s="40"/>
      <c r="H644" s="40"/>
      <c r="I644" s="40"/>
      <c r="J644" s="245" t="str">
        <f>IF(OR(J640=0,J640="Not Calculated")=TRUE,"Not Calculated",IF(((J640+J643)/J640)&lt;=1,0,IF(((J640+J643)/J640)&lt;=1.05,1,IF(((J640+J643)/J640)&lt;=1.5, 2,IF(((J640+J643)/J640)&lt;=2,3,4)))))</f>
        <v>Not Calculated</v>
      </c>
      <c r="K644" s="41"/>
    </row>
    <row r="645" spans="2:14" ht="9.75" customHeight="1" x14ac:dyDescent="0.2">
      <c r="B645" s="38"/>
      <c r="C645" s="279" t="str">
        <f>"0:"</f>
        <v>0:</v>
      </c>
      <c r="D645" s="281" t="s">
        <v>918</v>
      </c>
      <c r="E645" s="291"/>
      <c r="F645" s="291"/>
      <c r="G645" s="291"/>
      <c r="H645" s="291"/>
      <c r="I645" s="291"/>
      <c r="J645" s="250"/>
      <c r="K645" s="41"/>
    </row>
    <row r="646" spans="2:14" ht="9.75" customHeight="1" x14ac:dyDescent="0.2">
      <c r="B646" s="38"/>
      <c r="C646" s="280" t="str">
        <f>"1:"</f>
        <v>1:</v>
      </c>
      <c r="D646" s="281" t="s">
        <v>919</v>
      </c>
      <c r="E646" s="291"/>
      <c r="F646" s="291"/>
      <c r="G646" s="291"/>
      <c r="H646" s="291"/>
      <c r="I646" s="291"/>
      <c r="J646" s="250"/>
      <c r="K646" s="41"/>
    </row>
    <row r="647" spans="2:14" ht="9.75" customHeight="1" x14ac:dyDescent="0.2">
      <c r="B647" s="38"/>
      <c r="C647" s="280" t="str">
        <f>"2:"</f>
        <v>2:</v>
      </c>
      <c r="D647" s="281" t="s">
        <v>920</v>
      </c>
      <c r="E647" s="291"/>
      <c r="F647" s="291"/>
      <c r="G647" s="291"/>
      <c r="H647" s="291"/>
      <c r="I647" s="291"/>
      <c r="J647" s="250"/>
      <c r="K647" s="41"/>
    </row>
    <row r="648" spans="2:14" ht="9.75" customHeight="1" x14ac:dyDescent="0.2">
      <c r="B648" s="38"/>
      <c r="C648" s="280" t="str">
        <f>"3:"</f>
        <v>3:</v>
      </c>
      <c r="D648" s="281" t="s">
        <v>921</v>
      </c>
      <c r="E648" s="291"/>
      <c r="F648" s="291"/>
      <c r="G648" s="291"/>
      <c r="H648" s="291"/>
      <c r="I648" s="291"/>
      <c r="J648" s="250"/>
      <c r="K648" s="41"/>
    </row>
    <row r="649" spans="2:14" ht="9.75" customHeight="1" x14ac:dyDescent="0.2">
      <c r="B649" s="38"/>
      <c r="C649" s="280" t="str">
        <f>"4:"</f>
        <v>4:</v>
      </c>
      <c r="D649" s="281" t="s">
        <v>922</v>
      </c>
      <c r="E649" s="40"/>
      <c r="F649" s="40"/>
      <c r="G649" s="40"/>
      <c r="H649" s="40"/>
      <c r="I649" s="40"/>
      <c r="J649" s="40"/>
      <c r="K649" s="41"/>
      <c r="N649" s="12" t="s">
        <v>661</v>
      </c>
    </row>
    <row r="650" spans="2:14" x14ac:dyDescent="0.2">
      <c r="B650" s="38"/>
      <c r="C650" s="174" t="s">
        <v>662</v>
      </c>
      <c r="D650" s="40"/>
      <c r="E650" s="40"/>
      <c r="F650" s="40"/>
      <c r="G650" s="40"/>
      <c r="H650" s="40"/>
      <c r="I650" s="40"/>
      <c r="J650" s="265" t="s">
        <v>661</v>
      </c>
      <c r="K650" s="41"/>
      <c r="N650" s="12" t="s">
        <v>894</v>
      </c>
    </row>
    <row r="651" spans="2:14" x14ac:dyDescent="0.2">
      <c r="B651" s="38"/>
      <c r="C651" s="174" t="s">
        <v>660</v>
      </c>
      <c r="D651" s="40"/>
      <c r="E651" s="40"/>
      <c r="F651" s="40"/>
      <c r="G651" s="40"/>
      <c r="H651" s="40"/>
      <c r="I651" s="40"/>
      <c r="J651" s="247" t="str">
        <f>IF(J650=N649,"N/A",IF(J650=N650,0,IF(J650=N651,1,IF(J650=N652,2,IF(J650=N653,3,IF(J650=N654,4,"N/A"))))))</f>
        <v>N/A</v>
      </c>
      <c r="K651" s="41"/>
      <c r="N651" s="12" t="s">
        <v>895</v>
      </c>
    </row>
    <row r="652" spans="2:14" ht="15" customHeight="1" x14ac:dyDescent="0.2">
      <c r="B652" s="38"/>
      <c r="C652" s="40" t="s">
        <v>257</v>
      </c>
      <c r="D652" s="40"/>
      <c r="E652" s="40"/>
      <c r="F652" s="40"/>
      <c r="G652" s="40"/>
      <c r="H652" s="40"/>
      <c r="I652" s="40"/>
      <c r="J652" s="266" t="s">
        <v>874</v>
      </c>
      <c r="K652" s="41"/>
      <c r="N652" s="12" t="s">
        <v>896</v>
      </c>
    </row>
    <row r="653" spans="2:14" x14ac:dyDescent="0.2">
      <c r="B653" s="38"/>
      <c r="C653" s="40" t="s">
        <v>261</v>
      </c>
      <c r="D653" s="40"/>
      <c r="E653" s="40"/>
      <c r="F653" s="40"/>
      <c r="G653" s="40"/>
      <c r="H653" s="40"/>
      <c r="I653" s="40"/>
      <c r="J653" s="245">
        <f>IF(J652=$B$973,$A$973,IF(J652=$B$974,$A$974,IF(J652=$B$975,$A$975,IF(J652=$B$976,$A$976,IF(J652=$B$977,$A$977,"Not Calculated")))))</f>
        <v>4</v>
      </c>
      <c r="K653" s="41"/>
      <c r="N653" s="12" t="s">
        <v>897</v>
      </c>
    </row>
    <row r="654" spans="2:14" x14ac:dyDescent="0.2">
      <c r="B654" s="38"/>
      <c r="C654" s="40" t="s">
        <v>893</v>
      </c>
      <c r="D654" s="40"/>
      <c r="E654" s="40"/>
      <c r="F654" s="40"/>
      <c r="G654" s="40"/>
      <c r="H654" s="40"/>
      <c r="I654" s="40"/>
      <c r="J654" s="40"/>
      <c r="K654" s="41"/>
      <c r="N654" s="12" t="s">
        <v>898</v>
      </c>
    </row>
    <row r="655" spans="2:14" ht="90" customHeight="1" x14ac:dyDescent="0.2">
      <c r="B655" s="38"/>
      <c r="C655" s="399" t="s">
        <v>1252</v>
      </c>
      <c r="D655" s="400"/>
      <c r="E655" s="400"/>
      <c r="F655" s="400"/>
      <c r="G655" s="400"/>
      <c r="H655" s="400"/>
      <c r="I655" s="400"/>
      <c r="J655" s="401"/>
      <c r="K655" s="41"/>
    </row>
    <row r="656" spans="2:14" x14ac:dyDescent="0.2">
      <c r="B656" s="38"/>
      <c r="C656" s="40"/>
      <c r="D656" s="40"/>
      <c r="E656" s="40"/>
      <c r="F656" s="40"/>
      <c r="G656" s="40"/>
      <c r="H656" s="40"/>
      <c r="I656" s="40"/>
      <c r="J656" s="40"/>
      <c r="K656" s="41"/>
    </row>
    <row r="657" spans="2:14" x14ac:dyDescent="0.2">
      <c r="B657" s="38"/>
      <c r="C657" s="179" t="s">
        <v>330</v>
      </c>
      <c r="D657" s="40"/>
      <c r="E657" s="40"/>
      <c r="F657" s="40"/>
      <c r="G657" s="40"/>
      <c r="H657" s="40"/>
      <c r="I657" s="40"/>
      <c r="J657" s="245" t="str">
        <f>IF(J651="N/A",IF(OR(J644="Not Calculated",J653="Not Calculated")=TRUE,"Not Calculated",AVERAGE(J644,J653)),AVERAGE(J651,J653))</f>
        <v>Not Calculated</v>
      </c>
      <c r="K657" s="41"/>
    </row>
    <row r="658" spans="2:14" x14ac:dyDescent="0.2">
      <c r="B658" s="38"/>
      <c r="C658" s="40"/>
      <c r="D658" s="40"/>
      <c r="E658" s="40"/>
      <c r="F658" s="40"/>
      <c r="G658" s="40"/>
      <c r="H658" s="40"/>
      <c r="I658" s="40"/>
      <c r="J658" s="40"/>
      <c r="K658" s="41"/>
    </row>
    <row r="659" spans="2:14" x14ac:dyDescent="0.2">
      <c r="B659" s="38"/>
      <c r="C659" s="40"/>
      <c r="D659" s="40"/>
      <c r="E659" s="40"/>
      <c r="F659" s="40"/>
      <c r="G659" s="40"/>
      <c r="H659" s="40"/>
      <c r="I659" s="40"/>
      <c r="J659" s="40"/>
      <c r="K659" s="41"/>
    </row>
    <row r="660" spans="2:14" ht="16" x14ac:dyDescent="0.2">
      <c r="B660" s="38"/>
      <c r="C660" s="45" t="s">
        <v>97</v>
      </c>
      <c r="D660" s="40"/>
      <c r="E660" s="40"/>
      <c r="F660" s="40"/>
      <c r="G660" s="40"/>
      <c r="H660" s="40"/>
      <c r="I660" s="40"/>
      <c r="J660" s="40"/>
      <c r="K660" s="41"/>
    </row>
    <row r="661" spans="2:14" x14ac:dyDescent="0.2">
      <c r="B661" s="38"/>
      <c r="C661" s="40" t="s">
        <v>449</v>
      </c>
      <c r="D661" s="40"/>
      <c r="E661" s="40"/>
      <c r="F661" s="40"/>
      <c r="G661" s="40"/>
      <c r="H661" s="40"/>
      <c r="I661" s="40"/>
      <c r="J661" s="263">
        <f>'Baseline Health'!G150</f>
        <v>0</v>
      </c>
      <c r="K661" s="41"/>
    </row>
    <row r="662" spans="2:14" x14ac:dyDescent="0.2">
      <c r="B662" s="38"/>
      <c r="C662" s="40" t="s">
        <v>341</v>
      </c>
      <c r="D662" s="40"/>
      <c r="E662" s="40"/>
      <c r="F662" s="40"/>
      <c r="G662" s="40"/>
      <c r="H662" s="40"/>
      <c r="I662" s="40"/>
      <c r="J662" s="273">
        <v>0</v>
      </c>
      <c r="K662" s="41"/>
    </row>
    <row r="663" spans="2:14" x14ac:dyDescent="0.2">
      <c r="B663" s="38"/>
      <c r="C663" s="40" t="s">
        <v>450</v>
      </c>
      <c r="D663" s="40"/>
      <c r="E663" s="40"/>
      <c r="F663" s="40"/>
      <c r="G663" s="40"/>
      <c r="H663" s="40"/>
      <c r="I663" s="40"/>
      <c r="J663" s="263">
        <f>J26</f>
        <v>0</v>
      </c>
      <c r="K663" s="41"/>
    </row>
    <row r="664" spans="2:14" ht="15" customHeight="1" x14ac:dyDescent="0.2">
      <c r="B664" s="38"/>
      <c r="C664" s="291"/>
      <c r="D664" s="380" t="s">
        <v>342</v>
      </c>
      <c r="E664" s="380"/>
      <c r="F664" s="380"/>
      <c r="G664" s="380"/>
      <c r="H664" s="380"/>
      <c r="I664" s="380"/>
      <c r="J664" s="245"/>
      <c r="K664" s="41"/>
    </row>
    <row r="665" spans="2:14" x14ac:dyDescent="0.2">
      <c r="B665" s="38"/>
      <c r="C665" s="291"/>
      <c r="D665" s="380"/>
      <c r="E665" s="380"/>
      <c r="F665" s="380"/>
      <c r="G665" s="380"/>
      <c r="H665" s="380"/>
      <c r="I665" s="380"/>
      <c r="J665" s="245"/>
      <c r="K665" s="41"/>
    </row>
    <row r="666" spans="2:14" x14ac:dyDescent="0.2">
      <c r="B666" s="38"/>
      <c r="C666" s="40" t="s">
        <v>260</v>
      </c>
      <c r="D666" s="40"/>
      <c r="E666" s="40"/>
      <c r="F666" s="40"/>
      <c r="G666" s="40"/>
      <c r="H666" s="40"/>
      <c r="I666" s="40"/>
      <c r="J666" s="245" t="str">
        <f>IF(OR(J661=0,J661="Not Calculated")=TRUE,"Not Calculated",IF(((J661+J663)/(J661-J662))&lt;=1,0,IF(((J661+J663)/(J661-J662))&lt;=1.1,1,IF(((J661+J663)/(J661-J662))&lt;=1.5, 2,IF(((J661+J663)/(J661-J662))&lt;=2,3,4)))))</f>
        <v>Not Calculated</v>
      </c>
      <c r="K666" s="41"/>
    </row>
    <row r="667" spans="2:14" ht="9.75" customHeight="1" x14ac:dyDescent="0.2">
      <c r="B667" s="38"/>
      <c r="C667" s="279" t="str">
        <f>"0:"</f>
        <v>0:</v>
      </c>
      <c r="D667" s="278" t="s">
        <v>918</v>
      </c>
      <c r="E667" s="291"/>
      <c r="F667" s="291"/>
      <c r="G667" s="291"/>
      <c r="H667" s="291"/>
      <c r="I667" s="291"/>
      <c r="J667" s="245"/>
      <c r="K667" s="41"/>
    </row>
    <row r="668" spans="2:14" ht="9.75" customHeight="1" x14ac:dyDescent="0.2">
      <c r="B668" s="38"/>
      <c r="C668" s="280" t="str">
        <f>"1:"</f>
        <v>1:</v>
      </c>
      <c r="D668" s="278" t="s">
        <v>923</v>
      </c>
      <c r="E668" s="291"/>
      <c r="F668" s="291"/>
      <c r="G668" s="291"/>
      <c r="H668" s="291"/>
      <c r="I668" s="291"/>
      <c r="J668" s="245"/>
      <c r="K668" s="41"/>
    </row>
    <row r="669" spans="2:14" ht="9.75" customHeight="1" x14ac:dyDescent="0.2">
      <c r="B669" s="38"/>
      <c r="C669" s="280" t="str">
        <f>"2:"</f>
        <v>2:</v>
      </c>
      <c r="D669" s="278" t="s">
        <v>924</v>
      </c>
      <c r="E669" s="291"/>
      <c r="F669" s="291"/>
      <c r="G669" s="291"/>
      <c r="H669" s="291"/>
      <c r="I669" s="291"/>
      <c r="J669" s="245"/>
      <c r="K669" s="41"/>
    </row>
    <row r="670" spans="2:14" ht="9.75" customHeight="1" x14ac:dyDescent="0.2">
      <c r="B670" s="38"/>
      <c r="C670" s="280" t="str">
        <f>"3:"</f>
        <v>3:</v>
      </c>
      <c r="D670" s="278" t="s">
        <v>925</v>
      </c>
      <c r="E670" s="291"/>
      <c r="F670" s="291"/>
      <c r="G670" s="291"/>
      <c r="H670" s="291"/>
      <c r="I670" s="291"/>
      <c r="J670" s="245"/>
      <c r="K670" s="41"/>
    </row>
    <row r="671" spans="2:14" ht="9.75" customHeight="1" x14ac:dyDescent="0.2">
      <c r="B671" s="38"/>
      <c r="C671" s="280" t="str">
        <f>"4:"</f>
        <v>4:</v>
      </c>
      <c r="D671" s="278" t="s">
        <v>926</v>
      </c>
      <c r="E671" s="40"/>
      <c r="F671" s="40"/>
      <c r="G671" s="40"/>
      <c r="H671" s="40"/>
      <c r="I671" s="40"/>
      <c r="J671" s="40"/>
      <c r="K671" s="41"/>
      <c r="N671" s="12" t="s">
        <v>661</v>
      </c>
    </row>
    <row r="672" spans="2:14" ht="15" customHeight="1" x14ac:dyDescent="0.2">
      <c r="B672" s="38"/>
      <c r="C672" s="174" t="s">
        <v>662</v>
      </c>
      <c r="D672" s="40"/>
      <c r="E672" s="40"/>
      <c r="F672" s="40"/>
      <c r="G672" s="40"/>
      <c r="H672" s="40"/>
      <c r="I672" s="40"/>
      <c r="J672" s="265" t="s">
        <v>661</v>
      </c>
      <c r="K672" s="41"/>
      <c r="N672" s="12" t="s">
        <v>894</v>
      </c>
    </row>
    <row r="673" spans="2:14" ht="15" customHeight="1" x14ac:dyDescent="0.2">
      <c r="B673" s="38"/>
      <c r="C673" s="174" t="s">
        <v>660</v>
      </c>
      <c r="D673" s="40"/>
      <c r="E673" s="40"/>
      <c r="F673" s="40"/>
      <c r="G673" s="40"/>
      <c r="H673" s="40"/>
      <c r="I673" s="40"/>
      <c r="J673" s="246" t="str">
        <f>IF(J672=N671,"N/A",IF(J672=N672,0,IF(J672=N673,1,IF(J672=N674,2,IF(J672=N675,3,IF(J672=N676,4,"N/A"))))))</f>
        <v>N/A</v>
      </c>
      <c r="K673" s="41"/>
      <c r="N673" s="12" t="s">
        <v>908</v>
      </c>
    </row>
    <row r="674" spans="2:14" ht="15" customHeight="1" x14ac:dyDescent="0.2">
      <c r="B674" s="38"/>
      <c r="C674" s="40" t="s">
        <v>257</v>
      </c>
      <c r="D674" s="40"/>
      <c r="E674" s="40"/>
      <c r="F674" s="40"/>
      <c r="G674" s="40"/>
      <c r="H674" s="40"/>
      <c r="I674" s="40"/>
      <c r="J674" s="266" t="s">
        <v>882</v>
      </c>
      <c r="K674" s="41"/>
      <c r="N674" s="12" t="s">
        <v>900</v>
      </c>
    </row>
    <row r="675" spans="2:14" x14ac:dyDescent="0.2">
      <c r="B675" s="38"/>
      <c r="C675" s="40" t="s">
        <v>261</v>
      </c>
      <c r="D675" s="40"/>
      <c r="E675" s="40"/>
      <c r="F675" s="40"/>
      <c r="G675" s="40"/>
      <c r="H675" s="40"/>
      <c r="I675" s="40"/>
      <c r="J675" s="245">
        <f>IF(J674=$B$973,$A$973,IF(J674=$B$974,$A$974,IF(J674=$B$975,$A$975,IF(J674=$B$976,$A$976,IF(J674=$B$977,$A$977,"Not Calculated")))))</f>
        <v>1</v>
      </c>
      <c r="K675" s="41"/>
      <c r="N675" s="12" t="s">
        <v>901</v>
      </c>
    </row>
    <row r="676" spans="2:14" ht="15" customHeight="1" x14ac:dyDescent="0.2">
      <c r="B676" s="38"/>
      <c r="C676" s="40" t="s">
        <v>893</v>
      </c>
      <c r="D676" s="40"/>
      <c r="E676" s="40"/>
      <c r="F676" s="40"/>
      <c r="G676" s="40"/>
      <c r="H676" s="40"/>
      <c r="I676" s="40"/>
      <c r="J676" s="40"/>
      <c r="K676" s="41"/>
      <c r="N676" s="12" t="s">
        <v>909</v>
      </c>
    </row>
    <row r="677" spans="2:14" ht="30" customHeight="1" x14ac:dyDescent="0.2">
      <c r="B677" s="38"/>
      <c r="C677" s="399"/>
      <c r="D677" s="400"/>
      <c r="E677" s="400"/>
      <c r="F677" s="400"/>
      <c r="G677" s="400"/>
      <c r="H677" s="400"/>
      <c r="I677" s="400"/>
      <c r="J677" s="401"/>
      <c r="K677" s="41"/>
    </row>
    <row r="678" spans="2:14" x14ac:dyDescent="0.2">
      <c r="B678" s="38"/>
      <c r="C678" s="40"/>
      <c r="D678" s="40"/>
      <c r="E678" s="40"/>
      <c r="F678" s="40"/>
      <c r="G678" s="40"/>
      <c r="H678" s="40"/>
      <c r="I678" s="40"/>
      <c r="J678" s="40"/>
      <c r="K678" s="41"/>
    </row>
    <row r="679" spans="2:14" x14ac:dyDescent="0.2">
      <c r="B679" s="38"/>
      <c r="C679" s="179" t="s">
        <v>331</v>
      </c>
      <c r="D679" s="40"/>
      <c r="E679" s="40"/>
      <c r="F679" s="40"/>
      <c r="G679" s="40"/>
      <c r="H679" s="40"/>
      <c r="I679" s="40"/>
      <c r="J679" s="245" t="str">
        <f>IF(J673="N/A",IF(OR(J666="Not Calculated",J675="Not Calculated")=TRUE,"Not Calculated",AVERAGE(J666,J675)),AVERAGE(J673,J675))</f>
        <v>Not Calculated</v>
      </c>
      <c r="K679" s="41"/>
    </row>
    <row r="680" spans="2:14" x14ac:dyDescent="0.2">
      <c r="B680" s="38"/>
      <c r="C680" s="40"/>
      <c r="D680" s="40"/>
      <c r="E680" s="40"/>
      <c r="F680" s="40"/>
      <c r="G680" s="40"/>
      <c r="H680" s="40"/>
      <c r="I680" s="40"/>
      <c r="J680" s="40"/>
      <c r="K680" s="41"/>
    </row>
    <row r="681" spans="2:14" ht="18" x14ac:dyDescent="0.2">
      <c r="B681" s="38"/>
      <c r="C681" s="180" t="s">
        <v>332</v>
      </c>
      <c r="D681" s="40"/>
      <c r="E681" s="40"/>
      <c r="F681" s="40"/>
      <c r="G681" s="40"/>
      <c r="H681" s="40"/>
      <c r="I681" s="40"/>
      <c r="J681" s="244" t="str">
        <f>IF(OR(J562="Not Calculated",J585="Not Calculated",J601="Not Calculated",J615="Not Calculated",J635="Not Calculated",J657="Not Calculated",J679="Not Calculated")=TRUE,"Not Calculated",AVERAGE(J562,J585,J601,J615,J635,J657,J679))</f>
        <v>Not Calculated</v>
      </c>
      <c r="K681" s="41"/>
    </row>
    <row r="682" spans="2:14" ht="16" thickBot="1" x14ac:dyDescent="0.25">
      <c r="B682" s="46"/>
      <c r="C682" s="47"/>
      <c r="D682" s="47"/>
      <c r="E682" s="47"/>
      <c r="F682" s="47"/>
      <c r="G682" s="47"/>
      <c r="H682" s="47"/>
      <c r="I682" s="47"/>
      <c r="J682" s="47"/>
      <c r="K682" s="49"/>
    </row>
    <row r="683" spans="2:14" ht="16" thickBot="1" x14ac:dyDescent="0.25"/>
    <row r="684" spans="2:14" x14ac:dyDescent="0.2">
      <c r="B684" s="33"/>
      <c r="C684" s="34"/>
      <c r="D684" s="34"/>
      <c r="E684" s="34"/>
      <c r="F684" s="34"/>
      <c r="G684" s="34"/>
      <c r="H684" s="34"/>
      <c r="I684" s="34"/>
      <c r="J684" s="34"/>
      <c r="K684" s="37"/>
    </row>
    <row r="685" spans="2:14" ht="21" x14ac:dyDescent="0.25">
      <c r="B685" s="38"/>
      <c r="C685" s="40"/>
      <c r="D685" s="40"/>
      <c r="E685" s="40"/>
      <c r="F685" s="40"/>
      <c r="G685" s="172" t="s">
        <v>346</v>
      </c>
      <c r="H685" s="40"/>
      <c r="I685" s="40"/>
      <c r="J685" s="40"/>
      <c r="K685" s="41"/>
    </row>
    <row r="686" spans="2:14" x14ac:dyDescent="0.2">
      <c r="B686" s="38"/>
      <c r="C686" s="40"/>
      <c r="D686" s="40"/>
      <c r="E686" s="40"/>
      <c r="F686" s="40"/>
      <c r="G686" s="40"/>
      <c r="H686" s="40"/>
      <c r="I686" s="40"/>
      <c r="J686" s="40"/>
      <c r="K686" s="41"/>
    </row>
    <row r="687" spans="2:14" ht="16" x14ac:dyDescent="0.2">
      <c r="B687" s="38"/>
      <c r="C687" s="182" t="s">
        <v>986</v>
      </c>
      <c r="D687" s="40"/>
      <c r="E687" s="40"/>
      <c r="F687" s="40"/>
      <c r="G687" s="40"/>
      <c r="H687" s="40"/>
      <c r="I687" s="40"/>
      <c r="J687" s="257" t="str">
        <f>IF(OR($J$133="Not Calculated",$J$261="Not Calculated",$J$421="Not Calculated",$J$539="Not Calculated",$J$681="Not Calculated")=TRUE,"Not Calculated",AVERAGE($J$133,$J$261,$J$421,$J$539,$J$681))</f>
        <v>Not Calculated</v>
      </c>
      <c r="K687" s="41"/>
    </row>
    <row r="688" spans="2:14" x14ac:dyDescent="0.2">
      <c r="B688" s="38"/>
      <c r="C688" s="40"/>
      <c r="D688" s="40" t="s">
        <v>343</v>
      </c>
      <c r="E688" s="40"/>
      <c r="F688" s="40"/>
      <c r="G688" s="40"/>
      <c r="H688" s="40"/>
      <c r="I688" s="40"/>
      <c r="J688" s="40"/>
      <c r="K688" s="41"/>
    </row>
    <row r="689" spans="2:11" ht="15" customHeight="1" x14ac:dyDescent="0.2">
      <c r="B689" s="38"/>
      <c r="C689" s="40"/>
      <c r="D689" s="40"/>
      <c r="E689" s="40"/>
      <c r="F689" s="40"/>
      <c r="G689" s="40"/>
      <c r="H689" s="40"/>
      <c r="I689" s="40"/>
      <c r="J689" s="40"/>
      <c r="K689" s="41"/>
    </row>
    <row r="690" spans="2:11" ht="16" x14ac:dyDescent="0.2">
      <c r="B690" s="38"/>
      <c r="C690" s="182" t="s">
        <v>987</v>
      </c>
      <c r="D690" s="40"/>
      <c r="E690" s="40"/>
      <c r="F690" s="40"/>
      <c r="G690" s="40"/>
      <c r="H690" s="40"/>
      <c r="I690" s="40"/>
      <c r="J690" s="257" t="str">
        <f>IF(OR($J$133="Not Calculated",$J$261="Not Calculated",$J$539="Not Calculated",$J$681="Not Calculated")=TRUE,"Not Calculated",AVERAGE($J$133,$J$261,$J$539,$J$681))</f>
        <v>Not Calculated</v>
      </c>
      <c r="K690" s="41"/>
    </row>
    <row r="691" spans="2:11" ht="15" customHeight="1" x14ac:dyDescent="0.2">
      <c r="B691" s="38"/>
      <c r="C691" s="40"/>
      <c r="D691" s="40" t="s">
        <v>344</v>
      </c>
      <c r="E691" s="40"/>
      <c r="F691" s="40"/>
      <c r="G691" s="40"/>
      <c r="H691" s="40"/>
      <c r="I691" s="40"/>
      <c r="J691" s="40"/>
      <c r="K691" s="41"/>
    </row>
    <row r="692" spans="2:11" x14ac:dyDescent="0.2">
      <c r="B692" s="38"/>
      <c r="C692" s="40"/>
      <c r="D692" s="40"/>
      <c r="E692" s="40"/>
      <c r="F692" s="40"/>
      <c r="G692" s="40"/>
      <c r="H692" s="40"/>
      <c r="I692" s="40"/>
      <c r="J692" s="40"/>
      <c r="K692" s="41"/>
    </row>
    <row r="693" spans="2:11" ht="16" x14ac:dyDescent="0.2">
      <c r="B693" s="38"/>
      <c r="C693" s="182" t="s">
        <v>988</v>
      </c>
      <c r="D693" s="40"/>
      <c r="E693" s="40"/>
      <c r="F693" s="40"/>
      <c r="G693" s="40"/>
      <c r="H693" s="40"/>
      <c r="I693" s="40"/>
      <c r="J693" s="257" t="str">
        <f>IF(OR($J$133="Not Calculated",$J$261="Not Calculated",$J$421="Not Calculated")=TRUE,"Not Calculated",AVERAGE($J$133,$J$261,$J$421))</f>
        <v>Not Calculated</v>
      </c>
      <c r="K693" s="41"/>
    </row>
    <row r="694" spans="2:11" x14ac:dyDescent="0.2">
      <c r="B694" s="38"/>
      <c r="C694" s="40"/>
      <c r="D694" s="40" t="s">
        <v>345</v>
      </c>
      <c r="E694" s="40"/>
      <c r="F694" s="40"/>
      <c r="G694" s="40"/>
      <c r="H694" s="40"/>
      <c r="I694" s="40"/>
      <c r="J694" s="40"/>
      <c r="K694" s="41"/>
    </row>
    <row r="695" spans="2:11" ht="16" thickBot="1" x14ac:dyDescent="0.25">
      <c r="B695" s="46"/>
      <c r="C695" s="47"/>
      <c r="D695" s="47"/>
      <c r="E695" s="47"/>
      <c r="F695" s="47"/>
      <c r="G695" s="47"/>
      <c r="H695" s="47"/>
      <c r="I695" s="47"/>
      <c r="J695" s="47"/>
      <c r="K695" s="49"/>
    </row>
    <row r="696" spans="2:11" ht="16" thickBot="1" x14ac:dyDescent="0.25"/>
    <row r="697" spans="2:11" x14ac:dyDescent="0.2">
      <c r="B697" s="183"/>
      <c r="C697" s="184"/>
      <c r="D697" s="184"/>
      <c r="E697" s="184"/>
      <c r="F697" s="184"/>
      <c r="G697" s="184"/>
      <c r="H697" s="184"/>
      <c r="I697" s="184"/>
      <c r="J697" s="184"/>
      <c r="K697" s="185"/>
    </row>
    <row r="698" spans="2:11" ht="21" x14ac:dyDescent="0.25">
      <c r="B698" s="186"/>
      <c r="C698" s="187"/>
      <c r="D698" s="187"/>
      <c r="E698" s="187"/>
      <c r="F698" s="187"/>
      <c r="G698" s="188" t="s">
        <v>231</v>
      </c>
      <c r="H698" s="187"/>
      <c r="I698" s="187"/>
      <c r="J698" s="187"/>
      <c r="K698" s="189"/>
    </row>
    <row r="699" spans="2:11" x14ac:dyDescent="0.2">
      <c r="B699" s="186"/>
      <c r="C699" s="187"/>
      <c r="D699" s="187"/>
      <c r="E699" s="187"/>
      <c r="F699" s="187"/>
      <c r="G699" s="187"/>
      <c r="H699" s="187"/>
      <c r="I699" s="187"/>
      <c r="J699" s="187"/>
      <c r="K699" s="189"/>
    </row>
    <row r="700" spans="2:11" ht="16" x14ac:dyDescent="0.2">
      <c r="B700" s="186"/>
      <c r="C700" s="190" t="s">
        <v>989</v>
      </c>
      <c r="D700" s="187"/>
      <c r="E700" s="187"/>
      <c r="F700" s="187"/>
      <c r="G700" s="187"/>
      <c r="H700" s="187"/>
      <c r="I700" s="187"/>
      <c r="J700" s="256" t="str">
        <f>IF(OR(J687="Not Calculated",$E$17="Not Calculated")=TRUE,"Not Calculated",(J687*$E$17*100/16))</f>
        <v>Not Calculated</v>
      </c>
      <c r="K700" s="189"/>
    </row>
    <row r="701" spans="2:11" x14ac:dyDescent="0.2">
      <c r="B701" s="186"/>
      <c r="C701" s="187"/>
      <c r="D701" s="187" t="s">
        <v>377</v>
      </c>
      <c r="E701" s="187"/>
      <c r="F701" s="187"/>
      <c r="G701" s="187"/>
      <c r="H701" s="187"/>
      <c r="I701" s="187"/>
      <c r="J701" s="187"/>
      <c r="K701" s="189"/>
    </row>
    <row r="702" spans="2:11" x14ac:dyDescent="0.2">
      <c r="B702" s="186"/>
      <c r="C702" s="187"/>
      <c r="D702" s="187"/>
      <c r="E702" s="187"/>
      <c r="F702" s="187"/>
      <c r="G702" s="187"/>
      <c r="H702" s="187"/>
      <c r="I702" s="187"/>
      <c r="J702" s="187"/>
      <c r="K702" s="189"/>
    </row>
    <row r="703" spans="2:11" ht="16" x14ac:dyDescent="0.2">
      <c r="B703" s="186"/>
      <c r="C703" s="190" t="s">
        <v>990</v>
      </c>
      <c r="D703" s="187"/>
      <c r="E703" s="187"/>
      <c r="F703" s="187"/>
      <c r="G703" s="187"/>
      <c r="H703" s="187"/>
      <c r="I703" s="187"/>
      <c r="J703" s="256" t="str">
        <f>IF(OR(J690="Not Calculated",$E$17="Not Calculated")=TRUE,"Not Calculated",(J690*$E$17*100/16))</f>
        <v>Not Calculated</v>
      </c>
      <c r="K703" s="189"/>
    </row>
    <row r="704" spans="2:11" x14ac:dyDescent="0.2">
      <c r="B704" s="186"/>
      <c r="C704" s="187"/>
      <c r="D704" s="187" t="s">
        <v>378</v>
      </c>
      <c r="E704" s="187"/>
      <c r="F704" s="187"/>
      <c r="G704" s="187"/>
      <c r="H704" s="187"/>
      <c r="I704" s="187"/>
      <c r="J704" s="187"/>
      <c r="K704" s="189"/>
    </row>
    <row r="705" spans="2:11" x14ac:dyDescent="0.2">
      <c r="B705" s="186"/>
      <c r="C705" s="187"/>
      <c r="D705" s="187"/>
      <c r="E705" s="187"/>
      <c r="F705" s="187"/>
      <c r="G705" s="187"/>
      <c r="H705" s="187"/>
      <c r="I705" s="187"/>
      <c r="J705" s="187"/>
      <c r="K705" s="189"/>
    </row>
    <row r="706" spans="2:11" ht="16" x14ac:dyDescent="0.2">
      <c r="B706" s="186"/>
      <c r="C706" s="190" t="s">
        <v>991</v>
      </c>
      <c r="D706" s="187"/>
      <c r="E706" s="187"/>
      <c r="F706" s="187"/>
      <c r="G706" s="187"/>
      <c r="H706" s="187"/>
      <c r="I706" s="187"/>
      <c r="J706" s="256" t="str">
        <f>IF(OR(J693="Not Calculated",$E$17="Not Calculated")=TRUE,"Not Calculated",(J693*$E$17*100/16))</f>
        <v>Not Calculated</v>
      </c>
      <c r="K706" s="189"/>
    </row>
    <row r="707" spans="2:11" x14ac:dyDescent="0.2">
      <c r="B707" s="186"/>
      <c r="C707" s="187"/>
      <c r="D707" s="187" t="s">
        <v>379</v>
      </c>
      <c r="E707" s="187"/>
      <c r="F707" s="187"/>
      <c r="G707" s="187"/>
      <c r="H707" s="187"/>
      <c r="I707" s="187"/>
      <c r="J707" s="187"/>
      <c r="K707" s="189"/>
    </row>
    <row r="708" spans="2:11" ht="16" thickBot="1" x14ac:dyDescent="0.25">
      <c r="B708" s="191"/>
      <c r="C708" s="192"/>
      <c r="D708" s="192"/>
      <c r="E708" s="192"/>
      <c r="F708" s="192"/>
      <c r="G708" s="192"/>
      <c r="H708" s="192"/>
      <c r="I708" s="192"/>
      <c r="J708" s="192"/>
      <c r="K708" s="193"/>
    </row>
    <row r="709" spans="2:11" ht="16" thickBot="1" x14ac:dyDescent="0.25"/>
    <row r="710" spans="2:11" x14ac:dyDescent="0.2">
      <c r="B710" s="53"/>
      <c r="C710" s="54"/>
      <c r="D710" s="54"/>
      <c r="E710" s="54"/>
      <c r="F710" s="54"/>
      <c r="G710" s="54"/>
      <c r="H710" s="54"/>
      <c r="I710" s="54"/>
      <c r="J710" s="54"/>
      <c r="K710" s="56"/>
    </row>
    <row r="711" spans="2:11" ht="21" x14ac:dyDescent="0.25">
      <c r="B711" s="57"/>
      <c r="C711" s="59"/>
      <c r="D711" s="59"/>
      <c r="E711" s="59"/>
      <c r="F711" s="59"/>
      <c r="G711" s="194" t="s">
        <v>232</v>
      </c>
      <c r="H711" s="59"/>
      <c r="I711" s="59"/>
      <c r="J711" s="59"/>
      <c r="K711" s="61"/>
    </row>
    <row r="712" spans="2:11" x14ac:dyDescent="0.2">
      <c r="B712" s="57"/>
      <c r="C712" s="59"/>
      <c r="D712" s="59"/>
      <c r="E712" s="59"/>
      <c r="F712" s="59"/>
      <c r="G712" s="59"/>
      <c r="H712" s="59"/>
      <c r="I712" s="59"/>
      <c r="J712" s="59"/>
      <c r="K712" s="61"/>
    </row>
    <row r="713" spans="2:11" ht="16" x14ac:dyDescent="0.2">
      <c r="B713" s="57"/>
      <c r="C713" s="195" t="s">
        <v>363</v>
      </c>
      <c r="D713" s="59"/>
      <c r="E713" s="59"/>
      <c r="F713" s="59"/>
      <c r="G713" s="59"/>
      <c r="H713" s="59"/>
      <c r="I713" s="59"/>
      <c r="J713" s="59"/>
      <c r="K713" s="61"/>
    </row>
    <row r="714" spans="2:11" ht="15" customHeight="1" x14ac:dyDescent="0.2">
      <c r="B714" s="57"/>
      <c r="C714" s="411" t="s">
        <v>364</v>
      </c>
      <c r="D714" s="411"/>
      <c r="E714" s="411"/>
      <c r="F714" s="411"/>
      <c r="G714" s="411"/>
      <c r="H714" s="411"/>
      <c r="I714" s="411"/>
      <c r="J714" s="411"/>
      <c r="K714" s="61"/>
    </row>
    <row r="715" spans="2:11" x14ac:dyDescent="0.2">
      <c r="B715" s="57"/>
      <c r="C715" s="411"/>
      <c r="D715" s="411"/>
      <c r="E715" s="411"/>
      <c r="F715" s="411"/>
      <c r="G715" s="411"/>
      <c r="H715" s="411"/>
      <c r="I715" s="411"/>
      <c r="J715" s="411"/>
      <c r="K715" s="61"/>
    </row>
    <row r="716" spans="2:11" x14ac:dyDescent="0.2">
      <c r="B716" s="57"/>
      <c r="C716" s="411"/>
      <c r="D716" s="411"/>
      <c r="E716" s="411"/>
      <c r="F716" s="411"/>
      <c r="G716" s="411"/>
      <c r="H716" s="411"/>
      <c r="I716" s="411"/>
      <c r="J716" s="411"/>
      <c r="K716" s="61"/>
    </row>
    <row r="717" spans="2:11" x14ac:dyDescent="0.2">
      <c r="B717" s="57"/>
      <c r="C717" s="196" t="s">
        <v>30</v>
      </c>
      <c r="D717" s="59"/>
      <c r="E717" s="59"/>
      <c r="F717" s="59"/>
      <c r="G717" s="431" t="s">
        <v>190</v>
      </c>
      <c r="H717" s="431"/>
      <c r="I717" s="59"/>
      <c r="J717" s="260">
        <f>IF(G717=$B$994,$A$994,IF(G717=$B$995,$A$995,"Not Calculated"))</f>
        <v>1</v>
      </c>
      <c r="K717" s="61"/>
    </row>
    <row r="718" spans="2:11" x14ac:dyDescent="0.2">
      <c r="B718" s="57"/>
      <c r="C718" s="196" t="s">
        <v>32</v>
      </c>
      <c r="D718" s="59"/>
      <c r="E718" s="59"/>
      <c r="F718" s="59"/>
      <c r="G718" s="431" t="s">
        <v>190</v>
      </c>
      <c r="H718" s="431"/>
      <c r="I718" s="59"/>
      <c r="J718" s="260">
        <f t="shared" ref="J718:J725" si="0">IF(G718=$B$994,$A$994,IF(G718=$B$995,$A$995,"Not Calculated"))</f>
        <v>1</v>
      </c>
      <c r="K718" s="61"/>
    </row>
    <row r="719" spans="2:11" x14ac:dyDescent="0.2">
      <c r="B719" s="57"/>
      <c r="C719" s="196" t="s">
        <v>34</v>
      </c>
      <c r="D719" s="59"/>
      <c r="E719" s="59"/>
      <c r="F719" s="59"/>
      <c r="G719" s="431" t="s">
        <v>202</v>
      </c>
      <c r="H719" s="431"/>
      <c r="I719" s="59"/>
      <c r="J719" s="260">
        <f t="shared" si="0"/>
        <v>0</v>
      </c>
      <c r="K719" s="61"/>
    </row>
    <row r="720" spans="2:11" x14ac:dyDescent="0.2">
      <c r="B720" s="57"/>
      <c r="C720" s="196" t="s">
        <v>35</v>
      </c>
      <c r="D720" s="59"/>
      <c r="E720" s="59"/>
      <c r="F720" s="59"/>
      <c r="G720" s="431" t="s">
        <v>190</v>
      </c>
      <c r="H720" s="431"/>
      <c r="I720" s="59"/>
      <c r="J720" s="260">
        <f t="shared" si="0"/>
        <v>1</v>
      </c>
      <c r="K720" s="61"/>
    </row>
    <row r="721" spans="2:11" x14ac:dyDescent="0.2">
      <c r="B721" s="57"/>
      <c r="C721" s="196" t="s">
        <v>37</v>
      </c>
      <c r="D721" s="59"/>
      <c r="E721" s="59"/>
      <c r="F721" s="59"/>
      <c r="G721" s="431" t="s">
        <v>190</v>
      </c>
      <c r="H721" s="431"/>
      <c r="I721" s="59"/>
      <c r="J721" s="260">
        <f t="shared" si="0"/>
        <v>1</v>
      </c>
      <c r="K721" s="61"/>
    </row>
    <row r="722" spans="2:11" x14ac:dyDescent="0.2">
      <c r="B722" s="57"/>
      <c r="C722" s="196" t="s">
        <v>38</v>
      </c>
      <c r="D722" s="59"/>
      <c r="E722" s="59"/>
      <c r="F722" s="59"/>
      <c r="G722" s="431" t="s">
        <v>190</v>
      </c>
      <c r="H722" s="431"/>
      <c r="I722" s="59"/>
      <c r="J722" s="260">
        <f t="shared" si="0"/>
        <v>1</v>
      </c>
      <c r="K722" s="61"/>
    </row>
    <row r="723" spans="2:11" x14ac:dyDescent="0.2">
      <c r="B723" s="57"/>
      <c r="C723" s="196" t="s">
        <v>40</v>
      </c>
      <c r="D723" s="59"/>
      <c r="E723" s="59"/>
      <c r="F723" s="59"/>
      <c r="G723" s="431" t="s">
        <v>190</v>
      </c>
      <c r="H723" s="431"/>
      <c r="I723" s="59"/>
      <c r="J723" s="260">
        <f t="shared" si="0"/>
        <v>1</v>
      </c>
      <c r="K723" s="61"/>
    </row>
    <row r="724" spans="2:11" x14ac:dyDescent="0.2">
      <c r="B724" s="57"/>
      <c r="C724" s="196" t="s">
        <v>41</v>
      </c>
      <c r="D724" s="59"/>
      <c r="E724" s="59"/>
      <c r="F724" s="59"/>
      <c r="G724" s="431" t="s">
        <v>190</v>
      </c>
      <c r="H724" s="431"/>
      <c r="I724" s="59"/>
      <c r="J724" s="260">
        <f t="shared" si="0"/>
        <v>1</v>
      </c>
      <c r="K724" s="61"/>
    </row>
    <row r="725" spans="2:11" x14ac:dyDescent="0.2">
      <c r="B725" s="57"/>
      <c r="C725" s="196" t="s">
        <v>43</v>
      </c>
      <c r="D725" s="59"/>
      <c r="E725" s="59"/>
      <c r="F725" s="59"/>
      <c r="G725" s="431" t="s">
        <v>202</v>
      </c>
      <c r="H725" s="431"/>
      <c r="I725" s="59"/>
      <c r="J725" s="260">
        <f t="shared" si="0"/>
        <v>0</v>
      </c>
      <c r="K725" s="61"/>
    </row>
    <row r="726" spans="2:11" x14ac:dyDescent="0.2">
      <c r="B726" s="57"/>
      <c r="C726" s="59"/>
      <c r="D726" s="59"/>
      <c r="E726" s="59"/>
      <c r="F726" s="59"/>
      <c r="G726" s="59"/>
      <c r="H726" s="59"/>
      <c r="I726" s="59"/>
      <c r="J726" s="59"/>
      <c r="K726" s="61"/>
    </row>
    <row r="727" spans="2:11" x14ac:dyDescent="0.2">
      <c r="B727" s="57"/>
      <c r="C727" s="59"/>
      <c r="D727" s="59"/>
      <c r="E727" s="59"/>
      <c r="F727" s="59"/>
      <c r="G727" s="59"/>
      <c r="H727" s="59"/>
      <c r="I727" s="59"/>
      <c r="J727" s="59"/>
      <c r="K727" s="61"/>
    </row>
    <row r="728" spans="2:11" ht="16" x14ac:dyDescent="0.2">
      <c r="B728" s="57"/>
      <c r="C728" s="195" t="s">
        <v>115</v>
      </c>
      <c r="D728" s="59"/>
      <c r="E728" s="59"/>
      <c r="F728" s="59"/>
      <c r="G728" s="59"/>
      <c r="H728" s="59"/>
      <c r="I728" s="59"/>
      <c r="J728" s="59"/>
      <c r="K728" s="61"/>
    </row>
    <row r="729" spans="2:11" ht="15" customHeight="1" x14ac:dyDescent="0.2">
      <c r="B729" s="57"/>
      <c r="C729" s="411" t="s">
        <v>365</v>
      </c>
      <c r="D729" s="411"/>
      <c r="E729" s="411"/>
      <c r="F729" s="411"/>
      <c r="G729" s="411"/>
      <c r="H729" s="411"/>
      <c r="I729" s="411"/>
      <c r="J729" s="411"/>
      <c r="K729" s="61"/>
    </row>
    <row r="730" spans="2:11" x14ac:dyDescent="0.2">
      <c r="B730" s="57"/>
      <c r="C730" s="411"/>
      <c r="D730" s="411"/>
      <c r="E730" s="411"/>
      <c r="F730" s="411"/>
      <c r="G730" s="411"/>
      <c r="H730" s="411"/>
      <c r="I730" s="411"/>
      <c r="J730" s="411"/>
      <c r="K730" s="61"/>
    </row>
    <row r="731" spans="2:11" x14ac:dyDescent="0.2">
      <c r="B731" s="57"/>
      <c r="C731" s="411"/>
      <c r="D731" s="411"/>
      <c r="E731" s="411"/>
      <c r="F731" s="411"/>
      <c r="G731" s="411"/>
      <c r="H731" s="411"/>
      <c r="I731" s="411"/>
      <c r="J731" s="411"/>
      <c r="K731" s="61"/>
    </row>
    <row r="732" spans="2:11" x14ac:dyDescent="0.2">
      <c r="B732" s="57"/>
      <c r="C732" s="196" t="s">
        <v>30</v>
      </c>
      <c r="D732" s="59"/>
      <c r="E732" s="59"/>
      <c r="F732" s="59"/>
      <c r="G732" s="431" t="s">
        <v>202</v>
      </c>
      <c r="H732" s="431"/>
      <c r="I732" s="59"/>
      <c r="J732" s="260">
        <f>IF(G732=$B$994,$A$994,IF(G732=$B$995,$A$995,"Not Calculated"))</f>
        <v>0</v>
      </c>
      <c r="K732" s="61"/>
    </row>
    <row r="733" spans="2:11" x14ac:dyDescent="0.2">
      <c r="B733" s="57"/>
      <c r="C733" s="196" t="s">
        <v>32</v>
      </c>
      <c r="D733" s="59"/>
      <c r="E733" s="59"/>
      <c r="F733" s="59"/>
      <c r="G733" s="431" t="s">
        <v>202</v>
      </c>
      <c r="H733" s="431"/>
      <c r="I733" s="59"/>
      <c r="J733" s="260">
        <f t="shared" ref="J733:J740" si="1">IF(G733=$B$994,$A$994,IF(G733=$B$995,$A$995,"Not Calculated"))</f>
        <v>0</v>
      </c>
      <c r="K733" s="61"/>
    </row>
    <row r="734" spans="2:11" ht="15" customHeight="1" x14ac:dyDescent="0.2">
      <c r="B734" s="57"/>
      <c r="C734" s="196" t="s">
        <v>34</v>
      </c>
      <c r="D734" s="59"/>
      <c r="E734" s="59"/>
      <c r="F734" s="59"/>
      <c r="G734" s="431" t="s">
        <v>202</v>
      </c>
      <c r="H734" s="431"/>
      <c r="I734" s="59"/>
      <c r="J734" s="260">
        <f t="shared" si="1"/>
        <v>0</v>
      </c>
      <c r="K734" s="61"/>
    </row>
    <row r="735" spans="2:11" x14ac:dyDescent="0.2">
      <c r="B735" s="57"/>
      <c r="C735" s="196" t="s">
        <v>35</v>
      </c>
      <c r="D735" s="59"/>
      <c r="E735" s="59"/>
      <c r="F735" s="59"/>
      <c r="G735" s="431" t="s">
        <v>202</v>
      </c>
      <c r="H735" s="431"/>
      <c r="I735" s="59"/>
      <c r="J735" s="260">
        <f t="shared" si="1"/>
        <v>0</v>
      </c>
      <c r="K735" s="61"/>
    </row>
    <row r="736" spans="2:11" x14ac:dyDescent="0.2">
      <c r="B736" s="57"/>
      <c r="C736" s="196" t="s">
        <v>37</v>
      </c>
      <c r="D736" s="59"/>
      <c r="E736" s="59"/>
      <c r="F736" s="59"/>
      <c r="G736" s="431" t="s">
        <v>202</v>
      </c>
      <c r="H736" s="431"/>
      <c r="I736" s="59"/>
      <c r="J736" s="260">
        <f t="shared" si="1"/>
        <v>0</v>
      </c>
      <c r="K736" s="61"/>
    </row>
    <row r="737" spans="2:11" x14ac:dyDescent="0.2">
      <c r="B737" s="57"/>
      <c r="C737" s="196" t="s">
        <v>38</v>
      </c>
      <c r="D737" s="59"/>
      <c r="E737" s="59"/>
      <c r="F737" s="59"/>
      <c r="G737" s="431" t="s">
        <v>202</v>
      </c>
      <c r="H737" s="431"/>
      <c r="I737" s="59"/>
      <c r="J737" s="260">
        <f t="shared" si="1"/>
        <v>0</v>
      </c>
      <c r="K737" s="61"/>
    </row>
    <row r="738" spans="2:11" x14ac:dyDescent="0.2">
      <c r="B738" s="57"/>
      <c r="C738" s="196" t="s">
        <v>40</v>
      </c>
      <c r="D738" s="59"/>
      <c r="E738" s="59"/>
      <c r="F738" s="59"/>
      <c r="G738" s="431" t="s">
        <v>202</v>
      </c>
      <c r="H738" s="431"/>
      <c r="I738" s="59"/>
      <c r="J738" s="260">
        <f t="shared" si="1"/>
        <v>0</v>
      </c>
      <c r="K738" s="61"/>
    </row>
    <row r="739" spans="2:11" x14ac:dyDescent="0.2">
      <c r="B739" s="57"/>
      <c r="C739" s="196" t="s">
        <v>41</v>
      </c>
      <c r="D739" s="59"/>
      <c r="E739" s="59"/>
      <c r="F739" s="59"/>
      <c r="G739" s="431" t="s">
        <v>202</v>
      </c>
      <c r="H739" s="431"/>
      <c r="I739" s="59"/>
      <c r="J739" s="260">
        <f t="shared" si="1"/>
        <v>0</v>
      </c>
      <c r="K739" s="61"/>
    </row>
    <row r="740" spans="2:11" x14ac:dyDescent="0.2">
      <c r="B740" s="57"/>
      <c r="C740" s="196" t="s">
        <v>43</v>
      </c>
      <c r="D740" s="59"/>
      <c r="E740" s="59"/>
      <c r="F740" s="59"/>
      <c r="G740" s="431" t="s">
        <v>202</v>
      </c>
      <c r="H740" s="431"/>
      <c r="I740" s="59"/>
      <c r="J740" s="260">
        <f t="shared" si="1"/>
        <v>0</v>
      </c>
      <c r="K740" s="61"/>
    </row>
    <row r="741" spans="2:11" x14ac:dyDescent="0.2">
      <c r="B741" s="57"/>
      <c r="C741" s="59"/>
      <c r="D741" s="59"/>
      <c r="E741" s="59"/>
      <c r="F741" s="59"/>
      <c r="G741" s="59"/>
      <c r="H741" s="59"/>
      <c r="I741" s="59"/>
      <c r="J741" s="59"/>
      <c r="K741" s="61"/>
    </row>
    <row r="742" spans="2:11" x14ac:dyDescent="0.2">
      <c r="B742" s="57"/>
      <c r="C742" s="59"/>
      <c r="D742" s="59"/>
      <c r="E742" s="59"/>
      <c r="F742" s="59"/>
      <c r="G742" s="59"/>
      <c r="H742" s="59"/>
      <c r="I742" s="59"/>
      <c r="J742" s="59"/>
      <c r="K742" s="61"/>
    </row>
    <row r="743" spans="2:11" ht="16" x14ac:dyDescent="0.2">
      <c r="B743" s="57"/>
      <c r="C743" s="195" t="s">
        <v>366</v>
      </c>
      <c r="D743" s="59"/>
      <c r="E743" s="59"/>
      <c r="F743" s="59"/>
      <c r="G743" s="59"/>
      <c r="H743" s="59"/>
      <c r="I743" s="59"/>
      <c r="J743" s="59"/>
      <c r="K743" s="61"/>
    </row>
    <row r="744" spans="2:11" ht="15" customHeight="1" x14ac:dyDescent="0.2">
      <c r="B744" s="57"/>
      <c r="C744" s="411" t="s">
        <v>367</v>
      </c>
      <c r="D744" s="411"/>
      <c r="E744" s="411"/>
      <c r="F744" s="411"/>
      <c r="G744" s="411"/>
      <c r="H744" s="411"/>
      <c r="I744" s="411"/>
      <c r="J744" s="411"/>
      <c r="K744" s="61"/>
    </row>
    <row r="745" spans="2:11" x14ac:dyDescent="0.2">
      <c r="B745" s="57"/>
      <c r="C745" s="411"/>
      <c r="D745" s="411"/>
      <c r="E745" s="411"/>
      <c r="F745" s="411"/>
      <c r="G745" s="411"/>
      <c r="H745" s="411"/>
      <c r="I745" s="411"/>
      <c r="J745" s="411"/>
      <c r="K745" s="61"/>
    </row>
    <row r="746" spans="2:11" x14ac:dyDescent="0.2">
      <c r="B746" s="57"/>
      <c r="C746" s="411"/>
      <c r="D746" s="411"/>
      <c r="E746" s="411"/>
      <c r="F746" s="411"/>
      <c r="G746" s="411"/>
      <c r="H746" s="411"/>
      <c r="I746" s="411"/>
      <c r="J746" s="411"/>
      <c r="K746" s="61"/>
    </row>
    <row r="747" spans="2:11" x14ac:dyDescent="0.2">
      <c r="B747" s="57"/>
      <c r="C747" s="196" t="s">
        <v>30</v>
      </c>
      <c r="D747" s="59"/>
      <c r="E747" s="59"/>
      <c r="F747" s="59"/>
      <c r="G747" s="431" t="s">
        <v>202</v>
      </c>
      <c r="H747" s="431"/>
      <c r="I747" s="59"/>
      <c r="J747" s="260">
        <f>IF(G747=$B$994,$A$994,IF(G747=$B$995,$A$995,"Not Calculated"))</f>
        <v>0</v>
      </c>
      <c r="K747" s="61"/>
    </row>
    <row r="748" spans="2:11" x14ac:dyDescent="0.2">
      <c r="B748" s="57"/>
      <c r="C748" s="196" t="s">
        <v>32</v>
      </c>
      <c r="D748" s="59"/>
      <c r="E748" s="59"/>
      <c r="F748" s="59"/>
      <c r="G748" s="431" t="s">
        <v>202</v>
      </c>
      <c r="H748" s="431"/>
      <c r="I748" s="59"/>
      <c r="J748" s="260">
        <f t="shared" ref="J748:J755" si="2">IF(G748=$B$994,$A$994,IF(G748=$B$995,$A$995,"Not Calculated"))</f>
        <v>0</v>
      </c>
      <c r="K748" s="61"/>
    </row>
    <row r="749" spans="2:11" ht="15" customHeight="1" x14ac:dyDescent="0.2">
      <c r="B749" s="57"/>
      <c r="C749" s="196" t="s">
        <v>34</v>
      </c>
      <c r="D749" s="59"/>
      <c r="E749" s="59"/>
      <c r="F749" s="59"/>
      <c r="G749" s="431" t="s">
        <v>202</v>
      </c>
      <c r="H749" s="431"/>
      <c r="I749" s="59"/>
      <c r="J749" s="260">
        <f t="shared" si="2"/>
        <v>0</v>
      </c>
      <c r="K749" s="61"/>
    </row>
    <row r="750" spans="2:11" x14ac:dyDescent="0.2">
      <c r="B750" s="57"/>
      <c r="C750" s="196" t="s">
        <v>35</v>
      </c>
      <c r="D750" s="59"/>
      <c r="E750" s="59"/>
      <c r="F750" s="59"/>
      <c r="G750" s="431" t="s">
        <v>202</v>
      </c>
      <c r="H750" s="431"/>
      <c r="I750" s="59"/>
      <c r="J750" s="260">
        <f t="shared" si="2"/>
        <v>0</v>
      </c>
      <c r="K750" s="61"/>
    </row>
    <row r="751" spans="2:11" x14ac:dyDescent="0.2">
      <c r="B751" s="57"/>
      <c r="C751" s="196" t="s">
        <v>37</v>
      </c>
      <c r="D751" s="59"/>
      <c r="E751" s="59"/>
      <c r="F751" s="59"/>
      <c r="G751" s="431" t="s">
        <v>202</v>
      </c>
      <c r="H751" s="431"/>
      <c r="I751" s="59"/>
      <c r="J751" s="260">
        <f t="shared" si="2"/>
        <v>0</v>
      </c>
      <c r="K751" s="61"/>
    </row>
    <row r="752" spans="2:11" x14ac:dyDescent="0.2">
      <c r="B752" s="57"/>
      <c r="C752" s="196" t="s">
        <v>38</v>
      </c>
      <c r="D752" s="59"/>
      <c r="E752" s="59"/>
      <c r="F752" s="59"/>
      <c r="G752" s="431" t="s">
        <v>202</v>
      </c>
      <c r="H752" s="431"/>
      <c r="I752" s="59"/>
      <c r="J752" s="260">
        <f t="shared" si="2"/>
        <v>0</v>
      </c>
      <c r="K752" s="61"/>
    </row>
    <row r="753" spans="2:11" x14ac:dyDescent="0.2">
      <c r="B753" s="57"/>
      <c r="C753" s="196" t="s">
        <v>40</v>
      </c>
      <c r="D753" s="59"/>
      <c r="E753" s="59"/>
      <c r="F753" s="59"/>
      <c r="G753" s="431" t="s">
        <v>202</v>
      </c>
      <c r="H753" s="431"/>
      <c r="I753" s="59"/>
      <c r="J753" s="260">
        <f t="shared" si="2"/>
        <v>0</v>
      </c>
      <c r="K753" s="61"/>
    </row>
    <row r="754" spans="2:11" x14ac:dyDescent="0.2">
      <c r="B754" s="57"/>
      <c r="C754" s="196" t="s">
        <v>41</v>
      </c>
      <c r="D754" s="59"/>
      <c r="E754" s="59"/>
      <c r="F754" s="59"/>
      <c r="G754" s="431" t="s">
        <v>202</v>
      </c>
      <c r="H754" s="431"/>
      <c r="I754" s="59"/>
      <c r="J754" s="260">
        <f t="shared" si="2"/>
        <v>0</v>
      </c>
      <c r="K754" s="61"/>
    </row>
    <row r="755" spans="2:11" x14ac:dyDescent="0.2">
      <c r="B755" s="57"/>
      <c r="C755" s="196" t="s">
        <v>43</v>
      </c>
      <c r="D755" s="59"/>
      <c r="E755" s="59"/>
      <c r="F755" s="59"/>
      <c r="G755" s="431" t="s">
        <v>202</v>
      </c>
      <c r="H755" s="431"/>
      <c r="I755" s="59"/>
      <c r="J755" s="260">
        <f t="shared" si="2"/>
        <v>0</v>
      </c>
      <c r="K755" s="61"/>
    </row>
    <row r="756" spans="2:11" x14ac:dyDescent="0.2">
      <c r="B756" s="57"/>
      <c r="C756" s="59"/>
      <c r="D756" s="59"/>
      <c r="E756" s="59"/>
      <c r="F756" s="59"/>
      <c r="G756" s="59"/>
      <c r="H756" s="59"/>
      <c r="I756" s="59"/>
      <c r="J756" s="59"/>
      <c r="K756" s="61"/>
    </row>
    <row r="757" spans="2:11" x14ac:dyDescent="0.2">
      <c r="B757" s="57"/>
      <c r="C757" s="59"/>
      <c r="D757" s="59"/>
      <c r="E757" s="59"/>
      <c r="F757" s="59"/>
      <c r="G757" s="59"/>
      <c r="H757" s="59"/>
      <c r="I757" s="59"/>
      <c r="J757" s="59"/>
      <c r="K757" s="61"/>
    </row>
    <row r="758" spans="2:11" ht="16" x14ac:dyDescent="0.2">
      <c r="B758" s="57"/>
      <c r="C758" s="195" t="s">
        <v>368</v>
      </c>
      <c r="D758" s="59"/>
      <c r="E758" s="59"/>
      <c r="F758" s="59"/>
      <c r="G758" s="59"/>
      <c r="H758" s="59"/>
      <c r="I758" s="59"/>
      <c r="J758" s="59"/>
      <c r="K758" s="61"/>
    </row>
    <row r="759" spans="2:11" ht="15" customHeight="1" x14ac:dyDescent="0.2">
      <c r="B759" s="57"/>
      <c r="C759" s="411" t="s">
        <v>369</v>
      </c>
      <c r="D759" s="411"/>
      <c r="E759" s="411"/>
      <c r="F759" s="411"/>
      <c r="G759" s="411"/>
      <c r="H759" s="411"/>
      <c r="I759" s="411"/>
      <c r="J759" s="411"/>
      <c r="K759" s="61"/>
    </row>
    <row r="760" spans="2:11" x14ac:dyDescent="0.2">
      <c r="B760" s="57"/>
      <c r="C760" s="411"/>
      <c r="D760" s="411"/>
      <c r="E760" s="411"/>
      <c r="F760" s="411"/>
      <c r="G760" s="411"/>
      <c r="H760" s="411"/>
      <c r="I760" s="411"/>
      <c r="J760" s="411"/>
      <c r="K760" s="61"/>
    </row>
    <row r="761" spans="2:11" x14ac:dyDescent="0.2">
      <c r="B761" s="57"/>
      <c r="C761" s="411"/>
      <c r="D761" s="411"/>
      <c r="E761" s="411"/>
      <c r="F761" s="411"/>
      <c r="G761" s="411"/>
      <c r="H761" s="411"/>
      <c r="I761" s="411"/>
      <c r="J761" s="411"/>
      <c r="K761" s="61"/>
    </row>
    <row r="762" spans="2:11" x14ac:dyDescent="0.2">
      <c r="B762" s="57"/>
      <c r="C762" s="196" t="s">
        <v>30</v>
      </c>
      <c r="D762" s="59"/>
      <c r="E762" s="59"/>
      <c r="F762" s="59"/>
      <c r="G762" s="431" t="s">
        <v>190</v>
      </c>
      <c r="H762" s="431"/>
      <c r="I762" s="59"/>
      <c r="J762" s="260">
        <f>IF(G762=$B$994,$A$994,IF(G762=$B$995,$A$995,"Not Calculated"))</f>
        <v>1</v>
      </c>
      <c r="K762" s="61"/>
    </row>
    <row r="763" spans="2:11" x14ac:dyDescent="0.2">
      <c r="B763" s="57"/>
      <c r="C763" s="196" t="s">
        <v>32</v>
      </c>
      <c r="D763" s="59"/>
      <c r="E763" s="59"/>
      <c r="F763" s="59"/>
      <c r="G763" s="431" t="s">
        <v>190</v>
      </c>
      <c r="H763" s="431"/>
      <c r="I763" s="59"/>
      <c r="J763" s="260">
        <f t="shared" ref="J763:J770" si="3">IF(G763=$B$994,$A$994,IF(G763=$B$995,$A$995,"Not Calculated"))</f>
        <v>1</v>
      </c>
      <c r="K763" s="61"/>
    </row>
    <row r="764" spans="2:11" ht="15" customHeight="1" x14ac:dyDescent="0.2">
      <c r="B764" s="57"/>
      <c r="C764" s="196" t="s">
        <v>34</v>
      </c>
      <c r="D764" s="59"/>
      <c r="E764" s="59"/>
      <c r="F764" s="59"/>
      <c r="G764" s="431" t="s">
        <v>190</v>
      </c>
      <c r="H764" s="431"/>
      <c r="I764" s="59"/>
      <c r="J764" s="260">
        <f t="shared" si="3"/>
        <v>1</v>
      </c>
      <c r="K764" s="61"/>
    </row>
    <row r="765" spans="2:11" x14ac:dyDescent="0.2">
      <c r="B765" s="57"/>
      <c r="C765" s="196" t="s">
        <v>35</v>
      </c>
      <c r="D765" s="59"/>
      <c r="E765" s="59"/>
      <c r="F765" s="59"/>
      <c r="G765" s="431" t="s">
        <v>190</v>
      </c>
      <c r="H765" s="431"/>
      <c r="I765" s="59"/>
      <c r="J765" s="260">
        <f t="shared" si="3"/>
        <v>1</v>
      </c>
      <c r="K765" s="61"/>
    </row>
    <row r="766" spans="2:11" x14ac:dyDescent="0.2">
      <c r="B766" s="57"/>
      <c r="C766" s="196" t="s">
        <v>37</v>
      </c>
      <c r="D766" s="59"/>
      <c r="E766" s="59"/>
      <c r="F766" s="59"/>
      <c r="G766" s="431" t="s">
        <v>190</v>
      </c>
      <c r="H766" s="431"/>
      <c r="I766" s="59"/>
      <c r="J766" s="260">
        <f t="shared" si="3"/>
        <v>1</v>
      </c>
      <c r="K766" s="61"/>
    </row>
    <row r="767" spans="2:11" x14ac:dyDescent="0.2">
      <c r="B767" s="57"/>
      <c r="C767" s="196" t="s">
        <v>38</v>
      </c>
      <c r="D767" s="59"/>
      <c r="E767" s="59"/>
      <c r="F767" s="59"/>
      <c r="G767" s="431" t="s">
        <v>190</v>
      </c>
      <c r="H767" s="431"/>
      <c r="I767" s="59"/>
      <c r="J767" s="260">
        <f t="shared" si="3"/>
        <v>1</v>
      </c>
      <c r="K767" s="61"/>
    </row>
    <row r="768" spans="2:11" x14ac:dyDescent="0.2">
      <c r="B768" s="57"/>
      <c r="C768" s="196" t="s">
        <v>40</v>
      </c>
      <c r="D768" s="59"/>
      <c r="E768" s="59"/>
      <c r="F768" s="59"/>
      <c r="G768" s="431" t="s">
        <v>190</v>
      </c>
      <c r="H768" s="431"/>
      <c r="I768" s="59"/>
      <c r="J768" s="260">
        <f t="shared" si="3"/>
        <v>1</v>
      </c>
      <c r="K768" s="61"/>
    </row>
    <row r="769" spans="2:11" x14ac:dyDescent="0.2">
      <c r="B769" s="57"/>
      <c r="C769" s="196" t="s">
        <v>41</v>
      </c>
      <c r="D769" s="59"/>
      <c r="E769" s="59"/>
      <c r="F769" s="59"/>
      <c r="G769" s="431" t="s">
        <v>190</v>
      </c>
      <c r="H769" s="431"/>
      <c r="I769" s="59"/>
      <c r="J769" s="260">
        <f t="shared" si="3"/>
        <v>1</v>
      </c>
      <c r="K769" s="61"/>
    </row>
    <row r="770" spans="2:11" x14ac:dyDescent="0.2">
      <c r="B770" s="57"/>
      <c r="C770" s="196" t="s">
        <v>43</v>
      </c>
      <c r="D770" s="59"/>
      <c r="E770" s="59"/>
      <c r="F770" s="59"/>
      <c r="G770" s="431" t="s">
        <v>190</v>
      </c>
      <c r="H770" s="431"/>
      <c r="I770" s="59"/>
      <c r="J770" s="260">
        <f t="shared" si="3"/>
        <v>1</v>
      </c>
      <c r="K770" s="61"/>
    </row>
    <row r="771" spans="2:11" x14ac:dyDescent="0.2">
      <c r="B771" s="57"/>
      <c r="C771" s="59"/>
      <c r="D771" s="59"/>
      <c r="E771" s="59"/>
      <c r="F771" s="59"/>
      <c r="G771" s="59"/>
      <c r="H771" s="59"/>
      <c r="I771" s="59"/>
      <c r="J771" s="59"/>
      <c r="K771" s="61"/>
    </row>
    <row r="772" spans="2:11" x14ac:dyDescent="0.2">
      <c r="B772" s="57"/>
      <c r="C772" s="59"/>
      <c r="D772" s="59"/>
      <c r="E772" s="59"/>
      <c r="F772" s="59"/>
      <c r="G772" s="59"/>
      <c r="H772" s="59"/>
      <c r="I772" s="59"/>
      <c r="J772" s="59"/>
      <c r="K772" s="61"/>
    </row>
    <row r="773" spans="2:11" ht="16" x14ac:dyDescent="0.2">
      <c r="B773" s="57"/>
      <c r="C773" s="197" t="s">
        <v>30</v>
      </c>
      <c r="D773" s="59"/>
      <c r="E773" s="59"/>
      <c r="F773" s="59"/>
      <c r="G773" s="59"/>
      <c r="H773" s="59"/>
      <c r="I773" s="59"/>
      <c r="J773" s="59"/>
      <c r="K773" s="61"/>
    </row>
    <row r="774" spans="2:11" x14ac:dyDescent="0.2">
      <c r="B774" s="57"/>
      <c r="C774" s="59"/>
      <c r="D774" s="59" t="s">
        <v>370</v>
      </c>
      <c r="E774" s="59"/>
      <c r="F774" s="59"/>
      <c r="G774" s="59"/>
      <c r="H774" s="59"/>
      <c r="I774" s="59"/>
      <c r="J774" s="60">
        <f>'Baseline At-Risk Pops'!H8</f>
        <v>0</v>
      </c>
      <c r="K774" s="61"/>
    </row>
    <row r="775" spans="2:11" x14ac:dyDescent="0.2">
      <c r="B775" s="57"/>
      <c r="C775" s="59"/>
      <c r="D775" s="59" t="s">
        <v>371</v>
      </c>
      <c r="E775" s="59"/>
      <c r="F775" s="59"/>
      <c r="G775" s="59"/>
      <c r="H775" s="59"/>
      <c r="I775" s="59"/>
      <c r="J775" s="60">
        <f>SUM(J717,J732,J747,J762)</f>
        <v>2</v>
      </c>
      <c r="K775" s="61"/>
    </row>
    <row r="776" spans="2:11" x14ac:dyDescent="0.2">
      <c r="B776" s="57"/>
      <c r="C776" s="59"/>
      <c r="D776" s="196" t="s">
        <v>372</v>
      </c>
      <c r="E776" s="59"/>
      <c r="F776" s="59"/>
      <c r="G776" s="59"/>
      <c r="H776" s="59"/>
      <c r="I776" s="59"/>
      <c r="J776" s="60">
        <f>AVERAGE(J774,J775)</f>
        <v>1</v>
      </c>
      <c r="K776" s="61"/>
    </row>
    <row r="777" spans="2:11" ht="16" x14ac:dyDescent="0.2">
      <c r="B777" s="57"/>
      <c r="C777" s="197" t="s">
        <v>32</v>
      </c>
      <c r="D777" s="59"/>
      <c r="E777" s="59"/>
      <c r="F777" s="59"/>
      <c r="G777" s="59"/>
      <c r="H777" s="59"/>
      <c r="I777" s="59"/>
      <c r="J777" s="60"/>
      <c r="K777" s="61"/>
    </row>
    <row r="778" spans="2:11" x14ac:dyDescent="0.2">
      <c r="B778" s="57"/>
      <c r="C778" s="59"/>
      <c r="D778" s="59" t="s">
        <v>370</v>
      </c>
      <c r="E778" s="59"/>
      <c r="F778" s="59"/>
      <c r="G778" s="59"/>
      <c r="H778" s="59"/>
      <c r="I778" s="59"/>
      <c r="J778" s="60">
        <f>'Baseline At-Risk Pops'!H14</f>
        <v>0</v>
      </c>
      <c r="K778" s="61"/>
    </row>
    <row r="779" spans="2:11" ht="15" customHeight="1" x14ac:dyDescent="0.2">
      <c r="B779" s="57"/>
      <c r="C779" s="59"/>
      <c r="D779" s="59" t="s">
        <v>371</v>
      </c>
      <c r="E779" s="59"/>
      <c r="F779" s="59"/>
      <c r="G779" s="59"/>
      <c r="H779" s="59"/>
      <c r="I779" s="59"/>
      <c r="J779" s="60">
        <f>SUM(J718,J733,J748,J763)</f>
        <v>2</v>
      </c>
      <c r="K779" s="61"/>
    </row>
    <row r="780" spans="2:11" x14ac:dyDescent="0.2">
      <c r="B780" s="57"/>
      <c r="C780" s="59"/>
      <c r="D780" s="196" t="s">
        <v>372</v>
      </c>
      <c r="E780" s="59"/>
      <c r="F780" s="59"/>
      <c r="G780" s="59"/>
      <c r="H780" s="59"/>
      <c r="I780" s="59"/>
      <c r="J780" s="60">
        <f>AVERAGE(J778,J779)</f>
        <v>1</v>
      </c>
      <c r="K780" s="61"/>
    </row>
    <row r="781" spans="2:11" ht="16" x14ac:dyDescent="0.2">
      <c r="B781" s="57"/>
      <c r="C781" s="197" t="s">
        <v>34</v>
      </c>
      <c r="D781" s="59"/>
      <c r="E781" s="59"/>
      <c r="F781" s="59"/>
      <c r="G781" s="59"/>
      <c r="H781" s="59"/>
      <c r="I781" s="59"/>
      <c r="J781" s="60"/>
      <c r="K781" s="61"/>
    </row>
    <row r="782" spans="2:11" ht="16" x14ac:dyDescent="0.2">
      <c r="B782" s="57"/>
      <c r="C782" s="197"/>
      <c r="D782" s="59" t="s">
        <v>370</v>
      </c>
      <c r="E782" s="59"/>
      <c r="F782" s="59"/>
      <c r="G782" s="59"/>
      <c r="H782" s="59"/>
      <c r="I782" s="59"/>
      <c r="J782" s="60">
        <f>'Baseline At-Risk Pops'!H21</f>
        <v>0</v>
      </c>
      <c r="K782" s="61"/>
    </row>
    <row r="783" spans="2:11" x14ac:dyDescent="0.2">
      <c r="B783" s="57"/>
      <c r="C783" s="59"/>
      <c r="D783" s="59" t="s">
        <v>371</v>
      </c>
      <c r="E783" s="59"/>
      <c r="F783" s="59"/>
      <c r="G783" s="59"/>
      <c r="H783" s="59"/>
      <c r="I783" s="59"/>
      <c r="J783" s="60">
        <f>SUM(J719,J734,J749,J764)</f>
        <v>1</v>
      </c>
      <c r="K783" s="61"/>
    </row>
    <row r="784" spans="2:11" x14ac:dyDescent="0.2">
      <c r="B784" s="57"/>
      <c r="C784" s="59"/>
      <c r="D784" s="196" t="s">
        <v>372</v>
      </c>
      <c r="E784" s="59"/>
      <c r="F784" s="59"/>
      <c r="G784" s="59"/>
      <c r="H784" s="59"/>
      <c r="I784" s="59"/>
      <c r="J784" s="60">
        <f>AVERAGE(J782,J783)</f>
        <v>0.5</v>
      </c>
      <c r="K784" s="61"/>
    </row>
    <row r="785" spans="2:11" ht="16" x14ac:dyDescent="0.2">
      <c r="B785" s="57"/>
      <c r="C785" s="197" t="s">
        <v>35</v>
      </c>
      <c r="D785" s="59"/>
      <c r="E785" s="59"/>
      <c r="F785" s="59"/>
      <c r="G785" s="59"/>
      <c r="H785" s="59"/>
      <c r="I785" s="59"/>
      <c r="J785" s="60"/>
      <c r="K785" s="61"/>
    </row>
    <row r="786" spans="2:11" x14ac:dyDescent="0.2">
      <c r="B786" s="57"/>
      <c r="C786" s="59"/>
      <c r="D786" s="59" t="s">
        <v>370</v>
      </c>
      <c r="E786" s="59"/>
      <c r="F786" s="59"/>
      <c r="G786" s="59"/>
      <c r="H786" s="59"/>
      <c r="I786" s="59"/>
      <c r="J786" s="60">
        <f>'Baseline At-Risk Pops'!H27</f>
        <v>0</v>
      </c>
      <c r="K786" s="61"/>
    </row>
    <row r="787" spans="2:11" x14ac:dyDescent="0.2">
      <c r="B787" s="57"/>
      <c r="C787" s="59"/>
      <c r="D787" s="59" t="s">
        <v>371</v>
      </c>
      <c r="E787" s="59"/>
      <c r="F787" s="59"/>
      <c r="G787" s="59"/>
      <c r="H787" s="59"/>
      <c r="I787" s="59"/>
      <c r="J787" s="60">
        <f>SUM(J720,J735,J750,J765)</f>
        <v>2</v>
      </c>
      <c r="K787" s="61"/>
    </row>
    <row r="788" spans="2:11" x14ac:dyDescent="0.2">
      <c r="B788" s="57"/>
      <c r="C788" s="59"/>
      <c r="D788" s="196" t="s">
        <v>372</v>
      </c>
      <c r="E788" s="59"/>
      <c r="F788" s="59"/>
      <c r="G788" s="59"/>
      <c r="H788" s="59"/>
      <c r="I788" s="59"/>
      <c r="J788" s="60">
        <f>AVERAGE(J786,J787)</f>
        <v>1</v>
      </c>
      <c r="K788" s="61"/>
    </row>
    <row r="789" spans="2:11" ht="16" x14ac:dyDescent="0.2">
      <c r="B789" s="57"/>
      <c r="C789" s="197" t="s">
        <v>37</v>
      </c>
      <c r="D789" s="59"/>
      <c r="E789" s="59"/>
      <c r="F789" s="59"/>
      <c r="G789" s="59"/>
      <c r="H789" s="59"/>
      <c r="I789" s="59"/>
      <c r="J789" s="60"/>
      <c r="K789" s="61"/>
    </row>
    <row r="790" spans="2:11" x14ac:dyDescent="0.2">
      <c r="B790" s="57"/>
      <c r="C790" s="59"/>
      <c r="D790" s="59" t="s">
        <v>370</v>
      </c>
      <c r="E790" s="59"/>
      <c r="F790" s="59"/>
      <c r="G790" s="59"/>
      <c r="H790" s="59"/>
      <c r="I790" s="59"/>
      <c r="J790" s="60">
        <f>'Baseline At-Risk Pops'!H34</f>
        <v>0</v>
      </c>
      <c r="K790" s="61"/>
    </row>
    <row r="791" spans="2:11" x14ac:dyDescent="0.2">
      <c r="B791" s="57"/>
      <c r="C791" s="59"/>
      <c r="D791" s="59" t="s">
        <v>371</v>
      </c>
      <c r="E791" s="59"/>
      <c r="F791" s="59"/>
      <c r="G791" s="59"/>
      <c r="H791" s="59"/>
      <c r="I791" s="59"/>
      <c r="J791" s="60">
        <f>SUM(J721,J736,J751,J766)</f>
        <v>2</v>
      </c>
      <c r="K791" s="61"/>
    </row>
    <row r="792" spans="2:11" x14ac:dyDescent="0.2">
      <c r="B792" s="57"/>
      <c r="C792" s="59"/>
      <c r="D792" s="196" t="s">
        <v>372</v>
      </c>
      <c r="E792" s="59"/>
      <c r="F792" s="59"/>
      <c r="G792" s="59"/>
      <c r="H792" s="59"/>
      <c r="I792" s="59"/>
      <c r="J792" s="60">
        <f>AVERAGE(J790,J791)</f>
        <v>1</v>
      </c>
      <c r="K792" s="61"/>
    </row>
    <row r="793" spans="2:11" ht="16" x14ac:dyDescent="0.2">
      <c r="B793" s="57"/>
      <c r="C793" s="197" t="s">
        <v>38</v>
      </c>
      <c r="D793" s="59"/>
      <c r="E793" s="59"/>
      <c r="F793" s="59"/>
      <c r="G793" s="59"/>
      <c r="H793" s="59"/>
      <c r="I793" s="59"/>
      <c r="J793" s="60"/>
      <c r="K793" s="61"/>
    </row>
    <row r="794" spans="2:11" x14ac:dyDescent="0.2">
      <c r="B794" s="57"/>
      <c r="C794" s="59"/>
      <c r="D794" s="59" t="s">
        <v>370</v>
      </c>
      <c r="E794" s="59"/>
      <c r="F794" s="59"/>
      <c r="G794" s="59"/>
      <c r="H794" s="59"/>
      <c r="I794" s="59"/>
      <c r="J794" s="60">
        <f>'Baseline At-Risk Pops'!H40</f>
        <v>0</v>
      </c>
      <c r="K794" s="61"/>
    </row>
    <row r="795" spans="2:11" x14ac:dyDescent="0.2">
      <c r="B795" s="57"/>
      <c r="C795" s="59"/>
      <c r="D795" s="59" t="s">
        <v>371</v>
      </c>
      <c r="E795" s="59"/>
      <c r="F795" s="59"/>
      <c r="G795" s="59"/>
      <c r="H795" s="59"/>
      <c r="I795" s="59"/>
      <c r="J795" s="60">
        <f>SUM(J722,J737,J752,J767)</f>
        <v>2</v>
      </c>
      <c r="K795" s="61"/>
    </row>
    <row r="796" spans="2:11" x14ac:dyDescent="0.2">
      <c r="B796" s="57"/>
      <c r="C796" s="59"/>
      <c r="D796" s="196" t="s">
        <v>372</v>
      </c>
      <c r="E796" s="59"/>
      <c r="F796" s="59"/>
      <c r="G796" s="59"/>
      <c r="H796" s="59"/>
      <c r="I796" s="59"/>
      <c r="J796" s="60">
        <f>AVERAGE(J794,J795)</f>
        <v>1</v>
      </c>
      <c r="K796" s="61"/>
    </row>
    <row r="797" spans="2:11" ht="16" x14ac:dyDescent="0.2">
      <c r="B797" s="57"/>
      <c r="C797" s="197" t="s">
        <v>40</v>
      </c>
      <c r="D797" s="59"/>
      <c r="E797" s="59"/>
      <c r="F797" s="59"/>
      <c r="G797" s="59"/>
      <c r="H797" s="59"/>
      <c r="I797" s="59"/>
      <c r="J797" s="60"/>
      <c r="K797" s="61"/>
    </row>
    <row r="798" spans="2:11" x14ac:dyDescent="0.2">
      <c r="B798" s="57"/>
      <c r="C798" s="59"/>
      <c r="D798" s="59" t="s">
        <v>370</v>
      </c>
      <c r="E798" s="59"/>
      <c r="F798" s="59"/>
      <c r="G798" s="59"/>
      <c r="H798" s="59"/>
      <c r="I798" s="59"/>
      <c r="J798" s="60">
        <f>'Baseline At-Risk Pops'!H46</f>
        <v>0</v>
      </c>
      <c r="K798" s="61"/>
    </row>
    <row r="799" spans="2:11" x14ac:dyDescent="0.2">
      <c r="B799" s="57"/>
      <c r="C799" s="59"/>
      <c r="D799" s="59" t="s">
        <v>371</v>
      </c>
      <c r="E799" s="59"/>
      <c r="F799" s="59"/>
      <c r="G799" s="59"/>
      <c r="H799" s="59"/>
      <c r="I799" s="59"/>
      <c r="J799" s="60">
        <f>SUM(J723,J738,J753,J768)</f>
        <v>2</v>
      </c>
      <c r="K799" s="61"/>
    </row>
    <row r="800" spans="2:11" x14ac:dyDescent="0.2">
      <c r="B800" s="57"/>
      <c r="C800" s="59"/>
      <c r="D800" s="196" t="s">
        <v>372</v>
      </c>
      <c r="E800" s="59"/>
      <c r="F800" s="59"/>
      <c r="G800" s="59"/>
      <c r="H800" s="59"/>
      <c r="I800" s="59"/>
      <c r="J800" s="60">
        <f>AVERAGE(J798,J799)</f>
        <v>1</v>
      </c>
      <c r="K800" s="61"/>
    </row>
    <row r="801" spans="2:11" ht="16" x14ac:dyDescent="0.2">
      <c r="B801" s="57"/>
      <c r="C801" s="197" t="s">
        <v>41</v>
      </c>
      <c r="D801" s="59"/>
      <c r="E801" s="59"/>
      <c r="F801" s="59"/>
      <c r="G801" s="59"/>
      <c r="H801" s="59"/>
      <c r="I801" s="59"/>
      <c r="J801" s="60"/>
      <c r="K801" s="61"/>
    </row>
    <row r="802" spans="2:11" ht="16" x14ac:dyDescent="0.2">
      <c r="B802" s="57"/>
      <c r="C802" s="197"/>
      <c r="D802" s="59" t="s">
        <v>370</v>
      </c>
      <c r="E802" s="59"/>
      <c r="F802" s="59"/>
      <c r="G802" s="59"/>
      <c r="H802" s="59"/>
      <c r="I802" s="59"/>
      <c r="J802" s="60">
        <f>'Baseline At-Risk Pops'!H52</f>
        <v>0</v>
      </c>
      <c r="K802" s="61"/>
    </row>
    <row r="803" spans="2:11" x14ac:dyDescent="0.2">
      <c r="B803" s="57"/>
      <c r="C803" s="59"/>
      <c r="D803" s="59" t="s">
        <v>371</v>
      </c>
      <c r="E803" s="59"/>
      <c r="F803" s="59"/>
      <c r="G803" s="59"/>
      <c r="H803" s="59"/>
      <c r="I803" s="59"/>
      <c r="J803" s="60">
        <f>SUM(J724,J739,J754,J769)</f>
        <v>2</v>
      </c>
      <c r="K803" s="61"/>
    </row>
    <row r="804" spans="2:11" x14ac:dyDescent="0.2">
      <c r="B804" s="57"/>
      <c r="C804" s="59"/>
      <c r="D804" s="196" t="s">
        <v>372</v>
      </c>
      <c r="E804" s="59"/>
      <c r="F804" s="59"/>
      <c r="G804" s="59"/>
      <c r="H804" s="59"/>
      <c r="I804" s="59"/>
      <c r="J804" s="60">
        <f>AVERAGE(J802,J803)</f>
        <v>1</v>
      </c>
      <c r="K804" s="61"/>
    </row>
    <row r="805" spans="2:11" ht="16" x14ac:dyDescent="0.2">
      <c r="B805" s="57"/>
      <c r="C805" s="197" t="s">
        <v>43</v>
      </c>
      <c r="D805" s="59"/>
      <c r="E805" s="59"/>
      <c r="F805" s="59"/>
      <c r="G805" s="59"/>
      <c r="H805" s="59"/>
      <c r="I805" s="59"/>
      <c r="J805" s="60"/>
      <c r="K805" s="61"/>
    </row>
    <row r="806" spans="2:11" x14ac:dyDescent="0.2">
      <c r="B806" s="57"/>
      <c r="C806" s="59"/>
      <c r="D806" s="59" t="s">
        <v>370</v>
      </c>
      <c r="E806" s="59"/>
      <c r="F806" s="59"/>
      <c r="G806" s="59"/>
      <c r="H806" s="59"/>
      <c r="I806" s="59"/>
      <c r="J806" s="60">
        <f>'Baseline At-Risk Pops'!H58</f>
        <v>0</v>
      </c>
      <c r="K806" s="61"/>
    </row>
    <row r="807" spans="2:11" x14ac:dyDescent="0.2">
      <c r="B807" s="57"/>
      <c r="C807" s="59"/>
      <c r="D807" s="59" t="s">
        <v>371</v>
      </c>
      <c r="E807" s="59"/>
      <c r="F807" s="59"/>
      <c r="G807" s="59"/>
      <c r="H807" s="59"/>
      <c r="I807" s="59"/>
      <c r="J807" s="60">
        <f>SUM(J725,J740,J755,J770)</f>
        <v>1</v>
      </c>
      <c r="K807" s="61"/>
    </row>
    <row r="808" spans="2:11" x14ac:dyDescent="0.2">
      <c r="B808" s="57"/>
      <c r="C808" s="59"/>
      <c r="D808" s="196" t="s">
        <v>372</v>
      </c>
      <c r="E808" s="59"/>
      <c r="F808" s="59"/>
      <c r="G808" s="59"/>
      <c r="H808" s="59"/>
      <c r="I808" s="59"/>
      <c r="J808" s="60">
        <f>AVERAGE(J806,J807)</f>
        <v>0.5</v>
      </c>
      <c r="K808" s="61"/>
    </row>
    <row r="809" spans="2:11" x14ac:dyDescent="0.2">
      <c r="B809" s="57"/>
      <c r="C809" s="59"/>
      <c r="D809" s="59"/>
      <c r="E809" s="59"/>
      <c r="F809" s="59"/>
      <c r="G809" s="59"/>
      <c r="H809" s="59"/>
      <c r="I809" s="59"/>
      <c r="J809" s="59"/>
      <c r="K809" s="61"/>
    </row>
    <row r="810" spans="2:11" x14ac:dyDescent="0.2">
      <c r="B810" s="57"/>
      <c r="C810" s="59"/>
      <c r="D810" s="59"/>
      <c r="E810" s="59"/>
      <c r="F810" s="59"/>
      <c r="G810" s="59"/>
      <c r="H810" s="59"/>
      <c r="I810" s="59"/>
      <c r="J810" s="59"/>
      <c r="K810" s="61"/>
    </row>
    <row r="811" spans="2:11" ht="16" x14ac:dyDescent="0.2">
      <c r="B811" s="57"/>
      <c r="C811" s="198" t="s">
        <v>373</v>
      </c>
      <c r="D811" s="59"/>
      <c r="E811" s="59"/>
      <c r="F811" s="59"/>
      <c r="G811" s="59"/>
      <c r="H811" s="59"/>
      <c r="I811" s="59"/>
      <c r="J811" s="261">
        <f>AVERAGE(J776,J780,J784,J788,J792,J796,J800,J804,J808)</f>
        <v>0.88888888888888884</v>
      </c>
      <c r="K811" s="61"/>
    </row>
    <row r="812" spans="2:11" ht="16" thickBot="1" x14ac:dyDescent="0.25">
      <c r="B812" s="73"/>
      <c r="C812" s="74"/>
      <c r="D812" s="74"/>
      <c r="E812" s="74"/>
      <c r="F812" s="74"/>
      <c r="G812" s="74"/>
      <c r="H812" s="74"/>
      <c r="I812" s="74"/>
      <c r="J812" s="74"/>
      <c r="K812" s="76"/>
    </row>
    <row r="813" spans="2:11" ht="16" thickBot="1" x14ac:dyDescent="0.25"/>
    <row r="814" spans="2:11" x14ac:dyDescent="0.2">
      <c r="B814" s="199"/>
      <c r="C814" s="200"/>
      <c r="D814" s="200"/>
      <c r="E814" s="200"/>
      <c r="F814" s="200"/>
      <c r="G814" s="200"/>
      <c r="H814" s="200"/>
      <c r="I814" s="200"/>
      <c r="J814" s="200"/>
      <c r="K814" s="201"/>
    </row>
    <row r="815" spans="2:11" ht="21" x14ac:dyDescent="0.25">
      <c r="B815" s="202"/>
      <c r="C815" s="203"/>
      <c r="D815" s="203"/>
      <c r="E815" s="203"/>
      <c r="F815" s="203"/>
      <c r="G815" s="204" t="s">
        <v>233</v>
      </c>
      <c r="H815" s="203"/>
      <c r="I815" s="203"/>
      <c r="J815" s="203"/>
      <c r="K815" s="205"/>
    </row>
    <row r="816" spans="2:11" x14ac:dyDescent="0.2">
      <c r="B816" s="202"/>
      <c r="C816" s="203"/>
      <c r="D816" s="203"/>
      <c r="E816" s="203"/>
      <c r="F816" s="203"/>
      <c r="G816" s="203"/>
      <c r="H816" s="203"/>
      <c r="I816" s="203"/>
      <c r="J816" s="203"/>
      <c r="K816" s="205"/>
    </row>
    <row r="817" spans="2:11" ht="16" x14ac:dyDescent="0.2">
      <c r="B817" s="202"/>
      <c r="C817" s="206" t="s">
        <v>992</v>
      </c>
      <c r="D817" s="203"/>
      <c r="E817" s="203"/>
      <c r="F817" s="203"/>
      <c r="G817" s="203"/>
      <c r="H817" s="203"/>
      <c r="I817" s="203"/>
      <c r="J817" s="262" t="str">
        <f>IF(J700="Not Calculated","Not Calculated",J700*(($J$811/4)+1))</f>
        <v>Not Calculated</v>
      </c>
      <c r="K817" s="205"/>
    </row>
    <row r="818" spans="2:11" x14ac:dyDescent="0.2">
      <c r="B818" s="202"/>
      <c r="C818" s="203"/>
      <c r="D818" s="203" t="s">
        <v>1119</v>
      </c>
      <c r="E818" s="203"/>
      <c r="F818" s="203"/>
      <c r="G818" s="203"/>
      <c r="H818" s="203"/>
      <c r="I818" s="203"/>
      <c r="J818" s="203"/>
      <c r="K818" s="205"/>
    </row>
    <row r="819" spans="2:11" x14ac:dyDescent="0.2">
      <c r="B819" s="202"/>
      <c r="C819" s="203"/>
      <c r="D819" s="203"/>
      <c r="E819" s="203"/>
      <c r="F819" s="203"/>
      <c r="G819" s="203"/>
      <c r="H819" s="203"/>
      <c r="I819" s="203"/>
      <c r="J819" s="203"/>
      <c r="K819" s="205"/>
    </row>
    <row r="820" spans="2:11" ht="16" x14ac:dyDescent="0.2">
      <c r="B820" s="202"/>
      <c r="C820" s="206" t="s">
        <v>993</v>
      </c>
      <c r="D820" s="203"/>
      <c r="E820" s="203"/>
      <c r="F820" s="203"/>
      <c r="G820" s="203"/>
      <c r="H820" s="203"/>
      <c r="I820" s="203"/>
      <c r="J820" s="262" t="str">
        <f>IF(J703="Not Calculated","Not Calculated",J703*(($J$811/4)+1))</f>
        <v>Not Calculated</v>
      </c>
      <c r="K820" s="205"/>
    </row>
    <row r="821" spans="2:11" x14ac:dyDescent="0.2">
      <c r="B821" s="202"/>
      <c r="C821" s="203"/>
      <c r="D821" s="203" t="s">
        <v>1120</v>
      </c>
      <c r="E821" s="203"/>
      <c r="F821" s="203"/>
      <c r="G821" s="203"/>
      <c r="H821" s="203"/>
      <c r="I821" s="203"/>
      <c r="J821" s="203"/>
      <c r="K821" s="205"/>
    </row>
    <row r="822" spans="2:11" x14ac:dyDescent="0.2">
      <c r="B822" s="202"/>
      <c r="C822" s="203"/>
      <c r="D822" s="203"/>
      <c r="E822" s="203"/>
      <c r="F822" s="203"/>
      <c r="G822" s="203"/>
      <c r="H822" s="203"/>
      <c r="I822" s="203"/>
      <c r="J822" s="203"/>
      <c r="K822" s="205"/>
    </row>
    <row r="823" spans="2:11" ht="16" x14ac:dyDescent="0.2">
      <c r="B823" s="202"/>
      <c r="C823" s="206" t="s">
        <v>994</v>
      </c>
      <c r="D823" s="203"/>
      <c r="E823" s="203"/>
      <c r="F823" s="203"/>
      <c r="G823" s="203"/>
      <c r="H823" s="203"/>
      <c r="I823" s="203"/>
      <c r="J823" s="262" t="str">
        <f>IF(J706="Not Calculated","Not Calculated",J706*(($J$811/4)+1))</f>
        <v>Not Calculated</v>
      </c>
      <c r="K823" s="205"/>
    </row>
    <row r="824" spans="2:11" x14ac:dyDescent="0.2">
      <c r="B824" s="202"/>
      <c r="C824" s="203"/>
      <c r="D824" s="203" t="s">
        <v>1121</v>
      </c>
      <c r="E824" s="203"/>
      <c r="F824" s="203"/>
      <c r="G824" s="203"/>
      <c r="H824" s="203"/>
      <c r="I824" s="203"/>
      <c r="J824" s="203"/>
      <c r="K824" s="205"/>
    </row>
    <row r="825" spans="2:11" ht="16" thickBot="1" x14ac:dyDescent="0.25">
      <c r="B825" s="207"/>
      <c r="C825" s="208"/>
      <c r="D825" s="208"/>
      <c r="E825" s="208"/>
      <c r="F825" s="208"/>
      <c r="G825" s="208"/>
      <c r="H825" s="208"/>
      <c r="I825" s="208"/>
      <c r="J825" s="208"/>
      <c r="K825" s="209"/>
    </row>
    <row r="826" spans="2:11" ht="16" thickBot="1" x14ac:dyDescent="0.25"/>
    <row r="827" spans="2:11" x14ac:dyDescent="0.2">
      <c r="B827" s="77"/>
      <c r="C827" s="78"/>
      <c r="D827" s="78"/>
      <c r="E827" s="78"/>
      <c r="F827" s="78"/>
      <c r="G827" s="78"/>
      <c r="H827" s="78"/>
      <c r="I827" s="78"/>
      <c r="J827" s="78"/>
      <c r="K827" s="80"/>
    </row>
    <row r="828" spans="2:11" ht="21" x14ac:dyDescent="0.25">
      <c r="B828" s="81"/>
      <c r="C828" s="85"/>
      <c r="D828" s="85"/>
      <c r="E828" s="85"/>
      <c r="F828" s="85"/>
      <c r="G828" s="210" t="s">
        <v>806</v>
      </c>
      <c r="H828" s="85"/>
      <c r="I828" s="85"/>
      <c r="J828" s="85"/>
      <c r="K828" s="87"/>
    </row>
    <row r="829" spans="2:11" x14ac:dyDescent="0.2">
      <c r="B829" s="81"/>
      <c r="C829" s="85"/>
      <c r="D829" s="85"/>
      <c r="E829" s="85"/>
      <c r="F829" s="85"/>
      <c r="G829" s="85"/>
      <c r="H829" s="85"/>
      <c r="I829" s="85"/>
      <c r="J829" s="85"/>
      <c r="K829" s="87"/>
    </row>
    <row r="830" spans="2:11" ht="15" customHeight="1" x14ac:dyDescent="0.2">
      <c r="B830" s="81"/>
      <c r="C830" s="424" t="s">
        <v>808</v>
      </c>
      <c r="D830" s="424"/>
      <c r="E830" s="424"/>
      <c r="F830" s="424"/>
      <c r="G830" s="424"/>
      <c r="H830" s="424"/>
      <c r="I830" s="424"/>
      <c r="J830" s="424"/>
      <c r="K830" s="87"/>
    </row>
    <row r="831" spans="2:11" x14ac:dyDescent="0.2">
      <c r="B831" s="81"/>
      <c r="C831" s="424"/>
      <c r="D831" s="424"/>
      <c r="E831" s="424"/>
      <c r="F831" s="424"/>
      <c r="G831" s="424"/>
      <c r="H831" s="424"/>
      <c r="I831" s="424"/>
      <c r="J831" s="424"/>
      <c r="K831" s="87"/>
    </row>
    <row r="832" spans="2:11" x14ac:dyDescent="0.2">
      <c r="B832" s="81"/>
      <c r="C832" s="85"/>
      <c r="D832" s="85"/>
      <c r="E832" s="85"/>
      <c r="F832" s="85"/>
      <c r="G832" s="85"/>
      <c r="H832" s="85"/>
      <c r="I832" s="85"/>
      <c r="J832" s="85"/>
      <c r="K832" s="87"/>
    </row>
    <row r="833" spans="2:11" ht="16" x14ac:dyDescent="0.2">
      <c r="B833" s="81"/>
      <c r="C833" s="211" t="s">
        <v>654</v>
      </c>
      <c r="D833" s="85"/>
      <c r="E833" s="85"/>
      <c r="F833" s="85"/>
      <c r="G833" s="85"/>
      <c r="H833" s="85"/>
      <c r="I833" s="85"/>
      <c r="J833" s="85"/>
      <c r="K833" s="87"/>
    </row>
    <row r="834" spans="2:11" x14ac:dyDescent="0.2">
      <c r="B834" s="81"/>
      <c r="C834" s="85" t="s">
        <v>380</v>
      </c>
      <c r="D834" s="85"/>
      <c r="E834" s="85"/>
      <c r="F834" s="85"/>
      <c r="G834" s="406" t="s">
        <v>234</v>
      </c>
      <c r="H834" s="407"/>
      <c r="I834" s="85"/>
      <c r="J834" s="83">
        <f>IF(G834=$B$998,$A$998,IF(G834=$B$999,$A$999,IF(G834=$B$1000,$A$1000,IF(G834=$B$1001,$A$1001,IF(G834=$B$1002,$A$1002,"Not Calculated")))))</f>
        <v>4</v>
      </c>
      <c r="K834" s="87"/>
    </row>
    <row r="835" spans="2:11" x14ac:dyDescent="0.2">
      <c r="B835" s="81"/>
      <c r="C835" s="85" t="s">
        <v>134</v>
      </c>
      <c r="D835" s="85"/>
      <c r="E835" s="85"/>
      <c r="F835" s="85"/>
      <c r="G835" s="85"/>
      <c r="H835" s="85"/>
      <c r="I835" s="85"/>
      <c r="J835" s="240">
        <f>'Baseline PHP'!J16</f>
        <v>0</v>
      </c>
      <c r="K835" s="87"/>
    </row>
    <row r="836" spans="2:11" x14ac:dyDescent="0.2">
      <c r="B836" s="81"/>
      <c r="C836" s="85"/>
      <c r="D836" s="85"/>
      <c r="E836" s="85"/>
      <c r="F836" s="85"/>
      <c r="G836" s="85"/>
      <c r="H836" s="85"/>
      <c r="I836" s="85"/>
      <c r="J836" s="85"/>
      <c r="K836" s="87"/>
    </row>
    <row r="837" spans="2:11" ht="16" x14ac:dyDescent="0.2">
      <c r="B837" s="81"/>
      <c r="C837" s="211" t="s">
        <v>655</v>
      </c>
      <c r="D837" s="85"/>
      <c r="E837" s="85"/>
      <c r="F837" s="85"/>
      <c r="G837" s="85"/>
      <c r="H837" s="85"/>
      <c r="I837" s="85"/>
      <c r="J837" s="85"/>
      <c r="K837" s="87"/>
    </row>
    <row r="838" spans="2:11" x14ac:dyDescent="0.2">
      <c r="B838" s="81"/>
      <c r="C838" s="85" t="s">
        <v>380</v>
      </c>
      <c r="D838" s="85"/>
      <c r="E838" s="85"/>
      <c r="F838" s="85"/>
      <c r="G838" s="406" t="s">
        <v>235</v>
      </c>
      <c r="H838" s="407"/>
      <c r="I838" s="85"/>
      <c r="J838" s="83">
        <f>IF(G838=$B$998,$A$998,IF(G838=$B$999,$A$999,IF(G838=$B$1000,$A$1000,IF(G838=$B$1001,$A$1001,IF(G838=$B$1002,$A$1002,"Not Calculated")))))</f>
        <v>2</v>
      </c>
      <c r="K838" s="87"/>
    </row>
    <row r="839" spans="2:11" x14ac:dyDescent="0.2">
      <c r="B839" s="81"/>
      <c r="C839" s="85" t="s">
        <v>134</v>
      </c>
      <c r="D839" s="85"/>
      <c r="E839" s="85"/>
      <c r="F839" s="85"/>
      <c r="G839" s="85"/>
      <c r="H839" s="85"/>
      <c r="I839" s="85"/>
      <c r="J839" s="240">
        <f>'Baseline PHP'!J28</f>
        <v>0</v>
      </c>
      <c r="K839" s="87"/>
    </row>
    <row r="840" spans="2:11" x14ac:dyDescent="0.2">
      <c r="B840" s="81"/>
      <c r="C840" s="85"/>
      <c r="D840" s="85"/>
      <c r="E840" s="85"/>
      <c r="F840" s="85"/>
      <c r="G840" s="85"/>
      <c r="H840" s="85"/>
      <c r="I840" s="85"/>
      <c r="J840" s="85"/>
      <c r="K840" s="87"/>
    </row>
    <row r="841" spans="2:11" ht="16" x14ac:dyDescent="0.2">
      <c r="B841" s="81"/>
      <c r="C841" s="211" t="s">
        <v>645</v>
      </c>
      <c r="D841" s="85"/>
      <c r="E841" s="85"/>
      <c r="F841" s="85"/>
      <c r="G841" s="85"/>
      <c r="H841" s="85"/>
      <c r="I841" s="85"/>
      <c r="J841" s="85"/>
      <c r="K841" s="87"/>
    </row>
    <row r="842" spans="2:11" x14ac:dyDescent="0.2">
      <c r="B842" s="81"/>
      <c r="C842" s="85" t="s">
        <v>380</v>
      </c>
      <c r="D842" s="85"/>
      <c r="E842" s="85"/>
      <c r="F842" s="85"/>
      <c r="G842" s="406" t="s">
        <v>234</v>
      </c>
      <c r="H842" s="407"/>
      <c r="I842" s="85"/>
      <c r="J842" s="83">
        <f>IF(G842=$B$998,$A$998,IF(G842=$B$999,$A$999,IF(G842=$B$1000,$A$1000,IF(G842=$B$1001,$A$1001,IF(G842=$B$1002,$A$1002,"Not Calculated")))))</f>
        <v>4</v>
      </c>
      <c r="K842" s="87"/>
    </row>
    <row r="843" spans="2:11" x14ac:dyDescent="0.2">
      <c r="B843" s="81"/>
      <c r="C843" s="85" t="s">
        <v>134</v>
      </c>
      <c r="D843" s="85"/>
      <c r="E843" s="85"/>
      <c r="F843" s="85"/>
      <c r="G843" s="85"/>
      <c r="H843" s="85"/>
      <c r="I843" s="85"/>
      <c r="J843" s="240">
        <f>'Baseline PHP'!J44</f>
        <v>0</v>
      </c>
      <c r="K843" s="87"/>
    </row>
    <row r="844" spans="2:11" x14ac:dyDescent="0.2">
      <c r="B844" s="81"/>
      <c r="C844" s="85"/>
      <c r="D844" s="85"/>
      <c r="E844" s="85"/>
      <c r="F844" s="85"/>
      <c r="G844" s="85"/>
      <c r="H844" s="85"/>
      <c r="I844" s="85"/>
      <c r="J844" s="85"/>
      <c r="K844" s="87"/>
    </row>
    <row r="845" spans="2:11" ht="16" x14ac:dyDescent="0.2">
      <c r="B845" s="81"/>
      <c r="C845" s="211" t="s">
        <v>646</v>
      </c>
      <c r="D845" s="85"/>
      <c r="E845" s="85"/>
      <c r="F845" s="85"/>
      <c r="G845" s="85"/>
      <c r="H845" s="85"/>
      <c r="I845" s="85"/>
      <c r="J845" s="85"/>
      <c r="K845" s="87"/>
    </row>
    <row r="846" spans="2:11" x14ac:dyDescent="0.2">
      <c r="B846" s="81"/>
      <c r="C846" s="85" t="s">
        <v>380</v>
      </c>
      <c r="D846" s="85"/>
      <c r="E846" s="85"/>
      <c r="F846" s="85"/>
      <c r="G846" s="406" t="s">
        <v>234</v>
      </c>
      <c r="H846" s="407"/>
      <c r="I846" s="85"/>
      <c r="J846" s="83">
        <f>IF(G846=$B$998,$A$998,IF(G846=$B$999,$A$999,IF(G846=$B$1000,$A$1000,IF(G846=$B$1001,$A$1001,IF(G846=$B$1002,$A$1002,"Not Calculated")))))</f>
        <v>4</v>
      </c>
      <c r="K846" s="87"/>
    </row>
    <row r="847" spans="2:11" x14ac:dyDescent="0.2">
      <c r="B847" s="81"/>
      <c r="C847" s="85" t="s">
        <v>134</v>
      </c>
      <c r="D847" s="85"/>
      <c r="E847" s="85"/>
      <c r="F847" s="85"/>
      <c r="G847" s="85"/>
      <c r="H847" s="85"/>
      <c r="I847" s="85"/>
      <c r="J847" s="240">
        <f>'Baseline PHP'!J60</f>
        <v>0</v>
      </c>
      <c r="K847" s="87"/>
    </row>
    <row r="848" spans="2:11" x14ac:dyDescent="0.2">
      <c r="B848" s="81"/>
      <c r="C848" s="85"/>
      <c r="D848" s="85"/>
      <c r="E848" s="85"/>
      <c r="F848" s="85"/>
      <c r="G848" s="85"/>
      <c r="H848" s="85"/>
      <c r="I848" s="85"/>
      <c r="J848" s="85"/>
      <c r="K848" s="87"/>
    </row>
    <row r="849" spans="2:11" ht="16" x14ac:dyDescent="0.2">
      <c r="B849" s="81"/>
      <c r="C849" s="211" t="s">
        <v>648</v>
      </c>
      <c r="D849" s="85"/>
      <c r="E849" s="85"/>
      <c r="F849" s="85"/>
      <c r="G849" s="85"/>
      <c r="H849" s="85"/>
      <c r="I849" s="85"/>
      <c r="J849" s="85"/>
      <c r="K849" s="87"/>
    </row>
    <row r="850" spans="2:11" ht="15" customHeight="1" x14ac:dyDescent="0.2">
      <c r="B850" s="81"/>
      <c r="C850" s="85" t="s">
        <v>380</v>
      </c>
      <c r="D850" s="85"/>
      <c r="E850" s="85"/>
      <c r="F850" s="85"/>
      <c r="G850" s="406" t="s">
        <v>235</v>
      </c>
      <c r="H850" s="407"/>
      <c r="I850" s="85"/>
      <c r="J850" s="83">
        <f>IF(G850=$B$998,$A$998,IF(G850=$B$999,$A$999,IF(G850=$B$1000,$A$1000,IF(G850=$B$1001,$A$1001,IF(G850=$B$1002,$A$1002,"Not Calculated")))))</f>
        <v>2</v>
      </c>
      <c r="K850" s="87"/>
    </row>
    <row r="851" spans="2:11" x14ac:dyDescent="0.2">
      <c r="B851" s="81"/>
      <c r="C851" s="85" t="s">
        <v>134</v>
      </c>
      <c r="D851" s="85"/>
      <c r="E851" s="85"/>
      <c r="F851" s="85"/>
      <c r="G851" s="85"/>
      <c r="H851" s="85"/>
      <c r="I851" s="85"/>
      <c r="J851" s="240">
        <f>'Baseline PHP'!J76</f>
        <v>0</v>
      </c>
      <c r="K851" s="87"/>
    </row>
    <row r="852" spans="2:11" x14ac:dyDescent="0.2">
      <c r="B852" s="81"/>
      <c r="C852" s="85"/>
      <c r="D852" s="85"/>
      <c r="E852" s="85"/>
      <c r="F852" s="85"/>
      <c r="G852" s="85"/>
      <c r="H852" s="85"/>
      <c r="I852" s="85"/>
      <c r="J852" s="85"/>
      <c r="K852" s="87"/>
    </row>
    <row r="853" spans="2:11" ht="16" x14ac:dyDescent="0.2">
      <c r="B853" s="81"/>
      <c r="C853" s="211" t="s">
        <v>647</v>
      </c>
      <c r="D853" s="85"/>
      <c r="E853" s="85"/>
      <c r="F853" s="85"/>
      <c r="G853" s="85"/>
      <c r="H853" s="85"/>
      <c r="I853" s="85"/>
      <c r="J853" s="85"/>
      <c r="K853" s="87"/>
    </row>
    <row r="854" spans="2:11" x14ac:dyDescent="0.2">
      <c r="B854" s="81"/>
      <c r="C854" s="85" t="s">
        <v>380</v>
      </c>
      <c r="D854" s="85"/>
      <c r="E854" s="85"/>
      <c r="F854" s="85"/>
      <c r="G854" s="406" t="s">
        <v>234</v>
      </c>
      <c r="H854" s="407"/>
      <c r="I854" s="85"/>
      <c r="J854" s="83">
        <f>IF(G854=$B$998,$A$998,IF(G854=$B$999,$A$999,IF(G854=$B$1000,$A$1000,IF(G854=$B$1001,$A$1001,IF(G854=$B$1002,$A$1002,"Not Calculated")))))</f>
        <v>4</v>
      </c>
      <c r="K854" s="87"/>
    </row>
    <row r="855" spans="2:11" x14ac:dyDescent="0.2">
      <c r="B855" s="81"/>
      <c r="C855" s="85" t="s">
        <v>134</v>
      </c>
      <c r="D855" s="85"/>
      <c r="E855" s="85"/>
      <c r="F855" s="85"/>
      <c r="G855" s="85"/>
      <c r="H855" s="85"/>
      <c r="I855" s="85"/>
      <c r="J855" s="240">
        <f>'Baseline PHP'!J88</f>
        <v>0</v>
      </c>
      <c r="K855" s="87"/>
    </row>
    <row r="856" spans="2:11" x14ac:dyDescent="0.2">
      <c r="B856" s="81"/>
      <c r="C856" s="85"/>
      <c r="D856" s="85"/>
      <c r="E856" s="85"/>
      <c r="F856" s="85"/>
      <c r="G856" s="85"/>
      <c r="H856" s="85"/>
      <c r="I856" s="85"/>
      <c r="J856" s="85"/>
      <c r="K856" s="87"/>
    </row>
    <row r="857" spans="2:11" ht="16" x14ac:dyDescent="0.2">
      <c r="B857" s="81"/>
      <c r="C857" s="211" t="s">
        <v>115</v>
      </c>
      <c r="D857" s="85"/>
      <c r="E857" s="85"/>
      <c r="F857" s="85"/>
      <c r="G857" s="85"/>
      <c r="H857" s="85"/>
      <c r="I857" s="85"/>
      <c r="J857" s="85"/>
      <c r="K857" s="87"/>
    </row>
    <row r="858" spans="2:11" x14ac:dyDescent="0.2">
      <c r="B858" s="81"/>
      <c r="C858" s="85" t="s">
        <v>380</v>
      </c>
      <c r="D858" s="85"/>
      <c r="E858" s="85"/>
      <c r="F858" s="85"/>
      <c r="G858" s="406" t="s">
        <v>236</v>
      </c>
      <c r="H858" s="407"/>
      <c r="I858" s="85"/>
      <c r="J858" s="83">
        <f>IF(G858=$B$998,$A$998,IF(G858=$B$999,$A$999,IF(G858=$B$1000,$A$1000,IF(G858=$B$1001,$A$1001,IF(G858=$B$1002,$A$1002,"Not Calculated")))))</f>
        <v>0</v>
      </c>
      <c r="K858" s="87"/>
    </row>
    <row r="859" spans="2:11" x14ac:dyDescent="0.2">
      <c r="B859" s="81"/>
      <c r="C859" s="85" t="s">
        <v>134</v>
      </c>
      <c r="D859" s="85"/>
      <c r="E859" s="85"/>
      <c r="F859" s="85"/>
      <c r="G859" s="85"/>
      <c r="H859" s="85"/>
      <c r="I859" s="85"/>
      <c r="J859" s="240">
        <f>'Baseline PHP'!J102</f>
        <v>0</v>
      </c>
      <c r="K859" s="87"/>
    </row>
    <row r="860" spans="2:11" x14ac:dyDescent="0.2">
      <c r="B860" s="81"/>
      <c r="C860" s="85"/>
      <c r="D860" s="85"/>
      <c r="E860" s="85"/>
      <c r="F860" s="85"/>
      <c r="G860" s="85"/>
      <c r="H860" s="85"/>
      <c r="I860" s="85"/>
      <c r="J860" s="85"/>
      <c r="K860" s="87"/>
    </row>
    <row r="861" spans="2:11" ht="16" x14ac:dyDescent="0.2">
      <c r="B861" s="81"/>
      <c r="C861" s="211" t="s">
        <v>649</v>
      </c>
      <c r="D861" s="85"/>
      <c r="E861" s="85"/>
      <c r="F861" s="85"/>
      <c r="G861" s="85"/>
      <c r="H861" s="85"/>
      <c r="I861" s="85"/>
      <c r="J861" s="85"/>
      <c r="K861" s="87"/>
    </row>
    <row r="862" spans="2:11" x14ac:dyDescent="0.2">
      <c r="B862" s="81"/>
      <c r="C862" s="85" t="s">
        <v>380</v>
      </c>
      <c r="D862" s="85"/>
      <c r="E862" s="85"/>
      <c r="F862" s="85"/>
      <c r="G862" s="406" t="s">
        <v>234</v>
      </c>
      <c r="H862" s="407"/>
      <c r="I862" s="85"/>
      <c r="J862" s="83">
        <f>IF(G862=$B$998,$A$998,IF(G862=$B$999,$A$999,IF(G862=$B$1000,$A$1000,IF(G862=$B$1001,$A$1001,IF(G862=$B$1002,$A$1002,"Not Calculated")))))</f>
        <v>4</v>
      </c>
      <c r="K862" s="87"/>
    </row>
    <row r="863" spans="2:11" x14ac:dyDescent="0.2">
      <c r="B863" s="81"/>
      <c r="C863" s="85" t="s">
        <v>134</v>
      </c>
      <c r="D863" s="85"/>
      <c r="E863" s="85"/>
      <c r="F863" s="85"/>
      <c r="G863" s="85"/>
      <c r="H863" s="85"/>
      <c r="I863" s="85"/>
      <c r="J863" s="240">
        <f>'Baseline PHP'!J118</f>
        <v>0</v>
      </c>
      <c r="K863" s="87"/>
    </row>
    <row r="864" spans="2:11" x14ac:dyDescent="0.2">
      <c r="B864" s="81"/>
      <c r="C864" s="85"/>
      <c r="D864" s="85"/>
      <c r="E864" s="85"/>
      <c r="F864" s="85"/>
      <c r="G864" s="85"/>
      <c r="H864" s="85"/>
      <c r="I864" s="85"/>
      <c r="J864" s="85"/>
      <c r="K864" s="87"/>
    </row>
    <row r="865" spans="2:11" ht="16" x14ac:dyDescent="0.2">
      <c r="B865" s="81"/>
      <c r="C865" s="211" t="s">
        <v>656</v>
      </c>
      <c r="D865" s="85"/>
      <c r="E865" s="85"/>
      <c r="F865" s="85"/>
      <c r="G865" s="85"/>
      <c r="H865" s="85"/>
      <c r="I865" s="85"/>
      <c r="J865" s="85"/>
      <c r="K865" s="87"/>
    </row>
    <row r="866" spans="2:11" x14ac:dyDescent="0.2">
      <c r="B866" s="81"/>
      <c r="C866" s="85" t="s">
        <v>380</v>
      </c>
      <c r="D866" s="85"/>
      <c r="E866" s="85"/>
      <c r="F866" s="85"/>
      <c r="G866" s="406" t="s">
        <v>234</v>
      </c>
      <c r="H866" s="407"/>
      <c r="I866" s="85"/>
      <c r="J866" s="83">
        <f>IF(G866=$B$998,$A$998,IF(G866=$B$999,$A$999,IF(G866=$B$1000,$A$1000,IF(G866=$B$1001,$A$1001,IF(G866=$B$1002,$A$1002,"Not Calculated")))))</f>
        <v>4</v>
      </c>
      <c r="K866" s="87"/>
    </row>
    <row r="867" spans="2:11" x14ac:dyDescent="0.2">
      <c r="B867" s="81"/>
      <c r="C867" s="85" t="s">
        <v>134</v>
      </c>
      <c r="D867" s="85"/>
      <c r="E867" s="85"/>
      <c r="F867" s="85"/>
      <c r="G867" s="85"/>
      <c r="H867" s="85"/>
      <c r="I867" s="85"/>
      <c r="J867" s="240">
        <f>'Baseline PHP'!J136</f>
        <v>0</v>
      </c>
      <c r="K867" s="87"/>
    </row>
    <row r="868" spans="2:11" x14ac:dyDescent="0.2">
      <c r="B868" s="81"/>
      <c r="C868" s="85"/>
      <c r="D868" s="85"/>
      <c r="E868" s="85"/>
      <c r="F868" s="85"/>
      <c r="G868" s="85"/>
      <c r="H868" s="85"/>
      <c r="I868" s="85"/>
      <c r="J868" s="85"/>
      <c r="K868" s="87"/>
    </row>
    <row r="869" spans="2:11" ht="16" x14ac:dyDescent="0.2">
      <c r="B869" s="81"/>
      <c r="C869" s="211" t="s">
        <v>121</v>
      </c>
      <c r="D869" s="85"/>
      <c r="E869" s="85"/>
      <c r="F869" s="85"/>
      <c r="G869" s="85"/>
      <c r="H869" s="85"/>
      <c r="I869" s="85"/>
      <c r="J869" s="85"/>
      <c r="K869" s="87"/>
    </row>
    <row r="870" spans="2:11" x14ac:dyDescent="0.2">
      <c r="B870" s="81"/>
      <c r="C870" s="85" t="s">
        <v>380</v>
      </c>
      <c r="D870" s="85"/>
      <c r="E870" s="85"/>
      <c r="F870" s="85"/>
      <c r="G870" s="406" t="s">
        <v>235</v>
      </c>
      <c r="H870" s="407"/>
      <c r="I870" s="85"/>
      <c r="J870" s="83">
        <f>IF(G870=$B$998,$A$998,IF(G870=$B$999,$A$999,IF(G870=$B$1000,$A$1000,IF(G870=$B$1001,$A$1001,IF(G870=$B$1002,$A$1002,"Not Calculated")))))</f>
        <v>2</v>
      </c>
      <c r="K870" s="87"/>
    </row>
    <row r="871" spans="2:11" x14ac:dyDescent="0.2">
      <c r="B871" s="81"/>
      <c r="C871" s="85" t="s">
        <v>134</v>
      </c>
      <c r="D871" s="85"/>
      <c r="E871" s="85"/>
      <c r="F871" s="85"/>
      <c r="G871" s="85"/>
      <c r="H871" s="85"/>
      <c r="I871" s="85"/>
      <c r="J871" s="240">
        <f>'Baseline PHP'!J150</f>
        <v>0</v>
      </c>
      <c r="K871" s="87"/>
    </row>
    <row r="872" spans="2:11" x14ac:dyDescent="0.2">
      <c r="B872" s="81"/>
      <c r="C872" s="85"/>
      <c r="D872" s="85"/>
      <c r="E872" s="85"/>
      <c r="F872" s="85"/>
      <c r="G872" s="85"/>
      <c r="H872" s="85"/>
      <c r="I872" s="85"/>
      <c r="J872" s="85"/>
      <c r="K872" s="87"/>
    </row>
    <row r="873" spans="2:11" ht="16" x14ac:dyDescent="0.2">
      <c r="B873" s="81"/>
      <c r="C873" s="211" t="s">
        <v>657</v>
      </c>
      <c r="D873" s="85"/>
      <c r="E873" s="85"/>
      <c r="F873" s="85"/>
      <c r="G873" s="85"/>
      <c r="H873" s="85"/>
      <c r="I873" s="85"/>
      <c r="J873" s="85"/>
      <c r="K873" s="87"/>
    </row>
    <row r="874" spans="2:11" x14ac:dyDescent="0.2">
      <c r="B874" s="81"/>
      <c r="C874" s="85" t="s">
        <v>380</v>
      </c>
      <c r="D874" s="85"/>
      <c r="E874" s="85"/>
      <c r="F874" s="85"/>
      <c r="G874" s="406" t="s">
        <v>238</v>
      </c>
      <c r="H874" s="407"/>
      <c r="I874" s="85"/>
      <c r="J874" s="83">
        <f>IF(G874=$B$998,$A$998,IF(G874=$B$999,$A$999,IF(G874=$B$1000,$A$1000,IF(G874=$B$1001,$A$1001,IF(G874=$B$1002,$A$1002,"Not Calculated")))))</f>
        <v>3</v>
      </c>
      <c r="K874" s="87"/>
    </row>
    <row r="875" spans="2:11" x14ac:dyDescent="0.2">
      <c r="B875" s="81"/>
      <c r="C875" s="85" t="s">
        <v>134</v>
      </c>
      <c r="D875" s="85"/>
      <c r="E875" s="85"/>
      <c r="F875" s="85"/>
      <c r="G875" s="85"/>
      <c r="H875" s="85"/>
      <c r="I875" s="85"/>
      <c r="J875" s="240">
        <f>'Baseline PHP'!J164</f>
        <v>0</v>
      </c>
      <c r="K875" s="87"/>
    </row>
    <row r="876" spans="2:11" x14ac:dyDescent="0.2">
      <c r="B876" s="81"/>
      <c r="C876" s="85"/>
      <c r="D876" s="85"/>
      <c r="E876" s="85"/>
      <c r="F876" s="85"/>
      <c r="G876" s="85"/>
      <c r="H876" s="85"/>
      <c r="I876" s="85"/>
      <c r="J876" s="85"/>
      <c r="K876" s="87"/>
    </row>
    <row r="877" spans="2:11" ht="16" x14ac:dyDescent="0.2">
      <c r="B877" s="81"/>
      <c r="C877" s="211" t="s">
        <v>650</v>
      </c>
      <c r="D877" s="85"/>
      <c r="E877" s="85"/>
      <c r="F877" s="85"/>
      <c r="G877" s="85"/>
      <c r="H877" s="85"/>
      <c r="I877" s="85"/>
      <c r="J877" s="85"/>
      <c r="K877" s="87"/>
    </row>
    <row r="878" spans="2:11" x14ac:dyDescent="0.2">
      <c r="B878" s="81"/>
      <c r="C878" s="85" t="s">
        <v>380</v>
      </c>
      <c r="D878" s="85"/>
      <c r="E878" s="85"/>
      <c r="F878" s="85"/>
      <c r="G878" s="406" t="s">
        <v>234</v>
      </c>
      <c r="H878" s="407"/>
      <c r="I878" s="85"/>
      <c r="J878" s="83">
        <f>IF(G878=$B$998,$A$998,IF(G878=$B$999,$A$999,IF(G878=$B$1000,$A$1000,IF(G878=$B$1001,$A$1001,IF(G878=$B$1002,$A$1002,"Not Calculated")))))</f>
        <v>4</v>
      </c>
      <c r="K878" s="87"/>
    </row>
    <row r="879" spans="2:11" x14ac:dyDescent="0.2">
      <c r="B879" s="81"/>
      <c r="C879" s="85" t="s">
        <v>134</v>
      </c>
      <c r="D879" s="85"/>
      <c r="E879" s="85"/>
      <c r="F879" s="85"/>
      <c r="G879" s="85"/>
      <c r="H879" s="85"/>
      <c r="I879" s="85"/>
      <c r="J879" s="240">
        <f>'Baseline PHP'!J180</f>
        <v>0</v>
      </c>
      <c r="K879" s="87"/>
    </row>
    <row r="880" spans="2:11" x14ac:dyDescent="0.2">
      <c r="B880" s="81"/>
      <c r="C880" s="85"/>
      <c r="D880" s="85"/>
      <c r="E880" s="85"/>
      <c r="F880" s="85"/>
      <c r="G880" s="85"/>
      <c r="H880" s="85"/>
      <c r="I880" s="85"/>
      <c r="J880" s="85"/>
      <c r="K880" s="87"/>
    </row>
    <row r="881" spans="2:11" ht="16" x14ac:dyDescent="0.2">
      <c r="B881" s="81"/>
      <c r="C881" s="211" t="s">
        <v>651</v>
      </c>
      <c r="D881" s="85"/>
      <c r="E881" s="85"/>
      <c r="F881" s="85"/>
      <c r="G881" s="85"/>
      <c r="H881" s="85"/>
      <c r="I881" s="85"/>
      <c r="J881" s="85"/>
      <c r="K881" s="87"/>
    </row>
    <row r="882" spans="2:11" x14ac:dyDescent="0.2">
      <c r="B882" s="81"/>
      <c r="C882" s="85" t="s">
        <v>380</v>
      </c>
      <c r="D882" s="85"/>
      <c r="E882" s="85"/>
      <c r="F882" s="85"/>
      <c r="G882" s="406" t="s">
        <v>234</v>
      </c>
      <c r="H882" s="407"/>
      <c r="I882" s="85"/>
      <c r="J882" s="83">
        <f>IF(G882=$B$998,$A$998,IF(G882=$B$999,$A$999,IF(G882=$B$1000,$A$1000,IF(G882=$B$1001,$A$1001,IF(G882=$B$1002,$A$1002,"Not Calculated")))))</f>
        <v>4</v>
      </c>
      <c r="K882" s="87"/>
    </row>
    <row r="883" spans="2:11" x14ac:dyDescent="0.2">
      <c r="B883" s="81"/>
      <c r="C883" s="85" t="s">
        <v>134</v>
      </c>
      <c r="D883" s="85"/>
      <c r="E883" s="85"/>
      <c r="F883" s="85"/>
      <c r="G883" s="85"/>
      <c r="H883" s="85"/>
      <c r="I883" s="85"/>
      <c r="J883" s="240">
        <f>'Baseline PHP'!J194</f>
        <v>0</v>
      </c>
      <c r="K883" s="87"/>
    </row>
    <row r="884" spans="2:11" x14ac:dyDescent="0.2">
      <c r="B884" s="81"/>
      <c r="C884" s="85"/>
      <c r="D884" s="85"/>
      <c r="E884" s="85"/>
      <c r="F884" s="85"/>
      <c r="G884" s="85"/>
      <c r="H884" s="85"/>
      <c r="I884" s="85"/>
      <c r="J884" s="85"/>
      <c r="K884" s="87"/>
    </row>
    <row r="885" spans="2:11" ht="16" x14ac:dyDescent="0.2">
      <c r="B885" s="81"/>
      <c r="C885" s="211" t="s">
        <v>652</v>
      </c>
      <c r="D885" s="85"/>
      <c r="E885" s="85"/>
      <c r="F885" s="85"/>
      <c r="G885" s="85"/>
      <c r="H885" s="85"/>
      <c r="I885" s="85"/>
      <c r="J885" s="85"/>
      <c r="K885" s="87"/>
    </row>
    <row r="886" spans="2:11" x14ac:dyDescent="0.2">
      <c r="B886" s="81"/>
      <c r="C886" s="85" t="s">
        <v>380</v>
      </c>
      <c r="D886" s="85"/>
      <c r="E886" s="85"/>
      <c r="F886" s="85"/>
      <c r="G886" s="406" t="s">
        <v>234</v>
      </c>
      <c r="H886" s="407"/>
      <c r="I886" s="85"/>
      <c r="J886" s="83">
        <f>IF(G886=$B$998,$A$998,IF(G886=$B$999,$A$999,IF(G886=$B$1000,$A$1000,IF(G886=$B$1001,$A$1001,IF(G886=$B$1002,$A$1002,"Not Calculated")))))</f>
        <v>4</v>
      </c>
      <c r="K886" s="87"/>
    </row>
    <row r="887" spans="2:11" x14ac:dyDescent="0.2">
      <c r="B887" s="81"/>
      <c r="C887" s="85" t="s">
        <v>134</v>
      </c>
      <c r="D887" s="85"/>
      <c r="E887" s="85"/>
      <c r="F887" s="85"/>
      <c r="G887" s="85"/>
      <c r="H887" s="85"/>
      <c r="I887" s="85"/>
      <c r="J887" s="240">
        <f>'Baseline PHP'!J208</f>
        <v>0</v>
      </c>
      <c r="K887" s="87"/>
    </row>
    <row r="888" spans="2:11" x14ac:dyDescent="0.2">
      <c r="B888" s="81"/>
      <c r="C888" s="85"/>
      <c r="D888" s="85"/>
      <c r="E888" s="85"/>
      <c r="F888" s="85"/>
      <c r="G888" s="85"/>
      <c r="H888" s="85"/>
      <c r="I888" s="85"/>
      <c r="J888" s="85"/>
      <c r="K888" s="87"/>
    </row>
    <row r="889" spans="2:11" ht="16" x14ac:dyDescent="0.2">
      <c r="B889" s="81"/>
      <c r="C889" s="211" t="s">
        <v>653</v>
      </c>
      <c r="D889" s="85"/>
      <c r="E889" s="85"/>
      <c r="F889" s="85"/>
      <c r="G889" s="85"/>
      <c r="H889" s="85"/>
      <c r="I889" s="85"/>
      <c r="J889" s="85"/>
      <c r="K889" s="87"/>
    </row>
    <row r="890" spans="2:11" x14ac:dyDescent="0.2">
      <c r="B890" s="81"/>
      <c r="C890" s="85" t="s">
        <v>380</v>
      </c>
      <c r="D890" s="85"/>
      <c r="E890" s="85"/>
      <c r="F890" s="85"/>
      <c r="G890" s="406" t="s">
        <v>235</v>
      </c>
      <c r="H890" s="407"/>
      <c r="I890" s="85"/>
      <c r="J890" s="83">
        <f>IF(G890=$B$998,$A$998,IF(G890=$B$999,$A$999,IF(G890=$B$1000,$A$1000,IF(G890=$B$1001,$A$1001,IF(G890=$B$1002,$A$1002,"Not Calculated")))))</f>
        <v>2</v>
      </c>
      <c r="K890" s="87"/>
    </row>
    <row r="891" spans="2:11" x14ac:dyDescent="0.2">
      <c r="B891" s="81"/>
      <c r="C891" s="85" t="s">
        <v>134</v>
      </c>
      <c r="D891" s="85"/>
      <c r="E891" s="85"/>
      <c r="F891" s="85"/>
      <c r="G891" s="85"/>
      <c r="H891" s="85"/>
      <c r="I891" s="85"/>
      <c r="J891" s="240">
        <f>'Baseline PHP'!J222</f>
        <v>0</v>
      </c>
      <c r="K891" s="87"/>
    </row>
    <row r="892" spans="2:11" x14ac:dyDescent="0.2">
      <c r="B892" s="81"/>
      <c r="C892" s="85"/>
      <c r="D892" s="85"/>
      <c r="E892" s="85"/>
      <c r="F892" s="85"/>
      <c r="G892" s="85"/>
      <c r="H892" s="85"/>
      <c r="I892" s="85"/>
      <c r="J892" s="85"/>
      <c r="K892" s="87"/>
    </row>
    <row r="893" spans="2:11" x14ac:dyDescent="0.2">
      <c r="B893" s="81"/>
      <c r="C893" s="85"/>
      <c r="D893" s="85"/>
      <c r="E893" s="85"/>
      <c r="F893" s="85"/>
      <c r="G893" s="85"/>
      <c r="H893" s="85"/>
      <c r="I893" s="85"/>
      <c r="J893" s="85"/>
      <c r="K893" s="87"/>
    </row>
    <row r="894" spans="2:11" ht="16" x14ac:dyDescent="0.2">
      <c r="B894" s="81"/>
      <c r="C894" s="212" t="s">
        <v>813</v>
      </c>
      <c r="D894" s="85"/>
      <c r="E894" s="85"/>
      <c r="F894" s="85"/>
      <c r="G894" s="85"/>
      <c r="H894" s="85"/>
      <c r="I894" s="85"/>
      <c r="J894" s="241">
        <f>IF(OR(J854="Not Calculated",J858="Not Calculated",J862="Not Calculated",J866="Not Calculated",J870="Not Calculated",J874="Not Calculated",J878="Not Calculated",J882="Not Calculated",J886="Not Calculated",J890="Not Calculated",J834="Not Calculated",J838="Not Calculated",J842="Not Calculated",J846="Not Calculated",J850="Not Calculated",J855="Not Calculated",J859="Not Calculated",J863="Not Calculated",J867="Not Calculated",J871="Not Calculated",J875="Not Calculated",J879="Not Calculated",J883="Not Calculated",J887="Not Calculated",J891="Not Calculated",J835="Not Calculated",J839="Not Calculated",J843="Not Calculated",J847="Not Calculated",J851="Not Calculated")=TRUE,"Not Calculated",((J834*J835)+(J838*J839)+(J842*J843)+(J846*J847)+(J850*J851)+(J854*J855)+(J858*J859)+(J862*J863)+(J866*J867)+(J870*J871)+(J874*J875)+(J878*J879)+(J882*J883)+(J886*J887)+(J890*J891))/(J834+J838+J842+J846+J850+J854+J858+J862+J866+J870+J874+J878+J882+J886+J890))</f>
        <v>0</v>
      </c>
      <c r="K894" s="87"/>
    </row>
    <row r="895" spans="2:11" ht="16" thickBot="1" x14ac:dyDescent="0.25">
      <c r="B895" s="213"/>
      <c r="C895" s="94"/>
      <c r="D895" s="94"/>
      <c r="E895" s="94"/>
      <c r="F895" s="94"/>
      <c r="G895" s="94"/>
      <c r="H895" s="94"/>
      <c r="I895" s="94"/>
      <c r="J895" s="94"/>
      <c r="K895" s="96"/>
    </row>
    <row r="896" spans="2:11" ht="16" thickBot="1" x14ac:dyDescent="0.25"/>
    <row r="897" spans="2:11" x14ac:dyDescent="0.2">
      <c r="B897" s="77"/>
      <c r="C897" s="78"/>
      <c r="D897" s="78"/>
      <c r="E897" s="78"/>
      <c r="F897" s="78"/>
      <c r="G897" s="78"/>
      <c r="H897" s="78"/>
      <c r="I897" s="78"/>
      <c r="J897" s="78"/>
      <c r="K897" s="80"/>
    </row>
    <row r="898" spans="2:11" ht="21" x14ac:dyDescent="0.25">
      <c r="B898" s="81"/>
      <c r="C898" s="85"/>
      <c r="D898" s="85"/>
      <c r="E898" s="85"/>
      <c r="F898" s="85"/>
      <c r="G898" s="210" t="s">
        <v>807</v>
      </c>
      <c r="H898" s="85"/>
      <c r="I898" s="85"/>
      <c r="J898" s="85"/>
      <c r="K898" s="87"/>
    </row>
    <row r="899" spans="2:11" x14ac:dyDescent="0.2">
      <c r="B899" s="81"/>
      <c r="C899" s="85"/>
      <c r="D899" s="85"/>
      <c r="E899" s="85"/>
      <c r="F899" s="85"/>
      <c r="G899" s="85"/>
      <c r="H899" s="85"/>
      <c r="I899" s="85"/>
      <c r="J899" s="85"/>
      <c r="K899" s="87"/>
    </row>
    <row r="900" spans="2:11" ht="15" customHeight="1" x14ac:dyDescent="0.2">
      <c r="B900" s="81"/>
      <c r="C900" s="424" t="s">
        <v>809</v>
      </c>
      <c r="D900" s="424"/>
      <c r="E900" s="424"/>
      <c r="F900" s="424"/>
      <c r="G900" s="424"/>
      <c r="H900" s="424"/>
      <c r="I900" s="424"/>
      <c r="J900" s="424"/>
      <c r="K900" s="87"/>
    </row>
    <row r="901" spans="2:11" x14ac:dyDescent="0.2">
      <c r="B901" s="81"/>
      <c r="C901" s="424"/>
      <c r="D901" s="424"/>
      <c r="E901" s="424"/>
      <c r="F901" s="424"/>
      <c r="G901" s="424"/>
      <c r="H901" s="424"/>
      <c r="I901" s="424"/>
      <c r="J901" s="424"/>
      <c r="K901" s="87"/>
    </row>
    <row r="902" spans="2:11" x14ac:dyDescent="0.2">
      <c r="B902" s="81"/>
      <c r="C902" s="85"/>
      <c r="D902" s="85"/>
      <c r="E902" s="85"/>
      <c r="F902" s="85"/>
      <c r="G902" s="85"/>
      <c r="H902" s="85"/>
      <c r="I902" s="85"/>
      <c r="J902" s="85"/>
      <c r="K902" s="87"/>
    </row>
    <row r="903" spans="2:11" ht="16" x14ac:dyDescent="0.2">
      <c r="B903" s="81"/>
      <c r="C903" s="211" t="s">
        <v>810</v>
      </c>
      <c r="D903" s="85"/>
      <c r="E903" s="85"/>
      <c r="F903" s="85"/>
      <c r="G903" s="85"/>
      <c r="H903" s="85"/>
      <c r="I903" s="85"/>
      <c r="J903" s="85"/>
      <c r="K903" s="87"/>
    </row>
    <row r="904" spans="2:11" x14ac:dyDescent="0.2">
      <c r="B904" s="81"/>
      <c r="C904" s="85" t="s">
        <v>380</v>
      </c>
      <c r="D904" s="85"/>
      <c r="E904" s="85"/>
      <c r="F904" s="85"/>
      <c r="G904" s="406" t="s">
        <v>238</v>
      </c>
      <c r="H904" s="407"/>
      <c r="I904" s="85"/>
      <c r="J904" s="83">
        <f>IF(G904=$B$998,$A$998,IF(G904=$B$999,$A$999,IF(G904=$B$1000,$A$1000,IF(G904=$B$1001,$A$1001,IF(G904=$B$1002,$A$1002,"Not Calculated")))))</f>
        <v>3</v>
      </c>
      <c r="K904" s="87"/>
    </row>
    <row r="905" spans="2:11" x14ac:dyDescent="0.2">
      <c r="B905" s="81"/>
      <c r="C905" s="85" t="s">
        <v>134</v>
      </c>
      <c r="D905" s="85"/>
      <c r="E905" s="85"/>
      <c r="F905" s="85"/>
      <c r="G905" s="85"/>
      <c r="H905" s="85"/>
      <c r="I905" s="85"/>
      <c r="J905" s="240">
        <f>'Baseline HP'!J22</f>
        <v>0</v>
      </c>
      <c r="K905" s="87"/>
    </row>
    <row r="906" spans="2:11" x14ac:dyDescent="0.2">
      <c r="B906" s="81"/>
      <c r="C906" s="85"/>
      <c r="D906" s="85"/>
      <c r="E906" s="85"/>
      <c r="F906" s="85"/>
      <c r="G906" s="85"/>
      <c r="H906" s="85"/>
      <c r="I906" s="85"/>
      <c r="J906" s="85"/>
      <c r="K906" s="87"/>
    </row>
    <row r="907" spans="2:11" ht="16" x14ac:dyDescent="0.2">
      <c r="B907" s="81"/>
      <c r="C907" s="211" t="s">
        <v>811</v>
      </c>
      <c r="D907" s="85"/>
      <c r="E907" s="85"/>
      <c r="F907" s="85"/>
      <c r="G907" s="85"/>
      <c r="H907" s="85"/>
      <c r="I907" s="85"/>
      <c r="J907" s="85"/>
      <c r="K907" s="87"/>
    </row>
    <row r="908" spans="2:11" x14ac:dyDescent="0.2">
      <c r="B908" s="81"/>
      <c r="C908" s="85" t="s">
        <v>380</v>
      </c>
      <c r="D908" s="85"/>
      <c r="E908" s="85"/>
      <c r="F908" s="85"/>
      <c r="G908" s="406" t="s">
        <v>235</v>
      </c>
      <c r="H908" s="407"/>
      <c r="I908" s="85"/>
      <c r="J908" s="83">
        <f>IF(G908=$B$998,$A$998,IF(G908=$B$999,$A$999,IF(G908=$B$1000,$A$1000,IF(G908=$B$1001,$A$1001,IF(G908=$B$1002,$A$1002,"Not Calculated")))))</f>
        <v>2</v>
      </c>
      <c r="K908" s="87"/>
    </row>
    <row r="909" spans="2:11" x14ac:dyDescent="0.2">
      <c r="B909" s="81"/>
      <c r="C909" s="85" t="s">
        <v>134</v>
      </c>
      <c r="D909" s="85"/>
      <c r="E909" s="85"/>
      <c r="F909" s="85"/>
      <c r="G909" s="85"/>
      <c r="H909" s="85"/>
      <c r="I909" s="85"/>
      <c r="J909" s="240">
        <f>'Baseline HP'!J32</f>
        <v>0</v>
      </c>
      <c r="K909" s="87"/>
    </row>
    <row r="910" spans="2:11" x14ac:dyDescent="0.2">
      <c r="B910" s="81"/>
      <c r="C910" s="85"/>
      <c r="D910" s="85"/>
      <c r="E910" s="85"/>
      <c r="F910" s="85"/>
      <c r="G910" s="85"/>
      <c r="H910" s="85"/>
      <c r="I910" s="85"/>
      <c r="J910" s="85"/>
      <c r="K910" s="87"/>
    </row>
    <row r="911" spans="2:11" ht="16" x14ac:dyDescent="0.2">
      <c r="B911" s="81"/>
      <c r="C911" s="211" t="s">
        <v>645</v>
      </c>
      <c r="D911" s="85"/>
      <c r="E911" s="85"/>
      <c r="F911" s="85"/>
      <c r="G911" s="85"/>
      <c r="H911" s="85"/>
      <c r="I911" s="85"/>
      <c r="J911" s="85"/>
      <c r="K911" s="87"/>
    </row>
    <row r="912" spans="2:11" x14ac:dyDescent="0.2">
      <c r="B912" s="81"/>
      <c r="C912" s="85" t="s">
        <v>380</v>
      </c>
      <c r="D912" s="85"/>
      <c r="E912" s="85"/>
      <c r="F912" s="85"/>
      <c r="G912" s="406" t="s">
        <v>234</v>
      </c>
      <c r="H912" s="407"/>
      <c r="I912" s="85"/>
      <c r="J912" s="83">
        <f>IF(G912=$B$998,$A$998,IF(G912=$B$999,$A$999,IF(G912=$B$1000,$A$1000,IF(G912=$B$1001,$A$1001,IF(G912=$B$1002,$A$1002,"Not Calculated")))))</f>
        <v>4</v>
      </c>
      <c r="K912" s="87"/>
    </row>
    <row r="913" spans="2:11" x14ac:dyDescent="0.2">
      <c r="B913" s="81"/>
      <c r="C913" s="85" t="s">
        <v>134</v>
      </c>
      <c r="D913" s="85"/>
      <c r="E913" s="85"/>
      <c r="F913" s="85"/>
      <c r="G913" s="85"/>
      <c r="H913" s="85"/>
      <c r="I913" s="85"/>
      <c r="J913" s="240">
        <f>'Baseline HP'!J46</f>
        <v>0</v>
      </c>
      <c r="K913" s="87"/>
    </row>
    <row r="914" spans="2:11" x14ac:dyDescent="0.2">
      <c r="B914" s="81"/>
      <c r="C914" s="85"/>
      <c r="D914" s="85"/>
      <c r="E914" s="85"/>
      <c r="F914" s="85"/>
      <c r="G914" s="85"/>
      <c r="H914" s="85"/>
      <c r="I914" s="85"/>
      <c r="J914" s="85"/>
      <c r="K914" s="87"/>
    </row>
    <row r="915" spans="2:11" ht="16" x14ac:dyDescent="0.2">
      <c r="B915" s="81"/>
      <c r="C915" s="211" t="s">
        <v>648</v>
      </c>
      <c r="D915" s="85"/>
      <c r="E915" s="85"/>
      <c r="F915" s="85"/>
      <c r="G915" s="85"/>
      <c r="H915" s="85"/>
      <c r="I915" s="85"/>
      <c r="J915" s="85"/>
      <c r="K915" s="87"/>
    </row>
    <row r="916" spans="2:11" ht="15" customHeight="1" x14ac:dyDescent="0.2">
      <c r="B916" s="81"/>
      <c r="C916" s="85" t="s">
        <v>380</v>
      </c>
      <c r="D916" s="85"/>
      <c r="E916" s="85"/>
      <c r="F916" s="85"/>
      <c r="G916" s="406" t="s">
        <v>238</v>
      </c>
      <c r="H916" s="407"/>
      <c r="I916" s="85"/>
      <c r="J916" s="83">
        <f>IF(G916=$B$998,$A$998,IF(G916=$B$999,$A$999,IF(G916=$B$1000,$A$1000,IF(G916=$B$1001,$A$1001,IF(G916=$B$1002,$A$1002,"Not Calculated")))))</f>
        <v>3</v>
      </c>
      <c r="K916" s="87"/>
    </row>
    <row r="917" spans="2:11" x14ac:dyDescent="0.2">
      <c r="B917" s="81"/>
      <c r="C917" s="85" t="s">
        <v>134</v>
      </c>
      <c r="D917" s="85"/>
      <c r="E917" s="85"/>
      <c r="F917" s="85"/>
      <c r="G917" s="85"/>
      <c r="H917" s="85"/>
      <c r="I917" s="85"/>
      <c r="J917" s="240">
        <f>'Baseline HP'!J58</f>
        <v>0</v>
      </c>
      <c r="K917" s="87"/>
    </row>
    <row r="918" spans="2:11" x14ac:dyDescent="0.2">
      <c r="B918" s="81"/>
      <c r="C918" s="85"/>
      <c r="D918" s="85"/>
      <c r="E918" s="85"/>
      <c r="F918" s="85"/>
      <c r="G918" s="85"/>
      <c r="H918" s="85"/>
      <c r="I918" s="85"/>
      <c r="J918" s="85"/>
      <c r="K918" s="87"/>
    </row>
    <row r="919" spans="2:11" ht="16" x14ac:dyDescent="0.2">
      <c r="B919" s="81"/>
      <c r="C919" s="211" t="s">
        <v>647</v>
      </c>
      <c r="D919" s="85"/>
      <c r="E919" s="85"/>
      <c r="F919" s="85"/>
      <c r="G919" s="85"/>
      <c r="H919" s="85"/>
      <c r="I919" s="85"/>
      <c r="J919" s="85"/>
      <c r="K919" s="87"/>
    </row>
    <row r="920" spans="2:11" x14ac:dyDescent="0.2">
      <c r="B920" s="81"/>
      <c r="C920" s="85" t="s">
        <v>380</v>
      </c>
      <c r="D920" s="85"/>
      <c r="E920" s="85"/>
      <c r="F920" s="85"/>
      <c r="G920" s="406" t="s">
        <v>234</v>
      </c>
      <c r="H920" s="407"/>
      <c r="I920" s="85"/>
      <c r="J920" s="83">
        <f>IF(G920=$B$998,$A$998,IF(G920=$B$999,$A$999,IF(G920=$B$1000,$A$1000,IF(G920=$B$1001,$A$1001,IF(G920=$B$1002,$A$1002,"Not Calculated")))))</f>
        <v>4</v>
      </c>
      <c r="K920" s="87"/>
    </row>
    <row r="921" spans="2:11" x14ac:dyDescent="0.2">
      <c r="B921" s="81"/>
      <c r="C921" s="85" t="s">
        <v>134</v>
      </c>
      <c r="D921" s="85"/>
      <c r="E921" s="85"/>
      <c r="F921" s="85"/>
      <c r="G921" s="85"/>
      <c r="H921" s="85"/>
      <c r="I921" s="85"/>
      <c r="J921" s="240">
        <f>'Baseline HP'!J68</f>
        <v>0</v>
      </c>
      <c r="K921" s="87"/>
    </row>
    <row r="922" spans="2:11" x14ac:dyDescent="0.2">
      <c r="B922" s="81"/>
      <c r="C922" s="85"/>
      <c r="D922" s="85"/>
      <c r="E922" s="85"/>
      <c r="F922" s="85"/>
      <c r="G922" s="85"/>
      <c r="H922" s="85"/>
      <c r="I922" s="85"/>
      <c r="J922" s="85"/>
      <c r="K922" s="87"/>
    </row>
    <row r="923" spans="2:11" ht="16" x14ac:dyDescent="0.2">
      <c r="B923" s="81"/>
      <c r="C923" s="211" t="s">
        <v>121</v>
      </c>
      <c r="D923" s="85"/>
      <c r="E923" s="85"/>
      <c r="F923" s="85"/>
      <c r="G923" s="85"/>
      <c r="H923" s="85"/>
      <c r="I923" s="85"/>
      <c r="J923" s="85"/>
      <c r="K923" s="87"/>
    </row>
    <row r="924" spans="2:11" x14ac:dyDescent="0.2">
      <c r="B924" s="81"/>
      <c r="C924" s="85" t="s">
        <v>380</v>
      </c>
      <c r="D924" s="85"/>
      <c r="E924" s="85"/>
      <c r="F924" s="85"/>
      <c r="G924" s="406" t="s">
        <v>235</v>
      </c>
      <c r="H924" s="407"/>
      <c r="I924" s="85"/>
      <c r="J924" s="83">
        <f>IF(G924=$B$998,$A$998,IF(G924=$B$999,$A$999,IF(G924=$B$1000,$A$1000,IF(G924=$B$1001,$A$1001,IF(G924=$B$1002,$A$1002,"Not Calculated")))))</f>
        <v>2</v>
      </c>
      <c r="K924" s="87"/>
    </row>
    <row r="925" spans="2:11" x14ac:dyDescent="0.2">
      <c r="B925" s="81"/>
      <c r="C925" s="85" t="s">
        <v>134</v>
      </c>
      <c r="D925" s="85"/>
      <c r="E925" s="85"/>
      <c r="F925" s="85"/>
      <c r="G925" s="85"/>
      <c r="H925" s="85"/>
      <c r="I925" s="85"/>
      <c r="J925" s="240">
        <f>'Baseline HP'!J84</f>
        <v>0</v>
      </c>
      <c r="K925" s="87"/>
    </row>
    <row r="926" spans="2:11" x14ac:dyDescent="0.2">
      <c r="B926" s="81"/>
      <c r="C926" s="85"/>
      <c r="D926" s="85"/>
      <c r="E926" s="85"/>
      <c r="F926" s="85"/>
      <c r="G926" s="85"/>
      <c r="H926" s="85"/>
      <c r="I926" s="85"/>
      <c r="J926" s="85"/>
      <c r="K926" s="87"/>
    </row>
    <row r="927" spans="2:11" ht="16" x14ac:dyDescent="0.2">
      <c r="B927" s="81"/>
      <c r="C927" s="211" t="s">
        <v>652</v>
      </c>
      <c r="D927" s="85"/>
      <c r="E927" s="85"/>
      <c r="F927" s="85"/>
      <c r="G927" s="85"/>
      <c r="H927" s="85"/>
      <c r="I927" s="85"/>
      <c r="J927" s="85"/>
      <c r="K927" s="87"/>
    </row>
    <row r="928" spans="2:11" x14ac:dyDescent="0.2">
      <c r="B928" s="81"/>
      <c r="C928" s="85" t="s">
        <v>380</v>
      </c>
      <c r="D928" s="85"/>
      <c r="E928" s="85"/>
      <c r="F928" s="85"/>
      <c r="G928" s="406" t="s">
        <v>234</v>
      </c>
      <c r="H928" s="407"/>
      <c r="I928" s="85"/>
      <c r="J928" s="83">
        <f>IF(G928=$B$998,$A$998,IF(G928=$B$999,$A$999,IF(G928=$B$1000,$A$1000,IF(G928=$B$1001,$A$1001,IF(G928=$B$1002,$A$1002,"Not Calculated")))))</f>
        <v>4</v>
      </c>
      <c r="K928" s="87"/>
    </row>
    <row r="929" spans="2:11" x14ac:dyDescent="0.2">
      <c r="B929" s="81"/>
      <c r="C929" s="85" t="s">
        <v>134</v>
      </c>
      <c r="D929" s="85"/>
      <c r="E929" s="85"/>
      <c r="F929" s="85"/>
      <c r="G929" s="85"/>
      <c r="H929" s="85"/>
      <c r="I929" s="85"/>
      <c r="J929" s="240">
        <f>'Baseline HP'!J94</f>
        <v>0</v>
      </c>
      <c r="K929" s="87"/>
    </row>
    <row r="930" spans="2:11" x14ac:dyDescent="0.2">
      <c r="B930" s="81"/>
      <c r="C930" s="85"/>
      <c r="D930" s="85"/>
      <c r="E930" s="85"/>
      <c r="F930" s="85"/>
      <c r="G930" s="85"/>
      <c r="H930" s="85"/>
      <c r="I930" s="85"/>
      <c r="J930" s="85"/>
      <c r="K930" s="87"/>
    </row>
    <row r="931" spans="2:11" ht="16" x14ac:dyDescent="0.2">
      <c r="B931" s="81"/>
      <c r="C931" s="211" t="s">
        <v>653</v>
      </c>
      <c r="D931" s="85"/>
      <c r="E931" s="85"/>
      <c r="F931" s="85"/>
      <c r="G931" s="85"/>
      <c r="H931" s="85"/>
      <c r="I931" s="85"/>
      <c r="J931" s="85"/>
      <c r="K931" s="87"/>
    </row>
    <row r="932" spans="2:11" x14ac:dyDescent="0.2">
      <c r="B932" s="81"/>
      <c r="C932" s="85" t="s">
        <v>380</v>
      </c>
      <c r="D932" s="85"/>
      <c r="E932" s="85"/>
      <c r="F932" s="85"/>
      <c r="G932" s="406" t="s">
        <v>238</v>
      </c>
      <c r="H932" s="407"/>
      <c r="I932" s="85"/>
      <c r="J932" s="83">
        <f>IF(G932=$B$998,$A$998,IF(G932=$B$999,$A$999,IF(G932=$B$1000,$A$1000,IF(G932=$B$1001,$A$1001,IF(G932=$B$1002,$A$1002,"Not Calculated")))))</f>
        <v>3</v>
      </c>
      <c r="K932" s="87"/>
    </row>
    <row r="933" spans="2:11" x14ac:dyDescent="0.2">
      <c r="B933" s="81"/>
      <c r="C933" s="85" t="s">
        <v>134</v>
      </c>
      <c r="D933" s="85"/>
      <c r="E933" s="85"/>
      <c r="F933" s="85"/>
      <c r="G933" s="85"/>
      <c r="H933" s="85"/>
      <c r="I933" s="85"/>
      <c r="J933" s="240">
        <f>'Baseline HP'!J108</f>
        <v>0</v>
      </c>
      <c r="K933" s="87"/>
    </row>
    <row r="934" spans="2:11" x14ac:dyDescent="0.2">
      <c r="B934" s="81"/>
      <c r="C934" s="85"/>
      <c r="D934" s="85"/>
      <c r="E934" s="85"/>
      <c r="F934" s="85"/>
      <c r="G934" s="85"/>
      <c r="H934" s="85"/>
      <c r="I934" s="85"/>
      <c r="J934" s="85"/>
      <c r="K934" s="87"/>
    </row>
    <row r="935" spans="2:11" x14ac:dyDescent="0.2">
      <c r="B935" s="81"/>
      <c r="C935" s="85"/>
      <c r="D935" s="85"/>
      <c r="E935" s="85"/>
      <c r="F935" s="85"/>
      <c r="G935" s="85"/>
      <c r="H935" s="85"/>
      <c r="I935" s="85"/>
      <c r="J935" s="85"/>
      <c r="K935" s="87"/>
    </row>
    <row r="936" spans="2:11" ht="16" x14ac:dyDescent="0.2">
      <c r="B936" s="81"/>
      <c r="C936" s="212" t="s">
        <v>812</v>
      </c>
      <c r="D936" s="85"/>
      <c r="E936" s="85"/>
      <c r="F936" s="85"/>
      <c r="G936" s="85"/>
      <c r="H936" s="85"/>
      <c r="I936" s="85"/>
      <c r="J936" s="241">
        <f>IF(OR(J920="Not Calculated",J924="Not Calculated",J928="Not Calculated",J932="Not Calculated",J904="Not Calculated",J908="Not Calculated",J912="Not Calculated",J916="Not Calculated",J921="Not Calculated",J925="Not Calculated",J929="Not Calculated",J933="Not Calculated",J905="Not Calculated",J909="Not Calculated",J913="Not Calculated",J917="Not Calculated")=TRUE,"Not Calculated",((J904*J905)+(J908*J909)+(J912*J913)+(J916*J917)+(J920*J921)+(J924*J925)+(J928*J929)+(J932*J933))/(J904+J908+J912+J916+J920+J924+J928+J932))</f>
        <v>0</v>
      </c>
      <c r="K936" s="87"/>
    </row>
    <row r="937" spans="2:11" ht="16" thickBot="1" x14ac:dyDescent="0.25">
      <c r="B937" s="213"/>
      <c r="C937" s="94"/>
      <c r="D937" s="94"/>
      <c r="E937" s="94"/>
      <c r="F937" s="94"/>
      <c r="G937" s="94"/>
      <c r="H937" s="94"/>
      <c r="I937" s="94"/>
      <c r="J937" s="94"/>
      <c r="K937" s="96"/>
    </row>
    <row r="938" spans="2:11" ht="16" thickBot="1" x14ac:dyDescent="0.25"/>
    <row r="939" spans="2:11" x14ac:dyDescent="0.2">
      <c r="B939" s="77"/>
      <c r="C939" s="78"/>
      <c r="D939" s="78"/>
      <c r="E939" s="78"/>
      <c r="F939" s="78"/>
      <c r="G939" s="78"/>
      <c r="H939" s="78"/>
      <c r="I939" s="78"/>
      <c r="J939" s="78"/>
      <c r="K939" s="80"/>
    </row>
    <row r="940" spans="2:11" ht="21" x14ac:dyDescent="0.25">
      <c r="B940" s="81"/>
      <c r="C940" s="85"/>
      <c r="D940" s="85"/>
      <c r="E940" s="85"/>
      <c r="F940" s="85"/>
      <c r="G940" s="210" t="s">
        <v>815</v>
      </c>
      <c r="H940" s="85"/>
      <c r="I940" s="85"/>
      <c r="J940" s="85"/>
      <c r="K940" s="87"/>
    </row>
    <row r="941" spans="2:11" ht="21" x14ac:dyDescent="0.25">
      <c r="B941" s="81"/>
      <c r="C941" s="85"/>
      <c r="D941" s="85"/>
      <c r="E941" s="85"/>
      <c r="F941" s="85"/>
      <c r="G941" s="210"/>
      <c r="H941" s="85"/>
      <c r="I941" s="85"/>
      <c r="J941" s="85"/>
      <c r="K941" s="87"/>
    </row>
    <row r="942" spans="2:11" ht="16" x14ac:dyDescent="0.2">
      <c r="B942" s="81"/>
      <c r="C942" s="212" t="s">
        <v>995</v>
      </c>
      <c r="D942" s="85"/>
      <c r="E942" s="85"/>
      <c r="F942" s="85"/>
      <c r="G942" s="85"/>
      <c r="H942" s="85"/>
      <c r="I942" s="85"/>
      <c r="J942" s="241">
        <f>IF(OR(J936="Not Calculated",J894="Not Calculated")=TRUE,"Not Calculated",AVERAGE(J936,J894))</f>
        <v>0</v>
      </c>
      <c r="K942" s="87"/>
    </row>
    <row r="943" spans="2:11" ht="16" x14ac:dyDescent="0.2">
      <c r="B943" s="81"/>
      <c r="C943" s="212"/>
      <c r="D943" s="85" t="s">
        <v>814</v>
      </c>
      <c r="E943" s="85"/>
      <c r="F943" s="85"/>
      <c r="G943" s="85"/>
      <c r="H943" s="85"/>
      <c r="I943" s="85"/>
      <c r="J943" s="241"/>
      <c r="K943" s="87"/>
    </row>
    <row r="944" spans="2:11" ht="17" thickBot="1" x14ac:dyDescent="0.25">
      <c r="B944" s="213"/>
      <c r="C944" s="227"/>
      <c r="D944" s="94"/>
      <c r="E944" s="94"/>
      <c r="F944" s="94"/>
      <c r="G944" s="94"/>
      <c r="H944" s="94"/>
      <c r="I944" s="94"/>
      <c r="J944" s="228"/>
      <c r="K944" s="96"/>
    </row>
    <row r="945" spans="2:11" ht="16" thickBot="1" x14ac:dyDescent="0.25"/>
    <row r="946" spans="2:11" x14ac:dyDescent="0.2">
      <c r="B946" s="214"/>
      <c r="C946" s="215"/>
      <c r="D946" s="215"/>
      <c r="E946" s="215"/>
      <c r="F946" s="215"/>
      <c r="G946" s="215"/>
      <c r="H946" s="215"/>
      <c r="I946" s="215"/>
      <c r="J946" s="215"/>
      <c r="K946" s="216"/>
    </row>
    <row r="947" spans="2:11" ht="21" x14ac:dyDescent="0.25">
      <c r="B947" s="217"/>
      <c r="C947" s="218"/>
      <c r="D947" s="218"/>
      <c r="E947" s="218"/>
      <c r="F947" s="218"/>
      <c r="G947" s="219" t="s">
        <v>239</v>
      </c>
      <c r="H947" s="218"/>
      <c r="I947" s="218"/>
      <c r="J947" s="218"/>
      <c r="K947" s="220"/>
    </row>
    <row r="948" spans="2:11" x14ac:dyDescent="0.2">
      <c r="B948" s="217"/>
      <c r="C948" s="218"/>
      <c r="D948" s="218"/>
      <c r="E948" s="218"/>
      <c r="F948" s="218"/>
      <c r="G948" s="218"/>
      <c r="H948" s="218"/>
      <c r="I948" s="218"/>
      <c r="J948" s="218"/>
      <c r="K948" s="220"/>
    </row>
    <row r="949" spans="2:11" ht="16" x14ac:dyDescent="0.2">
      <c r="B949" s="217"/>
      <c r="C949" s="221" t="s">
        <v>393</v>
      </c>
      <c r="D949" s="218"/>
      <c r="E949" s="218"/>
      <c r="F949" s="218"/>
      <c r="G949" s="218"/>
      <c r="H949" s="218"/>
      <c r="I949" s="218"/>
      <c r="J949" s="242" t="str">
        <f>IF(OR(J817="Not Calculated",J942="Not Calculated")=TRUE,"Not Calculated",J817/J942)</f>
        <v>Not Calculated</v>
      </c>
      <c r="K949" s="220"/>
    </row>
    <row r="950" spans="2:11" x14ac:dyDescent="0.2">
      <c r="B950" s="217"/>
      <c r="C950" s="218"/>
      <c r="D950" s="218" t="s">
        <v>816</v>
      </c>
      <c r="E950" s="218"/>
      <c r="F950" s="218"/>
      <c r="G950" s="218"/>
      <c r="H950" s="218"/>
      <c r="I950" s="218"/>
      <c r="J950" s="218"/>
      <c r="K950" s="220"/>
    </row>
    <row r="951" spans="2:11" x14ac:dyDescent="0.2">
      <c r="B951" s="217"/>
      <c r="C951" s="218"/>
      <c r="D951" s="218"/>
      <c r="E951" s="218"/>
      <c r="F951" s="218"/>
      <c r="G951" s="218"/>
      <c r="H951" s="218"/>
      <c r="I951" s="218"/>
      <c r="J951" s="218"/>
      <c r="K951" s="220"/>
    </row>
    <row r="952" spans="2:11" ht="16" x14ac:dyDescent="0.2">
      <c r="B952" s="217"/>
      <c r="C952" s="221" t="s">
        <v>996</v>
      </c>
      <c r="D952" s="218"/>
      <c r="E952" s="218"/>
      <c r="F952" s="218"/>
      <c r="G952" s="218"/>
      <c r="H952" s="218"/>
      <c r="I952" s="218"/>
      <c r="J952" s="242" t="str">
        <f>IF(OR(J820="Not Calculated",J894="Not Calculated")=TRUE,"Not Calculated",J820/J894)</f>
        <v>Not Calculated</v>
      </c>
      <c r="K952" s="220"/>
    </row>
    <row r="953" spans="2:11" x14ac:dyDescent="0.2">
      <c r="B953" s="217"/>
      <c r="C953" s="218"/>
      <c r="D953" s="218" t="s">
        <v>817</v>
      </c>
      <c r="E953" s="218"/>
      <c r="F953" s="218"/>
      <c r="G953" s="218"/>
      <c r="H953" s="218"/>
      <c r="I953" s="218"/>
      <c r="J953" s="218"/>
      <c r="K953" s="220"/>
    </row>
    <row r="954" spans="2:11" x14ac:dyDescent="0.2">
      <c r="B954" s="217"/>
      <c r="C954" s="218"/>
      <c r="D954" s="218"/>
      <c r="E954" s="218"/>
      <c r="F954" s="218"/>
      <c r="G954" s="218"/>
      <c r="H954" s="218"/>
      <c r="I954" s="218"/>
      <c r="J954" s="218"/>
      <c r="K954" s="220"/>
    </row>
    <row r="955" spans="2:11" ht="16" x14ac:dyDescent="0.2">
      <c r="B955" s="217"/>
      <c r="C955" s="221" t="s">
        <v>997</v>
      </c>
      <c r="D955" s="218"/>
      <c r="E955" s="218"/>
      <c r="F955" s="218"/>
      <c r="G955" s="218"/>
      <c r="H955" s="218"/>
      <c r="I955" s="218"/>
      <c r="J955" s="242" t="str">
        <f>IF(OR(J936="Not Calculated",J823="Not Calculated")=TRUE,"Not Calculated",J823/J936)</f>
        <v>Not Calculated</v>
      </c>
      <c r="K955" s="220"/>
    </row>
    <row r="956" spans="2:11" x14ac:dyDescent="0.2">
      <c r="B956" s="217"/>
      <c r="C956" s="218"/>
      <c r="D956" s="218" t="s">
        <v>818</v>
      </c>
      <c r="E956" s="218"/>
      <c r="F956" s="218"/>
      <c r="G956" s="218"/>
      <c r="H956" s="218"/>
      <c r="I956" s="218"/>
      <c r="J956" s="218"/>
      <c r="K956" s="220"/>
    </row>
    <row r="957" spans="2:11" ht="16" thickBot="1" x14ac:dyDescent="0.25">
      <c r="B957" s="222"/>
      <c r="C957" s="223"/>
      <c r="D957" s="223"/>
      <c r="E957" s="223"/>
      <c r="F957" s="223"/>
      <c r="G957" s="223"/>
      <c r="H957" s="223"/>
      <c r="I957" s="223"/>
      <c r="J957" s="223"/>
      <c r="K957" s="224"/>
    </row>
    <row r="959" spans="2:11" ht="15" customHeight="1" x14ac:dyDescent="0.2">
      <c r="F959" s="405"/>
      <c r="G959" s="405"/>
      <c r="H959" s="405"/>
    </row>
    <row r="960" spans="2:11" x14ac:dyDescent="0.2">
      <c r="F960" s="405"/>
      <c r="G960" s="405"/>
      <c r="H960" s="405"/>
    </row>
    <row r="965" spans="1:3" ht="15" hidden="1" customHeight="1" x14ac:dyDescent="0.2">
      <c r="A965" s="12" t="s">
        <v>228</v>
      </c>
    </row>
    <row r="966" spans="1:3" ht="15" hidden="1" customHeight="1" x14ac:dyDescent="0.2">
      <c r="A966" s="12">
        <v>0</v>
      </c>
      <c r="B966" s="12" t="s">
        <v>250</v>
      </c>
      <c r="C966" s="12" t="s">
        <v>240</v>
      </c>
    </row>
    <row r="967" spans="1:3" ht="15" hidden="1" customHeight="1" x14ac:dyDescent="0.2">
      <c r="A967" s="12">
        <v>1</v>
      </c>
      <c r="B967" s="12" t="s">
        <v>251</v>
      </c>
      <c r="C967" s="12" t="s">
        <v>241</v>
      </c>
    </row>
    <row r="968" spans="1:3" ht="15" hidden="1" customHeight="1" x14ac:dyDescent="0.2">
      <c r="A968" s="12">
        <v>2</v>
      </c>
      <c r="B968" s="12" t="s">
        <v>252</v>
      </c>
      <c r="C968" s="12" t="s">
        <v>242</v>
      </c>
    </row>
    <row r="969" spans="1:3" ht="15" hidden="1" customHeight="1" x14ac:dyDescent="0.2">
      <c r="A969" s="12">
        <v>3</v>
      </c>
      <c r="B969" s="12" t="s">
        <v>253</v>
      </c>
      <c r="C969" s="12" t="s">
        <v>227</v>
      </c>
    </row>
    <row r="970" spans="1:3" ht="15" hidden="1" customHeight="1" x14ac:dyDescent="0.2">
      <c r="A970" s="12">
        <v>4</v>
      </c>
      <c r="B970" s="12" t="s">
        <v>254</v>
      </c>
      <c r="C970" s="12" t="s">
        <v>243</v>
      </c>
    </row>
    <row r="971" spans="1:3" ht="15" hidden="1" customHeight="1" x14ac:dyDescent="0.2"/>
    <row r="972" spans="1:3" ht="15" hidden="1" customHeight="1" x14ac:dyDescent="0.2">
      <c r="A972" s="12" t="s">
        <v>259</v>
      </c>
    </row>
    <row r="973" spans="1:3" ht="15" hidden="1" customHeight="1" x14ac:dyDescent="0.2">
      <c r="A973" s="12">
        <v>0</v>
      </c>
      <c r="B973" s="225" t="s">
        <v>870</v>
      </c>
    </row>
    <row r="974" spans="1:3" ht="15" hidden="1" customHeight="1" x14ac:dyDescent="0.2">
      <c r="A974" s="12">
        <v>1</v>
      </c>
      <c r="B974" s="12" t="s">
        <v>880</v>
      </c>
    </row>
    <row r="975" spans="1:3" ht="15" hidden="1" customHeight="1" x14ac:dyDescent="0.2">
      <c r="A975" s="12">
        <v>2</v>
      </c>
      <c r="B975" s="12" t="s">
        <v>872</v>
      </c>
    </row>
    <row r="976" spans="1:3" ht="15" hidden="1" customHeight="1" x14ac:dyDescent="0.2">
      <c r="A976" s="12">
        <v>3</v>
      </c>
      <c r="B976" s="12" t="s">
        <v>873</v>
      </c>
    </row>
    <row r="977" spans="1:2" ht="15" hidden="1" customHeight="1" x14ac:dyDescent="0.2">
      <c r="A977" s="12">
        <v>4</v>
      </c>
      <c r="B977" s="12" t="s">
        <v>874</v>
      </c>
    </row>
    <row r="978" spans="1:2" ht="15" hidden="1" customHeight="1" x14ac:dyDescent="0.2"/>
    <row r="979" spans="1:2" ht="15" hidden="1" customHeight="1" x14ac:dyDescent="0.2">
      <c r="A979" s="12" t="s">
        <v>294</v>
      </c>
    </row>
    <row r="980" spans="1:2" ht="15" hidden="1" customHeight="1" x14ac:dyDescent="0.2">
      <c r="A980" s="12">
        <v>0</v>
      </c>
      <c r="B980" s="225" t="s">
        <v>870</v>
      </c>
    </row>
    <row r="981" spans="1:2" ht="15" hidden="1" customHeight="1" x14ac:dyDescent="0.2">
      <c r="A981" s="12">
        <v>1</v>
      </c>
      <c r="B981" s="12" t="s">
        <v>875</v>
      </c>
    </row>
    <row r="982" spans="1:2" ht="15" hidden="1" customHeight="1" x14ac:dyDescent="0.2">
      <c r="A982" s="12">
        <v>2</v>
      </c>
      <c r="B982" s="12" t="s">
        <v>876</v>
      </c>
    </row>
    <row r="983" spans="1:2" ht="15" hidden="1" customHeight="1" x14ac:dyDescent="0.2">
      <c r="A983" s="12">
        <v>3</v>
      </c>
      <c r="B983" s="12" t="s">
        <v>877</v>
      </c>
    </row>
    <row r="984" spans="1:2" ht="15" hidden="1" customHeight="1" x14ac:dyDescent="0.2">
      <c r="A984" s="12">
        <v>4</v>
      </c>
      <c r="B984" s="12" t="s">
        <v>878</v>
      </c>
    </row>
    <row r="985" spans="1:2" ht="15" hidden="1" customHeight="1" x14ac:dyDescent="0.2"/>
    <row r="986" spans="1:2" ht="15" hidden="1" customHeight="1" x14ac:dyDescent="0.2">
      <c r="A986" s="12" t="s">
        <v>244</v>
      </c>
    </row>
    <row r="987" spans="1:2" ht="15" hidden="1" customHeight="1" x14ac:dyDescent="0.2">
      <c r="A987" s="12">
        <v>0</v>
      </c>
      <c r="B987" s="12" t="s">
        <v>245</v>
      </c>
    </row>
    <row r="988" spans="1:2" ht="15" hidden="1" customHeight="1" x14ac:dyDescent="0.2">
      <c r="A988" s="12">
        <v>1</v>
      </c>
      <c r="B988" s="12" t="s">
        <v>246</v>
      </c>
    </row>
    <row r="989" spans="1:2" ht="15" hidden="1" customHeight="1" x14ac:dyDescent="0.2">
      <c r="A989" s="12">
        <v>2</v>
      </c>
      <c r="B989" s="12" t="s">
        <v>247</v>
      </c>
    </row>
    <row r="990" spans="1:2" ht="15" hidden="1" customHeight="1" x14ac:dyDescent="0.2">
      <c r="A990" s="12">
        <v>3</v>
      </c>
      <c r="B990" s="12" t="s">
        <v>229</v>
      </c>
    </row>
    <row r="991" spans="1:2" ht="15" hidden="1" customHeight="1" x14ac:dyDescent="0.2">
      <c r="A991" s="12">
        <v>4</v>
      </c>
      <c r="B991" s="12" t="s">
        <v>248</v>
      </c>
    </row>
    <row r="992" spans="1:2" ht="15" hidden="1" customHeight="1" x14ac:dyDescent="0.2"/>
    <row r="993" spans="1:11" ht="15" hidden="1" customHeight="1" x14ac:dyDescent="0.2">
      <c r="A993" s="12" t="s">
        <v>381</v>
      </c>
    </row>
    <row r="994" spans="1:11" ht="15" hidden="1" customHeight="1" x14ac:dyDescent="0.2">
      <c r="A994" s="12">
        <v>0</v>
      </c>
      <c r="B994" s="12" t="s">
        <v>202</v>
      </c>
    </row>
    <row r="995" spans="1:11" ht="15" hidden="1" customHeight="1" x14ac:dyDescent="0.2">
      <c r="A995" s="12">
        <v>1</v>
      </c>
      <c r="B995" s="12" t="s">
        <v>190</v>
      </c>
    </row>
    <row r="996" spans="1:11" ht="15" hidden="1" customHeight="1" x14ac:dyDescent="0.2"/>
    <row r="997" spans="1:11" ht="15" hidden="1" customHeight="1" x14ac:dyDescent="0.2">
      <c r="A997" s="12" t="s">
        <v>249</v>
      </c>
    </row>
    <row r="998" spans="1:11" ht="15" hidden="1" customHeight="1" x14ac:dyDescent="0.2">
      <c r="A998" s="12">
        <v>0</v>
      </c>
      <c r="B998" s="12" t="s">
        <v>236</v>
      </c>
    </row>
    <row r="999" spans="1:11" ht="15" hidden="1" customHeight="1" x14ac:dyDescent="0.2">
      <c r="A999" s="12">
        <v>1</v>
      </c>
      <c r="B999" s="12" t="s">
        <v>237</v>
      </c>
    </row>
    <row r="1000" spans="1:11" ht="15" hidden="1" customHeight="1" x14ac:dyDescent="0.2">
      <c r="A1000" s="12">
        <v>2</v>
      </c>
      <c r="B1000" s="12" t="s">
        <v>235</v>
      </c>
    </row>
    <row r="1001" spans="1:11" ht="15" hidden="1" customHeight="1" x14ac:dyDescent="0.2">
      <c r="A1001" s="12">
        <v>3</v>
      </c>
      <c r="B1001" s="12" t="s">
        <v>238</v>
      </c>
    </row>
    <row r="1002" spans="1:11" ht="15" hidden="1" customHeight="1" x14ac:dyDescent="0.2">
      <c r="A1002" s="12">
        <v>4</v>
      </c>
      <c r="B1002" s="12" t="s">
        <v>234</v>
      </c>
    </row>
    <row r="1003" spans="1:11" ht="15" customHeight="1" x14ac:dyDescent="0.2">
      <c r="B1003" s="12" t="s">
        <v>685</v>
      </c>
    </row>
    <row r="1004" spans="1:11" ht="30" customHeight="1" x14ac:dyDescent="0.2">
      <c r="B1004" s="402" t="s">
        <v>693</v>
      </c>
      <c r="C1004" s="403"/>
      <c r="D1004" s="403"/>
      <c r="E1004" s="403"/>
      <c r="F1004" s="403"/>
      <c r="G1004" s="403"/>
      <c r="H1004" s="403"/>
      <c r="I1004" s="403"/>
      <c r="J1004" s="403"/>
      <c r="K1004" s="404"/>
    </row>
    <row r="1005" spans="1:11" ht="15" customHeight="1" x14ac:dyDescent="0.2">
      <c r="B1005" s="396"/>
      <c r="C1005" s="397"/>
      <c r="D1005" s="397"/>
      <c r="E1005" s="397"/>
      <c r="F1005" s="397"/>
      <c r="G1005" s="397"/>
      <c r="H1005" s="397"/>
      <c r="I1005" s="397"/>
      <c r="J1005" s="397"/>
      <c r="K1005" s="398"/>
    </row>
    <row r="1006" spans="1:11" ht="15" customHeight="1" x14ac:dyDescent="0.2">
      <c r="B1006" s="396" t="s">
        <v>719</v>
      </c>
      <c r="C1006" s="397"/>
      <c r="D1006" s="397"/>
      <c r="E1006" s="397"/>
      <c r="F1006" s="397"/>
      <c r="G1006" s="397"/>
      <c r="H1006" s="397"/>
      <c r="I1006" s="397"/>
      <c r="J1006" s="397"/>
      <c r="K1006" s="398"/>
    </row>
    <row r="1007" spans="1:11" ht="15" customHeight="1" x14ac:dyDescent="0.2">
      <c r="B1007" s="396"/>
      <c r="C1007" s="397"/>
      <c r="D1007" s="397"/>
      <c r="E1007" s="397"/>
      <c r="F1007" s="397"/>
      <c r="G1007" s="397"/>
      <c r="H1007" s="397"/>
      <c r="I1007" s="397"/>
      <c r="J1007" s="397"/>
      <c r="K1007" s="398"/>
    </row>
    <row r="1008" spans="1:11" ht="30" customHeight="1" x14ac:dyDescent="0.2">
      <c r="B1008" s="396" t="s">
        <v>721</v>
      </c>
      <c r="C1008" s="397"/>
      <c r="D1008" s="397"/>
      <c r="E1008" s="397"/>
      <c r="F1008" s="397"/>
      <c r="G1008" s="397"/>
      <c r="H1008" s="397"/>
      <c r="I1008" s="397"/>
      <c r="J1008" s="397"/>
      <c r="K1008" s="398"/>
    </row>
    <row r="1009" spans="2:11" ht="15" customHeight="1" x14ac:dyDescent="0.2">
      <c r="B1009" s="396"/>
      <c r="C1009" s="397"/>
      <c r="D1009" s="397"/>
      <c r="E1009" s="397"/>
      <c r="F1009" s="397"/>
      <c r="G1009" s="397"/>
      <c r="H1009" s="397"/>
      <c r="I1009" s="397"/>
      <c r="J1009" s="397"/>
      <c r="K1009" s="398"/>
    </row>
    <row r="1010" spans="2:11" ht="45" customHeight="1" x14ac:dyDescent="0.2">
      <c r="B1010" s="396" t="s">
        <v>720</v>
      </c>
      <c r="C1010" s="397"/>
      <c r="D1010" s="397"/>
      <c r="E1010" s="397"/>
      <c r="F1010" s="397"/>
      <c r="G1010" s="397"/>
      <c r="H1010" s="397"/>
      <c r="I1010" s="397"/>
      <c r="J1010" s="397"/>
      <c r="K1010" s="398"/>
    </row>
    <row r="1011" spans="2:11" ht="15" customHeight="1" x14ac:dyDescent="0.2">
      <c r="B1011" s="396"/>
      <c r="C1011" s="397"/>
      <c r="D1011" s="397"/>
      <c r="E1011" s="397"/>
      <c r="F1011" s="397"/>
      <c r="G1011" s="397"/>
      <c r="H1011" s="397"/>
      <c r="I1011" s="397"/>
      <c r="J1011" s="397"/>
      <c r="K1011" s="398"/>
    </row>
    <row r="1012" spans="2:11" ht="30" customHeight="1" x14ac:dyDescent="0.2">
      <c r="B1012" s="396" t="s">
        <v>718</v>
      </c>
      <c r="C1012" s="397"/>
      <c r="D1012" s="397"/>
      <c r="E1012" s="397"/>
      <c r="F1012" s="397"/>
      <c r="G1012" s="397"/>
      <c r="H1012" s="397"/>
      <c r="I1012" s="397"/>
      <c r="J1012" s="397"/>
      <c r="K1012" s="398"/>
    </row>
    <row r="1013" spans="2:11" ht="15" customHeight="1" x14ac:dyDescent="0.2">
      <c r="B1013" s="396"/>
      <c r="C1013" s="397"/>
      <c r="D1013" s="397"/>
      <c r="E1013" s="397"/>
      <c r="F1013" s="397"/>
      <c r="G1013" s="397"/>
      <c r="H1013" s="397"/>
      <c r="I1013" s="397"/>
      <c r="J1013" s="397"/>
      <c r="K1013" s="398"/>
    </row>
    <row r="1014" spans="2:11" ht="15" customHeight="1" x14ac:dyDescent="0.2">
      <c r="B1014" s="396"/>
      <c r="C1014" s="397"/>
      <c r="D1014" s="397"/>
      <c r="E1014" s="397"/>
      <c r="F1014" s="397"/>
      <c r="G1014" s="397"/>
      <c r="H1014" s="397"/>
      <c r="I1014" s="397"/>
      <c r="J1014" s="397"/>
      <c r="K1014" s="398"/>
    </row>
    <row r="1015" spans="2:11" ht="15" customHeight="1" x14ac:dyDescent="0.2">
      <c r="B1015" s="396"/>
      <c r="C1015" s="397"/>
      <c r="D1015" s="397"/>
      <c r="E1015" s="397"/>
      <c r="F1015" s="397"/>
      <c r="G1015" s="397"/>
      <c r="H1015" s="397"/>
      <c r="I1015" s="397"/>
      <c r="J1015" s="397"/>
      <c r="K1015" s="398"/>
    </row>
    <row r="1016" spans="2:11" ht="15" customHeight="1" x14ac:dyDescent="0.2">
      <c r="B1016" s="396"/>
      <c r="C1016" s="397"/>
      <c r="D1016" s="397"/>
      <c r="E1016" s="397"/>
      <c r="F1016" s="397"/>
      <c r="G1016" s="397"/>
      <c r="H1016" s="397"/>
      <c r="I1016" s="397"/>
      <c r="J1016" s="397"/>
      <c r="K1016" s="398"/>
    </row>
    <row r="1017" spans="2:11" ht="15" customHeight="1" x14ac:dyDescent="0.2">
      <c r="B1017" s="396"/>
      <c r="C1017" s="397"/>
      <c r="D1017" s="397"/>
      <c r="E1017" s="397"/>
      <c r="F1017" s="397"/>
      <c r="G1017" s="397"/>
      <c r="H1017" s="397"/>
      <c r="I1017" s="397"/>
      <c r="J1017" s="397"/>
      <c r="K1017" s="398"/>
    </row>
    <row r="1018" spans="2:11" ht="15" customHeight="1" x14ac:dyDescent="0.2">
      <c r="B1018" s="396"/>
      <c r="C1018" s="397"/>
      <c r="D1018" s="397"/>
      <c r="E1018" s="397"/>
      <c r="F1018" s="397"/>
      <c r="G1018" s="397"/>
      <c r="H1018" s="397"/>
      <c r="I1018" s="397"/>
      <c r="J1018" s="397"/>
      <c r="K1018" s="398"/>
    </row>
    <row r="1019" spans="2:11" ht="15" customHeight="1" x14ac:dyDescent="0.2">
      <c r="B1019" s="396"/>
      <c r="C1019" s="397"/>
      <c r="D1019" s="397"/>
      <c r="E1019" s="397"/>
      <c r="F1019" s="397"/>
      <c r="G1019" s="397"/>
      <c r="H1019" s="397"/>
      <c r="I1019" s="397"/>
      <c r="J1019" s="397"/>
      <c r="K1019" s="398"/>
    </row>
    <row r="1020" spans="2:11" ht="15" customHeight="1" x14ac:dyDescent="0.2">
      <c r="B1020" s="396"/>
      <c r="C1020" s="397"/>
      <c r="D1020" s="397"/>
      <c r="E1020" s="397"/>
      <c r="F1020" s="397"/>
      <c r="G1020" s="397"/>
      <c r="H1020" s="397"/>
      <c r="I1020" s="397"/>
      <c r="J1020" s="397"/>
      <c r="K1020" s="398"/>
    </row>
    <row r="1021" spans="2:11" ht="15" customHeight="1" x14ac:dyDescent="0.2">
      <c r="B1021" s="396"/>
      <c r="C1021" s="397"/>
      <c r="D1021" s="397"/>
      <c r="E1021" s="397"/>
      <c r="F1021" s="397"/>
      <c r="G1021" s="397"/>
      <c r="H1021" s="397"/>
      <c r="I1021" s="397"/>
      <c r="J1021" s="397"/>
      <c r="K1021" s="398"/>
    </row>
    <row r="1022" spans="2:11" ht="15" customHeight="1" x14ac:dyDescent="0.2">
      <c r="B1022" s="396"/>
      <c r="C1022" s="397"/>
      <c r="D1022" s="397"/>
      <c r="E1022" s="397"/>
      <c r="F1022" s="397"/>
      <c r="G1022" s="397"/>
      <c r="H1022" s="397"/>
      <c r="I1022" s="397"/>
      <c r="J1022" s="397"/>
      <c r="K1022" s="398"/>
    </row>
    <row r="1023" spans="2:11" ht="15" customHeight="1" x14ac:dyDescent="0.2">
      <c r="B1023" s="396"/>
      <c r="C1023" s="397"/>
      <c r="D1023" s="397"/>
      <c r="E1023" s="397"/>
      <c r="F1023" s="397"/>
      <c r="G1023" s="397"/>
      <c r="H1023" s="397"/>
      <c r="I1023" s="397"/>
      <c r="J1023" s="397"/>
      <c r="K1023" s="398"/>
    </row>
    <row r="1024" spans="2:11" ht="15" customHeight="1" x14ac:dyDescent="0.2">
      <c r="B1024" s="396"/>
      <c r="C1024" s="397"/>
      <c r="D1024" s="397"/>
      <c r="E1024" s="397"/>
      <c r="F1024" s="397"/>
      <c r="G1024" s="397"/>
      <c r="H1024" s="397"/>
      <c r="I1024" s="397"/>
      <c r="J1024" s="397"/>
      <c r="K1024" s="398"/>
    </row>
    <row r="1025" spans="2:11" ht="15" customHeight="1" x14ac:dyDescent="0.2">
      <c r="B1025" s="396"/>
      <c r="C1025" s="397"/>
      <c r="D1025" s="397"/>
      <c r="E1025" s="397"/>
      <c r="F1025" s="397"/>
      <c r="G1025" s="397"/>
      <c r="H1025" s="397"/>
      <c r="I1025" s="397"/>
      <c r="J1025" s="397"/>
      <c r="K1025" s="398"/>
    </row>
    <row r="1026" spans="2:11" ht="15" customHeight="1" x14ac:dyDescent="0.2">
      <c r="B1026" s="396"/>
      <c r="C1026" s="397"/>
      <c r="D1026" s="397"/>
      <c r="E1026" s="397"/>
      <c r="F1026" s="397"/>
      <c r="G1026" s="397"/>
      <c r="H1026" s="397"/>
      <c r="I1026" s="397"/>
      <c r="J1026" s="397"/>
      <c r="K1026" s="398"/>
    </row>
    <row r="1027" spans="2:11" ht="15" customHeight="1" x14ac:dyDescent="0.2">
      <c r="B1027" s="396"/>
      <c r="C1027" s="397"/>
      <c r="D1027" s="397"/>
      <c r="E1027" s="397"/>
      <c r="F1027" s="397"/>
      <c r="G1027" s="397"/>
      <c r="H1027" s="397"/>
      <c r="I1027" s="397"/>
      <c r="J1027" s="397"/>
      <c r="K1027" s="398"/>
    </row>
    <row r="1028" spans="2:11" ht="15" customHeight="1" x14ac:dyDescent="0.2">
      <c r="B1028" s="396"/>
      <c r="C1028" s="397"/>
      <c r="D1028" s="397"/>
      <c r="E1028" s="397"/>
      <c r="F1028" s="397"/>
      <c r="G1028" s="397"/>
      <c r="H1028" s="397"/>
      <c r="I1028" s="397"/>
      <c r="J1028" s="397"/>
      <c r="K1028" s="398"/>
    </row>
    <row r="1029" spans="2:11" ht="15" customHeight="1" x14ac:dyDescent="0.2">
      <c r="B1029" s="393"/>
      <c r="C1029" s="394"/>
      <c r="D1029" s="394"/>
      <c r="E1029" s="394"/>
      <c r="F1029" s="394"/>
      <c r="G1029" s="394"/>
      <c r="H1029" s="394"/>
      <c r="I1029" s="394"/>
      <c r="J1029" s="394"/>
      <c r="K1029" s="395"/>
    </row>
  </sheetData>
  <sheetProtection formatCells="0" formatColumns="0" formatRows="0" selectLockedCells="1"/>
  <mergeCells count="152">
    <mergeCell ref="E15:J15"/>
    <mergeCell ref="C38:J38"/>
    <mergeCell ref="C57:J57"/>
    <mergeCell ref="B5:K5"/>
    <mergeCell ref="B6:K6"/>
    <mergeCell ref="B7:K7"/>
    <mergeCell ref="B8:K8"/>
    <mergeCell ref="B9:K9"/>
    <mergeCell ref="B10:K10"/>
    <mergeCell ref="C176:J176"/>
    <mergeCell ref="C196:J196"/>
    <mergeCell ref="C155:J155"/>
    <mergeCell ref="C120:J122"/>
    <mergeCell ref="C123:J124"/>
    <mergeCell ref="C129:J129"/>
    <mergeCell ref="C95:J95"/>
    <mergeCell ref="C114:J114"/>
    <mergeCell ref="C76:J76"/>
    <mergeCell ref="C455:J455"/>
    <mergeCell ref="C402:J402"/>
    <mergeCell ref="C416:J416"/>
    <mergeCell ref="C438:J438"/>
    <mergeCell ref="C444:I445"/>
    <mergeCell ref="C391:I392"/>
    <mergeCell ref="C257:J257"/>
    <mergeCell ref="C237:J237"/>
    <mergeCell ref="C216:J216"/>
    <mergeCell ref="C292:I293"/>
    <mergeCell ref="C311:I312"/>
    <mergeCell ref="C340:I341"/>
    <mergeCell ref="C305:J305"/>
    <mergeCell ref="C324:J324"/>
    <mergeCell ref="C330:I331"/>
    <mergeCell ref="C420:I421"/>
    <mergeCell ref="C385:J385"/>
    <mergeCell ref="C347:J347"/>
    <mergeCell ref="D343:I344"/>
    <mergeCell ref="C365:J365"/>
    <mergeCell ref="C371:I372"/>
    <mergeCell ref="C286:J286"/>
    <mergeCell ref="C613:J613"/>
    <mergeCell ref="C560:J560"/>
    <mergeCell ref="C566:I568"/>
    <mergeCell ref="C569:I571"/>
    <mergeCell ref="C583:J583"/>
    <mergeCell ref="C524:I525"/>
    <mergeCell ref="C535:J535"/>
    <mergeCell ref="C518:J518"/>
    <mergeCell ref="C471:J471"/>
    <mergeCell ref="C477:I478"/>
    <mergeCell ref="C486:J486"/>
    <mergeCell ref="C502:J502"/>
    <mergeCell ref="C599:J599"/>
    <mergeCell ref="G717:H717"/>
    <mergeCell ref="G718:H718"/>
    <mergeCell ref="C729:J731"/>
    <mergeCell ref="G732:H732"/>
    <mergeCell ref="G733:H733"/>
    <mergeCell ref="C620:I621"/>
    <mergeCell ref="C633:J633"/>
    <mergeCell ref="C639:I640"/>
    <mergeCell ref="C641:I643"/>
    <mergeCell ref="C714:J716"/>
    <mergeCell ref="C655:J655"/>
    <mergeCell ref="D664:I665"/>
    <mergeCell ref="C677:J677"/>
    <mergeCell ref="G737:H737"/>
    <mergeCell ref="G738:H738"/>
    <mergeCell ref="G734:H734"/>
    <mergeCell ref="G735:H735"/>
    <mergeCell ref="G724:H724"/>
    <mergeCell ref="G725:H725"/>
    <mergeCell ref="G719:H719"/>
    <mergeCell ref="G720:H720"/>
    <mergeCell ref="G721:H721"/>
    <mergeCell ref="G846:H846"/>
    <mergeCell ref="C830:J831"/>
    <mergeCell ref="G834:H834"/>
    <mergeCell ref="G838:H838"/>
    <mergeCell ref="G842:H842"/>
    <mergeCell ref="G769:H769"/>
    <mergeCell ref="G770:H770"/>
    <mergeCell ref="G767:H767"/>
    <mergeCell ref="G768:H768"/>
    <mergeCell ref="G766:H766"/>
    <mergeCell ref="G754:H754"/>
    <mergeCell ref="G755:H755"/>
    <mergeCell ref="G752:H752"/>
    <mergeCell ref="G753:H753"/>
    <mergeCell ref="C759:J761"/>
    <mergeCell ref="G762:H762"/>
    <mergeCell ref="G763:H763"/>
    <mergeCell ref="G764:H764"/>
    <mergeCell ref="G878:H878"/>
    <mergeCell ref="G722:H722"/>
    <mergeCell ref="G723:H723"/>
    <mergeCell ref="G850:H850"/>
    <mergeCell ref="G862:H862"/>
    <mergeCell ref="G866:H866"/>
    <mergeCell ref="G854:H854"/>
    <mergeCell ref="G858:H858"/>
    <mergeCell ref="F959:H960"/>
    <mergeCell ref="G736:H736"/>
    <mergeCell ref="C744:J746"/>
    <mergeCell ref="G747:H747"/>
    <mergeCell ref="G748:H748"/>
    <mergeCell ref="G749:H749"/>
    <mergeCell ref="G886:H886"/>
    <mergeCell ref="G890:H890"/>
    <mergeCell ref="G882:H882"/>
    <mergeCell ref="G870:H870"/>
    <mergeCell ref="G874:H874"/>
    <mergeCell ref="G765:H765"/>
    <mergeCell ref="G750:H750"/>
    <mergeCell ref="G751:H751"/>
    <mergeCell ref="G739:H739"/>
    <mergeCell ref="G740:H740"/>
    <mergeCell ref="B1004:K1004"/>
    <mergeCell ref="B1005:K1005"/>
    <mergeCell ref="B1006:K1006"/>
    <mergeCell ref="B1007:K1007"/>
    <mergeCell ref="B1008:K1008"/>
    <mergeCell ref="B1009:K1009"/>
    <mergeCell ref="B1010:K1010"/>
    <mergeCell ref="B1011:K1011"/>
    <mergeCell ref="B1012:K1012"/>
    <mergeCell ref="B1022:K1022"/>
    <mergeCell ref="B1023:K1023"/>
    <mergeCell ref="B1024:K1024"/>
    <mergeCell ref="B1025:K1025"/>
    <mergeCell ref="B1026:K1026"/>
    <mergeCell ref="B1027:K1027"/>
    <mergeCell ref="B1028:K1028"/>
    <mergeCell ref="B1029:K1029"/>
    <mergeCell ref="B1013:K1013"/>
    <mergeCell ref="B1014:K1014"/>
    <mergeCell ref="B1015:K1015"/>
    <mergeCell ref="B1016:K1016"/>
    <mergeCell ref="B1017:K1017"/>
    <mergeCell ref="B1018:K1018"/>
    <mergeCell ref="B1019:K1019"/>
    <mergeCell ref="B1020:K1020"/>
    <mergeCell ref="B1021:K1021"/>
    <mergeCell ref="G928:H928"/>
    <mergeCell ref="G932:H932"/>
    <mergeCell ref="G924:H924"/>
    <mergeCell ref="G916:H916"/>
    <mergeCell ref="G920:H920"/>
    <mergeCell ref="C900:J901"/>
    <mergeCell ref="G904:H904"/>
    <mergeCell ref="G908:H908"/>
    <mergeCell ref="G912:H912"/>
  </mergeCells>
  <dataValidations count="23">
    <dataValidation type="list" allowBlank="1" showInputMessage="1" showErrorMessage="1" sqref="E15:J15" xr:uid="{00000000-0002-0000-1400-000000000000}">
      <formula1>$C$966:$C$970</formula1>
    </dataValidation>
    <dataValidation type="list" allowBlank="1" showInputMessage="1" showErrorMessage="1" sqref="G834:H834 G890:H890 G886:H886 G882:H882 G878:H878 G874:H874 G870:H870 G866:H866 G862:H862 G858:H858 G854:H854 G850:H850 G846:H846 G842:H842 G838:H838 G904:H904 G932:H932 G928:H928 G924:H924 G920:H920 G916:H916 G912:H912 G908:H908" xr:uid="{00000000-0002-0000-1400-000001000000}">
      <formula1>$B$998:$B$1002</formula1>
    </dataValidation>
    <dataValidation type="list" allowBlank="1" showInputMessage="1" showErrorMessage="1" sqref="G717:H725 G762:H770 G732:H740 G747:H755" xr:uid="{00000000-0002-0000-1400-000002000000}">
      <formula1>$B$994:$B$995</formula1>
    </dataValidation>
    <dataValidation type="list" allowBlank="1" showInputMessage="1" showErrorMessage="1" sqref="J302 J362" xr:uid="{00000000-0002-0000-1400-000003000000}">
      <formula1>$B$980:$B$984</formula1>
    </dataValidation>
    <dataValidation type="list" allowBlank="1" showInputMessage="1" showErrorMessage="1" sqref="C123:J124" xr:uid="{00000000-0002-0000-1400-000004000000}">
      <formula1>$B$987:$B$991</formula1>
    </dataValidation>
    <dataValidation type="list" allowBlank="1" showInputMessage="1" showErrorMessage="1" sqref="J35 J213 J283 J652 J234 J54 J193 J173 J152 J126 J111 J92 J73 J254 J435 J452 J468 J499 J515 J532 J557 J580 J596 J674 J630" xr:uid="{00000000-0002-0000-1400-000005000000}">
      <formula1>$B$973:$B$977</formula1>
    </dataValidation>
    <dataValidation type="list" allowBlank="1" showInputMessage="1" showErrorMessage="1" sqref="J33" xr:uid="{00000000-0002-0000-1400-000006000000}">
      <formula1>$N$32:$N$37</formula1>
    </dataValidation>
    <dataValidation type="list" allowBlank="1" showInputMessage="1" showErrorMessage="1" sqref="J52" xr:uid="{00000000-0002-0000-1400-000007000000}">
      <formula1>$N$51:$N$56</formula1>
    </dataValidation>
    <dataValidation type="list" allowBlank="1" showInputMessage="1" showErrorMessage="1" sqref="J71" xr:uid="{00000000-0002-0000-1400-000008000000}">
      <formula1>$N$70:$N$75</formula1>
    </dataValidation>
    <dataValidation type="list" allowBlank="1" showInputMessage="1" showErrorMessage="1" sqref="J90" xr:uid="{00000000-0002-0000-1400-000009000000}">
      <formula1>$N$89:$N$94</formula1>
    </dataValidation>
    <dataValidation type="list" allowBlank="1" showInputMessage="1" showErrorMessage="1" sqref="J109" xr:uid="{00000000-0002-0000-1400-00000A000000}">
      <formula1>$N$108:$N$113</formula1>
    </dataValidation>
    <dataValidation type="list" allowBlank="1" showInputMessage="1" showErrorMessage="1" sqref="J150" xr:uid="{00000000-0002-0000-1400-00000B000000}">
      <formula1>$N$149:$N$154</formula1>
    </dataValidation>
    <dataValidation type="list" allowBlank="1" showInputMessage="1" showErrorMessage="1" sqref="J171" xr:uid="{00000000-0002-0000-1400-00000C000000}">
      <formula1>$N$170:$N$175</formula1>
    </dataValidation>
    <dataValidation type="list" allowBlank="1" showInputMessage="1" showErrorMessage="1" sqref="J191" xr:uid="{00000000-0002-0000-1400-00000D000000}">
      <formula1>$N$190:$N$195</formula1>
    </dataValidation>
    <dataValidation type="list" allowBlank="1" showInputMessage="1" showErrorMessage="1" sqref="J211" xr:uid="{00000000-0002-0000-1400-00000E000000}">
      <formula1>$N$210:$N$215</formula1>
    </dataValidation>
    <dataValidation type="list" allowBlank="1" showInputMessage="1" showErrorMessage="1" sqref="J232" xr:uid="{00000000-0002-0000-1400-00000F000000}">
      <formula1>$N$231:$N$236</formula1>
    </dataValidation>
    <dataValidation type="list" allowBlank="1" showInputMessage="1" showErrorMessage="1" sqref="J252" xr:uid="{00000000-0002-0000-1400-000010000000}">
      <formula1>$N$251:$N$256</formula1>
    </dataValidation>
    <dataValidation type="list" allowBlank="1" showInputMessage="1" showErrorMessage="1" sqref="J281" xr:uid="{00000000-0002-0000-1400-000011000000}">
      <formula1>$N$280:$N$285</formula1>
    </dataValidation>
    <dataValidation type="list" allowBlank="1" showInputMessage="1" showErrorMessage="1" sqref="J555" xr:uid="{00000000-0002-0000-1400-000012000000}">
      <formula1>$N$554:$N$559</formula1>
    </dataValidation>
    <dataValidation type="list" allowBlank="1" showInputMessage="1" showErrorMessage="1" sqref="J578" xr:uid="{00000000-0002-0000-1400-000013000000}">
      <formula1>$N$577:$N$582</formula1>
    </dataValidation>
    <dataValidation type="list" allowBlank="1" showInputMessage="1" showErrorMessage="1" sqref="J628" xr:uid="{00000000-0002-0000-1400-000014000000}">
      <formula1>$N$627:$N$632</formula1>
    </dataValidation>
    <dataValidation type="list" allowBlank="1" showInputMessage="1" showErrorMessage="1" sqref="J650" xr:uid="{00000000-0002-0000-1400-000015000000}">
      <formula1>$N$649:$N$654</formula1>
    </dataValidation>
    <dataValidation type="list" allowBlank="1" showInputMessage="1" showErrorMessage="1" sqref="J672" xr:uid="{00000000-0002-0000-1400-000016000000}">
      <formula1>$N$671:$N$676</formula1>
    </dataValidation>
  </dataValidations>
  <pageMargins left="0.7" right="0.7" top="0.75" bottom="0.75" header="0.3" footer="0.3"/>
  <pageSetup scale="7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9"/>
  <dimension ref="A1:N1029"/>
  <sheetViews>
    <sheetView showGridLines="0" showRowColHeaders="0" zoomScaleNormal="100" workbookViewId="0">
      <selection activeCell="B7" sqref="B7:K7"/>
    </sheetView>
  </sheetViews>
  <sheetFormatPr baseColWidth="10" defaultColWidth="9.1640625" defaultRowHeight="15" x14ac:dyDescent="0.2"/>
  <cols>
    <col min="1" max="1" width="9.1640625" style="12"/>
    <col min="2" max="3" width="9.1640625" style="12" customWidth="1"/>
    <col min="4" max="4" width="9.1640625" style="12"/>
    <col min="5" max="5" width="9.1640625" style="12" customWidth="1"/>
    <col min="6" max="9" width="9.1640625" style="12"/>
    <col min="10" max="10" width="25.6640625" style="12" customWidth="1"/>
    <col min="11" max="12" width="9.1640625" style="12"/>
    <col min="13" max="13" width="9.1640625" style="12" customWidth="1"/>
    <col min="14" max="14" width="9.1640625" style="12" hidden="1" customWidth="1"/>
    <col min="15" max="16384" width="9.1640625" style="12"/>
  </cols>
  <sheetData>
    <row r="1" spans="2:13" x14ac:dyDescent="0.2">
      <c r="I1" s="29"/>
    </row>
    <row r="2" spans="2:13" ht="33" x14ac:dyDescent="0.2">
      <c r="G2" s="16" t="s">
        <v>1038</v>
      </c>
      <c r="I2" s="29"/>
    </row>
    <row r="3" spans="2:13" ht="23" x14ac:dyDescent="0.25">
      <c r="G3" s="30" t="s">
        <v>13</v>
      </c>
      <c r="I3" s="29"/>
      <c r="L3" s="157"/>
      <c r="M3" s="157"/>
    </row>
    <row r="4" spans="2:13" x14ac:dyDescent="0.2">
      <c r="G4" s="98"/>
      <c r="I4" s="29"/>
      <c r="L4" s="158"/>
      <c r="M4" s="157"/>
    </row>
    <row r="5" spans="2:13" ht="137.25" customHeight="1" x14ac:dyDescent="0.2">
      <c r="B5" s="474" t="s">
        <v>673</v>
      </c>
      <c r="C5" s="475"/>
      <c r="D5" s="475"/>
      <c r="E5" s="475"/>
      <c r="F5" s="475"/>
      <c r="G5" s="475"/>
      <c r="H5" s="475"/>
      <c r="I5" s="475"/>
      <c r="J5" s="475"/>
      <c r="K5" s="475"/>
      <c r="L5" s="158"/>
      <c r="M5" s="157"/>
    </row>
    <row r="6" spans="2:13" x14ac:dyDescent="0.2">
      <c r="B6" s="426"/>
      <c r="C6" s="426"/>
      <c r="D6" s="426"/>
      <c r="E6" s="426"/>
      <c r="F6" s="426"/>
      <c r="G6" s="426"/>
      <c r="H6" s="426"/>
      <c r="I6" s="426"/>
      <c r="J6" s="426"/>
      <c r="K6" s="426"/>
      <c r="L6" s="158"/>
    </row>
    <row r="7" spans="2:13" ht="60" customHeight="1" x14ac:dyDescent="0.2">
      <c r="B7" s="425" t="s">
        <v>664</v>
      </c>
      <c r="C7" s="341"/>
      <c r="D7" s="341"/>
      <c r="E7" s="341"/>
      <c r="F7" s="341"/>
      <c r="G7" s="341"/>
      <c r="H7" s="341"/>
      <c r="I7" s="341"/>
      <c r="J7" s="341"/>
      <c r="K7" s="341"/>
    </row>
    <row r="8" spans="2:13" x14ac:dyDescent="0.2">
      <c r="B8" s="426"/>
      <c r="C8" s="426"/>
      <c r="D8" s="426"/>
      <c r="E8" s="426"/>
      <c r="F8" s="426"/>
      <c r="G8" s="426"/>
      <c r="H8" s="426"/>
      <c r="I8" s="426"/>
      <c r="J8" s="426"/>
      <c r="K8" s="426"/>
    </row>
    <row r="9" spans="2:13" ht="30" customHeight="1" x14ac:dyDescent="0.2">
      <c r="B9" s="445" t="s">
        <v>665</v>
      </c>
      <c r="C9" s="446"/>
      <c r="D9" s="446"/>
      <c r="E9" s="446"/>
      <c r="F9" s="446"/>
      <c r="G9" s="446"/>
      <c r="H9" s="446"/>
      <c r="I9" s="446"/>
      <c r="J9" s="446"/>
      <c r="K9" s="446"/>
    </row>
    <row r="10" spans="2:13" ht="29.25" customHeight="1" x14ac:dyDescent="0.2">
      <c r="B10" s="447" t="s">
        <v>1074</v>
      </c>
      <c r="C10" s="448"/>
      <c r="D10" s="448"/>
      <c r="E10" s="448"/>
      <c r="F10" s="448"/>
      <c r="G10" s="448"/>
      <c r="H10" s="448"/>
      <c r="I10" s="448"/>
      <c r="J10" s="448"/>
      <c r="K10" s="449"/>
    </row>
    <row r="11" spans="2:13" ht="16" thickBot="1" x14ac:dyDescent="0.25"/>
    <row r="12" spans="2:13" x14ac:dyDescent="0.2">
      <c r="B12" s="159"/>
      <c r="C12" s="160"/>
      <c r="D12" s="160"/>
      <c r="E12" s="160"/>
      <c r="F12" s="160"/>
      <c r="G12" s="160"/>
      <c r="H12" s="160"/>
      <c r="I12" s="160"/>
      <c r="J12" s="160"/>
      <c r="K12" s="161"/>
    </row>
    <row r="13" spans="2:13" ht="21" x14ac:dyDescent="0.25">
      <c r="B13" s="162"/>
      <c r="C13" s="163"/>
      <c r="D13" s="163"/>
      <c r="E13" s="163"/>
      <c r="F13" s="163"/>
      <c r="G13" s="164" t="s">
        <v>226</v>
      </c>
      <c r="H13" s="163"/>
      <c r="I13" s="163"/>
      <c r="J13" s="163"/>
      <c r="K13" s="165"/>
    </row>
    <row r="14" spans="2:13" ht="21" x14ac:dyDescent="0.25">
      <c r="B14" s="162"/>
      <c r="C14" s="163"/>
      <c r="D14" s="163"/>
      <c r="E14" s="163"/>
      <c r="F14" s="163"/>
      <c r="G14" s="164"/>
      <c r="H14" s="163"/>
      <c r="I14" s="163"/>
      <c r="J14" s="163"/>
      <c r="K14" s="165"/>
    </row>
    <row r="15" spans="2:13" ht="26.25" customHeight="1" x14ac:dyDescent="0.2">
      <c r="B15" s="162"/>
      <c r="C15" s="163" t="s">
        <v>255</v>
      </c>
      <c r="D15" s="163"/>
      <c r="E15" s="412" t="s">
        <v>240</v>
      </c>
      <c r="F15" s="437"/>
      <c r="G15" s="437"/>
      <c r="H15" s="437"/>
      <c r="I15" s="437"/>
      <c r="J15" s="438"/>
      <c r="K15" s="165"/>
    </row>
    <row r="16" spans="2:13" x14ac:dyDescent="0.2">
      <c r="B16" s="162"/>
      <c r="C16" s="163"/>
      <c r="D16" s="163"/>
      <c r="E16" s="163"/>
      <c r="F16" s="163"/>
      <c r="G16" s="163"/>
      <c r="H16" s="163"/>
      <c r="I16" s="163"/>
      <c r="J16" s="163"/>
      <c r="K16" s="165"/>
    </row>
    <row r="17" spans="2:14" x14ac:dyDescent="0.2">
      <c r="B17" s="162"/>
      <c r="C17" s="166" t="s">
        <v>256</v>
      </c>
      <c r="D17" s="163"/>
      <c r="E17" s="167">
        <f>IF(E15=$C$966,$A$966,IF(E15=$C$967,$A$967,IF(E15=$C$968,$A$968,IF(E15=$C$969,$A$969,IF(E15=$C$970,$A$970,"Not Calculated")))))</f>
        <v>0</v>
      </c>
      <c r="F17" s="163"/>
      <c r="G17" s="163"/>
      <c r="H17" s="163"/>
      <c r="I17" s="163"/>
      <c r="J17" s="163"/>
      <c r="K17" s="165"/>
    </row>
    <row r="18" spans="2:14" x14ac:dyDescent="0.2">
      <c r="B18" s="162"/>
      <c r="C18" s="163"/>
      <c r="D18" s="163"/>
      <c r="E18" s="167" t="str">
        <f>IF(E15=$C$966,$B$966,IF(E15=$C$967,$B$967,IF(E15=$C$968,$B$968,IF(E15=$C$969,$B$969,IF(E15=$C$970,$B$970,"Not Calculated")))))</f>
        <v>Improbable</v>
      </c>
      <c r="F18" s="163"/>
      <c r="G18" s="163"/>
      <c r="H18" s="163"/>
      <c r="I18" s="163"/>
      <c r="J18" s="163"/>
      <c r="K18" s="165"/>
    </row>
    <row r="19" spans="2:14" ht="16" thickBot="1" x14ac:dyDescent="0.25">
      <c r="B19" s="168"/>
      <c r="C19" s="169"/>
      <c r="D19" s="169"/>
      <c r="E19" s="169"/>
      <c r="F19" s="169"/>
      <c r="G19" s="169"/>
      <c r="H19" s="169"/>
      <c r="I19" s="169"/>
      <c r="J19" s="169"/>
      <c r="K19" s="170"/>
    </row>
    <row r="20" spans="2:14" ht="16" thickBot="1" x14ac:dyDescent="0.25"/>
    <row r="21" spans="2:14" x14ac:dyDescent="0.2">
      <c r="B21" s="33"/>
      <c r="C21" s="34"/>
      <c r="D21" s="34"/>
      <c r="E21" s="34"/>
      <c r="F21" s="34"/>
      <c r="G21" s="34"/>
      <c r="H21" s="34"/>
      <c r="I21" s="34"/>
      <c r="J21" s="34"/>
      <c r="K21" s="37"/>
    </row>
    <row r="22" spans="2:14" ht="21" x14ac:dyDescent="0.25">
      <c r="B22" s="38"/>
      <c r="C22" s="171"/>
      <c r="D22" s="40"/>
      <c r="E22" s="40"/>
      <c r="F22" s="40"/>
      <c r="G22" s="172" t="s">
        <v>26</v>
      </c>
      <c r="H22" s="40"/>
      <c r="I22" s="40"/>
      <c r="J22" s="40"/>
      <c r="K22" s="41"/>
    </row>
    <row r="23" spans="2:14" x14ac:dyDescent="0.2">
      <c r="B23" s="38"/>
      <c r="C23" s="40"/>
      <c r="D23" s="40"/>
      <c r="E23" s="40"/>
      <c r="F23" s="40"/>
      <c r="G23" s="40"/>
      <c r="H23" s="40"/>
      <c r="I23" s="40"/>
      <c r="J23" s="40"/>
      <c r="K23" s="41"/>
    </row>
    <row r="24" spans="2:14" ht="16" x14ac:dyDescent="0.2">
      <c r="B24" s="38"/>
      <c r="C24" s="45" t="s">
        <v>61</v>
      </c>
      <c r="D24" s="40"/>
      <c r="E24" s="40"/>
      <c r="F24" s="40"/>
      <c r="G24" s="40"/>
      <c r="H24" s="40"/>
      <c r="I24" s="40"/>
      <c r="J24" s="40"/>
      <c r="K24" s="41"/>
    </row>
    <row r="25" spans="2:14" x14ac:dyDescent="0.2">
      <c r="B25" s="38"/>
      <c r="C25" s="40" t="s">
        <v>434</v>
      </c>
      <c r="D25" s="40"/>
      <c r="E25" s="40"/>
      <c r="F25" s="40"/>
      <c r="G25" s="40"/>
      <c r="H25" s="40"/>
      <c r="I25" s="40"/>
      <c r="J25" s="252">
        <f>'Baseline Health'!G11</f>
        <v>0</v>
      </c>
      <c r="K25" s="41"/>
    </row>
    <row r="26" spans="2:14" x14ac:dyDescent="0.2">
      <c r="B26" s="38"/>
      <c r="C26" s="40" t="s">
        <v>288</v>
      </c>
      <c r="D26" s="40"/>
      <c r="E26" s="40"/>
      <c r="F26" s="40"/>
      <c r="G26" s="40"/>
      <c r="H26" s="40"/>
      <c r="I26" s="40"/>
      <c r="J26" s="264">
        <v>0</v>
      </c>
      <c r="K26" s="41"/>
    </row>
    <row r="27" spans="2:14" x14ac:dyDescent="0.2">
      <c r="B27" s="38"/>
      <c r="C27" s="40" t="s">
        <v>260</v>
      </c>
      <c r="D27" s="40"/>
      <c r="E27" s="40"/>
      <c r="F27" s="40"/>
      <c r="G27" s="40"/>
      <c r="H27" s="40"/>
      <c r="I27" s="40"/>
      <c r="J27" s="248" t="str">
        <f>IF(OR(J25=0,J25="Not Calculated")=TRUE,"Not Calculated",(IF(((J26+J25)/J25)&lt;=1,0,IF(((J26+J25)/J25)&lt;=1.05,1,IF(((J26+J25)/J25)&lt;=1.5, 2,IF(((J26+J25)/J25)&lt;=2,3,4))))))</f>
        <v>Not Calculated</v>
      </c>
      <c r="K27" s="41"/>
    </row>
    <row r="28" spans="2:14" ht="9.75" customHeight="1" x14ac:dyDescent="0.2">
      <c r="B28" s="38"/>
      <c r="C28" s="279" t="str">
        <f>"0:"</f>
        <v>0:</v>
      </c>
      <c r="D28" s="281" t="s">
        <v>918</v>
      </c>
      <c r="E28" s="40"/>
      <c r="F28" s="40"/>
      <c r="G28" s="40"/>
      <c r="H28" s="40"/>
      <c r="I28" s="40"/>
      <c r="J28" s="40"/>
      <c r="K28" s="41"/>
    </row>
    <row r="29" spans="2:14" ht="9.75" customHeight="1" x14ac:dyDescent="0.2">
      <c r="B29" s="38"/>
      <c r="C29" s="280" t="str">
        <f>"1:"</f>
        <v>1:</v>
      </c>
      <c r="D29" s="281" t="s">
        <v>919</v>
      </c>
      <c r="E29" s="40"/>
      <c r="F29" s="40"/>
      <c r="G29" s="40"/>
      <c r="H29" s="40"/>
      <c r="I29" s="40"/>
      <c r="J29" s="40"/>
      <c r="K29" s="41"/>
    </row>
    <row r="30" spans="2:14" ht="9.75" customHeight="1" x14ac:dyDescent="0.2">
      <c r="B30" s="38"/>
      <c r="C30" s="280" t="str">
        <f>"2:"</f>
        <v>2:</v>
      </c>
      <c r="D30" s="281" t="s">
        <v>920</v>
      </c>
      <c r="E30" s="40"/>
      <c r="F30" s="40"/>
      <c r="G30" s="40"/>
      <c r="H30" s="40"/>
      <c r="I30" s="40"/>
      <c r="J30" s="40"/>
      <c r="K30" s="41"/>
    </row>
    <row r="31" spans="2:14" ht="9.75" customHeight="1" x14ac:dyDescent="0.2">
      <c r="B31" s="38"/>
      <c r="C31" s="280" t="str">
        <f>"3:"</f>
        <v>3:</v>
      </c>
      <c r="D31" s="281" t="s">
        <v>921</v>
      </c>
      <c r="E31" s="40"/>
      <c r="F31" s="40"/>
      <c r="G31" s="40"/>
      <c r="H31" s="40"/>
      <c r="I31" s="40"/>
      <c r="J31" s="40"/>
      <c r="K31" s="41"/>
    </row>
    <row r="32" spans="2:14" ht="9.75" customHeight="1" x14ac:dyDescent="0.2">
      <c r="B32" s="38"/>
      <c r="C32" s="280" t="str">
        <f>"4:"</f>
        <v>4:</v>
      </c>
      <c r="D32" s="281" t="s">
        <v>922</v>
      </c>
      <c r="E32" s="40"/>
      <c r="F32" s="40"/>
      <c r="G32" s="40"/>
      <c r="H32" s="40"/>
      <c r="I32" s="40"/>
      <c r="J32" s="40"/>
      <c r="K32" s="41"/>
      <c r="N32" s="12" t="s">
        <v>661</v>
      </c>
    </row>
    <row r="33" spans="2:14" x14ac:dyDescent="0.2">
      <c r="B33" s="38"/>
      <c r="C33" s="174" t="s">
        <v>662</v>
      </c>
      <c r="D33" s="40"/>
      <c r="E33" s="40"/>
      <c r="F33" s="40"/>
      <c r="G33" s="40"/>
      <c r="H33" s="40"/>
      <c r="I33" s="40"/>
      <c r="J33" s="265" t="s">
        <v>661</v>
      </c>
      <c r="K33" s="41"/>
      <c r="N33" s="12" t="s">
        <v>894</v>
      </c>
    </row>
    <row r="34" spans="2:14" x14ac:dyDescent="0.2">
      <c r="B34" s="38"/>
      <c r="C34" s="174" t="s">
        <v>660</v>
      </c>
      <c r="D34" s="40"/>
      <c r="E34" s="40"/>
      <c r="F34" s="40"/>
      <c r="G34" s="40"/>
      <c r="H34" s="40"/>
      <c r="I34" s="40"/>
      <c r="J34" s="246" t="str">
        <f>IF(J33=N32,"N/A",IF(J33=N33,0,IF(J33=N34,1,IF(J33=N35,2,IF(J33=N36,3,IF(J33=N37,4,"N/A"))))))</f>
        <v>N/A</v>
      </c>
      <c r="K34" s="41"/>
      <c r="N34" s="12" t="s">
        <v>895</v>
      </c>
    </row>
    <row r="35" spans="2:14" x14ac:dyDescent="0.2">
      <c r="B35" s="38"/>
      <c r="C35" s="40" t="s">
        <v>257</v>
      </c>
      <c r="D35" s="40"/>
      <c r="E35" s="40"/>
      <c r="F35" s="40"/>
      <c r="G35" s="40"/>
      <c r="H35" s="40"/>
      <c r="I35" s="40"/>
      <c r="J35" s="266" t="s">
        <v>870</v>
      </c>
      <c r="K35" s="41"/>
      <c r="N35" s="12" t="s">
        <v>896</v>
      </c>
    </row>
    <row r="36" spans="2:14" x14ac:dyDescent="0.2">
      <c r="B36" s="38"/>
      <c r="C36" s="40" t="s">
        <v>261</v>
      </c>
      <c r="D36" s="40"/>
      <c r="E36" s="40"/>
      <c r="F36" s="40"/>
      <c r="G36" s="40"/>
      <c r="H36" s="40"/>
      <c r="I36" s="40"/>
      <c r="J36" s="245">
        <f>IF(J35=$B$973,$A$973,IF(J35=$B$974,$A$974,IF(J35=$B$975,$A$975,IF(J35=$B$976,$A$976,IF(J35=$B$977,$A$977,"Not Calculated")))))</f>
        <v>0</v>
      </c>
      <c r="K36" s="41"/>
      <c r="N36" s="12" t="s">
        <v>897</v>
      </c>
    </row>
    <row r="37" spans="2:14" x14ac:dyDescent="0.2">
      <c r="B37" s="38"/>
      <c r="C37" s="40" t="s">
        <v>893</v>
      </c>
      <c r="D37" s="40"/>
      <c r="E37" s="40"/>
      <c r="F37" s="40"/>
      <c r="G37" s="40"/>
      <c r="H37" s="40"/>
      <c r="I37" s="40"/>
      <c r="J37" s="175"/>
      <c r="K37" s="41"/>
      <c r="N37" s="12" t="s">
        <v>898</v>
      </c>
    </row>
    <row r="38" spans="2:14" s="178" customFormat="1" ht="30" customHeight="1" x14ac:dyDescent="0.2">
      <c r="B38" s="176"/>
      <c r="C38" s="415" t="s">
        <v>506</v>
      </c>
      <c r="D38" s="400"/>
      <c r="E38" s="400"/>
      <c r="F38" s="400"/>
      <c r="G38" s="400"/>
      <c r="H38" s="400"/>
      <c r="I38" s="400"/>
      <c r="J38" s="401"/>
      <c r="K38" s="177"/>
    </row>
    <row r="39" spans="2:14" x14ac:dyDescent="0.2">
      <c r="B39" s="38"/>
      <c r="C39" s="40"/>
      <c r="D39" s="40"/>
      <c r="E39" s="40"/>
      <c r="F39" s="40"/>
      <c r="G39" s="40"/>
      <c r="H39" s="40"/>
      <c r="I39" s="40"/>
      <c r="J39" s="40"/>
      <c r="K39" s="41"/>
    </row>
    <row r="40" spans="2:14" x14ac:dyDescent="0.2">
      <c r="B40" s="38"/>
      <c r="C40" s="179" t="s">
        <v>258</v>
      </c>
      <c r="D40" s="40"/>
      <c r="E40" s="40"/>
      <c r="F40" s="40"/>
      <c r="G40" s="40"/>
      <c r="H40" s="40"/>
      <c r="I40" s="40"/>
      <c r="J40" s="245" t="str">
        <f>IF(J34="N/A",IF(OR(J27="Not Calculated",J36="Not Calculated")=TRUE,"Not Calculated",AVERAGE(J27,J36)),AVERAGE(J34,J36))</f>
        <v>Not Calculated</v>
      </c>
      <c r="K40" s="41"/>
    </row>
    <row r="41" spans="2:14" x14ac:dyDescent="0.2">
      <c r="B41" s="38"/>
      <c r="C41" s="179"/>
      <c r="D41" s="40"/>
      <c r="E41" s="40"/>
      <c r="F41" s="40"/>
      <c r="G41" s="40"/>
      <c r="H41" s="40"/>
      <c r="I41" s="40"/>
      <c r="J41" s="245"/>
      <c r="K41" s="41"/>
    </row>
    <row r="42" spans="2:14" x14ac:dyDescent="0.2">
      <c r="B42" s="38"/>
      <c r="C42" s="40"/>
      <c r="D42" s="40"/>
      <c r="E42" s="40"/>
      <c r="F42" s="40"/>
      <c r="G42" s="40"/>
      <c r="H42" s="40"/>
      <c r="I42" s="40"/>
      <c r="J42" s="40"/>
      <c r="K42" s="41"/>
    </row>
    <row r="43" spans="2:14" ht="16" x14ac:dyDescent="0.2">
      <c r="B43" s="38"/>
      <c r="C43" s="45" t="s">
        <v>51</v>
      </c>
      <c r="D43" s="40"/>
      <c r="E43" s="40"/>
      <c r="F43" s="40"/>
      <c r="G43" s="40"/>
      <c r="H43" s="40"/>
      <c r="I43" s="40"/>
      <c r="J43" s="40"/>
      <c r="K43" s="41"/>
    </row>
    <row r="44" spans="2:14" x14ac:dyDescent="0.2">
      <c r="B44" s="38"/>
      <c r="C44" s="40" t="s">
        <v>435</v>
      </c>
      <c r="D44" s="40"/>
      <c r="E44" s="40"/>
      <c r="F44" s="40"/>
      <c r="G44" s="40"/>
      <c r="H44" s="40"/>
      <c r="I44" s="40"/>
      <c r="J44" s="252">
        <f>'Baseline Health'!G17</f>
        <v>0</v>
      </c>
      <c r="K44" s="41"/>
    </row>
    <row r="45" spans="2:14" x14ac:dyDescent="0.2">
      <c r="B45" s="38"/>
      <c r="C45" s="40" t="s">
        <v>287</v>
      </c>
      <c r="D45" s="40"/>
      <c r="E45" s="40"/>
      <c r="F45" s="40"/>
      <c r="G45" s="40"/>
      <c r="H45" s="40"/>
      <c r="I45" s="40"/>
      <c r="J45" s="264">
        <f>IF('Community Characteristics'!$H$45="Yes",J44*0.5,0)</f>
        <v>0</v>
      </c>
      <c r="K45" s="41"/>
    </row>
    <row r="46" spans="2:14" x14ac:dyDescent="0.2">
      <c r="B46" s="38"/>
      <c r="C46" s="40" t="s">
        <v>260</v>
      </c>
      <c r="D46" s="40"/>
      <c r="E46" s="40"/>
      <c r="F46" s="40"/>
      <c r="G46" s="40"/>
      <c r="H46" s="40"/>
      <c r="I46" s="40"/>
      <c r="J46" s="248" t="str">
        <f>IF(OR(J44=0,J44="Not Calculated")=TRUE,"Not Calculated",(IF(((J45+J44)/J44)&lt;=1,0,IF(((J45+J44)/J44)&lt;=1.05,1,IF(((J45+J44)/J44)&lt;=1.5, 2,IF(((J45+J44)/J44)&lt;=2,3,4))))))</f>
        <v>Not Calculated</v>
      </c>
      <c r="K46" s="41"/>
    </row>
    <row r="47" spans="2:14" ht="9.75" customHeight="1" x14ac:dyDescent="0.2">
      <c r="B47" s="38"/>
      <c r="C47" s="279" t="str">
        <f>"0:"</f>
        <v>0:</v>
      </c>
      <c r="D47" s="281" t="s">
        <v>918</v>
      </c>
      <c r="E47" s="40"/>
      <c r="F47" s="40"/>
      <c r="G47" s="40"/>
      <c r="H47" s="40"/>
      <c r="I47" s="40"/>
      <c r="J47" s="40"/>
      <c r="K47" s="41"/>
    </row>
    <row r="48" spans="2:14" ht="9.75" customHeight="1" x14ac:dyDescent="0.2">
      <c r="B48" s="38"/>
      <c r="C48" s="280" t="str">
        <f>"1:"</f>
        <v>1:</v>
      </c>
      <c r="D48" s="281" t="s">
        <v>919</v>
      </c>
      <c r="E48" s="40"/>
      <c r="F48" s="40"/>
      <c r="G48" s="40"/>
      <c r="H48" s="40"/>
      <c r="I48" s="40"/>
      <c r="J48" s="40"/>
      <c r="K48" s="41"/>
    </row>
    <row r="49" spans="2:14" ht="9.75" customHeight="1" x14ac:dyDescent="0.2">
      <c r="B49" s="38"/>
      <c r="C49" s="280" t="str">
        <f>"2:"</f>
        <v>2:</v>
      </c>
      <c r="D49" s="281" t="s">
        <v>920</v>
      </c>
      <c r="E49" s="40"/>
      <c r="F49" s="40"/>
      <c r="G49" s="40"/>
      <c r="H49" s="40"/>
      <c r="I49" s="40"/>
      <c r="J49" s="40"/>
      <c r="K49" s="41"/>
    </row>
    <row r="50" spans="2:14" ht="9.75" customHeight="1" x14ac:dyDescent="0.2">
      <c r="B50" s="38"/>
      <c r="C50" s="280" t="str">
        <f>"3:"</f>
        <v>3:</v>
      </c>
      <c r="D50" s="281" t="s">
        <v>921</v>
      </c>
      <c r="E50" s="40"/>
      <c r="F50" s="40"/>
      <c r="G50" s="40"/>
      <c r="H50" s="40"/>
      <c r="I50" s="40"/>
      <c r="J50" s="40"/>
      <c r="K50" s="41"/>
    </row>
    <row r="51" spans="2:14" ht="9.75" customHeight="1" x14ac:dyDescent="0.2">
      <c r="B51" s="38"/>
      <c r="C51" s="280" t="str">
        <f>"4:"</f>
        <v>4:</v>
      </c>
      <c r="D51" s="281" t="s">
        <v>922</v>
      </c>
      <c r="E51" s="40"/>
      <c r="F51" s="40"/>
      <c r="G51" s="40"/>
      <c r="H51" s="40"/>
      <c r="I51" s="40"/>
      <c r="J51" s="40"/>
      <c r="K51" s="41"/>
      <c r="N51" s="12" t="s">
        <v>661</v>
      </c>
    </row>
    <row r="52" spans="2:14" x14ac:dyDescent="0.2">
      <c r="B52" s="38"/>
      <c r="C52" s="174" t="s">
        <v>662</v>
      </c>
      <c r="D52" s="40"/>
      <c r="E52" s="40"/>
      <c r="F52" s="40"/>
      <c r="G52" s="40"/>
      <c r="H52" s="40"/>
      <c r="I52" s="40"/>
      <c r="J52" s="265" t="s">
        <v>661</v>
      </c>
      <c r="K52" s="41"/>
      <c r="N52" s="12" t="s">
        <v>894</v>
      </c>
    </row>
    <row r="53" spans="2:14" x14ac:dyDescent="0.2">
      <c r="B53" s="38"/>
      <c r="C53" s="174" t="s">
        <v>660</v>
      </c>
      <c r="D53" s="40"/>
      <c r="E53" s="40"/>
      <c r="F53" s="40"/>
      <c r="G53" s="40"/>
      <c r="H53" s="40"/>
      <c r="I53" s="40"/>
      <c r="J53" s="246" t="str">
        <f>IF(J52=N51,"N/A",IF(J52=N52,0,IF(J52=N53,1,IF(J52=N54,2,IF(J52=N55,3,IF(J52=N56,4,"N/A"))))))</f>
        <v>N/A</v>
      </c>
      <c r="K53" s="41"/>
      <c r="N53" s="12" t="s">
        <v>895</v>
      </c>
    </row>
    <row r="54" spans="2:14" x14ac:dyDescent="0.2">
      <c r="B54" s="38"/>
      <c r="C54" s="40" t="s">
        <v>257</v>
      </c>
      <c r="D54" s="40"/>
      <c r="E54" s="40"/>
      <c r="F54" s="40"/>
      <c r="G54" s="40"/>
      <c r="H54" s="40"/>
      <c r="I54" s="40"/>
      <c r="J54" s="266" t="s">
        <v>870</v>
      </c>
      <c r="K54" s="41"/>
      <c r="N54" s="12" t="s">
        <v>896</v>
      </c>
    </row>
    <row r="55" spans="2:14" x14ac:dyDescent="0.2">
      <c r="B55" s="38"/>
      <c r="C55" s="40" t="s">
        <v>261</v>
      </c>
      <c r="D55" s="40"/>
      <c r="E55" s="40"/>
      <c r="F55" s="40"/>
      <c r="G55" s="40"/>
      <c r="H55" s="40"/>
      <c r="I55" s="40"/>
      <c r="J55" s="245">
        <f>IF(J54=$B$973,$A$973,IF(J54=$B$974,$A$974,IF(J54=$B$975,$A$975,IF(J54=$B$976,$A$976,IF(J54=$B$977,$A$977,"Not Calculated")))))</f>
        <v>0</v>
      </c>
      <c r="K55" s="41"/>
      <c r="N55" s="12" t="s">
        <v>897</v>
      </c>
    </row>
    <row r="56" spans="2:14" x14ac:dyDescent="0.2">
      <c r="B56" s="38"/>
      <c r="C56" s="40" t="s">
        <v>893</v>
      </c>
      <c r="D56" s="40"/>
      <c r="E56" s="40"/>
      <c r="F56" s="40"/>
      <c r="G56" s="40"/>
      <c r="H56" s="40"/>
      <c r="I56" s="40"/>
      <c r="J56" s="175"/>
      <c r="K56" s="41"/>
      <c r="N56" s="12" t="s">
        <v>898</v>
      </c>
    </row>
    <row r="57" spans="2:14" s="178" customFormat="1" ht="30" customHeight="1" x14ac:dyDescent="0.2">
      <c r="B57" s="176"/>
      <c r="C57" s="415" t="s">
        <v>507</v>
      </c>
      <c r="D57" s="400"/>
      <c r="E57" s="400"/>
      <c r="F57" s="400"/>
      <c r="G57" s="400"/>
      <c r="H57" s="400"/>
      <c r="I57" s="400"/>
      <c r="J57" s="401"/>
      <c r="K57" s="177"/>
    </row>
    <row r="58" spans="2:14" x14ac:dyDescent="0.2">
      <c r="B58" s="38"/>
      <c r="C58" s="40"/>
      <c r="D58" s="40"/>
      <c r="E58" s="40"/>
      <c r="F58" s="40"/>
      <c r="G58" s="40"/>
      <c r="H58" s="40"/>
      <c r="I58" s="40"/>
      <c r="J58" s="40"/>
      <c r="K58" s="41"/>
    </row>
    <row r="59" spans="2:14" x14ac:dyDescent="0.2">
      <c r="B59" s="38"/>
      <c r="C59" s="179" t="s">
        <v>263</v>
      </c>
      <c r="D59" s="40"/>
      <c r="E59" s="40"/>
      <c r="F59" s="40"/>
      <c r="G59" s="40"/>
      <c r="H59" s="40"/>
      <c r="I59" s="40"/>
      <c r="J59" s="245" t="str">
        <f>IF(J53="N/A",IF(OR(J46="Not Calculated",J55="Not Calculated")=TRUE,"Not Calculated",AVERAGE(J46,J55)),AVERAGE(J53,J55))</f>
        <v>Not Calculated</v>
      </c>
      <c r="K59" s="41"/>
    </row>
    <row r="60" spans="2:14" x14ac:dyDescent="0.2">
      <c r="B60" s="38"/>
      <c r="C60" s="40"/>
      <c r="D60" s="40"/>
      <c r="E60" s="40"/>
      <c r="F60" s="40"/>
      <c r="G60" s="40"/>
      <c r="H60" s="40"/>
      <c r="I60" s="40"/>
      <c r="J60" s="40"/>
      <c r="K60" s="41"/>
    </row>
    <row r="61" spans="2:14" x14ac:dyDescent="0.2">
      <c r="B61" s="38"/>
      <c r="C61" s="40"/>
      <c r="D61" s="40"/>
      <c r="E61" s="40"/>
      <c r="F61" s="40"/>
      <c r="G61" s="40"/>
      <c r="H61" s="40"/>
      <c r="I61" s="40"/>
      <c r="J61" s="40"/>
      <c r="K61" s="41"/>
    </row>
    <row r="62" spans="2:14" ht="16" x14ac:dyDescent="0.2">
      <c r="B62" s="38"/>
      <c r="C62" s="45" t="s">
        <v>54</v>
      </c>
      <c r="D62" s="40"/>
      <c r="E62" s="40"/>
      <c r="F62" s="40"/>
      <c r="G62" s="40"/>
      <c r="H62" s="40"/>
      <c r="I62" s="40"/>
      <c r="J62" s="40"/>
      <c r="K62" s="41"/>
    </row>
    <row r="63" spans="2:14" x14ac:dyDescent="0.2">
      <c r="B63" s="38"/>
      <c r="C63" s="40" t="s">
        <v>436</v>
      </c>
      <c r="D63" s="40"/>
      <c r="E63" s="40"/>
      <c r="F63" s="40"/>
      <c r="G63" s="40"/>
      <c r="H63" s="40"/>
      <c r="I63" s="40"/>
      <c r="J63" s="252">
        <f>'Baseline Health'!G23</f>
        <v>0</v>
      </c>
      <c r="K63" s="41"/>
    </row>
    <row r="64" spans="2:14" x14ac:dyDescent="0.2">
      <c r="B64" s="38"/>
      <c r="C64" s="40" t="s">
        <v>289</v>
      </c>
      <c r="D64" s="40"/>
      <c r="E64" s="40"/>
      <c r="F64" s="40"/>
      <c r="G64" s="40"/>
      <c r="H64" s="40"/>
      <c r="I64" s="40"/>
      <c r="J64" s="264">
        <f>IF('Community Characteristics'!$H$45="Yes",'Baseline Health'!$G$6*0.1,0)</f>
        <v>0</v>
      </c>
      <c r="K64" s="41"/>
    </row>
    <row r="65" spans="2:14" x14ac:dyDescent="0.2">
      <c r="B65" s="38"/>
      <c r="C65" s="40" t="s">
        <v>260</v>
      </c>
      <c r="D65" s="40"/>
      <c r="E65" s="40"/>
      <c r="F65" s="40"/>
      <c r="G65" s="40"/>
      <c r="H65" s="40"/>
      <c r="I65" s="40"/>
      <c r="J65" s="248" t="str">
        <f>IF(OR(J63=0,J63="Not Calculated")=TRUE,"Not Calculated",(IF(((J64+J63)/J63)&lt;=1,0,IF(((J64+J63)/J63)&lt;=1.05,1,IF(((J64+J63)/J63)&lt;=1.5, 2,IF(((J64+J63)/J63)&lt;=2,3,4))))))</f>
        <v>Not Calculated</v>
      </c>
      <c r="K65" s="41"/>
    </row>
    <row r="66" spans="2:14" ht="9.75" customHeight="1" x14ac:dyDescent="0.2">
      <c r="B66" s="38"/>
      <c r="C66" s="279" t="str">
        <f>"0:"</f>
        <v>0:</v>
      </c>
      <c r="D66" s="281" t="s">
        <v>918</v>
      </c>
      <c r="E66" s="40"/>
      <c r="F66" s="40"/>
      <c r="G66" s="40"/>
      <c r="H66" s="40"/>
      <c r="I66" s="40"/>
      <c r="J66" s="40"/>
      <c r="K66" s="41"/>
    </row>
    <row r="67" spans="2:14" ht="9.75" customHeight="1" x14ac:dyDescent="0.2">
      <c r="B67" s="38"/>
      <c r="C67" s="280" t="str">
        <f>"1:"</f>
        <v>1:</v>
      </c>
      <c r="D67" s="281" t="s">
        <v>919</v>
      </c>
      <c r="E67" s="40"/>
      <c r="F67" s="40"/>
      <c r="G67" s="40"/>
      <c r="H67" s="40"/>
      <c r="I67" s="40"/>
      <c r="J67" s="40"/>
      <c r="K67" s="41"/>
    </row>
    <row r="68" spans="2:14" ht="9.75" customHeight="1" x14ac:dyDescent="0.2">
      <c r="B68" s="38"/>
      <c r="C68" s="280" t="str">
        <f>"2:"</f>
        <v>2:</v>
      </c>
      <c r="D68" s="281" t="s">
        <v>920</v>
      </c>
      <c r="E68" s="40"/>
      <c r="F68" s="40"/>
      <c r="G68" s="40"/>
      <c r="H68" s="40"/>
      <c r="I68" s="40"/>
      <c r="J68" s="40"/>
      <c r="K68" s="41"/>
    </row>
    <row r="69" spans="2:14" ht="9.75" customHeight="1" x14ac:dyDescent="0.2">
      <c r="B69" s="38"/>
      <c r="C69" s="280" t="str">
        <f>"3:"</f>
        <v>3:</v>
      </c>
      <c r="D69" s="281" t="s">
        <v>921</v>
      </c>
      <c r="E69" s="40"/>
      <c r="F69" s="40"/>
      <c r="G69" s="40"/>
      <c r="H69" s="40"/>
      <c r="I69" s="40"/>
      <c r="J69" s="40"/>
      <c r="K69" s="41"/>
    </row>
    <row r="70" spans="2:14" ht="9.75" customHeight="1" x14ac:dyDescent="0.2">
      <c r="B70" s="38"/>
      <c r="C70" s="280" t="str">
        <f>"4:"</f>
        <v>4:</v>
      </c>
      <c r="D70" s="281" t="s">
        <v>922</v>
      </c>
      <c r="E70" s="40"/>
      <c r="F70" s="40"/>
      <c r="G70" s="40"/>
      <c r="H70" s="40"/>
      <c r="I70" s="40"/>
      <c r="J70" s="40"/>
      <c r="K70" s="41"/>
      <c r="N70" s="12" t="s">
        <v>661</v>
      </c>
    </row>
    <row r="71" spans="2:14" x14ac:dyDescent="0.2">
      <c r="B71" s="38"/>
      <c r="C71" s="174" t="s">
        <v>662</v>
      </c>
      <c r="D71" s="40"/>
      <c r="E71" s="40"/>
      <c r="F71" s="40"/>
      <c r="G71" s="40"/>
      <c r="H71" s="40"/>
      <c r="I71" s="40"/>
      <c r="J71" s="265" t="s">
        <v>661</v>
      </c>
      <c r="K71" s="41"/>
      <c r="N71" s="12" t="s">
        <v>894</v>
      </c>
    </row>
    <row r="72" spans="2:14" x14ac:dyDescent="0.2">
      <c r="B72" s="38"/>
      <c r="C72" s="174" t="s">
        <v>660</v>
      </c>
      <c r="D72" s="40"/>
      <c r="E72" s="40"/>
      <c r="F72" s="40"/>
      <c r="G72" s="40"/>
      <c r="H72" s="40"/>
      <c r="I72" s="40"/>
      <c r="J72" s="246" t="str">
        <f>IF(J71=N70,"N/A",IF(J71=N71,0,IF(J71=N72,1,IF(J71=N73,2,IF(J71=N74,3,IF(J71=N75,4,"N/A"))))))</f>
        <v>N/A</v>
      </c>
      <c r="K72" s="41"/>
      <c r="N72" s="12" t="s">
        <v>895</v>
      </c>
    </row>
    <row r="73" spans="2:14" x14ac:dyDescent="0.2">
      <c r="B73" s="38"/>
      <c r="C73" s="40" t="s">
        <v>257</v>
      </c>
      <c r="D73" s="40"/>
      <c r="E73" s="40"/>
      <c r="F73" s="40"/>
      <c r="G73" s="40"/>
      <c r="H73" s="40"/>
      <c r="I73" s="40"/>
      <c r="J73" s="266" t="s">
        <v>870</v>
      </c>
      <c r="K73" s="41"/>
      <c r="N73" s="12" t="s">
        <v>896</v>
      </c>
    </row>
    <row r="74" spans="2:14" x14ac:dyDescent="0.2">
      <c r="B74" s="38"/>
      <c r="C74" s="40" t="s">
        <v>261</v>
      </c>
      <c r="D74" s="40"/>
      <c r="E74" s="40"/>
      <c r="F74" s="40"/>
      <c r="G74" s="40"/>
      <c r="H74" s="40"/>
      <c r="I74" s="40"/>
      <c r="J74" s="245">
        <f>IF(J73=$B$973,$A$973,IF(J73=$B$974,$A$974,IF(J73=$B$975,$A$975,IF(J73=$B$976,$A$976,IF(J73=$B$977,$A$977,"Not Calculated")))))</f>
        <v>0</v>
      </c>
      <c r="K74" s="41"/>
      <c r="N74" s="12" t="s">
        <v>897</v>
      </c>
    </row>
    <row r="75" spans="2:14" x14ac:dyDescent="0.2">
      <c r="B75" s="38"/>
      <c r="C75" s="40" t="s">
        <v>893</v>
      </c>
      <c r="D75" s="40"/>
      <c r="E75" s="40"/>
      <c r="F75" s="40"/>
      <c r="G75" s="40"/>
      <c r="H75" s="40"/>
      <c r="I75" s="40"/>
      <c r="J75" s="175"/>
      <c r="K75" s="41"/>
      <c r="N75" s="12" t="s">
        <v>898</v>
      </c>
    </row>
    <row r="76" spans="2:14" s="178" customFormat="1" ht="60" customHeight="1" x14ac:dyDescent="0.2">
      <c r="B76" s="176"/>
      <c r="C76" s="415" t="s">
        <v>508</v>
      </c>
      <c r="D76" s="400"/>
      <c r="E76" s="400"/>
      <c r="F76" s="400"/>
      <c r="G76" s="400"/>
      <c r="H76" s="400"/>
      <c r="I76" s="400"/>
      <c r="J76" s="401"/>
      <c r="K76" s="177"/>
    </row>
    <row r="77" spans="2:14" x14ac:dyDescent="0.2">
      <c r="B77" s="38"/>
      <c r="C77" s="40"/>
      <c r="D77" s="40"/>
      <c r="E77" s="40"/>
      <c r="F77" s="40"/>
      <c r="G77" s="40"/>
      <c r="H77" s="40"/>
      <c r="I77" s="40"/>
      <c r="J77" s="40"/>
      <c r="K77" s="41"/>
    </row>
    <row r="78" spans="2:14" x14ac:dyDescent="0.2">
      <c r="B78" s="38"/>
      <c r="C78" s="179" t="s">
        <v>264</v>
      </c>
      <c r="D78" s="40"/>
      <c r="E78" s="40"/>
      <c r="F78" s="40"/>
      <c r="G78" s="40"/>
      <c r="H78" s="40"/>
      <c r="I78" s="40"/>
      <c r="J78" s="245" t="str">
        <f>IF(J72="N/A",IF(OR(J65="Not Calculated",J74="Not Calculated")=TRUE,"Not Calculated",AVERAGE(J65,J74)),AVERAGE(J72,J74))</f>
        <v>Not Calculated</v>
      </c>
      <c r="K78" s="41"/>
    </row>
    <row r="79" spans="2:14" x14ac:dyDescent="0.2">
      <c r="B79" s="38"/>
      <c r="C79" s="40"/>
      <c r="D79" s="40"/>
      <c r="E79" s="40"/>
      <c r="F79" s="40"/>
      <c r="G79" s="40"/>
      <c r="H79" s="40"/>
      <c r="I79" s="40"/>
      <c r="J79" s="40"/>
      <c r="K79" s="41"/>
    </row>
    <row r="80" spans="2:14" x14ac:dyDescent="0.2">
      <c r="B80" s="38"/>
      <c r="C80" s="40"/>
      <c r="D80" s="40"/>
      <c r="E80" s="40"/>
      <c r="F80" s="40"/>
      <c r="G80" s="40"/>
      <c r="H80" s="40"/>
      <c r="I80" s="40"/>
      <c r="J80" s="40"/>
      <c r="K80" s="41"/>
    </row>
    <row r="81" spans="2:14" ht="16" x14ac:dyDescent="0.2">
      <c r="B81" s="38"/>
      <c r="C81" s="45" t="s">
        <v>57</v>
      </c>
      <c r="D81" s="40"/>
      <c r="E81" s="40"/>
      <c r="F81" s="40"/>
      <c r="G81" s="40"/>
      <c r="H81" s="40"/>
      <c r="I81" s="40"/>
      <c r="J81" s="40"/>
      <c r="K81" s="41"/>
    </row>
    <row r="82" spans="2:14" x14ac:dyDescent="0.2">
      <c r="B82" s="38"/>
      <c r="C82" s="40" t="s">
        <v>437</v>
      </c>
      <c r="D82" s="40"/>
      <c r="E82" s="40"/>
      <c r="F82" s="40"/>
      <c r="G82" s="40"/>
      <c r="H82" s="40"/>
      <c r="I82" s="40"/>
      <c r="J82" s="252">
        <f>'Baseline Health'!G29</f>
        <v>0</v>
      </c>
      <c r="K82" s="41"/>
    </row>
    <row r="83" spans="2:14" x14ac:dyDescent="0.2">
      <c r="B83" s="38"/>
      <c r="C83" s="40" t="s">
        <v>290</v>
      </c>
      <c r="D83" s="40"/>
      <c r="E83" s="40"/>
      <c r="F83" s="40"/>
      <c r="G83" s="40"/>
      <c r="H83" s="40"/>
      <c r="I83" s="40"/>
      <c r="J83" s="264">
        <f>IF('Community Characteristics'!$H$45="Yes",J82*0.75,0)</f>
        <v>0</v>
      </c>
      <c r="K83" s="41"/>
    </row>
    <row r="84" spans="2:14" x14ac:dyDescent="0.2">
      <c r="B84" s="38"/>
      <c r="C84" s="40" t="s">
        <v>260</v>
      </c>
      <c r="D84" s="40"/>
      <c r="E84" s="40"/>
      <c r="F84" s="40"/>
      <c r="G84" s="40"/>
      <c r="H84" s="40"/>
      <c r="I84" s="40"/>
      <c r="J84" s="248" t="str">
        <f>IF(OR(J82=0,J82="Not Calculated")=TRUE,"Not Calculated",(IF(((J83+J82)/J82)&lt;=1,0,IF(((J83+J82)/J82)&lt;=1.05,1,IF(((J83+J82)/J82)&lt;=1.5, 2,IF(((J83+J82)/J82)&lt;=2,3,4))))))</f>
        <v>Not Calculated</v>
      </c>
      <c r="K84" s="41"/>
    </row>
    <row r="85" spans="2:14" ht="9.75" customHeight="1" x14ac:dyDescent="0.2">
      <c r="B85" s="38"/>
      <c r="C85" s="279" t="str">
        <f>"0:"</f>
        <v>0:</v>
      </c>
      <c r="D85" s="281" t="s">
        <v>918</v>
      </c>
      <c r="E85" s="40"/>
      <c r="F85" s="40"/>
      <c r="G85" s="40"/>
      <c r="H85" s="40"/>
      <c r="I85" s="40"/>
      <c r="J85" s="40"/>
      <c r="K85" s="41"/>
    </row>
    <row r="86" spans="2:14" ht="9.75" customHeight="1" x14ac:dyDescent="0.2">
      <c r="B86" s="38"/>
      <c r="C86" s="280" t="str">
        <f>"1:"</f>
        <v>1:</v>
      </c>
      <c r="D86" s="281" t="s">
        <v>919</v>
      </c>
      <c r="E86" s="40"/>
      <c r="F86" s="40"/>
      <c r="G86" s="40"/>
      <c r="H86" s="40"/>
      <c r="I86" s="40"/>
      <c r="J86" s="40"/>
      <c r="K86" s="41"/>
    </row>
    <row r="87" spans="2:14" ht="9.75" customHeight="1" x14ac:dyDescent="0.2">
      <c r="B87" s="38"/>
      <c r="C87" s="280" t="str">
        <f>"2:"</f>
        <v>2:</v>
      </c>
      <c r="D87" s="281" t="s">
        <v>920</v>
      </c>
      <c r="E87" s="40"/>
      <c r="F87" s="40"/>
      <c r="G87" s="40"/>
      <c r="H87" s="40"/>
      <c r="I87" s="40"/>
      <c r="J87" s="40"/>
      <c r="K87" s="41"/>
    </row>
    <row r="88" spans="2:14" ht="9.75" customHeight="1" x14ac:dyDescent="0.2">
      <c r="B88" s="38"/>
      <c r="C88" s="280" t="str">
        <f>"3:"</f>
        <v>3:</v>
      </c>
      <c r="D88" s="281" t="s">
        <v>921</v>
      </c>
      <c r="E88" s="40"/>
      <c r="F88" s="40"/>
      <c r="G88" s="40"/>
      <c r="H88" s="40"/>
      <c r="I88" s="40"/>
      <c r="J88" s="40"/>
      <c r="K88" s="41"/>
    </row>
    <row r="89" spans="2:14" ht="9.75" customHeight="1" x14ac:dyDescent="0.2">
      <c r="B89" s="38"/>
      <c r="C89" s="280" t="str">
        <f>"4:"</f>
        <v>4:</v>
      </c>
      <c r="D89" s="281" t="s">
        <v>922</v>
      </c>
      <c r="E89" s="40"/>
      <c r="F89" s="40"/>
      <c r="G89" s="40"/>
      <c r="H89" s="40"/>
      <c r="I89" s="40"/>
      <c r="J89" s="40"/>
      <c r="K89" s="41"/>
      <c r="N89" s="12" t="s">
        <v>661</v>
      </c>
    </row>
    <row r="90" spans="2:14" x14ac:dyDescent="0.2">
      <c r="B90" s="38"/>
      <c r="C90" s="174" t="s">
        <v>662</v>
      </c>
      <c r="D90" s="40"/>
      <c r="E90" s="40"/>
      <c r="F90" s="40"/>
      <c r="G90" s="40"/>
      <c r="H90" s="40"/>
      <c r="I90" s="40"/>
      <c r="J90" s="265" t="s">
        <v>661</v>
      </c>
      <c r="K90" s="41"/>
      <c r="N90" s="12" t="s">
        <v>894</v>
      </c>
    </row>
    <row r="91" spans="2:14" x14ac:dyDescent="0.2">
      <c r="B91" s="38"/>
      <c r="C91" s="174" t="s">
        <v>660</v>
      </c>
      <c r="D91" s="40"/>
      <c r="E91" s="40"/>
      <c r="F91" s="40"/>
      <c r="G91" s="40"/>
      <c r="H91" s="40"/>
      <c r="I91" s="40"/>
      <c r="J91" s="246" t="str">
        <f>IF(J90=N89,"N/A",IF(J90=N90,0,IF(J90=N91,1,IF(J90=N92,2,IF(J90=N93,3,IF(J90=N94,4,"N/A"))))))</f>
        <v>N/A</v>
      </c>
      <c r="K91" s="41"/>
      <c r="N91" s="12" t="s">
        <v>895</v>
      </c>
    </row>
    <row r="92" spans="2:14" x14ac:dyDescent="0.2">
      <c r="B92" s="38"/>
      <c r="C92" s="40" t="s">
        <v>257</v>
      </c>
      <c r="D92" s="40"/>
      <c r="E92" s="40"/>
      <c r="F92" s="40"/>
      <c r="G92" s="40"/>
      <c r="H92" s="40"/>
      <c r="I92" s="40"/>
      <c r="J92" s="266" t="s">
        <v>870</v>
      </c>
      <c r="K92" s="41"/>
      <c r="N92" s="12" t="s">
        <v>896</v>
      </c>
    </row>
    <row r="93" spans="2:14" x14ac:dyDescent="0.2">
      <c r="B93" s="38"/>
      <c r="C93" s="40" t="s">
        <v>261</v>
      </c>
      <c r="D93" s="40"/>
      <c r="E93" s="40"/>
      <c r="F93" s="40"/>
      <c r="G93" s="40"/>
      <c r="H93" s="40"/>
      <c r="I93" s="40"/>
      <c r="J93" s="245">
        <f>IF(J92=$B$973,$A$973,IF(J92=$B$974,$A$974,IF(J92=$B$975,$A$975,IF(J92=$B$976,$A$976,IF(J92=$B$977,$A$977,"Not Calculated")))))</f>
        <v>0</v>
      </c>
      <c r="K93" s="41"/>
      <c r="N93" s="12" t="s">
        <v>897</v>
      </c>
    </row>
    <row r="94" spans="2:14" x14ac:dyDescent="0.2">
      <c r="B94" s="38"/>
      <c r="C94" s="40" t="s">
        <v>893</v>
      </c>
      <c r="D94" s="40"/>
      <c r="E94" s="40"/>
      <c r="F94" s="40"/>
      <c r="G94" s="40"/>
      <c r="H94" s="40"/>
      <c r="I94" s="40"/>
      <c r="J94" s="175"/>
      <c r="K94" s="41"/>
      <c r="N94" s="12" t="s">
        <v>898</v>
      </c>
    </row>
    <row r="95" spans="2:14" s="178" customFormat="1" ht="75" customHeight="1" x14ac:dyDescent="0.2">
      <c r="B95" s="176"/>
      <c r="C95" s="415" t="s">
        <v>509</v>
      </c>
      <c r="D95" s="400"/>
      <c r="E95" s="400"/>
      <c r="F95" s="400"/>
      <c r="G95" s="400"/>
      <c r="H95" s="400"/>
      <c r="I95" s="400"/>
      <c r="J95" s="401"/>
      <c r="K95" s="177"/>
    </row>
    <row r="96" spans="2:14" x14ac:dyDescent="0.2">
      <c r="B96" s="38"/>
      <c r="C96" s="40"/>
      <c r="D96" s="40"/>
      <c r="E96" s="40"/>
      <c r="F96" s="40"/>
      <c r="G96" s="40"/>
      <c r="H96" s="40"/>
      <c r="I96" s="40"/>
      <c r="J96" s="40"/>
      <c r="K96" s="41"/>
    </row>
    <row r="97" spans="2:14" x14ac:dyDescent="0.2">
      <c r="B97" s="38"/>
      <c r="C97" s="179" t="s">
        <v>265</v>
      </c>
      <c r="D97" s="40"/>
      <c r="E97" s="40"/>
      <c r="F97" s="40"/>
      <c r="G97" s="40"/>
      <c r="H97" s="40"/>
      <c r="I97" s="40"/>
      <c r="J97" s="245" t="str">
        <f>IF(J91="N/A",IF(OR(J84="Not Calculated",J93="Not Calculated")=TRUE,"Not Calculated",AVERAGE(J84,J93)),AVERAGE(J91,J93))</f>
        <v>Not Calculated</v>
      </c>
      <c r="K97" s="41"/>
    </row>
    <row r="98" spans="2:14" x14ac:dyDescent="0.2">
      <c r="B98" s="38"/>
      <c r="C98" s="40"/>
      <c r="D98" s="40"/>
      <c r="E98" s="40"/>
      <c r="F98" s="40"/>
      <c r="G98" s="40"/>
      <c r="H98" s="40"/>
      <c r="I98" s="40"/>
      <c r="J98" s="40"/>
      <c r="K98" s="41"/>
    </row>
    <row r="99" spans="2:14" x14ac:dyDescent="0.2">
      <c r="B99" s="38"/>
      <c r="C99" s="40"/>
      <c r="D99" s="40"/>
      <c r="E99" s="40"/>
      <c r="F99" s="40"/>
      <c r="G99" s="40"/>
      <c r="H99" s="40"/>
      <c r="I99" s="40"/>
      <c r="J99" s="40"/>
      <c r="K99" s="41"/>
    </row>
    <row r="100" spans="2:14" ht="16" x14ac:dyDescent="0.2">
      <c r="B100" s="38"/>
      <c r="C100" s="45" t="s">
        <v>60</v>
      </c>
      <c r="D100" s="40"/>
      <c r="E100" s="40"/>
      <c r="F100" s="40"/>
      <c r="G100" s="40"/>
      <c r="H100" s="40"/>
      <c r="I100" s="40"/>
      <c r="J100" s="40"/>
      <c r="K100" s="41"/>
    </row>
    <row r="101" spans="2:14" x14ac:dyDescent="0.2">
      <c r="B101" s="38"/>
      <c r="C101" s="40" t="s">
        <v>438</v>
      </c>
      <c r="D101" s="40"/>
      <c r="E101" s="40"/>
      <c r="F101" s="40"/>
      <c r="G101" s="40"/>
      <c r="H101" s="40"/>
      <c r="I101" s="40"/>
      <c r="J101" s="252">
        <f>'Baseline Health'!G35</f>
        <v>0</v>
      </c>
      <c r="K101" s="41"/>
    </row>
    <row r="102" spans="2:14" x14ac:dyDescent="0.2">
      <c r="B102" s="38"/>
      <c r="C102" s="40" t="s">
        <v>291</v>
      </c>
      <c r="D102" s="40"/>
      <c r="E102" s="40"/>
      <c r="F102" s="40"/>
      <c r="G102" s="40"/>
      <c r="H102" s="40"/>
      <c r="I102" s="40"/>
      <c r="J102" s="264">
        <v>0</v>
      </c>
      <c r="K102" s="41"/>
    </row>
    <row r="103" spans="2:14" x14ac:dyDescent="0.2">
      <c r="B103" s="38"/>
      <c r="C103" s="40" t="s">
        <v>260</v>
      </c>
      <c r="D103" s="40"/>
      <c r="E103" s="40"/>
      <c r="F103" s="40"/>
      <c r="G103" s="40"/>
      <c r="H103" s="40"/>
      <c r="I103" s="40"/>
      <c r="J103" s="248" t="str">
        <f>IF(OR(J101=0,J101="Not Calculated")=TRUE,"Not Calculated",(IF(((J102+J101)/J101)&lt;=1,0,IF(((J102+J101)/J101)&lt;=1.05,1,IF(((J102+J101)/J101)&lt;=1.5, 2,IF(((J102+J101)/J101)&lt;=2,3,4))))))</f>
        <v>Not Calculated</v>
      </c>
      <c r="K103" s="41"/>
    </row>
    <row r="104" spans="2:14" ht="9.75" customHeight="1" x14ac:dyDescent="0.2">
      <c r="B104" s="38"/>
      <c r="C104" s="279" t="str">
        <f>"0:"</f>
        <v>0:</v>
      </c>
      <c r="D104" s="281" t="s">
        <v>918</v>
      </c>
      <c r="E104" s="40"/>
      <c r="F104" s="40"/>
      <c r="G104" s="40"/>
      <c r="H104" s="40"/>
      <c r="I104" s="40"/>
      <c r="J104" s="40"/>
      <c r="K104" s="41"/>
    </row>
    <row r="105" spans="2:14" ht="9.75" customHeight="1" x14ac:dyDescent="0.2">
      <c r="B105" s="38"/>
      <c r="C105" s="280" t="str">
        <f>"1:"</f>
        <v>1:</v>
      </c>
      <c r="D105" s="281" t="s">
        <v>919</v>
      </c>
      <c r="E105" s="40"/>
      <c r="F105" s="40"/>
      <c r="G105" s="40"/>
      <c r="H105" s="40"/>
      <c r="I105" s="40"/>
      <c r="J105" s="40"/>
      <c r="K105" s="41"/>
    </row>
    <row r="106" spans="2:14" ht="9.75" customHeight="1" x14ac:dyDescent="0.2">
      <c r="B106" s="38"/>
      <c r="C106" s="280" t="str">
        <f>"2:"</f>
        <v>2:</v>
      </c>
      <c r="D106" s="281" t="s">
        <v>920</v>
      </c>
      <c r="E106" s="40"/>
      <c r="F106" s="40"/>
      <c r="G106" s="40"/>
      <c r="H106" s="40"/>
      <c r="I106" s="40"/>
      <c r="J106" s="40"/>
      <c r="K106" s="41"/>
    </row>
    <row r="107" spans="2:14" ht="9.75" customHeight="1" x14ac:dyDescent="0.2">
      <c r="B107" s="38"/>
      <c r="C107" s="280" t="str">
        <f>"3:"</f>
        <v>3:</v>
      </c>
      <c r="D107" s="281" t="s">
        <v>921</v>
      </c>
      <c r="E107" s="40"/>
      <c r="F107" s="40"/>
      <c r="G107" s="40"/>
      <c r="H107" s="40"/>
      <c r="I107" s="40"/>
      <c r="J107" s="40"/>
      <c r="K107" s="41"/>
    </row>
    <row r="108" spans="2:14" ht="9.75" customHeight="1" x14ac:dyDescent="0.2">
      <c r="B108" s="38"/>
      <c r="C108" s="280" t="str">
        <f>"4:"</f>
        <v>4:</v>
      </c>
      <c r="D108" s="281" t="s">
        <v>922</v>
      </c>
      <c r="E108" s="40"/>
      <c r="F108" s="40"/>
      <c r="G108" s="40"/>
      <c r="H108" s="40"/>
      <c r="I108" s="40"/>
      <c r="J108" s="40"/>
      <c r="K108" s="41"/>
      <c r="N108" s="12" t="s">
        <v>661</v>
      </c>
    </row>
    <row r="109" spans="2:14" x14ac:dyDescent="0.2">
      <c r="B109" s="38"/>
      <c r="C109" s="174" t="s">
        <v>662</v>
      </c>
      <c r="D109" s="40"/>
      <c r="E109" s="40"/>
      <c r="F109" s="40"/>
      <c r="G109" s="40"/>
      <c r="H109" s="40"/>
      <c r="I109" s="40"/>
      <c r="J109" s="265" t="s">
        <v>661</v>
      </c>
      <c r="K109" s="41"/>
      <c r="N109" s="12" t="s">
        <v>894</v>
      </c>
    </row>
    <row r="110" spans="2:14" x14ac:dyDescent="0.2">
      <c r="B110" s="38"/>
      <c r="C110" s="174" t="s">
        <v>660</v>
      </c>
      <c r="D110" s="40"/>
      <c r="E110" s="40"/>
      <c r="F110" s="40"/>
      <c r="G110" s="40"/>
      <c r="H110" s="40"/>
      <c r="I110" s="40"/>
      <c r="J110" s="246" t="str">
        <f>IF(J109=N108,"N/A",IF(J109=N109,0,IF(J109=N110,1,IF(J109=N111,2,IF(J109=N112,3,IF(J109=N113,4,"N/A"))))))</f>
        <v>N/A</v>
      </c>
      <c r="K110" s="41"/>
      <c r="N110" s="12" t="s">
        <v>895</v>
      </c>
    </row>
    <row r="111" spans="2:14" x14ac:dyDescent="0.2">
      <c r="B111" s="38"/>
      <c r="C111" s="40" t="s">
        <v>257</v>
      </c>
      <c r="D111" s="40"/>
      <c r="E111" s="40"/>
      <c r="F111" s="40"/>
      <c r="G111" s="40"/>
      <c r="H111" s="40"/>
      <c r="I111" s="40"/>
      <c r="J111" s="266" t="s">
        <v>870</v>
      </c>
      <c r="K111" s="41"/>
      <c r="N111" s="12" t="s">
        <v>896</v>
      </c>
    </row>
    <row r="112" spans="2:14" x14ac:dyDescent="0.2">
      <c r="B112" s="38"/>
      <c r="C112" s="40" t="s">
        <v>261</v>
      </c>
      <c r="D112" s="40"/>
      <c r="E112" s="40"/>
      <c r="F112" s="40"/>
      <c r="G112" s="40"/>
      <c r="H112" s="40"/>
      <c r="I112" s="40"/>
      <c r="J112" s="245">
        <f>IF(J111=$B$973,$A$973,IF(J111=$B$974,$A$974,IF(J111=$B$975,$A$975,IF(J111=$B$976,$A$976,IF(J111=$B$977,$A$977,"Not Calculated")))))</f>
        <v>0</v>
      </c>
      <c r="K112" s="41"/>
      <c r="N112" s="12" t="s">
        <v>897</v>
      </c>
    </row>
    <row r="113" spans="2:14" x14ac:dyDescent="0.2">
      <c r="B113" s="38"/>
      <c r="C113" s="40" t="s">
        <v>893</v>
      </c>
      <c r="D113" s="40"/>
      <c r="E113" s="40"/>
      <c r="F113" s="40"/>
      <c r="G113" s="40"/>
      <c r="H113" s="40"/>
      <c r="I113" s="40"/>
      <c r="J113" s="175"/>
      <c r="K113" s="41"/>
      <c r="N113" s="12" t="s">
        <v>898</v>
      </c>
    </row>
    <row r="114" spans="2:14" s="178" customFormat="1" ht="30" customHeight="1" x14ac:dyDescent="0.2">
      <c r="B114" s="176"/>
      <c r="C114" s="415"/>
      <c r="D114" s="400"/>
      <c r="E114" s="400"/>
      <c r="F114" s="400"/>
      <c r="G114" s="400"/>
      <c r="H114" s="400"/>
      <c r="I114" s="400"/>
      <c r="J114" s="400"/>
      <c r="K114" s="177"/>
    </row>
    <row r="115" spans="2:14" x14ac:dyDescent="0.2">
      <c r="B115" s="38"/>
      <c r="C115" s="40"/>
      <c r="D115" s="40"/>
      <c r="E115" s="40"/>
      <c r="F115" s="40"/>
      <c r="G115" s="40"/>
      <c r="H115" s="40"/>
      <c r="I115" s="40"/>
      <c r="J115" s="40"/>
      <c r="K115" s="41"/>
    </row>
    <row r="116" spans="2:14" x14ac:dyDescent="0.2">
      <c r="B116" s="38"/>
      <c r="C116" s="179" t="s">
        <v>266</v>
      </c>
      <c r="D116" s="40"/>
      <c r="E116" s="40"/>
      <c r="F116" s="40"/>
      <c r="G116" s="40"/>
      <c r="H116" s="40"/>
      <c r="I116" s="40"/>
      <c r="J116" s="245" t="str">
        <f>IF(J110="N/A",IF(OR(J103="Not Calculated",J112="Not Calculated")=TRUE,"Not Calculated",AVERAGE(J103,J112)),AVERAGE(J110,J112))</f>
        <v>Not Calculated</v>
      </c>
      <c r="K116" s="41"/>
    </row>
    <row r="117" spans="2:14" x14ac:dyDescent="0.2">
      <c r="B117" s="38"/>
      <c r="C117" s="40"/>
      <c r="D117" s="40"/>
      <c r="E117" s="40"/>
      <c r="F117" s="40"/>
      <c r="G117" s="40"/>
      <c r="H117" s="40"/>
      <c r="I117" s="40"/>
      <c r="J117" s="40"/>
      <c r="K117" s="41"/>
    </row>
    <row r="118" spans="2:14" x14ac:dyDescent="0.2">
      <c r="B118" s="38"/>
      <c r="C118" s="40"/>
      <c r="D118" s="40"/>
      <c r="E118" s="40"/>
      <c r="F118" s="40"/>
      <c r="G118" s="40"/>
      <c r="H118" s="40"/>
      <c r="I118" s="40"/>
      <c r="J118" s="40"/>
      <c r="K118" s="41"/>
    </row>
    <row r="119" spans="2:14" ht="16" x14ac:dyDescent="0.2">
      <c r="B119" s="38"/>
      <c r="C119" s="45" t="s">
        <v>262</v>
      </c>
      <c r="D119" s="40"/>
      <c r="E119" s="40"/>
      <c r="F119" s="40"/>
      <c r="G119" s="40"/>
      <c r="H119" s="40"/>
      <c r="I119" s="40"/>
      <c r="J119" s="40"/>
      <c r="K119" s="41"/>
    </row>
    <row r="120" spans="2:14" ht="15" customHeight="1" x14ac:dyDescent="0.2">
      <c r="B120" s="38"/>
      <c r="C120" s="422" t="s">
        <v>268</v>
      </c>
      <c r="D120" s="422"/>
      <c r="E120" s="422"/>
      <c r="F120" s="422"/>
      <c r="G120" s="422"/>
      <c r="H120" s="422"/>
      <c r="I120" s="422"/>
      <c r="J120" s="422"/>
      <c r="K120" s="41"/>
    </row>
    <row r="121" spans="2:14" x14ac:dyDescent="0.2">
      <c r="B121" s="38"/>
      <c r="C121" s="422"/>
      <c r="D121" s="422"/>
      <c r="E121" s="422"/>
      <c r="F121" s="422"/>
      <c r="G121" s="422"/>
      <c r="H121" s="422"/>
      <c r="I121" s="422"/>
      <c r="J121" s="422"/>
      <c r="K121" s="41"/>
    </row>
    <row r="122" spans="2:14" x14ac:dyDescent="0.2">
      <c r="B122" s="38"/>
      <c r="C122" s="423"/>
      <c r="D122" s="423"/>
      <c r="E122" s="423"/>
      <c r="F122" s="423"/>
      <c r="G122" s="423"/>
      <c r="H122" s="423"/>
      <c r="I122" s="423"/>
      <c r="J122" s="423"/>
      <c r="K122" s="41"/>
    </row>
    <row r="123" spans="2:14" ht="15" customHeight="1" x14ac:dyDescent="0.2">
      <c r="B123" s="38"/>
      <c r="C123" s="416" t="s">
        <v>248</v>
      </c>
      <c r="D123" s="417"/>
      <c r="E123" s="417"/>
      <c r="F123" s="417"/>
      <c r="G123" s="417"/>
      <c r="H123" s="417"/>
      <c r="I123" s="417"/>
      <c r="J123" s="418"/>
      <c r="K123" s="41"/>
    </row>
    <row r="124" spans="2:14" x14ac:dyDescent="0.2">
      <c r="B124" s="38"/>
      <c r="C124" s="419"/>
      <c r="D124" s="420"/>
      <c r="E124" s="420"/>
      <c r="F124" s="420"/>
      <c r="G124" s="420"/>
      <c r="H124" s="420"/>
      <c r="I124" s="420"/>
      <c r="J124" s="421"/>
      <c r="K124" s="41"/>
    </row>
    <row r="125" spans="2:14" ht="15" customHeight="1" x14ac:dyDescent="0.2">
      <c r="B125" s="38"/>
      <c r="C125" s="40" t="s">
        <v>260</v>
      </c>
      <c r="D125" s="40"/>
      <c r="E125" s="40"/>
      <c r="F125" s="40"/>
      <c r="G125" s="40"/>
      <c r="H125" s="40"/>
      <c r="I125" s="40"/>
      <c r="J125" s="247">
        <f>IF(C123=B987,A987,IF(C123=B988,A988,IF(C123=B989,A989,IF(C123=B990,A990,IF(C123=B991,A991,"Not Calculated")))))</f>
        <v>4</v>
      </c>
      <c r="K125" s="41"/>
    </row>
    <row r="126" spans="2:14" ht="15" customHeight="1" x14ac:dyDescent="0.2">
      <c r="B126" s="38"/>
      <c r="C126" s="40" t="s">
        <v>257</v>
      </c>
      <c r="D126" s="40"/>
      <c r="E126" s="40"/>
      <c r="F126" s="40"/>
      <c r="G126" s="40"/>
      <c r="H126" s="40"/>
      <c r="I126" s="40"/>
      <c r="J126" s="266" t="s">
        <v>870</v>
      </c>
      <c r="K126" s="41"/>
    </row>
    <row r="127" spans="2:14" x14ac:dyDescent="0.2">
      <c r="B127" s="38"/>
      <c r="C127" s="40" t="s">
        <v>261</v>
      </c>
      <c r="D127" s="40"/>
      <c r="E127" s="40"/>
      <c r="F127" s="40"/>
      <c r="G127" s="40"/>
      <c r="H127" s="40"/>
      <c r="I127" s="40"/>
      <c r="J127" s="245">
        <f>IF(J126=$B$973,$A$973,IF(J126=$B$974,$A$974,IF(J126=$B$975,$A$975,IF(J126=$B$976,$A$976,IF(J126=$B$977,$A$977,"Not Calculated")))))</f>
        <v>0</v>
      </c>
      <c r="K127" s="41"/>
    </row>
    <row r="128" spans="2:14" ht="15" customHeight="1" x14ac:dyDescent="0.2">
      <c r="B128" s="38"/>
      <c r="C128" s="40" t="s">
        <v>893</v>
      </c>
      <c r="D128" s="40"/>
      <c r="E128" s="40"/>
      <c r="F128" s="40"/>
      <c r="G128" s="40"/>
      <c r="H128" s="40"/>
      <c r="I128" s="40"/>
      <c r="J128" s="175"/>
      <c r="K128" s="41"/>
    </row>
    <row r="129" spans="2:11" s="178" customFormat="1" ht="30" customHeight="1" x14ac:dyDescent="0.2">
      <c r="B129" s="176"/>
      <c r="C129" s="415"/>
      <c r="D129" s="400"/>
      <c r="E129" s="400"/>
      <c r="F129" s="400"/>
      <c r="G129" s="400"/>
      <c r="H129" s="400"/>
      <c r="I129" s="400"/>
      <c r="J129" s="401"/>
      <c r="K129" s="177"/>
    </row>
    <row r="130" spans="2:11" x14ac:dyDescent="0.2">
      <c r="B130" s="38"/>
      <c r="C130" s="40"/>
      <c r="D130" s="40"/>
      <c r="E130" s="40"/>
      <c r="F130" s="40"/>
      <c r="G130" s="40"/>
      <c r="H130" s="40"/>
      <c r="I130" s="40"/>
      <c r="J130" s="40"/>
      <c r="K130" s="41"/>
    </row>
    <row r="131" spans="2:11" x14ac:dyDescent="0.2">
      <c r="B131" s="38"/>
      <c r="C131" s="179" t="s">
        <v>267</v>
      </c>
      <c r="D131" s="40"/>
      <c r="E131" s="40"/>
      <c r="F131" s="40"/>
      <c r="G131" s="40"/>
      <c r="H131" s="40"/>
      <c r="I131" s="40"/>
      <c r="J131" s="245">
        <f>IF(OR(J125="Not Calculated",J127="Not Calculated")=TRUE,"Not Calculated",AVERAGE(J125,J127))</f>
        <v>2</v>
      </c>
      <c r="K131" s="41"/>
    </row>
    <row r="132" spans="2:11" x14ac:dyDescent="0.2">
      <c r="B132" s="38"/>
      <c r="C132" s="179"/>
      <c r="D132" s="40"/>
      <c r="E132" s="40"/>
      <c r="F132" s="40"/>
      <c r="G132" s="40"/>
      <c r="H132" s="40"/>
      <c r="I132" s="40"/>
      <c r="J132" s="245"/>
      <c r="K132" s="41"/>
    </row>
    <row r="133" spans="2:11" ht="18" x14ac:dyDescent="0.2">
      <c r="B133" s="38"/>
      <c r="C133" s="180" t="s">
        <v>269</v>
      </c>
      <c r="D133" s="40"/>
      <c r="E133" s="40"/>
      <c r="F133" s="40"/>
      <c r="G133" s="40"/>
      <c r="H133" s="40"/>
      <c r="I133" s="40"/>
      <c r="J133" s="244" t="str">
        <f>IF(OR(J40="Not Calculated",J59="Not Calculated",J78="Not Calculated",J97="Not Calculated",J116="Not Calculated",J131="Not Calculated",)=TRUE,"Not Calculated",AVERAGE(J40,J59,J78,J97,J116,J131))</f>
        <v>Not Calculated</v>
      </c>
      <c r="K133" s="41"/>
    </row>
    <row r="134" spans="2:11" ht="16" thickBot="1" x14ac:dyDescent="0.25">
      <c r="B134" s="46"/>
      <c r="C134" s="47"/>
      <c r="D134" s="47"/>
      <c r="E134" s="47"/>
      <c r="F134" s="47"/>
      <c r="G134" s="47"/>
      <c r="H134" s="47"/>
      <c r="I134" s="47"/>
      <c r="J134" s="47"/>
      <c r="K134" s="49"/>
    </row>
    <row r="135" spans="2:11" ht="16" thickBot="1" x14ac:dyDescent="0.25"/>
    <row r="136" spans="2:11" x14ac:dyDescent="0.2">
      <c r="B136" s="33"/>
      <c r="C136" s="34"/>
      <c r="D136" s="34"/>
      <c r="E136" s="34"/>
      <c r="F136" s="34"/>
      <c r="G136" s="34"/>
      <c r="H136" s="34"/>
      <c r="I136" s="34"/>
      <c r="J136" s="34"/>
      <c r="K136" s="37"/>
    </row>
    <row r="137" spans="2:11" ht="21" x14ac:dyDescent="0.25">
      <c r="B137" s="38"/>
      <c r="C137" s="171"/>
      <c r="D137" s="40"/>
      <c r="E137" s="40"/>
      <c r="F137" s="40"/>
      <c r="G137" s="172" t="s">
        <v>27</v>
      </c>
      <c r="H137" s="40"/>
      <c r="I137" s="40"/>
      <c r="J137" s="40"/>
      <c r="K137" s="41"/>
    </row>
    <row r="138" spans="2:11" x14ac:dyDescent="0.2">
      <c r="B138" s="38"/>
      <c r="C138" s="40"/>
      <c r="D138" s="40"/>
      <c r="E138" s="40"/>
      <c r="F138" s="40"/>
      <c r="G138" s="40"/>
      <c r="H138" s="40"/>
      <c r="I138" s="40"/>
      <c r="J138" s="40"/>
      <c r="K138" s="41"/>
    </row>
    <row r="139" spans="2:11" ht="16" x14ac:dyDescent="0.2">
      <c r="B139" s="38"/>
      <c r="C139" s="45" t="s">
        <v>72</v>
      </c>
      <c r="D139" s="40"/>
      <c r="E139" s="40"/>
      <c r="F139" s="40"/>
      <c r="G139" s="40"/>
      <c r="H139" s="40"/>
      <c r="I139" s="40"/>
      <c r="J139" s="40"/>
      <c r="K139" s="41"/>
    </row>
    <row r="140" spans="2:11" x14ac:dyDescent="0.2">
      <c r="B140" s="38"/>
      <c r="C140" s="40" t="s">
        <v>440</v>
      </c>
      <c r="D140" s="40"/>
      <c r="E140" s="40"/>
      <c r="F140" s="40"/>
      <c r="G140" s="40"/>
      <c r="H140" s="40"/>
      <c r="I140" s="40"/>
      <c r="J140" s="252">
        <f>'Baseline Health'!G45</f>
        <v>0</v>
      </c>
      <c r="K140" s="41"/>
    </row>
    <row r="141" spans="2:11" x14ac:dyDescent="0.2">
      <c r="B141" s="38"/>
      <c r="C141" s="40" t="s">
        <v>270</v>
      </c>
      <c r="D141" s="40"/>
      <c r="E141" s="40"/>
      <c r="F141" s="40"/>
      <c r="G141" s="40"/>
      <c r="H141" s="40"/>
      <c r="I141" s="40"/>
      <c r="J141" s="264">
        <f>'Community Characteristics'!H85</f>
        <v>0</v>
      </c>
      <c r="K141" s="41"/>
    </row>
    <row r="142" spans="2:11" x14ac:dyDescent="0.2">
      <c r="B142" s="38"/>
      <c r="C142" s="40" t="s">
        <v>439</v>
      </c>
      <c r="D142" s="40"/>
      <c r="E142" s="40"/>
      <c r="F142" s="40"/>
      <c r="G142" s="40"/>
      <c r="H142" s="40"/>
      <c r="I142" s="40"/>
      <c r="J142" s="251">
        <f>J83/20</f>
        <v>0</v>
      </c>
      <c r="K142" s="41"/>
    </row>
    <row r="143" spans="2:11" x14ac:dyDescent="0.2">
      <c r="B143" s="38"/>
      <c r="C143" s="40"/>
      <c r="D143" s="40" t="s">
        <v>351</v>
      </c>
      <c r="E143" s="40"/>
      <c r="F143" s="40"/>
      <c r="G143" s="40"/>
      <c r="H143" s="40"/>
      <c r="I143" s="40"/>
      <c r="J143" s="40"/>
      <c r="K143" s="41"/>
    </row>
    <row r="144" spans="2:11" x14ac:dyDescent="0.2">
      <c r="B144" s="38"/>
      <c r="C144" s="40" t="s">
        <v>260</v>
      </c>
      <c r="D144" s="40"/>
      <c r="E144" s="40"/>
      <c r="F144" s="40"/>
      <c r="G144" s="40"/>
      <c r="H144" s="40"/>
      <c r="I144" s="40"/>
      <c r="J144" s="245" t="str">
        <f>IF(OR(J140=0,J140="Not Calculated")=TRUE,"Not Calculated",IF((J140-J141)&lt;=0,4,IF(((J140+J142)/(J140-J141))&lt;=1,0,IF(((J140+J142)/(J140-J141))&lt;=1.05,1,IF(((J140+J142)/(J140-J141))&lt;=1.5, 2,IF(((J140+J142)/(J140-J141))&lt;=2,3,4))))))</f>
        <v>Not Calculated</v>
      </c>
      <c r="K144" s="41"/>
    </row>
    <row r="145" spans="2:14" ht="9.75" customHeight="1" x14ac:dyDescent="0.2">
      <c r="B145" s="38"/>
      <c r="C145" s="279" t="str">
        <f>"0:"</f>
        <v>0:</v>
      </c>
      <c r="D145" s="278" t="s">
        <v>918</v>
      </c>
      <c r="E145" s="40"/>
      <c r="F145" s="40"/>
      <c r="G145" s="40"/>
      <c r="H145" s="40"/>
      <c r="I145" s="40"/>
      <c r="J145" s="40"/>
      <c r="K145" s="41"/>
    </row>
    <row r="146" spans="2:14" ht="9.75" customHeight="1" x14ac:dyDescent="0.2">
      <c r="B146" s="38"/>
      <c r="C146" s="280" t="str">
        <f>"1:"</f>
        <v>1:</v>
      </c>
      <c r="D146" s="278" t="s">
        <v>923</v>
      </c>
      <c r="E146" s="40"/>
      <c r="F146" s="40"/>
      <c r="G146" s="40"/>
      <c r="H146" s="40"/>
      <c r="I146" s="40"/>
      <c r="J146" s="40"/>
      <c r="K146" s="41"/>
    </row>
    <row r="147" spans="2:14" ht="9.75" customHeight="1" x14ac:dyDescent="0.2">
      <c r="B147" s="38"/>
      <c r="C147" s="280" t="str">
        <f>"2:"</f>
        <v>2:</v>
      </c>
      <c r="D147" s="278" t="s">
        <v>924</v>
      </c>
      <c r="E147" s="40"/>
      <c r="F147" s="40"/>
      <c r="G147" s="40"/>
      <c r="H147" s="40"/>
      <c r="I147" s="40"/>
      <c r="J147" s="40"/>
      <c r="K147" s="41"/>
    </row>
    <row r="148" spans="2:14" ht="9.75" customHeight="1" x14ac:dyDescent="0.2">
      <c r="B148" s="38"/>
      <c r="C148" s="280" t="str">
        <f>"3:"</f>
        <v>3:</v>
      </c>
      <c r="D148" s="278" t="s">
        <v>925</v>
      </c>
      <c r="E148" s="40"/>
      <c r="F148" s="40"/>
      <c r="G148" s="40"/>
      <c r="H148" s="40"/>
      <c r="I148" s="40"/>
      <c r="J148" s="40"/>
      <c r="K148" s="41"/>
    </row>
    <row r="149" spans="2:14" ht="9.75" customHeight="1" x14ac:dyDescent="0.2">
      <c r="B149" s="38"/>
      <c r="C149" s="280" t="str">
        <f>"4:"</f>
        <v>4:</v>
      </c>
      <c r="D149" s="278" t="s">
        <v>926</v>
      </c>
      <c r="E149" s="40"/>
      <c r="F149" s="40"/>
      <c r="G149" s="40"/>
      <c r="H149" s="40"/>
      <c r="I149" s="40"/>
      <c r="J149" s="40"/>
      <c r="K149" s="41"/>
      <c r="N149" s="12" t="s">
        <v>661</v>
      </c>
    </row>
    <row r="150" spans="2:14" x14ac:dyDescent="0.2">
      <c r="B150" s="38"/>
      <c r="C150" s="174" t="s">
        <v>662</v>
      </c>
      <c r="D150" s="40"/>
      <c r="E150" s="40"/>
      <c r="F150" s="40"/>
      <c r="G150" s="40"/>
      <c r="H150" s="40"/>
      <c r="I150" s="40"/>
      <c r="J150" s="265" t="s">
        <v>661</v>
      </c>
      <c r="K150" s="41"/>
      <c r="N150" s="12" t="s">
        <v>894</v>
      </c>
    </row>
    <row r="151" spans="2:14" x14ac:dyDescent="0.2">
      <c r="B151" s="38"/>
      <c r="C151" s="174" t="s">
        <v>660</v>
      </c>
      <c r="D151" s="40"/>
      <c r="E151" s="40"/>
      <c r="F151" s="40"/>
      <c r="G151" s="40"/>
      <c r="H151" s="40"/>
      <c r="I151" s="40"/>
      <c r="J151" s="246" t="str">
        <f>IF(J150=N149,"N/A",IF(J150=N150,0,IF(J150=N151,1,IF(J150=N152,2,IF(J150=N153,3,IF(J150=N154,4,"N/A"))))))</f>
        <v>N/A</v>
      </c>
      <c r="K151" s="41"/>
      <c r="N151" s="12" t="s">
        <v>899</v>
      </c>
    </row>
    <row r="152" spans="2:14" x14ac:dyDescent="0.2">
      <c r="B152" s="38"/>
      <c r="C152" s="40" t="s">
        <v>257</v>
      </c>
      <c r="D152" s="40"/>
      <c r="E152" s="40"/>
      <c r="F152" s="40"/>
      <c r="G152" s="40"/>
      <c r="H152" s="40"/>
      <c r="I152" s="40"/>
      <c r="J152" s="266" t="s">
        <v>870</v>
      </c>
      <c r="K152" s="41"/>
      <c r="N152" s="12" t="s">
        <v>900</v>
      </c>
    </row>
    <row r="153" spans="2:14" x14ac:dyDescent="0.2">
      <c r="B153" s="38"/>
      <c r="C153" s="40" t="s">
        <v>261</v>
      </c>
      <c r="D153" s="40"/>
      <c r="E153" s="40"/>
      <c r="F153" s="40"/>
      <c r="G153" s="40"/>
      <c r="H153" s="40"/>
      <c r="I153" s="40"/>
      <c r="J153" s="245">
        <f>IF(J152=$B$973,$A$973,IF(J152=$B$974,$A$974,IF(J152=$B$975,$A$975,IF(J152=$B$976,$A$976,IF(J152=$B$977,$A$977,"Not Calculated")))))</f>
        <v>0</v>
      </c>
      <c r="K153" s="41"/>
      <c r="N153" s="12" t="s">
        <v>901</v>
      </c>
    </row>
    <row r="154" spans="2:14" x14ac:dyDescent="0.2">
      <c r="B154" s="38"/>
      <c r="C154" s="40" t="s">
        <v>893</v>
      </c>
      <c r="D154" s="40"/>
      <c r="E154" s="40"/>
      <c r="F154" s="40"/>
      <c r="G154" s="40"/>
      <c r="H154" s="40"/>
      <c r="I154" s="40"/>
      <c r="J154" s="40"/>
      <c r="K154" s="41"/>
      <c r="N154" s="12" t="s">
        <v>902</v>
      </c>
    </row>
    <row r="155" spans="2:14" ht="30" customHeight="1" x14ac:dyDescent="0.2">
      <c r="B155" s="38"/>
      <c r="C155" s="399" t="s">
        <v>510</v>
      </c>
      <c r="D155" s="400"/>
      <c r="E155" s="400"/>
      <c r="F155" s="400"/>
      <c r="G155" s="400"/>
      <c r="H155" s="400"/>
      <c r="I155" s="400"/>
      <c r="J155" s="401"/>
      <c r="K155" s="41"/>
    </row>
    <row r="156" spans="2:14" x14ac:dyDescent="0.2">
      <c r="B156" s="38"/>
      <c r="C156" s="40"/>
      <c r="D156" s="40"/>
      <c r="E156" s="40"/>
      <c r="F156" s="40"/>
      <c r="G156" s="40"/>
      <c r="H156" s="40"/>
      <c r="I156" s="40"/>
      <c r="J156" s="40"/>
      <c r="K156" s="41"/>
    </row>
    <row r="157" spans="2:14" x14ac:dyDescent="0.2">
      <c r="B157" s="38"/>
      <c r="C157" s="179" t="s">
        <v>271</v>
      </c>
      <c r="D157" s="40"/>
      <c r="E157" s="40"/>
      <c r="F157" s="40"/>
      <c r="G157" s="40"/>
      <c r="H157" s="40"/>
      <c r="I157" s="40"/>
      <c r="J157" s="245" t="str">
        <f>IF(J151="N/A",IF(OR(J144="Not Calculated",J153="Not Calculated")=TRUE,"Not Calculated",AVERAGE(J144,J153)),AVERAGE(J151,J153))</f>
        <v>Not Calculated</v>
      </c>
      <c r="K157" s="41"/>
    </row>
    <row r="158" spans="2:14" x14ac:dyDescent="0.2">
      <c r="B158" s="38"/>
      <c r="C158" s="40"/>
      <c r="D158" s="40"/>
      <c r="E158" s="40"/>
      <c r="F158" s="40"/>
      <c r="G158" s="40"/>
      <c r="H158" s="40"/>
      <c r="I158" s="40"/>
      <c r="J158" s="40"/>
      <c r="K158" s="41"/>
    </row>
    <row r="159" spans="2:14" x14ac:dyDescent="0.2">
      <c r="B159" s="38"/>
      <c r="C159" s="40"/>
      <c r="D159" s="40"/>
      <c r="E159" s="40"/>
      <c r="F159" s="40"/>
      <c r="G159" s="40"/>
      <c r="H159" s="40"/>
      <c r="I159" s="40"/>
      <c r="J159" s="40"/>
      <c r="K159" s="41"/>
    </row>
    <row r="160" spans="2:14" ht="16" x14ac:dyDescent="0.2">
      <c r="B160" s="38"/>
      <c r="C160" s="45" t="s">
        <v>273</v>
      </c>
      <c r="D160" s="40"/>
      <c r="E160" s="40"/>
      <c r="F160" s="40"/>
      <c r="G160" s="40"/>
      <c r="H160" s="40"/>
      <c r="I160" s="40"/>
      <c r="J160" s="40"/>
      <c r="K160" s="41"/>
    </row>
    <row r="161" spans="2:14" x14ac:dyDescent="0.2">
      <c r="B161" s="38"/>
      <c r="C161" s="40" t="s">
        <v>441</v>
      </c>
      <c r="D161" s="40"/>
      <c r="E161" s="40"/>
      <c r="F161" s="40"/>
      <c r="G161" s="40"/>
      <c r="H161" s="40"/>
      <c r="I161" s="40"/>
      <c r="J161" s="252">
        <f>'Baseline Health'!G51</f>
        <v>0</v>
      </c>
      <c r="K161" s="41"/>
    </row>
    <row r="162" spans="2:14" x14ac:dyDescent="0.2">
      <c r="B162" s="38"/>
      <c r="C162" s="40" t="s">
        <v>280</v>
      </c>
      <c r="D162" s="40"/>
      <c r="E162" s="40"/>
      <c r="F162" s="40"/>
      <c r="G162" s="40"/>
      <c r="H162" s="40"/>
      <c r="I162" s="40"/>
      <c r="J162" s="264">
        <f>'Community Characteristics'!H62</f>
        <v>0</v>
      </c>
      <c r="K162" s="41"/>
    </row>
    <row r="163" spans="2:14" x14ac:dyDescent="0.2">
      <c r="B163" s="38"/>
      <c r="C163" s="40" t="s">
        <v>442</v>
      </c>
      <c r="D163" s="40"/>
      <c r="E163" s="40"/>
      <c r="F163" s="40"/>
      <c r="G163" s="40"/>
      <c r="H163" s="40"/>
      <c r="I163" s="40"/>
      <c r="J163" s="251">
        <f>(J64)/4.5</f>
        <v>0</v>
      </c>
      <c r="K163" s="41"/>
    </row>
    <row r="164" spans="2:14" x14ac:dyDescent="0.2">
      <c r="B164" s="38"/>
      <c r="C164" s="40"/>
      <c r="D164" s="40" t="s">
        <v>353</v>
      </c>
      <c r="E164" s="40"/>
      <c r="F164" s="40"/>
      <c r="G164" s="40"/>
      <c r="H164" s="40"/>
      <c r="I164" s="40"/>
      <c r="J164" s="40"/>
      <c r="K164" s="41"/>
    </row>
    <row r="165" spans="2:14" x14ac:dyDescent="0.2">
      <c r="B165" s="38"/>
      <c r="C165" s="40" t="s">
        <v>260</v>
      </c>
      <c r="D165" s="40"/>
      <c r="E165" s="40"/>
      <c r="F165" s="40"/>
      <c r="G165" s="40"/>
      <c r="H165" s="40"/>
      <c r="I165" s="40"/>
      <c r="J165" s="245" t="str">
        <f>IF(OR(J161=0,J161="Not Calculated")=TRUE,"Not Calculated",IF((J161-J162)&lt;=0,4,IF(((J161+J163)/(J161-J162))&lt;=1,0,IF(((J161+J163)/(J161-J162))&lt;=1.05,1,IF(((J161+J163)/(J161-J162))&lt;=1.5, 2,IF(((J161+J163)/(J161-J162))&lt;=2,3,4))))))</f>
        <v>Not Calculated</v>
      </c>
      <c r="K165" s="41"/>
    </row>
    <row r="166" spans="2:14" ht="9.75" customHeight="1" x14ac:dyDescent="0.2">
      <c r="B166" s="38"/>
      <c r="C166" s="279" t="str">
        <f>"0:"</f>
        <v>0:</v>
      </c>
      <c r="D166" s="278" t="s">
        <v>918</v>
      </c>
      <c r="E166" s="40"/>
      <c r="F166" s="40"/>
      <c r="G166" s="40"/>
      <c r="H166" s="40"/>
      <c r="I166" s="40"/>
      <c r="J166" s="40"/>
      <c r="K166" s="41"/>
    </row>
    <row r="167" spans="2:14" ht="9.75" customHeight="1" x14ac:dyDescent="0.2">
      <c r="B167" s="38"/>
      <c r="C167" s="280" t="str">
        <f>"1:"</f>
        <v>1:</v>
      </c>
      <c r="D167" s="278" t="s">
        <v>923</v>
      </c>
      <c r="E167" s="40"/>
      <c r="F167" s="40"/>
      <c r="G167" s="40"/>
      <c r="H167" s="40"/>
      <c r="I167" s="40"/>
      <c r="J167" s="40"/>
      <c r="K167" s="41"/>
    </row>
    <row r="168" spans="2:14" ht="9.75" customHeight="1" x14ac:dyDescent="0.2">
      <c r="B168" s="38"/>
      <c r="C168" s="280" t="str">
        <f>"2:"</f>
        <v>2:</v>
      </c>
      <c r="D168" s="278" t="s">
        <v>924</v>
      </c>
      <c r="E168" s="40"/>
      <c r="F168" s="40"/>
      <c r="G168" s="40"/>
      <c r="H168" s="40"/>
      <c r="I168" s="40"/>
      <c r="J168" s="40"/>
      <c r="K168" s="41"/>
    </row>
    <row r="169" spans="2:14" ht="9.75" customHeight="1" x14ac:dyDescent="0.2">
      <c r="B169" s="38"/>
      <c r="C169" s="280" t="str">
        <f>"3:"</f>
        <v>3:</v>
      </c>
      <c r="D169" s="278" t="s">
        <v>925</v>
      </c>
      <c r="E169" s="40"/>
      <c r="F169" s="40"/>
      <c r="G169" s="40"/>
      <c r="H169" s="40"/>
      <c r="I169" s="40"/>
      <c r="J169" s="40"/>
      <c r="K169" s="41"/>
    </row>
    <row r="170" spans="2:14" ht="9.75" customHeight="1" x14ac:dyDescent="0.2">
      <c r="B170" s="38"/>
      <c r="C170" s="280" t="str">
        <f>"4:"</f>
        <v>4:</v>
      </c>
      <c r="D170" s="278" t="s">
        <v>926</v>
      </c>
      <c r="E170" s="40"/>
      <c r="F170" s="40"/>
      <c r="G170" s="40"/>
      <c r="H170" s="40"/>
      <c r="I170" s="40"/>
      <c r="J170" s="40"/>
      <c r="K170" s="41"/>
      <c r="N170" s="12" t="s">
        <v>661</v>
      </c>
    </row>
    <row r="171" spans="2:14" x14ac:dyDescent="0.2">
      <c r="B171" s="38"/>
      <c r="C171" s="174" t="s">
        <v>662</v>
      </c>
      <c r="D171" s="40"/>
      <c r="E171" s="40"/>
      <c r="F171" s="40"/>
      <c r="G171" s="40"/>
      <c r="H171" s="40"/>
      <c r="I171" s="40"/>
      <c r="J171" s="265" t="s">
        <v>661</v>
      </c>
      <c r="K171" s="41"/>
      <c r="N171" s="12" t="s">
        <v>894</v>
      </c>
    </row>
    <row r="172" spans="2:14" x14ac:dyDescent="0.2">
      <c r="B172" s="38"/>
      <c r="C172" s="174" t="s">
        <v>660</v>
      </c>
      <c r="D172" s="40"/>
      <c r="E172" s="40"/>
      <c r="F172" s="40"/>
      <c r="G172" s="40"/>
      <c r="H172" s="40"/>
      <c r="I172" s="40"/>
      <c r="J172" s="246" t="str">
        <f>IF(J171=N170,"N/A",IF(J171=N171,0,IF(J171=N172,1,IF(J171=N173,2,IF(J171=N174,3,IF(J171=N175,4,"N/A"))))))</f>
        <v>N/A</v>
      </c>
      <c r="K172" s="41"/>
      <c r="N172" s="12" t="s">
        <v>899</v>
      </c>
    </row>
    <row r="173" spans="2:14" x14ac:dyDescent="0.2">
      <c r="B173" s="38"/>
      <c r="C173" s="40" t="s">
        <v>257</v>
      </c>
      <c r="D173" s="40"/>
      <c r="E173" s="40"/>
      <c r="F173" s="40"/>
      <c r="G173" s="40"/>
      <c r="H173" s="40"/>
      <c r="I173" s="40"/>
      <c r="J173" s="266" t="s">
        <v>870</v>
      </c>
      <c r="K173" s="41"/>
      <c r="N173" s="12" t="s">
        <v>900</v>
      </c>
    </row>
    <row r="174" spans="2:14" x14ac:dyDescent="0.2">
      <c r="B174" s="38"/>
      <c r="C174" s="40" t="s">
        <v>261</v>
      </c>
      <c r="D174" s="40"/>
      <c r="E174" s="40"/>
      <c r="F174" s="40"/>
      <c r="G174" s="40"/>
      <c r="H174" s="40"/>
      <c r="I174" s="40"/>
      <c r="J174" s="245">
        <f>IF(J173=$B$973,$A$973,IF(J173=$B$974,$A$974,IF(J173=$B$975,$A$975,IF(J173=$B$976,$A$976,IF(J173=$B$977,$A$977,"Not Calculated")))))</f>
        <v>0</v>
      </c>
      <c r="K174" s="41"/>
      <c r="N174" s="12" t="s">
        <v>901</v>
      </c>
    </row>
    <row r="175" spans="2:14" x14ac:dyDescent="0.2">
      <c r="B175" s="38"/>
      <c r="C175" s="40" t="s">
        <v>893</v>
      </c>
      <c r="D175" s="40"/>
      <c r="E175" s="40"/>
      <c r="F175" s="40"/>
      <c r="G175" s="40"/>
      <c r="H175" s="40"/>
      <c r="I175" s="40"/>
      <c r="J175" s="40"/>
      <c r="K175" s="41"/>
      <c r="N175" s="12" t="s">
        <v>902</v>
      </c>
    </row>
    <row r="176" spans="2:14" ht="30" customHeight="1" x14ac:dyDescent="0.2">
      <c r="B176" s="38"/>
      <c r="C176" s="399" t="s">
        <v>511</v>
      </c>
      <c r="D176" s="400"/>
      <c r="E176" s="400"/>
      <c r="F176" s="400"/>
      <c r="G176" s="400"/>
      <c r="H176" s="400"/>
      <c r="I176" s="400"/>
      <c r="J176" s="401"/>
      <c r="K176" s="41"/>
    </row>
    <row r="177" spans="2:14" x14ac:dyDescent="0.2">
      <c r="B177" s="38"/>
      <c r="C177" s="40"/>
      <c r="D177" s="40"/>
      <c r="E177" s="40"/>
      <c r="F177" s="40"/>
      <c r="G177" s="40"/>
      <c r="H177" s="40"/>
      <c r="I177" s="40"/>
      <c r="J177" s="40"/>
      <c r="K177" s="41"/>
    </row>
    <row r="178" spans="2:14" x14ac:dyDescent="0.2">
      <c r="B178" s="38"/>
      <c r="C178" s="179" t="s">
        <v>274</v>
      </c>
      <c r="D178" s="40"/>
      <c r="E178" s="40"/>
      <c r="F178" s="40"/>
      <c r="G178" s="40"/>
      <c r="H178" s="40"/>
      <c r="I178" s="40"/>
      <c r="J178" s="245" t="str">
        <f>IF(J172="N/A",IF(OR(J165="Not Calculated",J174="Not Calculated")=TRUE,"Not Calculated",AVERAGE(J165,J174)),AVERAGE(J172,J174))</f>
        <v>Not Calculated</v>
      </c>
      <c r="K178" s="41"/>
    </row>
    <row r="179" spans="2:14" x14ac:dyDescent="0.2">
      <c r="B179" s="38"/>
      <c r="C179" s="40"/>
      <c r="D179" s="40"/>
      <c r="E179" s="40"/>
      <c r="F179" s="40"/>
      <c r="G179" s="40"/>
      <c r="H179" s="40"/>
      <c r="I179" s="40"/>
      <c r="J179" s="40"/>
      <c r="K179" s="41"/>
    </row>
    <row r="180" spans="2:14" x14ac:dyDescent="0.2">
      <c r="B180" s="38"/>
      <c r="C180" s="40"/>
      <c r="D180" s="40"/>
      <c r="E180" s="40"/>
      <c r="F180" s="40"/>
      <c r="G180" s="40"/>
      <c r="H180" s="40"/>
      <c r="I180" s="40"/>
      <c r="J180" s="40"/>
      <c r="K180" s="41"/>
    </row>
    <row r="181" spans="2:14" ht="16" x14ac:dyDescent="0.2">
      <c r="B181" s="38"/>
      <c r="C181" s="45" t="s">
        <v>74</v>
      </c>
      <c r="D181" s="40"/>
      <c r="E181" s="40"/>
      <c r="F181" s="40"/>
      <c r="G181" s="40"/>
      <c r="H181" s="40"/>
      <c r="I181" s="40"/>
      <c r="J181" s="40"/>
      <c r="K181" s="41"/>
    </row>
    <row r="182" spans="2:14" x14ac:dyDescent="0.2">
      <c r="B182" s="38"/>
      <c r="C182" s="40" t="s">
        <v>443</v>
      </c>
      <c r="D182" s="40"/>
      <c r="E182" s="40"/>
      <c r="F182" s="40"/>
      <c r="G182" s="40"/>
      <c r="H182" s="40"/>
      <c r="I182" s="40"/>
      <c r="J182" s="252">
        <f>'Baseline Health'!G59</f>
        <v>0</v>
      </c>
      <c r="K182" s="41"/>
    </row>
    <row r="183" spans="2:14" x14ac:dyDescent="0.2">
      <c r="B183" s="38"/>
      <c r="C183" s="40" t="s">
        <v>281</v>
      </c>
      <c r="D183" s="40"/>
      <c r="E183" s="40"/>
      <c r="F183" s="40"/>
      <c r="G183" s="40"/>
      <c r="H183" s="40"/>
      <c r="I183" s="40"/>
      <c r="J183" s="264">
        <f>'Community Characteristics'!H67</f>
        <v>0</v>
      </c>
      <c r="K183" s="41"/>
    </row>
    <row r="184" spans="2:14" x14ac:dyDescent="0.2">
      <c r="B184" s="38"/>
      <c r="C184" s="40" t="s">
        <v>354</v>
      </c>
      <c r="D184" s="40"/>
      <c r="E184" s="40"/>
      <c r="F184" s="40"/>
      <c r="G184" s="40"/>
      <c r="H184" s="40"/>
      <c r="I184" s="40"/>
      <c r="J184" s="264">
        <v>0</v>
      </c>
      <c r="K184" s="41"/>
    </row>
    <row r="185" spans="2:14" x14ac:dyDescent="0.2">
      <c r="B185" s="38"/>
      <c r="C185" s="40" t="s">
        <v>260</v>
      </c>
      <c r="D185" s="40"/>
      <c r="E185" s="40"/>
      <c r="F185" s="40"/>
      <c r="G185" s="40"/>
      <c r="H185" s="40"/>
      <c r="I185" s="40"/>
      <c r="J185" s="245" t="str">
        <f>IF(OR(J182=0,J182="Not Calculated")=TRUE,"Not Calculated",IF(J182-J183=0,4,IF(((J182+J184)/(J182-J183))&lt;=1,0,IF(((J182+J184)/(J182-J183))&lt;=1.05,1,IF(((J182+J184)/(J182-J183))&lt;=1.5, 2,IF(((J182+J184)/(J182-J183))&lt;=2,3,4))))))</f>
        <v>Not Calculated</v>
      </c>
      <c r="K185" s="41"/>
    </row>
    <row r="186" spans="2:14" ht="9.75" customHeight="1" x14ac:dyDescent="0.2">
      <c r="B186" s="38"/>
      <c r="C186" s="279" t="str">
        <f>"0:"</f>
        <v>0:</v>
      </c>
      <c r="D186" s="278" t="s">
        <v>918</v>
      </c>
      <c r="E186" s="40"/>
      <c r="F186" s="40"/>
      <c r="G186" s="40"/>
      <c r="H186" s="40"/>
      <c r="I186" s="40"/>
      <c r="J186" s="40"/>
      <c r="K186" s="41"/>
    </row>
    <row r="187" spans="2:14" ht="9.75" customHeight="1" x14ac:dyDescent="0.2">
      <c r="B187" s="38"/>
      <c r="C187" s="280" t="str">
        <f>"1:"</f>
        <v>1:</v>
      </c>
      <c r="D187" s="278" t="s">
        <v>923</v>
      </c>
      <c r="E187" s="40"/>
      <c r="F187" s="40"/>
      <c r="G187" s="40"/>
      <c r="H187" s="40"/>
      <c r="I187" s="40"/>
      <c r="J187" s="40"/>
      <c r="K187" s="41"/>
    </row>
    <row r="188" spans="2:14" ht="9.75" customHeight="1" x14ac:dyDescent="0.2">
      <c r="B188" s="38"/>
      <c r="C188" s="280" t="str">
        <f>"2:"</f>
        <v>2:</v>
      </c>
      <c r="D188" s="278" t="s">
        <v>924</v>
      </c>
      <c r="E188" s="40"/>
      <c r="F188" s="40"/>
      <c r="G188" s="40"/>
      <c r="H188" s="40"/>
      <c r="I188" s="40"/>
      <c r="J188" s="40"/>
      <c r="K188" s="41"/>
    </row>
    <row r="189" spans="2:14" ht="9.75" customHeight="1" x14ac:dyDescent="0.2">
      <c r="B189" s="38"/>
      <c r="C189" s="280" t="str">
        <f>"3:"</f>
        <v>3:</v>
      </c>
      <c r="D189" s="278" t="s">
        <v>925</v>
      </c>
      <c r="E189" s="40"/>
      <c r="F189" s="40"/>
      <c r="G189" s="40"/>
      <c r="H189" s="40"/>
      <c r="I189" s="40"/>
      <c r="J189" s="40"/>
      <c r="K189" s="41"/>
    </row>
    <row r="190" spans="2:14" ht="9.75" customHeight="1" x14ac:dyDescent="0.2">
      <c r="B190" s="38"/>
      <c r="C190" s="280" t="str">
        <f>"4:"</f>
        <v>4:</v>
      </c>
      <c r="D190" s="278" t="s">
        <v>926</v>
      </c>
      <c r="E190" s="40"/>
      <c r="F190" s="40"/>
      <c r="G190" s="40"/>
      <c r="H190" s="40"/>
      <c r="I190" s="40"/>
      <c r="J190" s="40"/>
      <c r="K190" s="41"/>
      <c r="N190" s="12" t="s">
        <v>661</v>
      </c>
    </row>
    <row r="191" spans="2:14" x14ac:dyDescent="0.2">
      <c r="B191" s="38"/>
      <c r="C191" s="174" t="s">
        <v>662</v>
      </c>
      <c r="D191" s="40"/>
      <c r="E191" s="40"/>
      <c r="F191" s="40"/>
      <c r="G191" s="40"/>
      <c r="H191" s="40"/>
      <c r="I191" s="40"/>
      <c r="J191" s="265" t="s">
        <v>661</v>
      </c>
      <c r="K191" s="41"/>
      <c r="N191" s="12" t="s">
        <v>894</v>
      </c>
    </row>
    <row r="192" spans="2:14" x14ac:dyDescent="0.2">
      <c r="B192" s="38"/>
      <c r="C192" s="174" t="s">
        <v>660</v>
      </c>
      <c r="D192" s="40"/>
      <c r="E192" s="40"/>
      <c r="F192" s="40"/>
      <c r="G192" s="40"/>
      <c r="H192" s="40"/>
      <c r="I192" s="40"/>
      <c r="J192" s="246" t="str">
        <f>IF(J191=N190,"N/A",IF(J191=N191,0,IF(J191=N192,1,IF(J191=N193,2,IF(J191=N194,3,IF(J191=N195,4,"N/A"))))))</f>
        <v>N/A</v>
      </c>
      <c r="K192" s="41"/>
      <c r="N192" s="12" t="s">
        <v>899</v>
      </c>
    </row>
    <row r="193" spans="2:14" x14ac:dyDescent="0.2">
      <c r="B193" s="38"/>
      <c r="C193" s="40" t="s">
        <v>257</v>
      </c>
      <c r="D193" s="40"/>
      <c r="E193" s="40"/>
      <c r="F193" s="40"/>
      <c r="G193" s="40"/>
      <c r="H193" s="40"/>
      <c r="I193" s="40"/>
      <c r="J193" s="266" t="s">
        <v>870</v>
      </c>
      <c r="K193" s="41"/>
      <c r="N193" s="12" t="s">
        <v>900</v>
      </c>
    </row>
    <row r="194" spans="2:14" x14ac:dyDescent="0.2">
      <c r="B194" s="38"/>
      <c r="C194" s="40" t="s">
        <v>261</v>
      </c>
      <c r="D194" s="40"/>
      <c r="E194" s="40"/>
      <c r="F194" s="40"/>
      <c r="G194" s="40"/>
      <c r="H194" s="40"/>
      <c r="I194" s="40"/>
      <c r="J194" s="245">
        <f>IF(J193=$B$973,$A$973,IF(J193=$B$974,$A$974,IF(J193=$B$975,$A$975,IF(J193=$B$976,$A$976,IF(J193=$B$977,$A$977,"Not Calculated")))))</f>
        <v>0</v>
      </c>
      <c r="K194" s="41"/>
      <c r="N194" s="12" t="s">
        <v>901</v>
      </c>
    </row>
    <row r="195" spans="2:14" x14ac:dyDescent="0.2">
      <c r="B195" s="38"/>
      <c r="C195" s="40" t="s">
        <v>893</v>
      </c>
      <c r="D195" s="40"/>
      <c r="E195" s="40"/>
      <c r="F195" s="40"/>
      <c r="G195" s="40"/>
      <c r="H195" s="40"/>
      <c r="I195" s="40"/>
      <c r="J195" s="40"/>
      <c r="K195" s="41"/>
      <c r="N195" s="12" t="s">
        <v>902</v>
      </c>
    </row>
    <row r="196" spans="2:14" ht="30" customHeight="1" x14ac:dyDescent="0.2">
      <c r="B196" s="38"/>
      <c r="C196" s="399" t="s">
        <v>512</v>
      </c>
      <c r="D196" s="400"/>
      <c r="E196" s="400"/>
      <c r="F196" s="400"/>
      <c r="G196" s="400"/>
      <c r="H196" s="400"/>
      <c r="I196" s="400"/>
      <c r="J196" s="401"/>
      <c r="K196" s="41"/>
    </row>
    <row r="197" spans="2:14" x14ac:dyDescent="0.2">
      <c r="B197" s="38"/>
      <c r="C197" s="40"/>
      <c r="D197" s="40"/>
      <c r="E197" s="40"/>
      <c r="F197" s="40"/>
      <c r="G197" s="40"/>
      <c r="H197" s="40"/>
      <c r="I197" s="40"/>
      <c r="J197" s="40"/>
      <c r="K197" s="41"/>
    </row>
    <row r="198" spans="2:14" x14ac:dyDescent="0.2">
      <c r="B198" s="38"/>
      <c r="C198" s="179" t="s">
        <v>275</v>
      </c>
      <c r="D198" s="40"/>
      <c r="E198" s="40"/>
      <c r="F198" s="40"/>
      <c r="G198" s="40"/>
      <c r="H198" s="40"/>
      <c r="I198" s="40"/>
      <c r="J198" s="245" t="str">
        <f>IF(J192="N/A",IF(OR(J185="Not Calculated",J194="Not Calculated")=TRUE,"Not Calculated",AVERAGE(J185,J194)),AVERAGE(J192,J194))</f>
        <v>Not Calculated</v>
      </c>
      <c r="K198" s="41"/>
    </row>
    <row r="199" spans="2:14" x14ac:dyDescent="0.2">
      <c r="B199" s="38"/>
      <c r="C199" s="40"/>
      <c r="D199" s="40"/>
      <c r="E199" s="40"/>
      <c r="F199" s="40"/>
      <c r="G199" s="40"/>
      <c r="H199" s="40"/>
      <c r="I199" s="40"/>
      <c r="J199" s="40"/>
      <c r="K199" s="41"/>
    </row>
    <row r="200" spans="2:14" x14ac:dyDescent="0.2">
      <c r="B200" s="38"/>
      <c r="C200" s="40"/>
      <c r="D200" s="40"/>
      <c r="E200" s="40"/>
      <c r="F200" s="40"/>
      <c r="G200" s="40"/>
      <c r="H200" s="40"/>
      <c r="I200" s="40"/>
      <c r="J200" s="40"/>
      <c r="K200" s="41"/>
    </row>
    <row r="201" spans="2:14" ht="16" x14ac:dyDescent="0.2">
      <c r="B201" s="38"/>
      <c r="C201" s="45" t="s">
        <v>75</v>
      </c>
      <c r="D201" s="40"/>
      <c r="E201" s="40"/>
      <c r="F201" s="40"/>
      <c r="G201" s="40"/>
      <c r="H201" s="40"/>
      <c r="I201" s="40"/>
      <c r="J201" s="40"/>
      <c r="K201" s="41"/>
    </row>
    <row r="202" spans="2:14" x14ac:dyDescent="0.2">
      <c r="B202" s="38"/>
      <c r="C202" s="40" t="s">
        <v>444</v>
      </c>
      <c r="D202" s="40"/>
      <c r="E202" s="40"/>
      <c r="F202" s="40"/>
      <c r="G202" s="40"/>
      <c r="H202" s="40"/>
      <c r="I202" s="40"/>
      <c r="J202" s="252">
        <f>'Baseline Health'!G65</f>
        <v>0</v>
      </c>
      <c r="K202" s="41"/>
    </row>
    <row r="203" spans="2:14" x14ac:dyDescent="0.2">
      <c r="B203" s="38"/>
      <c r="C203" s="40" t="s">
        <v>282</v>
      </c>
      <c r="D203" s="40"/>
      <c r="E203" s="40"/>
      <c r="F203" s="40"/>
      <c r="G203" s="40"/>
      <c r="H203" s="40"/>
      <c r="I203" s="40"/>
      <c r="J203" s="264">
        <f>'Community Characteristics'!H90</f>
        <v>0</v>
      </c>
      <c r="K203" s="41"/>
    </row>
    <row r="204" spans="2:14" x14ac:dyDescent="0.2">
      <c r="B204" s="38"/>
      <c r="C204" s="40" t="s">
        <v>355</v>
      </c>
      <c r="D204" s="40"/>
      <c r="E204" s="40"/>
      <c r="F204" s="40"/>
      <c r="G204" s="40"/>
      <c r="H204" s="40"/>
      <c r="I204" s="40"/>
      <c r="J204" s="264">
        <f>J202*0.5</f>
        <v>0</v>
      </c>
      <c r="K204" s="41"/>
      <c r="L204" s="12" t="s">
        <v>1244</v>
      </c>
    </row>
    <row r="205" spans="2:14" x14ac:dyDescent="0.2">
      <c r="B205" s="38"/>
      <c r="C205" s="40" t="s">
        <v>260</v>
      </c>
      <c r="D205" s="40"/>
      <c r="E205" s="40"/>
      <c r="F205" s="40"/>
      <c r="G205" s="40"/>
      <c r="H205" s="40"/>
      <c r="I205" s="40"/>
      <c r="J205" s="245" t="str">
        <f>IF(OR(J202=0,J202="Not Calculated")=TRUE,"Not Calculated",IF(J202-J203=0,4,IF(((J202+J204)/(J202-J203))&lt;=1,0,IF(((J202+J204)/(J202-J203))&lt;=1.05,1,IF(((J202+J204)/(J202-J203))&lt;=1.5, 2,IF(((J202+J204)/(J202-J203))&lt;=2,3,4))))))</f>
        <v>Not Calculated</v>
      </c>
      <c r="K205" s="41"/>
    </row>
    <row r="206" spans="2:14" ht="9.75" customHeight="1" x14ac:dyDescent="0.2">
      <c r="B206" s="38"/>
      <c r="C206" s="279" t="str">
        <f>"0:"</f>
        <v>0:</v>
      </c>
      <c r="D206" s="278" t="s">
        <v>918</v>
      </c>
      <c r="E206" s="40"/>
      <c r="F206" s="40"/>
      <c r="G206" s="40"/>
      <c r="H206" s="40"/>
      <c r="I206" s="40"/>
      <c r="J206" s="40"/>
      <c r="K206" s="41"/>
    </row>
    <row r="207" spans="2:14" ht="9.75" customHeight="1" x14ac:dyDescent="0.2">
      <c r="B207" s="38"/>
      <c r="C207" s="280" t="str">
        <f>"1:"</f>
        <v>1:</v>
      </c>
      <c r="D207" s="278" t="s">
        <v>923</v>
      </c>
      <c r="E207" s="40"/>
      <c r="F207" s="40"/>
      <c r="G207" s="40"/>
      <c r="H207" s="40"/>
      <c r="I207" s="40"/>
      <c r="J207" s="40"/>
      <c r="K207" s="41"/>
    </row>
    <row r="208" spans="2:14" ht="9.75" customHeight="1" x14ac:dyDescent="0.2">
      <c r="B208" s="38"/>
      <c r="C208" s="280" t="str">
        <f>"2:"</f>
        <v>2:</v>
      </c>
      <c r="D208" s="278" t="s">
        <v>924</v>
      </c>
      <c r="E208" s="40"/>
      <c r="F208" s="40"/>
      <c r="G208" s="40"/>
      <c r="H208" s="40"/>
      <c r="I208" s="40"/>
      <c r="J208" s="40"/>
      <c r="K208" s="41"/>
    </row>
    <row r="209" spans="2:14" ht="9.75" customHeight="1" x14ac:dyDescent="0.2">
      <c r="B209" s="38"/>
      <c r="C209" s="280" t="str">
        <f>"3:"</f>
        <v>3:</v>
      </c>
      <c r="D209" s="278" t="s">
        <v>925</v>
      </c>
      <c r="E209" s="40"/>
      <c r="F209" s="40"/>
      <c r="G209" s="40"/>
      <c r="H209" s="40"/>
      <c r="I209" s="40"/>
      <c r="J209" s="40"/>
      <c r="K209" s="41"/>
    </row>
    <row r="210" spans="2:14" ht="9.75" customHeight="1" x14ac:dyDescent="0.2">
      <c r="B210" s="38"/>
      <c r="C210" s="280" t="str">
        <f>"4:"</f>
        <v>4:</v>
      </c>
      <c r="D210" s="278" t="s">
        <v>926</v>
      </c>
      <c r="E210" s="40"/>
      <c r="F210" s="40"/>
      <c r="G210" s="40"/>
      <c r="H210" s="40"/>
      <c r="I210" s="40"/>
      <c r="J210" s="40"/>
      <c r="K210" s="41"/>
      <c r="N210" s="12" t="s">
        <v>661</v>
      </c>
    </row>
    <row r="211" spans="2:14" x14ac:dyDescent="0.2">
      <c r="B211" s="38"/>
      <c r="C211" s="174" t="s">
        <v>662</v>
      </c>
      <c r="D211" s="40"/>
      <c r="E211" s="40"/>
      <c r="F211" s="40"/>
      <c r="G211" s="40"/>
      <c r="H211" s="40"/>
      <c r="I211" s="40"/>
      <c r="J211" s="265" t="s">
        <v>661</v>
      </c>
      <c r="K211" s="41"/>
      <c r="N211" s="12" t="s">
        <v>894</v>
      </c>
    </row>
    <row r="212" spans="2:14" x14ac:dyDescent="0.2">
      <c r="B212" s="38"/>
      <c r="C212" s="174" t="s">
        <v>660</v>
      </c>
      <c r="D212" s="40"/>
      <c r="E212" s="40"/>
      <c r="F212" s="40"/>
      <c r="G212" s="40"/>
      <c r="H212" s="40"/>
      <c r="I212" s="40"/>
      <c r="J212" s="246" t="str">
        <f>IF(J211=N210,"N/A",IF(J211=N211,0,IF(J211=N212,1,IF(J211=N213,2,IF(J211=N214,3,IF(J211=N215,4,"N/A"))))))</f>
        <v>N/A</v>
      </c>
      <c r="K212" s="41"/>
      <c r="N212" s="12" t="s">
        <v>899</v>
      </c>
    </row>
    <row r="213" spans="2:14" x14ac:dyDescent="0.2">
      <c r="B213" s="38"/>
      <c r="C213" s="40" t="s">
        <v>257</v>
      </c>
      <c r="D213" s="40"/>
      <c r="E213" s="40"/>
      <c r="F213" s="40"/>
      <c r="G213" s="40"/>
      <c r="H213" s="40"/>
      <c r="I213" s="40"/>
      <c r="J213" s="266" t="s">
        <v>870</v>
      </c>
      <c r="K213" s="41"/>
      <c r="N213" s="12" t="s">
        <v>900</v>
      </c>
    </row>
    <row r="214" spans="2:14" x14ac:dyDescent="0.2">
      <c r="B214" s="38"/>
      <c r="C214" s="40" t="s">
        <v>261</v>
      </c>
      <c r="D214" s="40"/>
      <c r="E214" s="40"/>
      <c r="F214" s="40"/>
      <c r="G214" s="40"/>
      <c r="H214" s="40"/>
      <c r="I214" s="40"/>
      <c r="J214" s="245">
        <f>IF(J213=$B$973,$A$973,IF(J213=$B$974,$A$974,IF(J213=$B$975,$A$975,IF(J213=$B$976,$A$976,IF(J213=$B$977,$A$977,"Not Calculated")))))</f>
        <v>0</v>
      </c>
      <c r="K214" s="41"/>
      <c r="N214" s="12" t="s">
        <v>901</v>
      </c>
    </row>
    <row r="215" spans="2:14" x14ac:dyDescent="0.2">
      <c r="B215" s="38"/>
      <c r="C215" s="40" t="s">
        <v>893</v>
      </c>
      <c r="D215" s="40"/>
      <c r="E215" s="40"/>
      <c r="F215" s="40"/>
      <c r="G215" s="40"/>
      <c r="H215" s="40"/>
      <c r="I215" s="40"/>
      <c r="J215" s="40"/>
      <c r="K215" s="41"/>
      <c r="N215" s="12" t="s">
        <v>902</v>
      </c>
    </row>
    <row r="216" spans="2:14" ht="45" customHeight="1" x14ac:dyDescent="0.2">
      <c r="B216" s="38"/>
      <c r="C216" s="399" t="s">
        <v>513</v>
      </c>
      <c r="D216" s="400"/>
      <c r="E216" s="400"/>
      <c r="F216" s="400"/>
      <c r="G216" s="400"/>
      <c r="H216" s="400"/>
      <c r="I216" s="400"/>
      <c r="J216" s="401"/>
      <c r="K216" s="41"/>
    </row>
    <row r="217" spans="2:14" x14ac:dyDescent="0.2">
      <c r="B217" s="38"/>
      <c r="C217" s="40"/>
      <c r="D217" s="40"/>
      <c r="E217" s="40"/>
      <c r="F217" s="40"/>
      <c r="G217" s="40"/>
      <c r="H217" s="40"/>
      <c r="I217" s="40"/>
      <c r="J217" s="40"/>
      <c r="K217" s="41"/>
    </row>
    <row r="218" spans="2:14" x14ac:dyDescent="0.2">
      <c r="B218" s="38"/>
      <c r="C218" s="179" t="s">
        <v>276</v>
      </c>
      <c r="D218" s="40"/>
      <c r="E218" s="40"/>
      <c r="F218" s="40"/>
      <c r="G218" s="40"/>
      <c r="H218" s="40"/>
      <c r="I218" s="40"/>
      <c r="J218" s="245" t="str">
        <f>IF(J212="N/A",IF(OR(J205="Not Calculated",J214="Not Calculated")=TRUE,"Not Calculated",AVERAGE(J205,J214)),AVERAGE(J212,J214))</f>
        <v>Not Calculated</v>
      </c>
      <c r="K218" s="41"/>
    </row>
    <row r="219" spans="2:14" x14ac:dyDescent="0.2">
      <c r="B219" s="38"/>
      <c r="C219" s="40"/>
      <c r="D219" s="40"/>
      <c r="E219" s="40"/>
      <c r="F219" s="40"/>
      <c r="G219" s="40"/>
      <c r="H219" s="40"/>
      <c r="I219" s="40"/>
      <c r="J219" s="40"/>
      <c r="K219" s="41"/>
    </row>
    <row r="220" spans="2:14" x14ac:dyDescent="0.2">
      <c r="B220" s="38"/>
      <c r="C220" s="40"/>
      <c r="D220" s="40"/>
      <c r="E220" s="40"/>
      <c r="F220" s="40"/>
      <c r="G220" s="40"/>
      <c r="H220" s="40"/>
      <c r="I220" s="40"/>
      <c r="J220" s="40"/>
      <c r="K220" s="41"/>
    </row>
    <row r="221" spans="2:14" ht="16" x14ac:dyDescent="0.2">
      <c r="B221" s="38"/>
      <c r="C221" s="45" t="s">
        <v>76</v>
      </c>
      <c r="D221" s="40"/>
      <c r="E221" s="40"/>
      <c r="F221" s="40"/>
      <c r="G221" s="40"/>
      <c r="H221" s="40"/>
      <c r="I221" s="40"/>
      <c r="J221" s="40"/>
      <c r="K221" s="41"/>
    </row>
    <row r="222" spans="2:14" ht="15" customHeight="1" x14ac:dyDescent="0.2">
      <c r="B222" s="38"/>
      <c r="C222" s="40" t="s">
        <v>356</v>
      </c>
      <c r="D222" s="40"/>
      <c r="E222" s="40"/>
      <c r="F222" s="40"/>
      <c r="G222" s="40"/>
      <c r="H222" s="40"/>
      <c r="I222" s="40"/>
      <c r="J222" s="252">
        <f>'Baseline Health'!G71</f>
        <v>0</v>
      </c>
      <c r="K222" s="41"/>
    </row>
    <row r="223" spans="2:14" x14ac:dyDescent="0.2">
      <c r="B223" s="38"/>
      <c r="C223" s="40" t="s">
        <v>357</v>
      </c>
      <c r="D223" s="40"/>
      <c r="E223" s="40"/>
      <c r="F223" s="40"/>
      <c r="G223" s="40"/>
      <c r="H223" s="40"/>
      <c r="I223" s="40"/>
      <c r="J223" s="264">
        <f>'Community Characteristics'!H76</f>
        <v>0</v>
      </c>
      <c r="K223" s="41"/>
    </row>
    <row r="224" spans="2:14" x14ac:dyDescent="0.2">
      <c r="B224" s="38"/>
      <c r="C224" s="40" t="s">
        <v>445</v>
      </c>
      <c r="D224" s="40"/>
      <c r="E224" s="40"/>
      <c r="F224" s="40"/>
      <c r="G224" s="40"/>
      <c r="H224" s="40"/>
      <c r="I224" s="40"/>
      <c r="J224" s="251">
        <f>J102</f>
        <v>0</v>
      </c>
      <c r="K224" s="41"/>
    </row>
    <row r="225" spans="2:14" x14ac:dyDescent="0.2">
      <c r="B225" s="38"/>
      <c r="C225" s="40"/>
      <c r="D225" s="40" t="s">
        <v>446</v>
      </c>
      <c r="E225" s="40"/>
      <c r="F225" s="40"/>
      <c r="G225" s="40"/>
      <c r="H225" s="40"/>
      <c r="I225" s="40"/>
      <c r="J225" s="40"/>
      <c r="K225" s="41"/>
    </row>
    <row r="226" spans="2:14" x14ac:dyDescent="0.2">
      <c r="B226" s="38"/>
      <c r="C226" s="40" t="s">
        <v>260</v>
      </c>
      <c r="D226" s="40"/>
      <c r="E226" s="40"/>
      <c r="F226" s="40"/>
      <c r="G226" s="40"/>
      <c r="H226" s="40"/>
      <c r="I226" s="40"/>
      <c r="J226" s="245" t="str">
        <f>IF(OR(J222=0,J222="Not Calculated")=TRUE,"Not Calculated",IF(J222-J223=0,4,IF(((J222+J224)/(J222-J223))&lt;=1,0,IF(((J222+J224)/(J222-J223))&lt;=1.05,1,IF(((J222+J224)/(J222-J223))&lt;=1.5, 2,IF(((J222+J224)/(J222-J223))&lt;=2,3,4))))))</f>
        <v>Not Calculated</v>
      </c>
      <c r="K226" s="41"/>
    </row>
    <row r="227" spans="2:14" ht="9.75" customHeight="1" x14ac:dyDescent="0.2">
      <c r="B227" s="38"/>
      <c r="C227" s="279" t="str">
        <f>"0:"</f>
        <v>0:</v>
      </c>
      <c r="D227" s="278" t="s">
        <v>918</v>
      </c>
      <c r="E227" s="40"/>
      <c r="F227" s="40"/>
      <c r="G227" s="40"/>
      <c r="H227" s="40"/>
      <c r="I227" s="40"/>
      <c r="J227" s="40"/>
      <c r="K227" s="41"/>
    </row>
    <row r="228" spans="2:14" ht="9.75" customHeight="1" x14ac:dyDescent="0.2">
      <c r="B228" s="38"/>
      <c r="C228" s="280" t="str">
        <f>"1:"</f>
        <v>1:</v>
      </c>
      <c r="D228" s="278" t="s">
        <v>923</v>
      </c>
      <c r="E228" s="40"/>
      <c r="F228" s="40"/>
      <c r="G228" s="40"/>
      <c r="H228" s="40"/>
      <c r="I228" s="40"/>
      <c r="J228" s="40"/>
      <c r="K228" s="41"/>
    </row>
    <row r="229" spans="2:14" ht="9.75" customHeight="1" x14ac:dyDescent="0.2">
      <c r="B229" s="38"/>
      <c r="C229" s="280" t="str">
        <f>"2:"</f>
        <v>2:</v>
      </c>
      <c r="D229" s="278" t="s">
        <v>924</v>
      </c>
      <c r="E229" s="40"/>
      <c r="F229" s="40"/>
      <c r="G229" s="40"/>
      <c r="H229" s="40"/>
      <c r="I229" s="40"/>
      <c r="J229" s="40"/>
      <c r="K229" s="41"/>
    </row>
    <row r="230" spans="2:14" ht="9.75" customHeight="1" x14ac:dyDescent="0.2">
      <c r="B230" s="38"/>
      <c r="C230" s="280" t="str">
        <f>"3:"</f>
        <v>3:</v>
      </c>
      <c r="D230" s="278" t="s">
        <v>925</v>
      </c>
      <c r="E230" s="40"/>
      <c r="F230" s="40"/>
      <c r="G230" s="40"/>
      <c r="H230" s="40"/>
      <c r="I230" s="40"/>
      <c r="J230" s="40"/>
      <c r="K230" s="41"/>
    </row>
    <row r="231" spans="2:14" ht="9.75" customHeight="1" x14ac:dyDescent="0.2">
      <c r="B231" s="38"/>
      <c r="C231" s="280" t="str">
        <f>"4:"</f>
        <v>4:</v>
      </c>
      <c r="D231" s="278" t="s">
        <v>926</v>
      </c>
      <c r="E231" s="40"/>
      <c r="F231" s="40"/>
      <c r="G231" s="40"/>
      <c r="H231" s="40"/>
      <c r="I231" s="40"/>
      <c r="J231" s="40"/>
      <c r="K231" s="41"/>
      <c r="N231" s="12" t="s">
        <v>661</v>
      </c>
    </row>
    <row r="232" spans="2:14" x14ac:dyDescent="0.2">
      <c r="B232" s="38"/>
      <c r="C232" s="174" t="s">
        <v>662</v>
      </c>
      <c r="D232" s="40"/>
      <c r="E232" s="40"/>
      <c r="F232" s="40"/>
      <c r="G232" s="40"/>
      <c r="H232" s="40"/>
      <c r="I232" s="40"/>
      <c r="J232" s="265" t="s">
        <v>661</v>
      </c>
      <c r="K232" s="41"/>
      <c r="N232" s="12" t="s">
        <v>894</v>
      </c>
    </row>
    <row r="233" spans="2:14" x14ac:dyDescent="0.2">
      <c r="B233" s="38"/>
      <c r="C233" s="174" t="s">
        <v>660</v>
      </c>
      <c r="D233" s="40"/>
      <c r="E233" s="40"/>
      <c r="F233" s="40"/>
      <c r="G233" s="40"/>
      <c r="H233" s="40"/>
      <c r="I233" s="40"/>
      <c r="J233" s="246" t="str">
        <f>IF(J232=N231,"N/A",IF(J232=N232,0,IF(J232=N233,1,IF(J232=N234,2,IF(J232=N235,3,IF(J232=N236,4,"N/A"))))))</f>
        <v>N/A</v>
      </c>
      <c r="K233" s="41"/>
      <c r="N233" s="12" t="s">
        <v>899</v>
      </c>
    </row>
    <row r="234" spans="2:14" x14ac:dyDescent="0.2">
      <c r="B234" s="38"/>
      <c r="C234" s="40" t="s">
        <v>257</v>
      </c>
      <c r="D234" s="40"/>
      <c r="E234" s="40"/>
      <c r="F234" s="40"/>
      <c r="G234" s="40"/>
      <c r="H234" s="40"/>
      <c r="I234" s="40"/>
      <c r="J234" s="266" t="s">
        <v>870</v>
      </c>
      <c r="K234" s="41"/>
      <c r="N234" s="12" t="s">
        <v>900</v>
      </c>
    </row>
    <row r="235" spans="2:14" x14ac:dyDescent="0.2">
      <c r="B235" s="38"/>
      <c r="C235" s="40" t="s">
        <v>261</v>
      </c>
      <c r="D235" s="40"/>
      <c r="E235" s="40"/>
      <c r="F235" s="40"/>
      <c r="G235" s="40"/>
      <c r="H235" s="40"/>
      <c r="I235" s="40"/>
      <c r="J235" s="245">
        <f>IF(J234=$B$973,$A$973,IF(J234=$B$974,$A$974,IF(J234=$B$975,$A$975,IF(J234=$B$976,$A$976,IF(J234=$B$977,$A$977,"Not Calculated")))))</f>
        <v>0</v>
      </c>
      <c r="K235" s="41"/>
      <c r="N235" s="12" t="s">
        <v>901</v>
      </c>
    </row>
    <row r="236" spans="2:14" x14ac:dyDescent="0.2">
      <c r="B236" s="38"/>
      <c r="C236" s="40" t="s">
        <v>893</v>
      </c>
      <c r="D236" s="40"/>
      <c r="E236" s="40"/>
      <c r="F236" s="40"/>
      <c r="G236" s="40"/>
      <c r="H236" s="40"/>
      <c r="I236" s="40"/>
      <c r="J236" s="40"/>
      <c r="K236" s="41"/>
      <c r="N236" s="12" t="s">
        <v>902</v>
      </c>
    </row>
    <row r="237" spans="2:14" ht="30" customHeight="1" x14ac:dyDescent="0.2">
      <c r="B237" s="38"/>
      <c r="C237" s="399"/>
      <c r="D237" s="400"/>
      <c r="E237" s="400"/>
      <c r="F237" s="400"/>
      <c r="G237" s="400"/>
      <c r="H237" s="400"/>
      <c r="I237" s="400"/>
      <c r="J237" s="401"/>
      <c r="K237" s="41"/>
    </row>
    <row r="238" spans="2:14" x14ac:dyDescent="0.2">
      <c r="B238" s="38"/>
      <c r="C238" s="40"/>
      <c r="D238" s="40"/>
      <c r="E238" s="40"/>
      <c r="F238" s="40"/>
      <c r="G238" s="40"/>
      <c r="H238" s="40"/>
      <c r="I238" s="40"/>
      <c r="J238" s="40"/>
      <c r="K238" s="41"/>
    </row>
    <row r="239" spans="2:14" x14ac:dyDescent="0.2">
      <c r="B239" s="38"/>
      <c r="C239" s="179" t="s">
        <v>277</v>
      </c>
      <c r="D239" s="40"/>
      <c r="E239" s="40"/>
      <c r="F239" s="40"/>
      <c r="G239" s="40"/>
      <c r="H239" s="40"/>
      <c r="I239" s="40"/>
      <c r="J239" s="245" t="str">
        <f>IF(J233="N/A",IF(OR(J226="Not Calculated",J235="Not Calculated")=TRUE,"Not Calculated",AVERAGE(J226,J235)),AVERAGE(J233,J235))</f>
        <v>Not Calculated</v>
      </c>
      <c r="K239" s="41"/>
    </row>
    <row r="240" spans="2:14" x14ac:dyDescent="0.2">
      <c r="B240" s="38"/>
      <c r="C240" s="40"/>
      <c r="D240" s="40"/>
      <c r="E240" s="40"/>
      <c r="F240" s="40"/>
      <c r="G240" s="40"/>
      <c r="H240" s="40"/>
      <c r="I240" s="40"/>
      <c r="J240" s="40"/>
      <c r="K240" s="41"/>
    </row>
    <row r="241" spans="2:14" x14ac:dyDescent="0.2">
      <c r="B241" s="38"/>
      <c r="C241" s="40"/>
      <c r="D241" s="40"/>
      <c r="E241" s="40"/>
      <c r="F241" s="40"/>
      <c r="G241" s="40"/>
      <c r="H241" s="40"/>
      <c r="I241" s="40"/>
      <c r="J241" s="40"/>
      <c r="K241" s="41"/>
    </row>
    <row r="242" spans="2:14" ht="16" x14ac:dyDescent="0.2">
      <c r="B242" s="38"/>
      <c r="C242" s="45" t="s">
        <v>278</v>
      </c>
      <c r="D242" s="40"/>
      <c r="E242" s="40"/>
      <c r="F242" s="40"/>
      <c r="G242" s="40"/>
      <c r="H242" s="40"/>
      <c r="I242" s="40"/>
      <c r="J242" s="40"/>
      <c r="K242" s="41"/>
    </row>
    <row r="243" spans="2:14" ht="15" customHeight="1" x14ac:dyDescent="0.2">
      <c r="B243" s="38"/>
      <c r="C243" s="40" t="s">
        <v>447</v>
      </c>
      <c r="D243" s="40"/>
      <c r="E243" s="40"/>
      <c r="F243" s="40"/>
      <c r="G243" s="40"/>
      <c r="H243" s="40"/>
      <c r="I243" s="40"/>
      <c r="J243" s="254">
        <f>'Baseline Health'!G77</f>
        <v>0</v>
      </c>
      <c r="K243" s="41"/>
    </row>
    <row r="244" spans="2:14" x14ac:dyDescent="0.2">
      <c r="B244" s="38"/>
      <c r="C244" s="40" t="s">
        <v>358</v>
      </c>
      <c r="D244" s="40"/>
      <c r="E244" s="40"/>
      <c r="F244" s="40"/>
      <c r="G244" s="40"/>
      <c r="H244" s="40"/>
      <c r="I244" s="40"/>
      <c r="J244" s="264">
        <f>'Community Characteristics'!H95</f>
        <v>0</v>
      </c>
      <c r="K244" s="41"/>
    </row>
    <row r="245" spans="2:14" x14ac:dyDescent="0.2">
      <c r="B245" s="38"/>
      <c r="C245" s="40" t="s">
        <v>360</v>
      </c>
      <c r="D245" s="291"/>
      <c r="E245" s="291"/>
      <c r="F245" s="291"/>
      <c r="G245" s="291"/>
      <c r="H245" s="291"/>
      <c r="I245" s="291"/>
      <c r="J245" s="264">
        <f>'Community Characteristics'!H56*40/250</f>
        <v>0</v>
      </c>
      <c r="K245" s="41"/>
    </row>
    <row r="246" spans="2:14" x14ac:dyDescent="0.2">
      <c r="B246" s="38"/>
      <c r="C246" s="40" t="s">
        <v>260</v>
      </c>
      <c r="D246" s="40"/>
      <c r="E246" s="40"/>
      <c r="F246" s="40"/>
      <c r="G246" s="40"/>
      <c r="H246" s="40"/>
      <c r="I246" s="40"/>
      <c r="J246" s="245" t="str">
        <f>IF(OR(J243=0,J243="Not Calculated")=TRUE,"Not Calculated",IF(J243-J244=0,4,(IF(((J243+J245)/(J243-J244))&lt;=1,0,IF(((J243+J245)/(J243-J244))&lt;=1.05,1,IF(((J243+J245)/(J243-J244))&lt;=1.5,2,IF(((J243+J245)/(J243-J244))&lt;=2,3,4)))))))</f>
        <v>Not Calculated</v>
      </c>
      <c r="K246" s="41"/>
    </row>
    <row r="247" spans="2:14" ht="9.75" customHeight="1" x14ac:dyDescent="0.2">
      <c r="B247" s="38"/>
      <c r="C247" s="279" t="str">
        <f>"0:"</f>
        <v>0:</v>
      </c>
      <c r="D247" s="278" t="s">
        <v>918</v>
      </c>
      <c r="E247" s="40"/>
      <c r="F247" s="40"/>
      <c r="G247" s="40"/>
      <c r="H247" s="40"/>
      <c r="I247" s="40"/>
      <c r="J247" s="40"/>
      <c r="K247" s="41"/>
    </row>
    <row r="248" spans="2:14" ht="9.75" customHeight="1" x14ac:dyDescent="0.2">
      <c r="B248" s="38"/>
      <c r="C248" s="280" t="str">
        <f>"1:"</f>
        <v>1:</v>
      </c>
      <c r="D248" s="278" t="s">
        <v>923</v>
      </c>
      <c r="E248" s="40"/>
      <c r="F248" s="40"/>
      <c r="G248" s="40"/>
      <c r="H248" s="40"/>
      <c r="I248" s="40"/>
      <c r="J248" s="40"/>
      <c r="K248" s="41"/>
    </row>
    <row r="249" spans="2:14" ht="9.75" customHeight="1" x14ac:dyDescent="0.2">
      <c r="B249" s="38"/>
      <c r="C249" s="280" t="str">
        <f>"2:"</f>
        <v>2:</v>
      </c>
      <c r="D249" s="278" t="s">
        <v>924</v>
      </c>
      <c r="E249" s="40"/>
      <c r="F249" s="40"/>
      <c r="G249" s="40"/>
      <c r="H249" s="40"/>
      <c r="I249" s="40"/>
      <c r="J249" s="40"/>
      <c r="K249" s="41"/>
    </row>
    <row r="250" spans="2:14" ht="9.75" customHeight="1" x14ac:dyDescent="0.2">
      <c r="B250" s="38"/>
      <c r="C250" s="280" t="str">
        <f>"3:"</f>
        <v>3:</v>
      </c>
      <c r="D250" s="278" t="s">
        <v>925</v>
      </c>
      <c r="E250" s="40"/>
      <c r="F250" s="40"/>
      <c r="G250" s="40"/>
      <c r="H250" s="40"/>
      <c r="I250" s="40"/>
      <c r="J250" s="40"/>
      <c r="K250" s="41"/>
    </row>
    <row r="251" spans="2:14" ht="9.75" customHeight="1" x14ac:dyDescent="0.2">
      <c r="B251" s="38"/>
      <c r="C251" s="280" t="str">
        <f>"4:"</f>
        <v>4:</v>
      </c>
      <c r="D251" s="278" t="s">
        <v>926</v>
      </c>
      <c r="E251" s="40"/>
      <c r="F251" s="40"/>
      <c r="G251" s="40"/>
      <c r="H251" s="40"/>
      <c r="I251" s="40"/>
      <c r="J251" s="40"/>
      <c r="K251" s="41"/>
      <c r="N251" s="12" t="s">
        <v>661</v>
      </c>
    </row>
    <row r="252" spans="2:14" x14ac:dyDescent="0.2">
      <c r="B252" s="38"/>
      <c r="C252" s="174" t="s">
        <v>662</v>
      </c>
      <c r="D252" s="40"/>
      <c r="E252" s="40"/>
      <c r="F252" s="40"/>
      <c r="G252" s="40"/>
      <c r="H252" s="40"/>
      <c r="I252" s="40"/>
      <c r="J252" s="265" t="s">
        <v>661</v>
      </c>
      <c r="K252" s="41"/>
      <c r="N252" s="12" t="s">
        <v>894</v>
      </c>
    </row>
    <row r="253" spans="2:14" x14ac:dyDescent="0.2">
      <c r="B253" s="38"/>
      <c r="C253" s="174" t="s">
        <v>660</v>
      </c>
      <c r="D253" s="40"/>
      <c r="E253" s="40"/>
      <c r="F253" s="40"/>
      <c r="G253" s="40"/>
      <c r="H253" s="40"/>
      <c r="I253" s="40"/>
      <c r="J253" s="246" t="str">
        <f>IF(J252=N251,"N/A",IF(J252=N252,0,IF(J252=N253,1,IF(J252=N254,2,IF(J252=N255,3,IF(J252=N256,4,"N/A"))))))</f>
        <v>N/A</v>
      </c>
      <c r="K253" s="41"/>
      <c r="N253" s="12" t="s">
        <v>899</v>
      </c>
    </row>
    <row r="254" spans="2:14" x14ac:dyDescent="0.2">
      <c r="B254" s="38"/>
      <c r="C254" s="40" t="s">
        <v>257</v>
      </c>
      <c r="D254" s="40"/>
      <c r="E254" s="40"/>
      <c r="F254" s="40"/>
      <c r="G254" s="40"/>
      <c r="H254" s="40"/>
      <c r="I254" s="40"/>
      <c r="J254" s="266" t="s">
        <v>870</v>
      </c>
      <c r="K254" s="41"/>
      <c r="N254" s="12" t="s">
        <v>900</v>
      </c>
    </row>
    <row r="255" spans="2:14" x14ac:dyDescent="0.2">
      <c r="B255" s="38"/>
      <c r="C255" s="40" t="s">
        <v>261</v>
      </c>
      <c r="D255" s="40"/>
      <c r="E255" s="40"/>
      <c r="F255" s="40"/>
      <c r="G255" s="40"/>
      <c r="H255" s="40"/>
      <c r="I255" s="40"/>
      <c r="J255" s="245">
        <f>IF(J254=$B$973,$A$973,IF(J254=$B$974,$A$974,IF(J254=$B$975,$A$975,IF(J254=$B$976,$A$976,IF(J254=$B$977,$A$977,"Not Calculated")))))</f>
        <v>0</v>
      </c>
      <c r="K255" s="41"/>
      <c r="N255" s="12" t="s">
        <v>901</v>
      </c>
    </row>
    <row r="256" spans="2:14" x14ac:dyDescent="0.2">
      <c r="B256" s="38"/>
      <c r="C256" s="40" t="s">
        <v>893</v>
      </c>
      <c r="D256" s="40"/>
      <c r="E256" s="40"/>
      <c r="F256" s="40"/>
      <c r="G256" s="40"/>
      <c r="H256" s="40"/>
      <c r="I256" s="40"/>
      <c r="J256" s="40"/>
      <c r="K256" s="41"/>
      <c r="N256" s="12" t="s">
        <v>902</v>
      </c>
    </row>
    <row r="257" spans="2:11" ht="45" customHeight="1" x14ac:dyDescent="0.2">
      <c r="B257" s="38"/>
      <c r="C257" s="399" t="s">
        <v>514</v>
      </c>
      <c r="D257" s="400"/>
      <c r="E257" s="400"/>
      <c r="F257" s="400"/>
      <c r="G257" s="400"/>
      <c r="H257" s="400"/>
      <c r="I257" s="400"/>
      <c r="J257" s="401"/>
      <c r="K257" s="41"/>
    </row>
    <row r="258" spans="2:11" x14ac:dyDescent="0.2">
      <c r="B258" s="38"/>
      <c r="C258" s="40"/>
      <c r="D258" s="40"/>
      <c r="E258" s="40"/>
      <c r="F258" s="40"/>
      <c r="G258" s="40"/>
      <c r="H258" s="40"/>
      <c r="I258" s="40"/>
      <c r="J258" s="40"/>
      <c r="K258" s="41"/>
    </row>
    <row r="259" spans="2:11" x14ac:dyDescent="0.2">
      <c r="B259" s="38"/>
      <c r="C259" s="179" t="s">
        <v>279</v>
      </c>
      <c r="D259" s="40"/>
      <c r="E259" s="40"/>
      <c r="F259" s="40"/>
      <c r="G259" s="40"/>
      <c r="H259" s="40"/>
      <c r="I259" s="40"/>
      <c r="J259" s="245" t="str">
        <f>IF(J253="N/A",IF(OR(J246="Not Calculated",J255="Not Calculated")=TRUE,"Not Calculated",AVERAGE(J246,J255)),AVERAGE(J253,J255))</f>
        <v>Not Calculated</v>
      </c>
      <c r="K259" s="41"/>
    </row>
    <row r="260" spans="2:11" x14ac:dyDescent="0.2">
      <c r="B260" s="38"/>
      <c r="C260" s="40"/>
      <c r="D260" s="40"/>
      <c r="E260" s="40"/>
      <c r="F260" s="40"/>
      <c r="G260" s="40"/>
      <c r="H260" s="40"/>
      <c r="I260" s="40"/>
      <c r="J260" s="40"/>
      <c r="K260" s="41"/>
    </row>
    <row r="261" spans="2:11" ht="18" x14ac:dyDescent="0.2">
      <c r="B261" s="38"/>
      <c r="C261" s="180" t="s">
        <v>272</v>
      </c>
      <c r="D261" s="40"/>
      <c r="E261" s="40"/>
      <c r="F261" s="40"/>
      <c r="G261" s="40"/>
      <c r="H261" s="40"/>
      <c r="I261" s="40"/>
      <c r="J261" s="244" t="str">
        <f>IF(OR(J157="Not Calculated",J178="Not Calculated",J198="Not Calculated",J218="Not Calculated",J239="Not Calculated",J259="Not Calculated",)=TRUE,"Not Calculated",AVERAGE(J157,J178,J198,J218,J239,J259))</f>
        <v>Not Calculated</v>
      </c>
      <c r="K261" s="41"/>
    </row>
    <row r="262" spans="2:11" ht="16" thickBot="1" x14ac:dyDescent="0.25">
      <c r="B262" s="46"/>
      <c r="C262" s="47"/>
      <c r="D262" s="47"/>
      <c r="E262" s="47"/>
      <c r="F262" s="47"/>
      <c r="G262" s="47"/>
      <c r="H262" s="47"/>
      <c r="I262" s="47"/>
      <c r="J262" s="47"/>
      <c r="K262" s="49"/>
    </row>
    <row r="263" spans="2:11" ht="16" thickBot="1" x14ac:dyDescent="0.25"/>
    <row r="264" spans="2:11" x14ac:dyDescent="0.2">
      <c r="B264" s="33"/>
      <c r="C264" s="34"/>
      <c r="D264" s="34"/>
      <c r="E264" s="34"/>
      <c r="F264" s="34"/>
      <c r="G264" s="34"/>
      <c r="H264" s="34"/>
      <c r="I264" s="34"/>
      <c r="J264" s="34"/>
      <c r="K264" s="37"/>
    </row>
    <row r="265" spans="2:11" ht="21" x14ac:dyDescent="0.25">
      <c r="B265" s="38"/>
      <c r="C265" s="40"/>
      <c r="D265" s="40"/>
      <c r="E265" s="40"/>
      <c r="F265" s="40"/>
      <c r="G265" s="172" t="s">
        <v>864</v>
      </c>
      <c r="H265" s="40"/>
      <c r="I265" s="40"/>
      <c r="J265" s="40"/>
      <c r="K265" s="41"/>
    </row>
    <row r="266" spans="2:11" ht="15" customHeight="1" x14ac:dyDescent="0.2">
      <c r="B266" s="38"/>
      <c r="C266" s="40"/>
      <c r="D266" s="40"/>
      <c r="E266" s="40"/>
      <c r="F266" s="40"/>
      <c r="G266" s="40"/>
      <c r="H266" s="40"/>
      <c r="I266" s="40"/>
      <c r="J266" s="40"/>
      <c r="K266" s="41"/>
    </row>
    <row r="267" spans="2:11" ht="16" x14ac:dyDescent="0.2">
      <c r="B267" s="38"/>
      <c r="C267" s="45" t="s">
        <v>80</v>
      </c>
      <c r="D267" s="40"/>
      <c r="E267" s="40"/>
      <c r="F267" s="40"/>
      <c r="G267" s="40"/>
      <c r="H267" s="40"/>
      <c r="I267" s="40"/>
      <c r="J267" s="40"/>
      <c r="K267" s="41"/>
    </row>
    <row r="268" spans="2:11" x14ac:dyDescent="0.2">
      <c r="B268" s="38"/>
      <c r="C268" s="40" t="s">
        <v>283</v>
      </c>
      <c r="D268" s="40"/>
      <c r="E268" s="40"/>
      <c r="F268" s="40"/>
      <c r="G268" s="40"/>
      <c r="H268" s="40"/>
      <c r="I268" s="40"/>
      <c r="J268" s="250">
        <f>'Baseline Health'!G88</f>
        <v>0</v>
      </c>
      <c r="K268" s="41"/>
    </row>
    <row r="269" spans="2:11" x14ac:dyDescent="0.2">
      <c r="B269" s="38"/>
      <c r="C269" s="40" t="s">
        <v>284</v>
      </c>
      <c r="D269" s="40"/>
      <c r="E269" s="40"/>
      <c r="F269" s="40"/>
      <c r="G269" s="40"/>
      <c r="H269" s="40"/>
      <c r="I269" s="40"/>
      <c r="J269" s="264">
        <f>'Community Characteristics'!H72</f>
        <v>0</v>
      </c>
      <c r="K269" s="41"/>
    </row>
    <row r="270" spans="2:11" x14ac:dyDescent="0.2">
      <c r="B270" s="38"/>
      <c r="C270" s="40" t="s">
        <v>285</v>
      </c>
      <c r="D270" s="40"/>
      <c r="E270" s="40"/>
      <c r="F270" s="40"/>
      <c r="G270" s="40"/>
      <c r="H270" s="40"/>
      <c r="I270" s="40"/>
      <c r="J270" s="259">
        <f>'Baseline Health'!G93</f>
        <v>0</v>
      </c>
      <c r="K270" s="41"/>
    </row>
    <row r="271" spans="2:11" x14ac:dyDescent="0.2">
      <c r="B271" s="38"/>
      <c r="C271" s="40" t="s">
        <v>286</v>
      </c>
      <c r="D271" s="40"/>
      <c r="E271" s="40"/>
      <c r="F271" s="40"/>
      <c r="G271" s="40"/>
      <c r="H271" s="40"/>
      <c r="I271" s="40"/>
      <c r="J271" s="250">
        <f>J184</f>
        <v>0</v>
      </c>
      <c r="K271" s="41"/>
    </row>
    <row r="272" spans="2:11" x14ac:dyDescent="0.2">
      <c r="B272" s="38"/>
      <c r="C272" s="40"/>
      <c r="D272" s="40" t="s">
        <v>432</v>
      </c>
      <c r="E272" s="40"/>
      <c r="F272" s="40"/>
      <c r="G272" s="40"/>
      <c r="H272" s="40"/>
      <c r="I272" s="40"/>
      <c r="J272" s="40"/>
      <c r="K272" s="41"/>
    </row>
    <row r="273" spans="2:14" x14ac:dyDescent="0.2">
      <c r="B273" s="38"/>
      <c r="C273" s="40" t="s">
        <v>292</v>
      </c>
      <c r="D273" s="40"/>
      <c r="E273" s="40"/>
      <c r="F273" s="40"/>
      <c r="G273" s="40"/>
      <c r="H273" s="40"/>
      <c r="I273" s="40"/>
      <c r="J273" s="258" t="str">
        <f>'Baseline Health'!G97</f>
        <v>N/A</v>
      </c>
      <c r="K273" s="41"/>
    </row>
    <row r="274" spans="2:14" x14ac:dyDescent="0.2">
      <c r="B274" s="38"/>
      <c r="C274" s="40" t="s">
        <v>293</v>
      </c>
      <c r="D274" s="40"/>
      <c r="E274" s="40"/>
      <c r="F274" s="40"/>
      <c r="G274" s="40"/>
      <c r="H274" s="40"/>
      <c r="I274" s="40"/>
      <c r="J274" s="258" t="str">
        <f>IF(J273="N/A","N/A",IF(J268-J269=0,"No Nurses",((J270+J271)/(J268-J269))))</f>
        <v>N/A</v>
      </c>
      <c r="K274" s="41"/>
    </row>
    <row r="275" spans="2:14" x14ac:dyDescent="0.2">
      <c r="B275" s="38"/>
      <c r="C275" s="40" t="s">
        <v>260</v>
      </c>
      <c r="D275" s="40"/>
      <c r="E275" s="40"/>
      <c r="F275" s="40"/>
      <c r="G275" s="40"/>
      <c r="H275" s="40"/>
      <c r="I275" s="40"/>
      <c r="J275" s="245">
        <f>IF(J273=0,"Not Calculated",IF(J274="N/A",0,IF(J274="No Nurses",4,IF((J274/J273)&lt;=1,0,IF((J274/J273)&lt;=1.1,1,IF((J274/J273)&lt;=1=1.25,2,IF((J274/J273)&lt;=1.5,3,4)))))))</f>
        <v>0</v>
      </c>
      <c r="K275" s="41"/>
    </row>
    <row r="276" spans="2:14" ht="9.75" customHeight="1" x14ac:dyDescent="0.2">
      <c r="B276" s="38"/>
      <c r="C276" s="279" t="str">
        <f>"0:"</f>
        <v>0:</v>
      </c>
      <c r="D276" s="278" t="s">
        <v>927</v>
      </c>
      <c r="E276" s="40"/>
      <c r="F276" s="40"/>
      <c r="G276" s="40"/>
      <c r="H276" s="40"/>
      <c r="I276" s="40"/>
      <c r="J276" s="258"/>
      <c r="K276" s="41"/>
    </row>
    <row r="277" spans="2:14" ht="9.75" customHeight="1" x14ac:dyDescent="0.2">
      <c r="B277" s="38"/>
      <c r="C277" s="280" t="str">
        <f>"1:"</f>
        <v>1:</v>
      </c>
      <c r="D277" s="278" t="s">
        <v>928</v>
      </c>
      <c r="E277" s="40"/>
      <c r="F277" s="40"/>
      <c r="G277" s="40"/>
      <c r="H277" s="40"/>
      <c r="I277" s="40"/>
      <c r="J277" s="258"/>
      <c r="K277" s="41"/>
    </row>
    <row r="278" spans="2:14" ht="9.75" customHeight="1" x14ac:dyDescent="0.2">
      <c r="B278" s="38"/>
      <c r="C278" s="280" t="str">
        <f>"2:"</f>
        <v>2:</v>
      </c>
      <c r="D278" s="278" t="s">
        <v>929</v>
      </c>
      <c r="E278" s="40"/>
      <c r="F278" s="40"/>
      <c r="G278" s="40"/>
      <c r="H278" s="40"/>
      <c r="I278" s="40"/>
      <c r="J278" s="258"/>
      <c r="K278" s="41"/>
    </row>
    <row r="279" spans="2:14" ht="9.75" customHeight="1" x14ac:dyDescent="0.2">
      <c r="B279" s="38"/>
      <c r="C279" s="280" t="str">
        <f>"3:"</f>
        <v>3:</v>
      </c>
      <c r="D279" s="278" t="s">
        <v>930</v>
      </c>
      <c r="E279" s="40"/>
      <c r="F279" s="40"/>
      <c r="G279" s="40"/>
      <c r="H279" s="40"/>
      <c r="I279" s="40"/>
      <c r="J279" s="258"/>
      <c r="K279" s="41"/>
    </row>
    <row r="280" spans="2:14" ht="9.75" customHeight="1" x14ac:dyDescent="0.2">
      <c r="B280" s="38"/>
      <c r="C280" s="280" t="str">
        <f>"4:"</f>
        <v>4:</v>
      </c>
      <c r="D280" s="278" t="s">
        <v>931</v>
      </c>
      <c r="E280" s="40"/>
      <c r="F280" s="40"/>
      <c r="G280" s="40"/>
      <c r="H280" s="40"/>
      <c r="I280" s="40"/>
      <c r="J280" s="40"/>
      <c r="K280" s="41"/>
      <c r="N280" s="12" t="s">
        <v>661</v>
      </c>
    </row>
    <row r="281" spans="2:14" x14ac:dyDescent="0.2">
      <c r="B281" s="38"/>
      <c r="C281" s="174" t="s">
        <v>662</v>
      </c>
      <c r="D281" s="40"/>
      <c r="E281" s="40"/>
      <c r="F281" s="40"/>
      <c r="G281" s="40"/>
      <c r="H281" s="40"/>
      <c r="I281" s="40"/>
      <c r="J281" s="265" t="s">
        <v>661</v>
      </c>
      <c r="K281" s="41"/>
      <c r="N281" s="12" t="s">
        <v>903</v>
      </c>
    </row>
    <row r="282" spans="2:14" x14ac:dyDescent="0.2">
      <c r="B282" s="38"/>
      <c r="C282" s="174" t="s">
        <v>660</v>
      </c>
      <c r="D282" s="40"/>
      <c r="E282" s="40"/>
      <c r="F282" s="40"/>
      <c r="G282" s="40"/>
      <c r="H282" s="40"/>
      <c r="I282" s="40"/>
      <c r="J282" s="246" t="str">
        <f>IF(J281=N280,"N/A",IF(J281=N281,0,IF(J281=N282,1,IF(J281=N283,2,IF(J281=N284,3,IF(J281=N285,4,"N/A"))))))</f>
        <v>N/A</v>
      </c>
      <c r="K282" s="41"/>
      <c r="N282" s="12" t="s">
        <v>904</v>
      </c>
    </row>
    <row r="283" spans="2:14" x14ac:dyDescent="0.2">
      <c r="B283" s="38"/>
      <c r="C283" s="40" t="s">
        <v>257</v>
      </c>
      <c r="D283" s="40"/>
      <c r="E283" s="40"/>
      <c r="F283" s="40"/>
      <c r="G283" s="40"/>
      <c r="H283" s="40"/>
      <c r="I283" s="40"/>
      <c r="J283" s="266" t="s">
        <v>870</v>
      </c>
      <c r="K283" s="41"/>
      <c r="N283" s="12" t="s">
        <v>905</v>
      </c>
    </row>
    <row r="284" spans="2:14" x14ac:dyDescent="0.2">
      <c r="B284" s="38"/>
      <c r="C284" s="40" t="s">
        <v>261</v>
      </c>
      <c r="D284" s="40"/>
      <c r="E284" s="40"/>
      <c r="F284" s="40"/>
      <c r="G284" s="40"/>
      <c r="H284" s="40"/>
      <c r="I284" s="40"/>
      <c r="J284" s="248">
        <f>IF(J283=$B$973,$A$973,IF(J283=$B$974,$A$974,IF(J283=$B$975,$A$975,IF(J283=$B$976,$A$976,IF(J283=$B$977,$A$977,"Not Calculated")))))</f>
        <v>0</v>
      </c>
      <c r="K284" s="41"/>
      <c r="N284" s="12" t="s">
        <v>906</v>
      </c>
    </row>
    <row r="285" spans="2:14" x14ac:dyDescent="0.2">
      <c r="B285" s="38"/>
      <c r="C285" s="40" t="s">
        <v>893</v>
      </c>
      <c r="D285" s="40"/>
      <c r="E285" s="40"/>
      <c r="F285" s="40"/>
      <c r="G285" s="40"/>
      <c r="H285" s="40"/>
      <c r="I285" s="40"/>
      <c r="J285" s="40"/>
      <c r="K285" s="41"/>
      <c r="N285" s="12" t="s">
        <v>907</v>
      </c>
    </row>
    <row r="286" spans="2:14" ht="30" customHeight="1" x14ac:dyDescent="0.2">
      <c r="B286" s="38"/>
      <c r="C286" s="399" t="s">
        <v>515</v>
      </c>
      <c r="D286" s="400"/>
      <c r="E286" s="400"/>
      <c r="F286" s="400"/>
      <c r="G286" s="400"/>
      <c r="H286" s="400"/>
      <c r="I286" s="400"/>
      <c r="J286" s="401"/>
      <c r="K286" s="41"/>
    </row>
    <row r="287" spans="2:14" x14ac:dyDescent="0.2">
      <c r="B287" s="38"/>
      <c r="C287" s="40"/>
      <c r="D287" s="40"/>
      <c r="E287" s="40"/>
      <c r="F287" s="40"/>
      <c r="G287" s="40"/>
      <c r="H287" s="40"/>
      <c r="I287" s="40"/>
      <c r="J287" s="40"/>
      <c r="K287" s="41"/>
    </row>
    <row r="288" spans="2:14" x14ac:dyDescent="0.2">
      <c r="B288" s="38"/>
      <c r="C288" s="179" t="s">
        <v>295</v>
      </c>
      <c r="D288" s="40"/>
      <c r="E288" s="40"/>
      <c r="F288" s="40"/>
      <c r="G288" s="40"/>
      <c r="H288" s="40"/>
      <c r="I288" s="40"/>
      <c r="J288" s="245">
        <f>IF(J282="N/A",IF(OR(J275="Not Calculated",J284="Not Calculated")=TRUE,"Not Calculated",AVERAGE(J275,J284)),AVERAGE(J282,J284))</f>
        <v>0</v>
      </c>
      <c r="K288" s="41"/>
    </row>
    <row r="289" spans="2:11" x14ac:dyDescent="0.2">
      <c r="B289" s="38"/>
      <c r="C289" s="40"/>
      <c r="D289" s="40"/>
      <c r="E289" s="40"/>
      <c r="F289" s="40"/>
      <c r="G289" s="40"/>
      <c r="H289" s="40"/>
      <c r="I289" s="40"/>
      <c r="J289" s="245"/>
      <c r="K289" s="41"/>
    </row>
    <row r="290" spans="2:11" x14ac:dyDescent="0.2">
      <c r="B290" s="38"/>
      <c r="C290" s="40"/>
      <c r="D290" s="40"/>
      <c r="E290" s="40"/>
      <c r="F290" s="40"/>
      <c r="G290" s="40"/>
      <c r="H290" s="40"/>
      <c r="I290" s="40"/>
      <c r="J290" s="40"/>
      <c r="K290" s="41"/>
    </row>
    <row r="291" spans="2:11" ht="16" x14ac:dyDescent="0.2">
      <c r="B291" s="38"/>
      <c r="C291" s="45" t="s">
        <v>856</v>
      </c>
      <c r="D291" s="40"/>
      <c r="E291" s="40"/>
      <c r="F291" s="40"/>
      <c r="G291" s="40"/>
      <c r="H291" s="40"/>
      <c r="I291" s="40"/>
      <c r="J291" s="40"/>
      <c r="K291" s="41"/>
    </row>
    <row r="292" spans="2:11" x14ac:dyDescent="0.2">
      <c r="B292" s="38"/>
      <c r="C292" s="380" t="s">
        <v>855</v>
      </c>
      <c r="D292" s="380"/>
      <c r="E292" s="380"/>
      <c r="F292" s="380"/>
      <c r="G292" s="380"/>
      <c r="H292" s="380"/>
      <c r="I292" s="380"/>
      <c r="J292" s="40"/>
      <c r="K292" s="41"/>
    </row>
    <row r="293" spans="2:11" x14ac:dyDescent="0.2">
      <c r="B293" s="38"/>
      <c r="C293" s="380"/>
      <c r="D293" s="380"/>
      <c r="E293" s="380"/>
      <c r="F293" s="380"/>
      <c r="G293" s="380"/>
      <c r="H293" s="380"/>
      <c r="I293" s="380"/>
      <c r="J293" s="264">
        <v>0</v>
      </c>
      <c r="K293" s="41"/>
    </row>
    <row r="294" spans="2:11" x14ac:dyDescent="0.2">
      <c r="B294" s="38"/>
      <c r="C294" s="40" t="s">
        <v>853</v>
      </c>
      <c r="D294" s="291"/>
      <c r="E294" s="291"/>
      <c r="F294" s="291"/>
      <c r="G294" s="291"/>
      <c r="H294" s="291"/>
      <c r="I294" s="291"/>
      <c r="J294" s="255">
        <f>'Baseline Health'!$G$102</f>
        <v>0</v>
      </c>
      <c r="K294" s="41"/>
    </row>
    <row r="295" spans="2:11" x14ac:dyDescent="0.2">
      <c r="B295" s="38"/>
      <c r="C295" s="40" t="s">
        <v>842</v>
      </c>
      <c r="D295" s="40"/>
      <c r="E295" s="40"/>
      <c r="F295" s="40"/>
      <c r="G295" s="40"/>
      <c r="H295" s="40"/>
      <c r="I295" s="40"/>
      <c r="J295" s="244" t="str">
        <f>IF('Baseline Health'!$G$102=0,"Not Calculated",100*J293/'Baseline Health'!$G$102)</f>
        <v>Not Calculated</v>
      </c>
      <c r="K295" s="41"/>
    </row>
    <row r="296" spans="2:11" x14ac:dyDescent="0.2">
      <c r="B296" s="38"/>
      <c r="C296" s="40" t="s">
        <v>260</v>
      </c>
      <c r="D296" s="40"/>
      <c r="E296" s="40"/>
      <c r="F296" s="40"/>
      <c r="G296" s="40"/>
      <c r="H296" s="40"/>
      <c r="I296" s="40"/>
      <c r="J296" s="245">
        <f>IF(J295&lt;=0,0,IF(J295&lt;=1,1,IF(J295&lt;=5,2,IF(J295&lt;=10,3,4))))</f>
        <v>4</v>
      </c>
      <c r="K296" s="41"/>
    </row>
    <row r="297" spans="2:11" ht="9.75" customHeight="1" x14ac:dyDescent="0.2">
      <c r="B297" s="38"/>
      <c r="C297" s="279" t="str">
        <f>"0:"</f>
        <v>0:</v>
      </c>
      <c r="D297" s="278" t="s">
        <v>932</v>
      </c>
      <c r="E297" s="40"/>
      <c r="F297" s="40"/>
      <c r="G297" s="40"/>
      <c r="H297" s="40"/>
      <c r="I297" s="40"/>
      <c r="J297" s="244"/>
      <c r="K297" s="41"/>
    </row>
    <row r="298" spans="2:11" ht="9.75" customHeight="1" x14ac:dyDescent="0.2">
      <c r="B298" s="38"/>
      <c r="C298" s="280" t="str">
        <f>"1:"</f>
        <v>1:</v>
      </c>
      <c r="D298" s="278" t="s">
        <v>934</v>
      </c>
      <c r="E298" s="40"/>
      <c r="F298" s="40"/>
      <c r="G298" s="40"/>
      <c r="H298" s="40"/>
      <c r="I298" s="40"/>
      <c r="J298" s="244"/>
      <c r="K298" s="41"/>
    </row>
    <row r="299" spans="2:11" ht="9.75" customHeight="1" x14ac:dyDescent="0.2">
      <c r="B299" s="38"/>
      <c r="C299" s="280" t="str">
        <f>"2:"</f>
        <v>2:</v>
      </c>
      <c r="D299" s="278" t="s">
        <v>933</v>
      </c>
      <c r="E299" s="40"/>
      <c r="F299" s="40"/>
      <c r="G299" s="40"/>
      <c r="H299" s="40"/>
      <c r="I299" s="40"/>
      <c r="J299" s="244"/>
      <c r="K299" s="41"/>
    </row>
    <row r="300" spans="2:11" ht="9.75" customHeight="1" x14ac:dyDescent="0.2">
      <c r="B300" s="38"/>
      <c r="C300" s="280" t="str">
        <f>"3:"</f>
        <v>3:</v>
      </c>
      <c r="D300" s="278" t="s">
        <v>935</v>
      </c>
      <c r="E300" s="40"/>
      <c r="F300" s="40"/>
      <c r="G300" s="40"/>
      <c r="H300" s="40"/>
      <c r="I300" s="40"/>
      <c r="J300" s="244"/>
      <c r="K300" s="41"/>
    </row>
    <row r="301" spans="2:11" ht="9.75" customHeight="1" x14ac:dyDescent="0.2">
      <c r="B301" s="38"/>
      <c r="C301" s="280" t="str">
        <f>"4:"</f>
        <v>4:</v>
      </c>
      <c r="D301" s="278" t="s">
        <v>936</v>
      </c>
      <c r="E301" s="40"/>
      <c r="F301" s="40"/>
      <c r="G301" s="40"/>
      <c r="H301" s="40"/>
      <c r="I301" s="40"/>
      <c r="J301" s="40"/>
      <c r="K301" s="41"/>
    </row>
    <row r="302" spans="2:11" x14ac:dyDescent="0.2">
      <c r="B302" s="38"/>
      <c r="C302" s="40" t="s">
        <v>257</v>
      </c>
      <c r="D302" s="40"/>
      <c r="E302" s="40"/>
      <c r="F302" s="40"/>
      <c r="G302" s="40"/>
      <c r="H302" s="40"/>
      <c r="I302" s="40"/>
      <c r="J302" s="266" t="s">
        <v>870</v>
      </c>
      <c r="K302" s="41"/>
    </row>
    <row r="303" spans="2:11" x14ac:dyDescent="0.2">
      <c r="B303" s="38"/>
      <c r="C303" s="40" t="s">
        <v>261</v>
      </c>
      <c r="D303" s="40"/>
      <c r="E303" s="40"/>
      <c r="F303" s="40"/>
      <c r="G303" s="40"/>
      <c r="H303" s="40"/>
      <c r="I303" s="40"/>
      <c r="J303" s="245">
        <f>IF(J302=$B$980,$A$980,IF(J302=$B$981,$A$981,IF(J302=$B$982,$A$982,IF(J302=$B$983,$A$983,IF(J302=$B$984,$A$984,"Not Calculated")))))</f>
        <v>0</v>
      </c>
      <c r="K303" s="41"/>
    </row>
    <row r="304" spans="2:11" x14ac:dyDescent="0.2">
      <c r="B304" s="38"/>
      <c r="C304" s="40" t="s">
        <v>893</v>
      </c>
      <c r="D304" s="40"/>
      <c r="E304" s="40"/>
      <c r="F304" s="40"/>
      <c r="G304" s="40"/>
      <c r="H304" s="40"/>
      <c r="I304" s="40"/>
      <c r="J304" s="40"/>
      <c r="K304" s="41"/>
    </row>
    <row r="305" spans="2:13" ht="30" customHeight="1" x14ac:dyDescent="0.2">
      <c r="B305" s="38"/>
      <c r="C305" s="399"/>
      <c r="D305" s="400"/>
      <c r="E305" s="400"/>
      <c r="F305" s="400"/>
      <c r="G305" s="400"/>
      <c r="H305" s="400"/>
      <c r="I305" s="400"/>
      <c r="J305" s="401"/>
      <c r="K305" s="41"/>
    </row>
    <row r="306" spans="2:13" x14ac:dyDescent="0.2">
      <c r="B306" s="38"/>
      <c r="C306" s="40"/>
      <c r="D306" s="40"/>
      <c r="E306" s="40"/>
      <c r="F306" s="40"/>
      <c r="G306" s="40"/>
      <c r="H306" s="40"/>
      <c r="I306" s="40"/>
      <c r="J306" s="40"/>
      <c r="K306" s="41"/>
    </row>
    <row r="307" spans="2:13" x14ac:dyDescent="0.2">
      <c r="B307" s="38"/>
      <c r="C307" s="179" t="s">
        <v>885</v>
      </c>
      <c r="D307" s="40"/>
      <c r="E307" s="40"/>
      <c r="F307" s="40"/>
      <c r="G307" s="40"/>
      <c r="H307" s="40"/>
      <c r="I307" s="40"/>
      <c r="J307" s="245">
        <f>IF(OR(J296="Not Calculated",J303="Not Calculated")=TRUE,"Not Calculated",AVERAGE(J296,J303))</f>
        <v>2</v>
      </c>
      <c r="K307" s="41"/>
    </row>
    <row r="308" spans="2:13" x14ac:dyDescent="0.2">
      <c r="B308" s="38"/>
      <c r="C308" s="40"/>
      <c r="D308" s="40"/>
      <c r="E308" s="40"/>
      <c r="F308" s="40"/>
      <c r="G308" s="40"/>
      <c r="H308" s="40"/>
      <c r="I308" s="40"/>
      <c r="J308" s="40"/>
      <c r="K308" s="41"/>
    </row>
    <row r="309" spans="2:13" x14ac:dyDescent="0.2">
      <c r="B309" s="38"/>
      <c r="C309" s="40"/>
      <c r="D309" s="40"/>
      <c r="E309" s="40"/>
      <c r="F309" s="40"/>
      <c r="G309" s="40"/>
      <c r="H309" s="40"/>
      <c r="I309" s="40"/>
      <c r="J309" s="40"/>
      <c r="K309" s="41"/>
    </row>
    <row r="310" spans="2:13" ht="16" x14ac:dyDescent="0.2">
      <c r="B310" s="38"/>
      <c r="C310" s="45" t="s">
        <v>857</v>
      </c>
      <c r="D310" s="40"/>
      <c r="E310" s="40"/>
      <c r="F310" s="40"/>
      <c r="G310" s="40"/>
      <c r="H310" s="40"/>
      <c r="I310" s="40"/>
      <c r="J310" s="40"/>
      <c r="K310" s="41"/>
    </row>
    <row r="311" spans="2:13" x14ac:dyDescent="0.2">
      <c r="B311" s="38"/>
      <c r="C311" s="380" t="s">
        <v>843</v>
      </c>
      <c r="D311" s="380"/>
      <c r="E311" s="380"/>
      <c r="F311" s="380"/>
      <c r="G311" s="380"/>
      <c r="H311" s="380"/>
      <c r="I311" s="380"/>
      <c r="J311" s="40"/>
      <c r="K311" s="41"/>
      <c r="M311" s="239"/>
    </row>
    <row r="312" spans="2:13" x14ac:dyDescent="0.2">
      <c r="B312" s="38"/>
      <c r="C312" s="380"/>
      <c r="D312" s="380"/>
      <c r="E312" s="380"/>
      <c r="F312" s="380"/>
      <c r="G312" s="380"/>
      <c r="H312" s="380"/>
      <c r="I312" s="380"/>
      <c r="J312" s="264">
        <f>'Community Characteristics'!$H$67+'Community Characteristics'!$H$82</f>
        <v>0</v>
      </c>
      <c r="K312" s="41"/>
    </row>
    <row r="313" spans="2:13" x14ac:dyDescent="0.2">
      <c r="B313" s="38"/>
      <c r="C313" s="40" t="s">
        <v>853</v>
      </c>
      <c r="D313" s="291"/>
      <c r="E313" s="291"/>
      <c r="F313" s="291"/>
      <c r="G313" s="291"/>
      <c r="H313" s="291"/>
      <c r="I313" s="291"/>
      <c r="J313" s="255">
        <f>'Baseline Health'!$G$102</f>
        <v>0</v>
      </c>
      <c r="K313" s="41"/>
    </row>
    <row r="314" spans="2:13" x14ac:dyDescent="0.2">
      <c r="B314" s="38"/>
      <c r="C314" s="40" t="s">
        <v>842</v>
      </c>
      <c r="D314" s="40"/>
      <c r="E314" s="40"/>
      <c r="F314" s="40"/>
      <c r="G314" s="40"/>
      <c r="H314" s="40"/>
      <c r="I314" s="40"/>
      <c r="J314" s="244" t="str">
        <f>IF('Baseline Health'!$G$102=0,"Not Calculated",100*J312/'Baseline Health'!$G$102)</f>
        <v>Not Calculated</v>
      </c>
      <c r="K314" s="41"/>
    </row>
    <row r="315" spans="2:13" x14ac:dyDescent="0.2">
      <c r="B315" s="38"/>
      <c r="C315" s="40" t="s">
        <v>260</v>
      </c>
      <c r="D315" s="40"/>
      <c r="E315" s="40"/>
      <c r="F315" s="40"/>
      <c r="G315" s="40"/>
      <c r="H315" s="40"/>
      <c r="I315" s="40"/>
      <c r="J315" s="245">
        <f>IF(J314&lt;=0,0,IF(J314&lt;=1,1,IF(J314&lt;=5,2,IF(J314&lt;=10,3,4))))</f>
        <v>4</v>
      </c>
      <c r="K315" s="41"/>
    </row>
    <row r="316" spans="2:13" ht="9.75" customHeight="1" x14ac:dyDescent="0.2">
      <c r="B316" s="38"/>
      <c r="C316" s="279" t="str">
        <f>"0:"</f>
        <v>0:</v>
      </c>
      <c r="D316" s="278" t="s">
        <v>932</v>
      </c>
      <c r="E316" s="40"/>
      <c r="F316" s="40"/>
      <c r="G316" s="40"/>
      <c r="H316" s="40"/>
      <c r="I316" s="40"/>
      <c r="J316" s="244"/>
      <c r="K316" s="41"/>
    </row>
    <row r="317" spans="2:13" ht="9.75" customHeight="1" x14ac:dyDescent="0.2">
      <c r="B317" s="38"/>
      <c r="C317" s="280" t="str">
        <f>"1:"</f>
        <v>1:</v>
      </c>
      <c r="D317" s="278" t="s">
        <v>934</v>
      </c>
      <c r="E317" s="40"/>
      <c r="F317" s="40"/>
      <c r="G317" s="40"/>
      <c r="H317" s="40"/>
      <c r="I317" s="40"/>
      <c r="J317" s="244"/>
      <c r="K317" s="41"/>
    </row>
    <row r="318" spans="2:13" ht="9.75" customHeight="1" x14ac:dyDescent="0.2">
      <c r="B318" s="38"/>
      <c r="C318" s="280" t="str">
        <f>"2:"</f>
        <v>2:</v>
      </c>
      <c r="D318" s="278" t="s">
        <v>933</v>
      </c>
      <c r="E318" s="40"/>
      <c r="F318" s="40"/>
      <c r="G318" s="40"/>
      <c r="H318" s="40"/>
      <c r="I318" s="40"/>
      <c r="J318" s="244"/>
      <c r="K318" s="41"/>
    </row>
    <row r="319" spans="2:13" ht="9.75" customHeight="1" x14ac:dyDescent="0.2">
      <c r="B319" s="38"/>
      <c r="C319" s="280" t="str">
        <f>"3:"</f>
        <v>3:</v>
      </c>
      <c r="D319" s="278" t="s">
        <v>935</v>
      </c>
      <c r="E319" s="40"/>
      <c r="F319" s="40"/>
      <c r="G319" s="40"/>
      <c r="H319" s="40"/>
      <c r="I319" s="40"/>
      <c r="J319" s="244"/>
      <c r="K319" s="41"/>
    </row>
    <row r="320" spans="2:13" ht="9.75" customHeight="1" x14ac:dyDescent="0.2">
      <c r="B320" s="38"/>
      <c r="C320" s="280" t="str">
        <f>"4:"</f>
        <v>4:</v>
      </c>
      <c r="D320" s="278" t="s">
        <v>936</v>
      </c>
      <c r="E320" s="40"/>
      <c r="F320" s="40"/>
      <c r="G320" s="40"/>
      <c r="H320" s="40"/>
      <c r="I320" s="40"/>
      <c r="J320" s="40"/>
      <c r="K320" s="41"/>
    </row>
    <row r="321" spans="2:12" x14ac:dyDescent="0.2">
      <c r="B321" s="38"/>
      <c r="C321" s="40" t="s">
        <v>296</v>
      </c>
      <c r="D321" s="40"/>
      <c r="E321" s="40"/>
      <c r="F321" s="40"/>
      <c r="G321" s="40"/>
      <c r="H321" s="40"/>
      <c r="I321" s="40"/>
      <c r="J321" s="266">
        <v>0</v>
      </c>
      <c r="K321" s="41"/>
      <c r="L321" s="12" t="s">
        <v>1249</v>
      </c>
    </row>
    <row r="322" spans="2:12" x14ac:dyDescent="0.2">
      <c r="B322" s="38"/>
      <c r="C322" s="40" t="s">
        <v>261</v>
      </c>
      <c r="D322" s="40"/>
      <c r="E322" s="40"/>
      <c r="F322" s="40"/>
      <c r="G322" s="40"/>
      <c r="H322" s="40"/>
      <c r="I322" s="40"/>
      <c r="J322" s="245">
        <f>IF(J321&lt;=0,0,IF(J321&lt;=2,1,IF(J321&lt;=6,2,IF(J321&lt;=12,3,4))))</f>
        <v>0</v>
      </c>
      <c r="K322" s="41"/>
    </row>
    <row r="323" spans="2:12" x14ac:dyDescent="0.2">
      <c r="B323" s="38"/>
      <c r="C323" s="40" t="s">
        <v>893</v>
      </c>
      <c r="D323" s="40"/>
      <c r="E323" s="40"/>
      <c r="F323" s="40"/>
      <c r="G323" s="40"/>
      <c r="H323" s="40"/>
      <c r="I323" s="40"/>
      <c r="J323" s="40"/>
      <c r="K323" s="41"/>
    </row>
    <row r="324" spans="2:12" ht="45" customHeight="1" x14ac:dyDescent="0.2">
      <c r="B324" s="38"/>
      <c r="C324" s="399" t="s">
        <v>1248</v>
      </c>
      <c r="D324" s="400"/>
      <c r="E324" s="400"/>
      <c r="F324" s="400"/>
      <c r="G324" s="400"/>
      <c r="H324" s="400"/>
      <c r="I324" s="400"/>
      <c r="J324" s="401"/>
      <c r="K324" s="41"/>
    </row>
    <row r="325" spans="2:12" x14ac:dyDescent="0.2">
      <c r="B325" s="38"/>
      <c r="C325" s="40"/>
      <c r="D325" s="40"/>
      <c r="E325" s="40"/>
      <c r="F325" s="40"/>
      <c r="G325" s="40"/>
      <c r="H325" s="40"/>
      <c r="I325" s="40"/>
      <c r="J325" s="40"/>
      <c r="K325" s="41"/>
    </row>
    <row r="326" spans="2:12" x14ac:dyDescent="0.2">
      <c r="B326" s="38"/>
      <c r="C326" s="179" t="s">
        <v>886</v>
      </c>
      <c r="D326" s="40"/>
      <c r="E326" s="40"/>
      <c r="F326" s="40"/>
      <c r="G326" s="40"/>
      <c r="H326" s="40"/>
      <c r="I326" s="40"/>
      <c r="J326" s="245">
        <f>IF(OR(J315="Not Calculated",J322="Not Calculated")=TRUE,"Not Calculated",AVERAGE(J315,J322))</f>
        <v>2</v>
      </c>
      <c r="K326" s="41"/>
    </row>
    <row r="327" spans="2:12" x14ac:dyDescent="0.2">
      <c r="B327" s="38"/>
      <c r="C327" s="40"/>
      <c r="D327" s="40"/>
      <c r="E327" s="40"/>
      <c r="F327" s="40"/>
      <c r="G327" s="40"/>
      <c r="H327" s="40"/>
      <c r="I327" s="40"/>
      <c r="J327" s="40"/>
      <c r="K327" s="41"/>
    </row>
    <row r="328" spans="2:12" x14ac:dyDescent="0.2">
      <c r="B328" s="38"/>
      <c r="C328" s="40"/>
      <c r="D328" s="40"/>
      <c r="E328" s="40"/>
      <c r="F328" s="40"/>
      <c r="G328" s="40"/>
      <c r="H328" s="40"/>
      <c r="I328" s="40"/>
      <c r="J328" s="40"/>
      <c r="K328" s="41"/>
    </row>
    <row r="329" spans="2:12" ht="16" x14ac:dyDescent="0.2">
      <c r="B329" s="38"/>
      <c r="C329" s="45" t="s">
        <v>858</v>
      </c>
      <c r="D329" s="40"/>
      <c r="E329" s="40"/>
      <c r="F329" s="40"/>
      <c r="G329" s="40"/>
      <c r="H329" s="40"/>
      <c r="I329" s="40"/>
      <c r="J329" s="40"/>
      <c r="K329" s="41"/>
    </row>
    <row r="330" spans="2:12" ht="15" customHeight="1" x14ac:dyDescent="0.2">
      <c r="B330" s="38"/>
      <c r="C330" s="380" t="s">
        <v>844</v>
      </c>
      <c r="D330" s="380"/>
      <c r="E330" s="380"/>
      <c r="F330" s="380"/>
      <c r="G330" s="380"/>
      <c r="H330" s="380"/>
      <c r="I330" s="380"/>
      <c r="J330" s="40"/>
      <c r="K330" s="41"/>
    </row>
    <row r="331" spans="2:12" x14ac:dyDescent="0.2">
      <c r="B331" s="38"/>
      <c r="C331" s="380"/>
      <c r="D331" s="380"/>
      <c r="E331" s="380"/>
      <c r="F331" s="380"/>
      <c r="G331" s="380"/>
      <c r="H331" s="380"/>
      <c r="I331" s="380"/>
      <c r="J331" s="264">
        <v>0</v>
      </c>
      <c r="K331" s="41"/>
    </row>
    <row r="332" spans="2:12" x14ac:dyDescent="0.2">
      <c r="B332" s="38"/>
      <c r="C332" s="40" t="s">
        <v>853</v>
      </c>
      <c r="D332" s="291"/>
      <c r="E332" s="291"/>
      <c r="F332" s="291"/>
      <c r="G332" s="291"/>
      <c r="H332" s="291"/>
      <c r="I332" s="291"/>
      <c r="J332" s="255">
        <f>'Baseline Health'!$G$102</f>
        <v>0</v>
      </c>
      <c r="K332" s="41"/>
    </row>
    <row r="333" spans="2:12" x14ac:dyDescent="0.2">
      <c r="B333" s="38"/>
      <c r="C333" s="40" t="s">
        <v>845</v>
      </c>
      <c r="D333" s="40"/>
      <c r="E333" s="40"/>
      <c r="F333" s="40"/>
      <c r="G333" s="40"/>
      <c r="H333" s="40"/>
      <c r="I333" s="40"/>
      <c r="J333" s="244" t="str">
        <f>IF('Baseline Health'!$G$102=0,"Not Calculated",100*J331/'Baseline Health'!$G$102)</f>
        <v>Not Calculated</v>
      </c>
      <c r="K333" s="41"/>
    </row>
    <row r="334" spans="2:12" x14ac:dyDescent="0.2">
      <c r="B334" s="38"/>
      <c r="C334" s="40" t="s">
        <v>260</v>
      </c>
      <c r="D334" s="40"/>
      <c r="E334" s="40"/>
      <c r="F334" s="40"/>
      <c r="G334" s="40"/>
      <c r="H334" s="40"/>
      <c r="I334" s="40"/>
      <c r="J334" s="245">
        <f>IF(J333&lt;=0,0,IF(J333&lt;=1,1,IF(J333&lt;=5,2,IF(J333&lt;=10,3,4))))</f>
        <v>4</v>
      </c>
      <c r="K334" s="41"/>
    </row>
    <row r="335" spans="2:12" ht="9.75" customHeight="1" x14ac:dyDescent="0.2">
      <c r="B335" s="38"/>
      <c r="C335" s="279" t="str">
        <f>"0:"</f>
        <v>0:</v>
      </c>
      <c r="D335" s="278" t="s">
        <v>932</v>
      </c>
      <c r="E335" s="40"/>
      <c r="F335" s="40"/>
      <c r="G335" s="40"/>
      <c r="H335" s="40"/>
      <c r="I335" s="40"/>
      <c r="J335" s="244"/>
      <c r="K335" s="41"/>
    </row>
    <row r="336" spans="2:12" ht="9.75" customHeight="1" x14ac:dyDescent="0.2">
      <c r="B336" s="38"/>
      <c r="C336" s="280" t="str">
        <f>"1:"</f>
        <v>1:</v>
      </c>
      <c r="D336" s="278" t="s">
        <v>934</v>
      </c>
      <c r="E336" s="40"/>
      <c r="F336" s="40"/>
      <c r="G336" s="40"/>
      <c r="H336" s="40"/>
      <c r="I336" s="40"/>
      <c r="J336" s="244"/>
      <c r="K336" s="41"/>
    </row>
    <row r="337" spans="2:11" ht="9.75" customHeight="1" x14ac:dyDescent="0.2">
      <c r="B337" s="38"/>
      <c r="C337" s="280" t="str">
        <f>"2:"</f>
        <v>2:</v>
      </c>
      <c r="D337" s="278" t="s">
        <v>933</v>
      </c>
      <c r="E337" s="40"/>
      <c r="F337" s="40"/>
      <c r="G337" s="40"/>
      <c r="H337" s="40"/>
      <c r="I337" s="40"/>
      <c r="J337" s="244"/>
      <c r="K337" s="41"/>
    </row>
    <row r="338" spans="2:11" ht="9.75" customHeight="1" x14ac:dyDescent="0.2">
      <c r="B338" s="38"/>
      <c r="C338" s="280" t="str">
        <f>"3:"</f>
        <v>3:</v>
      </c>
      <c r="D338" s="278" t="s">
        <v>935</v>
      </c>
      <c r="E338" s="40"/>
      <c r="F338" s="40"/>
      <c r="G338" s="40"/>
      <c r="H338" s="40"/>
      <c r="I338" s="40"/>
      <c r="J338" s="244"/>
      <c r="K338" s="41"/>
    </row>
    <row r="339" spans="2:11" ht="9.75" customHeight="1" x14ac:dyDescent="0.2">
      <c r="B339" s="38"/>
      <c r="C339" s="280" t="str">
        <f>"4:"</f>
        <v>4:</v>
      </c>
      <c r="D339" s="278" t="s">
        <v>936</v>
      </c>
      <c r="E339" s="40"/>
      <c r="F339" s="40"/>
      <c r="G339" s="40"/>
      <c r="H339" s="40"/>
      <c r="I339" s="40"/>
      <c r="J339" s="40"/>
      <c r="K339" s="41"/>
    </row>
    <row r="340" spans="2:11" x14ac:dyDescent="0.2">
      <c r="B340" s="38"/>
      <c r="C340" s="380" t="s">
        <v>84</v>
      </c>
      <c r="D340" s="380"/>
      <c r="E340" s="380"/>
      <c r="F340" s="380"/>
      <c r="G340" s="380"/>
      <c r="H340" s="380"/>
      <c r="I340" s="380"/>
      <c r="J340" s="245"/>
      <c r="K340" s="41"/>
    </row>
    <row r="341" spans="2:11" x14ac:dyDescent="0.2">
      <c r="B341" s="38"/>
      <c r="C341" s="380"/>
      <c r="D341" s="380"/>
      <c r="E341" s="380"/>
      <c r="F341" s="380"/>
      <c r="G341" s="380"/>
      <c r="H341" s="380"/>
      <c r="I341" s="380"/>
      <c r="J341" s="245">
        <f>'Baseline Health'!G108</f>
        <v>40</v>
      </c>
      <c r="K341" s="41"/>
    </row>
    <row r="342" spans="2:11" ht="15" customHeight="1" x14ac:dyDescent="0.2">
      <c r="B342" s="38"/>
      <c r="C342" s="40" t="s">
        <v>833</v>
      </c>
      <c r="D342" s="40"/>
      <c r="E342" s="40"/>
      <c r="F342" s="40"/>
      <c r="G342" s="40"/>
      <c r="H342" s="40"/>
      <c r="I342" s="40"/>
      <c r="J342" s="245">
        <f>IF(J341&gt;J321,0,J321-J341)</f>
        <v>0</v>
      </c>
      <c r="K342" s="41"/>
    </row>
    <row r="343" spans="2:11" x14ac:dyDescent="0.2">
      <c r="B343" s="38"/>
      <c r="C343" s="40"/>
      <c r="D343" s="380" t="s">
        <v>834</v>
      </c>
      <c r="E343" s="380"/>
      <c r="F343" s="380"/>
      <c r="G343" s="380"/>
      <c r="H343" s="380"/>
      <c r="I343" s="380"/>
      <c r="J343" s="40"/>
      <c r="K343" s="41"/>
    </row>
    <row r="344" spans="2:11" x14ac:dyDescent="0.2">
      <c r="B344" s="38"/>
      <c r="C344" s="40"/>
      <c r="D344" s="380"/>
      <c r="E344" s="380"/>
      <c r="F344" s="380"/>
      <c r="G344" s="380"/>
      <c r="H344" s="380"/>
      <c r="I344" s="380"/>
      <c r="J344" s="40"/>
      <c r="K344" s="41"/>
    </row>
    <row r="345" spans="2:11" x14ac:dyDescent="0.2">
      <c r="B345" s="38"/>
      <c r="C345" s="40" t="s">
        <v>261</v>
      </c>
      <c r="D345" s="40"/>
      <c r="E345" s="40"/>
      <c r="F345" s="40"/>
      <c r="G345" s="40"/>
      <c r="H345" s="40"/>
      <c r="I345" s="40"/>
      <c r="J345" s="245">
        <f>IF(J342&lt;=0,0,IF(J342&lt;=2,1,IF(J342&lt;=6,2,IF(J342&lt;=12,3,4))))</f>
        <v>0</v>
      </c>
      <c r="K345" s="41"/>
    </row>
    <row r="346" spans="2:11" x14ac:dyDescent="0.2">
      <c r="B346" s="38"/>
      <c r="C346" s="40" t="s">
        <v>893</v>
      </c>
      <c r="D346" s="40"/>
      <c r="E346" s="40"/>
      <c r="F346" s="40"/>
      <c r="G346" s="40"/>
      <c r="H346" s="40"/>
      <c r="I346" s="40"/>
      <c r="J346" s="40"/>
      <c r="K346" s="41"/>
    </row>
    <row r="347" spans="2:11" ht="30" customHeight="1" x14ac:dyDescent="0.2">
      <c r="B347" s="38"/>
      <c r="C347" s="399"/>
      <c r="D347" s="400"/>
      <c r="E347" s="400"/>
      <c r="F347" s="400"/>
      <c r="G347" s="400"/>
      <c r="H347" s="400"/>
      <c r="I347" s="400"/>
      <c r="J347" s="401"/>
      <c r="K347" s="41"/>
    </row>
    <row r="348" spans="2:11" ht="15" customHeight="1" x14ac:dyDescent="0.2">
      <c r="B348" s="38"/>
      <c r="C348" s="40"/>
      <c r="D348" s="40"/>
      <c r="E348" s="40"/>
      <c r="F348" s="40"/>
      <c r="G348" s="40"/>
      <c r="H348" s="40"/>
      <c r="I348" s="40"/>
      <c r="J348" s="40"/>
      <c r="K348" s="41"/>
    </row>
    <row r="349" spans="2:11" x14ac:dyDescent="0.2">
      <c r="B349" s="38"/>
      <c r="C349" s="179" t="s">
        <v>887</v>
      </c>
      <c r="D349" s="40"/>
      <c r="E349" s="40"/>
      <c r="F349" s="40"/>
      <c r="G349" s="40"/>
      <c r="H349" s="40"/>
      <c r="I349" s="40"/>
      <c r="J349" s="245">
        <f>IF(OR(J334="Not Calculated",J345="Not Calculated")=TRUE,"Not Calculated",AVERAGE(J334,J345))</f>
        <v>2</v>
      </c>
      <c r="K349" s="41"/>
    </row>
    <row r="350" spans="2:11" x14ac:dyDescent="0.2">
      <c r="B350" s="38"/>
      <c r="C350" s="40"/>
      <c r="D350" s="40"/>
      <c r="E350" s="40"/>
      <c r="F350" s="40"/>
      <c r="G350" s="40"/>
      <c r="H350" s="40"/>
      <c r="I350" s="40"/>
      <c r="J350" s="40"/>
      <c r="K350" s="41"/>
    </row>
    <row r="351" spans="2:11" x14ac:dyDescent="0.2">
      <c r="B351" s="38"/>
      <c r="C351" s="40"/>
      <c r="D351" s="40"/>
      <c r="E351" s="40"/>
      <c r="F351" s="40"/>
      <c r="G351" s="40"/>
      <c r="H351" s="40"/>
      <c r="I351" s="40"/>
      <c r="J351" s="40"/>
      <c r="K351" s="41"/>
    </row>
    <row r="352" spans="2:11" ht="15" customHeight="1" x14ac:dyDescent="0.2">
      <c r="B352" s="38"/>
      <c r="C352" s="45" t="s">
        <v>859</v>
      </c>
      <c r="D352" s="40"/>
      <c r="E352" s="40"/>
      <c r="F352" s="40"/>
      <c r="G352" s="40"/>
      <c r="H352" s="40"/>
      <c r="I352" s="40"/>
      <c r="J352" s="40"/>
      <c r="K352" s="41"/>
    </row>
    <row r="353" spans="2:11" x14ac:dyDescent="0.2">
      <c r="B353" s="38"/>
      <c r="C353" s="40" t="s">
        <v>846</v>
      </c>
      <c r="D353" s="40"/>
      <c r="E353" s="40"/>
      <c r="F353" s="40"/>
      <c r="G353" s="40"/>
      <c r="H353" s="40"/>
      <c r="I353" s="40"/>
      <c r="J353" s="264">
        <v>0</v>
      </c>
      <c r="K353" s="41"/>
    </row>
    <row r="354" spans="2:11" x14ac:dyDescent="0.2">
      <c r="B354" s="38"/>
      <c r="C354" s="40" t="s">
        <v>854</v>
      </c>
      <c r="D354" s="40"/>
      <c r="E354" s="40"/>
      <c r="F354" s="40"/>
      <c r="G354" s="40"/>
      <c r="H354" s="40"/>
      <c r="I354" s="40"/>
      <c r="J354" s="255">
        <f>'Baseline Health'!$G$59</f>
        <v>0</v>
      </c>
      <c r="K354" s="41"/>
    </row>
    <row r="355" spans="2:11" x14ac:dyDescent="0.2">
      <c r="B355" s="38"/>
      <c r="C355" s="40" t="s">
        <v>847</v>
      </c>
      <c r="D355" s="40"/>
      <c r="E355" s="40"/>
      <c r="F355" s="40"/>
      <c r="G355" s="40"/>
      <c r="H355" s="40"/>
      <c r="I355" s="40"/>
      <c r="J355" s="244">
        <f>IF(J353=0,0,IF('Baseline Health'!G$59=0,"Not Calculated",100*J353/'Baseline Health'!$G$59))</f>
        <v>0</v>
      </c>
      <c r="K355" s="41"/>
    </row>
    <row r="356" spans="2:11" x14ac:dyDescent="0.2">
      <c r="B356" s="38"/>
      <c r="C356" s="40" t="s">
        <v>260</v>
      </c>
      <c r="D356" s="40"/>
      <c r="E356" s="40"/>
      <c r="F356" s="40"/>
      <c r="G356" s="40"/>
      <c r="H356" s="40"/>
      <c r="I356" s="40"/>
      <c r="J356" s="245">
        <f>IF(J355&lt;=0,0,IF(J355&lt;=5,1,IF(J355&lt;=10,2,IF(J355&lt;=25,3,4))))</f>
        <v>0</v>
      </c>
      <c r="K356" s="41"/>
    </row>
    <row r="357" spans="2:11" ht="9.75" customHeight="1" x14ac:dyDescent="0.2">
      <c r="B357" s="38"/>
      <c r="C357" s="279" t="str">
        <f>"0:"</f>
        <v>0:</v>
      </c>
      <c r="D357" s="278" t="s">
        <v>932</v>
      </c>
      <c r="E357" s="40"/>
      <c r="F357" s="40"/>
      <c r="G357" s="40"/>
      <c r="H357" s="40"/>
      <c r="I357" s="40"/>
      <c r="J357" s="244"/>
      <c r="K357" s="41"/>
    </row>
    <row r="358" spans="2:11" ht="9.75" customHeight="1" x14ac:dyDescent="0.2">
      <c r="B358" s="38"/>
      <c r="C358" s="280" t="str">
        <f>"1:"</f>
        <v>1:</v>
      </c>
      <c r="D358" s="278" t="s">
        <v>933</v>
      </c>
      <c r="E358" s="40"/>
      <c r="F358" s="40"/>
      <c r="G358" s="40"/>
      <c r="H358" s="40"/>
      <c r="I358" s="40"/>
      <c r="J358" s="244"/>
      <c r="K358" s="41"/>
    </row>
    <row r="359" spans="2:11" ht="9.75" customHeight="1" x14ac:dyDescent="0.2">
      <c r="B359" s="38"/>
      <c r="C359" s="280" t="str">
        <f>"2:"</f>
        <v>2:</v>
      </c>
      <c r="D359" s="278" t="s">
        <v>935</v>
      </c>
      <c r="E359" s="40"/>
      <c r="F359" s="40"/>
      <c r="G359" s="40"/>
      <c r="H359" s="40"/>
      <c r="I359" s="40"/>
      <c r="J359" s="244"/>
      <c r="K359" s="41"/>
    </row>
    <row r="360" spans="2:11" ht="9.75" customHeight="1" x14ac:dyDescent="0.2">
      <c r="B360" s="38"/>
      <c r="C360" s="280" t="str">
        <f>"3:"</f>
        <v>3:</v>
      </c>
      <c r="D360" s="278" t="s">
        <v>937</v>
      </c>
      <c r="E360" s="40"/>
      <c r="F360" s="40"/>
      <c r="G360" s="40"/>
      <c r="H360" s="40"/>
      <c r="I360" s="40"/>
      <c r="J360" s="244"/>
      <c r="K360" s="41"/>
    </row>
    <row r="361" spans="2:11" ht="9.75" customHeight="1" x14ac:dyDescent="0.2">
      <c r="B361" s="38"/>
      <c r="C361" s="280" t="str">
        <f>"4:"</f>
        <v>4:</v>
      </c>
      <c r="D361" s="278" t="s">
        <v>938</v>
      </c>
      <c r="E361" s="40"/>
      <c r="F361" s="40"/>
      <c r="G361" s="40"/>
      <c r="H361" s="40"/>
      <c r="I361" s="40"/>
      <c r="J361" s="40"/>
      <c r="K361" s="41"/>
    </row>
    <row r="362" spans="2:11" x14ac:dyDescent="0.2">
      <c r="B362" s="38"/>
      <c r="C362" s="40" t="s">
        <v>257</v>
      </c>
      <c r="D362" s="40"/>
      <c r="E362" s="40"/>
      <c r="F362" s="40"/>
      <c r="G362" s="40"/>
      <c r="H362" s="40"/>
      <c r="I362" s="40"/>
      <c r="J362" s="266" t="s">
        <v>870</v>
      </c>
      <c r="K362" s="41"/>
    </row>
    <row r="363" spans="2:11" x14ac:dyDescent="0.2">
      <c r="B363" s="38"/>
      <c r="C363" s="40" t="s">
        <v>261</v>
      </c>
      <c r="D363" s="40"/>
      <c r="E363" s="40"/>
      <c r="F363" s="40"/>
      <c r="G363" s="40"/>
      <c r="H363" s="40"/>
      <c r="I363" s="40"/>
      <c r="J363" s="245">
        <f>IF(J362=$B$980,$A$980,IF(J362=$B$981,$A$981,IF(J362=$B$982,$A$982,IF(J362=$B$983,$A$983,IF(J362=$B$984,$A$984,"Not Calculated")))))</f>
        <v>0</v>
      </c>
      <c r="K363" s="41"/>
    </row>
    <row r="364" spans="2:11" x14ac:dyDescent="0.2">
      <c r="B364" s="38"/>
      <c r="C364" s="40" t="s">
        <v>893</v>
      </c>
      <c r="D364" s="40"/>
      <c r="E364" s="40"/>
      <c r="F364" s="40"/>
      <c r="G364" s="40"/>
      <c r="H364" s="40"/>
      <c r="I364" s="40"/>
      <c r="J364" s="40"/>
      <c r="K364" s="41"/>
    </row>
    <row r="365" spans="2:11" ht="30" customHeight="1" x14ac:dyDescent="0.2">
      <c r="B365" s="38"/>
      <c r="C365" s="399"/>
      <c r="D365" s="400"/>
      <c r="E365" s="400"/>
      <c r="F365" s="400"/>
      <c r="G365" s="400"/>
      <c r="H365" s="400"/>
      <c r="I365" s="400"/>
      <c r="J365" s="401"/>
      <c r="K365" s="41"/>
    </row>
    <row r="366" spans="2:11" x14ac:dyDescent="0.2">
      <c r="B366" s="38"/>
      <c r="C366" s="40"/>
      <c r="D366" s="40"/>
      <c r="E366" s="40"/>
      <c r="F366" s="40"/>
      <c r="G366" s="40"/>
      <c r="H366" s="40"/>
      <c r="I366" s="40"/>
      <c r="J366" s="40"/>
      <c r="K366" s="41"/>
    </row>
    <row r="367" spans="2:11" x14ac:dyDescent="0.2">
      <c r="B367" s="38"/>
      <c r="C367" s="179" t="s">
        <v>888</v>
      </c>
      <c r="D367" s="40"/>
      <c r="E367" s="40"/>
      <c r="F367" s="40"/>
      <c r="G367" s="40"/>
      <c r="H367" s="40"/>
      <c r="I367" s="40"/>
      <c r="J367" s="245">
        <f>IF(OR(J356="Not Calculated",J363="Not Calculated")=TRUE,"Not Calculated",AVERAGE(J356,J363))</f>
        <v>0</v>
      </c>
      <c r="K367" s="41"/>
    </row>
    <row r="368" spans="2:11" x14ac:dyDescent="0.2">
      <c r="B368" s="38"/>
      <c r="C368" s="40"/>
      <c r="D368" s="40"/>
      <c r="E368" s="40"/>
      <c r="F368" s="40"/>
      <c r="G368" s="40"/>
      <c r="H368" s="40"/>
      <c r="I368" s="40"/>
      <c r="J368" s="40"/>
      <c r="K368" s="41"/>
    </row>
    <row r="369" spans="2:11" x14ac:dyDescent="0.2">
      <c r="B369" s="38"/>
      <c r="C369" s="40"/>
      <c r="D369" s="40"/>
      <c r="E369" s="40"/>
      <c r="F369" s="40"/>
      <c r="G369" s="40"/>
      <c r="H369" s="40"/>
      <c r="I369" s="40"/>
      <c r="J369" s="40"/>
      <c r="K369" s="41"/>
    </row>
    <row r="370" spans="2:11" ht="16" x14ac:dyDescent="0.2">
      <c r="B370" s="38"/>
      <c r="C370" s="45" t="s">
        <v>863</v>
      </c>
      <c r="D370" s="40"/>
      <c r="E370" s="40"/>
      <c r="F370" s="40"/>
      <c r="G370" s="40"/>
      <c r="H370" s="40"/>
      <c r="I370" s="40"/>
      <c r="J370" s="40"/>
      <c r="K370" s="41"/>
    </row>
    <row r="371" spans="2:11" ht="15" customHeight="1" x14ac:dyDescent="0.2">
      <c r="B371" s="38"/>
      <c r="C371" s="380" t="s">
        <v>848</v>
      </c>
      <c r="D371" s="380"/>
      <c r="E371" s="380"/>
      <c r="F371" s="380"/>
      <c r="G371" s="380"/>
      <c r="H371" s="380"/>
      <c r="I371" s="380"/>
      <c r="J371" s="181"/>
      <c r="K371" s="41"/>
    </row>
    <row r="372" spans="2:11" x14ac:dyDescent="0.2">
      <c r="B372" s="38"/>
      <c r="C372" s="380"/>
      <c r="D372" s="380"/>
      <c r="E372" s="380"/>
      <c r="F372" s="380"/>
      <c r="G372" s="380"/>
      <c r="H372" s="380"/>
      <c r="I372" s="380"/>
      <c r="J372" s="264">
        <f>'Community Characteristics'!$H$67+'Community Characteristics'!$H$82</f>
        <v>0</v>
      </c>
      <c r="K372" s="41"/>
    </row>
    <row r="373" spans="2:11" x14ac:dyDescent="0.2">
      <c r="B373" s="38"/>
      <c r="C373" s="40" t="s">
        <v>853</v>
      </c>
      <c r="D373" s="291"/>
      <c r="E373" s="291"/>
      <c r="F373" s="291"/>
      <c r="G373" s="291"/>
      <c r="H373" s="291"/>
      <c r="I373" s="291"/>
      <c r="J373" s="255">
        <f>'Baseline Health'!$G$102</f>
        <v>0</v>
      </c>
      <c r="K373" s="41"/>
    </row>
    <row r="374" spans="2:11" x14ac:dyDescent="0.2">
      <c r="B374" s="38"/>
      <c r="C374" s="40" t="s">
        <v>842</v>
      </c>
      <c r="D374" s="291"/>
      <c r="E374" s="291"/>
      <c r="F374" s="291"/>
      <c r="G374" s="291"/>
      <c r="H374" s="291"/>
      <c r="I374" s="291"/>
      <c r="J374" s="244" t="str">
        <f>IF('Baseline Health'!$G$102=0,"Not Calculated",100*J372/'Baseline Health'!$G$102)</f>
        <v>Not Calculated</v>
      </c>
      <c r="K374" s="41"/>
    </row>
    <row r="375" spans="2:11" x14ac:dyDescent="0.2">
      <c r="B375" s="38"/>
      <c r="C375" s="40" t="s">
        <v>260</v>
      </c>
      <c r="D375" s="40"/>
      <c r="E375" s="40"/>
      <c r="F375" s="40"/>
      <c r="G375" s="40"/>
      <c r="H375" s="40"/>
      <c r="I375" s="40"/>
      <c r="J375" s="251">
        <f>IF(J374&lt;=0,0,IF(J374&lt;=1,1,IF(J374&lt;=5,2,IF(J374&lt;=10,3,4))))</f>
        <v>4</v>
      </c>
      <c r="K375" s="41"/>
    </row>
    <row r="376" spans="2:11" ht="9.75" customHeight="1" x14ac:dyDescent="0.2">
      <c r="B376" s="38"/>
      <c r="C376" s="279" t="str">
        <f>"0:"</f>
        <v>0:</v>
      </c>
      <c r="D376" s="278" t="s">
        <v>932</v>
      </c>
      <c r="E376" s="291"/>
      <c r="F376" s="291"/>
      <c r="G376" s="291"/>
      <c r="H376" s="291"/>
      <c r="I376" s="291"/>
      <c r="J376" s="244"/>
      <c r="K376" s="41"/>
    </row>
    <row r="377" spans="2:11" ht="9.75" customHeight="1" x14ac:dyDescent="0.2">
      <c r="B377" s="38"/>
      <c r="C377" s="280" t="str">
        <f>"1:"</f>
        <v>1:</v>
      </c>
      <c r="D377" s="278" t="s">
        <v>934</v>
      </c>
      <c r="E377" s="291"/>
      <c r="F377" s="291"/>
      <c r="G377" s="291"/>
      <c r="H377" s="291"/>
      <c r="I377" s="291"/>
      <c r="J377" s="244"/>
      <c r="K377" s="41"/>
    </row>
    <row r="378" spans="2:11" ht="9.75" customHeight="1" x14ac:dyDescent="0.2">
      <c r="B378" s="38"/>
      <c r="C378" s="280" t="str">
        <f>"2:"</f>
        <v>2:</v>
      </c>
      <c r="D378" s="278" t="s">
        <v>933</v>
      </c>
      <c r="E378" s="291"/>
      <c r="F378" s="291"/>
      <c r="G378" s="291"/>
      <c r="H378" s="291"/>
      <c r="I378" s="291"/>
      <c r="J378" s="244"/>
      <c r="K378" s="41"/>
    </row>
    <row r="379" spans="2:11" ht="9.75" customHeight="1" x14ac:dyDescent="0.2">
      <c r="B379" s="38"/>
      <c r="C379" s="280" t="str">
        <f>"3:"</f>
        <v>3:</v>
      </c>
      <c r="D379" s="278" t="s">
        <v>935</v>
      </c>
      <c r="E379" s="291"/>
      <c r="F379" s="291"/>
      <c r="G379" s="291"/>
      <c r="H379" s="291"/>
      <c r="I379" s="291"/>
      <c r="J379" s="244"/>
      <c r="K379" s="41"/>
    </row>
    <row r="380" spans="2:11" ht="9.75" customHeight="1" x14ac:dyDescent="0.2">
      <c r="B380" s="38"/>
      <c r="C380" s="280" t="str">
        <f>"4:"</f>
        <v>4:</v>
      </c>
      <c r="D380" s="278" t="s">
        <v>936</v>
      </c>
      <c r="E380" s="40"/>
      <c r="F380" s="40"/>
      <c r="G380" s="40"/>
      <c r="H380" s="40"/>
      <c r="I380" s="40"/>
      <c r="J380" s="40"/>
      <c r="K380" s="41"/>
    </row>
    <row r="381" spans="2:11" x14ac:dyDescent="0.2">
      <c r="B381" s="38"/>
      <c r="C381" s="40" t="s">
        <v>85</v>
      </c>
      <c r="D381" s="40"/>
      <c r="E381" s="40"/>
      <c r="F381" s="40"/>
      <c r="G381" s="40"/>
      <c r="H381" s="40"/>
      <c r="I381" s="40"/>
      <c r="J381" s="254">
        <f>'Baseline Health'!G114</f>
        <v>7</v>
      </c>
      <c r="K381" s="41"/>
    </row>
    <row r="382" spans="2:11" x14ac:dyDescent="0.2">
      <c r="B382" s="38"/>
      <c r="C382" s="40" t="s">
        <v>297</v>
      </c>
      <c r="D382" s="40"/>
      <c r="E382" s="40"/>
      <c r="F382" s="40"/>
      <c r="G382" s="40"/>
      <c r="H382" s="40"/>
      <c r="I382" s="40"/>
      <c r="J382" s="266">
        <v>0</v>
      </c>
      <c r="K382" s="41"/>
    </row>
    <row r="383" spans="2:11" x14ac:dyDescent="0.2">
      <c r="B383" s="38"/>
      <c r="C383" s="40" t="s">
        <v>261</v>
      </c>
      <c r="D383" s="40"/>
      <c r="E383" s="40"/>
      <c r="F383" s="40"/>
      <c r="G383" s="40"/>
      <c r="H383" s="40"/>
      <c r="I383" s="40"/>
      <c r="J383" s="248">
        <f>IF((J382-J381)&lt;1,0,IF((J382-J381)&lt;3,1,IF((J382-J381)&lt;5,2,IF((J382-J381)&lt;7,3,4))))</f>
        <v>0</v>
      </c>
      <c r="K383" s="41"/>
    </row>
    <row r="384" spans="2:11" x14ac:dyDescent="0.2">
      <c r="B384" s="38"/>
      <c r="C384" s="40" t="s">
        <v>893</v>
      </c>
      <c r="D384" s="40"/>
      <c r="E384" s="40"/>
      <c r="F384" s="40"/>
      <c r="G384" s="40"/>
      <c r="H384" s="40"/>
      <c r="I384" s="40"/>
      <c r="J384" s="40"/>
      <c r="K384" s="41"/>
    </row>
    <row r="385" spans="2:11" ht="30" customHeight="1" x14ac:dyDescent="0.2">
      <c r="B385" s="38"/>
      <c r="C385" s="399"/>
      <c r="D385" s="400"/>
      <c r="E385" s="400"/>
      <c r="F385" s="400"/>
      <c r="G385" s="400"/>
      <c r="H385" s="400"/>
      <c r="I385" s="400"/>
      <c r="J385" s="401"/>
      <c r="K385" s="41"/>
    </row>
    <row r="386" spans="2:11" x14ac:dyDescent="0.2">
      <c r="B386" s="38"/>
      <c r="C386" s="40"/>
      <c r="D386" s="40"/>
      <c r="E386" s="40"/>
      <c r="F386" s="40"/>
      <c r="G386" s="40"/>
      <c r="H386" s="40"/>
      <c r="I386" s="40"/>
      <c r="J386" s="40"/>
      <c r="K386" s="41"/>
    </row>
    <row r="387" spans="2:11" x14ac:dyDescent="0.2">
      <c r="B387" s="38"/>
      <c r="C387" s="179" t="s">
        <v>889</v>
      </c>
      <c r="D387" s="40"/>
      <c r="E387" s="40"/>
      <c r="F387" s="40"/>
      <c r="G387" s="40"/>
      <c r="H387" s="40"/>
      <c r="I387" s="40"/>
      <c r="J387" s="245">
        <f>IF(OR(J375="Not Calculated",J383="Not Calculated")=TRUE,"Not Calculated",AVERAGE(J375,J383))</f>
        <v>2</v>
      </c>
      <c r="K387" s="41"/>
    </row>
    <row r="388" spans="2:11" x14ac:dyDescent="0.2">
      <c r="B388" s="38"/>
      <c r="C388" s="40"/>
      <c r="D388" s="40"/>
      <c r="E388" s="40"/>
      <c r="F388" s="40"/>
      <c r="G388" s="40"/>
      <c r="H388" s="40"/>
      <c r="I388" s="40"/>
      <c r="J388" s="40"/>
      <c r="K388" s="41"/>
    </row>
    <row r="389" spans="2:11" x14ac:dyDescent="0.2">
      <c r="B389" s="38"/>
      <c r="C389" s="40"/>
      <c r="D389" s="40"/>
      <c r="E389" s="40"/>
      <c r="F389" s="40"/>
      <c r="G389" s="40"/>
      <c r="H389" s="40"/>
      <c r="I389" s="40"/>
      <c r="J389" s="40"/>
      <c r="K389" s="41"/>
    </row>
    <row r="390" spans="2:11" ht="16" x14ac:dyDescent="0.2">
      <c r="B390" s="38"/>
      <c r="C390" s="45" t="s">
        <v>860</v>
      </c>
      <c r="D390" s="40"/>
      <c r="E390" s="40"/>
      <c r="F390" s="40"/>
      <c r="G390" s="40"/>
      <c r="H390" s="40"/>
      <c r="I390" s="40"/>
      <c r="J390" s="40"/>
      <c r="K390" s="41"/>
    </row>
    <row r="391" spans="2:11" x14ac:dyDescent="0.2">
      <c r="B391" s="38"/>
      <c r="C391" s="380" t="s">
        <v>849</v>
      </c>
      <c r="D391" s="380"/>
      <c r="E391" s="380"/>
      <c r="F391" s="380"/>
      <c r="G391" s="380"/>
      <c r="H391" s="380"/>
      <c r="I391" s="380"/>
      <c r="J391" s="181"/>
      <c r="K391" s="41"/>
    </row>
    <row r="392" spans="2:11" x14ac:dyDescent="0.2">
      <c r="B392" s="38"/>
      <c r="C392" s="380"/>
      <c r="D392" s="380"/>
      <c r="E392" s="380"/>
      <c r="F392" s="380"/>
      <c r="G392" s="380"/>
      <c r="H392" s="380"/>
      <c r="I392" s="380"/>
      <c r="J392" s="264">
        <f>'Community Characteristics'!$H$67+'Community Characteristics'!$H$82</f>
        <v>0</v>
      </c>
      <c r="K392" s="41"/>
    </row>
    <row r="393" spans="2:11" x14ac:dyDescent="0.2">
      <c r="B393" s="38"/>
      <c r="C393" s="40" t="s">
        <v>853</v>
      </c>
      <c r="D393" s="291"/>
      <c r="E393" s="291"/>
      <c r="F393" s="291"/>
      <c r="G393" s="291"/>
      <c r="H393" s="291"/>
      <c r="I393" s="291"/>
      <c r="J393" s="255">
        <f>'Baseline Health'!$G$102</f>
        <v>0</v>
      </c>
      <c r="K393" s="41"/>
    </row>
    <row r="394" spans="2:11" ht="15" customHeight="1" x14ac:dyDescent="0.2">
      <c r="B394" s="38"/>
      <c r="C394" s="40" t="s">
        <v>850</v>
      </c>
      <c r="D394" s="291"/>
      <c r="E394" s="291"/>
      <c r="F394" s="291"/>
      <c r="G394" s="291"/>
      <c r="H394" s="291"/>
      <c r="I394" s="291"/>
      <c r="J394" s="244" t="str">
        <f>IF('Baseline Health'!$G$102=0,"Not Calculated",100*J392/'Baseline Health'!$G$102)</f>
        <v>Not Calculated</v>
      </c>
      <c r="K394" s="41"/>
    </row>
    <row r="395" spans="2:11" ht="15" customHeight="1" x14ac:dyDescent="0.2">
      <c r="B395" s="38"/>
      <c r="C395" s="40" t="s">
        <v>260</v>
      </c>
      <c r="D395" s="40"/>
      <c r="E395" s="40"/>
      <c r="F395" s="40"/>
      <c r="G395" s="40"/>
      <c r="H395" s="40"/>
      <c r="I395" s="40"/>
      <c r="J395" s="43">
        <f>IF(J394&lt;=0,0,IF(J394&lt;=1,1,IF(J394&lt;=5,2,IF(J394&lt;=10,3,4))))</f>
        <v>4</v>
      </c>
      <c r="K395" s="41"/>
    </row>
    <row r="396" spans="2:11" ht="9.75" customHeight="1" x14ac:dyDescent="0.2">
      <c r="B396" s="38"/>
      <c r="C396" s="279" t="str">
        <f>"0:"</f>
        <v>0:</v>
      </c>
      <c r="D396" s="278" t="s">
        <v>932</v>
      </c>
      <c r="E396" s="291"/>
      <c r="F396" s="291"/>
      <c r="G396" s="291"/>
      <c r="H396" s="291"/>
      <c r="I396" s="291"/>
      <c r="J396" s="244"/>
      <c r="K396" s="41"/>
    </row>
    <row r="397" spans="2:11" ht="9.75" customHeight="1" x14ac:dyDescent="0.2">
      <c r="B397" s="38"/>
      <c r="C397" s="280" t="str">
        <f>"1:"</f>
        <v>1:</v>
      </c>
      <c r="D397" s="278" t="s">
        <v>934</v>
      </c>
      <c r="E397" s="291"/>
      <c r="F397" s="291"/>
      <c r="G397" s="291"/>
      <c r="H397" s="291"/>
      <c r="I397" s="291"/>
      <c r="J397" s="244"/>
      <c r="K397" s="41"/>
    </row>
    <row r="398" spans="2:11" ht="9.75" customHeight="1" x14ac:dyDescent="0.2">
      <c r="B398" s="38"/>
      <c r="C398" s="280" t="str">
        <f>"2:"</f>
        <v>2:</v>
      </c>
      <c r="D398" s="278" t="s">
        <v>933</v>
      </c>
      <c r="E398" s="291"/>
      <c r="F398" s="291"/>
      <c r="G398" s="291"/>
      <c r="H398" s="291"/>
      <c r="I398" s="291"/>
      <c r="J398" s="244"/>
      <c r="K398" s="41"/>
    </row>
    <row r="399" spans="2:11" ht="9.75" customHeight="1" x14ac:dyDescent="0.2">
      <c r="B399" s="38"/>
      <c r="C399" s="280" t="str">
        <f>"3:"</f>
        <v>3:</v>
      </c>
      <c r="D399" s="278" t="s">
        <v>935</v>
      </c>
      <c r="E399" s="291"/>
      <c r="F399" s="291"/>
      <c r="G399" s="291"/>
      <c r="H399" s="291"/>
      <c r="I399" s="291"/>
      <c r="J399" s="244"/>
      <c r="K399" s="41"/>
    </row>
    <row r="400" spans="2:11" ht="9.75" customHeight="1" x14ac:dyDescent="0.2">
      <c r="B400" s="38"/>
      <c r="C400" s="280" t="str">
        <f>"4:"</f>
        <v>4:</v>
      </c>
      <c r="D400" s="278" t="s">
        <v>936</v>
      </c>
      <c r="E400" s="40"/>
      <c r="F400" s="40"/>
      <c r="G400" s="40"/>
      <c r="H400" s="40"/>
      <c r="I400" s="40"/>
      <c r="J400" s="40"/>
      <c r="K400" s="41"/>
    </row>
    <row r="401" spans="2:11" x14ac:dyDescent="0.2">
      <c r="B401" s="38"/>
      <c r="C401" s="40" t="s">
        <v>893</v>
      </c>
      <c r="D401" s="40"/>
      <c r="E401" s="40"/>
      <c r="F401" s="40"/>
      <c r="G401" s="40"/>
      <c r="H401" s="40"/>
      <c r="I401" s="40"/>
      <c r="J401" s="40"/>
      <c r="K401" s="41"/>
    </row>
    <row r="402" spans="2:11" ht="30" customHeight="1" x14ac:dyDescent="0.2">
      <c r="B402" s="38"/>
      <c r="C402" s="399"/>
      <c r="D402" s="400"/>
      <c r="E402" s="400"/>
      <c r="F402" s="400"/>
      <c r="G402" s="400"/>
      <c r="H402" s="400"/>
      <c r="I402" s="400"/>
      <c r="J402" s="401"/>
      <c r="K402" s="41"/>
    </row>
    <row r="403" spans="2:11" x14ac:dyDescent="0.2">
      <c r="B403" s="38"/>
      <c r="C403" s="40"/>
      <c r="D403" s="40"/>
      <c r="E403" s="40"/>
      <c r="F403" s="40"/>
      <c r="G403" s="40"/>
      <c r="H403" s="40"/>
      <c r="I403" s="40"/>
      <c r="J403" s="40"/>
      <c r="K403" s="41"/>
    </row>
    <row r="404" spans="2:11" x14ac:dyDescent="0.2">
      <c r="B404" s="38"/>
      <c r="C404" s="179" t="s">
        <v>890</v>
      </c>
      <c r="D404" s="40"/>
      <c r="E404" s="40"/>
      <c r="F404" s="40"/>
      <c r="G404" s="40"/>
      <c r="H404" s="40"/>
      <c r="I404" s="40"/>
      <c r="J404" s="245">
        <f>J395</f>
        <v>4</v>
      </c>
      <c r="K404" s="41"/>
    </row>
    <row r="405" spans="2:11" x14ac:dyDescent="0.2">
      <c r="B405" s="38"/>
      <c r="C405" s="40"/>
      <c r="D405" s="40"/>
      <c r="E405" s="40"/>
      <c r="F405" s="40"/>
      <c r="G405" s="40"/>
      <c r="H405" s="40"/>
      <c r="I405" s="40"/>
      <c r="J405" s="40"/>
      <c r="K405" s="41"/>
    </row>
    <row r="406" spans="2:11" x14ac:dyDescent="0.2">
      <c r="B406" s="38"/>
      <c r="C406" s="40"/>
      <c r="D406" s="40"/>
      <c r="E406" s="40"/>
      <c r="F406" s="40"/>
      <c r="G406" s="40"/>
      <c r="H406" s="40"/>
      <c r="I406" s="40"/>
      <c r="J406" s="40"/>
      <c r="K406" s="41"/>
    </row>
    <row r="407" spans="2:11" ht="16" x14ac:dyDescent="0.2">
      <c r="B407" s="38"/>
      <c r="C407" s="45" t="s">
        <v>861</v>
      </c>
      <c r="D407" s="40"/>
      <c r="E407" s="40"/>
      <c r="F407" s="40"/>
      <c r="G407" s="40"/>
      <c r="H407" s="40"/>
      <c r="I407" s="40"/>
      <c r="J407" s="40"/>
      <c r="K407" s="41"/>
    </row>
    <row r="408" spans="2:11" x14ac:dyDescent="0.2">
      <c r="B408" s="38"/>
      <c r="C408" s="40" t="s">
        <v>298</v>
      </c>
      <c r="D408" s="40"/>
      <c r="E408" s="40"/>
      <c r="F408" s="40"/>
      <c r="G408" s="40"/>
      <c r="H408" s="40"/>
      <c r="I408" s="40"/>
      <c r="J408" s="269" t="s">
        <v>1100</v>
      </c>
      <c r="K408" s="41"/>
    </row>
    <row r="409" spans="2:11" x14ac:dyDescent="0.2">
      <c r="B409" s="38"/>
      <c r="C409" s="40" t="s">
        <v>260</v>
      </c>
      <c r="D409" s="40"/>
      <c r="E409" s="40"/>
      <c r="F409" s="40"/>
      <c r="G409" s="40"/>
      <c r="H409" s="40"/>
      <c r="I409" s="40"/>
      <c r="J409" s="253">
        <f>IF(J408&lt;=0,0,IF(J408&lt;=(J161*0.01),1,IF(J408&lt;=(J161*0.05),2,IF(J408&lt;=(J161*0.1),3,4))))</f>
        <v>4</v>
      </c>
      <c r="K409" s="41"/>
    </row>
    <row r="410" spans="2:11" ht="9.75" customHeight="1" x14ac:dyDescent="0.2">
      <c r="B410" s="38"/>
      <c r="C410" s="279" t="str">
        <f>"0:"</f>
        <v>0:</v>
      </c>
      <c r="D410" s="278" t="s">
        <v>939</v>
      </c>
      <c r="E410" s="40"/>
      <c r="F410" s="40"/>
      <c r="G410" s="40"/>
      <c r="H410" s="40"/>
      <c r="I410" s="40"/>
      <c r="J410" s="282"/>
      <c r="K410" s="41"/>
    </row>
    <row r="411" spans="2:11" ht="9.75" customHeight="1" x14ac:dyDescent="0.2">
      <c r="B411" s="38"/>
      <c r="C411" s="280" t="str">
        <f>"1:"</f>
        <v>1:</v>
      </c>
      <c r="D411" s="278" t="s">
        <v>940</v>
      </c>
      <c r="E411" s="40"/>
      <c r="F411" s="40"/>
      <c r="G411" s="40"/>
      <c r="H411" s="40"/>
      <c r="I411" s="40"/>
      <c r="J411" s="282"/>
      <c r="K411" s="41"/>
    </row>
    <row r="412" spans="2:11" ht="9.75" customHeight="1" x14ac:dyDescent="0.2">
      <c r="B412" s="38"/>
      <c r="C412" s="280" t="str">
        <f>"2:"</f>
        <v>2:</v>
      </c>
      <c r="D412" s="278" t="s">
        <v>941</v>
      </c>
      <c r="E412" s="40"/>
      <c r="F412" s="40"/>
      <c r="G412" s="40"/>
      <c r="H412" s="40"/>
      <c r="I412" s="40"/>
      <c r="J412" s="282"/>
      <c r="K412" s="41"/>
    </row>
    <row r="413" spans="2:11" ht="9.75" customHeight="1" x14ac:dyDescent="0.2">
      <c r="B413" s="38"/>
      <c r="C413" s="280" t="str">
        <f>"3:"</f>
        <v>3:</v>
      </c>
      <c r="D413" s="278" t="s">
        <v>942</v>
      </c>
      <c r="E413" s="40"/>
      <c r="F413" s="40"/>
      <c r="G413" s="40"/>
      <c r="H413" s="40"/>
      <c r="I413" s="40"/>
      <c r="J413" s="282"/>
      <c r="K413" s="41"/>
    </row>
    <row r="414" spans="2:11" ht="9.75" customHeight="1" x14ac:dyDescent="0.2">
      <c r="B414" s="38"/>
      <c r="C414" s="280" t="str">
        <f>"4:"</f>
        <v>4:</v>
      </c>
      <c r="D414" s="278" t="s">
        <v>943</v>
      </c>
      <c r="E414" s="40"/>
      <c r="F414" s="40"/>
      <c r="G414" s="40"/>
      <c r="H414" s="40"/>
      <c r="I414" s="40"/>
      <c r="J414" s="40"/>
      <c r="K414" s="41"/>
    </row>
    <row r="415" spans="2:11" x14ac:dyDescent="0.2">
      <c r="B415" s="38"/>
      <c r="C415" s="40" t="s">
        <v>893</v>
      </c>
      <c r="D415" s="40"/>
      <c r="E415" s="40"/>
      <c r="F415" s="40"/>
      <c r="G415" s="40"/>
      <c r="H415" s="40"/>
      <c r="I415" s="40"/>
      <c r="J415" s="40"/>
      <c r="K415" s="41"/>
    </row>
    <row r="416" spans="2:11" ht="30" customHeight="1" x14ac:dyDescent="0.2">
      <c r="B416" s="38"/>
      <c r="C416" s="399" t="s">
        <v>1247</v>
      </c>
      <c r="D416" s="400"/>
      <c r="E416" s="400"/>
      <c r="F416" s="400"/>
      <c r="G416" s="400"/>
      <c r="H416" s="400"/>
      <c r="I416" s="400"/>
      <c r="J416" s="401"/>
      <c r="K416" s="41"/>
    </row>
    <row r="417" spans="2:11" x14ac:dyDescent="0.2">
      <c r="B417" s="38"/>
      <c r="C417" s="40"/>
      <c r="D417" s="40"/>
      <c r="E417" s="40"/>
      <c r="F417" s="40"/>
      <c r="G417" s="40"/>
      <c r="H417" s="40"/>
      <c r="I417" s="40"/>
      <c r="J417" s="40"/>
      <c r="K417" s="41"/>
    </row>
    <row r="418" spans="2:11" x14ac:dyDescent="0.2">
      <c r="B418" s="38"/>
      <c r="C418" s="179" t="s">
        <v>891</v>
      </c>
      <c r="D418" s="40"/>
      <c r="E418" s="40"/>
      <c r="F418" s="40"/>
      <c r="G418" s="40"/>
      <c r="H418" s="40"/>
      <c r="I418" s="40"/>
      <c r="J418" s="245">
        <f>J409</f>
        <v>4</v>
      </c>
      <c r="K418" s="41"/>
    </row>
    <row r="419" spans="2:11" x14ac:dyDescent="0.2">
      <c r="B419" s="38"/>
      <c r="C419" s="40"/>
      <c r="D419" s="40"/>
      <c r="E419" s="40"/>
      <c r="F419" s="40"/>
      <c r="G419" s="40"/>
      <c r="H419" s="40"/>
      <c r="I419" s="40"/>
      <c r="J419" s="40"/>
      <c r="K419" s="41"/>
    </row>
    <row r="420" spans="2:11" ht="20" customHeight="1" x14ac:dyDescent="0.2">
      <c r="B420" s="38"/>
      <c r="C420" s="410" t="s">
        <v>881</v>
      </c>
      <c r="D420" s="410"/>
      <c r="E420" s="410"/>
      <c r="F420" s="410"/>
      <c r="G420" s="410"/>
      <c r="H420" s="410"/>
      <c r="I420" s="410"/>
      <c r="J420" s="40"/>
      <c r="K420" s="41"/>
    </row>
    <row r="421" spans="2:11" ht="20" customHeight="1" x14ac:dyDescent="0.2">
      <c r="B421" s="38"/>
      <c r="C421" s="410"/>
      <c r="D421" s="410"/>
      <c r="E421" s="410"/>
      <c r="F421" s="410"/>
      <c r="G421" s="410"/>
      <c r="H421" s="410"/>
      <c r="I421" s="410"/>
      <c r="J421" s="244">
        <f>IF(OR(J288="Not Calculated",J307="Not Calculated",J326="Not Calculated",J349="Not Calculated",J367="Not Calculated",J387="Not Calculated",J404="Not Calculated",J418="Not Calculated")=TRUE,"Not Calculated",AVERAGE(J288,J307,J326,J349,J367,J387,J404,J418))</f>
        <v>2</v>
      </c>
      <c r="K421" s="41"/>
    </row>
    <row r="422" spans="2:11" ht="30" customHeight="1" thickBot="1" x14ac:dyDescent="0.25">
      <c r="B422" s="46"/>
      <c r="C422" s="47"/>
      <c r="D422" s="47"/>
      <c r="E422" s="47"/>
      <c r="F422" s="47"/>
      <c r="G422" s="47"/>
      <c r="H422" s="47"/>
      <c r="I422" s="47"/>
      <c r="J422" s="47"/>
      <c r="K422" s="49"/>
    </row>
    <row r="423" spans="2:11" ht="16" thickBot="1" x14ac:dyDescent="0.25"/>
    <row r="424" spans="2:11" x14ac:dyDescent="0.2">
      <c r="B424" s="33"/>
      <c r="C424" s="34"/>
      <c r="D424" s="34"/>
      <c r="E424" s="34"/>
      <c r="F424" s="34"/>
      <c r="G424" s="34"/>
      <c r="H424" s="34"/>
      <c r="I424" s="34"/>
      <c r="J424" s="34"/>
      <c r="K424" s="37"/>
    </row>
    <row r="425" spans="2:11" ht="21" x14ac:dyDescent="0.25">
      <c r="B425" s="38"/>
      <c r="C425" s="40"/>
      <c r="D425" s="40"/>
      <c r="E425" s="40"/>
      <c r="F425" s="40"/>
      <c r="G425" s="172" t="s">
        <v>230</v>
      </c>
      <c r="H425" s="40"/>
      <c r="I425" s="40"/>
      <c r="J425" s="40"/>
      <c r="K425" s="41"/>
    </row>
    <row r="426" spans="2:11" x14ac:dyDescent="0.2">
      <c r="B426" s="38"/>
      <c r="C426" s="40"/>
      <c r="D426" s="40"/>
      <c r="E426" s="40"/>
      <c r="F426" s="40"/>
      <c r="G426" s="40"/>
      <c r="H426" s="40"/>
      <c r="I426" s="40"/>
      <c r="J426" s="40"/>
      <c r="K426" s="41"/>
    </row>
    <row r="427" spans="2:11" ht="16" x14ac:dyDescent="0.2">
      <c r="B427" s="38"/>
      <c r="C427" s="45" t="s">
        <v>299</v>
      </c>
      <c r="D427" s="40"/>
      <c r="E427" s="40"/>
      <c r="F427" s="40"/>
      <c r="G427" s="40"/>
      <c r="H427" s="40"/>
      <c r="I427" s="40"/>
      <c r="J427" s="40"/>
      <c r="K427" s="41"/>
    </row>
    <row r="428" spans="2:11" x14ac:dyDescent="0.2">
      <c r="B428" s="38"/>
      <c r="C428" s="40" t="s">
        <v>300</v>
      </c>
      <c r="D428" s="40"/>
      <c r="E428" s="40"/>
      <c r="F428" s="40"/>
      <c r="G428" s="40"/>
      <c r="H428" s="40"/>
      <c r="I428" s="40"/>
      <c r="J428" s="270" t="str">
        <f>IF('Baseline Health'!$G$6=0,"Not Calculated",'Community Characteristics'!$H$56/'Baseline Health'!$G$6*100)</f>
        <v>Not Calculated</v>
      </c>
      <c r="K428" s="41"/>
    </row>
    <row r="429" spans="2:11" x14ac:dyDescent="0.2">
      <c r="B429" s="38"/>
      <c r="C429" s="40" t="s">
        <v>260</v>
      </c>
      <c r="D429" s="40"/>
      <c r="E429" s="40"/>
      <c r="F429" s="40"/>
      <c r="G429" s="40"/>
      <c r="H429" s="40"/>
      <c r="I429" s="40"/>
      <c r="J429" s="248">
        <f>IF(J428&lt;=0,0,IF(J428&lt;=1,1,IF(J428&lt;=5,2,IF(J428&lt;=10,3,4))))</f>
        <v>4</v>
      </c>
      <c r="K429" s="41"/>
    </row>
    <row r="430" spans="2:11" s="98" customFormat="1" ht="9.75" customHeight="1" x14ac:dyDescent="0.2">
      <c r="B430" s="288"/>
      <c r="C430" s="279" t="str">
        <f>"0:"</f>
        <v>0:</v>
      </c>
      <c r="D430" s="290" t="s">
        <v>944</v>
      </c>
      <c r="E430" s="245"/>
      <c r="F430" s="245"/>
      <c r="G430" s="245"/>
      <c r="H430" s="245"/>
      <c r="I430" s="245"/>
      <c r="J430" s="245"/>
      <c r="K430" s="289"/>
    </row>
    <row r="431" spans="2:11" s="98" customFormat="1" ht="9.75" customHeight="1" x14ac:dyDescent="0.2">
      <c r="B431" s="288"/>
      <c r="C431" s="280" t="str">
        <f>"1:"</f>
        <v>1:</v>
      </c>
      <c r="D431" s="290" t="s">
        <v>945</v>
      </c>
      <c r="E431" s="245"/>
      <c r="F431" s="245"/>
      <c r="G431" s="245"/>
      <c r="H431" s="245"/>
      <c r="I431" s="245"/>
      <c r="J431" s="245"/>
      <c r="K431" s="289"/>
    </row>
    <row r="432" spans="2:11" s="98" customFormat="1" ht="9.75" customHeight="1" x14ac:dyDescent="0.2">
      <c r="B432" s="288"/>
      <c r="C432" s="280" t="str">
        <f>"2:"</f>
        <v>2:</v>
      </c>
      <c r="D432" s="290" t="s">
        <v>946</v>
      </c>
      <c r="E432" s="245"/>
      <c r="F432" s="245"/>
      <c r="G432" s="245"/>
      <c r="H432" s="245"/>
      <c r="I432" s="245"/>
      <c r="J432" s="245"/>
      <c r="K432" s="289"/>
    </row>
    <row r="433" spans="2:11" s="98" customFormat="1" ht="9.75" customHeight="1" x14ac:dyDescent="0.2">
      <c r="B433" s="288"/>
      <c r="C433" s="280" t="str">
        <f>"3:"</f>
        <v>3:</v>
      </c>
      <c r="D433" s="290" t="s">
        <v>947</v>
      </c>
      <c r="E433" s="245"/>
      <c r="F433" s="245"/>
      <c r="G433" s="245"/>
      <c r="H433" s="245"/>
      <c r="I433" s="245"/>
      <c r="J433" s="245"/>
      <c r="K433" s="289"/>
    </row>
    <row r="434" spans="2:11" s="98" customFormat="1" ht="9.75" customHeight="1" x14ac:dyDescent="0.2">
      <c r="B434" s="288"/>
      <c r="C434" s="280" t="str">
        <f>"4:"</f>
        <v>4:</v>
      </c>
      <c r="D434" s="290" t="s">
        <v>948</v>
      </c>
      <c r="E434" s="245"/>
      <c r="F434" s="245"/>
      <c r="G434" s="245"/>
      <c r="H434" s="245"/>
      <c r="I434" s="245"/>
      <c r="J434" s="247"/>
      <c r="K434" s="289"/>
    </row>
    <row r="435" spans="2:11" x14ac:dyDescent="0.2">
      <c r="B435" s="38"/>
      <c r="C435" s="40" t="s">
        <v>257</v>
      </c>
      <c r="D435" s="40"/>
      <c r="E435" s="40"/>
      <c r="F435" s="40"/>
      <c r="G435" s="40"/>
      <c r="H435" s="40"/>
      <c r="I435" s="40"/>
      <c r="J435" s="266" t="s">
        <v>870</v>
      </c>
      <c r="K435" s="41"/>
    </row>
    <row r="436" spans="2:11" x14ac:dyDescent="0.2">
      <c r="B436" s="38"/>
      <c r="C436" s="40" t="s">
        <v>261</v>
      </c>
      <c r="D436" s="40"/>
      <c r="E436" s="40"/>
      <c r="F436" s="40"/>
      <c r="G436" s="40"/>
      <c r="H436" s="40"/>
      <c r="I436" s="40"/>
      <c r="J436" s="245">
        <f>IF(J435=$B$973,$A$973,IF(J435=$B$974,$A$974,IF(J435=$B$975,$A$975,IF(J435=$B$976,$A$976,IF(J435=$B$977,$A$977,"Not Calculated")))))</f>
        <v>0</v>
      </c>
      <c r="K436" s="41"/>
    </row>
    <row r="437" spans="2:11" x14ac:dyDescent="0.2">
      <c r="B437" s="38"/>
      <c r="C437" s="40" t="s">
        <v>893</v>
      </c>
      <c r="D437" s="40"/>
      <c r="E437" s="40"/>
      <c r="F437" s="40"/>
      <c r="G437" s="40"/>
      <c r="H437" s="40"/>
      <c r="I437" s="40"/>
      <c r="J437" s="40"/>
      <c r="K437" s="41"/>
    </row>
    <row r="438" spans="2:11" ht="30" customHeight="1" x14ac:dyDescent="0.2">
      <c r="B438" s="38"/>
      <c r="C438" s="399" t="s">
        <v>517</v>
      </c>
      <c r="D438" s="400"/>
      <c r="E438" s="400"/>
      <c r="F438" s="400"/>
      <c r="G438" s="400"/>
      <c r="H438" s="400"/>
      <c r="I438" s="400"/>
      <c r="J438" s="401"/>
      <c r="K438" s="41"/>
    </row>
    <row r="439" spans="2:11" x14ac:dyDescent="0.2">
      <c r="B439" s="38"/>
      <c r="C439" s="40"/>
      <c r="D439" s="40"/>
      <c r="E439" s="40"/>
      <c r="F439" s="40"/>
      <c r="G439" s="40"/>
      <c r="H439" s="40"/>
      <c r="I439" s="40"/>
      <c r="J439" s="40"/>
      <c r="K439" s="41"/>
    </row>
    <row r="440" spans="2:11" x14ac:dyDescent="0.2">
      <c r="B440" s="38"/>
      <c r="C440" s="179" t="s">
        <v>301</v>
      </c>
      <c r="D440" s="40"/>
      <c r="E440" s="40"/>
      <c r="F440" s="40"/>
      <c r="G440" s="40"/>
      <c r="H440" s="40"/>
      <c r="I440" s="40"/>
      <c r="J440" s="245">
        <f>IF(OR(J429="Not Calculated",J436="Not Calculated")=TRUE,"Not Calculated",AVERAGE(J429,J436))</f>
        <v>2</v>
      </c>
      <c r="K440" s="41"/>
    </row>
    <row r="441" spans="2:11" x14ac:dyDescent="0.2">
      <c r="B441" s="38"/>
      <c r="C441" s="40"/>
      <c r="D441" s="40"/>
      <c r="E441" s="40"/>
      <c r="F441" s="40"/>
      <c r="G441" s="40"/>
      <c r="H441" s="40"/>
      <c r="I441" s="40"/>
      <c r="J441" s="40"/>
      <c r="K441" s="41"/>
    </row>
    <row r="442" spans="2:11" x14ac:dyDescent="0.2">
      <c r="B442" s="38"/>
      <c r="C442" s="40"/>
      <c r="D442" s="40"/>
      <c r="E442" s="40"/>
      <c r="F442" s="40"/>
      <c r="G442" s="40"/>
      <c r="H442" s="40"/>
      <c r="I442" s="40"/>
      <c r="J442" s="40"/>
      <c r="K442" s="41"/>
    </row>
    <row r="443" spans="2:11" ht="16" x14ac:dyDescent="0.2">
      <c r="B443" s="38"/>
      <c r="C443" s="45" t="s">
        <v>303</v>
      </c>
      <c r="D443" s="40"/>
      <c r="E443" s="40"/>
      <c r="F443" s="40"/>
      <c r="G443" s="40"/>
      <c r="H443" s="40"/>
      <c r="I443" s="40"/>
      <c r="J443" s="40"/>
      <c r="K443" s="41"/>
    </row>
    <row r="444" spans="2:11" ht="15" customHeight="1" x14ac:dyDescent="0.2">
      <c r="B444" s="38"/>
      <c r="C444" s="380" t="s">
        <v>305</v>
      </c>
      <c r="D444" s="380"/>
      <c r="E444" s="380"/>
      <c r="F444" s="380"/>
      <c r="G444" s="380"/>
      <c r="H444" s="380"/>
      <c r="I444" s="380"/>
      <c r="J444" s="40"/>
      <c r="K444" s="41"/>
    </row>
    <row r="445" spans="2:11" x14ac:dyDescent="0.2">
      <c r="B445" s="38"/>
      <c r="C445" s="380"/>
      <c r="D445" s="380"/>
      <c r="E445" s="380"/>
      <c r="F445" s="380"/>
      <c r="G445" s="380"/>
      <c r="H445" s="380"/>
      <c r="I445" s="380"/>
      <c r="J445" s="270">
        <v>0</v>
      </c>
      <c r="K445" s="41"/>
    </row>
    <row r="446" spans="2:11" x14ac:dyDescent="0.2">
      <c r="B446" s="38"/>
      <c r="C446" s="40" t="s">
        <v>260</v>
      </c>
      <c r="D446" s="40"/>
      <c r="E446" s="40"/>
      <c r="F446" s="40"/>
      <c r="G446" s="40"/>
      <c r="H446" s="40"/>
      <c r="I446" s="40"/>
      <c r="J446" s="248">
        <f>IF(J445&lt;=0,0,IF(J445&lt;=1,1,IF(J445&lt;=5,2,IF(J445&lt;=10,3,4))))</f>
        <v>0</v>
      </c>
      <c r="K446" s="41"/>
    </row>
    <row r="447" spans="2:11" ht="9.75" customHeight="1" x14ac:dyDescent="0.2">
      <c r="B447" s="38"/>
      <c r="C447" s="279" t="str">
        <f>"0:"</f>
        <v>0:</v>
      </c>
      <c r="D447" s="278" t="s">
        <v>944</v>
      </c>
      <c r="E447" s="40"/>
      <c r="F447" s="40"/>
      <c r="G447" s="40"/>
      <c r="H447" s="40"/>
      <c r="I447" s="40"/>
      <c r="J447" s="245"/>
      <c r="K447" s="41"/>
    </row>
    <row r="448" spans="2:11" ht="9.75" customHeight="1" x14ac:dyDescent="0.2">
      <c r="B448" s="38"/>
      <c r="C448" s="280" t="str">
        <f>"1:"</f>
        <v>1:</v>
      </c>
      <c r="D448" s="278" t="s">
        <v>945</v>
      </c>
      <c r="E448" s="40"/>
      <c r="F448" s="40"/>
      <c r="G448" s="40"/>
      <c r="H448" s="40"/>
      <c r="I448" s="40"/>
      <c r="J448" s="245"/>
      <c r="K448" s="41"/>
    </row>
    <row r="449" spans="2:11" ht="9.75" customHeight="1" x14ac:dyDescent="0.2">
      <c r="B449" s="38"/>
      <c r="C449" s="280" t="str">
        <f>"2:"</f>
        <v>2:</v>
      </c>
      <c r="D449" s="278" t="s">
        <v>946</v>
      </c>
      <c r="E449" s="40"/>
      <c r="F449" s="40"/>
      <c r="G449" s="40"/>
      <c r="H449" s="40"/>
      <c r="I449" s="40"/>
      <c r="J449" s="245"/>
      <c r="K449" s="41"/>
    </row>
    <row r="450" spans="2:11" ht="9.75" customHeight="1" x14ac:dyDescent="0.2">
      <c r="B450" s="38"/>
      <c r="C450" s="280" t="str">
        <f>"3:"</f>
        <v>3:</v>
      </c>
      <c r="D450" s="278" t="s">
        <v>947</v>
      </c>
      <c r="E450" s="40"/>
      <c r="F450" s="40"/>
      <c r="G450" s="40"/>
      <c r="H450" s="40"/>
      <c r="I450" s="40"/>
      <c r="J450" s="245"/>
      <c r="K450" s="41"/>
    </row>
    <row r="451" spans="2:11" ht="9.75" customHeight="1" x14ac:dyDescent="0.2">
      <c r="B451" s="38"/>
      <c r="C451" s="280" t="str">
        <f>"4:"</f>
        <v>4:</v>
      </c>
      <c r="D451" s="278" t="s">
        <v>948</v>
      </c>
      <c r="E451" s="40"/>
      <c r="F451" s="40"/>
      <c r="G451" s="40"/>
      <c r="H451" s="40"/>
      <c r="I451" s="40"/>
      <c r="J451" s="247"/>
      <c r="K451" s="41"/>
    </row>
    <row r="452" spans="2:11" x14ac:dyDescent="0.2">
      <c r="B452" s="38"/>
      <c r="C452" s="40" t="s">
        <v>257</v>
      </c>
      <c r="D452" s="40"/>
      <c r="E452" s="40"/>
      <c r="F452" s="40"/>
      <c r="G452" s="40"/>
      <c r="H452" s="40"/>
      <c r="I452" s="40"/>
      <c r="J452" s="266" t="s">
        <v>870</v>
      </c>
      <c r="K452" s="41"/>
    </row>
    <row r="453" spans="2:11" x14ac:dyDescent="0.2">
      <c r="B453" s="38"/>
      <c r="C453" s="40" t="s">
        <v>261</v>
      </c>
      <c r="D453" s="40"/>
      <c r="E453" s="40"/>
      <c r="F453" s="40"/>
      <c r="G453" s="40"/>
      <c r="H453" s="40"/>
      <c r="I453" s="40"/>
      <c r="J453" s="245">
        <f>IF(J452=$B$973,$A$973,IF(J452=$B$974,$A$974,IF(J452=$B$975,$A$975,IF(J452=$B$976,$A$976,IF(J452=$B$977,$A$977,"Not Calculated")))))</f>
        <v>0</v>
      </c>
      <c r="K453" s="41"/>
    </row>
    <row r="454" spans="2:11" x14ac:dyDescent="0.2">
      <c r="B454" s="38"/>
      <c r="C454" s="40" t="s">
        <v>893</v>
      </c>
      <c r="D454" s="40"/>
      <c r="E454" s="40"/>
      <c r="F454" s="40"/>
      <c r="G454" s="40"/>
      <c r="H454" s="40"/>
      <c r="I454" s="40"/>
      <c r="J454" s="40"/>
      <c r="K454" s="41"/>
    </row>
    <row r="455" spans="2:11" ht="30" customHeight="1" x14ac:dyDescent="0.2">
      <c r="B455" s="38"/>
      <c r="C455" s="399"/>
      <c r="D455" s="400"/>
      <c r="E455" s="400"/>
      <c r="F455" s="400"/>
      <c r="G455" s="400"/>
      <c r="H455" s="400"/>
      <c r="I455" s="400"/>
      <c r="J455" s="401"/>
      <c r="K455" s="41"/>
    </row>
    <row r="456" spans="2:11" x14ac:dyDescent="0.2">
      <c r="B456" s="38"/>
      <c r="C456" s="40"/>
      <c r="D456" s="40"/>
      <c r="E456" s="40"/>
      <c r="F456" s="40"/>
      <c r="G456" s="40"/>
      <c r="H456" s="40"/>
      <c r="I456" s="40"/>
      <c r="J456" s="40"/>
      <c r="K456" s="41"/>
    </row>
    <row r="457" spans="2:11" x14ac:dyDescent="0.2">
      <c r="B457" s="38"/>
      <c r="C457" s="179" t="s">
        <v>304</v>
      </c>
      <c r="D457" s="40"/>
      <c r="E457" s="40"/>
      <c r="F457" s="40"/>
      <c r="G457" s="40"/>
      <c r="H457" s="40"/>
      <c r="I457" s="40"/>
      <c r="J457" s="245">
        <f>IF(OR(J446="Not Calculated",J453="Not Calculated")=TRUE,"Not Calculated",AVERAGE(J446,J453))</f>
        <v>0</v>
      </c>
      <c r="K457" s="41"/>
    </row>
    <row r="458" spans="2:11" x14ac:dyDescent="0.2">
      <c r="B458" s="38"/>
      <c r="C458" s="40"/>
      <c r="D458" s="40"/>
      <c r="E458" s="40"/>
      <c r="F458" s="40"/>
      <c r="G458" s="40"/>
      <c r="H458" s="40"/>
      <c r="I458" s="40"/>
      <c r="J458" s="40"/>
      <c r="K458" s="41"/>
    </row>
    <row r="459" spans="2:11" x14ac:dyDescent="0.2">
      <c r="B459" s="38"/>
      <c r="C459" s="40"/>
      <c r="D459" s="40"/>
      <c r="E459" s="40"/>
      <c r="F459" s="40"/>
      <c r="G459" s="40"/>
      <c r="H459" s="40"/>
      <c r="I459" s="40"/>
      <c r="J459" s="40"/>
      <c r="K459" s="41"/>
    </row>
    <row r="460" spans="2:11" ht="16" x14ac:dyDescent="0.2">
      <c r="B460" s="38"/>
      <c r="C460" s="45" t="s">
        <v>306</v>
      </c>
      <c r="D460" s="40"/>
      <c r="E460" s="40"/>
      <c r="F460" s="40"/>
      <c r="G460" s="40"/>
      <c r="H460" s="40"/>
      <c r="I460" s="40"/>
      <c r="J460" s="40"/>
      <c r="K460" s="41"/>
    </row>
    <row r="461" spans="2:11" x14ac:dyDescent="0.2">
      <c r="B461" s="38"/>
      <c r="C461" s="40" t="s">
        <v>949</v>
      </c>
      <c r="D461" s="40"/>
      <c r="E461" s="40"/>
      <c r="F461" s="40"/>
      <c r="G461" s="40"/>
      <c r="H461" s="40"/>
      <c r="I461" s="40"/>
      <c r="J461" s="270" t="str">
        <f>IF('Baseline Health'!$G$6=0,"Not Calculated",'Community Characteristics'!$H$56/'Baseline Health'!$G$6*100)</f>
        <v>Not Calculated</v>
      </c>
      <c r="K461" s="41"/>
    </row>
    <row r="462" spans="2:11" x14ac:dyDescent="0.2">
      <c r="B462" s="38"/>
      <c r="C462" s="40" t="s">
        <v>260</v>
      </c>
      <c r="D462" s="40"/>
      <c r="E462" s="40"/>
      <c r="F462" s="40"/>
      <c r="G462" s="40"/>
      <c r="H462" s="40"/>
      <c r="I462" s="40"/>
      <c r="J462" s="248">
        <f>IF(J461&lt;=0,0,IF(J461&lt;=1,1,IF(J461&lt;=5,2,IF(J461&lt;=10,3,4))))</f>
        <v>4</v>
      </c>
      <c r="K462" s="41"/>
    </row>
    <row r="463" spans="2:11" ht="9.75" customHeight="1" x14ac:dyDescent="0.2">
      <c r="B463" s="38"/>
      <c r="C463" s="279" t="str">
        <f>"0:"</f>
        <v>0:</v>
      </c>
      <c r="D463" s="290" t="s">
        <v>944</v>
      </c>
      <c r="E463" s="40"/>
      <c r="F463" s="40"/>
      <c r="G463" s="40"/>
      <c r="H463" s="40"/>
      <c r="I463" s="40"/>
      <c r="J463" s="245"/>
      <c r="K463" s="41"/>
    </row>
    <row r="464" spans="2:11" ht="9.75" customHeight="1" x14ac:dyDescent="0.2">
      <c r="B464" s="38"/>
      <c r="C464" s="280" t="str">
        <f>"1:"</f>
        <v>1:</v>
      </c>
      <c r="D464" s="290" t="s">
        <v>945</v>
      </c>
      <c r="E464" s="40"/>
      <c r="F464" s="40"/>
      <c r="G464" s="40"/>
      <c r="H464" s="40"/>
      <c r="I464" s="40"/>
      <c r="J464" s="245"/>
      <c r="K464" s="41"/>
    </row>
    <row r="465" spans="2:11" ht="9.75" customHeight="1" x14ac:dyDescent="0.2">
      <c r="B465" s="38"/>
      <c r="C465" s="280" t="str">
        <f>"2:"</f>
        <v>2:</v>
      </c>
      <c r="D465" s="290" t="s">
        <v>946</v>
      </c>
      <c r="E465" s="40"/>
      <c r="F465" s="40"/>
      <c r="G465" s="40"/>
      <c r="H465" s="40"/>
      <c r="I465" s="40"/>
      <c r="J465" s="245"/>
      <c r="K465" s="41"/>
    </row>
    <row r="466" spans="2:11" ht="9.75" customHeight="1" x14ac:dyDescent="0.2">
      <c r="B466" s="38"/>
      <c r="C466" s="280" t="str">
        <f>"3:"</f>
        <v>3:</v>
      </c>
      <c r="D466" s="290" t="s">
        <v>947</v>
      </c>
      <c r="E466" s="40"/>
      <c r="F466" s="40"/>
      <c r="G466" s="40"/>
      <c r="H466" s="40"/>
      <c r="I466" s="40"/>
      <c r="J466" s="245"/>
      <c r="K466" s="41"/>
    </row>
    <row r="467" spans="2:11" ht="9.75" customHeight="1" x14ac:dyDescent="0.2">
      <c r="B467" s="38"/>
      <c r="C467" s="280" t="str">
        <f>"4:"</f>
        <v>4:</v>
      </c>
      <c r="D467" s="290" t="s">
        <v>948</v>
      </c>
      <c r="E467" s="40"/>
      <c r="F467" s="40"/>
      <c r="G467" s="40"/>
      <c r="H467" s="40"/>
      <c r="I467" s="40"/>
      <c r="J467" s="247"/>
      <c r="K467" s="41"/>
    </row>
    <row r="468" spans="2:11" x14ac:dyDescent="0.2">
      <c r="B468" s="38"/>
      <c r="C468" s="40" t="s">
        <v>257</v>
      </c>
      <c r="D468" s="40"/>
      <c r="E468" s="40"/>
      <c r="F468" s="40"/>
      <c r="G468" s="40"/>
      <c r="H468" s="40"/>
      <c r="I468" s="40"/>
      <c r="J468" s="266" t="s">
        <v>870</v>
      </c>
      <c r="K468" s="41"/>
    </row>
    <row r="469" spans="2:11" ht="15" customHeight="1" x14ac:dyDescent="0.2">
      <c r="B469" s="38"/>
      <c r="C469" s="40" t="s">
        <v>261</v>
      </c>
      <c r="D469" s="40"/>
      <c r="E469" s="40"/>
      <c r="F469" s="40"/>
      <c r="G469" s="40"/>
      <c r="H469" s="40"/>
      <c r="I469" s="40"/>
      <c r="J469" s="245">
        <f>IF(J468=$B$973,$A$973,IF(J468=$B$974,$A$974,IF(J468=$B$975,$A$975,IF(J468=$B$976,$A$976,IF(J468=$B$977,$A$977,"Not Calculated")))))</f>
        <v>0</v>
      </c>
      <c r="K469" s="41"/>
    </row>
    <row r="470" spans="2:11" x14ac:dyDescent="0.2">
      <c r="B470" s="38"/>
      <c r="C470" s="40" t="s">
        <v>893</v>
      </c>
      <c r="D470" s="40"/>
      <c r="E470" s="40"/>
      <c r="F470" s="40"/>
      <c r="G470" s="40"/>
      <c r="H470" s="40"/>
      <c r="I470" s="40"/>
      <c r="J470" s="40"/>
      <c r="K470" s="41"/>
    </row>
    <row r="471" spans="2:11" ht="30" customHeight="1" x14ac:dyDescent="0.2">
      <c r="B471" s="38"/>
      <c r="C471" s="399" t="s">
        <v>516</v>
      </c>
      <c r="D471" s="400"/>
      <c r="E471" s="400"/>
      <c r="F471" s="400"/>
      <c r="G471" s="400"/>
      <c r="H471" s="400"/>
      <c r="I471" s="400"/>
      <c r="J471" s="401"/>
      <c r="K471" s="41"/>
    </row>
    <row r="472" spans="2:11" x14ac:dyDescent="0.2">
      <c r="B472" s="38"/>
      <c r="C472" s="40"/>
      <c r="D472" s="40"/>
      <c r="E472" s="40"/>
      <c r="F472" s="40"/>
      <c r="G472" s="40"/>
      <c r="H472" s="40"/>
      <c r="I472" s="40"/>
      <c r="J472" s="40"/>
      <c r="K472" s="41"/>
    </row>
    <row r="473" spans="2:11" x14ac:dyDescent="0.2">
      <c r="B473" s="38"/>
      <c r="C473" s="179" t="s">
        <v>307</v>
      </c>
      <c r="D473" s="40"/>
      <c r="E473" s="40"/>
      <c r="F473" s="40"/>
      <c r="G473" s="40"/>
      <c r="H473" s="40"/>
      <c r="I473" s="40"/>
      <c r="J473" s="245">
        <f>IF(OR(J462="Not Calculated",J469="Not Calculated")=TRUE,"Not Calculated",AVERAGE(J462,J469))</f>
        <v>2</v>
      </c>
      <c r="K473" s="41"/>
    </row>
    <row r="474" spans="2:11" x14ac:dyDescent="0.2">
      <c r="B474" s="38"/>
      <c r="C474" s="40"/>
      <c r="D474" s="40"/>
      <c r="E474" s="40"/>
      <c r="F474" s="40"/>
      <c r="G474" s="40"/>
      <c r="H474" s="40"/>
      <c r="I474" s="40"/>
      <c r="J474" s="40"/>
      <c r="K474" s="41"/>
    </row>
    <row r="475" spans="2:11" x14ac:dyDescent="0.2">
      <c r="B475" s="38"/>
      <c r="C475" s="40"/>
      <c r="D475" s="40"/>
      <c r="E475" s="40"/>
      <c r="F475" s="40"/>
      <c r="G475" s="40"/>
      <c r="H475" s="40"/>
      <c r="I475" s="40"/>
      <c r="J475" s="40"/>
      <c r="K475" s="41"/>
    </row>
    <row r="476" spans="2:11" ht="16" x14ac:dyDescent="0.2">
      <c r="B476" s="38"/>
      <c r="C476" s="45" t="s">
        <v>308</v>
      </c>
      <c r="D476" s="40"/>
      <c r="E476" s="40"/>
      <c r="F476" s="40"/>
      <c r="G476" s="40"/>
      <c r="H476" s="40"/>
      <c r="I476" s="40"/>
      <c r="J476" s="40"/>
      <c r="K476" s="41"/>
    </row>
    <row r="477" spans="2:11" ht="15" customHeight="1" x14ac:dyDescent="0.2">
      <c r="B477" s="38"/>
      <c r="C477" s="380" t="s">
        <v>310</v>
      </c>
      <c r="D477" s="380"/>
      <c r="E477" s="380"/>
      <c r="F477" s="380"/>
      <c r="G477" s="380"/>
      <c r="H477" s="380"/>
      <c r="I477" s="380"/>
      <c r="J477" s="40"/>
      <c r="K477" s="41"/>
    </row>
    <row r="478" spans="2:11" x14ac:dyDescent="0.2">
      <c r="B478" s="38"/>
      <c r="C478" s="380"/>
      <c r="D478" s="380"/>
      <c r="E478" s="380"/>
      <c r="F478" s="380"/>
      <c r="G478" s="380"/>
      <c r="H478" s="380"/>
      <c r="I478" s="380"/>
      <c r="J478" s="131">
        <f>IF('Community Characteristics'!H49="Yes",365,0)</f>
        <v>0</v>
      </c>
      <c r="K478" s="41"/>
    </row>
    <row r="479" spans="2:11" x14ac:dyDescent="0.2">
      <c r="B479" s="38"/>
      <c r="C479" s="40" t="s">
        <v>261</v>
      </c>
      <c r="D479" s="40"/>
      <c r="E479" s="40"/>
      <c r="F479" s="40"/>
      <c r="G479" s="40"/>
      <c r="H479" s="40"/>
      <c r="I479" s="40"/>
      <c r="J479" s="245">
        <f>IF(J478&lt;=0,0,IF(J478&lt;=1,1,IF(J478&lt;=7,2,IF(J478&lt;=14,3,4))))</f>
        <v>0</v>
      </c>
      <c r="K479" s="41"/>
    </row>
    <row r="480" spans="2:11" s="51" customFormat="1" ht="9.75" customHeight="1" x14ac:dyDescent="0.2">
      <c r="B480" s="283"/>
      <c r="C480" s="279" t="str">
        <f>"0:"</f>
        <v>0:</v>
      </c>
      <c r="D480" s="284" t="s">
        <v>950</v>
      </c>
      <c r="E480" s="285"/>
      <c r="F480" s="285"/>
      <c r="G480" s="285"/>
      <c r="H480" s="285"/>
      <c r="I480" s="285"/>
      <c r="J480" s="43"/>
      <c r="K480" s="286"/>
    </row>
    <row r="481" spans="2:11" s="51" customFormat="1" ht="9.75" customHeight="1" x14ac:dyDescent="0.2">
      <c r="B481" s="283"/>
      <c r="C481" s="280" t="str">
        <f>"1:"</f>
        <v>1:</v>
      </c>
      <c r="D481" s="284" t="s">
        <v>951</v>
      </c>
      <c r="E481" s="285"/>
      <c r="F481" s="285"/>
      <c r="G481" s="285"/>
      <c r="H481" s="285"/>
      <c r="I481" s="285"/>
      <c r="J481" s="43"/>
      <c r="K481" s="286"/>
    </row>
    <row r="482" spans="2:11" s="51" customFormat="1" ht="9.75" customHeight="1" x14ac:dyDescent="0.2">
      <c r="B482" s="283"/>
      <c r="C482" s="280" t="str">
        <f>"2:"</f>
        <v>2:</v>
      </c>
      <c r="D482" s="284" t="s">
        <v>952</v>
      </c>
      <c r="E482" s="285"/>
      <c r="F482" s="285"/>
      <c r="G482" s="285"/>
      <c r="H482" s="285"/>
      <c r="I482" s="285"/>
      <c r="J482" s="43"/>
      <c r="K482" s="286"/>
    </row>
    <row r="483" spans="2:11" s="51" customFormat="1" ht="9.75" customHeight="1" x14ac:dyDescent="0.2">
      <c r="B483" s="283"/>
      <c r="C483" s="280" t="str">
        <f>"3:"</f>
        <v>3:</v>
      </c>
      <c r="D483" s="284" t="s">
        <v>953</v>
      </c>
      <c r="E483" s="285"/>
      <c r="F483" s="285"/>
      <c r="G483" s="285"/>
      <c r="H483" s="285"/>
      <c r="I483" s="285"/>
      <c r="J483" s="43"/>
      <c r="K483" s="286"/>
    </row>
    <row r="484" spans="2:11" s="51" customFormat="1" ht="9.75" customHeight="1" x14ac:dyDescent="0.2">
      <c r="B484" s="283"/>
      <c r="C484" s="280" t="str">
        <f>"4:"</f>
        <v>4:</v>
      </c>
      <c r="D484" s="284" t="s">
        <v>954</v>
      </c>
      <c r="E484" s="285"/>
      <c r="F484" s="285"/>
      <c r="G484" s="285"/>
      <c r="H484" s="285"/>
      <c r="I484" s="285"/>
      <c r="J484" s="43"/>
      <c r="K484" s="286"/>
    </row>
    <row r="485" spans="2:11" x14ac:dyDescent="0.2">
      <c r="B485" s="38"/>
      <c r="C485" s="40" t="s">
        <v>893</v>
      </c>
      <c r="D485" s="40"/>
      <c r="E485" s="40"/>
      <c r="F485" s="40"/>
      <c r="G485" s="40"/>
      <c r="H485" s="40"/>
      <c r="I485" s="40"/>
      <c r="J485" s="40"/>
      <c r="K485" s="41"/>
    </row>
    <row r="486" spans="2:11" ht="30" customHeight="1" x14ac:dyDescent="0.2">
      <c r="B486" s="38"/>
      <c r="C486" s="399" t="s">
        <v>518</v>
      </c>
      <c r="D486" s="400"/>
      <c r="E486" s="400"/>
      <c r="F486" s="400"/>
      <c r="G486" s="400"/>
      <c r="H486" s="400"/>
      <c r="I486" s="400"/>
      <c r="J486" s="401"/>
      <c r="K486" s="41"/>
    </row>
    <row r="487" spans="2:11" x14ac:dyDescent="0.2">
      <c r="B487" s="38"/>
      <c r="C487" s="40"/>
      <c r="D487" s="40"/>
      <c r="E487" s="40"/>
      <c r="F487" s="40"/>
      <c r="G487" s="40"/>
      <c r="H487" s="40"/>
      <c r="I487" s="40"/>
      <c r="J487" s="40"/>
      <c r="K487" s="41"/>
    </row>
    <row r="488" spans="2:11" x14ac:dyDescent="0.2">
      <c r="B488" s="38"/>
      <c r="C488" s="179" t="s">
        <v>309</v>
      </c>
      <c r="D488" s="40"/>
      <c r="E488" s="40"/>
      <c r="F488" s="40"/>
      <c r="G488" s="40"/>
      <c r="H488" s="40"/>
      <c r="I488" s="40"/>
      <c r="J488" s="245">
        <f>J479</f>
        <v>0</v>
      </c>
      <c r="K488" s="41"/>
    </row>
    <row r="489" spans="2:11" x14ac:dyDescent="0.2">
      <c r="B489" s="38"/>
      <c r="C489" s="40"/>
      <c r="D489" s="40"/>
      <c r="E489" s="40"/>
      <c r="F489" s="40"/>
      <c r="G489" s="40"/>
      <c r="H489" s="40"/>
      <c r="I489" s="40"/>
      <c r="J489" s="40"/>
      <c r="K489" s="41"/>
    </row>
    <row r="490" spans="2:11" x14ac:dyDescent="0.2">
      <c r="B490" s="38"/>
      <c r="C490" s="40"/>
      <c r="D490" s="40"/>
      <c r="E490" s="40"/>
      <c r="F490" s="40"/>
      <c r="G490" s="40"/>
      <c r="H490" s="40"/>
      <c r="I490" s="40"/>
      <c r="J490" s="40"/>
      <c r="K490" s="41"/>
    </row>
    <row r="491" spans="2:11" ht="16" x14ac:dyDescent="0.2">
      <c r="B491" s="38"/>
      <c r="C491" s="45" t="s">
        <v>311</v>
      </c>
      <c r="D491" s="40"/>
      <c r="E491" s="40"/>
      <c r="F491" s="40"/>
      <c r="G491" s="40"/>
      <c r="H491" s="40"/>
      <c r="I491" s="40"/>
      <c r="J491" s="40"/>
      <c r="K491" s="41"/>
    </row>
    <row r="492" spans="2:11" x14ac:dyDescent="0.2">
      <c r="B492" s="38"/>
      <c r="C492" s="40" t="s">
        <v>312</v>
      </c>
      <c r="D492" s="40"/>
      <c r="E492" s="40"/>
      <c r="F492" s="40"/>
      <c r="G492" s="40"/>
      <c r="H492" s="40"/>
      <c r="I492" s="40"/>
      <c r="J492" s="270">
        <f>'Community Characteristics'!H53</f>
        <v>0</v>
      </c>
      <c r="K492" s="41"/>
    </row>
    <row r="493" spans="2:11" x14ac:dyDescent="0.2">
      <c r="B493" s="38"/>
      <c r="C493" s="40" t="s">
        <v>260</v>
      </c>
      <c r="D493" s="40"/>
      <c r="E493" s="40"/>
      <c r="F493" s="40"/>
      <c r="G493" s="40"/>
      <c r="H493" s="40"/>
      <c r="I493" s="40"/>
      <c r="J493" s="248">
        <f>IF(J492&lt;=0,0,IF(J492&lt;=1,1,IF(J492&lt;=5,2,IF(J492&lt;=10,3,4))))</f>
        <v>0</v>
      </c>
      <c r="K493" s="41"/>
    </row>
    <row r="494" spans="2:11" ht="9.75" customHeight="1" x14ac:dyDescent="0.2">
      <c r="B494" s="38"/>
      <c r="C494" s="279" t="str">
        <f>"0:"</f>
        <v>0:</v>
      </c>
      <c r="D494" s="290" t="s">
        <v>955</v>
      </c>
      <c r="E494" s="40"/>
      <c r="F494" s="40"/>
      <c r="G494" s="40"/>
      <c r="H494" s="40"/>
      <c r="I494" s="40"/>
      <c r="J494" s="245"/>
      <c r="K494" s="41"/>
    </row>
    <row r="495" spans="2:11" ht="9.75" customHeight="1" x14ac:dyDescent="0.2">
      <c r="B495" s="38"/>
      <c r="C495" s="280" t="str">
        <f>"1:"</f>
        <v>1:</v>
      </c>
      <c r="D495" s="290" t="s">
        <v>956</v>
      </c>
      <c r="E495" s="40"/>
      <c r="F495" s="40"/>
      <c r="G495" s="40"/>
      <c r="H495" s="40"/>
      <c r="I495" s="40"/>
      <c r="J495" s="245"/>
      <c r="K495" s="41"/>
    </row>
    <row r="496" spans="2:11" ht="9.75" customHeight="1" x14ac:dyDescent="0.2">
      <c r="B496" s="38"/>
      <c r="C496" s="280" t="str">
        <f>"2:"</f>
        <v>2:</v>
      </c>
      <c r="D496" s="290" t="s">
        <v>957</v>
      </c>
      <c r="E496" s="40"/>
      <c r="F496" s="40"/>
      <c r="G496" s="40"/>
      <c r="H496" s="40"/>
      <c r="I496" s="40"/>
      <c r="J496" s="245"/>
      <c r="K496" s="41"/>
    </row>
    <row r="497" spans="2:11" ht="9.75" customHeight="1" x14ac:dyDescent="0.2">
      <c r="B497" s="38"/>
      <c r="C497" s="280" t="str">
        <f>"3:"</f>
        <v>3:</v>
      </c>
      <c r="D497" s="290" t="s">
        <v>958</v>
      </c>
      <c r="E497" s="40"/>
      <c r="F497" s="40"/>
      <c r="G497" s="40"/>
      <c r="H497" s="40"/>
      <c r="I497" s="40"/>
      <c r="J497" s="245"/>
      <c r="K497" s="41"/>
    </row>
    <row r="498" spans="2:11" ht="9.75" customHeight="1" x14ac:dyDescent="0.2">
      <c r="B498" s="38"/>
      <c r="C498" s="280" t="str">
        <f>"4:"</f>
        <v>4:</v>
      </c>
      <c r="D498" s="290" t="s">
        <v>959</v>
      </c>
      <c r="E498" s="40"/>
      <c r="F498" s="40"/>
      <c r="G498" s="40"/>
      <c r="H498" s="40"/>
      <c r="I498" s="40"/>
      <c r="J498" s="247"/>
      <c r="K498" s="41"/>
    </row>
    <row r="499" spans="2:11" x14ac:dyDescent="0.2">
      <c r="B499" s="38"/>
      <c r="C499" s="40" t="s">
        <v>313</v>
      </c>
      <c r="D499" s="40"/>
      <c r="E499" s="40"/>
      <c r="F499" s="40"/>
      <c r="G499" s="40"/>
      <c r="H499" s="40"/>
      <c r="I499" s="40"/>
      <c r="J499" s="266" t="s">
        <v>870</v>
      </c>
      <c r="K499" s="41"/>
    </row>
    <row r="500" spans="2:11" x14ac:dyDescent="0.2">
      <c r="B500" s="38"/>
      <c r="C500" s="40" t="s">
        <v>261</v>
      </c>
      <c r="D500" s="40"/>
      <c r="E500" s="40"/>
      <c r="F500" s="40"/>
      <c r="G500" s="40"/>
      <c r="H500" s="40"/>
      <c r="I500" s="40"/>
      <c r="J500" s="245">
        <f>IF(J499=$B$973,$A$973,IF(J499=$B$974,$A$974,IF(J499=$B$975,$A$975,IF(J499=$B$976,$A$976,IF(J499=$B$977,$A$977,"Not Calculated")))))</f>
        <v>0</v>
      </c>
      <c r="K500" s="41"/>
    </row>
    <row r="501" spans="2:11" x14ac:dyDescent="0.2">
      <c r="B501" s="38"/>
      <c r="C501" s="40" t="s">
        <v>893</v>
      </c>
      <c r="D501" s="40"/>
      <c r="E501" s="40"/>
      <c r="F501" s="40"/>
      <c r="G501" s="40"/>
      <c r="H501" s="40"/>
      <c r="I501" s="40"/>
      <c r="J501" s="40"/>
      <c r="K501" s="41"/>
    </row>
    <row r="502" spans="2:11" ht="30" customHeight="1" x14ac:dyDescent="0.2">
      <c r="B502" s="38"/>
      <c r="C502" s="399" t="s">
        <v>519</v>
      </c>
      <c r="D502" s="400"/>
      <c r="E502" s="400"/>
      <c r="F502" s="400"/>
      <c r="G502" s="400"/>
      <c r="H502" s="400"/>
      <c r="I502" s="400"/>
      <c r="J502" s="401"/>
      <c r="K502" s="41"/>
    </row>
    <row r="503" spans="2:11" x14ac:dyDescent="0.2">
      <c r="B503" s="38"/>
      <c r="C503" s="40"/>
      <c r="D503" s="40"/>
      <c r="E503" s="40"/>
      <c r="F503" s="40"/>
      <c r="G503" s="40"/>
      <c r="H503" s="40"/>
      <c r="I503" s="40"/>
      <c r="J503" s="40"/>
      <c r="K503" s="41"/>
    </row>
    <row r="504" spans="2:11" x14ac:dyDescent="0.2">
      <c r="B504" s="38"/>
      <c r="C504" s="179" t="s">
        <v>321</v>
      </c>
      <c r="D504" s="40"/>
      <c r="E504" s="40"/>
      <c r="F504" s="40"/>
      <c r="G504" s="40"/>
      <c r="H504" s="40"/>
      <c r="I504" s="40"/>
      <c r="J504" s="245">
        <f>IF(OR(J493="Not Calculated",J500="Not Calculated")=TRUE,"Not Calculated",AVERAGE(J493,J500))</f>
        <v>0</v>
      </c>
      <c r="K504" s="41"/>
    </row>
    <row r="505" spans="2:11" x14ac:dyDescent="0.2">
      <c r="B505" s="38"/>
      <c r="C505" s="40"/>
      <c r="D505" s="40"/>
      <c r="E505" s="40"/>
      <c r="F505" s="40"/>
      <c r="G505" s="40"/>
      <c r="H505" s="40"/>
      <c r="I505" s="40"/>
      <c r="J505" s="40"/>
      <c r="K505" s="41"/>
    </row>
    <row r="506" spans="2:11" x14ac:dyDescent="0.2">
      <c r="B506" s="38"/>
      <c r="C506" s="40"/>
      <c r="D506" s="40"/>
      <c r="E506" s="40"/>
      <c r="F506" s="40"/>
      <c r="G506" s="40"/>
      <c r="H506" s="40"/>
      <c r="I506" s="40"/>
      <c r="J506" s="40"/>
      <c r="K506" s="41"/>
    </row>
    <row r="507" spans="2:11" ht="16" x14ac:dyDescent="0.2">
      <c r="B507" s="38"/>
      <c r="C507" s="45" t="s">
        <v>314</v>
      </c>
      <c r="D507" s="40"/>
      <c r="E507" s="40"/>
      <c r="F507" s="40"/>
      <c r="G507" s="40"/>
      <c r="H507" s="40"/>
      <c r="I507" s="40"/>
      <c r="J507" s="40"/>
      <c r="K507" s="41"/>
    </row>
    <row r="508" spans="2:11" x14ac:dyDescent="0.2">
      <c r="B508" s="38"/>
      <c r="C508" s="40" t="s">
        <v>316</v>
      </c>
      <c r="D508" s="40"/>
      <c r="E508" s="40"/>
      <c r="F508" s="40"/>
      <c r="G508" s="40"/>
      <c r="H508" s="40"/>
      <c r="I508" s="40"/>
      <c r="J508" s="269">
        <f>'Community Characteristics'!$H$56</f>
        <v>0</v>
      </c>
      <c r="K508" s="41"/>
    </row>
    <row r="509" spans="2:11" x14ac:dyDescent="0.2">
      <c r="B509" s="38"/>
      <c r="C509" s="40" t="s">
        <v>260</v>
      </c>
      <c r="D509" s="40"/>
      <c r="E509" s="40"/>
      <c r="F509" s="40"/>
      <c r="G509" s="40"/>
      <c r="H509" s="40"/>
      <c r="I509" s="40"/>
      <c r="J509" s="248">
        <f>IF(J508&lt;=0,0,IF(J508&lt;=1000,1,IF(J508&lt;=5000,2,IF(J508&lt;=25000,3,4))))</f>
        <v>0</v>
      </c>
      <c r="K509" s="41"/>
    </row>
    <row r="510" spans="2:11" s="51" customFormat="1" ht="9.75" customHeight="1" x14ac:dyDescent="0.2">
      <c r="B510" s="283"/>
      <c r="C510" s="279" t="str">
        <f>"0:"</f>
        <v>0:</v>
      </c>
      <c r="D510" s="284" t="s">
        <v>960</v>
      </c>
      <c r="E510" s="285"/>
      <c r="F510" s="285"/>
      <c r="G510" s="285"/>
      <c r="H510" s="285"/>
      <c r="I510" s="285"/>
      <c r="J510" s="43"/>
      <c r="K510" s="286"/>
    </row>
    <row r="511" spans="2:11" s="51" customFormat="1" ht="9.75" customHeight="1" x14ac:dyDescent="0.2">
      <c r="B511" s="283"/>
      <c r="C511" s="280" t="str">
        <f>"1:"</f>
        <v>1:</v>
      </c>
      <c r="D511" s="284" t="s">
        <v>961</v>
      </c>
      <c r="E511" s="285"/>
      <c r="F511" s="285"/>
      <c r="G511" s="285"/>
      <c r="H511" s="285"/>
      <c r="I511" s="285"/>
      <c r="J511" s="43"/>
      <c r="K511" s="286"/>
    </row>
    <row r="512" spans="2:11" s="51" customFormat="1" ht="9.75" customHeight="1" x14ac:dyDescent="0.2">
      <c r="B512" s="283"/>
      <c r="C512" s="280" t="str">
        <f>"2:"</f>
        <v>2:</v>
      </c>
      <c r="D512" s="284" t="s">
        <v>962</v>
      </c>
      <c r="E512" s="285"/>
      <c r="F512" s="285"/>
      <c r="G512" s="285"/>
      <c r="H512" s="285"/>
      <c r="I512" s="285"/>
      <c r="J512" s="43"/>
      <c r="K512" s="286"/>
    </row>
    <row r="513" spans="2:11" s="51" customFormat="1" ht="9.75" customHeight="1" x14ac:dyDescent="0.2">
      <c r="B513" s="283"/>
      <c r="C513" s="280" t="str">
        <f>"3:"</f>
        <v>3:</v>
      </c>
      <c r="D513" s="284" t="s">
        <v>963</v>
      </c>
      <c r="E513" s="285"/>
      <c r="F513" s="285"/>
      <c r="G513" s="285"/>
      <c r="H513" s="285"/>
      <c r="I513" s="285"/>
      <c r="J513" s="43"/>
      <c r="K513" s="286"/>
    </row>
    <row r="514" spans="2:11" s="51" customFormat="1" ht="9.75" customHeight="1" x14ac:dyDescent="0.2">
      <c r="B514" s="283"/>
      <c r="C514" s="280" t="str">
        <f>"4:"</f>
        <v>4:</v>
      </c>
      <c r="D514" s="284" t="s">
        <v>964</v>
      </c>
      <c r="E514" s="285"/>
      <c r="F514" s="285"/>
      <c r="G514" s="285"/>
      <c r="H514" s="285"/>
      <c r="I514" s="285"/>
      <c r="J514" s="287"/>
      <c r="K514" s="286"/>
    </row>
    <row r="515" spans="2:11" x14ac:dyDescent="0.2">
      <c r="B515" s="38"/>
      <c r="C515" s="40" t="s">
        <v>315</v>
      </c>
      <c r="D515" s="40"/>
      <c r="E515" s="40"/>
      <c r="F515" s="40"/>
      <c r="G515" s="40"/>
      <c r="H515" s="40"/>
      <c r="I515" s="40"/>
      <c r="J515" s="266" t="s">
        <v>870</v>
      </c>
      <c r="K515" s="41"/>
    </row>
    <row r="516" spans="2:11" x14ac:dyDescent="0.2">
      <c r="B516" s="38"/>
      <c r="C516" s="40" t="s">
        <v>261</v>
      </c>
      <c r="D516" s="40"/>
      <c r="E516" s="40"/>
      <c r="F516" s="40"/>
      <c r="G516" s="40"/>
      <c r="H516" s="40"/>
      <c r="I516" s="40"/>
      <c r="J516" s="245">
        <f>IF(J515=$B$973,$A$973,IF(J515=$B$974,$A$974,IF(J515=$B$975,$A$975,IF(J515=$B$976,$A$976,IF(J515=$B$977,$A$977,"Not Calculated")))))</f>
        <v>0</v>
      </c>
      <c r="K516" s="41"/>
    </row>
    <row r="517" spans="2:11" x14ac:dyDescent="0.2">
      <c r="B517" s="38"/>
      <c r="C517" s="40" t="s">
        <v>893</v>
      </c>
      <c r="D517" s="40"/>
      <c r="E517" s="40"/>
      <c r="F517" s="40"/>
      <c r="G517" s="40"/>
      <c r="H517" s="40"/>
      <c r="I517" s="40"/>
      <c r="J517" s="40"/>
      <c r="K517" s="41"/>
    </row>
    <row r="518" spans="2:11" ht="30" customHeight="1" x14ac:dyDescent="0.2">
      <c r="B518" s="38"/>
      <c r="C518" s="399"/>
      <c r="D518" s="400"/>
      <c r="E518" s="400"/>
      <c r="F518" s="400"/>
      <c r="G518" s="400"/>
      <c r="H518" s="400"/>
      <c r="I518" s="400"/>
      <c r="J518" s="401"/>
      <c r="K518" s="41"/>
    </row>
    <row r="519" spans="2:11" x14ac:dyDescent="0.2">
      <c r="B519" s="38"/>
      <c r="C519" s="40"/>
      <c r="D519" s="40"/>
      <c r="E519" s="40"/>
      <c r="F519" s="40"/>
      <c r="G519" s="40"/>
      <c r="H519" s="40"/>
      <c r="I519" s="40"/>
      <c r="J519" s="40"/>
      <c r="K519" s="41"/>
    </row>
    <row r="520" spans="2:11" x14ac:dyDescent="0.2">
      <c r="B520" s="38"/>
      <c r="C520" s="179" t="s">
        <v>320</v>
      </c>
      <c r="D520" s="40"/>
      <c r="E520" s="40"/>
      <c r="F520" s="40"/>
      <c r="G520" s="40"/>
      <c r="H520" s="40"/>
      <c r="I520" s="40"/>
      <c r="J520" s="245">
        <f>IF(OR(J509="Not Calculated",J516="Not Calculated")=TRUE,"Not Calculated",AVERAGE(J509,J516))</f>
        <v>0</v>
      </c>
      <c r="K520" s="41"/>
    </row>
    <row r="521" spans="2:11" x14ac:dyDescent="0.2">
      <c r="B521" s="38"/>
      <c r="C521" s="40"/>
      <c r="D521" s="40"/>
      <c r="E521" s="40"/>
      <c r="F521" s="40"/>
      <c r="G521" s="40"/>
      <c r="H521" s="40"/>
      <c r="I521" s="40"/>
      <c r="J521" s="40"/>
      <c r="K521" s="41"/>
    </row>
    <row r="522" spans="2:11" x14ac:dyDescent="0.2">
      <c r="B522" s="38"/>
      <c r="C522" s="40"/>
      <c r="D522" s="40"/>
      <c r="E522" s="40"/>
      <c r="F522" s="40"/>
      <c r="G522" s="40"/>
      <c r="H522" s="40"/>
      <c r="I522" s="40"/>
      <c r="J522" s="40"/>
      <c r="K522" s="41"/>
    </row>
    <row r="523" spans="2:11" ht="16" x14ac:dyDescent="0.2">
      <c r="B523" s="38"/>
      <c r="C523" s="45" t="s">
        <v>317</v>
      </c>
      <c r="D523" s="40"/>
      <c r="E523" s="40"/>
      <c r="F523" s="40"/>
      <c r="G523" s="40"/>
      <c r="H523" s="40"/>
      <c r="I523" s="40"/>
      <c r="J523" s="40"/>
      <c r="K523" s="41"/>
    </row>
    <row r="524" spans="2:11" ht="15" customHeight="1" x14ac:dyDescent="0.2">
      <c r="B524" s="38"/>
      <c r="C524" s="380" t="s">
        <v>318</v>
      </c>
      <c r="D524" s="380"/>
      <c r="E524" s="380"/>
      <c r="F524" s="380"/>
      <c r="G524" s="380"/>
      <c r="H524" s="380"/>
      <c r="I524" s="380"/>
      <c r="J524" s="40"/>
      <c r="K524" s="41"/>
    </row>
    <row r="525" spans="2:11" x14ac:dyDescent="0.2">
      <c r="B525" s="38"/>
      <c r="C525" s="380"/>
      <c r="D525" s="380"/>
      <c r="E525" s="380"/>
      <c r="F525" s="380"/>
      <c r="G525" s="380"/>
      <c r="H525" s="380"/>
      <c r="I525" s="380"/>
      <c r="J525" s="274">
        <f>IF('Community Characteristics'!$H$45="Yes",50,0)</f>
        <v>0</v>
      </c>
      <c r="K525" s="41"/>
    </row>
    <row r="526" spans="2:11" x14ac:dyDescent="0.2">
      <c r="B526" s="38"/>
      <c r="C526" s="40" t="s">
        <v>260</v>
      </c>
      <c r="D526" s="40"/>
      <c r="E526" s="40"/>
      <c r="F526" s="40"/>
      <c r="G526" s="40"/>
      <c r="H526" s="40"/>
      <c r="I526" s="40"/>
      <c r="J526" s="248">
        <f>IF(J525&lt;=0,0,IF(J525&lt;=1,1,IF(J525&lt;=5,2,IF(J525&lt;=10,3,4))))</f>
        <v>0</v>
      </c>
      <c r="K526" s="41"/>
    </row>
    <row r="527" spans="2:11" s="51" customFormat="1" ht="9.75" customHeight="1" x14ac:dyDescent="0.2">
      <c r="B527" s="283"/>
      <c r="C527" s="279" t="str">
        <f>"0:"</f>
        <v>0:</v>
      </c>
      <c r="D527" s="284" t="s">
        <v>965</v>
      </c>
      <c r="E527" s="285"/>
      <c r="F527" s="285"/>
      <c r="G527" s="285"/>
      <c r="H527" s="285"/>
      <c r="I527" s="285"/>
      <c r="J527" s="43"/>
      <c r="K527" s="286"/>
    </row>
    <row r="528" spans="2:11" s="51" customFormat="1" ht="9.75" customHeight="1" x14ac:dyDescent="0.2">
      <c r="B528" s="283"/>
      <c r="C528" s="280" t="str">
        <f>"1:"</f>
        <v>1:</v>
      </c>
      <c r="D528" s="284" t="s">
        <v>966</v>
      </c>
      <c r="E528" s="285"/>
      <c r="F528" s="285"/>
      <c r="G528" s="285"/>
      <c r="H528" s="285"/>
      <c r="I528" s="285"/>
      <c r="J528" s="43"/>
      <c r="K528" s="286"/>
    </row>
    <row r="529" spans="2:11" s="51" customFormat="1" ht="9.75" customHeight="1" x14ac:dyDescent="0.2">
      <c r="B529" s="283"/>
      <c r="C529" s="280" t="str">
        <f>"2:"</f>
        <v>2:</v>
      </c>
      <c r="D529" s="284" t="s">
        <v>967</v>
      </c>
      <c r="E529" s="285"/>
      <c r="F529" s="285"/>
      <c r="G529" s="285"/>
      <c r="H529" s="285"/>
      <c r="I529" s="285"/>
      <c r="J529" s="43"/>
      <c r="K529" s="286"/>
    </row>
    <row r="530" spans="2:11" s="51" customFormat="1" ht="9.75" customHeight="1" x14ac:dyDescent="0.2">
      <c r="B530" s="283"/>
      <c r="C530" s="280" t="str">
        <f>"3:"</f>
        <v>3:</v>
      </c>
      <c r="D530" s="284" t="s">
        <v>968</v>
      </c>
      <c r="E530" s="285"/>
      <c r="F530" s="285"/>
      <c r="G530" s="285"/>
      <c r="H530" s="285"/>
      <c r="I530" s="285"/>
      <c r="J530" s="43"/>
      <c r="K530" s="286"/>
    </row>
    <row r="531" spans="2:11" s="51" customFormat="1" ht="9.75" customHeight="1" x14ac:dyDescent="0.2">
      <c r="B531" s="283"/>
      <c r="C531" s="280" t="str">
        <f>"4:"</f>
        <v>4:</v>
      </c>
      <c r="D531" s="284" t="s">
        <v>969</v>
      </c>
      <c r="E531" s="285"/>
      <c r="F531" s="285"/>
      <c r="G531" s="285"/>
      <c r="H531" s="285"/>
      <c r="I531" s="285"/>
      <c r="J531" s="287"/>
      <c r="K531" s="286"/>
    </row>
    <row r="532" spans="2:11" x14ac:dyDescent="0.2">
      <c r="B532" s="38"/>
      <c r="C532" s="40" t="s">
        <v>257</v>
      </c>
      <c r="D532" s="40"/>
      <c r="E532" s="40"/>
      <c r="F532" s="40"/>
      <c r="G532" s="40"/>
      <c r="H532" s="40"/>
      <c r="I532" s="40"/>
      <c r="J532" s="266" t="s">
        <v>870</v>
      </c>
      <c r="K532" s="41"/>
    </row>
    <row r="533" spans="2:11" x14ac:dyDescent="0.2">
      <c r="B533" s="38"/>
      <c r="C533" s="40" t="s">
        <v>261</v>
      </c>
      <c r="D533" s="40"/>
      <c r="E533" s="40"/>
      <c r="F533" s="40"/>
      <c r="G533" s="40"/>
      <c r="H533" s="40"/>
      <c r="I533" s="40"/>
      <c r="J533" s="245">
        <f>IF(J532=$B$973,$A$973,IF(J532=$B$974,$A$974,IF(J532=$B$975,$A$975,IF(J532=$B$976,$A$976,IF(J532=$B$977,$A$977,"Not Calculated")))))</f>
        <v>0</v>
      </c>
      <c r="K533" s="41"/>
    </row>
    <row r="534" spans="2:11" x14ac:dyDescent="0.2">
      <c r="B534" s="38"/>
      <c r="C534" s="40" t="s">
        <v>893</v>
      </c>
      <c r="D534" s="40"/>
      <c r="E534" s="40"/>
      <c r="F534" s="40"/>
      <c r="G534" s="40"/>
      <c r="H534" s="40"/>
      <c r="I534" s="40"/>
      <c r="J534" s="40"/>
      <c r="K534" s="41"/>
    </row>
    <row r="535" spans="2:11" ht="30" customHeight="1" x14ac:dyDescent="0.2">
      <c r="B535" s="38"/>
      <c r="C535" s="399" t="s">
        <v>520</v>
      </c>
      <c r="D535" s="400"/>
      <c r="E535" s="400"/>
      <c r="F535" s="400"/>
      <c r="G535" s="400"/>
      <c r="H535" s="400"/>
      <c r="I535" s="400"/>
      <c r="J535" s="401"/>
      <c r="K535" s="41"/>
    </row>
    <row r="536" spans="2:11" x14ac:dyDescent="0.2">
      <c r="B536" s="38"/>
      <c r="C536" s="40"/>
      <c r="D536" s="40"/>
      <c r="E536" s="40"/>
      <c r="F536" s="40"/>
      <c r="G536" s="40"/>
      <c r="H536" s="40"/>
      <c r="I536" s="40"/>
      <c r="J536" s="40"/>
      <c r="K536" s="41"/>
    </row>
    <row r="537" spans="2:11" x14ac:dyDescent="0.2">
      <c r="B537" s="38"/>
      <c r="C537" s="179" t="s">
        <v>319</v>
      </c>
      <c r="D537" s="40"/>
      <c r="E537" s="40"/>
      <c r="F537" s="40"/>
      <c r="G537" s="40"/>
      <c r="H537" s="40"/>
      <c r="I537" s="40"/>
      <c r="J537" s="245">
        <f>IF(OR(J526="Not Calculated",J533="Not Calculated")=TRUE,"Not Calculated",AVERAGE(J526,J533))</f>
        <v>0</v>
      </c>
      <c r="K537" s="41"/>
    </row>
    <row r="538" spans="2:11" x14ac:dyDescent="0.2">
      <c r="B538" s="38"/>
      <c r="C538" s="40"/>
      <c r="D538" s="40"/>
      <c r="E538" s="40"/>
      <c r="F538" s="40"/>
      <c r="G538" s="40"/>
      <c r="H538" s="40"/>
      <c r="I538" s="40"/>
      <c r="J538" s="40"/>
      <c r="K538" s="41"/>
    </row>
    <row r="539" spans="2:11" ht="18" x14ac:dyDescent="0.2">
      <c r="B539" s="38"/>
      <c r="C539" s="180" t="s">
        <v>302</v>
      </c>
      <c r="D539" s="40"/>
      <c r="E539" s="40"/>
      <c r="F539" s="40"/>
      <c r="G539" s="40"/>
      <c r="H539" s="40"/>
      <c r="I539" s="40"/>
      <c r="J539" s="244">
        <f>IF(OR(J440="Not Calculated",J457="Not Calculated",J473="Not Calculated",J488="Not Calculated",J504="Not Calculated",J520="Not Calculated",J537="Not Calculated")=TRUE,"Not Calculated",AVERAGE(J440,J457,J473,J488,J504,J520,J537))</f>
        <v>0.5714285714285714</v>
      </c>
      <c r="K539" s="41"/>
    </row>
    <row r="540" spans="2:11" ht="16" thickBot="1" x14ac:dyDescent="0.25">
      <c r="B540" s="46"/>
      <c r="C540" s="47"/>
      <c r="D540" s="47"/>
      <c r="E540" s="47"/>
      <c r="F540" s="47"/>
      <c r="G540" s="47"/>
      <c r="H540" s="47"/>
      <c r="I540" s="47"/>
      <c r="J540" s="47"/>
      <c r="K540" s="49"/>
    </row>
    <row r="541" spans="2:11" ht="16" thickBot="1" x14ac:dyDescent="0.25"/>
    <row r="542" spans="2:11" x14ac:dyDescent="0.2">
      <c r="B542" s="33"/>
      <c r="C542" s="34"/>
      <c r="D542" s="34"/>
      <c r="E542" s="34"/>
      <c r="F542" s="34"/>
      <c r="G542" s="34"/>
      <c r="H542" s="34"/>
      <c r="I542" s="34"/>
      <c r="J542" s="34"/>
      <c r="K542" s="37"/>
    </row>
    <row r="543" spans="2:11" ht="21" x14ac:dyDescent="0.25">
      <c r="B543" s="38"/>
      <c r="C543" s="40"/>
      <c r="D543" s="40"/>
      <c r="E543" s="40"/>
      <c r="F543" s="40"/>
      <c r="G543" s="172" t="s">
        <v>29</v>
      </c>
      <c r="H543" s="40"/>
      <c r="I543" s="40"/>
      <c r="J543" s="40"/>
      <c r="K543" s="41"/>
    </row>
    <row r="544" spans="2:11" ht="15" customHeight="1" x14ac:dyDescent="0.2">
      <c r="B544" s="38"/>
      <c r="C544" s="40"/>
      <c r="D544" s="40"/>
      <c r="E544" s="40"/>
      <c r="F544" s="40"/>
      <c r="G544" s="40"/>
      <c r="H544" s="40"/>
      <c r="I544" s="40"/>
      <c r="J544" s="40"/>
      <c r="K544" s="41"/>
    </row>
    <row r="545" spans="2:14" ht="16" x14ac:dyDescent="0.2">
      <c r="B545" s="38"/>
      <c r="C545" s="45" t="s">
        <v>88</v>
      </c>
      <c r="D545" s="40"/>
      <c r="E545" s="40"/>
      <c r="F545" s="40"/>
      <c r="G545" s="40"/>
      <c r="H545" s="40"/>
      <c r="I545" s="40"/>
      <c r="J545" s="40"/>
      <c r="K545" s="41"/>
    </row>
    <row r="546" spans="2:14" x14ac:dyDescent="0.2">
      <c r="B546" s="38"/>
      <c r="C546" s="40" t="s">
        <v>448</v>
      </c>
      <c r="D546" s="40"/>
      <c r="E546" s="40"/>
      <c r="F546" s="40"/>
      <c r="G546" s="40"/>
      <c r="H546" s="40"/>
      <c r="I546" s="40"/>
      <c r="J546" s="251">
        <f>'Baseline Health'!G123</f>
        <v>0</v>
      </c>
      <c r="K546" s="41"/>
    </row>
    <row r="547" spans="2:14" x14ac:dyDescent="0.2">
      <c r="B547" s="38"/>
      <c r="C547" s="40" t="s">
        <v>322</v>
      </c>
      <c r="D547" s="40"/>
      <c r="E547" s="40"/>
      <c r="F547" s="40"/>
      <c r="G547" s="40"/>
      <c r="H547" s="40"/>
      <c r="I547" s="40"/>
      <c r="J547" s="264" t="str">
        <f>IF('Community Characteristics'!H10=0,"Not Calculated",('Community Characteristics'!H56/'Community Characteristics'!H10)*'Nuclear Facility Accident'!J546)</f>
        <v>Not Calculated</v>
      </c>
      <c r="K547" s="41"/>
    </row>
    <row r="548" spans="2:14" x14ac:dyDescent="0.2">
      <c r="B548" s="38"/>
      <c r="C548" s="40" t="s">
        <v>428</v>
      </c>
      <c r="D548" s="40"/>
      <c r="E548" s="40"/>
      <c r="F548" s="40"/>
      <c r="G548" s="40"/>
      <c r="H548" s="40"/>
      <c r="I548" s="40"/>
      <c r="J548" s="264">
        <f>IF('Community Characteristics'!$H$45="Yes",J546*2,0)</f>
        <v>0</v>
      </c>
      <c r="K548" s="41"/>
    </row>
    <row r="549" spans="2:14" x14ac:dyDescent="0.2">
      <c r="B549" s="38"/>
      <c r="C549" s="40" t="s">
        <v>260</v>
      </c>
      <c r="D549" s="40"/>
      <c r="E549" s="40"/>
      <c r="F549" s="40"/>
      <c r="G549" s="40"/>
      <c r="H549" s="40"/>
      <c r="I549" s="40"/>
      <c r="J549" s="245" t="str">
        <f>IF(OR(J546=0,J546="Not Calculated",J547="Not Calculated")=TRUE,"Not Calculated",IF(J546-J547=0,4,(IF(((J546+J548)/(J546-J547))&lt;=1,0,IF(((J546+J548)/(J546-J547))&lt;=1.05,1,IF(((J546+J548)/(J546-J547))&lt;=1.5, 2,IF(((J546+J548)/(J546-J547))&lt;=2,3,4)))))))</f>
        <v>Not Calculated</v>
      </c>
      <c r="K549" s="41"/>
    </row>
    <row r="550" spans="2:14" ht="9.75" customHeight="1" x14ac:dyDescent="0.2">
      <c r="B550" s="38"/>
      <c r="C550" s="279" t="str">
        <f>"0:"</f>
        <v>0:</v>
      </c>
      <c r="D550" s="278" t="s">
        <v>918</v>
      </c>
      <c r="E550" s="40"/>
      <c r="F550" s="40"/>
      <c r="G550" s="40"/>
      <c r="H550" s="40"/>
      <c r="I550" s="40"/>
      <c r="J550" s="251"/>
      <c r="K550" s="41"/>
    </row>
    <row r="551" spans="2:14" ht="9.75" customHeight="1" x14ac:dyDescent="0.2">
      <c r="B551" s="38"/>
      <c r="C551" s="280" t="str">
        <f>"1:"</f>
        <v>1:</v>
      </c>
      <c r="D551" s="278" t="s">
        <v>923</v>
      </c>
      <c r="E551" s="40"/>
      <c r="F551" s="40"/>
      <c r="G551" s="40"/>
      <c r="H551" s="40"/>
      <c r="I551" s="40"/>
      <c r="J551" s="251"/>
      <c r="K551" s="41"/>
    </row>
    <row r="552" spans="2:14" ht="9.75" customHeight="1" x14ac:dyDescent="0.2">
      <c r="B552" s="38"/>
      <c r="C552" s="280" t="str">
        <f>"2:"</f>
        <v>2:</v>
      </c>
      <c r="D552" s="278" t="s">
        <v>924</v>
      </c>
      <c r="E552" s="40"/>
      <c r="F552" s="40"/>
      <c r="G552" s="40"/>
      <c r="H552" s="40"/>
      <c r="I552" s="40"/>
      <c r="J552" s="251"/>
      <c r="K552" s="41"/>
    </row>
    <row r="553" spans="2:14" ht="9.75" customHeight="1" x14ac:dyDescent="0.2">
      <c r="B553" s="38"/>
      <c r="C553" s="280" t="str">
        <f>"3:"</f>
        <v>3:</v>
      </c>
      <c r="D553" s="278" t="s">
        <v>925</v>
      </c>
      <c r="E553" s="40"/>
      <c r="F553" s="40"/>
      <c r="G553" s="40"/>
      <c r="H553" s="40"/>
      <c r="I553" s="40"/>
      <c r="J553" s="251"/>
      <c r="K553" s="41"/>
    </row>
    <row r="554" spans="2:14" ht="9.75" customHeight="1" x14ac:dyDescent="0.2">
      <c r="B554" s="38"/>
      <c r="C554" s="280" t="str">
        <f>"4:"</f>
        <v>4:</v>
      </c>
      <c r="D554" s="278" t="s">
        <v>926</v>
      </c>
      <c r="E554" s="40"/>
      <c r="F554" s="40"/>
      <c r="G554" s="40"/>
      <c r="H554" s="40"/>
      <c r="I554" s="40"/>
      <c r="J554" s="40"/>
      <c r="K554" s="41"/>
      <c r="N554" s="12" t="s">
        <v>661</v>
      </c>
    </row>
    <row r="555" spans="2:14" x14ac:dyDescent="0.2">
      <c r="B555" s="38"/>
      <c r="C555" s="174" t="s">
        <v>662</v>
      </c>
      <c r="D555" s="40"/>
      <c r="E555" s="40"/>
      <c r="F555" s="40"/>
      <c r="G555" s="40"/>
      <c r="H555" s="40"/>
      <c r="I555" s="40"/>
      <c r="J555" s="265" t="s">
        <v>661</v>
      </c>
      <c r="K555" s="41"/>
      <c r="N555" s="12" t="s">
        <v>894</v>
      </c>
    </row>
    <row r="556" spans="2:14" x14ac:dyDescent="0.2">
      <c r="B556" s="38"/>
      <c r="C556" s="174" t="s">
        <v>660</v>
      </c>
      <c r="D556" s="40"/>
      <c r="E556" s="40"/>
      <c r="F556" s="40"/>
      <c r="G556" s="40"/>
      <c r="H556" s="40"/>
      <c r="I556" s="40"/>
      <c r="J556" s="247" t="str">
        <f>IF(J555=N554,"N/A",IF(J555=N555,0,IF(J555=N556,1,IF(J555=N557,2,IF(J555=N558,3,IF(J555=N559,4,"N/A"))))))</f>
        <v>N/A</v>
      </c>
      <c r="K556" s="41"/>
      <c r="N556" s="12" t="s">
        <v>899</v>
      </c>
    </row>
    <row r="557" spans="2:14" x14ac:dyDescent="0.2">
      <c r="B557" s="38"/>
      <c r="C557" s="40" t="s">
        <v>257</v>
      </c>
      <c r="D557" s="40"/>
      <c r="E557" s="40"/>
      <c r="F557" s="40"/>
      <c r="G557" s="40"/>
      <c r="H557" s="40"/>
      <c r="I557" s="40"/>
      <c r="J557" s="266" t="s">
        <v>870</v>
      </c>
      <c r="K557" s="41"/>
      <c r="N557" s="12" t="s">
        <v>900</v>
      </c>
    </row>
    <row r="558" spans="2:14" x14ac:dyDescent="0.2">
      <c r="B558" s="38"/>
      <c r="C558" s="40" t="s">
        <v>261</v>
      </c>
      <c r="D558" s="40"/>
      <c r="E558" s="40"/>
      <c r="F558" s="40"/>
      <c r="G558" s="40"/>
      <c r="H558" s="40"/>
      <c r="I558" s="40"/>
      <c r="J558" s="245">
        <f>IF(J557=$B$973,$A$973,IF(J557=$B$974,$A$974,IF(J557=$B$975,$A$975,IF(J557=$B$976,$A$976,IF(J557=$B$977,$A$977,"Not Calculated")))))</f>
        <v>0</v>
      </c>
      <c r="K558" s="41"/>
      <c r="N558" s="12" t="s">
        <v>901</v>
      </c>
    </row>
    <row r="559" spans="2:14" x14ac:dyDescent="0.2">
      <c r="B559" s="38"/>
      <c r="C559" s="40" t="s">
        <v>893</v>
      </c>
      <c r="D559" s="40"/>
      <c r="E559" s="40"/>
      <c r="F559" s="40"/>
      <c r="G559" s="40"/>
      <c r="H559" s="40"/>
      <c r="I559" s="40"/>
      <c r="J559" s="40"/>
      <c r="K559" s="41"/>
      <c r="N559" s="12" t="s">
        <v>902</v>
      </c>
    </row>
    <row r="560" spans="2:14" ht="45" customHeight="1" x14ac:dyDescent="0.2">
      <c r="B560" s="38"/>
      <c r="C560" s="399" t="s">
        <v>521</v>
      </c>
      <c r="D560" s="400"/>
      <c r="E560" s="400"/>
      <c r="F560" s="400"/>
      <c r="G560" s="400"/>
      <c r="H560" s="400"/>
      <c r="I560" s="400"/>
      <c r="J560" s="401"/>
      <c r="K560" s="41"/>
    </row>
    <row r="561" spans="2:11" x14ac:dyDescent="0.2">
      <c r="B561" s="38"/>
      <c r="C561" s="40"/>
      <c r="D561" s="40"/>
      <c r="E561" s="40"/>
      <c r="F561" s="40"/>
      <c r="G561" s="40"/>
      <c r="H561" s="40"/>
      <c r="I561" s="40"/>
      <c r="J561" s="40"/>
      <c r="K561" s="41"/>
    </row>
    <row r="562" spans="2:11" x14ac:dyDescent="0.2">
      <c r="B562" s="38"/>
      <c r="C562" s="179" t="s">
        <v>323</v>
      </c>
      <c r="D562" s="40"/>
      <c r="E562" s="40"/>
      <c r="F562" s="40"/>
      <c r="G562" s="40"/>
      <c r="H562" s="40"/>
      <c r="I562" s="40"/>
      <c r="J562" s="245" t="str">
        <f>IF(J556="N/A",IF(OR(J549="Not Calculated",J558="Not Calculated")=TRUE,"Not Calculated",AVERAGE(J549,J558)),AVERAGE(J556,J558))</f>
        <v>Not Calculated</v>
      </c>
      <c r="K562" s="41"/>
    </row>
    <row r="563" spans="2:11" x14ac:dyDescent="0.2">
      <c r="B563" s="38"/>
      <c r="C563" s="40"/>
      <c r="D563" s="40"/>
      <c r="E563" s="40"/>
      <c r="F563" s="40"/>
      <c r="G563" s="40"/>
      <c r="H563" s="40"/>
      <c r="I563" s="40"/>
      <c r="J563" s="40"/>
      <c r="K563" s="41"/>
    </row>
    <row r="564" spans="2:11" x14ac:dyDescent="0.2">
      <c r="B564" s="38"/>
      <c r="C564" s="40"/>
      <c r="D564" s="40"/>
      <c r="E564" s="40"/>
      <c r="F564" s="40"/>
      <c r="G564" s="40"/>
      <c r="H564" s="40"/>
      <c r="I564" s="40"/>
      <c r="J564" s="40"/>
      <c r="K564" s="41"/>
    </row>
    <row r="565" spans="2:11" ht="16" x14ac:dyDescent="0.2">
      <c r="B565" s="38"/>
      <c r="C565" s="45" t="s">
        <v>89</v>
      </c>
      <c r="D565" s="40"/>
      <c r="E565" s="40"/>
      <c r="F565" s="40"/>
      <c r="G565" s="40"/>
      <c r="H565" s="40"/>
      <c r="I565" s="40"/>
      <c r="J565" s="40"/>
      <c r="K565" s="41"/>
    </row>
    <row r="566" spans="2:11" ht="15" customHeight="1" x14ac:dyDescent="0.2">
      <c r="B566" s="38"/>
      <c r="C566" s="380" t="s">
        <v>333</v>
      </c>
      <c r="D566" s="380"/>
      <c r="E566" s="380"/>
      <c r="F566" s="380"/>
      <c r="G566" s="380"/>
      <c r="H566" s="380"/>
      <c r="I566" s="380"/>
      <c r="J566" s="40"/>
      <c r="K566" s="41"/>
    </row>
    <row r="567" spans="2:11" x14ac:dyDescent="0.2">
      <c r="B567" s="38"/>
      <c r="C567" s="380"/>
      <c r="D567" s="380"/>
      <c r="E567" s="380"/>
      <c r="F567" s="380"/>
      <c r="G567" s="380"/>
      <c r="H567" s="380"/>
      <c r="I567" s="380"/>
      <c r="J567" s="40"/>
      <c r="K567" s="41"/>
    </row>
    <row r="568" spans="2:11" x14ac:dyDescent="0.2">
      <c r="B568" s="38"/>
      <c r="C568" s="380"/>
      <c r="D568" s="380"/>
      <c r="E568" s="380"/>
      <c r="F568" s="380"/>
      <c r="G568" s="380"/>
      <c r="H568" s="380"/>
      <c r="I568" s="380"/>
      <c r="J568" s="251">
        <f>'Baseline Health'!G132</f>
        <v>0</v>
      </c>
      <c r="K568" s="41"/>
    </row>
    <row r="569" spans="2:11" ht="15" customHeight="1" x14ac:dyDescent="0.2">
      <c r="B569" s="38"/>
      <c r="C569" s="380" t="s">
        <v>334</v>
      </c>
      <c r="D569" s="380"/>
      <c r="E569" s="380"/>
      <c r="F569" s="380"/>
      <c r="G569" s="380"/>
      <c r="H569" s="380"/>
      <c r="I569" s="380"/>
      <c r="J569" s="245"/>
      <c r="K569" s="41"/>
    </row>
    <row r="570" spans="2:11" x14ac:dyDescent="0.2">
      <c r="B570" s="38"/>
      <c r="C570" s="380"/>
      <c r="D570" s="380"/>
      <c r="E570" s="380"/>
      <c r="F570" s="380"/>
      <c r="G570" s="380"/>
      <c r="H570" s="380"/>
      <c r="I570" s="380"/>
      <c r="J570" s="245"/>
      <c r="K570" s="41"/>
    </row>
    <row r="571" spans="2:11" x14ac:dyDescent="0.2">
      <c r="B571" s="38"/>
      <c r="C571" s="380"/>
      <c r="D571" s="380"/>
      <c r="E571" s="380"/>
      <c r="F571" s="380"/>
      <c r="G571" s="380"/>
      <c r="H571" s="380"/>
      <c r="I571" s="380"/>
      <c r="J571" s="264">
        <f>J508*(160000/100000)</f>
        <v>0</v>
      </c>
      <c r="K571" s="41"/>
    </row>
    <row r="572" spans="2:11" x14ac:dyDescent="0.2">
      <c r="B572" s="38"/>
      <c r="C572" s="40" t="s">
        <v>260</v>
      </c>
      <c r="D572" s="40"/>
      <c r="E572" s="40"/>
      <c r="F572" s="40"/>
      <c r="G572" s="40"/>
      <c r="H572" s="40"/>
      <c r="I572" s="40"/>
      <c r="J572" s="245" t="str">
        <f>IF(OR(J568=0,J568="Not Calculated")=TRUE,"Not Calculated",IF(((J568+J571)/J568)&lt;=1,0,IF(((J568+J571)/J568)&lt;=1.05,1,IF(((J568+J571)/J568)&lt;=1.5, 2,IF(((J568+J571)/J568)&lt;=2,3,4)))))</f>
        <v>Not Calculated</v>
      </c>
      <c r="K572" s="41"/>
    </row>
    <row r="573" spans="2:11" ht="9.75" customHeight="1" x14ac:dyDescent="0.2">
      <c r="B573" s="38"/>
      <c r="C573" s="279" t="str">
        <f>"0:"</f>
        <v>0:</v>
      </c>
      <c r="D573" s="281" t="s">
        <v>918</v>
      </c>
      <c r="E573" s="291"/>
      <c r="F573" s="291"/>
      <c r="G573" s="291"/>
      <c r="H573" s="291"/>
      <c r="I573" s="291"/>
      <c r="J573" s="251"/>
      <c r="K573" s="41"/>
    </row>
    <row r="574" spans="2:11" ht="9.75" customHeight="1" x14ac:dyDescent="0.2">
      <c r="B574" s="38"/>
      <c r="C574" s="280" t="str">
        <f>"1:"</f>
        <v>1:</v>
      </c>
      <c r="D574" s="281" t="s">
        <v>919</v>
      </c>
      <c r="E574" s="291"/>
      <c r="F574" s="291"/>
      <c r="G574" s="291"/>
      <c r="H574" s="291"/>
      <c r="I574" s="291"/>
      <c r="J574" s="251"/>
      <c r="K574" s="41"/>
    </row>
    <row r="575" spans="2:11" ht="9.75" customHeight="1" x14ac:dyDescent="0.2">
      <c r="B575" s="38"/>
      <c r="C575" s="280" t="str">
        <f>"2:"</f>
        <v>2:</v>
      </c>
      <c r="D575" s="281" t="s">
        <v>920</v>
      </c>
      <c r="E575" s="291"/>
      <c r="F575" s="291"/>
      <c r="G575" s="291"/>
      <c r="H575" s="291"/>
      <c r="I575" s="291"/>
      <c r="J575" s="251"/>
      <c r="K575" s="41"/>
    </row>
    <row r="576" spans="2:11" ht="9.75" customHeight="1" x14ac:dyDescent="0.2">
      <c r="B576" s="38"/>
      <c r="C576" s="280" t="str">
        <f>"3:"</f>
        <v>3:</v>
      </c>
      <c r="D576" s="281" t="s">
        <v>921</v>
      </c>
      <c r="E576" s="291"/>
      <c r="F576" s="291"/>
      <c r="G576" s="291"/>
      <c r="H576" s="291"/>
      <c r="I576" s="291"/>
      <c r="J576" s="251"/>
      <c r="K576" s="41"/>
    </row>
    <row r="577" spans="2:14" ht="9.75" customHeight="1" x14ac:dyDescent="0.2">
      <c r="B577" s="38"/>
      <c r="C577" s="280" t="str">
        <f>"4:"</f>
        <v>4:</v>
      </c>
      <c r="D577" s="281" t="s">
        <v>922</v>
      </c>
      <c r="E577" s="40"/>
      <c r="F577" s="40"/>
      <c r="G577" s="40"/>
      <c r="H577" s="40"/>
      <c r="I577" s="40"/>
      <c r="J577" s="40"/>
      <c r="K577" s="41"/>
      <c r="N577" s="12" t="s">
        <v>661</v>
      </c>
    </row>
    <row r="578" spans="2:14" ht="15" customHeight="1" x14ac:dyDescent="0.2">
      <c r="B578" s="38"/>
      <c r="C578" s="174" t="s">
        <v>662</v>
      </c>
      <c r="D578" s="40"/>
      <c r="E578" s="40"/>
      <c r="F578" s="40"/>
      <c r="G578" s="40"/>
      <c r="H578" s="40"/>
      <c r="I578" s="40"/>
      <c r="J578" s="265" t="s">
        <v>661</v>
      </c>
      <c r="K578" s="41"/>
      <c r="N578" s="12" t="s">
        <v>894</v>
      </c>
    </row>
    <row r="579" spans="2:14" ht="15" customHeight="1" x14ac:dyDescent="0.2">
      <c r="B579" s="38"/>
      <c r="C579" s="174" t="s">
        <v>660</v>
      </c>
      <c r="D579" s="40"/>
      <c r="E579" s="40"/>
      <c r="F579" s="40"/>
      <c r="G579" s="40"/>
      <c r="H579" s="40"/>
      <c r="I579" s="40"/>
      <c r="J579" s="247" t="str">
        <f>IF(J578=N577,"N/A",IF(J578=N578,0,IF(J578=N579,1,IF(J578=N580,2,IF(J578=N581,3,IF(J578=N582,4,"N/A"))))))</f>
        <v>N/A</v>
      </c>
      <c r="K579" s="41"/>
      <c r="N579" s="12" t="s">
        <v>895</v>
      </c>
    </row>
    <row r="580" spans="2:14" x14ac:dyDescent="0.2">
      <c r="B580" s="38"/>
      <c r="C580" s="40" t="s">
        <v>257</v>
      </c>
      <c r="D580" s="40"/>
      <c r="E580" s="40"/>
      <c r="F580" s="40"/>
      <c r="G580" s="40"/>
      <c r="H580" s="40"/>
      <c r="I580" s="40"/>
      <c r="J580" s="266" t="s">
        <v>870</v>
      </c>
      <c r="K580" s="41"/>
      <c r="N580" s="12" t="s">
        <v>896</v>
      </c>
    </row>
    <row r="581" spans="2:14" x14ac:dyDescent="0.2">
      <c r="B581" s="38"/>
      <c r="C581" s="40" t="s">
        <v>261</v>
      </c>
      <c r="D581" s="40"/>
      <c r="E581" s="40"/>
      <c r="F581" s="40"/>
      <c r="G581" s="40"/>
      <c r="H581" s="40"/>
      <c r="I581" s="40"/>
      <c r="J581" s="245">
        <f>IF(J580=$B$973,$A$973,IF(J580=$B$974,$A$974,IF(J580=$B$975,$A$975,IF(J580=$B$976,$A$976,IF(J580=$B$977,$A$977,"Not Calculated")))))</f>
        <v>0</v>
      </c>
      <c r="K581" s="41"/>
      <c r="N581" s="12" t="s">
        <v>897</v>
      </c>
    </row>
    <row r="582" spans="2:14" x14ac:dyDescent="0.2">
      <c r="B582" s="38"/>
      <c r="C582" s="40" t="s">
        <v>893</v>
      </c>
      <c r="D582" s="40"/>
      <c r="E582" s="40"/>
      <c r="F582" s="40"/>
      <c r="G582" s="40"/>
      <c r="H582" s="40"/>
      <c r="I582" s="40"/>
      <c r="J582" s="40"/>
      <c r="K582" s="41"/>
      <c r="N582" s="12" t="s">
        <v>898</v>
      </c>
    </row>
    <row r="583" spans="2:14" ht="75" customHeight="1" x14ac:dyDescent="0.2">
      <c r="B583" s="38"/>
      <c r="C583" s="399" t="s">
        <v>522</v>
      </c>
      <c r="D583" s="400"/>
      <c r="E583" s="400"/>
      <c r="F583" s="400"/>
      <c r="G583" s="400"/>
      <c r="H583" s="400"/>
      <c r="I583" s="400"/>
      <c r="J583" s="401"/>
      <c r="K583" s="41"/>
    </row>
    <row r="584" spans="2:14" x14ac:dyDescent="0.2">
      <c r="B584" s="38"/>
      <c r="C584" s="40"/>
      <c r="D584" s="40"/>
      <c r="E584" s="40"/>
      <c r="F584" s="40"/>
      <c r="G584" s="40"/>
      <c r="H584" s="40"/>
      <c r="I584" s="40"/>
      <c r="J584" s="40"/>
      <c r="K584" s="41"/>
    </row>
    <row r="585" spans="2:14" x14ac:dyDescent="0.2">
      <c r="B585" s="38"/>
      <c r="C585" s="179" t="s">
        <v>324</v>
      </c>
      <c r="D585" s="40"/>
      <c r="E585" s="40"/>
      <c r="F585" s="40"/>
      <c r="G585" s="40"/>
      <c r="H585" s="40"/>
      <c r="I585" s="40"/>
      <c r="J585" s="245" t="str">
        <f>IF(J579="N/A",IF(OR(J572="Not Calculated",J581="Not Calculated")=TRUE,"Not Calculated",AVERAGE(J572,J581)),AVERAGE(J579,J581))</f>
        <v>Not Calculated</v>
      </c>
      <c r="K585" s="41"/>
    </row>
    <row r="586" spans="2:14" x14ac:dyDescent="0.2">
      <c r="B586" s="38"/>
      <c r="C586" s="40"/>
      <c r="D586" s="40"/>
      <c r="E586" s="40"/>
      <c r="F586" s="40"/>
      <c r="G586" s="40"/>
      <c r="H586" s="40"/>
      <c r="I586" s="40"/>
      <c r="J586" s="40"/>
      <c r="K586" s="41"/>
    </row>
    <row r="587" spans="2:14" x14ac:dyDescent="0.2">
      <c r="B587" s="38"/>
      <c r="C587" s="40"/>
      <c r="D587" s="40"/>
      <c r="E587" s="40"/>
      <c r="F587" s="40"/>
      <c r="G587" s="40"/>
      <c r="H587" s="40"/>
      <c r="I587" s="40"/>
      <c r="J587" s="40"/>
      <c r="K587" s="41"/>
    </row>
    <row r="588" spans="2:14" ht="16" x14ac:dyDescent="0.2">
      <c r="B588" s="38"/>
      <c r="C588" s="45" t="s">
        <v>115</v>
      </c>
      <c r="D588" s="40"/>
      <c r="E588" s="40"/>
      <c r="F588" s="40"/>
      <c r="G588" s="40"/>
      <c r="H588" s="40"/>
      <c r="I588" s="40"/>
      <c r="J588" s="40"/>
      <c r="K588" s="41"/>
    </row>
    <row r="589" spans="2:14" x14ac:dyDescent="0.2">
      <c r="B589" s="38"/>
      <c r="C589" s="40" t="s">
        <v>335</v>
      </c>
      <c r="D589" s="40"/>
      <c r="E589" s="40"/>
      <c r="F589" s="40"/>
      <c r="G589" s="40"/>
      <c r="H589" s="40"/>
      <c r="I589" s="40"/>
      <c r="J589" s="264">
        <f>'Community Characteristics'!$H$56</f>
        <v>0</v>
      </c>
      <c r="K589" s="41"/>
    </row>
    <row r="590" spans="2:14" x14ac:dyDescent="0.2">
      <c r="B590" s="38"/>
      <c r="C590" s="40" t="s">
        <v>260</v>
      </c>
      <c r="D590" s="40"/>
      <c r="E590" s="40"/>
      <c r="F590" s="40"/>
      <c r="G590" s="40"/>
      <c r="H590" s="40"/>
      <c r="I590" s="40"/>
      <c r="J590" s="255">
        <f>IF(J589&lt;=0,0,IF(J589&lt;=1000,1,IF(J589&lt;=5000,2,IF(J589&lt;=25000,3,4))))</f>
        <v>0</v>
      </c>
      <c r="K590" s="41"/>
    </row>
    <row r="591" spans="2:14" ht="9.75" customHeight="1" x14ac:dyDescent="0.2">
      <c r="B591" s="38"/>
      <c r="C591" s="279" t="str">
        <f>"0:"</f>
        <v>0:</v>
      </c>
      <c r="D591" s="284" t="s">
        <v>970</v>
      </c>
      <c r="E591" s="40"/>
      <c r="F591" s="40"/>
      <c r="G591" s="40"/>
      <c r="H591" s="40"/>
      <c r="I591" s="40"/>
      <c r="J591" s="251"/>
      <c r="K591" s="41"/>
    </row>
    <row r="592" spans="2:14" ht="9.75" customHeight="1" x14ac:dyDescent="0.2">
      <c r="B592" s="38"/>
      <c r="C592" s="280" t="str">
        <f>"1:"</f>
        <v>1:</v>
      </c>
      <c r="D592" s="284" t="s">
        <v>961</v>
      </c>
      <c r="E592" s="40"/>
      <c r="F592" s="40"/>
      <c r="G592" s="40"/>
      <c r="H592" s="40"/>
      <c r="I592" s="40"/>
      <c r="J592" s="251"/>
      <c r="K592" s="41"/>
    </row>
    <row r="593" spans="2:13" ht="9.75" customHeight="1" x14ac:dyDescent="0.2">
      <c r="B593" s="38"/>
      <c r="C593" s="280" t="str">
        <f>"2:"</f>
        <v>2:</v>
      </c>
      <c r="D593" s="284" t="s">
        <v>971</v>
      </c>
      <c r="E593" s="40"/>
      <c r="F593" s="40"/>
      <c r="G593" s="40"/>
      <c r="H593" s="40"/>
      <c r="I593" s="40"/>
      <c r="J593" s="251"/>
      <c r="K593" s="41"/>
    </row>
    <row r="594" spans="2:13" ht="9.75" customHeight="1" x14ac:dyDescent="0.2">
      <c r="B594" s="38"/>
      <c r="C594" s="280" t="str">
        <f>"3:"</f>
        <v>3:</v>
      </c>
      <c r="D594" s="284" t="s">
        <v>963</v>
      </c>
      <c r="E594" s="40"/>
      <c r="F594" s="40"/>
      <c r="G594" s="40"/>
      <c r="H594" s="40"/>
      <c r="I594" s="40"/>
      <c r="J594" s="251"/>
      <c r="K594" s="41"/>
    </row>
    <row r="595" spans="2:13" ht="9.75" customHeight="1" x14ac:dyDescent="0.2">
      <c r="B595" s="38"/>
      <c r="C595" s="280" t="str">
        <f>"4:"</f>
        <v>4:</v>
      </c>
      <c r="D595" s="284" t="s">
        <v>964</v>
      </c>
      <c r="E595" s="40"/>
      <c r="F595" s="40"/>
      <c r="G595" s="40"/>
      <c r="H595" s="40"/>
      <c r="I595" s="40"/>
      <c r="J595" s="40"/>
      <c r="K595" s="41"/>
    </row>
    <row r="596" spans="2:13" ht="15" customHeight="1" x14ac:dyDescent="0.2">
      <c r="B596" s="38"/>
      <c r="C596" s="40" t="s">
        <v>257</v>
      </c>
      <c r="D596" s="40"/>
      <c r="E596" s="40"/>
      <c r="F596" s="40"/>
      <c r="G596" s="40"/>
      <c r="H596" s="40"/>
      <c r="I596" s="40"/>
      <c r="J596" s="266" t="s">
        <v>870</v>
      </c>
      <c r="K596" s="41"/>
    </row>
    <row r="597" spans="2:13" ht="15" customHeight="1" x14ac:dyDescent="0.2">
      <c r="B597" s="38"/>
      <c r="C597" s="40" t="s">
        <v>261</v>
      </c>
      <c r="D597" s="40"/>
      <c r="E597" s="40"/>
      <c r="F597" s="40"/>
      <c r="G597" s="40"/>
      <c r="H597" s="40"/>
      <c r="I597" s="40"/>
      <c r="J597" s="245">
        <f>IF(J596=$B$973,$A$973,IF(J596=$B$974,$A$974,IF(J596=$B$975,$A$975,IF(J596=$B$976,$A$976,IF(J596=$B$977,$A$977,"Not Calculated")))))</f>
        <v>0</v>
      </c>
      <c r="K597" s="41"/>
    </row>
    <row r="598" spans="2:13" x14ac:dyDescent="0.2">
      <c r="B598" s="38"/>
      <c r="C598" s="40" t="s">
        <v>893</v>
      </c>
      <c r="D598" s="40"/>
      <c r="E598" s="40"/>
      <c r="F598" s="40"/>
      <c r="G598" s="40"/>
      <c r="H598" s="40"/>
      <c r="I598" s="40"/>
      <c r="J598" s="40"/>
      <c r="K598" s="41"/>
    </row>
    <row r="599" spans="2:13" ht="30" customHeight="1" x14ac:dyDescent="0.2">
      <c r="B599" s="38"/>
      <c r="C599" s="399" t="s">
        <v>523</v>
      </c>
      <c r="D599" s="400"/>
      <c r="E599" s="400"/>
      <c r="F599" s="400"/>
      <c r="G599" s="400"/>
      <c r="H599" s="400"/>
      <c r="I599" s="400"/>
      <c r="J599" s="401"/>
      <c r="K599" s="41"/>
    </row>
    <row r="600" spans="2:13" x14ac:dyDescent="0.2">
      <c r="B600" s="38"/>
      <c r="C600" s="40"/>
      <c r="D600" s="40"/>
      <c r="E600" s="40"/>
      <c r="F600" s="40"/>
      <c r="G600" s="40"/>
      <c r="H600" s="40"/>
      <c r="I600" s="40"/>
      <c r="J600" s="40"/>
      <c r="K600" s="41"/>
    </row>
    <row r="601" spans="2:13" x14ac:dyDescent="0.2">
      <c r="B601" s="38"/>
      <c r="C601" s="179" t="s">
        <v>325</v>
      </c>
      <c r="D601" s="40"/>
      <c r="E601" s="40"/>
      <c r="F601" s="40"/>
      <c r="G601" s="40"/>
      <c r="H601" s="40"/>
      <c r="I601" s="40"/>
      <c r="J601" s="245">
        <f>IF(J590="Not Calculated","Not Calculated",AVERAGE(J590,J597))</f>
        <v>0</v>
      </c>
      <c r="K601" s="41"/>
    </row>
    <row r="602" spans="2:13" x14ac:dyDescent="0.2">
      <c r="B602" s="38"/>
      <c r="C602" s="40"/>
      <c r="D602" s="40"/>
      <c r="E602" s="40"/>
      <c r="F602" s="40"/>
      <c r="G602" s="40"/>
      <c r="H602" s="40"/>
      <c r="I602" s="40"/>
      <c r="J602" s="40"/>
      <c r="K602" s="41"/>
    </row>
    <row r="603" spans="2:13" x14ac:dyDescent="0.2">
      <c r="B603" s="38"/>
      <c r="C603" s="40"/>
      <c r="D603" s="40"/>
      <c r="E603" s="40"/>
      <c r="F603" s="40"/>
      <c r="G603" s="40"/>
      <c r="H603" s="40"/>
      <c r="I603" s="40"/>
      <c r="J603" s="40"/>
      <c r="K603" s="41"/>
    </row>
    <row r="604" spans="2:13" ht="16" x14ac:dyDescent="0.2">
      <c r="B604" s="38"/>
      <c r="C604" s="45" t="s">
        <v>326</v>
      </c>
      <c r="D604" s="40"/>
      <c r="E604" s="40"/>
      <c r="F604" s="40"/>
      <c r="G604" s="40"/>
      <c r="H604" s="40"/>
      <c r="I604" s="40"/>
      <c r="J604" s="40"/>
      <c r="K604" s="41"/>
    </row>
    <row r="605" spans="2:13" x14ac:dyDescent="0.2">
      <c r="B605" s="38"/>
      <c r="C605" s="40" t="s">
        <v>336</v>
      </c>
      <c r="D605" s="40"/>
      <c r="E605" s="40"/>
      <c r="F605" s="40"/>
      <c r="G605" s="40"/>
      <c r="H605" s="40"/>
      <c r="I605" s="40"/>
      <c r="J605" s="271"/>
      <c r="K605" s="41"/>
      <c r="L605" s="330">
        <f>'Community Characteristics'!H16</f>
        <v>0</v>
      </c>
      <c r="M605" s="12" t="s">
        <v>1246</v>
      </c>
    </row>
    <row r="606" spans="2:13" x14ac:dyDescent="0.2">
      <c r="B606" s="38"/>
      <c r="C606" s="40" t="s">
        <v>260</v>
      </c>
      <c r="D606" s="40"/>
      <c r="E606" s="40"/>
      <c r="F606" s="40"/>
      <c r="G606" s="40"/>
      <c r="H606" s="40"/>
      <c r="I606" s="40"/>
      <c r="J606" s="248">
        <f>IF(J605&lt;=0,0,IF(J605&lt;=10,1,IF(J605&lt;=25,2,IF(J605&lt;=50,3,4))))</f>
        <v>0</v>
      </c>
      <c r="K606" s="41"/>
    </row>
    <row r="607" spans="2:13" ht="9.75" customHeight="1" x14ac:dyDescent="0.2">
      <c r="B607" s="38"/>
      <c r="C607" s="279" t="str">
        <f>"0:"</f>
        <v>0:</v>
      </c>
      <c r="D607" s="290" t="s">
        <v>944</v>
      </c>
      <c r="E607" s="40"/>
      <c r="F607" s="40"/>
      <c r="G607" s="40"/>
      <c r="H607" s="40"/>
      <c r="I607" s="40"/>
      <c r="J607" s="244"/>
      <c r="K607" s="41"/>
    </row>
    <row r="608" spans="2:13" ht="9.75" customHeight="1" x14ac:dyDescent="0.2">
      <c r="B608" s="38"/>
      <c r="C608" s="280" t="str">
        <f>"1:"</f>
        <v>1:</v>
      </c>
      <c r="D608" s="290" t="s">
        <v>947</v>
      </c>
      <c r="E608" s="40"/>
      <c r="F608" s="40"/>
      <c r="G608" s="40"/>
      <c r="H608" s="40"/>
      <c r="I608" s="40"/>
      <c r="J608" s="244"/>
      <c r="K608" s="41"/>
    </row>
    <row r="609" spans="2:11" ht="9.75" customHeight="1" x14ac:dyDescent="0.2">
      <c r="B609" s="38"/>
      <c r="C609" s="280" t="str">
        <f>"2:"</f>
        <v>2:</v>
      </c>
      <c r="D609" s="290" t="s">
        <v>972</v>
      </c>
      <c r="E609" s="40"/>
      <c r="F609" s="40"/>
      <c r="G609" s="40"/>
      <c r="H609" s="40"/>
      <c r="I609" s="40"/>
      <c r="J609" s="244"/>
      <c r="K609" s="41"/>
    </row>
    <row r="610" spans="2:11" ht="9.75" customHeight="1" x14ac:dyDescent="0.2">
      <c r="B610" s="38"/>
      <c r="C610" s="280" t="str">
        <f>"3:"</f>
        <v>3:</v>
      </c>
      <c r="D610" s="290" t="s">
        <v>973</v>
      </c>
      <c r="E610" s="40"/>
      <c r="F610" s="40"/>
      <c r="G610" s="40"/>
      <c r="H610" s="40"/>
      <c r="I610" s="40"/>
      <c r="J610" s="244"/>
      <c r="K610" s="41"/>
    </row>
    <row r="611" spans="2:11" ht="9.75" customHeight="1" x14ac:dyDescent="0.2">
      <c r="B611" s="38"/>
      <c r="C611" s="280" t="str">
        <f>"4:"</f>
        <v>4:</v>
      </c>
      <c r="D611" s="290" t="s">
        <v>974</v>
      </c>
      <c r="E611" s="40"/>
      <c r="F611" s="40"/>
      <c r="G611" s="40"/>
      <c r="H611" s="40"/>
      <c r="I611" s="40"/>
      <c r="J611" s="40"/>
      <c r="K611" s="41"/>
    </row>
    <row r="612" spans="2:11" x14ac:dyDescent="0.2">
      <c r="B612" s="38"/>
      <c r="C612" s="40" t="s">
        <v>893</v>
      </c>
      <c r="D612" s="40"/>
      <c r="E612" s="40"/>
      <c r="F612" s="40"/>
      <c r="G612" s="40"/>
      <c r="H612" s="40"/>
      <c r="I612" s="40"/>
      <c r="J612" s="40"/>
      <c r="K612" s="41"/>
    </row>
    <row r="613" spans="2:11" ht="30" customHeight="1" x14ac:dyDescent="0.2">
      <c r="B613" s="38"/>
      <c r="C613" s="399" t="s">
        <v>524</v>
      </c>
      <c r="D613" s="400"/>
      <c r="E613" s="400"/>
      <c r="F613" s="400"/>
      <c r="G613" s="400"/>
      <c r="H613" s="400"/>
      <c r="I613" s="400"/>
      <c r="J613" s="401"/>
      <c r="K613" s="41"/>
    </row>
    <row r="614" spans="2:11" x14ac:dyDescent="0.2">
      <c r="B614" s="38"/>
      <c r="C614" s="40"/>
      <c r="D614" s="40"/>
      <c r="E614" s="40"/>
      <c r="F614" s="40"/>
      <c r="G614" s="40"/>
      <c r="H614" s="40"/>
      <c r="I614" s="40"/>
      <c r="J614" s="40"/>
      <c r="K614" s="41"/>
    </row>
    <row r="615" spans="2:11" x14ac:dyDescent="0.2">
      <c r="B615" s="38"/>
      <c r="C615" s="179" t="s">
        <v>327</v>
      </c>
      <c r="D615" s="40"/>
      <c r="E615" s="40"/>
      <c r="F615" s="40"/>
      <c r="G615" s="40"/>
      <c r="H615" s="40"/>
      <c r="I615" s="40"/>
      <c r="J615" s="245">
        <f>J606</f>
        <v>0</v>
      </c>
      <c r="K615" s="41"/>
    </row>
    <row r="616" spans="2:11" x14ac:dyDescent="0.2">
      <c r="B616" s="38"/>
      <c r="C616" s="40"/>
      <c r="D616" s="40"/>
      <c r="E616" s="40"/>
      <c r="F616" s="40"/>
      <c r="G616" s="40"/>
      <c r="H616" s="40"/>
      <c r="I616" s="40"/>
      <c r="J616" s="40"/>
      <c r="K616" s="41"/>
    </row>
    <row r="617" spans="2:11" x14ac:dyDescent="0.2">
      <c r="B617" s="38"/>
      <c r="C617" s="40"/>
      <c r="D617" s="40"/>
      <c r="E617" s="40"/>
      <c r="F617" s="40"/>
      <c r="G617" s="40"/>
      <c r="H617" s="40"/>
      <c r="I617" s="40"/>
      <c r="J617" s="40"/>
      <c r="K617" s="41"/>
    </row>
    <row r="618" spans="2:11" ht="16" x14ac:dyDescent="0.2">
      <c r="B618" s="38"/>
      <c r="C618" s="45" t="s">
        <v>92</v>
      </c>
      <c r="D618" s="40"/>
      <c r="E618" s="40"/>
      <c r="F618" s="40"/>
      <c r="G618" s="40"/>
      <c r="H618" s="40"/>
      <c r="I618" s="40"/>
      <c r="J618" s="40"/>
      <c r="K618" s="41"/>
    </row>
    <row r="619" spans="2:11" x14ac:dyDescent="0.2">
      <c r="B619" s="38"/>
      <c r="C619" s="40" t="s">
        <v>337</v>
      </c>
      <c r="D619" s="40"/>
      <c r="E619" s="40"/>
      <c r="F619" s="40"/>
      <c r="G619" s="40"/>
      <c r="H619" s="40"/>
      <c r="I619" s="40"/>
      <c r="J619" s="251">
        <f>'Baseline Health'!G137</f>
        <v>1</v>
      </c>
      <c r="K619" s="41"/>
    </row>
    <row r="620" spans="2:11" ht="15" customHeight="1" x14ac:dyDescent="0.2">
      <c r="B620" s="38"/>
      <c r="C620" s="380" t="s">
        <v>338</v>
      </c>
      <c r="D620" s="380"/>
      <c r="E620" s="380"/>
      <c r="F620" s="380"/>
      <c r="G620" s="380"/>
      <c r="H620" s="380"/>
      <c r="I620" s="380"/>
      <c r="J620" s="251"/>
      <c r="K620" s="41"/>
    </row>
    <row r="621" spans="2:11" x14ac:dyDescent="0.2">
      <c r="B621" s="38"/>
      <c r="C621" s="380"/>
      <c r="D621" s="380"/>
      <c r="E621" s="380"/>
      <c r="F621" s="380"/>
      <c r="G621" s="380"/>
      <c r="H621" s="380"/>
      <c r="I621" s="380"/>
      <c r="J621" s="264">
        <f>IF('Community Characteristics'!H45="Yes",1000,0)</f>
        <v>0</v>
      </c>
      <c r="K621" s="41"/>
    </row>
    <row r="622" spans="2:11" x14ac:dyDescent="0.2">
      <c r="B622" s="38"/>
      <c r="C622" s="40" t="s">
        <v>260</v>
      </c>
      <c r="D622" s="40"/>
      <c r="E622" s="40"/>
      <c r="F622" s="40"/>
      <c r="G622" s="40"/>
      <c r="H622" s="40"/>
      <c r="I622" s="40"/>
      <c r="J622" s="245">
        <f>IF(OR(J619=0,J619="Not Calculated")=TRUE,"Not Calculated",IF(((J619+J621)/J619)&lt;=1,0,IF(((J619+J621)/J619)&lt;=1.05,1,IF(((J619+J621)/J619)&lt;=1.5, 2,IF(((J619+J621)/J619)&lt;=2,3,4)))))</f>
        <v>0</v>
      </c>
      <c r="K622" s="41"/>
    </row>
    <row r="623" spans="2:11" ht="9.75" customHeight="1" x14ac:dyDescent="0.2">
      <c r="B623" s="38"/>
      <c r="C623" s="279" t="str">
        <f>"0:"</f>
        <v>0:</v>
      </c>
      <c r="D623" s="281" t="s">
        <v>918</v>
      </c>
      <c r="E623" s="291"/>
      <c r="F623" s="291"/>
      <c r="G623" s="291"/>
      <c r="H623" s="291"/>
      <c r="I623" s="291"/>
      <c r="J623" s="251"/>
      <c r="K623" s="41"/>
    </row>
    <row r="624" spans="2:11" ht="9.75" customHeight="1" x14ac:dyDescent="0.2">
      <c r="B624" s="38"/>
      <c r="C624" s="280" t="str">
        <f>"1:"</f>
        <v>1:</v>
      </c>
      <c r="D624" s="281" t="s">
        <v>919</v>
      </c>
      <c r="E624" s="291"/>
      <c r="F624" s="291"/>
      <c r="G624" s="291"/>
      <c r="H624" s="291"/>
      <c r="I624" s="291"/>
      <c r="J624" s="251"/>
      <c r="K624" s="41"/>
    </row>
    <row r="625" spans="2:14" ht="9.75" customHeight="1" x14ac:dyDescent="0.2">
      <c r="B625" s="38"/>
      <c r="C625" s="280" t="str">
        <f>"2:"</f>
        <v>2:</v>
      </c>
      <c r="D625" s="281" t="s">
        <v>920</v>
      </c>
      <c r="E625" s="291"/>
      <c r="F625" s="291"/>
      <c r="G625" s="291"/>
      <c r="H625" s="291"/>
      <c r="I625" s="291"/>
      <c r="J625" s="251"/>
      <c r="K625" s="41"/>
    </row>
    <row r="626" spans="2:14" ht="9.75" customHeight="1" x14ac:dyDescent="0.2">
      <c r="B626" s="38"/>
      <c r="C626" s="280" t="str">
        <f>"3:"</f>
        <v>3:</v>
      </c>
      <c r="D626" s="281" t="s">
        <v>921</v>
      </c>
      <c r="E626" s="291"/>
      <c r="F626" s="291"/>
      <c r="G626" s="291"/>
      <c r="H626" s="291"/>
      <c r="I626" s="291"/>
      <c r="J626" s="251"/>
      <c r="K626" s="41"/>
    </row>
    <row r="627" spans="2:14" ht="9.75" customHeight="1" x14ac:dyDescent="0.2">
      <c r="B627" s="38"/>
      <c r="C627" s="280" t="str">
        <f>"4:"</f>
        <v>4:</v>
      </c>
      <c r="D627" s="281" t="s">
        <v>922</v>
      </c>
      <c r="E627" s="40"/>
      <c r="F627" s="40"/>
      <c r="G627" s="40"/>
      <c r="H627" s="40"/>
      <c r="I627" s="40"/>
      <c r="J627" s="40"/>
      <c r="K627" s="41"/>
      <c r="N627" s="12" t="s">
        <v>661</v>
      </c>
    </row>
    <row r="628" spans="2:14" x14ac:dyDescent="0.2">
      <c r="B628" s="38"/>
      <c r="C628" s="174" t="s">
        <v>662</v>
      </c>
      <c r="D628" s="40"/>
      <c r="E628" s="40"/>
      <c r="F628" s="40"/>
      <c r="G628" s="40"/>
      <c r="H628" s="40"/>
      <c r="I628" s="40"/>
      <c r="J628" s="265" t="s">
        <v>661</v>
      </c>
      <c r="K628" s="41"/>
      <c r="N628" s="12" t="s">
        <v>894</v>
      </c>
    </row>
    <row r="629" spans="2:14" x14ac:dyDescent="0.2">
      <c r="B629" s="38"/>
      <c r="C629" s="174" t="s">
        <v>660</v>
      </c>
      <c r="D629" s="40"/>
      <c r="E629" s="40"/>
      <c r="F629" s="40"/>
      <c r="G629" s="40"/>
      <c r="H629" s="40"/>
      <c r="I629" s="40"/>
      <c r="J629" s="247" t="str">
        <f>IF(J628=N627,"N/A",IF(J628=N628,0,IF(J628=N629,1,IF(J628=N630,2,IF(J628=N631,3,IF(J628=N632,4,"N/A"))))))</f>
        <v>N/A</v>
      </c>
      <c r="K629" s="41"/>
      <c r="N629" s="12" t="s">
        <v>895</v>
      </c>
    </row>
    <row r="630" spans="2:14" x14ac:dyDescent="0.2">
      <c r="B630" s="38"/>
      <c r="C630" s="40" t="s">
        <v>257</v>
      </c>
      <c r="D630" s="40"/>
      <c r="E630" s="40"/>
      <c r="F630" s="40"/>
      <c r="G630" s="40"/>
      <c r="H630" s="40"/>
      <c r="I630" s="40"/>
      <c r="J630" s="266" t="s">
        <v>870</v>
      </c>
      <c r="K630" s="41"/>
      <c r="N630" s="12" t="s">
        <v>896</v>
      </c>
    </row>
    <row r="631" spans="2:14" x14ac:dyDescent="0.2">
      <c r="B631" s="38"/>
      <c r="C631" s="40" t="s">
        <v>261</v>
      </c>
      <c r="D631" s="40"/>
      <c r="E631" s="40"/>
      <c r="F631" s="40"/>
      <c r="G631" s="40"/>
      <c r="H631" s="40"/>
      <c r="I631" s="40"/>
      <c r="J631" s="245">
        <f>IF(J630=$B$973,$A$973,IF(J630=$B$974,$A$974,IF(J630=$B$975,$A$975,IF(J630=$B$976,$A$976,IF(J630=$B$977,$A$977,"Not Calculated")))))</f>
        <v>0</v>
      </c>
      <c r="K631" s="41"/>
      <c r="N631" s="12" t="s">
        <v>897</v>
      </c>
    </row>
    <row r="632" spans="2:14" x14ac:dyDescent="0.2">
      <c r="B632" s="38"/>
      <c r="C632" s="40" t="s">
        <v>893</v>
      </c>
      <c r="D632" s="40"/>
      <c r="E632" s="40"/>
      <c r="F632" s="40"/>
      <c r="G632" s="40"/>
      <c r="H632" s="40"/>
      <c r="I632" s="40"/>
      <c r="J632" s="40"/>
      <c r="K632" s="41"/>
      <c r="N632" s="12" t="s">
        <v>898</v>
      </c>
    </row>
    <row r="633" spans="2:14" ht="45" customHeight="1" x14ac:dyDescent="0.2">
      <c r="B633" s="38"/>
      <c r="C633" s="399" t="s">
        <v>525</v>
      </c>
      <c r="D633" s="400"/>
      <c r="E633" s="400"/>
      <c r="F633" s="400"/>
      <c r="G633" s="400"/>
      <c r="H633" s="400"/>
      <c r="I633" s="400"/>
      <c r="J633" s="401"/>
      <c r="K633" s="41"/>
    </row>
    <row r="634" spans="2:14" x14ac:dyDescent="0.2">
      <c r="B634" s="38"/>
      <c r="C634" s="40"/>
      <c r="D634" s="40"/>
      <c r="E634" s="40"/>
      <c r="F634" s="40"/>
      <c r="G634" s="40"/>
      <c r="H634" s="40"/>
      <c r="I634" s="40"/>
      <c r="J634" s="40"/>
      <c r="K634" s="41"/>
    </row>
    <row r="635" spans="2:14" x14ac:dyDescent="0.2">
      <c r="B635" s="38"/>
      <c r="C635" s="179" t="s">
        <v>328</v>
      </c>
      <c r="D635" s="40"/>
      <c r="E635" s="40"/>
      <c r="F635" s="40"/>
      <c r="G635" s="40"/>
      <c r="H635" s="40"/>
      <c r="I635" s="40"/>
      <c r="J635" s="245">
        <f>IF(J629="N/A",IF(OR(J622="Not Calculated",J631="Not Calculated")=TRUE,"Not Calculated",AVERAGE(J622,J631)),AVERAGE(J629,J631))</f>
        <v>0</v>
      </c>
      <c r="K635" s="41"/>
    </row>
    <row r="636" spans="2:14" x14ac:dyDescent="0.2">
      <c r="B636" s="38"/>
      <c r="C636" s="40"/>
      <c r="D636" s="40"/>
      <c r="E636" s="40"/>
      <c r="F636" s="40"/>
      <c r="G636" s="40"/>
      <c r="H636" s="40"/>
      <c r="I636" s="40"/>
      <c r="J636" s="40"/>
      <c r="K636" s="41"/>
    </row>
    <row r="637" spans="2:14" x14ac:dyDescent="0.2">
      <c r="B637" s="38"/>
      <c r="C637" s="40"/>
      <c r="D637" s="40"/>
      <c r="E637" s="40"/>
      <c r="F637" s="40"/>
      <c r="G637" s="40"/>
      <c r="H637" s="40"/>
      <c r="I637" s="40"/>
      <c r="J637" s="40"/>
      <c r="K637" s="41"/>
    </row>
    <row r="638" spans="2:14" ht="16" x14ac:dyDescent="0.2">
      <c r="B638" s="38"/>
      <c r="C638" s="45" t="s">
        <v>329</v>
      </c>
      <c r="D638" s="40"/>
      <c r="E638" s="40"/>
      <c r="F638" s="40"/>
      <c r="G638" s="40"/>
      <c r="H638" s="40"/>
      <c r="I638" s="40"/>
      <c r="J638" s="40"/>
      <c r="K638" s="41"/>
    </row>
    <row r="639" spans="2:14" ht="15" customHeight="1" x14ac:dyDescent="0.2">
      <c r="B639" s="38"/>
      <c r="C639" s="380" t="s">
        <v>339</v>
      </c>
      <c r="D639" s="380"/>
      <c r="E639" s="380"/>
      <c r="F639" s="380"/>
      <c r="G639" s="380"/>
      <c r="H639" s="380"/>
      <c r="I639" s="380"/>
      <c r="J639" s="40"/>
      <c r="K639" s="41"/>
    </row>
    <row r="640" spans="2:14" x14ac:dyDescent="0.2">
      <c r="B640" s="38"/>
      <c r="C640" s="380"/>
      <c r="D640" s="380"/>
      <c r="E640" s="380"/>
      <c r="F640" s="380"/>
      <c r="G640" s="380"/>
      <c r="H640" s="380"/>
      <c r="I640" s="380"/>
      <c r="J640" s="250">
        <f>'Baseline Health'!G145</f>
        <v>0</v>
      </c>
      <c r="K640" s="41"/>
    </row>
    <row r="641" spans="2:14" ht="15" customHeight="1" x14ac:dyDescent="0.2">
      <c r="B641" s="38"/>
      <c r="C641" s="380" t="s">
        <v>340</v>
      </c>
      <c r="D641" s="380"/>
      <c r="E641" s="380"/>
      <c r="F641" s="380"/>
      <c r="G641" s="380"/>
      <c r="H641" s="380"/>
      <c r="I641" s="380"/>
      <c r="J641" s="245"/>
      <c r="K641" s="41"/>
    </row>
    <row r="642" spans="2:14" x14ac:dyDescent="0.2">
      <c r="B642" s="38"/>
      <c r="C642" s="380"/>
      <c r="D642" s="380"/>
      <c r="E642" s="380"/>
      <c r="F642" s="380"/>
      <c r="G642" s="380"/>
      <c r="H642" s="380"/>
      <c r="I642" s="380"/>
      <c r="J642" s="245"/>
      <c r="K642" s="41"/>
    </row>
    <row r="643" spans="2:14" x14ac:dyDescent="0.2">
      <c r="B643" s="38"/>
      <c r="C643" s="380"/>
      <c r="D643" s="380"/>
      <c r="E643" s="380"/>
      <c r="F643" s="380"/>
      <c r="G643" s="380"/>
      <c r="H643" s="380"/>
      <c r="I643" s="380"/>
      <c r="J643" s="272">
        <v>0</v>
      </c>
      <c r="K643" s="41"/>
    </row>
    <row r="644" spans="2:14" x14ac:dyDescent="0.2">
      <c r="B644" s="38"/>
      <c r="C644" s="40" t="s">
        <v>260</v>
      </c>
      <c r="D644" s="40"/>
      <c r="E644" s="40"/>
      <c r="F644" s="40"/>
      <c r="G644" s="40"/>
      <c r="H644" s="40"/>
      <c r="I644" s="40"/>
      <c r="J644" s="245" t="str">
        <f>IF(OR(J640=0,J640="Not Calculated")=TRUE,"Not Calculated",IF(((J640+J643)/J640)&lt;=1,0,IF(((J640+J643)/J640)&lt;=1.05,1,IF(((J640+J643)/J640)&lt;=1.5, 2,IF(((J640+J643)/J640)&lt;=2,3,4)))))</f>
        <v>Not Calculated</v>
      </c>
      <c r="K644" s="41"/>
    </row>
    <row r="645" spans="2:14" ht="9.75" customHeight="1" x14ac:dyDescent="0.2">
      <c r="B645" s="38"/>
      <c r="C645" s="279" t="str">
        <f>"0:"</f>
        <v>0:</v>
      </c>
      <c r="D645" s="281" t="s">
        <v>918</v>
      </c>
      <c r="E645" s="291"/>
      <c r="F645" s="291"/>
      <c r="G645" s="291"/>
      <c r="H645" s="291"/>
      <c r="I645" s="291"/>
      <c r="J645" s="250"/>
      <c r="K645" s="41"/>
    </row>
    <row r="646" spans="2:14" ht="9.75" customHeight="1" x14ac:dyDescent="0.2">
      <c r="B646" s="38"/>
      <c r="C646" s="280" t="str">
        <f>"1:"</f>
        <v>1:</v>
      </c>
      <c r="D646" s="281" t="s">
        <v>919</v>
      </c>
      <c r="E646" s="291"/>
      <c r="F646" s="291"/>
      <c r="G646" s="291"/>
      <c r="H646" s="291"/>
      <c r="I646" s="291"/>
      <c r="J646" s="250"/>
      <c r="K646" s="41"/>
    </row>
    <row r="647" spans="2:14" ht="9.75" customHeight="1" x14ac:dyDescent="0.2">
      <c r="B647" s="38"/>
      <c r="C647" s="280" t="str">
        <f>"2:"</f>
        <v>2:</v>
      </c>
      <c r="D647" s="281" t="s">
        <v>920</v>
      </c>
      <c r="E647" s="291"/>
      <c r="F647" s="291"/>
      <c r="G647" s="291"/>
      <c r="H647" s="291"/>
      <c r="I647" s="291"/>
      <c r="J647" s="250"/>
      <c r="K647" s="41"/>
    </row>
    <row r="648" spans="2:14" ht="9.75" customHeight="1" x14ac:dyDescent="0.2">
      <c r="B648" s="38"/>
      <c r="C648" s="280" t="str">
        <f>"3:"</f>
        <v>3:</v>
      </c>
      <c r="D648" s="281" t="s">
        <v>921</v>
      </c>
      <c r="E648" s="291"/>
      <c r="F648" s="291"/>
      <c r="G648" s="291"/>
      <c r="H648" s="291"/>
      <c r="I648" s="291"/>
      <c r="J648" s="250"/>
      <c r="K648" s="41"/>
    </row>
    <row r="649" spans="2:14" ht="9.75" customHeight="1" x14ac:dyDescent="0.2">
      <c r="B649" s="38"/>
      <c r="C649" s="280" t="str">
        <f>"4:"</f>
        <v>4:</v>
      </c>
      <c r="D649" s="281" t="s">
        <v>922</v>
      </c>
      <c r="E649" s="40"/>
      <c r="F649" s="40"/>
      <c r="G649" s="40"/>
      <c r="H649" s="40"/>
      <c r="I649" s="40"/>
      <c r="J649" s="40"/>
      <c r="K649" s="41"/>
      <c r="N649" s="12" t="s">
        <v>661</v>
      </c>
    </row>
    <row r="650" spans="2:14" x14ac:dyDescent="0.2">
      <c r="B650" s="38"/>
      <c r="C650" s="174" t="s">
        <v>662</v>
      </c>
      <c r="D650" s="40"/>
      <c r="E650" s="40"/>
      <c r="F650" s="40"/>
      <c r="G650" s="40"/>
      <c r="H650" s="40"/>
      <c r="I650" s="40"/>
      <c r="J650" s="265" t="s">
        <v>661</v>
      </c>
      <c r="K650" s="41"/>
      <c r="N650" s="12" t="s">
        <v>894</v>
      </c>
    </row>
    <row r="651" spans="2:14" x14ac:dyDescent="0.2">
      <c r="B651" s="38"/>
      <c r="C651" s="174" t="s">
        <v>660</v>
      </c>
      <c r="D651" s="40"/>
      <c r="E651" s="40"/>
      <c r="F651" s="40"/>
      <c r="G651" s="40"/>
      <c r="H651" s="40"/>
      <c r="I651" s="40"/>
      <c r="J651" s="247" t="str">
        <f>IF(J650=N649,"N/A",IF(J650=N650,0,IF(J650=N651,1,IF(J650=N652,2,IF(J650=N653,3,IF(J650=N654,4,"N/A"))))))</f>
        <v>N/A</v>
      </c>
      <c r="K651" s="41"/>
      <c r="N651" s="12" t="s">
        <v>895</v>
      </c>
    </row>
    <row r="652" spans="2:14" ht="15" customHeight="1" x14ac:dyDescent="0.2">
      <c r="B652" s="38"/>
      <c r="C652" s="40" t="s">
        <v>257</v>
      </c>
      <c r="D652" s="40"/>
      <c r="E652" s="40"/>
      <c r="F652" s="40"/>
      <c r="G652" s="40"/>
      <c r="H652" s="40"/>
      <c r="I652" s="40"/>
      <c r="J652" s="266" t="s">
        <v>870</v>
      </c>
      <c r="K652" s="41"/>
      <c r="N652" s="12" t="s">
        <v>896</v>
      </c>
    </row>
    <row r="653" spans="2:14" x14ac:dyDescent="0.2">
      <c r="B653" s="38"/>
      <c r="C653" s="40" t="s">
        <v>261</v>
      </c>
      <c r="D653" s="40"/>
      <c r="E653" s="40"/>
      <c r="F653" s="40"/>
      <c r="G653" s="40"/>
      <c r="H653" s="40"/>
      <c r="I653" s="40"/>
      <c r="J653" s="245">
        <f>IF(J652=$B$973,$A$973,IF(J652=$B$974,$A$974,IF(J652=$B$975,$A$975,IF(J652=$B$976,$A$976,IF(J652=$B$977,$A$977,"Not Calculated")))))</f>
        <v>0</v>
      </c>
      <c r="K653" s="41"/>
      <c r="N653" s="12" t="s">
        <v>897</v>
      </c>
    </row>
    <row r="654" spans="2:14" x14ac:dyDescent="0.2">
      <c r="B654" s="38"/>
      <c r="C654" s="40" t="s">
        <v>893</v>
      </c>
      <c r="D654" s="40"/>
      <c r="E654" s="40"/>
      <c r="F654" s="40"/>
      <c r="G654" s="40"/>
      <c r="H654" s="40"/>
      <c r="I654" s="40"/>
      <c r="J654" s="40"/>
      <c r="K654" s="41"/>
      <c r="N654" s="12" t="s">
        <v>898</v>
      </c>
    </row>
    <row r="655" spans="2:14" ht="60" customHeight="1" x14ac:dyDescent="0.2">
      <c r="B655" s="38"/>
      <c r="C655" s="399" t="s">
        <v>1245</v>
      </c>
      <c r="D655" s="400"/>
      <c r="E655" s="400"/>
      <c r="F655" s="400"/>
      <c r="G655" s="400"/>
      <c r="H655" s="400"/>
      <c r="I655" s="400"/>
      <c r="J655" s="401"/>
      <c r="K655" s="41"/>
    </row>
    <row r="656" spans="2:14" x14ac:dyDescent="0.2">
      <c r="B656" s="38"/>
      <c r="C656" s="40"/>
      <c r="D656" s="40"/>
      <c r="E656" s="40"/>
      <c r="F656" s="40"/>
      <c r="G656" s="40"/>
      <c r="H656" s="40"/>
      <c r="I656" s="40"/>
      <c r="J656" s="40"/>
      <c r="K656" s="41"/>
    </row>
    <row r="657" spans="2:14" x14ac:dyDescent="0.2">
      <c r="B657" s="38"/>
      <c r="C657" s="179" t="s">
        <v>330</v>
      </c>
      <c r="D657" s="40"/>
      <c r="E657" s="40"/>
      <c r="F657" s="40"/>
      <c r="G657" s="40"/>
      <c r="H657" s="40"/>
      <c r="I657" s="40"/>
      <c r="J657" s="245" t="str">
        <f>IF(J651="N/A",IF(OR(J644="Not Calculated",J653="Not Calculated")=TRUE,"Not Calculated",AVERAGE(J644,J653)),AVERAGE(J651,J653))</f>
        <v>Not Calculated</v>
      </c>
      <c r="K657" s="41"/>
    </row>
    <row r="658" spans="2:14" x14ac:dyDescent="0.2">
      <c r="B658" s="38"/>
      <c r="C658" s="40"/>
      <c r="D658" s="40"/>
      <c r="E658" s="40"/>
      <c r="F658" s="40"/>
      <c r="G658" s="40"/>
      <c r="H658" s="40"/>
      <c r="I658" s="40"/>
      <c r="J658" s="40"/>
      <c r="K658" s="41"/>
    </row>
    <row r="659" spans="2:14" x14ac:dyDescent="0.2">
      <c r="B659" s="38"/>
      <c r="C659" s="40"/>
      <c r="D659" s="40"/>
      <c r="E659" s="40"/>
      <c r="F659" s="40"/>
      <c r="G659" s="40"/>
      <c r="H659" s="40"/>
      <c r="I659" s="40"/>
      <c r="J659" s="40"/>
      <c r="K659" s="41"/>
    </row>
    <row r="660" spans="2:14" ht="16" x14ac:dyDescent="0.2">
      <c r="B660" s="38"/>
      <c r="C660" s="45" t="s">
        <v>97</v>
      </c>
      <c r="D660" s="40"/>
      <c r="E660" s="40"/>
      <c r="F660" s="40"/>
      <c r="G660" s="40"/>
      <c r="H660" s="40"/>
      <c r="I660" s="40"/>
      <c r="J660" s="40"/>
      <c r="K660" s="41"/>
    </row>
    <row r="661" spans="2:14" x14ac:dyDescent="0.2">
      <c r="B661" s="38"/>
      <c r="C661" s="40" t="s">
        <v>449</v>
      </c>
      <c r="D661" s="40"/>
      <c r="E661" s="40"/>
      <c r="F661" s="40"/>
      <c r="G661" s="40"/>
      <c r="H661" s="40"/>
      <c r="I661" s="40"/>
      <c r="J661" s="263">
        <f>'Baseline Health'!G150</f>
        <v>0</v>
      </c>
      <c r="K661" s="41"/>
    </row>
    <row r="662" spans="2:14" x14ac:dyDescent="0.2">
      <c r="B662" s="38"/>
      <c r="C662" s="40" t="s">
        <v>341</v>
      </c>
      <c r="D662" s="40"/>
      <c r="E662" s="40"/>
      <c r="F662" s="40"/>
      <c r="G662" s="40"/>
      <c r="H662" s="40"/>
      <c r="I662" s="40"/>
      <c r="J662" s="273">
        <f>'Community Characteristics'!H100</f>
        <v>0</v>
      </c>
      <c r="K662" s="41"/>
    </row>
    <row r="663" spans="2:14" x14ac:dyDescent="0.2">
      <c r="B663" s="38"/>
      <c r="C663" s="40" t="s">
        <v>450</v>
      </c>
      <c r="D663" s="40"/>
      <c r="E663" s="40"/>
      <c r="F663" s="40"/>
      <c r="G663" s="40"/>
      <c r="H663" s="40"/>
      <c r="I663" s="40"/>
      <c r="J663" s="263">
        <f>J26</f>
        <v>0</v>
      </c>
      <c r="K663" s="41"/>
    </row>
    <row r="664" spans="2:14" ht="15" customHeight="1" x14ac:dyDescent="0.2">
      <c r="B664" s="38"/>
      <c r="C664" s="291"/>
      <c r="D664" s="380" t="s">
        <v>342</v>
      </c>
      <c r="E664" s="380"/>
      <c r="F664" s="380"/>
      <c r="G664" s="380"/>
      <c r="H664" s="380"/>
      <c r="I664" s="380"/>
      <c r="J664" s="245"/>
      <c r="K664" s="41"/>
    </row>
    <row r="665" spans="2:14" x14ac:dyDescent="0.2">
      <c r="B665" s="38"/>
      <c r="C665" s="291"/>
      <c r="D665" s="380"/>
      <c r="E665" s="380"/>
      <c r="F665" s="380"/>
      <c r="G665" s="380"/>
      <c r="H665" s="380"/>
      <c r="I665" s="380"/>
      <c r="J665" s="245"/>
      <c r="K665" s="41"/>
    </row>
    <row r="666" spans="2:14" x14ac:dyDescent="0.2">
      <c r="B666" s="38"/>
      <c r="C666" s="40" t="s">
        <v>260</v>
      </c>
      <c r="D666" s="40"/>
      <c r="E666" s="40"/>
      <c r="F666" s="40"/>
      <c r="G666" s="40"/>
      <c r="H666" s="40"/>
      <c r="I666" s="40"/>
      <c r="J666" s="245" t="str">
        <f>IF(OR(J661=0,J661="Not Calculated")=TRUE,"Not Calculated",IF(((J661+J663)/(J661-J662))&lt;=1,0,IF(((J661+J663)/(J661-J662))&lt;=1.1,1,IF(((J661+J663)/(J661-J662))&lt;=1.5, 2,IF(((J661+J663)/(J661-J662))&lt;=2,3,4)))))</f>
        <v>Not Calculated</v>
      </c>
      <c r="K666" s="41"/>
    </row>
    <row r="667" spans="2:14" ht="9.75" customHeight="1" x14ac:dyDescent="0.2">
      <c r="B667" s="38"/>
      <c r="C667" s="279" t="str">
        <f>"0:"</f>
        <v>0:</v>
      </c>
      <c r="D667" s="278" t="s">
        <v>918</v>
      </c>
      <c r="E667" s="291"/>
      <c r="F667" s="291"/>
      <c r="G667" s="291"/>
      <c r="H667" s="291"/>
      <c r="I667" s="291"/>
      <c r="J667" s="245"/>
      <c r="K667" s="41"/>
    </row>
    <row r="668" spans="2:14" ht="9.75" customHeight="1" x14ac:dyDescent="0.2">
      <c r="B668" s="38"/>
      <c r="C668" s="280" t="str">
        <f>"1:"</f>
        <v>1:</v>
      </c>
      <c r="D668" s="278" t="s">
        <v>923</v>
      </c>
      <c r="E668" s="291"/>
      <c r="F668" s="291"/>
      <c r="G668" s="291"/>
      <c r="H668" s="291"/>
      <c r="I668" s="291"/>
      <c r="J668" s="245"/>
      <c r="K668" s="41"/>
    </row>
    <row r="669" spans="2:14" ht="9.75" customHeight="1" x14ac:dyDescent="0.2">
      <c r="B669" s="38"/>
      <c r="C669" s="280" t="str">
        <f>"2:"</f>
        <v>2:</v>
      </c>
      <c r="D669" s="278" t="s">
        <v>924</v>
      </c>
      <c r="E669" s="291"/>
      <c r="F669" s="291"/>
      <c r="G669" s="291"/>
      <c r="H669" s="291"/>
      <c r="I669" s="291"/>
      <c r="J669" s="245"/>
      <c r="K669" s="41"/>
    </row>
    <row r="670" spans="2:14" ht="9.75" customHeight="1" x14ac:dyDescent="0.2">
      <c r="B670" s="38"/>
      <c r="C670" s="280" t="str">
        <f>"3:"</f>
        <v>3:</v>
      </c>
      <c r="D670" s="278" t="s">
        <v>925</v>
      </c>
      <c r="E670" s="291"/>
      <c r="F670" s="291"/>
      <c r="G670" s="291"/>
      <c r="H670" s="291"/>
      <c r="I670" s="291"/>
      <c r="J670" s="245"/>
      <c r="K670" s="41"/>
    </row>
    <row r="671" spans="2:14" ht="9.75" customHeight="1" x14ac:dyDescent="0.2">
      <c r="B671" s="38"/>
      <c r="C671" s="280" t="str">
        <f>"4:"</f>
        <v>4:</v>
      </c>
      <c r="D671" s="278" t="s">
        <v>926</v>
      </c>
      <c r="E671" s="40"/>
      <c r="F671" s="40"/>
      <c r="G671" s="40"/>
      <c r="H671" s="40"/>
      <c r="I671" s="40"/>
      <c r="J671" s="40"/>
      <c r="K671" s="41"/>
      <c r="N671" s="12" t="s">
        <v>661</v>
      </c>
    </row>
    <row r="672" spans="2:14" ht="15" customHeight="1" x14ac:dyDescent="0.2">
      <c r="B672" s="38"/>
      <c r="C672" s="174" t="s">
        <v>662</v>
      </c>
      <c r="D672" s="40"/>
      <c r="E672" s="40"/>
      <c r="F672" s="40"/>
      <c r="G672" s="40"/>
      <c r="H672" s="40"/>
      <c r="I672" s="40"/>
      <c r="J672" s="265" t="s">
        <v>661</v>
      </c>
      <c r="K672" s="41"/>
      <c r="N672" s="12" t="s">
        <v>894</v>
      </c>
    </row>
    <row r="673" spans="2:14" ht="15" customHeight="1" x14ac:dyDescent="0.2">
      <c r="B673" s="38"/>
      <c r="C673" s="174" t="s">
        <v>660</v>
      </c>
      <c r="D673" s="40"/>
      <c r="E673" s="40"/>
      <c r="F673" s="40"/>
      <c r="G673" s="40"/>
      <c r="H673" s="40"/>
      <c r="I673" s="40"/>
      <c r="J673" s="246" t="str">
        <f>IF(J672=N671,"N/A",IF(J672=N672,0,IF(J672=N673,1,IF(J672=N674,2,IF(J672=N675,3,IF(J672=N676,4,"N/A"))))))</f>
        <v>N/A</v>
      </c>
      <c r="K673" s="41"/>
      <c r="N673" s="12" t="s">
        <v>908</v>
      </c>
    </row>
    <row r="674" spans="2:14" ht="15" customHeight="1" x14ac:dyDescent="0.2">
      <c r="B674" s="38"/>
      <c r="C674" s="40" t="s">
        <v>257</v>
      </c>
      <c r="D674" s="40"/>
      <c r="E674" s="40"/>
      <c r="F674" s="40"/>
      <c r="G674" s="40"/>
      <c r="H674" s="40"/>
      <c r="I674" s="40"/>
      <c r="J674" s="266" t="s">
        <v>870</v>
      </c>
      <c r="K674" s="41"/>
      <c r="N674" s="12" t="s">
        <v>900</v>
      </c>
    </row>
    <row r="675" spans="2:14" x14ac:dyDescent="0.2">
      <c r="B675" s="38"/>
      <c r="C675" s="40" t="s">
        <v>261</v>
      </c>
      <c r="D675" s="40"/>
      <c r="E675" s="40"/>
      <c r="F675" s="40"/>
      <c r="G675" s="40"/>
      <c r="H675" s="40"/>
      <c r="I675" s="40"/>
      <c r="J675" s="245">
        <f>IF(J674=$B$973,$A$973,IF(J674=$B$974,$A$974,IF(J674=$B$975,$A$975,IF(J674=$B$976,$A$976,IF(J674=$B$977,$A$977,"Not Calculated")))))</f>
        <v>0</v>
      </c>
      <c r="K675" s="41"/>
      <c r="N675" s="12" t="s">
        <v>901</v>
      </c>
    </row>
    <row r="676" spans="2:14" ht="15" customHeight="1" x14ac:dyDescent="0.2">
      <c r="B676" s="38"/>
      <c r="C676" s="40" t="s">
        <v>893</v>
      </c>
      <c r="D676" s="40"/>
      <c r="E676" s="40"/>
      <c r="F676" s="40"/>
      <c r="G676" s="40"/>
      <c r="H676" s="40"/>
      <c r="I676" s="40"/>
      <c r="J676" s="40"/>
      <c r="K676" s="41"/>
      <c r="N676" s="12" t="s">
        <v>909</v>
      </c>
    </row>
    <row r="677" spans="2:14" ht="30" customHeight="1" x14ac:dyDescent="0.2">
      <c r="B677" s="38"/>
      <c r="C677" s="399" t="s">
        <v>526</v>
      </c>
      <c r="D677" s="400"/>
      <c r="E677" s="400"/>
      <c r="F677" s="400"/>
      <c r="G677" s="400"/>
      <c r="H677" s="400"/>
      <c r="I677" s="400"/>
      <c r="J677" s="401"/>
      <c r="K677" s="41"/>
    </row>
    <row r="678" spans="2:14" x14ac:dyDescent="0.2">
      <c r="B678" s="38"/>
      <c r="C678" s="40"/>
      <c r="D678" s="40"/>
      <c r="E678" s="40"/>
      <c r="F678" s="40"/>
      <c r="G678" s="40"/>
      <c r="H678" s="40"/>
      <c r="I678" s="40"/>
      <c r="J678" s="40"/>
      <c r="K678" s="41"/>
    </row>
    <row r="679" spans="2:14" x14ac:dyDescent="0.2">
      <c r="B679" s="38"/>
      <c r="C679" s="179" t="s">
        <v>331</v>
      </c>
      <c r="D679" s="40"/>
      <c r="E679" s="40"/>
      <c r="F679" s="40"/>
      <c r="G679" s="40"/>
      <c r="H679" s="40"/>
      <c r="I679" s="40"/>
      <c r="J679" s="245" t="str">
        <f>IF(J673="N/A",IF(OR(J666="Not Calculated",J675="Not Calculated")=TRUE,"Not Calculated",AVERAGE(J666,J675)),AVERAGE(J673,J675))</f>
        <v>Not Calculated</v>
      </c>
      <c r="K679" s="41"/>
    </row>
    <row r="680" spans="2:14" x14ac:dyDescent="0.2">
      <c r="B680" s="38"/>
      <c r="C680" s="40"/>
      <c r="D680" s="40"/>
      <c r="E680" s="40"/>
      <c r="F680" s="40"/>
      <c r="G680" s="40"/>
      <c r="H680" s="40"/>
      <c r="I680" s="40"/>
      <c r="J680" s="40"/>
      <c r="K680" s="41"/>
    </row>
    <row r="681" spans="2:14" ht="18" x14ac:dyDescent="0.2">
      <c r="B681" s="38"/>
      <c r="C681" s="180" t="s">
        <v>332</v>
      </c>
      <c r="D681" s="40"/>
      <c r="E681" s="40"/>
      <c r="F681" s="40"/>
      <c r="G681" s="40"/>
      <c r="H681" s="40"/>
      <c r="I681" s="40"/>
      <c r="J681" s="244" t="str">
        <f>IF(OR(J562="Not Calculated",J585="Not Calculated",J601="Not Calculated",J615="Not Calculated",J635="Not Calculated",J657="Not Calculated",J679="Not Calculated")=TRUE,"Not Calculated",AVERAGE(J562,J585,J601,J615,J635,J657,J679))</f>
        <v>Not Calculated</v>
      </c>
      <c r="K681" s="41"/>
    </row>
    <row r="682" spans="2:14" ht="16" thickBot="1" x14ac:dyDescent="0.25">
      <c r="B682" s="46"/>
      <c r="C682" s="47"/>
      <c r="D682" s="47"/>
      <c r="E682" s="47"/>
      <c r="F682" s="47"/>
      <c r="G682" s="47"/>
      <c r="H682" s="47"/>
      <c r="I682" s="47"/>
      <c r="J682" s="47"/>
      <c r="K682" s="49"/>
    </row>
    <row r="683" spans="2:14" ht="16" thickBot="1" x14ac:dyDescent="0.25"/>
    <row r="684" spans="2:14" x14ac:dyDescent="0.2">
      <c r="B684" s="33"/>
      <c r="C684" s="34"/>
      <c r="D684" s="34"/>
      <c r="E684" s="34"/>
      <c r="F684" s="34"/>
      <c r="G684" s="34"/>
      <c r="H684" s="34"/>
      <c r="I684" s="34"/>
      <c r="J684" s="34"/>
      <c r="K684" s="37"/>
    </row>
    <row r="685" spans="2:14" ht="21" x14ac:dyDescent="0.25">
      <c r="B685" s="38"/>
      <c r="C685" s="40"/>
      <c r="D685" s="40"/>
      <c r="E685" s="40"/>
      <c r="F685" s="40"/>
      <c r="G685" s="172" t="s">
        <v>346</v>
      </c>
      <c r="H685" s="40"/>
      <c r="I685" s="40"/>
      <c r="J685" s="40"/>
      <c r="K685" s="41"/>
    </row>
    <row r="686" spans="2:14" x14ac:dyDescent="0.2">
      <c r="B686" s="38"/>
      <c r="C686" s="40"/>
      <c r="D686" s="40"/>
      <c r="E686" s="40"/>
      <c r="F686" s="40"/>
      <c r="G686" s="40"/>
      <c r="H686" s="40"/>
      <c r="I686" s="40"/>
      <c r="J686" s="40"/>
      <c r="K686" s="41"/>
    </row>
    <row r="687" spans="2:14" ht="16" x14ac:dyDescent="0.2">
      <c r="B687" s="38"/>
      <c r="C687" s="182" t="s">
        <v>986</v>
      </c>
      <c r="D687" s="40"/>
      <c r="E687" s="40"/>
      <c r="F687" s="40"/>
      <c r="G687" s="40"/>
      <c r="H687" s="40"/>
      <c r="I687" s="40"/>
      <c r="J687" s="257" t="str">
        <f>IF(OR($J$133="Not Calculated",$J$261="Not Calculated",$J$421="Not Calculated",$J$539="Not Calculated",$J$681="Not Calculated")=TRUE,"Not Calculated",AVERAGE($J$133,$J$261,$J$421,$J$539,$J$681))</f>
        <v>Not Calculated</v>
      </c>
      <c r="K687" s="41"/>
    </row>
    <row r="688" spans="2:14" x14ac:dyDescent="0.2">
      <c r="B688" s="38"/>
      <c r="C688" s="40"/>
      <c r="D688" s="40" t="s">
        <v>343</v>
      </c>
      <c r="E688" s="40"/>
      <c r="F688" s="40"/>
      <c r="G688" s="40"/>
      <c r="H688" s="40"/>
      <c r="I688" s="40"/>
      <c r="J688" s="40"/>
      <c r="K688" s="41"/>
    </row>
    <row r="689" spans="2:11" ht="15" customHeight="1" x14ac:dyDescent="0.2">
      <c r="B689" s="38"/>
      <c r="C689" s="40"/>
      <c r="D689" s="40"/>
      <c r="E689" s="40"/>
      <c r="F689" s="40"/>
      <c r="G689" s="40"/>
      <c r="H689" s="40"/>
      <c r="I689" s="40"/>
      <c r="J689" s="40"/>
      <c r="K689" s="41"/>
    </row>
    <row r="690" spans="2:11" ht="16" x14ac:dyDescent="0.2">
      <c r="B690" s="38"/>
      <c r="C690" s="182" t="s">
        <v>987</v>
      </c>
      <c r="D690" s="40"/>
      <c r="E690" s="40"/>
      <c r="F690" s="40"/>
      <c r="G690" s="40"/>
      <c r="H690" s="40"/>
      <c r="I690" s="40"/>
      <c r="J690" s="257" t="str">
        <f>IF(OR($J$133="Not Calculated",$J$261="Not Calculated",$J$539="Not Calculated",$J$681="Not Calculated")=TRUE,"Not Calculated",AVERAGE($J$133,$J$261,$J$539,$J$681))</f>
        <v>Not Calculated</v>
      </c>
      <c r="K690" s="41"/>
    </row>
    <row r="691" spans="2:11" ht="15" customHeight="1" x14ac:dyDescent="0.2">
      <c r="B691" s="38"/>
      <c r="C691" s="40"/>
      <c r="D691" s="40" t="s">
        <v>344</v>
      </c>
      <c r="E691" s="40"/>
      <c r="F691" s="40"/>
      <c r="G691" s="40"/>
      <c r="H691" s="40"/>
      <c r="I691" s="40"/>
      <c r="J691" s="40"/>
      <c r="K691" s="41"/>
    </row>
    <row r="692" spans="2:11" x14ac:dyDescent="0.2">
      <c r="B692" s="38"/>
      <c r="C692" s="40"/>
      <c r="D692" s="40"/>
      <c r="E692" s="40"/>
      <c r="F692" s="40"/>
      <c r="G692" s="40"/>
      <c r="H692" s="40"/>
      <c r="I692" s="40"/>
      <c r="J692" s="40"/>
      <c r="K692" s="41"/>
    </row>
    <row r="693" spans="2:11" ht="16" x14ac:dyDescent="0.2">
      <c r="B693" s="38"/>
      <c r="C693" s="182" t="s">
        <v>988</v>
      </c>
      <c r="D693" s="40"/>
      <c r="E693" s="40"/>
      <c r="F693" s="40"/>
      <c r="G693" s="40"/>
      <c r="H693" s="40"/>
      <c r="I693" s="40"/>
      <c r="J693" s="257" t="str">
        <f>IF(OR($J$133="Not Calculated",$J$261="Not Calculated",$J$421="Not Calculated")=TRUE,"Not Calculated",AVERAGE($J$133,$J$261,$J$421))</f>
        <v>Not Calculated</v>
      </c>
      <c r="K693" s="41"/>
    </row>
    <row r="694" spans="2:11" x14ac:dyDescent="0.2">
      <c r="B694" s="38"/>
      <c r="C694" s="40"/>
      <c r="D694" s="40" t="s">
        <v>345</v>
      </c>
      <c r="E694" s="40"/>
      <c r="F694" s="40"/>
      <c r="G694" s="40"/>
      <c r="H694" s="40"/>
      <c r="I694" s="40"/>
      <c r="J694" s="40"/>
      <c r="K694" s="41"/>
    </row>
    <row r="695" spans="2:11" ht="16" thickBot="1" x14ac:dyDescent="0.25">
      <c r="B695" s="46"/>
      <c r="C695" s="47"/>
      <c r="D695" s="47"/>
      <c r="E695" s="47"/>
      <c r="F695" s="47"/>
      <c r="G695" s="47"/>
      <c r="H695" s="47"/>
      <c r="I695" s="47"/>
      <c r="J695" s="47"/>
      <c r="K695" s="49"/>
    </row>
    <row r="696" spans="2:11" ht="16" thickBot="1" x14ac:dyDescent="0.25"/>
    <row r="697" spans="2:11" x14ac:dyDescent="0.2">
      <c r="B697" s="183"/>
      <c r="C697" s="184"/>
      <c r="D697" s="184"/>
      <c r="E697" s="184"/>
      <c r="F697" s="184"/>
      <c r="G697" s="184"/>
      <c r="H697" s="184"/>
      <c r="I697" s="184"/>
      <c r="J697" s="184"/>
      <c r="K697" s="185"/>
    </row>
    <row r="698" spans="2:11" ht="21" x14ac:dyDescent="0.25">
      <c r="B698" s="186"/>
      <c r="C698" s="187"/>
      <c r="D698" s="187"/>
      <c r="E698" s="187"/>
      <c r="F698" s="187"/>
      <c r="G698" s="188" t="s">
        <v>231</v>
      </c>
      <c r="H698" s="187"/>
      <c r="I698" s="187"/>
      <c r="J698" s="187"/>
      <c r="K698" s="189"/>
    </row>
    <row r="699" spans="2:11" x14ac:dyDescent="0.2">
      <c r="B699" s="186"/>
      <c r="C699" s="187"/>
      <c r="D699" s="187"/>
      <c r="E699" s="187"/>
      <c r="F699" s="187"/>
      <c r="G699" s="187"/>
      <c r="H699" s="187"/>
      <c r="I699" s="187"/>
      <c r="J699" s="187"/>
      <c r="K699" s="189"/>
    </row>
    <row r="700" spans="2:11" ht="16" x14ac:dyDescent="0.2">
      <c r="B700" s="186"/>
      <c r="C700" s="190" t="s">
        <v>989</v>
      </c>
      <c r="D700" s="187"/>
      <c r="E700" s="187"/>
      <c r="F700" s="187"/>
      <c r="G700" s="187"/>
      <c r="H700" s="187"/>
      <c r="I700" s="187"/>
      <c r="J700" s="256" t="str">
        <f>IF(OR(J687="Not Calculated",$E$17="Not Calculated")=TRUE,"Not Calculated",(J687*$E$17*100/16))</f>
        <v>Not Calculated</v>
      </c>
      <c r="K700" s="189"/>
    </row>
    <row r="701" spans="2:11" x14ac:dyDescent="0.2">
      <c r="B701" s="186"/>
      <c r="C701" s="187"/>
      <c r="D701" s="187" t="s">
        <v>377</v>
      </c>
      <c r="E701" s="187"/>
      <c r="F701" s="187"/>
      <c r="G701" s="187"/>
      <c r="H701" s="187"/>
      <c r="I701" s="187"/>
      <c r="J701" s="187"/>
      <c r="K701" s="189"/>
    </row>
    <row r="702" spans="2:11" x14ac:dyDescent="0.2">
      <c r="B702" s="186"/>
      <c r="C702" s="187"/>
      <c r="D702" s="187"/>
      <c r="E702" s="187"/>
      <c r="F702" s="187"/>
      <c r="G702" s="187"/>
      <c r="H702" s="187"/>
      <c r="I702" s="187"/>
      <c r="J702" s="187"/>
      <c r="K702" s="189"/>
    </row>
    <row r="703" spans="2:11" ht="16" x14ac:dyDescent="0.2">
      <c r="B703" s="186"/>
      <c r="C703" s="190" t="s">
        <v>990</v>
      </c>
      <c r="D703" s="187"/>
      <c r="E703" s="187"/>
      <c r="F703" s="187"/>
      <c r="G703" s="187"/>
      <c r="H703" s="187"/>
      <c r="I703" s="187"/>
      <c r="J703" s="256" t="str">
        <f>IF(OR(J690="Not Calculated",$E$17="Not Calculated")=TRUE,"Not Calculated",(J690*$E$17*100/16))</f>
        <v>Not Calculated</v>
      </c>
      <c r="K703" s="189"/>
    </row>
    <row r="704" spans="2:11" x14ac:dyDescent="0.2">
      <c r="B704" s="186"/>
      <c r="C704" s="187"/>
      <c r="D704" s="187" t="s">
        <v>378</v>
      </c>
      <c r="E704" s="187"/>
      <c r="F704" s="187"/>
      <c r="G704" s="187"/>
      <c r="H704" s="187"/>
      <c r="I704" s="187"/>
      <c r="J704" s="187"/>
      <c r="K704" s="189"/>
    </row>
    <row r="705" spans="2:11" x14ac:dyDescent="0.2">
      <c r="B705" s="186"/>
      <c r="C705" s="187"/>
      <c r="D705" s="187"/>
      <c r="E705" s="187"/>
      <c r="F705" s="187"/>
      <c r="G705" s="187"/>
      <c r="H705" s="187"/>
      <c r="I705" s="187"/>
      <c r="J705" s="187"/>
      <c r="K705" s="189"/>
    </row>
    <row r="706" spans="2:11" ht="16" x14ac:dyDescent="0.2">
      <c r="B706" s="186"/>
      <c r="C706" s="190" t="s">
        <v>991</v>
      </c>
      <c r="D706" s="187"/>
      <c r="E706" s="187"/>
      <c r="F706" s="187"/>
      <c r="G706" s="187"/>
      <c r="H706" s="187"/>
      <c r="I706" s="187"/>
      <c r="J706" s="256" t="str">
        <f>IF(OR(J693="Not Calculated",$E$17="Not Calculated")=TRUE,"Not Calculated",(J693*$E$17*100/16))</f>
        <v>Not Calculated</v>
      </c>
      <c r="K706" s="189"/>
    </row>
    <row r="707" spans="2:11" x14ac:dyDescent="0.2">
      <c r="B707" s="186"/>
      <c r="C707" s="187"/>
      <c r="D707" s="187" t="s">
        <v>379</v>
      </c>
      <c r="E707" s="187"/>
      <c r="F707" s="187"/>
      <c r="G707" s="187"/>
      <c r="H707" s="187"/>
      <c r="I707" s="187"/>
      <c r="J707" s="187"/>
      <c r="K707" s="189"/>
    </row>
    <row r="708" spans="2:11" ht="16" thickBot="1" x14ac:dyDescent="0.25">
      <c r="B708" s="191"/>
      <c r="C708" s="192"/>
      <c r="D708" s="192"/>
      <c r="E708" s="192"/>
      <c r="F708" s="192"/>
      <c r="G708" s="192"/>
      <c r="H708" s="192"/>
      <c r="I708" s="192"/>
      <c r="J708" s="192"/>
      <c r="K708" s="193"/>
    </row>
    <row r="709" spans="2:11" ht="16" thickBot="1" x14ac:dyDescent="0.25"/>
    <row r="710" spans="2:11" x14ac:dyDescent="0.2">
      <c r="B710" s="53"/>
      <c r="C710" s="54"/>
      <c r="D710" s="54"/>
      <c r="E710" s="54"/>
      <c r="F710" s="54"/>
      <c r="G710" s="54"/>
      <c r="H710" s="54"/>
      <c r="I710" s="54"/>
      <c r="J710" s="54"/>
      <c r="K710" s="56"/>
    </row>
    <row r="711" spans="2:11" ht="21" x14ac:dyDescent="0.25">
      <c r="B711" s="57"/>
      <c r="C711" s="59"/>
      <c r="D711" s="59"/>
      <c r="E711" s="59"/>
      <c r="F711" s="59"/>
      <c r="G711" s="194" t="s">
        <v>232</v>
      </c>
      <c r="H711" s="59"/>
      <c r="I711" s="59"/>
      <c r="J711" s="59"/>
      <c r="K711" s="61"/>
    </row>
    <row r="712" spans="2:11" x14ac:dyDescent="0.2">
      <c r="B712" s="57"/>
      <c r="C712" s="59"/>
      <c r="D712" s="59"/>
      <c r="E712" s="59"/>
      <c r="F712" s="59"/>
      <c r="G712" s="59"/>
      <c r="H712" s="59"/>
      <c r="I712" s="59"/>
      <c r="J712" s="59"/>
      <c r="K712" s="61"/>
    </row>
    <row r="713" spans="2:11" ht="16" x14ac:dyDescent="0.2">
      <c r="B713" s="57"/>
      <c r="C713" s="195" t="s">
        <v>363</v>
      </c>
      <c r="D713" s="59"/>
      <c r="E713" s="59"/>
      <c r="F713" s="59"/>
      <c r="G713" s="59"/>
      <c r="H713" s="59"/>
      <c r="I713" s="59"/>
      <c r="J713" s="59"/>
      <c r="K713" s="61"/>
    </row>
    <row r="714" spans="2:11" ht="15" customHeight="1" x14ac:dyDescent="0.2">
      <c r="B714" s="57"/>
      <c r="C714" s="411" t="s">
        <v>364</v>
      </c>
      <c r="D714" s="411"/>
      <c r="E714" s="411"/>
      <c r="F714" s="411"/>
      <c r="G714" s="411"/>
      <c r="H714" s="411"/>
      <c r="I714" s="411"/>
      <c r="J714" s="411"/>
      <c r="K714" s="61"/>
    </row>
    <row r="715" spans="2:11" x14ac:dyDescent="0.2">
      <c r="B715" s="57"/>
      <c r="C715" s="411"/>
      <c r="D715" s="411"/>
      <c r="E715" s="411"/>
      <c r="F715" s="411"/>
      <c r="G715" s="411"/>
      <c r="H715" s="411"/>
      <c r="I715" s="411"/>
      <c r="J715" s="411"/>
      <c r="K715" s="61"/>
    </row>
    <row r="716" spans="2:11" x14ac:dyDescent="0.2">
      <c r="B716" s="57"/>
      <c r="C716" s="411"/>
      <c r="D716" s="411"/>
      <c r="E716" s="411"/>
      <c r="F716" s="411"/>
      <c r="G716" s="411"/>
      <c r="H716" s="411"/>
      <c r="I716" s="411"/>
      <c r="J716" s="411"/>
      <c r="K716" s="61"/>
    </row>
    <row r="717" spans="2:11" x14ac:dyDescent="0.2">
      <c r="B717" s="57"/>
      <c r="C717" s="196" t="s">
        <v>30</v>
      </c>
      <c r="D717" s="59"/>
      <c r="E717" s="59"/>
      <c r="F717" s="59"/>
      <c r="G717" s="431" t="s">
        <v>190</v>
      </c>
      <c r="H717" s="431"/>
      <c r="I717" s="59"/>
      <c r="J717" s="260">
        <f t="shared" ref="J717:J725" si="0">IF(G717=$B$994,$A$994,IF(G717=$B$995,$A$995,"Not Calculated"))</f>
        <v>1</v>
      </c>
      <c r="K717" s="61"/>
    </row>
    <row r="718" spans="2:11" x14ac:dyDescent="0.2">
      <c r="B718" s="57"/>
      <c r="C718" s="196" t="s">
        <v>32</v>
      </c>
      <c r="D718" s="59"/>
      <c r="E718" s="59"/>
      <c r="F718" s="59"/>
      <c r="G718" s="431" t="s">
        <v>190</v>
      </c>
      <c r="H718" s="431"/>
      <c r="I718" s="59"/>
      <c r="J718" s="260">
        <f t="shared" si="0"/>
        <v>1</v>
      </c>
      <c r="K718" s="61"/>
    </row>
    <row r="719" spans="2:11" x14ac:dyDescent="0.2">
      <c r="B719" s="57"/>
      <c r="C719" s="196" t="s">
        <v>34</v>
      </c>
      <c r="D719" s="59"/>
      <c r="E719" s="59"/>
      <c r="F719" s="59"/>
      <c r="G719" s="431" t="s">
        <v>202</v>
      </c>
      <c r="H719" s="431"/>
      <c r="I719" s="59"/>
      <c r="J719" s="260">
        <f t="shared" si="0"/>
        <v>0</v>
      </c>
      <c r="K719" s="61"/>
    </row>
    <row r="720" spans="2:11" x14ac:dyDescent="0.2">
      <c r="B720" s="57"/>
      <c r="C720" s="196" t="s">
        <v>35</v>
      </c>
      <c r="D720" s="59"/>
      <c r="E720" s="59"/>
      <c r="F720" s="59"/>
      <c r="G720" s="431" t="s">
        <v>190</v>
      </c>
      <c r="H720" s="431"/>
      <c r="I720" s="59"/>
      <c r="J720" s="260">
        <f t="shared" si="0"/>
        <v>1</v>
      </c>
      <c r="K720" s="61"/>
    </row>
    <row r="721" spans="2:11" x14ac:dyDescent="0.2">
      <c r="B721" s="57"/>
      <c r="C721" s="196" t="s">
        <v>37</v>
      </c>
      <c r="D721" s="59"/>
      <c r="E721" s="59"/>
      <c r="F721" s="59"/>
      <c r="G721" s="431" t="s">
        <v>190</v>
      </c>
      <c r="H721" s="431"/>
      <c r="I721" s="59"/>
      <c r="J721" s="260">
        <f t="shared" si="0"/>
        <v>1</v>
      </c>
      <c r="K721" s="61"/>
    </row>
    <row r="722" spans="2:11" x14ac:dyDescent="0.2">
      <c r="B722" s="57"/>
      <c r="C722" s="196" t="s">
        <v>38</v>
      </c>
      <c r="D722" s="59"/>
      <c r="E722" s="59"/>
      <c r="F722" s="59"/>
      <c r="G722" s="431" t="s">
        <v>190</v>
      </c>
      <c r="H722" s="431"/>
      <c r="I722" s="59"/>
      <c r="J722" s="260">
        <f t="shared" si="0"/>
        <v>1</v>
      </c>
      <c r="K722" s="61"/>
    </row>
    <row r="723" spans="2:11" x14ac:dyDescent="0.2">
      <c r="B723" s="57"/>
      <c r="C723" s="196" t="s">
        <v>40</v>
      </c>
      <c r="D723" s="59"/>
      <c r="E723" s="59"/>
      <c r="F723" s="59"/>
      <c r="G723" s="431" t="s">
        <v>202</v>
      </c>
      <c r="H723" s="431"/>
      <c r="I723" s="59"/>
      <c r="J723" s="260">
        <f t="shared" si="0"/>
        <v>0</v>
      </c>
      <c r="K723" s="61"/>
    </row>
    <row r="724" spans="2:11" x14ac:dyDescent="0.2">
      <c r="B724" s="57"/>
      <c r="C724" s="196" t="s">
        <v>41</v>
      </c>
      <c r="D724" s="59"/>
      <c r="E724" s="59"/>
      <c r="F724" s="59"/>
      <c r="G724" s="431" t="s">
        <v>190</v>
      </c>
      <c r="H724" s="431"/>
      <c r="I724" s="59"/>
      <c r="J724" s="260">
        <f t="shared" si="0"/>
        <v>1</v>
      </c>
      <c r="K724" s="61"/>
    </row>
    <row r="725" spans="2:11" x14ac:dyDescent="0.2">
      <c r="B725" s="57"/>
      <c r="C725" s="196" t="s">
        <v>43</v>
      </c>
      <c r="D725" s="59"/>
      <c r="E725" s="59"/>
      <c r="F725" s="59"/>
      <c r="G725" s="431" t="s">
        <v>202</v>
      </c>
      <c r="H725" s="431"/>
      <c r="I725" s="59"/>
      <c r="J725" s="260">
        <f t="shared" si="0"/>
        <v>0</v>
      </c>
      <c r="K725" s="61"/>
    </row>
    <row r="726" spans="2:11" x14ac:dyDescent="0.2">
      <c r="B726" s="57"/>
      <c r="C726" s="59"/>
      <c r="D726" s="59"/>
      <c r="E726" s="59"/>
      <c r="F726" s="59"/>
      <c r="G726" s="59"/>
      <c r="H726" s="59"/>
      <c r="I726" s="59"/>
      <c r="J726" s="59"/>
      <c r="K726" s="61"/>
    </row>
    <row r="727" spans="2:11" x14ac:dyDescent="0.2">
      <c r="B727" s="57"/>
      <c r="C727" s="59"/>
      <c r="D727" s="59"/>
      <c r="E727" s="59"/>
      <c r="F727" s="59"/>
      <c r="G727" s="59"/>
      <c r="H727" s="59"/>
      <c r="I727" s="59"/>
      <c r="J727" s="59"/>
      <c r="K727" s="61"/>
    </row>
    <row r="728" spans="2:11" ht="16" x14ac:dyDescent="0.2">
      <c r="B728" s="57"/>
      <c r="C728" s="195" t="s">
        <v>115</v>
      </c>
      <c r="D728" s="59"/>
      <c r="E728" s="59"/>
      <c r="F728" s="59"/>
      <c r="G728" s="59"/>
      <c r="H728" s="59"/>
      <c r="I728" s="59"/>
      <c r="J728" s="59"/>
      <c r="K728" s="61"/>
    </row>
    <row r="729" spans="2:11" ht="15" customHeight="1" x14ac:dyDescent="0.2">
      <c r="B729" s="57"/>
      <c r="C729" s="411" t="s">
        <v>365</v>
      </c>
      <c r="D729" s="411"/>
      <c r="E729" s="411"/>
      <c r="F729" s="411"/>
      <c r="G729" s="411"/>
      <c r="H729" s="411"/>
      <c r="I729" s="411"/>
      <c r="J729" s="411"/>
      <c r="K729" s="61"/>
    </row>
    <row r="730" spans="2:11" x14ac:dyDescent="0.2">
      <c r="B730" s="57"/>
      <c r="C730" s="411"/>
      <c r="D730" s="411"/>
      <c r="E730" s="411"/>
      <c r="F730" s="411"/>
      <c r="G730" s="411"/>
      <c r="H730" s="411"/>
      <c r="I730" s="411"/>
      <c r="J730" s="411"/>
      <c r="K730" s="61"/>
    </row>
    <row r="731" spans="2:11" x14ac:dyDescent="0.2">
      <c r="B731" s="57"/>
      <c r="C731" s="411"/>
      <c r="D731" s="411"/>
      <c r="E731" s="411"/>
      <c r="F731" s="411"/>
      <c r="G731" s="411"/>
      <c r="H731" s="411"/>
      <c r="I731" s="411"/>
      <c r="J731" s="411"/>
      <c r="K731" s="61"/>
    </row>
    <row r="732" spans="2:11" x14ac:dyDescent="0.2">
      <c r="B732" s="57"/>
      <c r="C732" s="196" t="s">
        <v>30</v>
      </c>
      <c r="D732" s="59"/>
      <c r="E732" s="59"/>
      <c r="F732" s="59"/>
      <c r="G732" s="431" t="s">
        <v>190</v>
      </c>
      <c r="H732" s="431"/>
      <c r="I732" s="59"/>
      <c r="J732" s="260">
        <f t="shared" ref="J732:J740" si="1">IF(G732=$B$994,$A$994,IF(G732=$B$995,$A$995,"Not Calculated"))</f>
        <v>1</v>
      </c>
      <c r="K732" s="61"/>
    </row>
    <row r="733" spans="2:11" x14ac:dyDescent="0.2">
      <c r="B733" s="57"/>
      <c r="C733" s="196" t="s">
        <v>32</v>
      </c>
      <c r="D733" s="59"/>
      <c r="E733" s="59"/>
      <c r="F733" s="59"/>
      <c r="G733" s="431" t="s">
        <v>190</v>
      </c>
      <c r="H733" s="431"/>
      <c r="I733" s="59"/>
      <c r="J733" s="260">
        <f t="shared" si="1"/>
        <v>1</v>
      </c>
      <c r="K733" s="61"/>
    </row>
    <row r="734" spans="2:11" ht="15" customHeight="1" x14ac:dyDescent="0.2">
      <c r="B734" s="57"/>
      <c r="C734" s="196" t="s">
        <v>34</v>
      </c>
      <c r="D734" s="59"/>
      <c r="E734" s="59"/>
      <c r="F734" s="59"/>
      <c r="G734" s="431" t="s">
        <v>190</v>
      </c>
      <c r="H734" s="431"/>
      <c r="I734" s="59"/>
      <c r="J734" s="260">
        <f t="shared" si="1"/>
        <v>1</v>
      </c>
      <c r="K734" s="61"/>
    </row>
    <row r="735" spans="2:11" x14ac:dyDescent="0.2">
      <c r="B735" s="57"/>
      <c r="C735" s="196" t="s">
        <v>35</v>
      </c>
      <c r="D735" s="59"/>
      <c r="E735" s="59"/>
      <c r="F735" s="59"/>
      <c r="G735" s="431" t="s">
        <v>190</v>
      </c>
      <c r="H735" s="431"/>
      <c r="I735" s="59"/>
      <c r="J735" s="260">
        <f t="shared" si="1"/>
        <v>1</v>
      </c>
      <c r="K735" s="61"/>
    </row>
    <row r="736" spans="2:11" x14ac:dyDescent="0.2">
      <c r="B736" s="57"/>
      <c r="C736" s="196" t="s">
        <v>37</v>
      </c>
      <c r="D736" s="59"/>
      <c r="E736" s="59"/>
      <c r="F736" s="59"/>
      <c r="G736" s="431" t="s">
        <v>190</v>
      </c>
      <c r="H736" s="431"/>
      <c r="I736" s="59"/>
      <c r="J736" s="260">
        <f t="shared" si="1"/>
        <v>1</v>
      </c>
      <c r="K736" s="61"/>
    </row>
    <row r="737" spans="2:11" x14ac:dyDescent="0.2">
      <c r="B737" s="57"/>
      <c r="C737" s="196" t="s">
        <v>38</v>
      </c>
      <c r="D737" s="59"/>
      <c r="E737" s="59"/>
      <c r="F737" s="59"/>
      <c r="G737" s="431" t="s">
        <v>202</v>
      </c>
      <c r="H737" s="431"/>
      <c r="I737" s="59"/>
      <c r="J737" s="260">
        <f t="shared" si="1"/>
        <v>0</v>
      </c>
      <c r="K737" s="61"/>
    </row>
    <row r="738" spans="2:11" x14ac:dyDescent="0.2">
      <c r="B738" s="57"/>
      <c r="C738" s="196" t="s">
        <v>40</v>
      </c>
      <c r="D738" s="59"/>
      <c r="E738" s="59"/>
      <c r="F738" s="59"/>
      <c r="G738" s="431" t="s">
        <v>190</v>
      </c>
      <c r="H738" s="431"/>
      <c r="I738" s="59"/>
      <c r="J738" s="260">
        <f t="shared" si="1"/>
        <v>1</v>
      </c>
      <c r="K738" s="61"/>
    </row>
    <row r="739" spans="2:11" x14ac:dyDescent="0.2">
      <c r="B739" s="57"/>
      <c r="C739" s="196" t="s">
        <v>41</v>
      </c>
      <c r="D739" s="59"/>
      <c r="E739" s="59"/>
      <c r="F739" s="59"/>
      <c r="G739" s="431" t="s">
        <v>190</v>
      </c>
      <c r="H739" s="431"/>
      <c r="I739" s="59"/>
      <c r="J739" s="260">
        <f t="shared" si="1"/>
        <v>1</v>
      </c>
      <c r="K739" s="61"/>
    </row>
    <row r="740" spans="2:11" x14ac:dyDescent="0.2">
      <c r="B740" s="57"/>
      <c r="C740" s="196" t="s">
        <v>43</v>
      </c>
      <c r="D740" s="59"/>
      <c r="E740" s="59"/>
      <c r="F740" s="59"/>
      <c r="G740" s="431" t="s">
        <v>190</v>
      </c>
      <c r="H740" s="431"/>
      <c r="I740" s="59"/>
      <c r="J740" s="260">
        <f t="shared" si="1"/>
        <v>1</v>
      </c>
      <c r="K740" s="61"/>
    </row>
    <row r="741" spans="2:11" x14ac:dyDescent="0.2">
      <c r="B741" s="57"/>
      <c r="C741" s="59"/>
      <c r="D741" s="59"/>
      <c r="E741" s="59"/>
      <c r="F741" s="59"/>
      <c r="G741" s="59"/>
      <c r="H741" s="59"/>
      <c r="I741" s="59"/>
      <c r="J741" s="59"/>
      <c r="K741" s="61"/>
    </row>
    <row r="742" spans="2:11" x14ac:dyDescent="0.2">
      <c r="B742" s="57"/>
      <c r="C742" s="59"/>
      <c r="D742" s="59"/>
      <c r="E742" s="59"/>
      <c r="F742" s="59"/>
      <c r="G742" s="59"/>
      <c r="H742" s="59"/>
      <c r="I742" s="59"/>
      <c r="J742" s="59"/>
      <c r="K742" s="61"/>
    </row>
    <row r="743" spans="2:11" ht="16" x14ac:dyDescent="0.2">
      <c r="B743" s="57"/>
      <c r="C743" s="195" t="s">
        <v>366</v>
      </c>
      <c r="D743" s="59"/>
      <c r="E743" s="59"/>
      <c r="F743" s="59"/>
      <c r="G743" s="59"/>
      <c r="H743" s="59"/>
      <c r="I743" s="59"/>
      <c r="J743" s="59"/>
      <c r="K743" s="61"/>
    </row>
    <row r="744" spans="2:11" ht="15" customHeight="1" x14ac:dyDescent="0.2">
      <c r="B744" s="57"/>
      <c r="C744" s="411" t="s">
        <v>367</v>
      </c>
      <c r="D744" s="411"/>
      <c r="E744" s="411"/>
      <c r="F744" s="411"/>
      <c r="G744" s="411"/>
      <c r="H744" s="411"/>
      <c r="I744" s="411"/>
      <c r="J744" s="411"/>
      <c r="K744" s="61"/>
    </row>
    <row r="745" spans="2:11" x14ac:dyDescent="0.2">
      <c r="B745" s="57"/>
      <c r="C745" s="411"/>
      <c r="D745" s="411"/>
      <c r="E745" s="411"/>
      <c r="F745" s="411"/>
      <c r="G745" s="411"/>
      <c r="H745" s="411"/>
      <c r="I745" s="411"/>
      <c r="J745" s="411"/>
      <c r="K745" s="61"/>
    </row>
    <row r="746" spans="2:11" x14ac:dyDescent="0.2">
      <c r="B746" s="57"/>
      <c r="C746" s="411"/>
      <c r="D746" s="411"/>
      <c r="E746" s="411"/>
      <c r="F746" s="411"/>
      <c r="G746" s="411"/>
      <c r="H746" s="411"/>
      <c r="I746" s="411"/>
      <c r="J746" s="411"/>
      <c r="K746" s="61"/>
    </row>
    <row r="747" spans="2:11" x14ac:dyDescent="0.2">
      <c r="B747" s="57"/>
      <c r="C747" s="196" t="s">
        <v>30</v>
      </c>
      <c r="D747" s="59"/>
      <c r="E747" s="59"/>
      <c r="F747" s="59"/>
      <c r="G747" s="431" t="s">
        <v>202</v>
      </c>
      <c r="H747" s="431"/>
      <c r="I747" s="59"/>
      <c r="J747" s="260">
        <f t="shared" ref="J747:J755" si="2">IF(G747=$B$994,$A$994,IF(G747=$B$995,$A$995,"Not Calculated"))</f>
        <v>0</v>
      </c>
      <c r="K747" s="61"/>
    </row>
    <row r="748" spans="2:11" x14ac:dyDescent="0.2">
      <c r="B748" s="57"/>
      <c r="C748" s="196" t="s">
        <v>32</v>
      </c>
      <c r="D748" s="59"/>
      <c r="E748" s="59"/>
      <c r="F748" s="59"/>
      <c r="G748" s="431" t="s">
        <v>190</v>
      </c>
      <c r="H748" s="431"/>
      <c r="I748" s="59"/>
      <c r="J748" s="260">
        <f t="shared" si="2"/>
        <v>1</v>
      </c>
      <c r="K748" s="61"/>
    </row>
    <row r="749" spans="2:11" ht="15" customHeight="1" x14ac:dyDescent="0.2">
      <c r="B749" s="57"/>
      <c r="C749" s="196" t="s">
        <v>34</v>
      </c>
      <c r="D749" s="59"/>
      <c r="E749" s="59"/>
      <c r="F749" s="59"/>
      <c r="G749" s="431" t="s">
        <v>190</v>
      </c>
      <c r="H749" s="431"/>
      <c r="I749" s="59"/>
      <c r="J749" s="260">
        <f t="shared" si="2"/>
        <v>1</v>
      </c>
      <c r="K749" s="61"/>
    </row>
    <row r="750" spans="2:11" x14ac:dyDescent="0.2">
      <c r="B750" s="57"/>
      <c r="C750" s="196" t="s">
        <v>35</v>
      </c>
      <c r="D750" s="59"/>
      <c r="E750" s="59"/>
      <c r="F750" s="59"/>
      <c r="G750" s="431" t="s">
        <v>190</v>
      </c>
      <c r="H750" s="431"/>
      <c r="I750" s="59"/>
      <c r="J750" s="260">
        <f t="shared" si="2"/>
        <v>1</v>
      </c>
      <c r="K750" s="61"/>
    </row>
    <row r="751" spans="2:11" x14ac:dyDescent="0.2">
      <c r="B751" s="57"/>
      <c r="C751" s="196" t="s">
        <v>37</v>
      </c>
      <c r="D751" s="59"/>
      <c r="E751" s="59"/>
      <c r="F751" s="59"/>
      <c r="G751" s="431" t="s">
        <v>202</v>
      </c>
      <c r="H751" s="431"/>
      <c r="I751" s="59"/>
      <c r="J751" s="260">
        <f t="shared" si="2"/>
        <v>0</v>
      </c>
      <c r="K751" s="61"/>
    </row>
    <row r="752" spans="2:11" x14ac:dyDescent="0.2">
      <c r="B752" s="57"/>
      <c r="C752" s="196" t="s">
        <v>38</v>
      </c>
      <c r="D752" s="59"/>
      <c r="E752" s="59"/>
      <c r="F752" s="59"/>
      <c r="G752" s="431" t="s">
        <v>190</v>
      </c>
      <c r="H752" s="431"/>
      <c r="I752" s="59"/>
      <c r="J752" s="260">
        <f t="shared" si="2"/>
        <v>1</v>
      </c>
      <c r="K752" s="61"/>
    </row>
    <row r="753" spans="2:11" x14ac:dyDescent="0.2">
      <c r="B753" s="57"/>
      <c r="C753" s="196" t="s">
        <v>40</v>
      </c>
      <c r="D753" s="59"/>
      <c r="E753" s="59"/>
      <c r="F753" s="59"/>
      <c r="G753" s="431" t="s">
        <v>190</v>
      </c>
      <c r="H753" s="431"/>
      <c r="I753" s="59"/>
      <c r="J753" s="260">
        <f t="shared" si="2"/>
        <v>1</v>
      </c>
      <c r="K753" s="61"/>
    </row>
    <row r="754" spans="2:11" x14ac:dyDescent="0.2">
      <c r="B754" s="57"/>
      <c r="C754" s="196" t="s">
        <v>41</v>
      </c>
      <c r="D754" s="59"/>
      <c r="E754" s="59"/>
      <c r="F754" s="59"/>
      <c r="G754" s="431" t="s">
        <v>190</v>
      </c>
      <c r="H754" s="431"/>
      <c r="I754" s="59"/>
      <c r="J754" s="260">
        <f t="shared" si="2"/>
        <v>1</v>
      </c>
      <c r="K754" s="61"/>
    </row>
    <row r="755" spans="2:11" x14ac:dyDescent="0.2">
      <c r="B755" s="57"/>
      <c r="C755" s="196" t="s">
        <v>43</v>
      </c>
      <c r="D755" s="59"/>
      <c r="E755" s="59"/>
      <c r="F755" s="59"/>
      <c r="G755" s="431" t="s">
        <v>190</v>
      </c>
      <c r="H755" s="431"/>
      <c r="I755" s="59"/>
      <c r="J755" s="260">
        <f t="shared" si="2"/>
        <v>1</v>
      </c>
      <c r="K755" s="61"/>
    </row>
    <row r="756" spans="2:11" x14ac:dyDescent="0.2">
      <c r="B756" s="57"/>
      <c r="C756" s="59"/>
      <c r="D756" s="59"/>
      <c r="E756" s="59"/>
      <c r="F756" s="59"/>
      <c r="G756" s="59"/>
      <c r="H756" s="59"/>
      <c r="I756" s="59"/>
      <c r="J756" s="59"/>
      <c r="K756" s="61"/>
    </row>
    <row r="757" spans="2:11" x14ac:dyDescent="0.2">
      <c r="B757" s="57"/>
      <c r="C757" s="59"/>
      <c r="D757" s="59"/>
      <c r="E757" s="59"/>
      <c r="F757" s="59"/>
      <c r="G757" s="59"/>
      <c r="H757" s="59"/>
      <c r="I757" s="59"/>
      <c r="J757" s="59"/>
      <c r="K757" s="61"/>
    </row>
    <row r="758" spans="2:11" ht="16" x14ac:dyDescent="0.2">
      <c r="B758" s="57"/>
      <c r="C758" s="195" t="s">
        <v>368</v>
      </c>
      <c r="D758" s="59"/>
      <c r="E758" s="59"/>
      <c r="F758" s="59"/>
      <c r="G758" s="59"/>
      <c r="H758" s="59"/>
      <c r="I758" s="59"/>
      <c r="J758" s="59"/>
      <c r="K758" s="61"/>
    </row>
    <row r="759" spans="2:11" ht="15" customHeight="1" x14ac:dyDescent="0.2">
      <c r="B759" s="57"/>
      <c r="C759" s="411" t="s">
        <v>369</v>
      </c>
      <c r="D759" s="411"/>
      <c r="E759" s="411"/>
      <c r="F759" s="411"/>
      <c r="G759" s="411"/>
      <c r="H759" s="411"/>
      <c r="I759" s="411"/>
      <c r="J759" s="411"/>
      <c r="K759" s="61"/>
    </row>
    <row r="760" spans="2:11" x14ac:dyDescent="0.2">
      <c r="B760" s="57"/>
      <c r="C760" s="411"/>
      <c r="D760" s="411"/>
      <c r="E760" s="411"/>
      <c r="F760" s="411"/>
      <c r="G760" s="411"/>
      <c r="H760" s="411"/>
      <c r="I760" s="411"/>
      <c r="J760" s="411"/>
      <c r="K760" s="61"/>
    </row>
    <row r="761" spans="2:11" x14ac:dyDescent="0.2">
      <c r="B761" s="57"/>
      <c r="C761" s="411"/>
      <c r="D761" s="411"/>
      <c r="E761" s="411"/>
      <c r="F761" s="411"/>
      <c r="G761" s="411"/>
      <c r="H761" s="411"/>
      <c r="I761" s="411"/>
      <c r="J761" s="411"/>
      <c r="K761" s="61"/>
    </row>
    <row r="762" spans="2:11" x14ac:dyDescent="0.2">
      <c r="B762" s="57"/>
      <c r="C762" s="196" t="s">
        <v>30</v>
      </c>
      <c r="D762" s="59"/>
      <c r="E762" s="59"/>
      <c r="F762" s="59"/>
      <c r="G762" s="431" t="s">
        <v>190</v>
      </c>
      <c r="H762" s="431"/>
      <c r="I762" s="59"/>
      <c r="J762" s="260">
        <f t="shared" ref="J762:J770" si="3">IF(G762=$B$994,$A$994,IF(G762=$B$995,$A$995,"Not Calculated"))</f>
        <v>1</v>
      </c>
      <c r="K762" s="61"/>
    </row>
    <row r="763" spans="2:11" x14ac:dyDescent="0.2">
      <c r="B763" s="57"/>
      <c r="C763" s="196" t="s">
        <v>32</v>
      </c>
      <c r="D763" s="59"/>
      <c r="E763" s="59"/>
      <c r="F763" s="59"/>
      <c r="G763" s="431" t="s">
        <v>190</v>
      </c>
      <c r="H763" s="431"/>
      <c r="I763" s="59"/>
      <c r="J763" s="260">
        <f t="shared" si="3"/>
        <v>1</v>
      </c>
      <c r="K763" s="61"/>
    </row>
    <row r="764" spans="2:11" ht="15" customHeight="1" x14ac:dyDescent="0.2">
      <c r="B764" s="57"/>
      <c r="C764" s="196" t="s">
        <v>34</v>
      </c>
      <c r="D764" s="59"/>
      <c r="E764" s="59"/>
      <c r="F764" s="59"/>
      <c r="G764" s="431" t="s">
        <v>190</v>
      </c>
      <c r="H764" s="431"/>
      <c r="I764" s="59"/>
      <c r="J764" s="260">
        <f t="shared" si="3"/>
        <v>1</v>
      </c>
      <c r="K764" s="61"/>
    </row>
    <row r="765" spans="2:11" x14ac:dyDescent="0.2">
      <c r="B765" s="57"/>
      <c r="C765" s="196" t="s">
        <v>35</v>
      </c>
      <c r="D765" s="59"/>
      <c r="E765" s="59"/>
      <c r="F765" s="59"/>
      <c r="G765" s="431" t="s">
        <v>190</v>
      </c>
      <c r="H765" s="431"/>
      <c r="I765" s="59"/>
      <c r="J765" s="260">
        <f t="shared" si="3"/>
        <v>1</v>
      </c>
      <c r="K765" s="61"/>
    </row>
    <row r="766" spans="2:11" x14ac:dyDescent="0.2">
      <c r="B766" s="57"/>
      <c r="C766" s="196" t="s">
        <v>37</v>
      </c>
      <c r="D766" s="59"/>
      <c r="E766" s="59"/>
      <c r="F766" s="59"/>
      <c r="G766" s="431" t="s">
        <v>190</v>
      </c>
      <c r="H766" s="431"/>
      <c r="I766" s="59"/>
      <c r="J766" s="260">
        <f t="shared" si="3"/>
        <v>1</v>
      </c>
      <c r="K766" s="61"/>
    </row>
    <row r="767" spans="2:11" x14ac:dyDescent="0.2">
      <c r="B767" s="57"/>
      <c r="C767" s="196" t="s">
        <v>38</v>
      </c>
      <c r="D767" s="59"/>
      <c r="E767" s="59"/>
      <c r="F767" s="59"/>
      <c r="G767" s="431" t="s">
        <v>190</v>
      </c>
      <c r="H767" s="431"/>
      <c r="I767" s="59"/>
      <c r="J767" s="260">
        <f t="shared" si="3"/>
        <v>1</v>
      </c>
      <c r="K767" s="61"/>
    </row>
    <row r="768" spans="2:11" x14ac:dyDescent="0.2">
      <c r="B768" s="57"/>
      <c r="C768" s="196" t="s">
        <v>40</v>
      </c>
      <c r="D768" s="59"/>
      <c r="E768" s="59"/>
      <c r="F768" s="59"/>
      <c r="G768" s="431" t="s">
        <v>190</v>
      </c>
      <c r="H768" s="431"/>
      <c r="I768" s="59"/>
      <c r="J768" s="260">
        <f t="shared" si="3"/>
        <v>1</v>
      </c>
      <c r="K768" s="61"/>
    </row>
    <row r="769" spans="2:11" x14ac:dyDescent="0.2">
      <c r="B769" s="57"/>
      <c r="C769" s="196" t="s">
        <v>41</v>
      </c>
      <c r="D769" s="59"/>
      <c r="E769" s="59"/>
      <c r="F769" s="59"/>
      <c r="G769" s="431" t="s">
        <v>190</v>
      </c>
      <c r="H769" s="431"/>
      <c r="I769" s="59"/>
      <c r="J769" s="260">
        <f t="shared" si="3"/>
        <v>1</v>
      </c>
      <c r="K769" s="61"/>
    </row>
    <row r="770" spans="2:11" x14ac:dyDescent="0.2">
      <c r="B770" s="57"/>
      <c r="C770" s="196" t="s">
        <v>43</v>
      </c>
      <c r="D770" s="59"/>
      <c r="E770" s="59"/>
      <c r="F770" s="59"/>
      <c r="G770" s="431" t="s">
        <v>190</v>
      </c>
      <c r="H770" s="431"/>
      <c r="I770" s="59"/>
      <c r="J770" s="260">
        <f t="shared" si="3"/>
        <v>1</v>
      </c>
      <c r="K770" s="61"/>
    </row>
    <row r="771" spans="2:11" x14ac:dyDescent="0.2">
      <c r="B771" s="57"/>
      <c r="C771" s="59"/>
      <c r="D771" s="59"/>
      <c r="E771" s="59"/>
      <c r="F771" s="59"/>
      <c r="G771" s="59"/>
      <c r="H771" s="59"/>
      <c r="I771" s="59"/>
      <c r="J771" s="59"/>
      <c r="K771" s="61"/>
    </row>
    <row r="772" spans="2:11" x14ac:dyDescent="0.2">
      <c r="B772" s="57"/>
      <c r="C772" s="59"/>
      <c r="D772" s="59"/>
      <c r="E772" s="59"/>
      <c r="F772" s="59"/>
      <c r="G772" s="59"/>
      <c r="H772" s="59"/>
      <c r="I772" s="59"/>
      <c r="J772" s="59"/>
      <c r="K772" s="61"/>
    </row>
    <row r="773" spans="2:11" ht="16" x14ac:dyDescent="0.2">
      <c r="B773" s="57"/>
      <c r="C773" s="197" t="s">
        <v>30</v>
      </c>
      <c r="D773" s="59"/>
      <c r="E773" s="59"/>
      <c r="F773" s="59"/>
      <c r="G773" s="59"/>
      <c r="H773" s="59"/>
      <c r="I773" s="59"/>
      <c r="J773" s="59"/>
      <c r="K773" s="61"/>
    </row>
    <row r="774" spans="2:11" x14ac:dyDescent="0.2">
      <c r="B774" s="57"/>
      <c r="C774" s="59"/>
      <c r="D774" s="59" t="s">
        <v>370</v>
      </c>
      <c r="E774" s="59"/>
      <c r="F774" s="59"/>
      <c r="G774" s="59"/>
      <c r="H774" s="59"/>
      <c r="I774" s="59"/>
      <c r="J774" s="60">
        <f>'Baseline At-Risk Pops'!H8</f>
        <v>0</v>
      </c>
      <c r="K774" s="61"/>
    </row>
    <row r="775" spans="2:11" x14ac:dyDescent="0.2">
      <c r="B775" s="57"/>
      <c r="C775" s="59"/>
      <c r="D775" s="59" t="s">
        <v>371</v>
      </c>
      <c r="E775" s="59"/>
      <c r="F775" s="59"/>
      <c r="G775" s="59"/>
      <c r="H775" s="59"/>
      <c r="I775" s="59"/>
      <c r="J775" s="60">
        <f>SUM(J717,J732,J747,J762)</f>
        <v>3</v>
      </c>
      <c r="K775" s="61"/>
    </row>
    <row r="776" spans="2:11" x14ac:dyDescent="0.2">
      <c r="B776" s="57"/>
      <c r="C776" s="59"/>
      <c r="D776" s="196" t="s">
        <v>372</v>
      </c>
      <c r="E776" s="59"/>
      <c r="F776" s="59"/>
      <c r="G776" s="59"/>
      <c r="H776" s="59"/>
      <c r="I776" s="59"/>
      <c r="J776" s="60">
        <f>AVERAGE(J774,J775)</f>
        <v>1.5</v>
      </c>
      <c r="K776" s="61"/>
    </row>
    <row r="777" spans="2:11" ht="16" x14ac:dyDescent="0.2">
      <c r="B777" s="57"/>
      <c r="C777" s="197" t="s">
        <v>32</v>
      </c>
      <c r="D777" s="59"/>
      <c r="E777" s="59"/>
      <c r="F777" s="59"/>
      <c r="G777" s="59"/>
      <c r="H777" s="59"/>
      <c r="I777" s="59"/>
      <c r="J777" s="60"/>
      <c r="K777" s="61"/>
    </row>
    <row r="778" spans="2:11" x14ac:dyDescent="0.2">
      <c r="B778" s="57"/>
      <c r="C778" s="59"/>
      <c r="D778" s="59" t="s">
        <v>370</v>
      </c>
      <c r="E778" s="59"/>
      <c r="F778" s="59"/>
      <c r="G778" s="59"/>
      <c r="H778" s="59"/>
      <c r="I778" s="59"/>
      <c r="J778" s="60">
        <f>'Baseline At-Risk Pops'!H14</f>
        <v>0</v>
      </c>
      <c r="K778" s="61"/>
    </row>
    <row r="779" spans="2:11" ht="15" customHeight="1" x14ac:dyDescent="0.2">
      <c r="B779" s="57"/>
      <c r="C779" s="59"/>
      <c r="D779" s="59" t="s">
        <v>371</v>
      </c>
      <c r="E779" s="59"/>
      <c r="F779" s="59"/>
      <c r="G779" s="59"/>
      <c r="H779" s="59"/>
      <c r="I779" s="59"/>
      <c r="J779" s="60">
        <f>SUM(J718,J733,J748,J763)</f>
        <v>4</v>
      </c>
      <c r="K779" s="61"/>
    </row>
    <row r="780" spans="2:11" x14ac:dyDescent="0.2">
      <c r="B780" s="57"/>
      <c r="C780" s="59"/>
      <c r="D780" s="196" t="s">
        <v>372</v>
      </c>
      <c r="E780" s="59"/>
      <c r="F780" s="59"/>
      <c r="G780" s="59"/>
      <c r="H780" s="59"/>
      <c r="I780" s="59"/>
      <c r="J780" s="60">
        <f>AVERAGE(J778,J779)</f>
        <v>2</v>
      </c>
      <c r="K780" s="61"/>
    </row>
    <row r="781" spans="2:11" ht="16" x14ac:dyDescent="0.2">
      <c r="B781" s="57"/>
      <c r="C781" s="197" t="s">
        <v>34</v>
      </c>
      <c r="D781" s="59"/>
      <c r="E781" s="59"/>
      <c r="F781" s="59"/>
      <c r="G781" s="59"/>
      <c r="H781" s="59"/>
      <c r="I781" s="59"/>
      <c r="J781" s="60"/>
      <c r="K781" s="61"/>
    </row>
    <row r="782" spans="2:11" ht="16" x14ac:dyDescent="0.2">
      <c r="B782" s="57"/>
      <c r="C782" s="197"/>
      <c r="D782" s="59" t="s">
        <v>370</v>
      </c>
      <c r="E782" s="59"/>
      <c r="F782" s="59"/>
      <c r="G782" s="59"/>
      <c r="H782" s="59"/>
      <c r="I782" s="59"/>
      <c r="J782" s="60">
        <f>'Baseline At-Risk Pops'!H21</f>
        <v>0</v>
      </c>
      <c r="K782" s="61"/>
    </row>
    <row r="783" spans="2:11" x14ac:dyDescent="0.2">
      <c r="B783" s="57"/>
      <c r="C783" s="59"/>
      <c r="D783" s="59" t="s">
        <v>371</v>
      </c>
      <c r="E783" s="59"/>
      <c r="F783" s="59"/>
      <c r="G783" s="59"/>
      <c r="H783" s="59"/>
      <c r="I783" s="59"/>
      <c r="J783" s="60">
        <f>SUM(J719,J734,J749,J764)</f>
        <v>3</v>
      </c>
      <c r="K783" s="61"/>
    </row>
    <row r="784" spans="2:11" x14ac:dyDescent="0.2">
      <c r="B784" s="57"/>
      <c r="C784" s="59"/>
      <c r="D784" s="196" t="s">
        <v>372</v>
      </c>
      <c r="E784" s="59"/>
      <c r="F784" s="59"/>
      <c r="G784" s="59"/>
      <c r="H784" s="59"/>
      <c r="I784" s="59"/>
      <c r="J784" s="60">
        <f>AVERAGE(J782,J783)</f>
        <v>1.5</v>
      </c>
      <c r="K784" s="61"/>
    </row>
    <row r="785" spans="2:11" ht="16" x14ac:dyDescent="0.2">
      <c r="B785" s="57"/>
      <c r="C785" s="197" t="s">
        <v>35</v>
      </c>
      <c r="D785" s="59"/>
      <c r="E785" s="59"/>
      <c r="F785" s="59"/>
      <c r="G785" s="59"/>
      <c r="H785" s="59"/>
      <c r="I785" s="59"/>
      <c r="J785" s="60"/>
      <c r="K785" s="61"/>
    </row>
    <row r="786" spans="2:11" x14ac:dyDescent="0.2">
      <c r="B786" s="57"/>
      <c r="C786" s="59"/>
      <c r="D786" s="59" t="s">
        <v>370</v>
      </c>
      <c r="E786" s="59"/>
      <c r="F786" s="59"/>
      <c r="G786" s="59"/>
      <c r="H786" s="59"/>
      <c r="I786" s="59"/>
      <c r="J786" s="60">
        <f>'Baseline At-Risk Pops'!H27</f>
        <v>0</v>
      </c>
      <c r="K786" s="61"/>
    </row>
    <row r="787" spans="2:11" x14ac:dyDescent="0.2">
      <c r="B787" s="57"/>
      <c r="C787" s="59"/>
      <c r="D787" s="59" t="s">
        <v>371</v>
      </c>
      <c r="E787" s="59"/>
      <c r="F787" s="59"/>
      <c r="G787" s="59"/>
      <c r="H787" s="59"/>
      <c r="I787" s="59"/>
      <c r="J787" s="60">
        <f>SUM(J720,J735,J750,J765)</f>
        <v>4</v>
      </c>
      <c r="K787" s="61"/>
    </row>
    <row r="788" spans="2:11" x14ac:dyDescent="0.2">
      <c r="B788" s="57"/>
      <c r="C788" s="59"/>
      <c r="D788" s="196" t="s">
        <v>372</v>
      </c>
      <c r="E788" s="59"/>
      <c r="F788" s="59"/>
      <c r="G788" s="59"/>
      <c r="H788" s="59"/>
      <c r="I788" s="59"/>
      <c r="J788" s="60">
        <f>AVERAGE(J786,J787)</f>
        <v>2</v>
      </c>
      <c r="K788" s="61"/>
    </row>
    <row r="789" spans="2:11" ht="16" x14ac:dyDescent="0.2">
      <c r="B789" s="57"/>
      <c r="C789" s="197" t="s">
        <v>37</v>
      </c>
      <c r="D789" s="59"/>
      <c r="E789" s="59"/>
      <c r="F789" s="59"/>
      <c r="G789" s="59"/>
      <c r="H789" s="59"/>
      <c r="I789" s="59"/>
      <c r="J789" s="60"/>
      <c r="K789" s="61"/>
    </row>
    <row r="790" spans="2:11" x14ac:dyDescent="0.2">
      <c r="B790" s="57"/>
      <c r="C790" s="59"/>
      <c r="D790" s="59" t="s">
        <v>370</v>
      </c>
      <c r="E790" s="59"/>
      <c r="F790" s="59"/>
      <c r="G790" s="59"/>
      <c r="H790" s="59"/>
      <c r="I790" s="59"/>
      <c r="J790" s="60">
        <f>'Baseline At-Risk Pops'!H34</f>
        <v>0</v>
      </c>
      <c r="K790" s="61"/>
    </row>
    <row r="791" spans="2:11" x14ac:dyDescent="0.2">
      <c r="B791" s="57"/>
      <c r="C791" s="59"/>
      <c r="D791" s="59" t="s">
        <v>371</v>
      </c>
      <c r="E791" s="59"/>
      <c r="F791" s="59"/>
      <c r="G791" s="59"/>
      <c r="H791" s="59"/>
      <c r="I791" s="59"/>
      <c r="J791" s="60">
        <f>SUM(J721,J736,J751,J766)</f>
        <v>3</v>
      </c>
      <c r="K791" s="61"/>
    </row>
    <row r="792" spans="2:11" x14ac:dyDescent="0.2">
      <c r="B792" s="57"/>
      <c r="C792" s="59"/>
      <c r="D792" s="196" t="s">
        <v>372</v>
      </c>
      <c r="E792" s="59"/>
      <c r="F792" s="59"/>
      <c r="G792" s="59"/>
      <c r="H792" s="59"/>
      <c r="I792" s="59"/>
      <c r="J792" s="60">
        <f>AVERAGE(J790,J791)</f>
        <v>1.5</v>
      </c>
      <c r="K792" s="61"/>
    </row>
    <row r="793" spans="2:11" ht="16" x14ac:dyDescent="0.2">
      <c r="B793" s="57"/>
      <c r="C793" s="197" t="s">
        <v>38</v>
      </c>
      <c r="D793" s="59"/>
      <c r="E793" s="59"/>
      <c r="F793" s="59"/>
      <c r="G793" s="59"/>
      <c r="H793" s="59"/>
      <c r="I793" s="59"/>
      <c r="J793" s="60"/>
      <c r="K793" s="61"/>
    </row>
    <row r="794" spans="2:11" x14ac:dyDescent="0.2">
      <c r="B794" s="57"/>
      <c r="C794" s="59"/>
      <c r="D794" s="59" t="s">
        <v>370</v>
      </c>
      <c r="E794" s="59"/>
      <c r="F794" s="59"/>
      <c r="G794" s="59"/>
      <c r="H794" s="59"/>
      <c r="I794" s="59"/>
      <c r="J794" s="60">
        <f>'Baseline At-Risk Pops'!H40</f>
        <v>0</v>
      </c>
      <c r="K794" s="61"/>
    </row>
    <row r="795" spans="2:11" x14ac:dyDescent="0.2">
      <c r="B795" s="57"/>
      <c r="C795" s="59"/>
      <c r="D795" s="59" t="s">
        <v>371</v>
      </c>
      <c r="E795" s="59"/>
      <c r="F795" s="59"/>
      <c r="G795" s="59"/>
      <c r="H795" s="59"/>
      <c r="I795" s="59"/>
      <c r="J795" s="60">
        <f>SUM(J722,J737,J752,J767)</f>
        <v>3</v>
      </c>
      <c r="K795" s="61"/>
    </row>
    <row r="796" spans="2:11" x14ac:dyDescent="0.2">
      <c r="B796" s="57"/>
      <c r="C796" s="59"/>
      <c r="D796" s="196" t="s">
        <v>372</v>
      </c>
      <c r="E796" s="59"/>
      <c r="F796" s="59"/>
      <c r="G796" s="59"/>
      <c r="H796" s="59"/>
      <c r="I796" s="59"/>
      <c r="J796" s="60">
        <f>AVERAGE(J794,J795)</f>
        <v>1.5</v>
      </c>
      <c r="K796" s="61"/>
    </row>
    <row r="797" spans="2:11" ht="16" x14ac:dyDescent="0.2">
      <c r="B797" s="57"/>
      <c r="C797" s="197" t="s">
        <v>40</v>
      </c>
      <c r="D797" s="59"/>
      <c r="E797" s="59"/>
      <c r="F797" s="59"/>
      <c r="G797" s="59"/>
      <c r="H797" s="59"/>
      <c r="I797" s="59"/>
      <c r="J797" s="60"/>
      <c r="K797" s="61"/>
    </row>
    <row r="798" spans="2:11" x14ac:dyDescent="0.2">
      <c r="B798" s="57"/>
      <c r="C798" s="59"/>
      <c r="D798" s="59" t="s">
        <v>370</v>
      </c>
      <c r="E798" s="59"/>
      <c r="F798" s="59"/>
      <c r="G798" s="59"/>
      <c r="H798" s="59"/>
      <c r="I798" s="59"/>
      <c r="J798" s="60">
        <f>'Baseline At-Risk Pops'!H46</f>
        <v>0</v>
      </c>
      <c r="K798" s="61"/>
    </row>
    <row r="799" spans="2:11" x14ac:dyDescent="0.2">
      <c r="B799" s="57"/>
      <c r="C799" s="59"/>
      <c r="D799" s="59" t="s">
        <v>371</v>
      </c>
      <c r="E799" s="59"/>
      <c r="F799" s="59"/>
      <c r="G799" s="59"/>
      <c r="H799" s="59"/>
      <c r="I799" s="59"/>
      <c r="J799" s="60">
        <f>SUM(J723,J738,J753,J768)</f>
        <v>3</v>
      </c>
      <c r="K799" s="61"/>
    </row>
    <row r="800" spans="2:11" x14ac:dyDescent="0.2">
      <c r="B800" s="57"/>
      <c r="C800" s="59"/>
      <c r="D800" s="196" t="s">
        <v>372</v>
      </c>
      <c r="E800" s="59"/>
      <c r="F800" s="59"/>
      <c r="G800" s="59"/>
      <c r="H800" s="59"/>
      <c r="I800" s="59"/>
      <c r="J800" s="60">
        <f>AVERAGE(J798,J799)</f>
        <v>1.5</v>
      </c>
      <c r="K800" s="61"/>
    </row>
    <row r="801" spans="2:11" ht="16" x14ac:dyDescent="0.2">
      <c r="B801" s="57"/>
      <c r="C801" s="197" t="s">
        <v>41</v>
      </c>
      <c r="D801" s="59"/>
      <c r="E801" s="59"/>
      <c r="F801" s="59"/>
      <c r="G801" s="59"/>
      <c r="H801" s="59"/>
      <c r="I801" s="59"/>
      <c r="J801" s="60"/>
      <c r="K801" s="61"/>
    </row>
    <row r="802" spans="2:11" ht="16" x14ac:dyDescent="0.2">
      <c r="B802" s="57"/>
      <c r="C802" s="197"/>
      <c r="D802" s="59" t="s">
        <v>370</v>
      </c>
      <c r="E802" s="59"/>
      <c r="F802" s="59"/>
      <c r="G802" s="59"/>
      <c r="H802" s="59"/>
      <c r="I802" s="59"/>
      <c r="J802" s="60">
        <f>'Baseline At-Risk Pops'!H52</f>
        <v>0</v>
      </c>
      <c r="K802" s="61"/>
    </row>
    <row r="803" spans="2:11" x14ac:dyDescent="0.2">
      <c r="B803" s="57"/>
      <c r="C803" s="59"/>
      <c r="D803" s="59" t="s">
        <v>371</v>
      </c>
      <c r="E803" s="59"/>
      <c r="F803" s="59"/>
      <c r="G803" s="59"/>
      <c r="H803" s="59"/>
      <c r="I803" s="59"/>
      <c r="J803" s="60">
        <f>SUM(J724,J739,J754,J769)</f>
        <v>4</v>
      </c>
      <c r="K803" s="61"/>
    </row>
    <row r="804" spans="2:11" x14ac:dyDescent="0.2">
      <c r="B804" s="57"/>
      <c r="C804" s="59"/>
      <c r="D804" s="196" t="s">
        <v>372</v>
      </c>
      <c r="E804" s="59"/>
      <c r="F804" s="59"/>
      <c r="G804" s="59"/>
      <c r="H804" s="59"/>
      <c r="I804" s="59"/>
      <c r="J804" s="60">
        <f>AVERAGE(J802,J803)</f>
        <v>2</v>
      </c>
      <c r="K804" s="61"/>
    </row>
    <row r="805" spans="2:11" ht="16" x14ac:dyDescent="0.2">
      <c r="B805" s="57"/>
      <c r="C805" s="197" t="s">
        <v>43</v>
      </c>
      <c r="D805" s="59"/>
      <c r="E805" s="59"/>
      <c r="F805" s="59"/>
      <c r="G805" s="59"/>
      <c r="H805" s="59"/>
      <c r="I805" s="59"/>
      <c r="J805" s="60"/>
      <c r="K805" s="61"/>
    </row>
    <row r="806" spans="2:11" x14ac:dyDescent="0.2">
      <c r="B806" s="57"/>
      <c r="C806" s="59"/>
      <c r="D806" s="59" t="s">
        <v>370</v>
      </c>
      <c r="E806" s="59"/>
      <c r="F806" s="59"/>
      <c r="G806" s="59"/>
      <c r="H806" s="59"/>
      <c r="I806" s="59"/>
      <c r="J806" s="60">
        <f>'Baseline At-Risk Pops'!H58</f>
        <v>0</v>
      </c>
      <c r="K806" s="61"/>
    </row>
    <row r="807" spans="2:11" x14ac:dyDescent="0.2">
      <c r="B807" s="57"/>
      <c r="C807" s="59"/>
      <c r="D807" s="59" t="s">
        <v>371</v>
      </c>
      <c r="E807" s="59"/>
      <c r="F807" s="59"/>
      <c r="G807" s="59"/>
      <c r="H807" s="59"/>
      <c r="I807" s="59"/>
      <c r="J807" s="60">
        <f>SUM(J725,J740,J755,J770)</f>
        <v>3</v>
      </c>
      <c r="K807" s="61"/>
    </row>
    <row r="808" spans="2:11" x14ac:dyDescent="0.2">
      <c r="B808" s="57"/>
      <c r="C808" s="59"/>
      <c r="D808" s="196" t="s">
        <v>372</v>
      </c>
      <c r="E808" s="59"/>
      <c r="F808" s="59"/>
      <c r="G808" s="59"/>
      <c r="H808" s="59"/>
      <c r="I808" s="59"/>
      <c r="J808" s="60">
        <f>AVERAGE(J806,J807)</f>
        <v>1.5</v>
      </c>
      <c r="K808" s="61"/>
    </row>
    <row r="809" spans="2:11" x14ac:dyDescent="0.2">
      <c r="B809" s="57"/>
      <c r="C809" s="59"/>
      <c r="D809" s="59"/>
      <c r="E809" s="59"/>
      <c r="F809" s="59"/>
      <c r="G809" s="59"/>
      <c r="H809" s="59"/>
      <c r="I809" s="59"/>
      <c r="J809" s="59"/>
      <c r="K809" s="61"/>
    </row>
    <row r="810" spans="2:11" x14ac:dyDescent="0.2">
      <c r="B810" s="57"/>
      <c r="C810" s="59"/>
      <c r="D810" s="59"/>
      <c r="E810" s="59"/>
      <c r="F810" s="59"/>
      <c r="G810" s="59"/>
      <c r="H810" s="59"/>
      <c r="I810" s="59"/>
      <c r="J810" s="59"/>
      <c r="K810" s="61"/>
    </row>
    <row r="811" spans="2:11" ht="16" x14ac:dyDescent="0.2">
      <c r="B811" s="57"/>
      <c r="C811" s="198" t="s">
        <v>373</v>
      </c>
      <c r="D811" s="59"/>
      <c r="E811" s="59"/>
      <c r="F811" s="59"/>
      <c r="G811" s="59"/>
      <c r="H811" s="59"/>
      <c r="I811" s="59"/>
      <c r="J811" s="261">
        <f>AVERAGE(J776,J780,J784,J788,J792,J796,J800,J804,J808)</f>
        <v>1.6666666666666667</v>
      </c>
      <c r="K811" s="61"/>
    </row>
    <row r="812" spans="2:11" ht="16" thickBot="1" x14ac:dyDescent="0.25">
      <c r="B812" s="73"/>
      <c r="C812" s="74"/>
      <c r="D812" s="74"/>
      <c r="E812" s="74"/>
      <c r="F812" s="74"/>
      <c r="G812" s="74"/>
      <c r="H812" s="74"/>
      <c r="I812" s="74"/>
      <c r="J812" s="74"/>
      <c r="K812" s="76"/>
    </row>
    <row r="813" spans="2:11" ht="16" thickBot="1" x14ac:dyDescent="0.25"/>
    <row r="814" spans="2:11" x14ac:dyDescent="0.2">
      <c r="B814" s="199"/>
      <c r="C814" s="200"/>
      <c r="D814" s="200"/>
      <c r="E814" s="200"/>
      <c r="F814" s="200"/>
      <c r="G814" s="200"/>
      <c r="H814" s="200"/>
      <c r="I814" s="200"/>
      <c r="J814" s="200"/>
      <c r="K814" s="201"/>
    </row>
    <row r="815" spans="2:11" ht="21" x14ac:dyDescent="0.25">
      <c r="B815" s="202"/>
      <c r="C815" s="203"/>
      <c r="D815" s="203"/>
      <c r="E815" s="203"/>
      <c r="F815" s="203"/>
      <c r="G815" s="204" t="s">
        <v>233</v>
      </c>
      <c r="H815" s="203"/>
      <c r="I815" s="203"/>
      <c r="J815" s="203"/>
      <c r="K815" s="205"/>
    </row>
    <row r="816" spans="2:11" x14ac:dyDescent="0.2">
      <c r="B816" s="202"/>
      <c r="C816" s="203"/>
      <c r="D816" s="203"/>
      <c r="E816" s="203"/>
      <c r="F816" s="203"/>
      <c r="G816" s="203"/>
      <c r="H816" s="203"/>
      <c r="I816" s="203"/>
      <c r="J816" s="203"/>
      <c r="K816" s="205"/>
    </row>
    <row r="817" spans="2:11" ht="16" x14ac:dyDescent="0.2">
      <c r="B817" s="202"/>
      <c r="C817" s="206" t="s">
        <v>992</v>
      </c>
      <c r="D817" s="203"/>
      <c r="E817" s="203"/>
      <c r="F817" s="203"/>
      <c r="G817" s="203"/>
      <c r="H817" s="203"/>
      <c r="I817" s="203"/>
      <c r="J817" s="262" t="str">
        <f>IF(J700="Not Calculated","Not Calculated",J700*(($J$811/4)+1))</f>
        <v>Not Calculated</v>
      </c>
      <c r="K817" s="205"/>
    </row>
    <row r="818" spans="2:11" x14ac:dyDescent="0.2">
      <c r="B818" s="202"/>
      <c r="C818" s="203"/>
      <c r="D818" s="203" t="s">
        <v>1119</v>
      </c>
      <c r="E818" s="203"/>
      <c r="F818" s="203"/>
      <c r="G818" s="203"/>
      <c r="H818" s="203"/>
      <c r="I818" s="203"/>
      <c r="J818" s="203"/>
      <c r="K818" s="205"/>
    </row>
    <row r="819" spans="2:11" x14ac:dyDescent="0.2">
      <c r="B819" s="202"/>
      <c r="C819" s="203"/>
      <c r="D819" s="203"/>
      <c r="E819" s="203"/>
      <c r="F819" s="203"/>
      <c r="G819" s="203"/>
      <c r="H819" s="203"/>
      <c r="I819" s="203"/>
      <c r="J819" s="203"/>
      <c r="K819" s="205"/>
    </row>
    <row r="820" spans="2:11" ht="16" x14ac:dyDescent="0.2">
      <c r="B820" s="202"/>
      <c r="C820" s="206" t="s">
        <v>993</v>
      </c>
      <c r="D820" s="203"/>
      <c r="E820" s="203"/>
      <c r="F820" s="203"/>
      <c r="G820" s="203"/>
      <c r="H820" s="203"/>
      <c r="I820" s="203"/>
      <c r="J820" s="262" t="str">
        <f>IF(J703="Not Calculated","Not Calculated",J703*(($J$811/4)+1))</f>
        <v>Not Calculated</v>
      </c>
      <c r="K820" s="205"/>
    </row>
    <row r="821" spans="2:11" x14ac:dyDescent="0.2">
      <c r="B821" s="202"/>
      <c r="C821" s="203"/>
      <c r="D821" s="203" t="s">
        <v>1120</v>
      </c>
      <c r="E821" s="203"/>
      <c r="F821" s="203"/>
      <c r="G821" s="203"/>
      <c r="H821" s="203"/>
      <c r="I821" s="203"/>
      <c r="J821" s="203"/>
      <c r="K821" s="205"/>
    </row>
    <row r="822" spans="2:11" x14ac:dyDescent="0.2">
      <c r="B822" s="202"/>
      <c r="C822" s="203"/>
      <c r="D822" s="203"/>
      <c r="E822" s="203"/>
      <c r="F822" s="203"/>
      <c r="G822" s="203"/>
      <c r="H822" s="203"/>
      <c r="I822" s="203"/>
      <c r="J822" s="203"/>
      <c r="K822" s="205"/>
    </row>
    <row r="823" spans="2:11" ht="16" x14ac:dyDescent="0.2">
      <c r="B823" s="202"/>
      <c r="C823" s="206" t="s">
        <v>994</v>
      </c>
      <c r="D823" s="203"/>
      <c r="E823" s="203"/>
      <c r="F823" s="203"/>
      <c r="G823" s="203"/>
      <c r="H823" s="203"/>
      <c r="I823" s="203"/>
      <c r="J823" s="262" t="str">
        <f>IF(J706="Not Calculated","Not Calculated",J706*(($J$811/4)+1))</f>
        <v>Not Calculated</v>
      </c>
      <c r="K823" s="205"/>
    </row>
    <row r="824" spans="2:11" x14ac:dyDescent="0.2">
      <c r="B824" s="202"/>
      <c r="C824" s="203"/>
      <c r="D824" s="203" t="s">
        <v>1121</v>
      </c>
      <c r="E824" s="203"/>
      <c r="F824" s="203"/>
      <c r="G824" s="203"/>
      <c r="H824" s="203"/>
      <c r="I824" s="203"/>
      <c r="J824" s="203"/>
      <c r="K824" s="205"/>
    </row>
    <row r="825" spans="2:11" ht="16" thickBot="1" x14ac:dyDescent="0.25">
      <c r="B825" s="207"/>
      <c r="C825" s="208"/>
      <c r="D825" s="208"/>
      <c r="E825" s="208"/>
      <c r="F825" s="208"/>
      <c r="G825" s="208"/>
      <c r="H825" s="208"/>
      <c r="I825" s="208"/>
      <c r="J825" s="208"/>
      <c r="K825" s="209"/>
    </row>
    <row r="826" spans="2:11" ht="16" thickBot="1" x14ac:dyDescent="0.25"/>
    <row r="827" spans="2:11" x14ac:dyDescent="0.2">
      <c r="B827" s="77"/>
      <c r="C827" s="78"/>
      <c r="D827" s="78"/>
      <c r="E827" s="78"/>
      <c r="F827" s="78"/>
      <c r="G827" s="78"/>
      <c r="H827" s="78"/>
      <c r="I827" s="78"/>
      <c r="J827" s="78"/>
      <c r="K827" s="80"/>
    </row>
    <row r="828" spans="2:11" ht="21" x14ac:dyDescent="0.25">
      <c r="B828" s="81"/>
      <c r="C828" s="85"/>
      <c r="D828" s="85"/>
      <c r="E828" s="85"/>
      <c r="F828" s="85"/>
      <c r="G828" s="210" t="s">
        <v>806</v>
      </c>
      <c r="H828" s="85"/>
      <c r="I828" s="85"/>
      <c r="J828" s="85"/>
      <c r="K828" s="87"/>
    </row>
    <row r="829" spans="2:11" x14ac:dyDescent="0.2">
      <c r="B829" s="81"/>
      <c r="C829" s="85"/>
      <c r="D829" s="85"/>
      <c r="E829" s="85"/>
      <c r="F829" s="85"/>
      <c r="G829" s="85"/>
      <c r="H829" s="85"/>
      <c r="I829" s="85"/>
      <c r="J829" s="85"/>
      <c r="K829" s="87"/>
    </row>
    <row r="830" spans="2:11" ht="15" customHeight="1" x14ac:dyDescent="0.2">
      <c r="B830" s="81"/>
      <c r="C830" s="424" t="s">
        <v>808</v>
      </c>
      <c r="D830" s="424"/>
      <c r="E830" s="424"/>
      <c r="F830" s="424"/>
      <c r="G830" s="424"/>
      <c r="H830" s="424"/>
      <c r="I830" s="424"/>
      <c r="J830" s="424"/>
      <c r="K830" s="87"/>
    </row>
    <row r="831" spans="2:11" x14ac:dyDescent="0.2">
      <c r="B831" s="81"/>
      <c r="C831" s="424"/>
      <c r="D831" s="424"/>
      <c r="E831" s="424"/>
      <c r="F831" s="424"/>
      <c r="G831" s="424"/>
      <c r="H831" s="424"/>
      <c r="I831" s="424"/>
      <c r="J831" s="424"/>
      <c r="K831" s="87"/>
    </row>
    <row r="832" spans="2:11" x14ac:dyDescent="0.2">
      <c r="B832" s="81"/>
      <c r="C832" s="85"/>
      <c r="D832" s="85"/>
      <c r="E832" s="85"/>
      <c r="F832" s="85"/>
      <c r="G832" s="85"/>
      <c r="H832" s="85"/>
      <c r="I832" s="85"/>
      <c r="J832" s="85"/>
      <c r="K832" s="87"/>
    </row>
    <row r="833" spans="2:11" ht="16" x14ac:dyDescent="0.2">
      <c r="B833" s="81"/>
      <c r="C833" s="211" t="s">
        <v>654</v>
      </c>
      <c r="D833" s="85"/>
      <c r="E833" s="85"/>
      <c r="F833" s="85"/>
      <c r="G833" s="85"/>
      <c r="H833" s="85"/>
      <c r="I833" s="85"/>
      <c r="J833" s="85"/>
      <c r="K833" s="87"/>
    </row>
    <row r="834" spans="2:11" x14ac:dyDescent="0.2">
      <c r="B834" s="81"/>
      <c r="C834" s="85" t="s">
        <v>380</v>
      </c>
      <c r="D834" s="85"/>
      <c r="E834" s="85"/>
      <c r="F834" s="85"/>
      <c r="G834" s="406" t="s">
        <v>234</v>
      </c>
      <c r="H834" s="407"/>
      <c r="I834" s="85"/>
      <c r="J834" s="83">
        <f>IF(G834=$B$998,$A$998,IF(G834=$B$999,$A$999,IF(G834=$B$1000,$A$1000,IF(G834=$B$1001,$A$1001,IF(G834=$B$1002,$A$1002,"Not Calculated")))))</f>
        <v>4</v>
      </c>
      <c r="K834" s="87"/>
    </row>
    <row r="835" spans="2:11" x14ac:dyDescent="0.2">
      <c r="B835" s="81"/>
      <c r="C835" s="85" t="s">
        <v>134</v>
      </c>
      <c r="D835" s="85"/>
      <c r="E835" s="85"/>
      <c r="F835" s="85"/>
      <c r="G835" s="85"/>
      <c r="H835" s="85"/>
      <c r="I835" s="85"/>
      <c r="J835" s="240">
        <f>'Baseline PHP'!J16</f>
        <v>0</v>
      </c>
      <c r="K835" s="87"/>
    </row>
    <row r="836" spans="2:11" x14ac:dyDescent="0.2">
      <c r="B836" s="81"/>
      <c r="C836" s="85"/>
      <c r="D836" s="85"/>
      <c r="E836" s="85"/>
      <c r="F836" s="85"/>
      <c r="G836" s="85"/>
      <c r="H836" s="85"/>
      <c r="I836" s="85"/>
      <c r="J836" s="85"/>
      <c r="K836" s="87"/>
    </row>
    <row r="837" spans="2:11" ht="16" x14ac:dyDescent="0.2">
      <c r="B837" s="81"/>
      <c r="C837" s="211" t="s">
        <v>655</v>
      </c>
      <c r="D837" s="85"/>
      <c r="E837" s="85"/>
      <c r="F837" s="85"/>
      <c r="G837" s="85"/>
      <c r="H837" s="85"/>
      <c r="I837" s="85"/>
      <c r="J837" s="85"/>
      <c r="K837" s="87"/>
    </row>
    <row r="838" spans="2:11" x14ac:dyDescent="0.2">
      <c r="B838" s="81"/>
      <c r="C838" s="85" t="s">
        <v>380</v>
      </c>
      <c r="D838" s="85"/>
      <c r="E838" s="85"/>
      <c r="F838" s="85"/>
      <c r="G838" s="406" t="s">
        <v>234</v>
      </c>
      <c r="H838" s="407"/>
      <c r="I838" s="85"/>
      <c r="J838" s="83">
        <f>IF(G838=$B$998,$A$998,IF(G838=$B$999,$A$999,IF(G838=$B$1000,$A$1000,IF(G838=$B$1001,$A$1001,IF(G838=$B$1002,$A$1002,"Not Calculated")))))</f>
        <v>4</v>
      </c>
      <c r="K838" s="87"/>
    </row>
    <row r="839" spans="2:11" x14ac:dyDescent="0.2">
      <c r="B839" s="81"/>
      <c r="C839" s="85" t="s">
        <v>134</v>
      </c>
      <c r="D839" s="85"/>
      <c r="E839" s="85"/>
      <c r="F839" s="85"/>
      <c r="G839" s="85"/>
      <c r="H839" s="85"/>
      <c r="I839" s="85"/>
      <c r="J839" s="240">
        <f>'Baseline PHP'!J28</f>
        <v>0</v>
      </c>
      <c r="K839" s="87"/>
    </row>
    <row r="840" spans="2:11" x14ac:dyDescent="0.2">
      <c r="B840" s="81"/>
      <c r="C840" s="85"/>
      <c r="D840" s="85"/>
      <c r="E840" s="85"/>
      <c r="F840" s="85"/>
      <c r="G840" s="85"/>
      <c r="H840" s="85"/>
      <c r="I840" s="85"/>
      <c r="J840" s="85"/>
      <c r="K840" s="87"/>
    </row>
    <row r="841" spans="2:11" ht="16" x14ac:dyDescent="0.2">
      <c r="B841" s="81"/>
      <c r="C841" s="211" t="s">
        <v>645</v>
      </c>
      <c r="D841" s="85"/>
      <c r="E841" s="85"/>
      <c r="F841" s="85"/>
      <c r="G841" s="85"/>
      <c r="H841" s="85"/>
      <c r="I841" s="85"/>
      <c r="J841" s="85"/>
      <c r="K841" s="87"/>
    </row>
    <row r="842" spans="2:11" x14ac:dyDescent="0.2">
      <c r="B842" s="81"/>
      <c r="C842" s="85" t="s">
        <v>380</v>
      </c>
      <c r="D842" s="85"/>
      <c r="E842" s="85"/>
      <c r="F842" s="85"/>
      <c r="G842" s="406" t="s">
        <v>234</v>
      </c>
      <c r="H842" s="407"/>
      <c r="I842" s="85"/>
      <c r="J842" s="83">
        <f>IF(G842=$B$998,$A$998,IF(G842=$B$999,$A$999,IF(G842=$B$1000,$A$1000,IF(G842=$B$1001,$A$1001,IF(G842=$B$1002,$A$1002,"Not Calculated")))))</f>
        <v>4</v>
      </c>
      <c r="K842" s="87"/>
    </row>
    <row r="843" spans="2:11" x14ac:dyDescent="0.2">
      <c r="B843" s="81"/>
      <c r="C843" s="85" t="s">
        <v>134</v>
      </c>
      <c r="D843" s="85"/>
      <c r="E843" s="85"/>
      <c r="F843" s="85"/>
      <c r="G843" s="85"/>
      <c r="H843" s="85"/>
      <c r="I843" s="85"/>
      <c r="J843" s="240">
        <f>'Baseline PHP'!J44</f>
        <v>0</v>
      </c>
      <c r="K843" s="87"/>
    </row>
    <row r="844" spans="2:11" x14ac:dyDescent="0.2">
      <c r="B844" s="81"/>
      <c r="C844" s="85"/>
      <c r="D844" s="85"/>
      <c r="E844" s="85"/>
      <c r="F844" s="85"/>
      <c r="G844" s="85"/>
      <c r="H844" s="85"/>
      <c r="I844" s="85"/>
      <c r="J844" s="85"/>
      <c r="K844" s="87"/>
    </row>
    <row r="845" spans="2:11" ht="16" x14ac:dyDescent="0.2">
      <c r="B845" s="81"/>
      <c r="C845" s="211" t="s">
        <v>646</v>
      </c>
      <c r="D845" s="85"/>
      <c r="E845" s="85"/>
      <c r="F845" s="85"/>
      <c r="G845" s="85"/>
      <c r="H845" s="85"/>
      <c r="I845" s="85"/>
      <c r="J845" s="85"/>
      <c r="K845" s="87"/>
    </row>
    <row r="846" spans="2:11" x14ac:dyDescent="0.2">
      <c r="B846" s="81"/>
      <c r="C846" s="85" t="s">
        <v>380</v>
      </c>
      <c r="D846" s="85"/>
      <c r="E846" s="85"/>
      <c r="F846" s="85"/>
      <c r="G846" s="406" t="s">
        <v>234</v>
      </c>
      <c r="H846" s="407"/>
      <c r="I846" s="85"/>
      <c r="J846" s="83">
        <f>IF(G846=$B$998,$A$998,IF(G846=$B$999,$A$999,IF(G846=$B$1000,$A$1000,IF(G846=$B$1001,$A$1001,IF(G846=$B$1002,$A$1002,"Not Calculated")))))</f>
        <v>4</v>
      </c>
      <c r="K846" s="87"/>
    </row>
    <row r="847" spans="2:11" x14ac:dyDescent="0.2">
      <c r="B847" s="81"/>
      <c r="C847" s="85" t="s">
        <v>134</v>
      </c>
      <c r="D847" s="85"/>
      <c r="E847" s="85"/>
      <c r="F847" s="85"/>
      <c r="G847" s="85"/>
      <c r="H847" s="85"/>
      <c r="I847" s="85"/>
      <c r="J847" s="240">
        <f>'Baseline PHP'!J60</f>
        <v>0</v>
      </c>
      <c r="K847" s="87"/>
    </row>
    <row r="848" spans="2:11" x14ac:dyDescent="0.2">
      <c r="B848" s="81"/>
      <c r="C848" s="85"/>
      <c r="D848" s="85"/>
      <c r="E848" s="85"/>
      <c r="F848" s="85"/>
      <c r="G848" s="85"/>
      <c r="H848" s="85"/>
      <c r="I848" s="85"/>
      <c r="J848" s="85"/>
      <c r="K848" s="87"/>
    </row>
    <row r="849" spans="2:11" ht="16" x14ac:dyDescent="0.2">
      <c r="B849" s="81"/>
      <c r="C849" s="211" t="s">
        <v>648</v>
      </c>
      <c r="D849" s="85"/>
      <c r="E849" s="85"/>
      <c r="F849" s="85"/>
      <c r="G849" s="85"/>
      <c r="H849" s="85"/>
      <c r="I849" s="85"/>
      <c r="J849" s="85"/>
      <c r="K849" s="87"/>
    </row>
    <row r="850" spans="2:11" ht="15" customHeight="1" x14ac:dyDescent="0.2">
      <c r="B850" s="81"/>
      <c r="C850" s="85" t="s">
        <v>380</v>
      </c>
      <c r="D850" s="85"/>
      <c r="E850" s="85"/>
      <c r="F850" s="85"/>
      <c r="G850" s="406" t="s">
        <v>238</v>
      </c>
      <c r="H850" s="407"/>
      <c r="I850" s="85"/>
      <c r="J850" s="83">
        <f>IF(G850=$B$998,$A$998,IF(G850=$B$999,$A$999,IF(G850=$B$1000,$A$1000,IF(G850=$B$1001,$A$1001,IF(G850=$B$1002,$A$1002,"Not Calculated")))))</f>
        <v>3</v>
      </c>
      <c r="K850" s="87"/>
    </row>
    <row r="851" spans="2:11" x14ac:dyDescent="0.2">
      <c r="B851" s="81"/>
      <c r="C851" s="85" t="s">
        <v>134</v>
      </c>
      <c r="D851" s="85"/>
      <c r="E851" s="85"/>
      <c r="F851" s="85"/>
      <c r="G851" s="85"/>
      <c r="H851" s="85"/>
      <c r="I851" s="85"/>
      <c r="J851" s="240">
        <f>'Baseline PHP'!J76</f>
        <v>0</v>
      </c>
      <c r="K851" s="87"/>
    </row>
    <row r="852" spans="2:11" x14ac:dyDescent="0.2">
      <c r="B852" s="81"/>
      <c r="C852" s="85"/>
      <c r="D852" s="85"/>
      <c r="E852" s="85"/>
      <c r="F852" s="85"/>
      <c r="G852" s="85"/>
      <c r="H852" s="85"/>
      <c r="I852" s="85"/>
      <c r="J852" s="85"/>
      <c r="K852" s="87"/>
    </row>
    <row r="853" spans="2:11" ht="16" x14ac:dyDescent="0.2">
      <c r="B853" s="81"/>
      <c r="C853" s="211" t="s">
        <v>647</v>
      </c>
      <c r="D853" s="85"/>
      <c r="E853" s="85"/>
      <c r="F853" s="85"/>
      <c r="G853" s="85"/>
      <c r="H853" s="85"/>
      <c r="I853" s="85"/>
      <c r="J853" s="85"/>
      <c r="K853" s="87"/>
    </row>
    <row r="854" spans="2:11" x14ac:dyDescent="0.2">
      <c r="B854" s="81"/>
      <c r="C854" s="85" t="s">
        <v>380</v>
      </c>
      <c r="D854" s="85"/>
      <c r="E854" s="85"/>
      <c r="F854" s="85"/>
      <c r="G854" s="406" t="s">
        <v>234</v>
      </c>
      <c r="H854" s="407"/>
      <c r="I854" s="85"/>
      <c r="J854" s="83">
        <f>IF(G854=$B$998,$A$998,IF(G854=$B$999,$A$999,IF(G854=$B$1000,$A$1000,IF(G854=$B$1001,$A$1001,IF(G854=$B$1002,$A$1002,"Not Calculated")))))</f>
        <v>4</v>
      </c>
      <c r="K854" s="87"/>
    </row>
    <row r="855" spans="2:11" x14ac:dyDescent="0.2">
      <c r="B855" s="81"/>
      <c r="C855" s="85" t="s">
        <v>134</v>
      </c>
      <c r="D855" s="85"/>
      <c r="E855" s="85"/>
      <c r="F855" s="85"/>
      <c r="G855" s="85"/>
      <c r="H855" s="85"/>
      <c r="I855" s="85"/>
      <c r="J855" s="240">
        <f>'Baseline PHP'!J88</f>
        <v>0</v>
      </c>
      <c r="K855" s="87"/>
    </row>
    <row r="856" spans="2:11" x14ac:dyDescent="0.2">
      <c r="B856" s="81"/>
      <c r="C856" s="85"/>
      <c r="D856" s="85"/>
      <c r="E856" s="85"/>
      <c r="F856" s="85"/>
      <c r="G856" s="85"/>
      <c r="H856" s="85"/>
      <c r="I856" s="85"/>
      <c r="J856" s="85"/>
      <c r="K856" s="87"/>
    </row>
    <row r="857" spans="2:11" ht="16" x14ac:dyDescent="0.2">
      <c r="B857" s="81"/>
      <c r="C857" s="211" t="s">
        <v>115</v>
      </c>
      <c r="D857" s="85"/>
      <c r="E857" s="85"/>
      <c r="F857" s="85"/>
      <c r="G857" s="85"/>
      <c r="H857" s="85"/>
      <c r="I857" s="85"/>
      <c r="J857" s="85"/>
      <c r="K857" s="87"/>
    </row>
    <row r="858" spans="2:11" x14ac:dyDescent="0.2">
      <c r="B858" s="81"/>
      <c r="C858" s="85" t="s">
        <v>380</v>
      </c>
      <c r="D858" s="85"/>
      <c r="E858" s="85"/>
      <c r="F858" s="85"/>
      <c r="G858" s="406" t="s">
        <v>234</v>
      </c>
      <c r="H858" s="407"/>
      <c r="I858" s="85"/>
      <c r="J858" s="83">
        <f>IF(G858=$B$998,$A$998,IF(G858=$B$999,$A$999,IF(G858=$B$1000,$A$1000,IF(G858=$B$1001,$A$1001,IF(G858=$B$1002,$A$1002,"Not Calculated")))))</f>
        <v>4</v>
      </c>
      <c r="K858" s="87"/>
    </row>
    <row r="859" spans="2:11" x14ac:dyDescent="0.2">
      <c r="B859" s="81"/>
      <c r="C859" s="85" t="s">
        <v>134</v>
      </c>
      <c r="D859" s="85"/>
      <c r="E859" s="85"/>
      <c r="F859" s="85"/>
      <c r="G859" s="85"/>
      <c r="H859" s="85"/>
      <c r="I859" s="85"/>
      <c r="J859" s="240">
        <f>'Baseline PHP'!J102</f>
        <v>0</v>
      </c>
      <c r="K859" s="87"/>
    </row>
    <row r="860" spans="2:11" x14ac:dyDescent="0.2">
      <c r="B860" s="81"/>
      <c r="C860" s="85"/>
      <c r="D860" s="85"/>
      <c r="E860" s="85"/>
      <c r="F860" s="85"/>
      <c r="G860" s="85"/>
      <c r="H860" s="85"/>
      <c r="I860" s="85"/>
      <c r="J860" s="85"/>
      <c r="K860" s="87"/>
    </row>
    <row r="861" spans="2:11" ht="16" x14ac:dyDescent="0.2">
      <c r="B861" s="81"/>
      <c r="C861" s="211" t="s">
        <v>649</v>
      </c>
      <c r="D861" s="85"/>
      <c r="E861" s="85"/>
      <c r="F861" s="85"/>
      <c r="G861" s="85"/>
      <c r="H861" s="85"/>
      <c r="I861" s="85"/>
      <c r="J861" s="85"/>
      <c r="K861" s="87"/>
    </row>
    <row r="862" spans="2:11" x14ac:dyDescent="0.2">
      <c r="B862" s="81"/>
      <c r="C862" s="85" t="s">
        <v>380</v>
      </c>
      <c r="D862" s="85"/>
      <c r="E862" s="85"/>
      <c r="F862" s="85"/>
      <c r="G862" s="406" t="s">
        <v>234</v>
      </c>
      <c r="H862" s="407"/>
      <c r="I862" s="85"/>
      <c r="J862" s="83">
        <f>IF(G862=$B$998,$A$998,IF(G862=$B$999,$A$999,IF(G862=$B$1000,$A$1000,IF(G862=$B$1001,$A$1001,IF(G862=$B$1002,$A$1002,"Not Calculated")))))</f>
        <v>4</v>
      </c>
      <c r="K862" s="87"/>
    </row>
    <row r="863" spans="2:11" x14ac:dyDescent="0.2">
      <c r="B863" s="81"/>
      <c r="C863" s="85" t="s">
        <v>134</v>
      </c>
      <c r="D863" s="85"/>
      <c r="E863" s="85"/>
      <c r="F863" s="85"/>
      <c r="G863" s="85"/>
      <c r="H863" s="85"/>
      <c r="I863" s="85"/>
      <c r="J863" s="240">
        <f>'Baseline PHP'!J118</f>
        <v>0</v>
      </c>
      <c r="K863" s="87"/>
    </row>
    <row r="864" spans="2:11" x14ac:dyDescent="0.2">
      <c r="B864" s="81"/>
      <c r="C864" s="85"/>
      <c r="D864" s="85"/>
      <c r="E864" s="85"/>
      <c r="F864" s="85"/>
      <c r="G864" s="85"/>
      <c r="H864" s="85"/>
      <c r="I864" s="85"/>
      <c r="J864" s="85"/>
      <c r="K864" s="87"/>
    </row>
    <row r="865" spans="2:11" ht="16" x14ac:dyDescent="0.2">
      <c r="B865" s="81"/>
      <c r="C865" s="211" t="s">
        <v>656</v>
      </c>
      <c r="D865" s="85"/>
      <c r="E865" s="85"/>
      <c r="F865" s="85"/>
      <c r="G865" s="85"/>
      <c r="H865" s="85"/>
      <c r="I865" s="85"/>
      <c r="J865" s="85"/>
      <c r="K865" s="87"/>
    </row>
    <row r="866" spans="2:11" x14ac:dyDescent="0.2">
      <c r="B866" s="81"/>
      <c r="C866" s="85" t="s">
        <v>380</v>
      </c>
      <c r="D866" s="85"/>
      <c r="E866" s="85"/>
      <c r="F866" s="85"/>
      <c r="G866" s="406" t="s">
        <v>234</v>
      </c>
      <c r="H866" s="407"/>
      <c r="I866" s="85"/>
      <c r="J866" s="83">
        <f>IF(G866=$B$998,$A$998,IF(G866=$B$999,$A$999,IF(G866=$B$1000,$A$1000,IF(G866=$B$1001,$A$1001,IF(G866=$B$1002,$A$1002,"Not Calculated")))))</f>
        <v>4</v>
      </c>
      <c r="K866" s="87"/>
    </row>
    <row r="867" spans="2:11" x14ac:dyDescent="0.2">
      <c r="B867" s="81"/>
      <c r="C867" s="85" t="s">
        <v>134</v>
      </c>
      <c r="D867" s="85"/>
      <c r="E867" s="85"/>
      <c r="F867" s="85"/>
      <c r="G867" s="85"/>
      <c r="H867" s="85"/>
      <c r="I867" s="85"/>
      <c r="J867" s="240">
        <f>'Baseline PHP'!J136</f>
        <v>0</v>
      </c>
      <c r="K867" s="87"/>
    </row>
    <row r="868" spans="2:11" x14ac:dyDescent="0.2">
      <c r="B868" s="81"/>
      <c r="C868" s="85"/>
      <c r="D868" s="85"/>
      <c r="E868" s="85"/>
      <c r="F868" s="85"/>
      <c r="G868" s="85"/>
      <c r="H868" s="85"/>
      <c r="I868" s="85"/>
      <c r="J868" s="85"/>
      <c r="K868" s="87"/>
    </row>
    <row r="869" spans="2:11" ht="16" x14ac:dyDescent="0.2">
      <c r="B869" s="81"/>
      <c r="C869" s="211" t="s">
        <v>121</v>
      </c>
      <c r="D869" s="85"/>
      <c r="E869" s="85"/>
      <c r="F869" s="85"/>
      <c r="G869" s="85"/>
      <c r="H869" s="85"/>
      <c r="I869" s="85"/>
      <c r="J869" s="85"/>
      <c r="K869" s="87"/>
    </row>
    <row r="870" spans="2:11" x14ac:dyDescent="0.2">
      <c r="B870" s="81"/>
      <c r="C870" s="85" t="s">
        <v>380</v>
      </c>
      <c r="D870" s="85"/>
      <c r="E870" s="85"/>
      <c r="F870" s="85"/>
      <c r="G870" s="406" t="s">
        <v>234</v>
      </c>
      <c r="H870" s="407"/>
      <c r="I870" s="85"/>
      <c r="J870" s="83">
        <f>IF(G870=$B$998,$A$998,IF(G870=$B$999,$A$999,IF(G870=$B$1000,$A$1000,IF(G870=$B$1001,$A$1001,IF(G870=$B$1002,$A$1002,"Not Calculated")))))</f>
        <v>4</v>
      </c>
      <c r="K870" s="87"/>
    </row>
    <row r="871" spans="2:11" x14ac:dyDescent="0.2">
      <c r="B871" s="81"/>
      <c r="C871" s="85" t="s">
        <v>134</v>
      </c>
      <c r="D871" s="85"/>
      <c r="E871" s="85"/>
      <c r="F871" s="85"/>
      <c r="G871" s="85"/>
      <c r="H871" s="85"/>
      <c r="I871" s="85"/>
      <c r="J871" s="240">
        <f>'Baseline PHP'!J150</f>
        <v>0</v>
      </c>
      <c r="K871" s="87"/>
    </row>
    <row r="872" spans="2:11" x14ac:dyDescent="0.2">
      <c r="B872" s="81"/>
      <c r="C872" s="85"/>
      <c r="D872" s="85"/>
      <c r="E872" s="85"/>
      <c r="F872" s="85"/>
      <c r="G872" s="85"/>
      <c r="H872" s="85"/>
      <c r="I872" s="85"/>
      <c r="J872" s="85"/>
      <c r="K872" s="87"/>
    </row>
    <row r="873" spans="2:11" ht="16" x14ac:dyDescent="0.2">
      <c r="B873" s="81"/>
      <c r="C873" s="211" t="s">
        <v>657</v>
      </c>
      <c r="D873" s="85"/>
      <c r="E873" s="85"/>
      <c r="F873" s="85"/>
      <c r="G873" s="85"/>
      <c r="H873" s="85"/>
      <c r="I873" s="85"/>
      <c r="J873" s="85"/>
      <c r="K873" s="87"/>
    </row>
    <row r="874" spans="2:11" x14ac:dyDescent="0.2">
      <c r="B874" s="81"/>
      <c r="C874" s="85" t="s">
        <v>380</v>
      </c>
      <c r="D874" s="85"/>
      <c r="E874" s="85"/>
      <c r="F874" s="85"/>
      <c r="G874" s="406" t="s">
        <v>234</v>
      </c>
      <c r="H874" s="407"/>
      <c r="I874" s="85"/>
      <c r="J874" s="83">
        <f>IF(G874=$B$998,$A$998,IF(G874=$B$999,$A$999,IF(G874=$B$1000,$A$1000,IF(G874=$B$1001,$A$1001,IF(G874=$B$1002,$A$1002,"Not Calculated")))))</f>
        <v>4</v>
      </c>
      <c r="K874" s="87"/>
    </row>
    <row r="875" spans="2:11" x14ac:dyDescent="0.2">
      <c r="B875" s="81"/>
      <c r="C875" s="85" t="s">
        <v>134</v>
      </c>
      <c r="D875" s="85"/>
      <c r="E875" s="85"/>
      <c r="F875" s="85"/>
      <c r="G875" s="85"/>
      <c r="H875" s="85"/>
      <c r="I875" s="85"/>
      <c r="J875" s="240">
        <f>'Baseline PHP'!J164</f>
        <v>0</v>
      </c>
      <c r="K875" s="87"/>
    </row>
    <row r="876" spans="2:11" x14ac:dyDescent="0.2">
      <c r="B876" s="81"/>
      <c r="C876" s="85"/>
      <c r="D876" s="85"/>
      <c r="E876" s="85"/>
      <c r="F876" s="85"/>
      <c r="G876" s="85"/>
      <c r="H876" s="85"/>
      <c r="I876" s="85"/>
      <c r="J876" s="85"/>
      <c r="K876" s="87"/>
    </row>
    <row r="877" spans="2:11" ht="16" x14ac:dyDescent="0.2">
      <c r="B877" s="81"/>
      <c r="C877" s="211" t="s">
        <v>650</v>
      </c>
      <c r="D877" s="85"/>
      <c r="E877" s="85"/>
      <c r="F877" s="85"/>
      <c r="G877" s="85"/>
      <c r="H877" s="85"/>
      <c r="I877" s="85"/>
      <c r="J877" s="85"/>
      <c r="K877" s="87"/>
    </row>
    <row r="878" spans="2:11" x14ac:dyDescent="0.2">
      <c r="B878" s="81"/>
      <c r="C878" s="85" t="s">
        <v>380</v>
      </c>
      <c r="D878" s="85"/>
      <c r="E878" s="85"/>
      <c r="F878" s="85"/>
      <c r="G878" s="406" t="s">
        <v>234</v>
      </c>
      <c r="H878" s="407"/>
      <c r="I878" s="85"/>
      <c r="J878" s="83">
        <f>IF(G878=$B$998,$A$998,IF(G878=$B$999,$A$999,IF(G878=$B$1000,$A$1000,IF(G878=$B$1001,$A$1001,IF(G878=$B$1002,$A$1002,"Not Calculated")))))</f>
        <v>4</v>
      </c>
      <c r="K878" s="87"/>
    </row>
    <row r="879" spans="2:11" x14ac:dyDescent="0.2">
      <c r="B879" s="81"/>
      <c r="C879" s="85" t="s">
        <v>134</v>
      </c>
      <c r="D879" s="85"/>
      <c r="E879" s="85"/>
      <c r="F879" s="85"/>
      <c r="G879" s="85"/>
      <c r="H879" s="85"/>
      <c r="I879" s="85"/>
      <c r="J879" s="240">
        <f>'Baseline PHP'!J180</f>
        <v>0</v>
      </c>
      <c r="K879" s="87"/>
    </row>
    <row r="880" spans="2:11" x14ac:dyDescent="0.2">
      <c r="B880" s="81"/>
      <c r="C880" s="85"/>
      <c r="D880" s="85"/>
      <c r="E880" s="85"/>
      <c r="F880" s="85"/>
      <c r="G880" s="85"/>
      <c r="H880" s="85"/>
      <c r="I880" s="85"/>
      <c r="J880" s="85"/>
      <c r="K880" s="87"/>
    </row>
    <row r="881" spans="2:11" ht="16" x14ac:dyDescent="0.2">
      <c r="B881" s="81"/>
      <c r="C881" s="211" t="s">
        <v>651</v>
      </c>
      <c r="D881" s="85"/>
      <c r="E881" s="85"/>
      <c r="F881" s="85"/>
      <c r="G881" s="85"/>
      <c r="H881" s="85"/>
      <c r="I881" s="85"/>
      <c r="J881" s="85"/>
      <c r="K881" s="87"/>
    </row>
    <row r="882" spans="2:11" x14ac:dyDescent="0.2">
      <c r="B882" s="81"/>
      <c r="C882" s="85" t="s">
        <v>380</v>
      </c>
      <c r="D882" s="85"/>
      <c r="E882" s="85"/>
      <c r="F882" s="85"/>
      <c r="G882" s="406" t="s">
        <v>234</v>
      </c>
      <c r="H882" s="407"/>
      <c r="I882" s="85"/>
      <c r="J882" s="83">
        <f>IF(G882=$B$998,$A$998,IF(G882=$B$999,$A$999,IF(G882=$B$1000,$A$1000,IF(G882=$B$1001,$A$1001,IF(G882=$B$1002,$A$1002,"Not Calculated")))))</f>
        <v>4</v>
      </c>
      <c r="K882" s="87"/>
    </row>
    <row r="883" spans="2:11" x14ac:dyDescent="0.2">
      <c r="B883" s="81"/>
      <c r="C883" s="85" t="s">
        <v>134</v>
      </c>
      <c r="D883" s="85"/>
      <c r="E883" s="85"/>
      <c r="F883" s="85"/>
      <c r="G883" s="85"/>
      <c r="H883" s="85"/>
      <c r="I883" s="85"/>
      <c r="J883" s="240">
        <f>'Baseline PHP'!J194</f>
        <v>0</v>
      </c>
      <c r="K883" s="87"/>
    </row>
    <row r="884" spans="2:11" x14ac:dyDescent="0.2">
      <c r="B884" s="81"/>
      <c r="C884" s="85"/>
      <c r="D884" s="85"/>
      <c r="E884" s="85"/>
      <c r="F884" s="85"/>
      <c r="G884" s="85"/>
      <c r="H884" s="85"/>
      <c r="I884" s="85"/>
      <c r="J884" s="85"/>
      <c r="K884" s="87"/>
    </row>
    <row r="885" spans="2:11" ht="16" x14ac:dyDescent="0.2">
      <c r="B885" s="81"/>
      <c r="C885" s="211" t="s">
        <v>652</v>
      </c>
      <c r="D885" s="85"/>
      <c r="E885" s="85"/>
      <c r="F885" s="85"/>
      <c r="G885" s="85"/>
      <c r="H885" s="85"/>
      <c r="I885" s="85"/>
      <c r="J885" s="85"/>
      <c r="K885" s="87"/>
    </row>
    <row r="886" spans="2:11" x14ac:dyDescent="0.2">
      <c r="B886" s="81"/>
      <c r="C886" s="85" t="s">
        <v>380</v>
      </c>
      <c r="D886" s="85"/>
      <c r="E886" s="85"/>
      <c r="F886" s="85"/>
      <c r="G886" s="406" t="s">
        <v>234</v>
      </c>
      <c r="H886" s="407"/>
      <c r="I886" s="85"/>
      <c r="J886" s="83">
        <f>IF(G886=$B$998,$A$998,IF(G886=$B$999,$A$999,IF(G886=$B$1000,$A$1000,IF(G886=$B$1001,$A$1001,IF(G886=$B$1002,$A$1002,"Not Calculated")))))</f>
        <v>4</v>
      </c>
      <c r="K886" s="87"/>
    </row>
    <row r="887" spans="2:11" x14ac:dyDescent="0.2">
      <c r="B887" s="81"/>
      <c r="C887" s="85" t="s">
        <v>134</v>
      </c>
      <c r="D887" s="85"/>
      <c r="E887" s="85"/>
      <c r="F887" s="85"/>
      <c r="G887" s="85"/>
      <c r="H887" s="85"/>
      <c r="I887" s="85"/>
      <c r="J887" s="240">
        <f>'Baseline PHP'!J208</f>
        <v>0</v>
      </c>
      <c r="K887" s="87"/>
    </row>
    <row r="888" spans="2:11" x14ac:dyDescent="0.2">
      <c r="B888" s="81"/>
      <c r="C888" s="85"/>
      <c r="D888" s="85"/>
      <c r="E888" s="85"/>
      <c r="F888" s="85"/>
      <c r="G888" s="85"/>
      <c r="H888" s="85"/>
      <c r="I888" s="85"/>
      <c r="J888" s="85"/>
      <c r="K888" s="87"/>
    </row>
    <row r="889" spans="2:11" ht="16" x14ac:dyDescent="0.2">
      <c r="B889" s="81"/>
      <c r="C889" s="211" t="s">
        <v>653</v>
      </c>
      <c r="D889" s="85"/>
      <c r="E889" s="85"/>
      <c r="F889" s="85"/>
      <c r="G889" s="85"/>
      <c r="H889" s="85"/>
      <c r="I889" s="85"/>
      <c r="J889" s="85"/>
      <c r="K889" s="87"/>
    </row>
    <row r="890" spans="2:11" x14ac:dyDescent="0.2">
      <c r="B890" s="81"/>
      <c r="C890" s="85" t="s">
        <v>380</v>
      </c>
      <c r="D890" s="85"/>
      <c r="E890" s="85"/>
      <c r="F890" s="85"/>
      <c r="G890" s="406" t="s">
        <v>234</v>
      </c>
      <c r="H890" s="407"/>
      <c r="I890" s="85"/>
      <c r="J890" s="83">
        <f>IF(G890=$B$998,$A$998,IF(G890=$B$999,$A$999,IF(G890=$B$1000,$A$1000,IF(G890=$B$1001,$A$1001,IF(G890=$B$1002,$A$1002,"Not Calculated")))))</f>
        <v>4</v>
      </c>
      <c r="K890" s="87"/>
    </row>
    <row r="891" spans="2:11" x14ac:dyDescent="0.2">
      <c r="B891" s="81"/>
      <c r="C891" s="85" t="s">
        <v>134</v>
      </c>
      <c r="D891" s="85"/>
      <c r="E891" s="85"/>
      <c r="F891" s="85"/>
      <c r="G891" s="85"/>
      <c r="H891" s="85"/>
      <c r="I891" s="85"/>
      <c r="J891" s="240">
        <f>'Baseline PHP'!J222</f>
        <v>0</v>
      </c>
      <c r="K891" s="87"/>
    </row>
    <row r="892" spans="2:11" x14ac:dyDescent="0.2">
      <c r="B892" s="81"/>
      <c r="C892" s="85"/>
      <c r="D892" s="85"/>
      <c r="E892" s="85"/>
      <c r="F892" s="85"/>
      <c r="G892" s="85"/>
      <c r="H892" s="85"/>
      <c r="I892" s="85"/>
      <c r="J892" s="85"/>
      <c r="K892" s="87"/>
    </row>
    <row r="893" spans="2:11" x14ac:dyDescent="0.2">
      <c r="B893" s="81"/>
      <c r="C893" s="85"/>
      <c r="D893" s="85"/>
      <c r="E893" s="85"/>
      <c r="F893" s="85"/>
      <c r="G893" s="85"/>
      <c r="H893" s="85"/>
      <c r="I893" s="85"/>
      <c r="J893" s="85"/>
      <c r="K893" s="87"/>
    </row>
    <row r="894" spans="2:11" ht="16" x14ac:dyDescent="0.2">
      <c r="B894" s="81"/>
      <c r="C894" s="212" t="s">
        <v>813</v>
      </c>
      <c r="D894" s="85"/>
      <c r="E894" s="85"/>
      <c r="F894" s="85"/>
      <c r="G894" s="85"/>
      <c r="H894" s="85"/>
      <c r="I894" s="85"/>
      <c r="J894" s="241">
        <f>IF(OR(J854="Not Calculated",J858="Not Calculated",J862="Not Calculated",J866="Not Calculated",J870="Not Calculated",J874="Not Calculated",J878="Not Calculated",J882="Not Calculated",J886="Not Calculated",J890="Not Calculated",J834="Not Calculated",J838="Not Calculated",J842="Not Calculated",J846="Not Calculated",J850="Not Calculated",J855="Not Calculated",J859="Not Calculated",J863="Not Calculated",J867="Not Calculated",J871="Not Calculated",J875="Not Calculated",J879="Not Calculated",J883="Not Calculated",J887="Not Calculated",J891="Not Calculated",J835="Not Calculated",J839="Not Calculated",J843="Not Calculated",J847="Not Calculated",J851="Not Calculated")=TRUE,"Not Calculated",((J834*J835)+(J838*J839)+(J842*J843)+(J846*J847)+(J850*J851)+(J854*J855)+(J858*J859)+(J862*J863)+(J866*J867)+(J870*J871)+(J874*J875)+(J878*J879)+(J882*J883)+(J886*J887)+(J890*J891))/(J834+J838+J842+J846+J850+J854+J858+J862+J866+J870+J874+J878+J882+J886+J890))</f>
        <v>0</v>
      </c>
      <c r="K894" s="87"/>
    </row>
    <row r="895" spans="2:11" ht="16" thickBot="1" x14ac:dyDescent="0.25">
      <c r="B895" s="213"/>
      <c r="C895" s="94"/>
      <c r="D895" s="94"/>
      <c r="E895" s="94"/>
      <c r="F895" s="94"/>
      <c r="G895" s="94"/>
      <c r="H895" s="94"/>
      <c r="I895" s="94"/>
      <c r="J895" s="94"/>
      <c r="K895" s="96"/>
    </row>
    <row r="896" spans="2:11" ht="16" thickBot="1" x14ac:dyDescent="0.25"/>
    <row r="897" spans="2:11" x14ac:dyDescent="0.2">
      <c r="B897" s="77"/>
      <c r="C897" s="78"/>
      <c r="D897" s="78"/>
      <c r="E897" s="78"/>
      <c r="F897" s="78"/>
      <c r="G897" s="78"/>
      <c r="H897" s="78"/>
      <c r="I897" s="78"/>
      <c r="J897" s="78"/>
      <c r="K897" s="80"/>
    </row>
    <row r="898" spans="2:11" ht="21" x14ac:dyDescent="0.25">
      <c r="B898" s="81"/>
      <c r="C898" s="85"/>
      <c r="D898" s="85"/>
      <c r="E898" s="85"/>
      <c r="F898" s="85"/>
      <c r="G898" s="210" t="s">
        <v>807</v>
      </c>
      <c r="H898" s="85"/>
      <c r="I898" s="85"/>
      <c r="J898" s="85"/>
      <c r="K898" s="87"/>
    </row>
    <row r="899" spans="2:11" x14ac:dyDescent="0.2">
      <c r="B899" s="81"/>
      <c r="C899" s="85"/>
      <c r="D899" s="85"/>
      <c r="E899" s="85"/>
      <c r="F899" s="85"/>
      <c r="G899" s="85"/>
      <c r="H899" s="85"/>
      <c r="I899" s="85"/>
      <c r="J899" s="85"/>
      <c r="K899" s="87"/>
    </row>
    <row r="900" spans="2:11" ht="15" customHeight="1" x14ac:dyDescent="0.2">
      <c r="B900" s="81"/>
      <c r="C900" s="424" t="s">
        <v>809</v>
      </c>
      <c r="D900" s="424"/>
      <c r="E900" s="424"/>
      <c r="F900" s="424"/>
      <c r="G900" s="424"/>
      <c r="H900" s="424"/>
      <c r="I900" s="424"/>
      <c r="J900" s="424"/>
      <c r="K900" s="87"/>
    </row>
    <row r="901" spans="2:11" x14ac:dyDescent="0.2">
      <c r="B901" s="81"/>
      <c r="C901" s="424"/>
      <c r="D901" s="424"/>
      <c r="E901" s="424"/>
      <c r="F901" s="424"/>
      <c r="G901" s="424"/>
      <c r="H901" s="424"/>
      <c r="I901" s="424"/>
      <c r="J901" s="424"/>
      <c r="K901" s="87"/>
    </row>
    <row r="902" spans="2:11" x14ac:dyDescent="0.2">
      <c r="B902" s="81"/>
      <c r="C902" s="85"/>
      <c r="D902" s="85"/>
      <c r="E902" s="85"/>
      <c r="F902" s="85"/>
      <c r="G902" s="85"/>
      <c r="H902" s="85"/>
      <c r="I902" s="85"/>
      <c r="J902" s="85"/>
      <c r="K902" s="87"/>
    </row>
    <row r="903" spans="2:11" ht="16" x14ac:dyDescent="0.2">
      <c r="B903" s="81"/>
      <c r="C903" s="211" t="s">
        <v>810</v>
      </c>
      <c r="D903" s="85"/>
      <c r="E903" s="85"/>
      <c r="F903" s="85"/>
      <c r="G903" s="85"/>
      <c r="H903" s="85"/>
      <c r="I903" s="85"/>
      <c r="J903" s="85"/>
      <c r="K903" s="87"/>
    </row>
    <row r="904" spans="2:11" x14ac:dyDescent="0.2">
      <c r="B904" s="81"/>
      <c r="C904" s="85" t="s">
        <v>380</v>
      </c>
      <c r="D904" s="85"/>
      <c r="E904" s="85"/>
      <c r="F904" s="85"/>
      <c r="G904" s="406" t="s">
        <v>234</v>
      </c>
      <c r="H904" s="407"/>
      <c r="I904" s="85"/>
      <c r="J904" s="83">
        <f>IF(G904=$B$998,$A$998,IF(G904=$B$999,$A$999,IF(G904=$B$1000,$A$1000,IF(G904=$B$1001,$A$1001,IF(G904=$B$1002,$A$1002,"Not Calculated")))))</f>
        <v>4</v>
      </c>
      <c r="K904" s="87"/>
    </row>
    <row r="905" spans="2:11" x14ac:dyDescent="0.2">
      <c r="B905" s="81"/>
      <c r="C905" s="85" t="s">
        <v>134</v>
      </c>
      <c r="D905" s="85"/>
      <c r="E905" s="85"/>
      <c r="F905" s="85"/>
      <c r="G905" s="85"/>
      <c r="H905" s="85"/>
      <c r="I905" s="85"/>
      <c r="J905" s="240">
        <f>'Baseline HP'!J22</f>
        <v>0</v>
      </c>
      <c r="K905" s="87"/>
    </row>
    <row r="906" spans="2:11" x14ac:dyDescent="0.2">
      <c r="B906" s="81"/>
      <c r="C906" s="85"/>
      <c r="D906" s="85"/>
      <c r="E906" s="85"/>
      <c r="F906" s="85"/>
      <c r="G906" s="85"/>
      <c r="H906" s="85"/>
      <c r="I906" s="85"/>
      <c r="J906" s="85"/>
      <c r="K906" s="87"/>
    </row>
    <row r="907" spans="2:11" ht="16" x14ac:dyDescent="0.2">
      <c r="B907" s="81"/>
      <c r="C907" s="211" t="s">
        <v>811</v>
      </c>
      <c r="D907" s="85"/>
      <c r="E907" s="85"/>
      <c r="F907" s="85"/>
      <c r="G907" s="85"/>
      <c r="H907" s="85"/>
      <c r="I907" s="85"/>
      <c r="J907" s="85"/>
      <c r="K907" s="87"/>
    </row>
    <row r="908" spans="2:11" x14ac:dyDescent="0.2">
      <c r="B908" s="81"/>
      <c r="C908" s="85" t="s">
        <v>380</v>
      </c>
      <c r="D908" s="85"/>
      <c r="E908" s="85"/>
      <c r="F908" s="85"/>
      <c r="G908" s="406" t="s">
        <v>234</v>
      </c>
      <c r="H908" s="407"/>
      <c r="I908" s="85"/>
      <c r="J908" s="83">
        <f>IF(G908=$B$998,$A$998,IF(G908=$B$999,$A$999,IF(G908=$B$1000,$A$1000,IF(G908=$B$1001,$A$1001,IF(G908=$B$1002,$A$1002,"Not Calculated")))))</f>
        <v>4</v>
      </c>
      <c r="K908" s="87"/>
    </row>
    <row r="909" spans="2:11" x14ac:dyDescent="0.2">
      <c r="B909" s="81"/>
      <c r="C909" s="85" t="s">
        <v>134</v>
      </c>
      <c r="D909" s="85"/>
      <c r="E909" s="85"/>
      <c r="F909" s="85"/>
      <c r="G909" s="85"/>
      <c r="H909" s="85"/>
      <c r="I909" s="85"/>
      <c r="J909" s="240">
        <f>'Baseline HP'!J32</f>
        <v>0</v>
      </c>
      <c r="K909" s="87"/>
    </row>
    <row r="910" spans="2:11" x14ac:dyDescent="0.2">
      <c r="B910" s="81"/>
      <c r="C910" s="85"/>
      <c r="D910" s="85"/>
      <c r="E910" s="85"/>
      <c r="F910" s="85"/>
      <c r="G910" s="85"/>
      <c r="H910" s="85"/>
      <c r="I910" s="85"/>
      <c r="J910" s="85"/>
      <c r="K910" s="87"/>
    </row>
    <row r="911" spans="2:11" ht="16" x14ac:dyDescent="0.2">
      <c r="B911" s="81"/>
      <c r="C911" s="211" t="s">
        <v>645</v>
      </c>
      <c r="D911" s="85"/>
      <c r="E911" s="85"/>
      <c r="F911" s="85"/>
      <c r="G911" s="85"/>
      <c r="H911" s="85"/>
      <c r="I911" s="85"/>
      <c r="J911" s="85"/>
      <c r="K911" s="87"/>
    </row>
    <row r="912" spans="2:11" x14ac:dyDescent="0.2">
      <c r="B912" s="81"/>
      <c r="C912" s="85" t="s">
        <v>380</v>
      </c>
      <c r="D912" s="85"/>
      <c r="E912" s="85"/>
      <c r="F912" s="85"/>
      <c r="G912" s="406" t="s">
        <v>234</v>
      </c>
      <c r="H912" s="407"/>
      <c r="I912" s="85"/>
      <c r="J912" s="83">
        <f>IF(G912=$B$998,$A$998,IF(G912=$B$999,$A$999,IF(G912=$B$1000,$A$1000,IF(G912=$B$1001,$A$1001,IF(G912=$B$1002,$A$1002,"Not Calculated")))))</f>
        <v>4</v>
      </c>
      <c r="K912" s="87"/>
    </row>
    <row r="913" spans="2:11" x14ac:dyDescent="0.2">
      <c r="B913" s="81"/>
      <c r="C913" s="85" t="s">
        <v>134</v>
      </c>
      <c r="D913" s="85"/>
      <c r="E913" s="85"/>
      <c r="F913" s="85"/>
      <c r="G913" s="85"/>
      <c r="H913" s="85"/>
      <c r="I913" s="85"/>
      <c r="J913" s="240">
        <f>'Baseline HP'!J46</f>
        <v>0</v>
      </c>
      <c r="K913" s="87"/>
    </row>
    <row r="914" spans="2:11" x14ac:dyDescent="0.2">
      <c r="B914" s="81"/>
      <c r="C914" s="85"/>
      <c r="D914" s="85"/>
      <c r="E914" s="85"/>
      <c r="F914" s="85"/>
      <c r="G914" s="85"/>
      <c r="H914" s="85"/>
      <c r="I914" s="85"/>
      <c r="J914" s="85"/>
      <c r="K914" s="87"/>
    </row>
    <row r="915" spans="2:11" ht="16" x14ac:dyDescent="0.2">
      <c r="B915" s="81"/>
      <c r="C915" s="211" t="s">
        <v>648</v>
      </c>
      <c r="D915" s="85"/>
      <c r="E915" s="85"/>
      <c r="F915" s="85"/>
      <c r="G915" s="85"/>
      <c r="H915" s="85"/>
      <c r="I915" s="85"/>
      <c r="J915" s="85"/>
      <c r="K915" s="87"/>
    </row>
    <row r="916" spans="2:11" ht="15" customHeight="1" x14ac:dyDescent="0.2">
      <c r="B916" s="81"/>
      <c r="C916" s="85" t="s">
        <v>380</v>
      </c>
      <c r="D916" s="85"/>
      <c r="E916" s="85"/>
      <c r="F916" s="85"/>
      <c r="G916" s="406" t="s">
        <v>238</v>
      </c>
      <c r="H916" s="407"/>
      <c r="I916" s="85"/>
      <c r="J916" s="83">
        <f>IF(G916=$B$998,$A$998,IF(G916=$B$999,$A$999,IF(G916=$B$1000,$A$1000,IF(G916=$B$1001,$A$1001,IF(G916=$B$1002,$A$1002,"Not Calculated")))))</f>
        <v>3</v>
      </c>
      <c r="K916" s="87"/>
    </row>
    <row r="917" spans="2:11" x14ac:dyDescent="0.2">
      <c r="B917" s="81"/>
      <c r="C917" s="85" t="s">
        <v>134</v>
      </c>
      <c r="D917" s="85"/>
      <c r="E917" s="85"/>
      <c r="F917" s="85"/>
      <c r="G917" s="85"/>
      <c r="H917" s="85"/>
      <c r="I917" s="85"/>
      <c r="J917" s="240">
        <f>'Baseline HP'!J58</f>
        <v>0</v>
      </c>
      <c r="K917" s="87"/>
    </row>
    <row r="918" spans="2:11" x14ac:dyDescent="0.2">
      <c r="B918" s="81"/>
      <c r="C918" s="85"/>
      <c r="D918" s="85"/>
      <c r="E918" s="85"/>
      <c r="F918" s="85"/>
      <c r="G918" s="85"/>
      <c r="H918" s="85"/>
      <c r="I918" s="85"/>
      <c r="J918" s="85"/>
      <c r="K918" s="87"/>
    </row>
    <row r="919" spans="2:11" ht="16" x14ac:dyDescent="0.2">
      <c r="B919" s="81"/>
      <c r="C919" s="211" t="s">
        <v>647</v>
      </c>
      <c r="D919" s="85"/>
      <c r="E919" s="85"/>
      <c r="F919" s="85"/>
      <c r="G919" s="85"/>
      <c r="H919" s="85"/>
      <c r="I919" s="85"/>
      <c r="J919" s="85"/>
      <c r="K919" s="87"/>
    </row>
    <row r="920" spans="2:11" x14ac:dyDescent="0.2">
      <c r="B920" s="81"/>
      <c r="C920" s="85" t="s">
        <v>380</v>
      </c>
      <c r="D920" s="85"/>
      <c r="E920" s="85"/>
      <c r="F920" s="85"/>
      <c r="G920" s="406" t="s">
        <v>234</v>
      </c>
      <c r="H920" s="407"/>
      <c r="I920" s="85"/>
      <c r="J920" s="83">
        <f>IF(G920=$B$998,$A$998,IF(G920=$B$999,$A$999,IF(G920=$B$1000,$A$1000,IF(G920=$B$1001,$A$1001,IF(G920=$B$1002,$A$1002,"Not Calculated")))))</f>
        <v>4</v>
      </c>
      <c r="K920" s="87"/>
    </row>
    <row r="921" spans="2:11" x14ac:dyDescent="0.2">
      <c r="B921" s="81"/>
      <c r="C921" s="85" t="s">
        <v>134</v>
      </c>
      <c r="D921" s="85"/>
      <c r="E921" s="85"/>
      <c r="F921" s="85"/>
      <c r="G921" s="85"/>
      <c r="H921" s="85"/>
      <c r="I921" s="85"/>
      <c r="J921" s="240">
        <f>'Baseline HP'!J68</f>
        <v>0</v>
      </c>
      <c r="K921" s="87"/>
    </row>
    <row r="922" spans="2:11" x14ac:dyDescent="0.2">
      <c r="B922" s="81"/>
      <c r="C922" s="85"/>
      <c r="D922" s="85"/>
      <c r="E922" s="85"/>
      <c r="F922" s="85"/>
      <c r="G922" s="85"/>
      <c r="H922" s="85"/>
      <c r="I922" s="85"/>
      <c r="J922" s="85"/>
      <c r="K922" s="87"/>
    </row>
    <row r="923" spans="2:11" ht="16" x14ac:dyDescent="0.2">
      <c r="B923" s="81"/>
      <c r="C923" s="211" t="s">
        <v>121</v>
      </c>
      <c r="D923" s="85"/>
      <c r="E923" s="85"/>
      <c r="F923" s="85"/>
      <c r="G923" s="85"/>
      <c r="H923" s="85"/>
      <c r="I923" s="85"/>
      <c r="J923" s="85"/>
      <c r="K923" s="87"/>
    </row>
    <row r="924" spans="2:11" x14ac:dyDescent="0.2">
      <c r="B924" s="81"/>
      <c r="C924" s="85" t="s">
        <v>380</v>
      </c>
      <c r="D924" s="85"/>
      <c r="E924" s="85"/>
      <c r="F924" s="85"/>
      <c r="G924" s="406" t="s">
        <v>234</v>
      </c>
      <c r="H924" s="407"/>
      <c r="I924" s="85"/>
      <c r="J924" s="83">
        <f>IF(G924=$B$998,$A$998,IF(G924=$B$999,$A$999,IF(G924=$B$1000,$A$1000,IF(G924=$B$1001,$A$1001,IF(G924=$B$1002,$A$1002,"Not Calculated")))))</f>
        <v>4</v>
      </c>
      <c r="K924" s="87"/>
    </row>
    <row r="925" spans="2:11" x14ac:dyDescent="0.2">
      <c r="B925" s="81"/>
      <c r="C925" s="85" t="s">
        <v>134</v>
      </c>
      <c r="D925" s="85"/>
      <c r="E925" s="85"/>
      <c r="F925" s="85"/>
      <c r="G925" s="85"/>
      <c r="H925" s="85"/>
      <c r="I925" s="85"/>
      <c r="J925" s="240">
        <f>'Baseline HP'!J84</f>
        <v>0</v>
      </c>
      <c r="K925" s="87"/>
    </row>
    <row r="926" spans="2:11" x14ac:dyDescent="0.2">
      <c r="B926" s="81"/>
      <c r="C926" s="85"/>
      <c r="D926" s="85"/>
      <c r="E926" s="85"/>
      <c r="F926" s="85"/>
      <c r="G926" s="85"/>
      <c r="H926" s="85"/>
      <c r="I926" s="85"/>
      <c r="J926" s="85"/>
      <c r="K926" s="87"/>
    </row>
    <row r="927" spans="2:11" ht="16" x14ac:dyDescent="0.2">
      <c r="B927" s="81"/>
      <c r="C927" s="211" t="s">
        <v>652</v>
      </c>
      <c r="D927" s="85"/>
      <c r="E927" s="85"/>
      <c r="F927" s="85"/>
      <c r="G927" s="85"/>
      <c r="H927" s="85"/>
      <c r="I927" s="85"/>
      <c r="J927" s="85"/>
      <c r="K927" s="87"/>
    </row>
    <row r="928" spans="2:11" x14ac:dyDescent="0.2">
      <c r="B928" s="81"/>
      <c r="C928" s="85" t="s">
        <v>380</v>
      </c>
      <c r="D928" s="85"/>
      <c r="E928" s="85"/>
      <c r="F928" s="85"/>
      <c r="G928" s="406" t="s">
        <v>234</v>
      </c>
      <c r="H928" s="407"/>
      <c r="I928" s="85"/>
      <c r="J928" s="83">
        <f>IF(G928=$B$998,$A$998,IF(G928=$B$999,$A$999,IF(G928=$B$1000,$A$1000,IF(G928=$B$1001,$A$1001,IF(G928=$B$1002,$A$1002,"Not Calculated")))))</f>
        <v>4</v>
      </c>
      <c r="K928" s="87"/>
    </row>
    <row r="929" spans="2:11" x14ac:dyDescent="0.2">
      <c r="B929" s="81"/>
      <c r="C929" s="85" t="s">
        <v>134</v>
      </c>
      <c r="D929" s="85"/>
      <c r="E929" s="85"/>
      <c r="F929" s="85"/>
      <c r="G929" s="85"/>
      <c r="H929" s="85"/>
      <c r="I929" s="85"/>
      <c r="J929" s="240">
        <f>'Baseline HP'!J94</f>
        <v>0</v>
      </c>
      <c r="K929" s="87"/>
    </row>
    <row r="930" spans="2:11" x14ac:dyDescent="0.2">
      <c r="B930" s="81"/>
      <c r="C930" s="85"/>
      <c r="D930" s="85"/>
      <c r="E930" s="85"/>
      <c r="F930" s="85"/>
      <c r="G930" s="85"/>
      <c r="H930" s="85"/>
      <c r="I930" s="85"/>
      <c r="J930" s="85"/>
      <c r="K930" s="87"/>
    </row>
    <row r="931" spans="2:11" ht="16" x14ac:dyDescent="0.2">
      <c r="B931" s="81"/>
      <c r="C931" s="211" t="s">
        <v>653</v>
      </c>
      <c r="D931" s="85"/>
      <c r="E931" s="85"/>
      <c r="F931" s="85"/>
      <c r="G931" s="85"/>
      <c r="H931" s="85"/>
      <c r="I931" s="85"/>
      <c r="J931" s="85"/>
      <c r="K931" s="87"/>
    </row>
    <row r="932" spans="2:11" x14ac:dyDescent="0.2">
      <c r="B932" s="81"/>
      <c r="C932" s="85" t="s">
        <v>380</v>
      </c>
      <c r="D932" s="85"/>
      <c r="E932" s="85"/>
      <c r="F932" s="85"/>
      <c r="G932" s="406" t="s">
        <v>234</v>
      </c>
      <c r="H932" s="407"/>
      <c r="I932" s="85"/>
      <c r="J932" s="83">
        <f>IF(G932=$B$998,$A$998,IF(G932=$B$999,$A$999,IF(G932=$B$1000,$A$1000,IF(G932=$B$1001,$A$1001,IF(G932=$B$1002,$A$1002,"Not Calculated")))))</f>
        <v>4</v>
      </c>
      <c r="K932" s="87"/>
    </row>
    <row r="933" spans="2:11" x14ac:dyDescent="0.2">
      <c r="B933" s="81"/>
      <c r="C933" s="85" t="s">
        <v>134</v>
      </c>
      <c r="D933" s="85"/>
      <c r="E933" s="85"/>
      <c r="F933" s="85"/>
      <c r="G933" s="85"/>
      <c r="H933" s="85"/>
      <c r="I933" s="85"/>
      <c r="J933" s="240">
        <f>'Baseline HP'!J108</f>
        <v>0</v>
      </c>
      <c r="K933" s="87"/>
    </row>
    <row r="934" spans="2:11" x14ac:dyDescent="0.2">
      <c r="B934" s="81"/>
      <c r="C934" s="85"/>
      <c r="D934" s="85"/>
      <c r="E934" s="85"/>
      <c r="F934" s="85"/>
      <c r="G934" s="85"/>
      <c r="H934" s="85"/>
      <c r="I934" s="85"/>
      <c r="J934" s="85"/>
      <c r="K934" s="87"/>
    </row>
    <row r="935" spans="2:11" x14ac:dyDescent="0.2">
      <c r="B935" s="81"/>
      <c r="C935" s="85"/>
      <c r="D935" s="85"/>
      <c r="E935" s="85"/>
      <c r="F935" s="85"/>
      <c r="G935" s="85"/>
      <c r="H935" s="85"/>
      <c r="I935" s="85"/>
      <c r="J935" s="85"/>
      <c r="K935" s="87"/>
    </row>
    <row r="936" spans="2:11" ht="16" x14ac:dyDescent="0.2">
      <c r="B936" s="81"/>
      <c r="C936" s="212" t="s">
        <v>812</v>
      </c>
      <c r="D936" s="85"/>
      <c r="E936" s="85"/>
      <c r="F936" s="85"/>
      <c r="G936" s="85"/>
      <c r="H936" s="85"/>
      <c r="I936" s="85"/>
      <c r="J936" s="241">
        <f>IF(OR(J920="Not Calculated",J924="Not Calculated",J928="Not Calculated",J932="Not Calculated",J904="Not Calculated",J908="Not Calculated",J912="Not Calculated",J916="Not Calculated",J921="Not Calculated",J925="Not Calculated",J929="Not Calculated",J933="Not Calculated",J905="Not Calculated",J909="Not Calculated",J913="Not Calculated",J917="Not Calculated")=TRUE,"Not Calculated",((J904*J905)+(J908*J909)+(J912*J913)+(J916*J917)+(J920*J921)+(J924*J925)+(J928*J929)+(J932*J933))/(J904+J908+J912+J916+J920+J924+J928+J932))</f>
        <v>0</v>
      </c>
      <c r="K936" s="87"/>
    </row>
    <row r="937" spans="2:11" ht="16" thickBot="1" x14ac:dyDescent="0.25">
      <c r="B937" s="213"/>
      <c r="C937" s="94"/>
      <c r="D937" s="94"/>
      <c r="E937" s="94"/>
      <c r="F937" s="94"/>
      <c r="G937" s="94"/>
      <c r="H937" s="94"/>
      <c r="I937" s="94"/>
      <c r="J937" s="94"/>
      <c r="K937" s="96"/>
    </row>
    <row r="938" spans="2:11" ht="16" thickBot="1" x14ac:dyDescent="0.25"/>
    <row r="939" spans="2:11" x14ac:dyDescent="0.2">
      <c r="B939" s="77"/>
      <c r="C939" s="78"/>
      <c r="D939" s="78"/>
      <c r="E939" s="78"/>
      <c r="F939" s="78"/>
      <c r="G939" s="78"/>
      <c r="H939" s="78"/>
      <c r="I939" s="78"/>
      <c r="J939" s="78"/>
      <c r="K939" s="80"/>
    </row>
    <row r="940" spans="2:11" ht="21" x14ac:dyDescent="0.25">
      <c r="B940" s="81"/>
      <c r="C940" s="85"/>
      <c r="D940" s="85"/>
      <c r="E940" s="85"/>
      <c r="F940" s="85"/>
      <c r="G940" s="210" t="s">
        <v>815</v>
      </c>
      <c r="H940" s="85"/>
      <c r="I940" s="85"/>
      <c r="J940" s="85"/>
      <c r="K940" s="87"/>
    </row>
    <row r="941" spans="2:11" ht="21" x14ac:dyDescent="0.25">
      <c r="B941" s="81"/>
      <c r="C941" s="85"/>
      <c r="D941" s="85"/>
      <c r="E941" s="85"/>
      <c r="F941" s="85"/>
      <c r="G941" s="210"/>
      <c r="H941" s="85"/>
      <c r="I941" s="85"/>
      <c r="J941" s="85"/>
      <c r="K941" s="87"/>
    </row>
    <row r="942" spans="2:11" ht="16" x14ac:dyDescent="0.2">
      <c r="B942" s="81"/>
      <c r="C942" s="212" t="s">
        <v>995</v>
      </c>
      <c r="D942" s="85"/>
      <c r="E942" s="85"/>
      <c r="F942" s="85"/>
      <c r="G942" s="85"/>
      <c r="H942" s="85"/>
      <c r="I942" s="85"/>
      <c r="J942" s="241">
        <f>IF(OR(J936="Not Calculated",J894="Not Calculated")=TRUE,"Not Calculated",AVERAGE(J936,J894))</f>
        <v>0</v>
      </c>
      <c r="K942" s="87"/>
    </row>
    <row r="943" spans="2:11" ht="16" x14ac:dyDescent="0.2">
      <c r="B943" s="81"/>
      <c r="C943" s="212"/>
      <c r="D943" s="85" t="s">
        <v>814</v>
      </c>
      <c r="E943" s="85"/>
      <c r="F943" s="85"/>
      <c r="G943" s="85"/>
      <c r="H943" s="85"/>
      <c r="I943" s="85"/>
      <c r="J943" s="241"/>
      <c r="K943" s="87"/>
    </row>
    <row r="944" spans="2:11" ht="17" thickBot="1" x14ac:dyDescent="0.25">
      <c r="B944" s="213"/>
      <c r="C944" s="227"/>
      <c r="D944" s="94"/>
      <c r="E944" s="94"/>
      <c r="F944" s="94"/>
      <c r="G944" s="94"/>
      <c r="H944" s="94"/>
      <c r="I944" s="94"/>
      <c r="J944" s="228"/>
      <c r="K944" s="96"/>
    </row>
    <row r="945" spans="2:11" ht="16" thickBot="1" x14ac:dyDescent="0.25"/>
    <row r="946" spans="2:11" x14ac:dyDescent="0.2">
      <c r="B946" s="214"/>
      <c r="C946" s="215"/>
      <c r="D946" s="215"/>
      <c r="E946" s="215"/>
      <c r="F946" s="215"/>
      <c r="G946" s="215"/>
      <c r="H946" s="215"/>
      <c r="I946" s="215"/>
      <c r="J946" s="215"/>
      <c r="K946" s="216"/>
    </row>
    <row r="947" spans="2:11" ht="21" x14ac:dyDescent="0.25">
      <c r="B947" s="217"/>
      <c r="C947" s="218"/>
      <c r="D947" s="218"/>
      <c r="E947" s="218"/>
      <c r="F947" s="218"/>
      <c r="G947" s="219" t="s">
        <v>239</v>
      </c>
      <c r="H947" s="218"/>
      <c r="I947" s="218"/>
      <c r="J947" s="218"/>
      <c r="K947" s="220"/>
    </row>
    <row r="948" spans="2:11" x14ac:dyDescent="0.2">
      <c r="B948" s="217"/>
      <c r="C948" s="218"/>
      <c r="D948" s="218"/>
      <c r="E948" s="218"/>
      <c r="F948" s="218"/>
      <c r="G948" s="218"/>
      <c r="H948" s="218"/>
      <c r="I948" s="218"/>
      <c r="J948" s="218"/>
      <c r="K948" s="220"/>
    </row>
    <row r="949" spans="2:11" ht="16" x14ac:dyDescent="0.2">
      <c r="B949" s="217"/>
      <c r="C949" s="221" t="s">
        <v>393</v>
      </c>
      <c r="D949" s="218"/>
      <c r="E949" s="218"/>
      <c r="F949" s="218"/>
      <c r="G949" s="218"/>
      <c r="H949" s="218"/>
      <c r="I949" s="218"/>
      <c r="J949" s="242" t="str">
        <f>IF(OR(J817="Not Calculated",J942="Not Calculated")=TRUE,"Not Calculated",J817/J942)</f>
        <v>Not Calculated</v>
      </c>
      <c r="K949" s="220"/>
    </row>
    <row r="950" spans="2:11" x14ac:dyDescent="0.2">
      <c r="B950" s="217"/>
      <c r="C950" s="218"/>
      <c r="D950" s="218" t="s">
        <v>816</v>
      </c>
      <c r="E950" s="218"/>
      <c r="F950" s="218"/>
      <c r="G950" s="218"/>
      <c r="H950" s="218"/>
      <c r="I950" s="218"/>
      <c r="J950" s="218"/>
      <c r="K950" s="220"/>
    </row>
    <row r="951" spans="2:11" x14ac:dyDescent="0.2">
      <c r="B951" s="217"/>
      <c r="C951" s="218"/>
      <c r="D951" s="218"/>
      <c r="E951" s="218"/>
      <c r="F951" s="218"/>
      <c r="G951" s="218"/>
      <c r="H951" s="218"/>
      <c r="I951" s="218"/>
      <c r="J951" s="218"/>
      <c r="K951" s="220"/>
    </row>
    <row r="952" spans="2:11" ht="16" x14ac:dyDescent="0.2">
      <c r="B952" s="217"/>
      <c r="C952" s="221" t="s">
        <v>996</v>
      </c>
      <c r="D952" s="218"/>
      <c r="E952" s="218"/>
      <c r="F952" s="218"/>
      <c r="G952" s="218"/>
      <c r="H952" s="218"/>
      <c r="I952" s="218"/>
      <c r="J952" s="242" t="str">
        <f>IF(OR(J820="Not Calculated",J894="Not Calculated")=TRUE,"Not Calculated",J820/J894)</f>
        <v>Not Calculated</v>
      </c>
      <c r="K952" s="220"/>
    </row>
    <row r="953" spans="2:11" x14ac:dyDescent="0.2">
      <c r="B953" s="217"/>
      <c r="C953" s="218"/>
      <c r="D953" s="218" t="s">
        <v>817</v>
      </c>
      <c r="E953" s="218"/>
      <c r="F953" s="218"/>
      <c r="G953" s="218"/>
      <c r="H953" s="218"/>
      <c r="I953" s="218"/>
      <c r="J953" s="218"/>
      <c r="K953" s="220"/>
    </row>
    <row r="954" spans="2:11" x14ac:dyDescent="0.2">
      <c r="B954" s="217"/>
      <c r="C954" s="218"/>
      <c r="D954" s="218"/>
      <c r="E954" s="218"/>
      <c r="F954" s="218"/>
      <c r="G954" s="218"/>
      <c r="H954" s="218"/>
      <c r="I954" s="218"/>
      <c r="J954" s="218"/>
      <c r="K954" s="220"/>
    </row>
    <row r="955" spans="2:11" ht="16" x14ac:dyDescent="0.2">
      <c r="B955" s="217"/>
      <c r="C955" s="221" t="s">
        <v>997</v>
      </c>
      <c r="D955" s="218"/>
      <c r="E955" s="218"/>
      <c r="F955" s="218"/>
      <c r="G955" s="218"/>
      <c r="H955" s="218"/>
      <c r="I955" s="218"/>
      <c r="J955" s="242" t="str">
        <f>IF(OR(J936="Not Calculated",J823="Not Calculated")=TRUE,"Not Calculated",J823/J936)</f>
        <v>Not Calculated</v>
      </c>
      <c r="K955" s="220"/>
    </row>
    <row r="956" spans="2:11" x14ac:dyDescent="0.2">
      <c r="B956" s="217"/>
      <c r="C956" s="218"/>
      <c r="D956" s="218" t="s">
        <v>818</v>
      </c>
      <c r="E956" s="218"/>
      <c r="F956" s="218"/>
      <c r="G956" s="218"/>
      <c r="H956" s="218"/>
      <c r="I956" s="218"/>
      <c r="J956" s="218"/>
      <c r="K956" s="220"/>
    </row>
    <row r="957" spans="2:11" ht="16" thickBot="1" x14ac:dyDescent="0.25">
      <c r="B957" s="222"/>
      <c r="C957" s="223"/>
      <c r="D957" s="223"/>
      <c r="E957" s="223"/>
      <c r="F957" s="223"/>
      <c r="G957" s="223"/>
      <c r="H957" s="223"/>
      <c r="I957" s="223"/>
      <c r="J957" s="223"/>
      <c r="K957" s="224"/>
    </row>
    <row r="959" spans="2:11" ht="15" customHeight="1" x14ac:dyDescent="0.2">
      <c r="F959" s="405"/>
      <c r="G959" s="405"/>
      <c r="H959" s="405"/>
    </row>
    <row r="960" spans="2:11" x14ac:dyDescent="0.2">
      <c r="F960" s="405"/>
      <c r="G960" s="405"/>
      <c r="H960" s="405"/>
    </row>
    <row r="965" spans="1:3" ht="15" hidden="1" customHeight="1" x14ac:dyDescent="0.2">
      <c r="A965" s="12" t="s">
        <v>228</v>
      </c>
    </row>
    <row r="966" spans="1:3" ht="15" hidden="1" customHeight="1" x14ac:dyDescent="0.2">
      <c r="A966" s="12">
        <v>0</v>
      </c>
      <c r="B966" s="12" t="s">
        <v>250</v>
      </c>
      <c r="C966" s="12" t="s">
        <v>240</v>
      </c>
    </row>
    <row r="967" spans="1:3" ht="15" hidden="1" customHeight="1" x14ac:dyDescent="0.2">
      <c r="A967" s="12">
        <v>1</v>
      </c>
      <c r="B967" s="12" t="s">
        <v>251</v>
      </c>
      <c r="C967" s="12" t="s">
        <v>241</v>
      </c>
    </row>
    <row r="968" spans="1:3" ht="15" hidden="1" customHeight="1" x14ac:dyDescent="0.2">
      <c r="A968" s="12">
        <v>2</v>
      </c>
      <c r="B968" s="12" t="s">
        <v>252</v>
      </c>
      <c r="C968" s="12" t="s">
        <v>242</v>
      </c>
    </row>
    <row r="969" spans="1:3" ht="15" hidden="1" customHeight="1" x14ac:dyDescent="0.2">
      <c r="A969" s="12">
        <v>3</v>
      </c>
      <c r="B969" s="12" t="s">
        <v>253</v>
      </c>
      <c r="C969" s="12" t="s">
        <v>227</v>
      </c>
    </row>
    <row r="970" spans="1:3" ht="15" hidden="1" customHeight="1" x14ac:dyDescent="0.2">
      <c r="A970" s="12">
        <v>4</v>
      </c>
      <c r="B970" s="12" t="s">
        <v>254</v>
      </c>
      <c r="C970" s="12" t="s">
        <v>243</v>
      </c>
    </row>
    <row r="971" spans="1:3" ht="15" hidden="1" customHeight="1" x14ac:dyDescent="0.2"/>
    <row r="972" spans="1:3" ht="15" hidden="1" customHeight="1" x14ac:dyDescent="0.2">
      <c r="A972" s="12" t="s">
        <v>259</v>
      </c>
    </row>
    <row r="973" spans="1:3" ht="15" hidden="1" customHeight="1" x14ac:dyDescent="0.2">
      <c r="A973" s="12">
        <v>0</v>
      </c>
      <c r="B973" s="225" t="s">
        <v>870</v>
      </c>
    </row>
    <row r="974" spans="1:3" ht="15" hidden="1" customHeight="1" x14ac:dyDescent="0.2">
      <c r="A974" s="12">
        <v>1</v>
      </c>
      <c r="B974" s="12" t="s">
        <v>880</v>
      </c>
    </row>
    <row r="975" spans="1:3" ht="15" hidden="1" customHeight="1" x14ac:dyDescent="0.2">
      <c r="A975" s="12">
        <v>2</v>
      </c>
      <c r="B975" s="12" t="s">
        <v>872</v>
      </c>
    </row>
    <row r="976" spans="1:3" ht="15" hidden="1" customHeight="1" x14ac:dyDescent="0.2">
      <c r="A976" s="12">
        <v>3</v>
      </c>
      <c r="B976" s="12" t="s">
        <v>873</v>
      </c>
    </row>
    <row r="977" spans="1:2" ht="15" hidden="1" customHeight="1" x14ac:dyDescent="0.2">
      <c r="A977" s="12">
        <v>4</v>
      </c>
      <c r="B977" s="12" t="s">
        <v>874</v>
      </c>
    </row>
    <row r="978" spans="1:2" ht="15" hidden="1" customHeight="1" x14ac:dyDescent="0.2"/>
    <row r="979" spans="1:2" ht="15" hidden="1" customHeight="1" x14ac:dyDescent="0.2">
      <c r="A979" s="12" t="s">
        <v>294</v>
      </c>
    </row>
    <row r="980" spans="1:2" ht="15" hidden="1" customHeight="1" x14ac:dyDescent="0.2">
      <c r="A980" s="12">
        <v>0</v>
      </c>
      <c r="B980" s="225" t="s">
        <v>870</v>
      </c>
    </row>
    <row r="981" spans="1:2" ht="15" hidden="1" customHeight="1" x14ac:dyDescent="0.2">
      <c r="A981" s="12">
        <v>1</v>
      </c>
      <c r="B981" s="12" t="s">
        <v>875</v>
      </c>
    </row>
    <row r="982" spans="1:2" ht="15" hidden="1" customHeight="1" x14ac:dyDescent="0.2">
      <c r="A982" s="12">
        <v>2</v>
      </c>
      <c r="B982" s="12" t="s">
        <v>876</v>
      </c>
    </row>
    <row r="983" spans="1:2" ht="15" hidden="1" customHeight="1" x14ac:dyDescent="0.2">
      <c r="A983" s="12">
        <v>3</v>
      </c>
      <c r="B983" s="12" t="s">
        <v>877</v>
      </c>
    </row>
    <row r="984" spans="1:2" ht="15" hidden="1" customHeight="1" x14ac:dyDescent="0.2">
      <c r="A984" s="12">
        <v>4</v>
      </c>
      <c r="B984" s="12" t="s">
        <v>878</v>
      </c>
    </row>
    <row r="985" spans="1:2" ht="15" hidden="1" customHeight="1" x14ac:dyDescent="0.2"/>
    <row r="986" spans="1:2" ht="15" hidden="1" customHeight="1" x14ac:dyDescent="0.2">
      <c r="A986" s="12" t="s">
        <v>244</v>
      </c>
    </row>
    <row r="987" spans="1:2" ht="15" hidden="1" customHeight="1" x14ac:dyDescent="0.2">
      <c r="A987" s="12">
        <v>0</v>
      </c>
      <c r="B987" s="12" t="s">
        <v>245</v>
      </c>
    </row>
    <row r="988" spans="1:2" ht="15" hidden="1" customHeight="1" x14ac:dyDescent="0.2">
      <c r="A988" s="12">
        <v>1</v>
      </c>
      <c r="B988" s="12" t="s">
        <v>246</v>
      </c>
    </row>
    <row r="989" spans="1:2" ht="15" hidden="1" customHeight="1" x14ac:dyDescent="0.2">
      <c r="A989" s="12">
        <v>2</v>
      </c>
      <c r="B989" s="12" t="s">
        <v>247</v>
      </c>
    </row>
    <row r="990" spans="1:2" ht="15" hidden="1" customHeight="1" x14ac:dyDescent="0.2">
      <c r="A990" s="12">
        <v>3</v>
      </c>
      <c r="B990" s="12" t="s">
        <v>229</v>
      </c>
    </row>
    <row r="991" spans="1:2" ht="15" hidden="1" customHeight="1" x14ac:dyDescent="0.2">
      <c r="A991" s="12">
        <v>4</v>
      </c>
      <c r="B991" s="12" t="s">
        <v>248</v>
      </c>
    </row>
    <row r="992" spans="1:2" ht="15" hidden="1" customHeight="1" x14ac:dyDescent="0.2"/>
    <row r="993" spans="1:11" ht="15" hidden="1" customHeight="1" x14ac:dyDescent="0.2">
      <c r="A993" s="12" t="s">
        <v>381</v>
      </c>
    </row>
    <row r="994" spans="1:11" ht="15" hidden="1" customHeight="1" x14ac:dyDescent="0.2">
      <c r="A994" s="12">
        <v>0</v>
      </c>
      <c r="B994" s="12" t="s">
        <v>202</v>
      </c>
    </row>
    <row r="995" spans="1:11" ht="15" hidden="1" customHeight="1" x14ac:dyDescent="0.2">
      <c r="A995" s="12">
        <v>1</v>
      </c>
      <c r="B995" s="12" t="s">
        <v>190</v>
      </c>
    </row>
    <row r="996" spans="1:11" ht="15" hidden="1" customHeight="1" x14ac:dyDescent="0.2"/>
    <row r="997" spans="1:11" ht="15" hidden="1" customHeight="1" x14ac:dyDescent="0.2">
      <c r="A997" s="12" t="s">
        <v>249</v>
      </c>
    </row>
    <row r="998" spans="1:11" ht="15" hidden="1" customHeight="1" x14ac:dyDescent="0.2">
      <c r="A998" s="12">
        <v>0</v>
      </c>
      <c r="B998" s="12" t="s">
        <v>236</v>
      </c>
    </row>
    <row r="999" spans="1:11" ht="15" hidden="1" customHeight="1" x14ac:dyDescent="0.2">
      <c r="A999" s="12">
        <v>1</v>
      </c>
      <c r="B999" s="12" t="s">
        <v>237</v>
      </c>
    </row>
    <row r="1000" spans="1:11" ht="15" hidden="1" customHeight="1" x14ac:dyDescent="0.2">
      <c r="A1000" s="12">
        <v>2</v>
      </c>
      <c r="B1000" s="12" t="s">
        <v>235</v>
      </c>
    </row>
    <row r="1001" spans="1:11" ht="15" hidden="1" customHeight="1" x14ac:dyDescent="0.2">
      <c r="A1001" s="12">
        <v>3</v>
      </c>
      <c r="B1001" s="12" t="s">
        <v>238</v>
      </c>
    </row>
    <row r="1002" spans="1:11" ht="15" hidden="1" customHeight="1" x14ac:dyDescent="0.2">
      <c r="A1002" s="12">
        <v>4</v>
      </c>
      <c r="B1002" s="12" t="s">
        <v>234</v>
      </c>
    </row>
    <row r="1003" spans="1:11" ht="15" customHeight="1" x14ac:dyDescent="0.2">
      <c r="B1003" s="12" t="s">
        <v>685</v>
      </c>
    </row>
    <row r="1004" spans="1:11" ht="30" customHeight="1" x14ac:dyDescent="0.2">
      <c r="B1004" s="402" t="s">
        <v>707</v>
      </c>
      <c r="C1004" s="403"/>
      <c r="D1004" s="403"/>
      <c r="E1004" s="403"/>
      <c r="F1004" s="403"/>
      <c r="G1004" s="403"/>
      <c r="H1004" s="403"/>
      <c r="I1004" s="403"/>
      <c r="J1004" s="403"/>
      <c r="K1004" s="404"/>
    </row>
    <row r="1005" spans="1:11" ht="15" customHeight="1" x14ac:dyDescent="0.2">
      <c r="B1005" s="396"/>
      <c r="C1005" s="397"/>
      <c r="D1005" s="397"/>
      <c r="E1005" s="397"/>
      <c r="F1005" s="397"/>
      <c r="G1005" s="397"/>
      <c r="H1005" s="397"/>
      <c r="I1005" s="397"/>
      <c r="J1005" s="397"/>
      <c r="K1005" s="398"/>
    </row>
    <row r="1006" spans="1:11" ht="30" customHeight="1" x14ac:dyDescent="0.2">
      <c r="B1006" s="396" t="s">
        <v>689</v>
      </c>
      <c r="C1006" s="397"/>
      <c r="D1006" s="397"/>
      <c r="E1006" s="397"/>
      <c r="F1006" s="397"/>
      <c r="G1006" s="397"/>
      <c r="H1006" s="397"/>
      <c r="I1006" s="397"/>
      <c r="J1006" s="397"/>
      <c r="K1006" s="398"/>
    </row>
    <row r="1007" spans="1:11" ht="15" customHeight="1" x14ac:dyDescent="0.2">
      <c r="B1007" s="396"/>
      <c r="C1007" s="397"/>
      <c r="D1007" s="397"/>
      <c r="E1007" s="397"/>
      <c r="F1007" s="397"/>
      <c r="G1007" s="397"/>
      <c r="H1007" s="397"/>
      <c r="I1007" s="397"/>
      <c r="J1007" s="397"/>
      <c r="K1007" s="398"/>
    </row>
    <row r="1008" spans="1:11" ht="30" customHeight="1" x14ac:dyDescent="0.2">
      <c r="B1008" s="396" t="s">
        <v>723</v>
      </c>
      <c r="C1008" s="397"/>
      <c r="D1008" s="397"/>
      <c r="E1008" s="397"/>
      <c r="F1008" s="397"/>
      <c r="G1008" s="397"/>
      <c r="H1008" s="397"/>
      <c r="I1008" s="397"/>
      <c r="J1008" s="397"/>
      <c r="K1008" s="398"/>
    </row>
    <row r="1009" spans="2:11" ht="15" customHeight="1" x14ac:dyDescent="0.2">
      <c r="B1009" s="396"/>
      <c r="C1009" s="397"/>
      <c r="D1009" s="397"/>
      <c r="E1009" s="397"/>
      <c r="F1009" s="397"/>
      <c r="G1009" s="397"/>
      <c r="H1009" s="397"/>
      <c r="I1009" s="397"/>
      <c r="J1009" s="397"/>
      <c r="K1009" s="398"/>
    </row>
    <row r="1010" spans="2:11" ht="30" customHeight="1" x14ac:dyDescent="0.2">
      <c r="B1010" s="396" t="s">
        <v>724</v>
      </c>
      <c r="C1010" s="397"/>
      <c r="D1010" s="397"/>
      <c r="E1010" s="397"/>
      <c r="F1010" s="397"/>
      <c r="G1010" s="397"/>
      <c r="H1010" s="397"/>
      <c r="I1010" s="397"/>
      <c r="J1010" s="397"/>
      <c r="K1010" s="398"/>
    </row>
    <row r="1011" spans="2:11" ht="15" customHeight="1" x14ac:dyDescent="0.2">
      <c r="B1011" s="396"/>
      <c r="C1011" s="397"/>
      <c r="D1011" s="397"/>
      <c r="E1011" s="397"/>
      <c r="F1011" s="397"/>
      <c r="G1011" s="397"/>
      <c r="H1011" s="397"/>
      <c r="I1011" s="397"/>
      <c r="J1011" s="397"/>
      <c r="K1011" s="398"/>
    </row>
    <row r="1012" spans="2:11" ht="45" customHeight="1" x14ac:dyDescent="0.2">
      <c r="B1012" s="396" t="s">
        <v>722</v>
      </c>
      <c r="C1012" s="397"/>
      <c r="D1012" s="397"/>
      <c r="E1012" s="397"/>
      <c r="F1012" s="397"/>
      <c r="G1012" s="397"/>
      <c r="H1012" s="397"/>
      <c r="I1012" s="397"/>
      <c r="J1012" s="397"/>
      <c r="K1012" s="398"/>
    </row>
    <row r="1013" spans="2:11" ht="15" customHeight="1" x14ac:dyDescent="0.2">
      <c r="B1013" s="396"/>
      <c r="C1013" s="397"/>
      <c r="D1013" s="397"/>
      <c r="E1013" s="397"/>
      <c r="F1013" s="397"/>
      <c r="G1013" s="397"/>
      <c r="H1013" s="397"/>
      <c r="I1013" s="397"/>
      <c r="J1013" s="397"/>
      <c r="K1013" s="398"/>
    </row>
    <row r="1014" spans="2:11" ht="15" customHeight="1" x14ac:dyDescent="0.2">
      <c r="B1014" s="396"/>
      <c r="C1014" s="397"/>
      <c r="D1014" s="397"/>
      <c r="E1014" s="397"/>
      <c r="F1014" s="397"/>
      <c r="G1014" s="397"/>
      <c r="H1014" s="397"/>
      <c r="I1014" s="397"/>
      <c r="J1014" s="397"/>
      <c r="K1014" s="398"/>
    </row>
    <row r="1015" spans="2:11" ht="15" customHeight="1" x14ac:dyDescent="0.2">
      <c r="B1015" s="396"/>
      <c r="C1015" s="397"/>
      <c r="D1015" s="397"/>
      <c r="E1015" s="397"/>
      <c r="F1015" s="397"/>
      <c r="G1015" s="397"/>
      <c r="H1015" s="397"/>
      <c r="I1015" s="397"/>
      <c r="J1015" s="397"/>
      <c r="K1015" s="398"/>
    </row>
    <row r="1016" spans="2:11" ht="15" customHeight="1" x14ac:dyDescent="0.2">
      <c r="B1016" s="396"/>
      <c r="C1016" s="397"/>
      <c r="D1016" s="397"/>
      <c r="E1016" s="397"/>
      <c r="F1016" s="397"/>
      <c r="G1016" s="397"/>
      <c r="H1016" s="397"/>
      <c r="I1016" s="397"/>
      <c r="J1016" s="397"/>
      <c r="K1016" s="398"/>
    </row>
    <row r="1017" spans="2:11" ht="15" customHeight="1" x14ac:dyDescent="0.2">
      <c r="B1017" s="396"/>
      <c r="C1017" s="397"/>
      <c r="D1017" s="397"/>
      <c r="E1017" s="397"/>
      <c r="F1017" s="397"/>
      <c r="G1017" s="397"/>
      <c r="H1017" s="397"/>
      <c r="I1017" s="397"/>
      <c r="J1017" s="397"/>
      <c r="K1017" s="398"/>
    </row>
    <row r="1018" spans="2:11" ht="15" customHeight="1" x14ac:dyDescent="0.2">
      <c r="B1018" s="396"/>
      <c r="C1018" s="397"/>
      <c r="D1018" s="397"/>
      <c r="E1018" s="397"/>
      <c r="F1018" s="397"/>
      <c r="G1018" s="397"/>
      <c r="H1018" s="397"/>
      <c r="I1018" s="397"/>
      <c r="J1018" s="397"/>
      <c r="K1018" s="398"/>
    </row>
    <row r="1019" spans="2:11" ht="15" customHeight="1" x14ac:dyDescent="0.2">
      <c r="B1019" s="396"/>
      <c r="C1019" s="397"/>
      <c r="D1019" s="397"/>
      <c r="E1019" s="397"/>
      <c r="F1019" s="397"/>
      <c r="G1019" s="397"/>
      <c r="H1019" s="397"/>
      <c r="I1019" s="397"/>
      <c r="J1019" s="397"/>
      <c r="K1019" s="398"/>
    </row>
    <row r="1020" spans="2:11" ht="15" customHeight="1" x14ac:dyDescent="0.2">
      <c r="B1020" s="396"/>
      <c r="C1020" s="397"/>
      <c r="D1020" s="397"/>
      <c r="E1020" s="397"/>
      <c r="F1020" s="397"/>
      <c r="G1020" s="397"/>
      <c r="H1020" s="397"/>
      <c r="I1020" s="397"/>
      <c r="J1020" s="397"/>
      <c r="K1020" s="398"/>
    </row>
    <row r="1021" spans="2:11" ht="15" customHeight="1" x14ac:dyDescent="0.2">
      <c r="B1021" s="396"/>
      <c r="C1021" s="397"/>
      <c r="D1021" s="397"/>
      <c r="E1021" s="397"/>
      <c r="F1021" s="397"/>
      <c r="G1021" s="397"/>
      <c r="H1021" s="397"/>
      <c r="I1021" s="397"/>
      <c r="J1021" s="397"/>
      <c r="K1021" s="398"/>
    </row>
    <row r="1022" spans="2:11" ht="15" customHeight="1" x14ac:dyDescent="0.2">
      <c r="B1022" s="396"/>
      <c r="C1022" s="397"/>
      <c r="D1022" s="397"/>
      <c r="E1022" s="397"/>
      <c r="F1022" s="397"/>
      <c r="G1022" s="397"/>
      <c r="H1022" s="397"/>
      <c r="I1022" s="397"/>
      <c r="J1022" s="397"/>
      <c r="K1022" s="398"/>
    </row>
    <row r="1023" spans="2:11" ht="15" customHeight="1" x14ac:dyDescent="0.2">
      <c r="B1023" s="396"/>
      <c r="C1023" s="397"/>
      <c r="D1023" s="397"/>
      <c r="E1023" s="397"/>
      <c r="F1023" s="397"/>
      <c r="G1023" s="397"/>
      <c r="H1023" s="397"/>
      <c r="I1023" s="397"/>
      <c r="J1023" s="397"/>
      <c r="K1023" s="398"/>
    </row>
    <row r="1024" spans="2:11" ht="15" customHeight="1" x14ac:dyDescent="0.2">
      <c r="B1024" s="396"/>
      <c r="C1024" s="397"/>
      <c r="D1024" s="397"/>
      <c r="E1024" s="397"/>
      <c r="F1024" s="397"/>
      <c r="G1024" s="397"/>
      <c r="H1024" s="397"/>
      <c r="I1024" s="397"/>
      <c r="J1024" s="397"/>
      <c r="K1024" s="398"/>
    </row>
    <row r="1025" spans="2:11" ht="15" customHeight="1" x14ac:dyDescent="0.2">
      <c r="B1025" s="396"/>
      <c r="C1025" s="397"/>
      <c r="D1025" s="397"/>
      <c r="E1025" s="397"/>
      <c r="F1025" s="397"/>
      <c r="G1025" s="397"/>
      <c r="H1025" s="397"/>
      <c r="I1025" s="397"/>
      <c r="J1025" s="397"/>
      <c r="K1025" s="398"/>
    </row>
    <row r="1026" spans="2:11" ht="15" customHeight="1" x14ac:dyDescent="0.2">
      <c r="B1026" s="396"/>
      <c r="C1026" s="397"/>
      <c r="D1026" s="397"/>
      <c r="E1026" s="397"/>
      <c r="F1026" s="397"/>
      <c r="G1026" s="397"/>
      <c r="H1026" s="397"/>
      <c r="I1026" s="397"/>
      <c r="J1026" s="397"/>
      <c r="K1026" s="398"/>
    </row>
    <row r="1027" spans="2:11" ht="15" customHeight="1" x14ac:dyDescent="0.2">
      <c r="B1027" s="396"/>
      <c r="C1027" s="397"/>
      <c r="D1027" s="397"/>
      <c r="E1027" s="397"/>
      <c r="F1027" s="397"/>
      <c r="G1027" s="397"/>
      <c r="H1027" s="397"/>
      <c r="I1027" s="397"/>
      <c r="J1027" s="397"/>
      <c r="K1027" s="398"/>
    </row>
    <row r="1028" spans="2:11" ht="15" customHeight="1" x14ac:dyDescent="0.2">
      <c r="B1028" s="396"/>
      <c r="C1028" s="397"/>
      <c r="D1028" s="397"/>
      <c r="E1028" s="397"/>
      <c r="F1028" s="397"/>
      <c r="G1028" s="397"/>
      <c r="H1028" s="397"/>
      <c r="I1028" s="397"/>
      <c r="J1028" s="397"/>
      <c r="K1028" s="398"/>
    </row>
    <row r="1029" spans="2:11" ht="15" customHeight="1" x14ac:dyDescent="0.2">
      <c r="B1029" s="393"/>
      <c r="C1029" s="394"/>
      <c r="D1029" s="394"/>
      <c r="E1029" s="394"/>
      <c r="F1029" s="394"/>
      <c r="G1029" s="394"/>
      <c r="H1029" s="394"/>
      <c r="I1029" s="394"/>
      <c r="J1029" s="394"/>
      <c r="K1029" s="395"/>
    </row>
  </sheetData>
  <sheetProtection formatCells="0" formatColumns="0" formatRows="0" selectLockedCells="1"/>
  <mergeCells count="152">
    <mergeCell ref="C292:I293"/>
    <mergeCell ref="C311:I312"/>
    <mergeCell ref="C340:I341"/>
    <mergeCell ref="C305:J305"/>
    <mergeCell ref="C385:J385"/>
    <mergeCell ref="C95:J95"/>
    <mergeCell ref="C114:J114"/>
    <mergeCell ref="C76:J76"/>
    <mergeCell ref="E15:J15"/>
    <mergeCell ref="C38:J38"/>
    <mergeCell ref="C57:J57"/>
    <mergeCell ref="C286:J286"/>
    <mergeCell ref="B5:K5"/>
    <mergeCell ref="B6:K6"/>
    <mergeCell ref="B7:K7"/>
    <mergeCell ref="B8:K8"/>
    <mergeCell ref="B9:K9"/>
    <mergeCell ref="B10:K10"/>
    <mergeCell ref="C257:J257"/>
    <mergeCell ref="C237:J237"/>
    <mergeCell ref="C216:J216"/>
    <mergeCell ref="C176:J176"/>
    <mergeCell ref="C196:J196"/>
    <mergeCell ref="C155:J155"/>
    <mergeCell ref="C120:J122"/>
    <mergeCell ref="C123:J124"/>
    <mergeCell ref="C129:J129"/>
    <mergeCell ref="C455:J455"/>
    <mergeCell ref="C402:J402"/>
    <mergeCell ref="C416:J416"/>
    <mergeCell ref="C438:J438"/>
    <mergeCell ref="C444:I445"/>
    <mergeCell ref="C365:J365"/>
    <mergeCell ref="C371:I372"/>
    <mergeCell ref="C324:J324"/>
    <mergeCell ref="C330:I331"/>
    <mergeCell ref="C347:J347"/>
    <mergeCell ref="D343:I344"/>
    <mergeCell ref="C420:I421"/>
    <mergeCell ref="C391:I392"/>
    <mergeCell ref="C613:J613"/>
    <mergeCell ref="C560:J560"/>
    <mergeCell ref="C566:I568"/>
    <mergeCell ref="C569:I571"/>
    <mergeCell ref="C583:J583"/>
    <mergeCell ref="C524:I525"/>
    <mergeCell ref="C535:J535"/>
    <mergeCell ref="C518:J518"/>
    <mergeCell ref="C471:J471"/>
    <mergeCell ref="C477:I478"/>
    <mergeCell ref="C486:J486"/>
    <mergeCell ref="C502:J502"/>
    <mergeCell ref="C599:J599"/>
    <mergeCell ref="G717:H717"/>
    <mergeCell ref="G718:H718"/>
    <mergeCell ref="C729:J731"/>
    <mergeCell ref="G732:H732"/>
    <mergeCell ref="G733:H733"/>
    <mergeCell ref="C620:I621"/>
    <mergeCell ref="C633:J633"/>
    <mergeCell ref="C639:I640"/>
    <mergeCell ref="C641:I643"/>
    <mergeCell ref="C714:J716"/>
    <mergeCell ref="C655:J655"/>
    <mergeCell ref="D664:I665"/>
    <mergeCell ref="C677:J677"/>
    <mergeCell ref="G737:H737"/>
    <mergeCell ref="G738:H738"/>
    <mergeCell ref="G734:H734"/>
    <mergeCell ref="G735:H735"/>
    <mergeCell ref="G724:H724"/>
    <mergeCell ref="G725:H725"/>
    <mergeCell ref="G719:H719"/>
    <mergeCell ref="G720:H720"/>
    <mergeCell ref="G721:H721"/>
    <mergeCell ref="G846:H846"/>
    <mergeCell ref="C830:J831"/>
    <mergeCell ref="G834:H834"/>
    <mergeCell ref="G838:H838"/>
    <mergeCell ref="G842:H842"/>
    <mergeCell ref="G769:H769"/>
    <mergeCell ref="G770:H770"/>
    <mergeCell ref="G767:H767"/>
    <mergeCell ref="G768:H768"/>
    <mergeCell ref="G766:H766"/>
    <mergeCell ref="G754:H754"/>
    <mergeCell ref="G755:H755"/>
    <mergeCell ref="G752:H752"/>
    <mergeCell ref="G753:H753"/>
    <mergeCell ref="C759:J761"/>
    <mergeCell ref="G762:H762"/>
    <mergeCell ref="G763:H763"/>
    <mergeCell ref="G764:H764"/>
    <mergeCell ref="G878:H878"/>
    <mergeCell ref="G722:H722"/>
    <mergeCell ref="G723:H723"/>
    <mergeCell ref="G850:H850"/>
    <mergeCell ref="G862:H862"/>
    <mergeCell ref="G866:H866"/>
    <mergeCell ref="G854:H854"/>
    <mergeCell ref="G858:H858"/>
    <mergeCell ref="F959:H960"/>
    <mergeCell ref="G736:H736"/>
    <mergeCell ref="C744:J746"/>
    <mergeCell ref="G747:H747"/>
    <mergeCell ref="G748:H748"/>
    <mergeCell ref="G749:H749"/>
    <mergeCell ref="G886:H886"/>
    <mergeCell ref="G890:H890"/>
    <mergeCell ref="G882:H882"/>
    <mergeCell ref="G870:H870"/>
    <mergeCell ref="G874:H874"/>
    <mergeCell ref="G765:H765"/>
    <mergeCell ref="G750:H750"/>
    <mergeCell ref="G751:H751"/>
    <mergeCell ref="G739:H739"/>
    <mergeCell ref="G740:H740"/>
    <mergeCell ref="B1004:K1004"/>
    <mergeCell ref="B1005:K1005"/>
    <mergeCell ref="B1006:K1006"/>
    <mergeCell ref="B1007:K1007"/>
    <mergeCell ref="B1008:K1008"/>
    <mergeCell ref="B1009:K1009"/>
    <mergeCell ref="B1010:K1010"/>
    <mergeCell ref="B1011:K1011"/>
    <mergeCell ref="B1012:K1012"/>
    <mergeCell ref="B1022:K1022"/>
    <mergeCell ref="B1023:K1023"/>
    <mergeCell ref="B1024:K1024"/>
    <mergeCell ref="B1025:K1025"/>
    <mergeCell ref="B1026:K1026"/>
    <mergeCell ref="B1027:K1027"/>
    <mergeCell ref="B1028:K1028"/>
    <mergeCell ref="B1029:K1029"/>
    <mergeCell ref="B1013:K1013"/>
    <mergeCell ref="B1014:K1014"/>
    <mergeCell ref="B1015:K1015"/>
    <mergeCell ref="B1016:K1016"/>
    <mergeCell ref="B1017:K1017"/>
    <mergeCell ref="B1018:K1018"/>
    <mergeCell ref="B1019:K1019"/>
    <mergeCell ref="B1020:K1020"/>
    <mergeCell ref="B1021:K1021"/>
    <mergeCell ref="G928:H928"/>
    <mergeCell ref="G932:H932"/>
    <mergeCell ref="G924:H924"/>
    <mergeCell ref="G916:H916"/>
    <mergeCell ref="G920:H920"/>
    <mergeCell ref="C900:J901"/>
    <mergeCell ref="G904:H904"/>
    <mergeCell ref="G908:H908"/>
    <mergeCell ref="G912:H912"/>
  </mergeCells>
  <dataValidations count="23">
    <dataValidation type="list" allowBlank="1" showInputMessage="1" showErrorMessage="1" sqref="E15:J15" xr:uid="{00000000-0002-0000-1500-000000000000}">
      <formula1>$C$966:$C$970</formula1>
    </dataValidation>
    <dataValidation type="list" allowBlank="1" showInputMessage="1" showErrorMessage="1" sqref="G834:H834 G886:H886 G882:H882 G878:H878 G874:H874 G870:H870 G866:H866 G862:H862 G858:H858 G846:H846 G854:H854 G850:H850 G842:H842 G838:H838 G890:H890 G904:H904 G928:H928 G924:H924 G920:H920 G916:H916 G912:H912 G908:H908 G932:H932" xr:uid="{00000000-0002-0000-1500-000001000000}">
      <formula1>$B$998:$B$1002</formula1>
    </dataValidation>
    <dataValidation type="list" allowBlank="1" showInputMessage="1" showErrorMessage="1" sqref="G717:H725 G762:H770 G732:H740 G747:H755" xr:uid="{00000000-0002-0000-1500-000002000000}">
      <formula1>$B$994:$B$995</formula1>
    </dataValidation>
    <dataValidation type="list" allowBlank="1" showInputMessage="1" showErrorMessage="1" sqref="J302 J362" xr:uid="{00000000-0002-0000-1500-000003000000}">
      <formula1>$B$980:$B$984</formula1>
    </dataValidation>
    <dataValidation type="list" allowBlank="1" showInputMessage="1" showErrorMessage="1" sqref="C123:J124" xr:uid="{00000000-0002-0000-1500-000004000000}">
      <formula1>$B$987:$B$991</formula1>
    </dataValidation>
    <dataValidation type="list" allowBlank="1" showInputMessage="1" showErrorMessage="1" sqref="J35 J213 J283 J652 J435 J54 J630 J193 J173 J126 J111 J92 J152 J254 J234 J452 J468 J499 J515 J532 J557 J580 J73 J674 J596" xr:uid="{00000000-0002-0000-1500-000005000000}">
      <formula1>$B$973:$B$977</formula1>
    </dataValidation>
    <dataValidation type="list" allowBlank="1" showInputMessage="1" showErrorMessage="1" sqref="J33" xr:uid="{00000000-0002-0000-1500-000006000000}">
      <formula1>$N$32:$N$37</formula1>
    </dataValidation>
    <dataValidation type="list" allowBlank="1" showInputMessage="1" showErrorMessage="1" sqref="J52" xr:uid="{00000000-0002-0000-1500-000007000000}">
      <formula1>$N$51:$N$56</formula1>
    </dataValidation>
    <dataValidation type="list" allowBlank="1" showInputMessage="1" showErrorMessage="1" sqref="J71" xr:uid="{00000000-0002-0000-1500-000008000000}">
      <formula1>$N$70:$N$75</formula1>
    </dataValidation>
    <dataValidation type="list" allowBlank="1" showInputMessage="1" showErrorMessage="1" sqref="J90" xr:uid="{00000000-0002-0000-1500-000009000000}">
      <formula1>$N$89:$N$94</formula1>
    </dataValidation>
    <dataValidation type="list" allowBlank="1" showInputMessage="1" showErrorMessage="1" sqref="J109" xr:uid="{00000000-0002-0000-1500-00000A000000}">
      <formula1>$N$108:$N$113</formula1>
    </dataValidation>
    <dataValidation type="list" allowBlank="1" showInputMessage="1" showErrorMessage="1" sqref="J150" xr:uid="{00000000-0002-0000-1500-00000B000000}">
      <formula1>$N$149:$N$154</formula1>
    </dataValidation>
    <dataValidation type="list" allowBlank="1" showInputMessage="1" showErrorMessage="1" sqref="J171" xr:uid="{00000000-0002-0000-1500-00000C000000}">
      <formula1>$N$170:$N$175</formula1>
    </dataValidation>
    <dataValidation type="list" allowBlank="1" showInputMessage="1" showErrorMessage="1" sqref="J191" xr:uid="{00000000-0002-0000-1500-00000D000000}">
      <formula1>$N$190:$N$195</formula1>
    </dataValidation>
    <dataValidation type="list" allowBlank="1" showInputMessage="1" showErrorMessage="1" sqref="J211" xr:uid="{00000000-0002-0000-1500-00000E000000}">
      <formula1>$N$210:$N$215</formula1>
    </dataValidation>
    <dataValidation type="list" allowBlank="1" showInputMessage="1" showErrorMessage="1" sqref="J232" xr:uid="{00000000-0002-0000-1500-00000F000000}">
      <formula1>$N$231:$N$236</formula1>
    </dataValidation>
    <dataValidation type="list" allowBlank="1" showInputMessage="1" showErrorMessage="1" sqref="J252" xr:uid="{00000000-0002-0000-1500-000010000000}">
      <formula1>$N$251:$N$256</formula1>
    </dataValidation>
    <dataValidation type="list" allowBlank="1" showInputMessage="1" showErrorMessage="1" sqref="J281" xr:uid="{00000000-0002-0000-1500-000011000000}">
      <formula1>$N$280:$N$285</formula1>
    </dataValidation>
    <dataValidation type="list" allowBlank="1" showInputMessage="1" showErrorMessage="1" sqref="J555" xr:uid="{00000000-0002-0000-1500-000012000000}">
      <formula1>$N$554:$N$559</formula1>
    </dataValidation>
    <dataValidation type="list" allowBlank="1" showInputMessage="1" showErrorMessage="1" sqref="J578" xr:uid="{00000000-0002-0000-1500-000013000000}">
      <formula1>$N$577:$N$582</formula1>
    </dataValidation>
    <dataValidation type="list" allowBlank="1" showInputMessage="1" showErrorMessage="1" sqref="J628" xr:uid="{00000000-0002-0000-1500-000014000000}">
      <formula1>$N$627:$N$632</formula1>
    </dataValidation>
    <dataValidation type="list" allowBlank="1" showInputMessage="1" showErrorMessage="1" sqref="J650" xr:uid="{00000000-0002-0000-1500-000015000000}">
      <formula1>$N$649:$N$654</formula1>
    </dataValidation>
    <dataValidation type="list" allowBlank="1" showInputMessage="1" showErrorMessage="1" sqref="J672" xr:uid="{00000000-0002-0000-1500-000016000000}">
      <formula1>$N$671:$N$676</formula1>
    </dataValidation>
  </dataValidations>
  <pageMargins left="0.7" right="0.7" top="0.75" bottom="0.75" header="0.3" footer="0.3"/>
  <pageSetup scale="70" orientation="portrait" r:id="rId1"/>
  <ignoredErrors>
    <ignoredError sqref="J392 J372 J312" unlockedFormula="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0"/>
  <dimension ref="A1:N1029"/>
  <sheetViews>
    <sheetView showGridLines="0" showRowColHeaders="0" zoomScaleNormal="100" workbookViewId="0">
      <selection activeCell="P82" sqref="P82:P83"/>
    </sheetView>
  </sheetViews>
  <sheetFormatPr baseColWidth="10" defaultColWidth="9.1640625" defaultRowHeight="15" x14ac:dyDescent="0.2"/>
  <cols>
    <col min="1" max="1" width="9.1640625" style="12"/>
    <col min="2" max="3" width="9.1640625" style="12" customWidth="1"/>
    <col min="4" max="4" width="9.1640625" style="12"/>
    <col min="5" max="5" width="9.1640625" style="12" customWidth="1"/>
    <col min="6" max="9" width="9.1640625" style="12"/>
    <col min="10" max="10" width="25.6640625" style="12" customWidth="1"/>
    <col min="11" max="13" width="9.1640625" style="12"/>
    <col min="14" max="14" width="9.1640625" style="12" hidden="1" customWidth="1"/>
    <col min="15" max="16384" width="9.1640625" style="12"/>
  </cols>
  <sheetData>
    <row r="1" spans="2:13" x14ac:dyDescent="0.2">
      <c r="I1" s="29"/>
    </row>
    <row r="2" spans="2:13" ht="33" x14ac:dyDescent="0.2">
      <c r="G2" s="16" t="s">
        <v>1038</v>
      </c>
      <c r="I2" s="29"/>
    </row>
    <row r="3" spans="2:13" ht="23" x14ac:dyDescent="0.25">
      <c r="G3" s="30" t="s">
        <v>9</v>
      </c>
      <c r="I3" s="29"/>
      <c r="L3" s="157"/>
      <c r="M3" s="157"/>
    </row>
    <row r="4" spans="2:13" x14ac:dyDescent="0.2">
      <c r="G4" s="98"/>
      <c r="I4" s="29"/>
      <c r="L4" s="158"/>
      <c r="M4" s="157"/>
    </row>
    <row r="5" spans="2:13" ht="105" customHeight="1" x14ac:dyDescent="0.2">
      <c r="B5" s="426" t="s">
        <v>674</v>
      </c>
      <c r="C5" s="427"/>
      <c r="D5" s="427"/>
      <c r="E5" s="427"/>
      <c r="F5" s="427"/>
      <c r="G5" s="427"/>
      <c r="H5" s="427"/>
      <c r="I5" s="427"/>
      <c r="J5" s="427"/>
      <c r="K5" s="427"/>
      <c r="L5" s="158"/>
      <c r="M5" s="157"/>
    </row>
    <row r="6" spans="2:13" x14ac:dyDescent="0.2">
      <c r="B6" s="426"/>
      <c r="C6" s="426"/>
      <c r="D6" s="426"/>
      <c r="E6" s="426"/>
      <c r="F6" s="426"/>
      <c r="G6" s="426"/>
      <c r="H6" s="426"/>
      <c r="I6" s="426"/>
      <c r="J6" s="426"/>
      <c r="K6" s="426"/>
      <c r="L6" s="158"/>
    </row>
    <row r="7" spans="2:13" ht="60" customHeight="1" x14ac:dyDescent="0.2">
      <c r="B7" s="425" t="s">
        <v>664</v>
      </c>
      <c r="C7" s="341"/>
      <c r="D7" s="341"/>
      <c r="E7" s="341"/>
      <c r="F7" s="341"/>
      <c r="G7" s="341"/>
      <c r="H7" s="341"/>
      <c r="I7" s="341"/>
      <c r="J7" s="341"/>
      <c r="K7" s="341"/>
    </row>
    <row r="8" spans="2:13" x14ac:dyDescent="0.2">
      <c r="B8" s="426"/>
      <c r="C8" s="426"/>
      <c r="D8" s="426"/>
      <c r="E8" s="426"/>
      <c r="F8" s="426"/>
      <c r="G8" s="426"/>
      <c r="H8" s="426"/>
      <c r="I8" s="426"/>
      <c r="J8" s="426"/>
      <c r="K8" s="426"/>
    </row>
    <row r="9" spans="2:13" ht="30" customHeight="1" x14ac:dyDescent="0.2">
      <c r="B9" s="445" t="s">
        <v>665</v>
      </c>
      <c r="C9" s="446"/>
      <c r="D9" s="446"/>
      <c r="E9" s="446"/>
      <c r="F9" s="446"/>
      <c r="G9" s="446"/>
      <c r="H9" s="446"/>
      <c r="I9" s="446"/>
      <c r="J9" s="446"/>
      <c r="K9" s="446"/>
    </row>
    <row r="10" spans="2:13" ht="60" customHeight="1" x14ac:dyDescent="0.2">
      <c r="B10" s="434" t="s">
        <v>1075</v>
      </c>
      <c r="C10" s="435"/>
      <c r="D10" s="435"/>
      <c r="E10" s="435"/>
      <c r="F10" s="435"/>
      <c r="G10" s="435"/>
      <c r="H10" s="435"/>
      <c r="I10" s="435"/>
      <c r="J10" s="435"/>
      <c r="K10" s="436"/>
    </row>
    <row r="11" spans="2:13" ht="16" thickBot="1" x14ac:dyDescent="0.25"/>
    <row r="12" spans="2:13" x14ac:dyDescent="0.2">
      <c r="B12" s="159"/>
      <c r="C12" s="160"/>
      <c r="D12" s="160"/>
      <c r="E12" s="160"/>
      <c r="F12" s="160"/>
      <c r="G12" s="160"/>
      <c r="H12" s="160"/>
      <c r="I12" s="160"/>
      <c r="J12" s="160"/>
      <c r="K12" s="161"/>
    </row>
    <row r="13" spans="2:13" ht="21" x14ac:dyDescent="0.25">
      <c r="B13" s="162"/>
      <c r="C13" s="163"/>
      <c r="D13" s="163"/>
      <c r="E13" s="163"/>
      <c r="F13" s="163"/>
      <c r="G13" s="164" t="s">
        <v>226</v>
      </c>
      <c r="H13" s="163"/>
      <c r="I13" s="163"/>
      <c r="J13" s="163"/>
      <c r="K13" s="165"/>
    </row>
    <row r="14" spans="2:13" ht="21" x14ac:dyDescent="0.25">
      <c r="B14" s="162"/>
      <c r="C14" s="163"/>
      <c r="D14" s="163"/>
      <c r="E14" s="163"/>
      <c r="F14" s="163"/>
      <c r="G14" s="164"/>
      <c r="H14" s="163"/>
      <c r="I14" s="163"/>
      <c r="J14" s="163"/>
      <c r="K14" s="165"/>
    </row>
    <row r="15" spans="2:13" ht="26.25" customHeight="1" x14ac:dyDescent="0.2">
      <c r="B15" s="162"/>
      <c r="C15" s="163" t="s">
        <v>255</v>
      </c>
      <c r="D15" s="163"/>
      <c r="E15" s="412" t="s">
        <v>242</v>
      </c>
      <c r="F15" s="437"/>
      <c r="G15" s="437"/>
      <c r="H15" s="437"/>
      <c r="I15" s="437"/>
      <c r="J15" s="438"/>
      <c r="K15" s="165"/>
    </row>
    <row r="16" spans="2:13" x14ac:dyDescent="0.2">
      <c r="B16" s="162"/>
      <c r="C16" s="163"/>
      <c r="D16" s="163"/>
      <c r="E16" s="163"/>
      <c r="F16" s="163"/>
      <c r="G16" s="163"/>
      <c r="H16" s="163"/>
      <c r="I16" s="163"/>
      <c r="J16" s="163"/>
      <c r="K16" s="165"/>
    </row>
    <row r="17" spans="2:14" x14ac:dyDescent="0.2">
      <c r="B17" s="162"/>
      <c r="C17" s="166" t="s">
        <v>256</v>
      </c>
      <c r="D17" s="163"/>
      <c r="E17" s="167">
        <f>IF(E15=$C$966,$A$966,IF(E15=$C$967,$A$967,IF(E15=$C$968,$A$968,IF(E15=$C$969,$A$969,IF(E15=$C$970,$A$970,"Not Calculated")))))</f>
        <v>2</v>
      </c>
      <c r="F17" s="163"/>
      <c r="G17" s="163"/>
      <c r="H17" s="163"/>
      <c r="I17" s="163"/>
      <c r="J17" s="163"/>
      <c r="K17" s="165"/>
    </row>
    <row r="18" spans="2:14" x14ac:dyDescent="0.2">
      <c r="B18" s="162"/>
      <c r="C18" s="163"/>
      <c r="D18" s="163"/>
      <c r="E18" s="167" t="str">
        <f>IF(E15=$C$966,$B$966,IF(E15=$C$967,$B$967,IF(E15=$C$968,$B$968,IF(E15=$C$969,$B$969,IF(E15=$C$970,$B$970,"Not Calculated")))))</f>
        <v>Occasional</v>
      </c>
      <c r="F18" s="163"/>
      <c r="G18" s="163"/>
      <c r="H18" s="163"/>
      <c r="I18" s="163"/>
      <c r="J18" s="163"/>
      <c r="K18" s="165"/>
    </row>
    <row r="19" spans="2:14" ht="16" thickBot="1" x14ac:dyDescent="0.25">
      <c r="B19" s="168"/>
      <c r="C19" s="169"/>
      <c r="D19" s="169"/>
      <c r="E19" s="169"/>
      <c r="F19" s="169"/>
      <c r="G19" s="169"/>
      <c r="H19" s="169"/>
      <c r="I19" s="169"/>
      <c r="J19" s="169"/>
      <c r="K19" s="170"/>
    </row>
    <row r="20" spans="2:14" ht="16" thickBot="1" x14ac:dyDescent="0.25"/>
    <row r="21" spans="2:14" x14ac:dyDescent="0.2">
      <c r="B21" s="33"/>
      <c r="C21" s="34"/>
      <c r="D21" s="34"/>
      <c r="E21" s="34"/>
      <c r="F21" s="34"/>
      <c r="G21" s="34"/>
      <c r="H21" s="34"/>
      <c r="I21" s="34"/>
      <c r="J21" s="34"/>
      <c r="K21" s="37"/>
    </row>
    <row r="22" spans="2:14" ht="21" x14ac:dyDescent="0.25">
      <c r="B22" s="38"/>
      <c r="C22" s="171"/>
      <c r="D22" s="40"/>
      <c r="E22" s="40"/>
      <c r="F22" s="40"/>
      <c r="G22" s="172" t="s">
        <v>26</v>
      </c>
      <c r="H22" s="40"/>
      <c r="I22" s="40"/>
      <c r="J22" s="40"/>
      <c r="K22" s="41"/>
    </row>
    <row r="23" spans="2:14" x14ac:dyDescent="0.2">
      <c r="B23" s="38"/>
      <c r="C23" s="40"/>
      <c r="D23" s="40"/>
      <c r="E23" s="40"/>
      <c r="F23" s="40"/>
      <c r="G23" s="40"/>
      <c r="H23" s="40"/>
      <c r="I23" s="40"/>
      <c r="J23" s="40"/>
      <c r="K23" s="41"/>
    </row>
    <row r="24" spans="2:14" ht="16" x14ac:dyDescent="0.2">
      <c r="B24" s="38"/>
      <c r="C24" s="45" t="s">
        <v>61</v>
      </c>
      <c r="D24" s="40"/>
      <c r="E24" s="40"/>
      <c r="F24" s="40"/>
      <c r="G24" s="40"/>
      <c r="H24" s="40"/>
      <c r="I24" s="40"/>
      <c r="J24" s="40"/>
      <c r="K24" s="41"/>
    </row>
    <row r="25" spans="2:14" x14ac:dyDescent="0.2">
      <c r="B25" s="38"/>
      <c r="C25" s="40" t="s">
        <v>434</v>
      </c>
      <c r="D25" s="40"/>
      <c r="E25" s="40"/>
      <c r="F25" s="40"/>
      <c r="G25" s="40"/>
      <c r="H25" s="40"/>
      <c r="I25" s="40"/>
      <c r="J25" s="252">
        <f>'Baseline Health'!G11</f>
        <v>0</v>
      </c>
      <c r="K25" s="41"/>
    </row>
    <row r="26" spans="2:14" x14ac:dyDescent="0.2">
      <c r="B26" s="38"/>
      <c r="C26" s="40" t="s">
        <v>288</v>
      </c>
      <c r="D26" s="40"/>
      <c r="E26" s="40"/>
      <c r="F26" s="40"/>
      <c r="G26" s="40"/>
      <c r="H26" s="40"/>
      <c r="I26" s="40"/>
      <c r="J26" s="264">
        <f>'Baseline Health'!$G$6*0.00017</f>
        <v>0</v>
      </c>
      <c r="K26" s="41"/>
      <c r="L26" s="12" t="s">
        <v>1173</v>
      </c>
    </row>
    <row r="27" spans="2:14" x14ac:dyDescent="0.2">
      <c r="B27" s="38"/>
      <c r="C27" s="40" t="s">
        <v>260</v>
      </c>
      <c r="D27" s="40"/>
      <c r="E27" s="40"/>
      <c r="F27" s="40"/>
      <c r="G27" s="40"/>
      <c r="H27" s="40"/>
      <c r="I27" s="40"/>
      <c r="J27" s="248" t="str">
        <f>IF(OR(J25=0,J25="Not Calculated")=TRUE,"Not Calculated",(IF(((J26+J25)/J25)&lt;=1,0,IF(((J26+J25)/J25)&lt;=1.05,1,IF(((J26+J25)/J25)&lt;=1.5, 2,IF(((J26+J25)/J25)&lt;=2,3,4))))))</f>
        <v>Not Calculated</v>
      </c>
      <c r="K27" s="41"/>
    </row>
    <row r="28" spans="2:14" ht="9.75" customHeight="1" x14ac:dyDescent="0.2">
      <c r="B28" s="38"/>
      <c r="C28" s="279" t="str">
        <f>"0:"</f>
        <v>0:</v>
      </c>
      <c r="D28" s="281" t="s">
        <v>918</v>
      </c>
      <c r="E28" s="40"/>
      <c r="F28" s="40"/>
      <c r="G28" s="40"/>
      <c r="H28" s="40"/>
      <c r="I28" s="40"/>
      <c r="J28" s="40"/>
      <c r="K28" s="41"/>
    </row>
    <row r="29" spans="2:14" ht="9.75" customHeight="1" x14ac:dyDescent="0.2">
      <c r="B29" s="38"/>
      <c r="C29" s="280" t="str">
        <f>"1:"</f>
        <v>1:</v>
      </c>
      <c r="D29" s="281" t="s">
        <v>919</v>
      </c>
      <c r="E29" s="40"/>
      <c r="F29" s="40"/>
      <c r="G29" s="40"/>
      <c r="H29" s="40"/>
      <c r="I29" s="40"/>
      <c r="J29" s="40"/>
      <c r="K29" s="41"/>
    </row>
    <row r="30" spans="2:14" ht="9.75" customHeight="1" x14ac:dyDescent="0.2">
      <c r="B30" s="38"/>
      <c r="C30" s="280" t="str">
        <f>"2:"</f>
        <v>2:</v>
      </c>
      <c r="D30" s="281" t="s">
        <v>920</v>
      </c>
      <c r="E30" s="40"/>
      <c r="F30" s="40"/>
      <c r="G30" s="40"/>
      <c r="H30" s="40"/>
      <c r="I30" s="40"/>
      <c r="J30" s="40"/>
      <c r="K30" s="41"/>
    </row>
    <row r="31" spans="2:14" ht="9.75" customHeight="1" x14ac:dyDescent="0.2">
      <c r="B31" s="38"/>
      <c r="C31" s="280" t="str">
        <f>"3:"</f>
        <v>3:</v>
      </c>
      <c r="D31" s="281" t="s">
        <v>921</v>
      </c>
      <c r="E31" s="40"/>
      <c r="F31" s="40"/>
      <c r="G31" s="40"/>
      <c r="H31" s="40"/>
      <c r="I31" s="40"/>
      <c r="J31" s="40"/>
      <c r="K31" s="41"/>
    </row>
    <row r="32" spans="2:14" ht="9.75" customHeight="1" x14ac:dyDescent="0.2">
      <c r="B32" s="38"/>
      <c r="C32" s="280" t="str">
        <f>"4:"</f>
        <v>4:</v>
      </c>
      <c r="D32" s="281" t="s">
        <v>922</v>
      </c>
      <c r="E32" s="40"/>
      <c r="F32" s="40"/>
      <c r="G32" s="40"/>
      <c r="H32" s="40"/>
      <c r="I32" s="40"/>
      <c r="J32" s="40"/>
      <c r="K32" s="41"/>
      <c r="N32" s="12" t="s">
        <v>661</v>
      </c>
    </row>
    <row r="33" spans="2:14" x14ac:dyDescent="0.2">
      <c r="B33" s="38"/>
      <c r="C33" s="174" t="s">
        <v>662</v>
      </c>
      <c r="D33" s="40"/>
      <c r="E33" s="40"/>
      <c r="F33" s="40"/>
      <c r="G33" s="40"/>
      <c r="H33" s="40"/>
      <c r="I33" s="40"/>
      <c r="J33" s="265" t="s">
        <v>661</v>
      </c>
      <c r="K33" s="41"/>
      <c r="N33" s="12" t="s">
        <v>894</v>
      </c>
    </row>
    <row r="34" spans="2:14" x14ac:dyDescent="0.2">
      <c r="B34" s="38"/>
      <c r="C34" s="174" t="s">
        <v>660</v>
      </c>
      <c r="D34" s="40"/>
      <c r="E34" s="40"/>
      <c r="F34" s="40"/>
      <c r="G34" s="40"/>
      <c r="H34" s="40"/>
      <c r="I34" s="40"/>
      <c r="J34" s="246" t="str">
        <f>IF(J33=N32,"N/A",IF(J33=N33,0,IF(J33=N34,1,IF(J33=N35,2,IF(J33=N36,3,IF(J33=N37,4,"N/A"))))))</f>
        <v>N/A</v>
      </c>
      <c r="K34" s="41"/>
      <c r="N34" s="12" t="s">
        <v>895</v>
      </c>
    </row>
    <row r="35" spans="2:14" x14ac:dyDescent="0.2">
      <c r="B35" s="38"/>
      <c r="C35" s="40" t="s">
        <v>257</v>
      </c>
      <c r="D35" s="40"/>
      <c r="E35" s="40"/>
      <c r="F35" s="40"/>
      <c r="G35" s="40"/>
      <c r="H35" s="40"/>
      <c r="I35" s="40"/>
      <c r="J35" s="266" t="s">
        <v>874</v>
      </c>
      <c r="K35" s="41"/>
      <c r="N35" s="12" t="s">
        <v>896</v>
      </c>
    </row>
    <row r="36" spans="2:14" x14ac:dyDescent="0.2">
      <c r="B36" s="38"/>
      <c r="C36" s="40" t="s">
        <v>261</v>
      </c>
      <c r="D36" s="40"/>
      <c r="E36" s="40"/>
      <c r="F36" s="40"/>
      <c r="G36" s="40"/>
      <c r="H36" s="40"/>
      <c r="I36" s="40"/>
      <c r="J36" s="245">
        <f>IF(J35=$B$973,$A$973,IF(J35=$B$974,$A$974,IF(J35=$B$975,$A$975,IF(J35=$B$976,$A$976,IF(J35=$B$977,$A$977,"Not Calculated")))))</f>
        <v>4</v>
      </c>
      <c r="K36" s="41"/>
      <c r="N36" s="12" t="s">
        <v>897</v>
      </c>
    </row>
    <row r="37" spans="2:14" x14ac:dyDescent="0.2">
      <c r="B37" s="38"/>
      <c r="C37" s="40" t="s">
        <v>893</v>
      </c>
      <c r="D37" s="40"/>
      <c r="E37" s="40"/>
      <c r="F37" s="40"/>
      <c r="G37" s="40"/>
      <c r="H37" s="40"/>
      <c r="I37" s="40"/>
      <c r="J37" s="175"/>
      <c r="K37" s="41"/>
      <c r="N37" s="12" t="s">
        <v>898</v>
      </c>
    </row>
    <row r="38" spans="2:14" s="178" customFormat="1" ht="50" customHeight="1" x14ac:dyDescent="0.2">
      <c r="B38" s="176"/>
      <c r="C38" s="415" t="s">
        <v>1172</v>
      </c>
      <c r="D38" s="400"/>
      <c r="E38" s="400"/>
      <c r="F38" s="400"/>
      <c r="G38" s="400"/>
      <c r="H38" s="400"/>
      <c r="I38" s="400"/>
      <c r="J38" s="401"/>
      <c r="K38" s="177"/>
    </row>
    <row r="39" spans="2:14" x14ac:dyDescent="0.2">
      <c r="B39" s="38"/>
      <c r="C39" s="40"/>
      <c r="D39" s="40"/>
      <c r="E39" s="40"/>
      <c r="F39" s="40"/>
      <c r="G39" s="40"/>
      <c r="H39" s="40"/>
      <c r="I39" s="40"/>
      <c r="J39" s="40"/>
      <c r="K39" s="41"/>
    </row>
    <row r="40" spans="2:14" x14ac:dyDescent="0.2">
      <c r="B40" s="38"/>
      <c r="C40" s="179" t="s">
        <v>258</v>
      </c>
      <c r="D40" s="40"/>
      <c r="E40" s="40"/>
      <c r="F40" s="40"/>
      <c r="G40" s="40"/>
      <c r="H40" s="40"/>
      <c r="I40" s="40"/>
      <c r="J40" s="245" t="str">
        <f>IF(J34="N/A",IF(OR(J27="Not Calculated",J36="Not Calculated")=TRUE,"Not Calculated",AVERAGE(J27,J36)),AVERAGE(J34,J36))</f>
        <v>Not Calculated</v>
      </c>
      <c r="K40" s="41"/>
    </row>
    <row r="41" spans="2:14" x14ac:dyDescent="0.2">
      <c r="B41" s="38"/>
      <c r="C41" s="179"/>
      <c r="D41" s="40"/>
      <c r="E41" s="40"/>
      <c r="F41" s="40"/>
      <c r="G41" s="40"/>
      <c r="H41" s="40"/>
      <c r="I41" s="40"/>
      <c r="J41" s="245"/>
      <c r="K41" s="41"/>
    </row>
    <row r="42" spans="2:14" x14ac:dyDescent="0.2">
      <c r="B42" s="38"/>
      <c r="C42" s="40"/>
      <c r="D42" s="40"/>
      <c r="E42" s="40"/>
      <c r="F42" s="40"/>
      <c r="G42" s="40"/>
      <c r="H42" s="40"/>
      <c r="I42" s="40"/>
      <c r="J42" s="40"/>
      <c r="K42" s="41"/>
    </row>
    <row r="43" spans="2:14" ht="16" x14ac:dyDescent="0.2">
      <c r="B43" s="38"/>
      <c r="C43" s="45" t="s">
        <v>51</v>
      </c>
      <c r="D43" s="40"/>
      <c r="E43" s="40"/>
      <c r="F43" s="40"/>
      <c r="G43" s="40"/>
      <c r="H43" s="40"/>
      <c r="I43" s="40"/>
      <c r="J43" s="40"/>
      <c r="K43" s="41"/>
    </row>
    <row r="44" spans="2:14" x14ac:dyDescent="0.2">
      <c r="B44" s="38"/>
      <c r="C44" s="40" t="s">
        <v>435</v>
      </c>
      <c r="D44" s="40"/>
      <c r="E44" s="40"/>
      <c r="F44" s="40"/>
      <c r="G44" s="40"/>
      <c r="H44" s="40"/>
      <c r="I44" s="40"/>
      <c r="J44" s="252">
        <f>'Baseline Health'!G17</f>
        <v>0</v>
      </c>
      <c r="K44" s="41"/>
    </row>
    <row r="45" spans="2:14" x14ac:dyDescent="0.2">
      <c r="B45" s="38"/>
      <c r="C45" s="40" t="s">
        <v>287</v>
      </c>
      <c r="D45" s="40"/>
      <c r="E45" s="40"/>
      <c r="F45" s="40"/>
      <c r="G45" s="40"/>
      <c r="H45" s="40"/>
      <c r="I45" s="40"/>
      <c r="J45" s="264">
        <f>J44*0.5</f>
        <v>0</v>
      </c>
      <c r="K45" s="41"/>
      <c r="L45" s="12" t="s">
        <v>1240</v>
      </c>
    </row>
    <row r="46" spans="2:14" x14ac:dyDescent="0.2">
      <c r="B46" s="38"/>
      <c r="C46" s="40" t="s">
        <v>260</v>
      </c>
      <c r="D46" s="40"/>
      <c r="E46" s="40"/>
      <c r="F46" s="40"/>
      <c r="G46" s="40"/>
      <c r="H46" s="40"/>
      <c r="I46" s="40"/>
      <c r="J46" s="248" t="str">
        <f>IF(OR(J44=0,J44="Not Calculated")=TRUE,"Not Calculated",(IF(((J45+J44)/J44)&lt;=1,0,IF(((J45+J44)/J44)&lt;=1.05,1,IF(((J45+J44)/J44)&lt;=1.5, 2,IF(((J45+J44)/J44)&lt;=2,3,4))))))</f>
        <v>Not Calculated</v>
      </c>
      <c r="K46" s="41"/>
    </row>
    <row r="47" spans="2:14" ht="9.75" customHeight="1" x14ac:dyDescent="0.2">
      <c r="B47" s="38"/>
      <c r="C47" s="279" t="str">
        <f>"0:"</f>
        <v>0:</v>
      </c>
      <c r="D47" s="281" t="s">
        <v>918</v>
      </c>
      <c r="E47" s="40"/>
      <c r="F47" s="40"/>
      <c r="G47" s="40"/>
      <c r="H47" s="40"/>
      <c r="I47" s="40"/>
      <c r="J47" s="40"/>
      <c r="K47" s="41"/>
    </row>
    <row r="48" spans="2:14" ht="9.75" customHeight="1" x14ac:dyDescent="0.2">
      <c r="B48" s="38"/>
      <c r="C48" s="280" t="str">
        <f>"1:"</f>
        <v>1:</v>
      </c>
      <c r="D48" s="281" t="s">
        <v>919</v>
      </c>
      <c r="E48" s="40"/>
      <c r="F48" s="40"/>
      <c r="G48" s="40"/>
      <c r="H48" s="40"/>
      <c r="I48" s="40"/>
      <c r="J48" s="40"/>
      <c r="K48" s="41"/>
    </row>
    <row r="49" spans="2:14" ht="9.75" customHeight="1" x14ac:dyDescent="0.2">
      <c r="B49" s="38"/>
      <c r="C49" s="280" t="str">
        <f>"2:"</f>
        <v>2:</v>
      </c>
      <c r="D49" s="281" t="s">
        <v>920</v>
      </c>
      <c r="E49" s="40"/>
      <c r="F49" s="40"/>
      <c r="G49" s="40"/>
      <c r="H49" s="40"/>
      <c r="I49" s="40"/>
      <c r="J49" s="40"/>
      <c r="K49" s="41"/>
    </row>
    <row r="50" spans="2:14" ht="9.75" customHeight="1" x14ac:dyDescent="0.2">
      <c r="B50" s="38"/>
      <c r="C50" s="280" t="str">
        <f>"3:"</f>
        <v>3:</v>
      </c>
      <c r="D50" s="281" t="s">
        <v>921</v>
      </c>
      <c r="E50" s="40"/>
      <c r="F50" s="40"/>
      <c r="G50" s="40"/>
      <c r="H50" s="40"/>
      <c r="I50" s="40"/>
      <c r="J50" s="40"/>
      <c r="K50" s="41"/>
    </row>
    <row r="51" spans="2:14" ht="9.75" customHeight="1" x14ac:dyDescent="0.2">
      <c r="B51" s="38"/>
      <c r="C51" s="280" t="str">
        <f>"4:"</f>
        <v>4:</v>
      </c>
      <c r="D51" s="281" t="s">
        <v>922</v>
      </c>
      <c r="E51" s="40"/>
      <c r="F51" s="40"/>
      <c r="G51" s="40"/>
      <c r="H51" s="40"/>
      <c r="I51" s="40"/>
      <c r="J51" s="40"/>
      <c r="K51" s="41"/>
      <c r="N51" s="12" t="s">
        <v>661</v>
      </c>
    </row>
    <row r="52" spans="2:14" x14ac:dyDescent="0.2">
      <c r="B52" s="38"/>
      <c r="C52" s="174" t="s">
        <v>662</v>
      </c>
      <c r="D52" s="40"/>
      <c r="E52" s="40"/>
      <c r="F52" s="40"/>
      <c r="G52" s="40"/>
      <c r="H52" s="40"/>
      <c r="I52" s="40"/>
      <c r="J52" s="265" t="s">
        <v>661</v>
      </c>
      <c r="K52" s="41"/>
      <c r="N52" s="12" t="s">
        <v>894</v>
      </c>
    </row>
    <row r="53" spans="2:14" x14ac:dyDescent="0.2">
      <c r="B53" s="38"/>
      <c r="C53" s="174" t="s">
        <v>660</v>
      </c>
      <c r="D53" s="40"/>
      <c r="E53" s="40"/>
      <c r="F53" s="40"/>
      <c r="G53" s="40"/>
      <c r="H53" s="40"/>
      <c r="I53" s="40"/>
      <c r="J53" s="246" t="str">
        <f>IF(J52=N51,"N/A",IF(J52=N52,0,IF(J52=N53,1,IF(J52=N54,2,IF(J52=N55,3,IF(J52=N56,4,"N/A"))))))</f>
        <v>N/A</v>
      </c>
      <c r="K53" s="41"/>
      <c r="N53" s="12" t="s">
        <v>895</v>
      </c>
    </row>
    <row r="54" spans="2:14" x14ac:dyDescent="0.2">
      <c r="B54" s="38"/>
      <c r="C54" s="40" t="s">
        <v>257</v>
      </c>
      <c r="D54" s="40"/>
      <c r="E54" s="40"/>
      <c r="F54" s="40"/>
      <c r="G54" s="40"/>
      <c r="H54" s="40"/>
      <c r="I54" s="40"/>
      <c r="J54" s="266" t="s">
        <v>874</v>
      </c>
      <c r="K54" s="41"/>
      <c r="N54" s="12" t="s">
        <v>896</v>
      </c>
    </row>
    <row r="55" spans="2:14" x14ac:dyDescent="0.2">
      <c r="B55" s="38"/>
      <c r="C55" s="40" t="s">
        <v>261</v>
      </c>
      <c r="D55" s="40"/>
      <c r="E55" s="40"/>
      <c r="F55" s="40"/>
      <c r="G55" s="40"/>
      <c r="H55" s="40"/>
      <c r="I55" s="40"/>
      <c r="J55" s="245">
        <f>IF(J54=$B$973,$A$973,IF(J54=$B$974,$A$974,IF(J54=$B$975,$A$975,IF(J54=$B$976,$A$976,IF(J54=$B$977,$A$977,"Not Calculated")))))</f>
        <v>4</v>
      </c>
      <c r="K55" s="41"/>
      <c r="N55" s="12" t="s">
        <v>897</v>
      </c>
    </row>
    <row r="56" spans="2:14" x14ac:dyDescent="0.2">
      <c r="B56" s="38"/>
      <c r="C56" s="40" t="s">
        <v>893</v>
      </c>
      <c r="D56" s="40"/>
      <c r="E56" s="40"/>
      <c r="F56" s="40"/>
      <c r="G56" s="40"/>
      <c r="H56" s="40"/>
      <c r="I56" s="40"/>
      <c r="J56" s="175"/>
      <c r="K56" s="41"/>
      <c r="N56" s="12" t="s">
        <v>898</v>
      </c>
    </row>
    <row r="57" spans="2:14" s="178" customFormat="1" ht="30" customHeight="1" x14ac:dyDescent="0.2">
      <c r="B57" s="176"/>
      <c r="C57" s="415" t="s">
        <v>1241</v>
      </c>
      <c r="D57" s="400"/>
      <c r="E57" s="400"/>
      <c r="F57" s="400"/>
      <c r="G57" s="400"/>
      <c r="H57" s="400"/>
      <c r="I57" s="400"/>
      <c r="J57" s="401"/>
      <c r="K57" s="177"/>
    </row>
    <row r="58" spans="2:14" x14ac:dyDescent="0.2">
      <c r="B58" s="38"/>
      <c r="C58" s="40"/>
      <c r="D58" s="40"/>
      <c r="E58" s="40"/>
      <c r="F58" s="40"/>
      <c r="G58" s="40"/>
      <c r="H58" s="40"/>
      <c r="I58" s="40"/>
      <c r="J58" s="40"/>
      <c r="K58" s="41"/>
    </row>
    <row r="59" spans="2:14" x14ac:dyDescent="0.2">
      <c r="B59" s="38"/>
      <c r="C59" s="179" t="s">
        <v>263</v>
      </c>
      <c r="D59" s="40"/>
      <c r="E59" s="40"/>
      <c r="F59" s="40"/>
      <c r="G59" s="40"/>
      <c r="H59" s="40"/>
      <c r="I59" s="40"/>
      <c r="J59" s="245" t="str">
        <f>IF(J53="N/A",IF(OR(J46="Not Calculated",J55="Not Calculated")=TRUE,"Not Calculated",AVERAGE(J46,J55)),AVERAGE(J53,J55))</f>
        <v>Not Calculated</v>
      </c>
      <c r="K59" s="41"/>
    </row>
    <row r="60" spans="2:14" x14ac:dyDescent="0.2">
      <c r="B60" s="38"/>
      <c r="C60" s="40"/>
      <c r="D60" s="40"/>
      <c r="E60" s="40"/>
      <c r="F60" s="40"/>
      <c r="G60" s="40"/>
      <c r="H60" s="40"/>
      <c r="I60" s="40"/>
      <c r="J60" s="40"/>
      <c r="K60" s="41"/>
    </row>
    <row r="61" spans="2:14" x14ac:dyDescent="0.2">
      <c r="B61" s="38"/>
      <c r="C61" s="40"/>
      <c r="D61" s="40"/>
      <c r="E61" s="40"/>
      <c r="F61" s="40"/>
      <c r="G61" s="40"/>
      <c r="H61" s="40"/>
      <c r="I61" s="40"/>
      <c r="J61" s="40"/>
      <c r="K61" s="41"/>
    </row>
    <row r="62" spans="2:14" ht="16" x14ac:dyDescent="0.2">
      <c r="B62" s="38"/>
      <c r="C62" s="45" t="s">
        <v>54</v>
      </c>
      <c r="D62" s="40"/>
      <c r="E62" s="40"/>
      <c r="F62" s="40"/>
      <c r="G62" s="40"/>
      <c r="H62" s="40"/>
      <c r="I62" s="40"/>
      <c r="J62" s="40"/>
      <c r="K62" s="41"/>
    </row>
    <row r="63" spans="2:14" x14ac:dyDescent="0.2">
      <c r="B63" s="38"/>
      <c r="C63" s="40" t="s">
        <v>436</v>
      </c>
      <c r="D63" s="40"/>
      <c r="E63" s="40"/>
      <c r="F63" s="40"/>
      <c r="G63" s="40"/>
      <c r="H63" s="40"/>
      <c r="I63" s="40"/>
      <c r="J63" s="252">
        <f>'Baseline Health'!G23</f>
        <v>0</v>
      </c>
      <c r="K63" s="41"/>
    </row>
    <row r="64" spans="2:14" x14ac:dyDescent="0.2">
      <c r="B64" s="38"/>
      <c r="C64" s="40" t="s">
        <v>289</v>
      </c>
      <c r="D64" s="40"/>
      <c r="E64" s="40"/>
      <c r="F64" s="40"/>
      <c r="G64" s="40"/>
      <c r="H64" s="40"/>
      <c r="I64" s="40"/>
      <c r="J64" s="264">
        <f>J63*0.5</f>
        <v>0</v>
      </c>
      <c r="K64" s="41"/>
    </row>
    <row r="65" spans="2:14" x14ac:dyDescent="0.2">
      <c r="B65" s="38"/>
      <c r="C65" s="40" t="s">
        <v>260</v>
      </c>
      <c r="D65" s="40"/>
      <c r="E65" s="40"/>
      <c r="F65" s="40"/>
      <c r="G65" s="40"/>
      <c r="H65" s="40"/>
      <c r="I65" s="40"/>
      <c r="J65" s="248" t="str">
        <f>IF(OR(J63=0,J63="Not Calculated")=TRUE,"Not Calculated",(IF(((J64+J63)/J63)&lt;=1,0,IF(((J64+J63)/J63)&lt;=1.05,1,IF(((J64+J63)/J63)&lt;=1.5, 2,IF(((J64+J63)/J63)&lt;=2,3,4))))))</f>
        <v>Not Calculated</v>
      </c>
      <c r="K65" s="41"/>
    </row>
    <row r="66" spans="2:14" ht="9.75" customHeight="1" x14ac:dyDescent="0.2">
      <c r="B66" s="38"/>
      <c r="C66" s="279" t="str">
        <f>"0:"</f>
        <v>0:</v>
      </c>
      <c r="D66" s="281" t="s">
        <v>918</v>
      </c>
      <c r="E66" s="40"/>
      <c r="F66" s="40"/>
      <c r="G66" s="40"/>
      <c r="H66" s="40"/>
      <c r="I66" s="40"/>
      <c r="J66" s="40"/>
      <c r="K66" s="41"/>
    </row>
    <row r="67" spans="2:14" ht="9.75" customHeight="1" x14ac:dyDescent="0.2">
      <c r="B67" s="38"/>
      <c r="C67" s="280" t="str">
        <f>"1:"</f>
        <v>1:</v>
      </c>
      <c r="D67" s="281" t="s">
        <v>919</v>
      </c>
      <c r="E67" s="40"/>
      <c r="F67" s="40"/>
      <c r="G67" s="40"/>
      <c r="H67" s="40"/>
      <c r="I67" s="40"/>
      <c r="J67" s="40"/>
      <c r="K67" s="41"/>
    </row>
    <row r="68" spans="2:14" ht="9.75" customHeight="1" x14ac:dyDescent="0.2">
      <c r="B68" s="38"/>
      <c r="C68" s="280" t="str">
        <f>"2:"</f>
        <v>2:</v>
      </c>
      <c r="D68" s="281" t="s">
        <v>920</v>
      </c>
      <c r="E68" s="40"/>
      <c r="F68" s="40"/>
      <c r="G68" s="40"/>
      <c r="H68" s="40"/>
      <c r="I68" s="40"/>
      <c r="J68" s="40"/>
      <c r="K68" s="41"/>
    </row>
    <row r="69" spans="2:14" ht="9.75" customHeight="1" x14ac:dyDescent="0.2">
      <c r="B69" s="38"/>
      <c r="C69" s="280" t="str">
        <f>"3:"</f>
        <v>3:</v>
      </c>
      <c r="D69" s="281" t="s">
        <v>921</v>
      </c>
      <c r="E69" s="40"/>
      <c r="F69" s="40"/>
      <c r="G69" s="40"/>
      <c r="H69" s="40"/>
      <c r="I69" s="40"/>
      <c r="J69" s="40"/>
      <c r="K69" s="41"/>
    </row>
    <row r="70" spans="2:14" ht="9.75" customHeight="1" x14ac:dyDescent="0.2">
      <c r="B70" s="38"/>
      <c r="C70" s="280" t="str">
        <f>"4:"</f>
        <v>4:</v>
      </c>
      <c r="D70" s="281" t="s">
        <v>922</v>
      </c>
      <c r="E70" s="40"/>
      <c r="F70" s="40"/>
      <c r="G70" s="40"/>
      <c r="H70" s="40"/>
      <c r="I70" s="40"/>
      <c r="J70" s="40"/>
      <c r="K70" s="41"/>
      <c r="N70" s="12" t="s">
        <v>661</v>
      </c>
    </row>
    <row r="71" spans="2:14" x14ac:dyDescent="0.2">
      <c r="B71" s="38"/>
      <c r="C71" s="174" t="s">
        <v>662</v>
      </c>
      <c r="D71" s="40"/>
      <c r="E71" s="40"/>
      <c r="F71" s="40"/>
      <c r="G71" s="40"/>
      <c r="H71" s="40"/>
      <c r="I71" s="40"/>
      <c r="J71" s="265" t="s">
        <v>661</v>
      </c>
      <c r="K71" s="41"/>
      <c r="N71" s="12" t="s">
        <v>894</v>
      </c>
    </row>
    <row r="72" spans="2:14" x14ac:dyDescent="0.2">
      <c r="B72" s="38"/>
      <c r="C72" s="174" t="s">
        <v>660</v>
      </c>
      <c r="D72" s="40"/>
      <c r="E72" s="40"/>
      <c r="F72" s="40"/>
      <c r="G72" s="40"/>
      <c r="H72" s="40"/>
      <c r="I72" s="40"/>
      <c r="J72" s="246" t="str">
        <f>IF(J71=N70,"N/A",IF(J71=N71,0,IF(J71=N72,1,IF(J71=N73,2,IF(J71=N74,3,IF(J71=N75,4,"N/A"))))))</f>
        <v>N/A</v>
      </c>
      <c r="K72" s="41"/>
      <c r="N72" s="12" t="s">
        <v>895</v>
      </c>
    </row>
    <row r="73" spans="2:14" x14ac:dyDescent="0.2">
      <c r="B73" s="38"/>
      <c r="C73" s="40" t="s">
        <v>257</v>
      </c>
      <c r="D73" s="40"/>
      <c r="E73" s="40"/>
      <c r="F73" s="40"/>
      <c r="G73" s="40"/>
      <c r="H73" s="40"/>
      <c r="I73" s="40"/>
      <c r="J73" s="266" t="s">
        <v>874</v>
      </c>
      <c r="K73" s="41"/>
      <c r="N73" s="12" t="s">
        <v>896</v>
      </c>
    </row>
    <row r="74" spans="2:14" x14ac:dyDescent="0.2">
      <c r="B74" s="38"/>
      <c r="C74" s="40" t="s">
        <v>261</v>
      </c>
      <c r="D74" s="40"/>
      <c r="E74" s="40"/>
      <c r="F74" s="40"/>
      <c r="G74" s="40"/>
      <c r="H74" s="40"/>
      <c r="I74" s="40"/>
      <c r="J74" s="245">
        <f>IF(J73=$B$973,$A$973,IF(J73=$B$974,$A$974,IF(J73=$B$975,$A$975,IF(J73=$B$976,$A$976,IF(J73=$B$977,$A$977,"Not Calculated")))))</f>
        <v>4</v>
      </c>
      <c r="K74" s="41"/>
      <c r="N74" s="12" t="s">
        <v>897</v>
      </c>
    </row>
    <row r="75" spans="2:14" x14ac:dyDescent="0.2">
      <c r="B75" s="38"/>
      <c r="C75" s="40" t="s">
        <v>893</v>
      </c>
      <c r="D75" s="40"/>
      <c r="E75" s="40"/>
      <c r="F75" s="40"/>
      <c r="G75" s="40"/>
      <c r="H75" s="40"/>
      <c r="I75" s="40"/>
      <c r="J75" s="175"/>
      <c r="K75" s="41"/>
      <c r="N75" s="12" t="s">
        <v>898</v>
      </c>
    </row>
    <row r="76" spans="2:14" s="178" customFormat="1" ht="30" customHeight="1" x14ac:dyDescent="0.2">
      <c r="B76" s="176"/>
      <c r="C76" s="415" t="s">
        <v>1241</v>
      </c>
      <c r="D76" s="400"/>
      <c r="E76" s="400"/>
      <c r="F76" s="400"/>
      <c r="G76" s="400"/>
      <c r="H76" s="400"/>
      <c r="I76" s="400"/>
      <c r="J76" s="401"/>
      <c r="K76" s="177"/>
    </row>
    <row r="77" spans="2:14" x14ac:dyDescent="0.2">
      <c r="B77" s="38"/>
      <c r="C77" s="40"/>
      <c r="D77" s="40"/>
      <c r="E77" s="40"/>
      <c r="F77" s="40"/>
      <c r="G77" s="40"/>
      <c r="H77" s="40"/>
      <c r="I77" s="40"/>
      <c r="J77" s="40"/>
      <c r="K77" s="41"/>
    </row>
    <row r="78" spans="2:14" x14ac:dyDescent="0.2">
      <c r="B78" s="38"/>
      <c r="C78" s="179" t="s">
        <v>264</v>
      </c>
      <c r="D78" s="40"/>
      <c r="E78" s="40"/>
      <c r="F78" s="40"/>
      <c r="G78" s="40"/>
      <c r="H78" s="40"/>
      <c r="I78" s="40"/>
      <c r="J78" s="245" t="str">
        <f>IF(J72="N/A",IF(OR(J65="Not Calculated",J74="Not Calculated")=TRUE,"Not Calculated",AVERAGE(J65,J74)),AVERAGE(J72,J74))</f>
        <v>Not Calculated</v>
      </c>
      <c r="K78" s="41"/>
    </row>
    <row r="79" spans="2:14" x14ac:dyDescent="0.2">
      <c r="B79" s="38"/>
      <c r="C79" s="40"/>
      <c r="D79" s="40"/>
      <c r="E79" s="40"/>
      <c r="F79" s="40"/>
      <c r="G79" s="40"/>
      <c r="H79" s="40"/>
      <c r="I79" s="40"/>
      <c r="J79" s="40"/>
      <c r="K79" s="41"/>
    </row>
    <row r="80" spans="2:14" x14ac:dyDescent="0.2">
      <c r="B80" s="38"/>
      <c r="C80" s="40"/>
      <c r="D80" s="40"/>
      <c r="E80" s="40"/>
      <c r="F80" s="40"/>
      <c r="G80" s="40"/>
      <c r="H80" s="40"/>
      <c r="I80" s="40"/>
      <c r="J80" s="40"/>
      <c r="K80" s="41"/>
    </row>
    <row r="81" spans="2:14" ht="16" x14ac:dyDescent="0.2">
      <c r="B81" s="38"/>
      <c r="C81" s="45" t="s">
        <v>57</v>
      </c>
      <c r="D81" s="40"/>
      <c r="E81" s="40"/>
      <c r="F81" s="40"/>
      <c r="G81" s="40"/>
      <c r="H81" s="40"/>
      <c r="I81" s="40"/>
      <c r="J81" s="40"/>
      <c r="K81" s="41"/>
    </row>
    <row r="82" spans="2:14" x14ac:dyDescent="0.2">
      <c r="B82" s="38"/>
      <c r="C82" s="40" t="s">
        <v>437</v>
      </c>
      <c r="D82" s="40"/>
      <c r="E82" s="40"/>
      <c r="F82" s="40"/>
      <c r="G82" s="40"/>
      <c r="H82" s="40"/>
      <c r="I82" s="40"/>
      <c r="J82" s="252">
        <f>'Baseline Health'!G29</f>
        <v>0</v>
      </c>
      <c r="K82" s="41"/>
    </row>
    <row r="83" spans="2:14" x14ac:dyDescent="0.2">
      <c r="B83" s="38"/>
      <c r="C83" s="40" t="s">
        <v>290</v>
      </c>
      <c r="D83" s="40"/>
      <c r="E83" s="40"/>
      <c r="F83" s="40"/>
      <c r="G83" s="40"/>
      <c r="H83" s="40"/>
      <c r="I83" s="40"/>
      <c r="J83" s="264">
        <f>'Baseline Health'!$G$6*0.00268</f>
        <v>0</v>
      </c>
      <c r="K83" s="41"/>
    </row>
    <row r="84" spans="2:14" x14ac:dyDescent="0.2">
      <c r="B84" s="38"/>
      <c r="C84" s="40" t="s">
        <v>260</v>
      </c>
      <c r="D84" s="40"/>
      <c r="E84" s="40"/>
      <c r="F84" s="40"/>
      <c r="G84" s="40"/>
      <c r="H84" s="40"/>
      <c r="I84" s="40"/>
      <c r="J84" s="248" t="str">
        <f>IF(OR(J82=0,J82="Not Calculated")=TRUE,"Not Calculated",(IF(((J83+J82)/J82)&lt;=1,0,IF(((J83+J82)/J82)&lt;=1.05,1,IF(((J83+J82)/J82)&lt;=1.5, 2,IF(((J83+J82)/J82)&lt;=2,3,4))))))</f>
        <v>Not Calculated</v>
      </c>
      <c r="K84" s="41"/>
    </row>
    <row r="85" spans="2:14" ht="9.75" customHeight="1" x14ac:dyDescent="0.2">
      <c r="B85" s="38"/>
      <c r="C85" s="279" t="str">
        <f>"0:"</f>
        <v>0:</v>
      </c>
      <c r="D85" s="281" t="s">
        <v>918</v>
      </c>
      <c r="E85" s="40"/>
      <c r="F85" s="40"/>
      <c r="G85" s="40"/>
      <c r="H85" s="40"/>
      <c r="I85" s="40"/>
      <c r="J85" s="40"/>
      <c r="K85" s="41"/>
    </row>
    <row r="86" spans="2:14" ht="9.75" customHeight="1" x14ac:dyDescent="0.2">
      <c r="B86" s="38"/>
      <c r="C86" s="280" t="str">
        <f>"1:"</f>
        <v>1:</v>
      </c>
      <c r="D86" s="281" t="s">
        <v>919</v>
      </c>
      <c r="E86" s="40"/>
      <c r="F86" s="40"/>
      <c r="G86" s="40"/>
      <c r="H86" s="40"/>
      <c r="I86" s="40"/>
      <c r="J86" s="40"/>
      <c r="K86" s="41"/>
    </row>
    <row r="87" spans="2:14" ht="9.75" customHeight="1" x14ac:dyDescent="0.2">
      <c r="B87" s="38"/>
      <c r="C87" s="280" t="str">
        <f>"2:"</f>
        <v>2:</v>
      </c>
      <c r="D87" s="281" t="s">
        <v>920</v>
      </c>
      <c r="E87" s="40"/>
      <c r="F87" s="40"/>
      <c r="G87" s="40"/>
      <c r="H87" s="40"/>
      <c r="I87" s="40"/>
      <c r="J87" s="40"/>
      <c r="K87" s="41"/>
    </row>
    <row r="88" spans="2:14" ht="9.75" customHeight="1" x14ac:dyDescent="0.2">
      <c r="B88" s="38"/>
      <c r="C88" s="280" t="str">
        <f>"3:"</f>
        <v>3:</v>
      </c>
      <c r="D88" s="281" t="s">
        <v>921</v>
      </c>
      <c r="E88" s="40"/>
      <c r="F88" s="40"/>
      <c r="G88" s="40"/>
      <c r="H88" s="40"/>
      <c r="I88" s="40"/>
      <c r="J88" s="40"/>
      <c r="K88" s="41"/>
    </row>
    <row r="89" spans="2:14" ht="9.75" customHeight="1" x14ac:dyDescent="0.2">
      <c r="B89" s="38"/>
      <c r="C89" s="280" t="str">
        <f>"4:"</f>
        <v>4:</v>
      </c>
      <c r="D89" s="281" t="s">
        <v>922</v>
      </c>
      <c r="E89" s="40"/>
      <c r="F89" s="40"/>
      <c r="G89" s="40"/>
      <c r="H89" s="40"/>
      <c r="I89" s="40"/>
      <c r="J89" s="40"/>
      <c r="K89" s="41"/>
      <c r="N89" s="12" t="s">
        <v>661</v>
      </c>
    </row>
    <row r="90" spans="2:14" x14ac:dyDescent="0.2">
      <c r="B90" s="38"/>
      <c r="C90" s="174" t="s">
        <v>662</v>
      </c>
      <c r="D90" s="40"/>
      <c r="E90" s="40"/>
      <c r="F90" s="40"/>
      <c r="G90" s="40"/>
      <c r="H90" s="40"/>
      <c r="I90" s="40"/>
      <c r="J90" s="265" t="s">
        <v>661</v>
      </c>
      <c r="K90" s="41"/>
      <c r="N90" s="12" t="s">
        <v>894</v>
      </c>
    </row>
    <row r="91" spans="2:14" x14ac:dyDescent="0.2">
      <c r="B91" s="38"/>
      <c r="C91" s="174" t="s">
        <v>660</v>
      </c>
      <c r="D91" s="40"/>
      <c r="E91" s="40"/>
      <c r="F91" s="40"/>
      <c r="G91" s="40"/>
      <c r="H91" s="40"/>
      <c r="I91" s="40"/>
      <c r="J91" s="246" t="str">
        <f>IF(J90=N89,"N/A",IF(J90=N90,0,IF(J90=N91,1,IF(J90=N92,2,IF(J90=N93,3,IF(J90=N94,4,"N/A"))))))</f>
        <v>N/A</v>
      </c>
      <c r="K91" s="41"/>
      <c r="N91" s="12" t="s">
        <v>895</v>
      </c>
    </row>
    <row r="92" spans="2:14" x14ac:dyDescent="0.2">
      <c r="B92" s="38"/>
      <c r="C92" s="40" t="s">
        <v>257</v>
      </c>
      <c r="D92" s="40"/>
      <c r="E92" s="40"/>
      <c r="F92" s="40"/>
      <c r="G92" s="40"/>
      <c r="H92" s="40"/>
      <c r="I92" s="40"/>
      <c r="J92" s="266" t="s">
        <v>874</v>
      </c>
      <c r="K92" s="41"/>
      <c r="N92" s="12" t="s">
        <v>896</v>
      </c>
    </row>
    <row r="93" spans="2:14" x14ac:dyDescent="0.2">
      <c r="B93" s="38"/>
      <c r="C93" s="40" t="s">
        <v>261</v>
      </c>
      <c r="D93" s="40"/>
      <c r="E93" s="40"/>
      <c r="F93" s="40"/>
      <c r="G93" s="40"/>
      <c r="H93" s="40"/>
      <c r="I93" s="40"/>
      <c r="J93" s="245">
        <f>IF(J92=$B$973,$A$973,IF(J92=$B$974,$A$974,IF(J92=$B$975,$A$975,IF(J92=$B$976,$A$976,IF(J92=$B$977,$A$977,"Not Calculated")))))</f>
        <v>4</v>
      </c>
      <c r="K93" s="41"/>
      <c r="N93" s="12" t="s">
        <v>897</v>
      </c>
    </row>
    <row r="94" spans="2:14" x14ac:dyDescent="0.2">
      <c r="B94" s="38"/>
      <c r="C94" s="40" t="s">
        <v>893</v>
      </c>
      <c r="D94" s="40"/>
      <c r="E94" s="40"/>
      <c r="F94" s="40"/>
      <c r="G94" s="40"/>
      <c r="H94" s="40"/>
      <c r="I94" s="40"/>
      <c r="J94" s="175"/>
      <c r="K94" s="41"/>
      <c r="N94" s="12" t="s">
        <v>898</v>
      </c>
    </row>
    <row r="95" spans="2:14" s="178" customFormat="1" ht="50" customHeight="1" x14ac:dyDescent="0.2">
      <c r="B95" s="176"/>
      <c r="C95" s="415" t="s">
        <v>1337</v>
      </c>
      <c r="D95" s="400"/>
      <c r="E95" s="400"/>
      <c r="F95" s="400"/>
      <c r="G95" s="400"/>
      <c r="H95" s="400"/>
      <c r="I95" s="400"/>
      <c r="J95" s="401"/>
      <c r="K95" s="177"/>
    </row>
    <row r="96" spans="2:14" x14ac:dyDescent="0.2">
      <c r="B96" s="38"/>
      <c r="C96" s="40"/>
      <c r="D96" s="40"/>
      <c r="E96" s="40"/>
      <c r="F96" s="40"/>
      <c r="G96" s="40"/>
      <c r="H96" s="40"/>
      <c r="I96" s="40"/>
      <c r="J96" s="40"/>
      <c r="K96" s="41"/>
    </row>
    <row r="97" spans="2:14" x14ac:dyDescent="0.2">
      <c r="B97" s="38"/>
      <c r="C97" s="179" t="s">
        <v>265</v>
      </c>
      <c r="D97" s="40"/>
      <c r="E97" s="40"/>
      <c r="F97" s="40"/>
      <c r="G97" s="40"/>
      <c r="H97" s="40"/>
      <c r="I97" s="40"/>
      <c r="J97" s="245" t="str">
        <f>IF(J91="N/A",IF(OR(J84="Not Calculated",J93="Not Calculated")=TRUE,"Not Calculated",AVERAGE(J84,J93)),AVERAGE(J91,J93))</f>
        <v>Not Calculated</v>
      </c>
      <c r="K97" s="41"/>
    </row>
    <row r="98" spans="2:14" x14ac:dyDescent="0.2">
      <c r="B98" s="38"/>
      <c r="C98" s="40"/>
      <c r="D98" s="40"/>
      <c r="E98" s="40"/>
      <c r="F98" s="40"/>
      <c r="G98" s="40"/>
      <c r="H98" s="40"/>
      <c r="I98" s="40"/>
      <c r="J98" s="40"/>
      <c r="K98" s="41"/>
    </row>
    <row r="99" spans="2:14" x14ac:dyDescent="0.2">
      <c r="B99" s="38"/>
      <c r="C99" s="40"/>
      <c r="D99" s="40"/>
      <c r="E99" s="40"/>
      <c r="F99" s="40"/>
      <c r="G99" s="40"/>
      <c r="H99" s="40"/>
      <c r="I99" s="40"/>
      <c r="J99" s="40"/>
      <c r="K99" s="41"/>
    </row>
    <row r="100" spans="2:14" ht="16" x14ac:dyDescent="0.2">
      <c r="B100" s="38"/>
      <c r="C100" s="45" t="s">
        <v>60</v>
      </c>
      <c r="D100" s="40"/>
      <c r="E100" s="40"/>
      <c r="F100" s="40"/>
      <c r="G100" s="40"/>
      <c r="H100" s="40"/>
      <c r="I100" s="40"/>
      <c r="J100" s="40"/>
      <c r="K100" s="41"/>
    </row>
    <row r="101" spans="2:14" x14ac:dyDescent="0.2">
      <c r="B101" s="38"/>
      <c r="C101" s="40" t="s">
        <v>438</v>
      </c>
      <c r="D101" s="40"/>
      <c r="E101" s="40"/>
      <c r="F101" s="40"/>
      <c r="G101" s="40"/>
      <c r="H101" s="40"/>
      <c r="I101" s="40"/>
      <c r="J101" s="252">
        <f>'Baseline Health'!G35</f>
        <v>0</v>
      </c>
      <c r="K101" s="41"/>
    </row>
    <row r="102" spans="2:14" x14ac:dyDescent="0.2">
      <c r="B102" s="38"/>
      <c r="C102" s="40" t="s">
        <v>291</v>
      </c>
      <c r="D102" s="40"/>
      <c r="E102" s="40"/>
      <c r="F102" s="40"/>
      <c r="G102" s="40"/>
      <c r="H102" s="40"/>
      <c r="I102" s="40"/>
      <c r="J102" s="264">
        <v>0</v>
      </c>
      <c r="K102" s="41"/>
    </row>
    <row r="103" spans="2:14" x14ac:dyDescent="0.2">
      <c r="B103" s="38"/>
      <c r="C103" s="40" t="s">
        <v>260</v>
      </c>
      <c r="D103" s="40"/>
      <c r="E103" s="40"/>
      <c r="F103" s="40"/>
      <c r="G103" s="40"/>
      <c r="H103" s="40"/>
      <c r="I103" s="40"/>
      <c r="J103" s="248" t="str">
        <f>IF(OR(J101=0,J101="Not Calculated")=TRUE,"Not Calculated",(IF(((J102+J101)/J101)&lt;=1,0,IF(((J102+J101)/J101)&lt;=1.05,1,IF(((J102+J101)/J101)&lt;=1.5, 2,IF(((J102+J101)/J101)&lt;=2,3,4))))))</f>
        <v>Not Calculated</v>
      </c>
      <c r="K103" s="41"/>
    </row>
    <row r="104" spans="2:14" ht="9.75" customHeight="1" x14ac:dyDescent="0.2">
      <c r="B104" s="38"/>
      <c r="C104" s="279" t="str">
        <f>"0:"</f>
        <v>0:</v>
      </c>
      <c r="D104" s="281" t="s">
        <v>918</v>
      </c>
      <c r="E104" s="40"/>
      <c r="F104" s="40"/>
      <c r="G104" s="40"/>
      <c r="H104" s="40"/>
      <c r="I104" s="40"/>
      <c r="J104" s="40"/>
      <c r="K104" s="41"/>
    </row>
    <row r="105" spans="2:14" ht="9.75" customHeight="1" x14ac:dyDescent="0.2">
      <c r="B105" s="38"/>
      <c r="C105" s="280" t="str">
        <f>"1:"</f>
        <v>1:</v>
      </c>
      <c r="D105" s="281" t="s">
        <v>919</v>
      </c>
      <c r="E105" s="40"/>
      <c r="F105" s="40"/>
      <c r="G105" s="40"/>
      <c r="H105" s="40"/>
      <c r="I105" s="40"/>
      <c r="J105" s="40"/>
      <c r="K105" s="41"/>
    </row>
    <row r="106" spans="2:14" ht="9.75" customHeight="1" x14ac:dyDescent="0.2">
      <c r="B106" s="38"/>
      <c r="C106" s="280" t="str">
        <f>"2:"</f>
        <v>2:</v>
      </c>
      <c r="D106" s="281" t="s">
        <v>920</v>
      </c>
      <c r="E106" s="40"/>
      <c r="F106" s="40"/>
      <c r="G106" s="40"/>
      <c r="H106" s="40"/>
      <c r="I106" s="40"/>
      <c r="J106" s="40"/>
      <c r="K106" s="41"/>
    </row>
    <row r="107" spans="2:14" ht="9.75" customHeight="1" x14ac:dyDescent="0.2">
      <c r="B107" s="38"/>
      <c r="C107" s="280" t="str">
        <f>"3:"</f>
        <v>3:</v>
      </c>
      <c r="D107" s="281" t="s">
        <v>921</v>
      </c>
      <c r="E107" s="40"/>
      <c r="F107" s="40"/>
      <c r="G107" s="40"/>
      <c r="H107" s="40"/>
      <c r="I107" s="40"/>
      <c r="J107" s="40"/>
      <c r="K107" s="41"/>
    </row>
    <row r="108" spans="2:14" ht="9.75" customHeight="1" x14ac:dyDescent="0.2">
      <c r="B108" s="38"/>
      <c r="C108" s="280" t="str">
        <f>"4:"</f>
        <v>4:</v>
      </c>
      <c r="D108" s="281" t="s">
        <v>922</v>
      </c>
      <c r="E108" s="40"/>
      <c r="F108" s="40"/>
      <c r="G108" s="40"/>
      <c r="H108" s="40"/>
      <c r="I108" s="40"/>
      <c r="J108" s="40"/>
      <c r="K108" s="41"/>
      <c r="N108" s="12" t="s">
        <v>661</v>
      </c>
    </row>
    <row r="109" spans="2:14" x14ac:dyDescent="0.2">
      <c r="B109" s="38"/>
      <c r="C109" s="174" t="s">
        <v>662</v>
      </c>
      <c r="D109" s="40"/>
      <c r="E109" s="40"/>
      <c r="F109" s="40"/>
      <c r="G109" s="40"/>
      <c r="H109" s="40"/>
      <c r="I109" s="40"/>
      <c r="J109" s="265" t="s">
        <v>661</v>
      </c>
      <c r="K109" s="41"/>
      <c r="N109" s="12" t="s">
        <v>894</v>
      </c>
    </row>
    <row r="110" spans="2:14" x14ac:dyDescent="0.2">
      <c r="B110" s="38"/>
      <c r="C110" s="174" t="s">
        <v>660</v>
      </c>
      <c r="D110" s="40"/>
      <c r="E110" s="40"/>
      <c r="F110" s="40"/>
      <c r="G110" s="40"/>
      <c r="H110" s="40"/>
      <c r="I110" s="40"/>
      <c r="J110" s="246" t="str">
        <f>IF(J109=N108,"N/A",IF(J109=N109,0,IF(J109=N110,1,IF(J109=N111,2,IF(J109=N112,3,IF(J109=N113,4,"N/A"))))))</f>
        <v>N/A</v>
      </c>
      <c r="K110" s="41"/>
      <c r="N110" s="12" t="s">
        <v>895</v>
      </c>
    </row>
    <row r="111" spans="2:14" x14ac:dyDescent="0.2">
      <c r="B111" s="38"/>
      <c r="C111" s="40" t="s">
        <v>257</v>
      </c>
      <c r="D111" s="40"/>
      <c r="E111" s="40"/>
      <c r="F111" s="40"/>
      <c r="G111" s="40"/>
      <c r="H111" s="40"/>
      <c r="I111" s="40"/>
      <c r="J111" s="266" t="s">
        <v>870</v>
      </c>
      <c r="K111" s="41"/>
      <c r="N111" s="12" t="s">
        <v>896</v>
      </c>
    </row>
    <row r="112" spans="2:14" x14ac:dyDescent="0.2">
      <c r="B112" s="38"/>
      <c r="C112" s="40" t="s">
        <v>261</v>
      </c>
      <c r="D112" s="40"/>
      <c r="E112" s="40"/>
      <c r="F112" s="40"/>
      <c r="G112" s="40"/>
      <c r="H112" s="40"/>
      <c r="I112" s="40"/>
      <c r="J112" s="245">
        <f>IF(J111=$B$973,$A$973,IF(J111=$B$974,$A$974,IF(J111=$B$975,$A$975,IF(J111=$B$976,$A$976,IF(J111=$B$977,$A$977,"Not Calculated")))))</f>
        <v>0</v>
      </c>
      <c r="K112" s="41"/>
      <c r="N112" s="12" t="s">
        <v>897</v>
      </c>
    </row>
    <row r="113" spans="2:14" x14ac:dyDescent="0.2">
      <c r="B113" s="38"/>
      <c r="C113" s="40" t="s">
        <v>893</v>
      </c>
      <c r="D113" s="40"/>
      <c r="E113" s="40"/>
      <c r="F113" s="40"/>
      <c r="G113" s="40"/>
      <c r="H113" s="40"/>
      <c r="I113" s="40"/>
      <c r="J113" s="175"/>
      <c r="K113" s="41"/>
      <c r="N113" s="12" t="s">
        <v>898</v>
      </c>
    </row>
    <row r="114" spans="2:14" s="178" customFormat="1" ht="30" customHeight="1" x14ac:dyDescent="0.2">
      <c r="B114" s="176"/>
      <c r="C114" s="415"/>
      <c r="D114" s="400"/>
      <c r="E114" s="400"/>
      <c r="F114" s="400"/>
      <c r="G114" s="400"/>
      <c r="H114" s="400"/>
      <c r="I114" s="400"/>
      <c r="J114" s="400"/>
      <c r="K114" s="177"/>
    </row>
    <row r="115" spans="2:14" x14ac:dyDescent="0.2">
      <c r="B115" s="38"/>
      <c r="C115" s="40"/>
      <c r="D115" s="40"/>
      <c r="E115" s="40"/>
      <c r="F115" s="40"/>
      <c r="G115" s="40"/>
      <c r="H115" s="40"/>
      <c r="I115" s="40"/>
      <c r="J115" s="40"/>
      <c r="K115" s="41"/>
    </row>
    <row r="116" spans="2:14" x14ac:dyDescent="0.2">
      <c r="B116" s="38"/>
      <c r="C116" s="179" t="s">
        <v>266</v>
      </c>
      <c r="D116" s="40"/>
      <c r="E116" s="40"/>
      <c r="F116" s="40"/>
      <c r="G116" s="40"/>
      <c r="H116" s="40"/>
      <c r="I116" s="40"/>
      <c r="J116" s="245" t="str">
        <f>IF(J110="N/A",IF(OR(J103="Not Calculated",J112="Not Calculated")=TRUE,"Not Calculated",AVERAGE(J103,J112)),AVERAGE(J110,J112))</f>
        <v>Not Calculated</v>
      </c>
      <c r="K116" s="41"/>
    </row>
    <row r="117" spans="2:14" x14ac:dyDescent="0.2">
      <c r="B117" s="38"/>
      <c r="C117" s="40"/>
      <c r="D117" s="40"/>
      <c r="E117" s="40"/>
      <c r="F117" s="40"/>
      <c r="G117" s="40"/>
      <c r="H117" s="40"/>
      <c r="I117" s="40"/>
      <c r="J117" s="40"/>
      <c r="K117" s="41"/>
    </row>
    <row r="118" spans="2:14" x14ac:dyDescent="0.2">
      <c r="B118" s="38"/>
      <c r="C118" s="40"/>
      <c r="D118" s="40"/>
      <c r="E118" s="40"/>
      <c r="F118" s="40"/>
      <c r="G118" s="40"/>
      <c r="H118" s="40"/>
      <c r="I118" s="40"/>
      <c r="J118" s="40"/>
      <c r="K118" s="41"/>
    </row>
    <row r="119" spans="2:14" ht="16" x14ac:dyDescent="0.2">
      <c r="B119" s="38"/>
      <c r="C119" s="45" t="s">
        <v>262</v>
      </c>
      <c r="D119" s="40"/>
      <c r="E119" s="40"/>
      <c r="F119" s="40"/>
      <c r="G119" s="40"/>
      <c r="H119" s="40"/>
      <c r="I119" s="40"/>
      <c r="J119" s="40"/>
      <c r="K119" s="41"/>
    </row>
    <row r="120" spans="2:14" ht="15" customHeight="1" x14ac:dyDescent="0.2">
      <c r="B120" s="38"/>
      <c r="C120" s="422" t="s">
        <v>268</v>
      </c>
      <c r="D120" s="422"/>
      <c r="E120" s="422"/>
      <c r="F120" s="422"/>
      <c r="G120" s="422"/>
      <c r="H120" s="422"/>
      <c r="I120" s="422"/>
      <c r="J120" s="422"/>
      <c r="K120" s="41"/>
    </row>
    <row r="121" spans="2:14" x14ac:dyDescent="0.2">
      <c r="B121" s="38"/>
      <c r="C121" s="422"/>
      <c r="D121" s="422"/>
      <c r="E121" s="422"/>
      <c r="F121" s="422"/>
      <c r="G121" s="422"/>
      <c r="H121" s="422"/>
      <c r="I121" s="422"/>
      <c r="J121" s="422"/>
      <c r="K121" s="41"/>
    </row>
    <row r="122" spans="2:14" x14ac:dyDescent="0.2">
      <c r="B122" s="38"/>
      <c r="C122" s="423"/>
      <c r="D122" s="423"/>
      <c r="E122" s="423"/>
      <c r="F122" s="423"/>
      <c r="G122" s="423"/>
      <c r="H122" s="423"/>
      <c r="I122" s="423"/>
      <c r="J122" s="423"/>
      <c r="K122" s="41"/>
    </row>
    <row r="123" spans="2:14" ht="15" customHeight="1" x14ac:dyDescent="0.2">
      <c r="B123" s="38"/>
      <c r="C123" s="416" t="s">
        <v>229</v>
      </c>
      <c r="D123" s="417"/>
      <c r="E123" s="417"/>
      <c r="F123" s="417"/>
      <c r="G123" s="417"/>
      <c r="H123" s="417"/>
      <c r="I123" s="417"/>
      <c r="J123" s="418"/>
      <c r="K123" s="41"/>
    </row>
    <row r="124" spans="2:14" x14ac:dyDescent="0.2">
      <c r="B124" s="38"/>
      <c r="C124" s="419"/>
      <c r="D124" s="420"/>
      <c r="E124" s="420"/>
      <c r="F124" s="420"/>
      <c r="G124" s="420"/>
      <c r="H124" s="420"/>
      <c r="I124" s="420"/>
      <c r="J124" s="421"/>
      <c r="K124" s="41"/>
    </row>
    <row r="125" spans="2:14" ht="15" customHeight="1" x14ac:dyDescent="0.2">
      <c r="B125" s="38"/>
      <c r="C125" s="40" t="s">
        <v>260</v>
      </c>
      <c r="D125" s="40"/>
      <c r="E125" s="40"/>
      <c r="F125" s="40"/>
      <c r="G125" s="40"/>
      <c r="H125" s="40"/>
      <c r="I125" s="40"/>
      <c r="J125" s="247">
        <f>IF(C123=B987,A987,IF(C123=B988,A988,IF(C123=B989,A989,IF(C123=B990,A990,IF(C123=B991,A991,"Not Calculated")))))</f>
        <v>3</v>
      </c>
      <c r="K125" s="41"/>
    </row>
    <row r="126" spans="2:14" ht="15" customHeight="1" x14ac:dyDescent="0.2">
      <c r="B126" s="38"/>
      <c r="C126" s="40" t="s">
        <v>257</v>
      </c>
      <c r="D126" s="40"/>
      <c r="E126" s="40"/>
      <c r="F126" s="40"/>
      <c r="G126" s="40"/>
      <c r="H126" s="40"/>
      <c r="I126" s="40"/>
      <c r="J126" s="266" t="s">
        <v>874</v>
      </c>
      <c r="K126" s="41"/>
    </row>
    <row r="127" spans="2:14" x14ac:dyDescent="0.2">
      <c r="B127" s="38"/>
      <c r="C127" s="40" t="s">
        <v>261</v>
      </c>
      <c r="D127" s="40"/>
      <c r="E127" s="40"/>
      <c r="F127" s="40"/>
      <c r="G127" s="40"/>
      <c r="H127" s="40"/>
      <c r="I127" s="40"/>
      <c r="J127" s="245">
        <f>IF(J126=$B$973,$A$973,IF(J126=$B$974,$A$974,IF(J126=$B$975,$A$975,IF(J126=$B$976,$A$976,IF(J126=$B$977,$A$977,"Not Calculated")))))</f>
        <v>4</v>
      </c>
      <c r="K127" s="41"/>
    </row>
    <row r="128" spans="2:14" ht="15" customHeight="1" x14ac:dyDescent="0.2">
      <c r="B128" s="38"/>
      <c r="C128" s="40" t="s">
        <v>893</v>
      </c>
      <c r="D128" s="40"/>
      <c r="E128" s="40"/>
      <c r="F128" s="40"/>
      <c r="G128" s="40"/>
      <c r="H128" s="40"/>
      <c r="I128" s="40"/>
      <c r="J128" s="175"/>
      <c r="K128" s="41"/>
    </row>
    <row r="129" spans="2:12" s="178" customFormat="1" ht="45" customHeight="1" x14ac:dyDescent="0.2">
      <c r="B129" s="176"/>
      <c r="C129" s="415" t="s">
        <v>527</v>
      </c>
      <c r="D129" s="400"/>
      <c r="E129" s="400"/>
      <c r="F129" s="400"/>
      <c r="G129" s="400"/>
      <c r="H129" s="400"/>
      <c r="I129" s="400"/>
      <c r="J129" s="401"/>
      <c r="K129" s="177"/>
    </row>
    <row r="130" spans="2:12" x14ac:dyDescent="0.2">
      <c r="B130" s="38"/>
      <c r="C130" s="40"/>
      <c r="D130" s="40"/>
      <c r="E130" s="40"/>
      <c r="F130" s="40"/>
      <c r="G130" s="40"/>
      <c r="H130" s="40"/>
      <c r="I130" s="40"/>
      <c r="J130" s="40"/>
      <c r="K130" s="41"/>
    </row>
    <row r="131" spans="2:12" x14ac:dyDescent="0.2">
      <c r="B131" s="38"/>
      <c r="C131" s="179" t="s">
        <v>267</v>
      </c>
      <c r="D131" s="40"/>
      <c r="E131" s="40"/>
      <c r="F131" s="40"/>
      <c r="G131" s="40"/>
      <c r="H131" s="40"/>
      <c r="I131" s="40"/>
      <c r="J131" s="245">
        <f>IF(OR(J125="Not Calculated",J127="Not Calculated")=TRUE,"Not Calculated",AVERAGE(J125,J127))</f>
        <v>3.5</v>
      </c>
      <c r="K131" s="41"/>
    </row>
    <row r="132" spans="2:12" x14ac:dyDescent="0.2">
      <c r="B132" s="38"/>
      <c r="C132" s="179"/>
      <c r="D132" s="40"/>
      <c r="E132" s="40"/>
      <c r="F132" s="40"/>
      <c r="G132" s="40"/>
      <c r="H132" s="40"/>
      <c r="I132" s="40"/>
      <c r="J132" s="245"/>
      <c r="K132" s="41"/>
    </row>
    <row r="133" spans="2:12" ht="18" x14ac:dyDescent="0.2">
      <c r="B133" s="38"/>
      <c r="C133" s="180" t="s">
        <v>269</v>
      </c>
      <c r="D133" s="40"/>
      <c r="E133" s="40"/>
      <c r="F133" s="40"/>
      <c r="G133" s="40"/>
      <c r="H133" s="40"/>
      <c r="I133" s="40"/>
      <c r="J133" s="244" t="str">
        <f>IF(OR(J40="Not Calculated",J59="Not Calculated",J78="Not Calculated",J97="Not Calculated",J116="Not Calculated",J131="Not Calculated",)=TRUE,"Not Calculated",AVERAGE(J40,J59,J78,J97,J116,J131))</f>
        <v>Not Calculated</v>
      </c>
      <c r="K133" s="41"/>
    </row>
    <row r="134" spans="2:12" ht="16" thickBot="1" x14ac:dyDescent="0.25">
      <c r="B134" s="46"/>
      <c r="C134" s="47"/>
      <c r="D134" s="47"/>
      <c r="E134" s="47"/>
      <c r="F134" s="47"/>
      <c r="G134" s="47"/>
      <c r="H134" s="47"/>
      <c r="I134" s="47"/>
      <c r="J134" s="47"/>
      <c r="K134" s="49"/>
    </row>
    <row r="135" spans="2:12" ht="16" thickBot="1" x14ac:dyDescent="0.25"/>
    <row r="136" spans="2:12" x14ac:dyDescent="0.2">
      <c r="B136" s="33"/>
      <c r="C136" s="34"/>
      <c r="D136" s="34"/>
      <c r="E136" s="34"/>
      <c r="F136" s="34"/>
      <c r="G136" s="34"/>
      <c r="H136" s="34"/>
      <c r="I136" s="34"/>
      <c r="J136" s="34"/>
      <c r="K136" s="37"/>
    </row>
    <row r="137" spans="2:12" ht="21" x14ac:dyDescent="0.25">
      <c r="B137" s="38"/>
      <c r="C137" s="171"/>
      <c r="D137" s="40"/>
      <c r="E137" s="40"/>
      <c r="F137" s="40"/>
      <c r="G137" s="172" t="s">
        <v>27</v>
      </c>
      <c r="H137" s="40"/>
      <c r="I137" s="40"/>
      <c r="J137" s="40"/>
      <c r="K137" s="41"/>
    </row>
    <row r="138" spans="2:12" x14ac:dyDescent="0.2">
      <c r="B138" s="38"/>
      <c r="C138" s="40"/>
      <c r="D138" s="40"/>
      <c r="E138" s="40"/>
      <c r="F138" s="40"/>
      <c r="G138" s="40"/>
      <c r="H138" s="40"/>
      <c r="I138" s="40"/>
      <c r="J138" s="40"/>
      <c r="K138" s="41"/>
    </row>
    <row r="139" spans="2:12" ht="16" x14ac:dyDescent="0.2">
      <c r="B139" s="38"/>
      <c r="C139" s="45" t="s">
        <v>72</v>
      </c>
      <c r="D139" s="40"/>
      <c r="E139" s="40"/>
      <c r="F139" s="40"/>
      <c r="G139" s="40"/>
      <c r="H139" s="40"/>
      <c r="I139" s="40"/>
      <c r="J139" s="40"/>
      <c r="K139" s="41"/>
    </row>
    <row r="140" spans="2:12" x14ac:dyDescent="0.2">
      <c r="B140" s="38"/>
      <c r="C140" s="40" t="s">
        <v>440</v>
      </c>
      <c r="D140" s="40"/>
      <c r="E140" s="40"/>
      <c r="F140" s="40"/>
      <c r="G140" s="40"/>
      <c r="H140" s="40"/>
      <c r="I140" s="40"/>
      <c r="J140" s="252">
        <f>'Baseline Health'!G45</f>
        <v>0</v>
      </c>
      <c r="K140" s="41"/>
    </row>
    <row r="141" spans="2:12" x14ac:dyDescent="0.2">
      <c r="B141" s="38"/>
      <c r="C141" s="40" t="s">
        <v>270</v>
      </c>
      <c r="D141" s="40"/>
      <c r="E141" s="40"/>
      <c r="F141" s="40"/>
      <c r="G141" s="40"/>
      <c r="H141" s="40"/>
      <c r="I141" s="40"/>
      <c r="J141" s="264">
        <f>J140*0.4</f>
        <v>0</v>
      </c>
      <c r="K141" s="41"/>
      <c r="L141" s="12" t="s">
        <v>1174</v>
      </c>
    </row>
    <row r="142" spans="2:12" x14ac:dyDescent="0.2">
      <c r="B142" s="38"/>
      <c r="C142" s="40" t="s">
        <v>439</v>
      </c>
      <c r="D142" s="40"/>
      <c r="E142" s="40"/>
      <c r="F142" s="40"/>
      <c r="G142" s="40"/>
      <c r="H142" s="40"/>
      <c r="I142" s="40"/>
      <c r="J142" s="251">
        <f>J83/20</f>
        <v>0</v>
      </c>
      <c r="K142" s="41"/>
    </row>
    <row r="143" spans="2:12" x14ac:dyDescent="0.2">
      <c r="B143" s="38"/>
      <c r="C143" s="40"/>
      <c r="D143" s="40" t="s">
        <v>351</v>
      </c>
      <c r="E143" s="40"/>
      <c r="F143" s="40"/>
      <c r="G143" s="40"/>
      <c r="H143" s="40"/>
      <c r="I143" s="40"/>
      <c r="J143" s="40"/>
      <c r="K143" s="41"/>
    </row>
    <row r="144" spans="2:12" x14ac:dyDescent="0.2">
      <c r="B144" s="38"/>
      <c r="C144" s="40" t="s">
        <v>260</v>
      </c>
      <c r="D144" s="40"/>
      <c r="E144" s="40"/>
      <c r="F144" s="40"/>
      <c r="G144" s="40"/>
      <c r="H144" s="40"/>
      <c r="I144" s="40"/>
      <c r="J144" s="245" t="str">
        <f>IF(OR(J140=0,J140="Not Calculated")=TRUE,"Not Calculated",IF((J140-J141)&lt;=0,4,IF(((J140+J142)/(J140-J141))&lt;=1,0,IF(((J140+J142)/(J140-J141))&lt;=1.05,1,IF(((J140+J142)/(J140-J141))&lt;=1.5, 2,IF(((J140+J142)/(J140-J141))&lt;=2,3,4))))))</f>
        <v>Not Calculated</v>
      </c>
      <c r="K144" s="41"/>
    </row>
    <row r="145" spans="2:14" ht="9.75" customHeight="1" x14ac:dyDescent="0.2">
      <c r="B145" s="38"/>
      <c r="C145" s="279" t="str">
        <f>"0:"</f>
        <v>0:</v>
      </c>
      <c r="D145" s="278" t="s">
        <v>918</v>
      </c>
      <c r="E145" s="40"/>
      <c r="F145" s="40"/>
      <c r="G145" s="40"/>
      <c r="H145" s="40"/>
      <c r="I145" s="40"/>
      <c r="J145" s="40"/>
      <c r="K145" s="41"/>
    </row>
    <row r="146" spans="2:14" ht="9.75" customHeight="1" x14ac:dyDescent="0.2">
      <c r="B146" s="38"/>
      <c r="C146" s="280" t="str">
        <f>"1:"</f>
        <v>1:</v>
      </c>
      <c r="D146" s="278" t="s">
        <v>923</v>
      </c>
      <c r="E146" s="40"/>
      <c r="F146" s="40"/>
      <c r="G146" s="40"/>
      <c r="H146" s="40"/>
      <c r="I146" s="40"/>
      <c r="J146" s="40"/>
      <c r="K146" s="41"/>
    </row>
    <row r="147" spans="2:14" ht="9.75" customHeight="1" x14ac:dyDescent="0.2">
      <c r="B147" s="38"/>
      <c r="C147" s="280" t="str">
        <f>"2:"</f>
        <v>2:</v>
      </c>
      <c r="D147" s="278" t="s">
        <v>924</v>
      </c>
      <c r="E147" s="40"/>
      <c r="F147" s="40"/>
      <c r="G147" s="40"/>
      <c r="H147" s="40"/>
      <c r="I147" s="40"/>
      <c r="J147" s="40"/>
      <c r="K147" s="41"/>
    </row>
    <row r="148" spans="2:14" ht="9.75" customHeight="1" x14ac:dyDescent="0.2">
      <c r="B148" s="38"/>
      <c r="C148" s="280" t="str">
        <f>"3:"</f>
        <v>3:</v>
      </c>
      <c r="D148" s="278" t="s">
        <v>925</v>
      </c>
      <c r="E148" s="40"/>
      <c r="F148" s="40"/>
      <c r="G148" s="40"/>
      <c r="H148" s="40"/>
      <c r="I148" s="40"/>
      <c r="J148" s="40"/>
      <c r="K148" s="41"/>
    </row>
    <row r="149" spans="2:14" ht="9.75" customHeight="1" x14ac:dyDescent="0.2">
      <c r="B149" s="38"/>
      <c r="C149" s="280" t="str">
        <f>"4:"</f>
        <v>4:</v>
      </c>
      <c r="D149" s="278" t="s">
        <v>926</v>
      </c>
      <c r="E149" s="40"/>
      <c r="F149" s="40"/>
      <c r="G149" s="40"/>
      <c r="H149" s="40"/>
      <c r="I149" s="40"/>
      <c r="J149" s="40"/>
      <c r="K149" s="41"/>
      <c r="N149" s="12" t="s">
        <v>661</v>
      </c>
    </row>
    <row r="150" spans="2:14" x14ac:dyDescent="0.2">
      <c r="B150" s="38"/>
      <c r="C150" s="174" t="s">
        <v>662</v>
      </c>
      <c r="D150" s="40"/>
      <c r="E150" s="40"/>
      <c r="F150" s="40"/>
      <c r="G150" s="40"/>
      <c r="H150" s="40"/>
      <c r="I150" s="40"/>
      <c r="J150" s="265" t="s">
        <v>661</v>
      </c>
      <c r="K150" s="41"/>
      <c r="N150" s="12" t="s">
        <v>894</v>
      </c>
    </row>
    <row r="151" spans="2:14" x14ac:dyDescent="0.2">
      <c r="B151" s="38"/>
      <c r="C151" s="174" t="s">
        <v>660</v>
      </c>
      <c r="D151" s="40"/>
      <c r="E151" s="40"/>
      <c r="F151" s="40"/>
      <c r="G151" s="40"/>
      <c r="H151" s="40"/>
      <c r="I151" s="40"/>
      <c r="J151" s="246" t="str">
        <f>IF(J150=N149,"N/A",IF(J150=N150,0,IF(J150=N151,1,IF(J150=N152,2,IF(J150=N153,3,IF(J150=N154,4,"N/A"))))))</f>
        <v>N/A</v>
      </c>
      <c r="K151" s="41"/>
      <c r="N151" s="12" t="s">
        <v>899</v>
      </c>
    </row>
    <row r="152" spans="2:14" x14ac:dyDescent="0.2">
      <c r="B152" s="38"/>
      <c r="C152" s="40" t="s">
        <v>257</v>
      </c>
      <c r="D152" s="40"/>
      <c r="E152" s="40"/>
      <c r="F152" s="40"/>
      <c r="G152" s="40"/>
      <c r="H152" s="40"/>
      <c r="I152" s="40"/>
      <c r="J152" s="266" t="s">
        <v>874</v>
      </c>
      <c r="K152" s="41"/>
      <c r="N152" s="12" t="s">
        <v>900</v>
      </c>
    </row>
    <row r="153" spans="2:14" x14ac:dyDescent="0.2">
      <c r="B153" s="38"/>
      <c r="C153" s="40" t="s">
        <v>261</v>
      </c>
      <c r="D153" s="40"/>
      <c r="E153" s="40"/>
      <c r="F153" s="40"/>
      <c r="G153" s="40"/>
      <c r="H153" s="40"/>
      <c r="I153" s="40"/>
      <c r="J153" s="245">
        <f>IF(J152=$B$973,$A$973,IF(J152=$B$974,$A$974,IF(J152=$B$975,$A$975,IF(J152=$B$976,$A$976,IF(J152=$B$977,$A$977,"Not Calculated")))))</f>
        <v>4</v>
      </c>
      <c r="K153" s="41"/>
      <c r="N153" s="12" t="s">
        <v>901</v>
      </c>
    </row>
    <row r="154" spans="2:14" x14ac:dyDescent="0.2">
      <c r="B154" s="38"/>
      <c r="C154" s="40" t="s">
        <v>893</v>
      </c>
      <c r="D154" s="40"/>
      <c r="E154" s="40"/>
      <c r="F154" s="40"/>
      <c r="G154" s="40"/>
      <c r="H154" s="40"/>
      <c r="I154" s="40"/>
      <c r="J154" s="40"/>
      <c r="K154" s="41"/>
      <c r="N154" s="12" t="s">
        <v>902</v>
      </c>
    </row>
    <row r="155" spans="2:14" ht="30" customHeight="1" x14ac:dyDescent="0.2">
      <c r="B155" s="38"/>
      <c r="C155" s="399" t="s">
        <v>528</v>
      </c>
      <c r="D155" s="400"/>
      <c r="E155" s="400"/>
      <c r="F155" s="400"/>
      <c r="G155" s="400"/>
      <c r="H155" s="400"/>
      <c r="I155" s="400"/>
      <c r="J155" s="401"/>
      <c r="K155" s="41"/>
    </row>
    <row r="156" spans="2:14" x14ac:dyDescent="0.2">
      <c r="B156" s="38"/>
      <c r="C156" s="40"/>
      <c r="D156" s="40"/>
      <c r="E156" s="40"/>
      <c r="F156" s="40"/>
      <c r="G156" s="40"/>
      <c r="H156" s="40"/>
      <c r="I156" s="40"/>
      <c r="J156" s="40"/>
      <c r="K156" s="41"/>
    </row>
    <row r="157" spans="2:14" x14ac:dyDescent="0.2">
      <c r="B157" s="38"/>
      <c r="C157" s="179" t="s">
        <v>271</v>
      </c>
      <c r="D157" s="40"/>
      <c r="E157" s="40"/>
      <c r="F157" s="40"/>
      <c r="G157" s="40"/>
      <c r="H157" s="40"/>
      <c r="I157" s="40"/>
      <c r="J157" s="245" t="str">
        <f>IF(J151="N/A",IF(OR(J144="Not Calculated",J153="Not Calculated")=TRUE,"Not Calculated",AVERAGE(J144,J153)),AVERAGE(J151,J153))</f>
        <v>Not Calculated</v>
      </c>
      <c r="K157" s="41"/>
    </row>
    <row r="158" spans="2:14" x14ac:dyDescent="0.2">
      <c r="B158" s="38"/>
      <c r="C158" s="40"/>
      <c r="D158" s="40"/>
      <c r="E158" s="40"/>
      <c r="F158" s="40"/>
      <c r="G158" s="40"/>
      <c r="H158" s="40"/>
      <c r="I158" s="40"/>
      <c r="J158" s="40"/>
      <c r="K158" s="41"/>
    </row>
    <row r="159" spans="2:14" x14ac:dyDescent="0.2">
      <c r="B159" s="38"/>
      <c r="C159" s="40"/>
      <c r="D159" s="40"/>
      <c r="E159" s="40"/>
      <c r="F159" s="40"/>
      <c r="G159" s="40"/>
      <c r="H159" s="40"/>
      <c r="I159" s="40"/>
      <c r="J159" s="40"/>
      <c r="K159" s="41"/>
    </row>
    <row r="160" spans="2:14" ht="16" x14ac:dyDescent="0.2">
      <c r="B160" s="38"/>
      <c r="C160" s="45" t="s">
        <v>273</v>
      </c>
      <c r="D160" s="40"/>
      <c r="E160" s="40"/>
      <c r="F160" s="40"/>
      <c r="G160" s="40"/>
      <c r="H160" s="40"/>
      <c r="I160" s="40"/>
      <c r="J160" s="40"/>
      <c r="K160" s="41"/>
    </row>
    <row r="161" spans="2:14" x14ac:dyDescent="0.2">
      <c r="B161" s="38"/>
      <c r="C161" s="40" t="s">
        <v>441</v>
      </c>
      <c r="D161" s="40"/>
      <c r="E161" s="40"/>
      <c r="F161" s="40"/>
      <c r="G161" s="40"/>
      <c r="H161" s="40"/>
      <c r="I161" s="40"/>
      <c r="J161" s="252">
        <f>'Baseline Health'!G51</f>
        <v>0</v>
      </c>
      <c r="K161" s="41"/>
    </row>
    <row r="162" spans="2:14" x14ac:dyDescent="0.2">
      <c r="B162" s="38"/>
      <c r="C162" s="40" t="s">
        <v>280</v>
      </c>
      <c r="D162" s="40"/>
      <c r="E162" s="40"/>
      <c r="F162" s="40"/>
      <c r="G162" s="40"/>
      <c r="H162" s="40"/>
      <c r="I162" s="40"/>
      <c r="J162" s="264">
        <f>J161*0.4</f>
        <v>0</v>
      </c>
      <c r="K162" s="41"/>
      <c r="L162" s="12" t="s">
        <v>1175</v>
      </c>
    </row>
    <row r="163" spans="2:14" x14ac:dyDescent="0.2">
      <c r="B163" s="38"/>
      <c r="C163" s="40" t="s">
        <v>442</v>
      </c>
      <c r="D163" s="40"/>
      <c r="E163" s="40"/>
      <c r="F163" s="40"/>
      <c r="G163" s="40"/>
      <c r="H163" s="40"/>
      <c r="I163" s="40"/>
      <c r="J163" s="251">
        <f>(J64)/4.5</f>
        <v>0</v>
      </c>
      <c r="K163" s="41"/>
    </row>
    <row r="164" spans="2:14" x14ac:dyDescent="0.2">
      <c r="B164" s="38"/>
      <c r="C164" s="40"/>
      <c r="D164" s="40" t="s">
        <v>353</v>
      </c>
      <c r="E164" s="40"/>
      <c r="F164" s="40"/>
      <c r="G164" s="40"/>
      <c r="H164" s="40"/>
      <c r="I164" s="40"/>
      <c r="J164" s="40"/>
      <c r="K164" s="41"/>
    </row>
    <row r="165" spans="2:14" x14ac:dyDescent="0.2">
      <c r="B165" s="38"/>
      <c r="C165" s="40" t="s">
        <v>260</v>
      </c>
      <c r="D165" s="40"/>
      <c r="E165" s="40"/>
      <c r="F165" s="40"/>
      <c r="G165" s="40"/>
      <c r="H165" s="40"/>
      <c r="I165" s="40"/>
      <c r="J165" s="245" t="str">
        <f>IF(OR(J161=0,J161="Not Calculated")=TRUE,"Not Calculated",IF((J161-J162)&lt;=0,4,IF(((J161+J163)/(J161-J162))&lt;=1,0,IF(((J161+J163)/(J161-J162))&lt;=1.05,1,IF(((J161+J163)/(J161-J162))&lt;=1.5, 2,IF(((J161+J163)/(J161-J162))&lt;=2,3,4))))))</f>
        <v>Not Calculated</v>
      </c>
      <c r="K165" s="41"/>
    </row>
    <row r="166" spans="2:14" ht="9.75" customHeight="1" x14ac:dyDescent="0.2">
      <c r="B166" s="38"/>
      <c r="C166" s="279" t="str">
        <f>"0:"</f>
        <v>0:</v>
      </c>
      <c r="D166" s="278" t="s">
        <v>918</v>
      </c>
      <c r="E166" s="40"/>
      <c r="F166" s="40"/>
      <c r="G166" s="40"/>
      <c r="H166" s="40"/>
      <c r="I166" s="40"/>
      <c r="J166" s="40"/>
      <c r="K166" s="41"/>
    </row>
    <row r="167" spans="2:14" ht="9.75" customHeight="1" x14ac:dyDescent="0.2">
      <c r="B167" s="38"/>
      <c r="C167" s="280" t="str">
        <f>"1:"</f>
        <v>1:</v>
      </c>
      <c r="D167" s="278" t="s">
        <v>923</v>
      </c>
      <c r="E167" s="40"/>
      <c r="F167" s="40"/>
      <c r="G167" s="40"/>
      <c r="H167" s="40"/>
      <c r="I167" s="40"/>
      <c r="J167" s="40"/>
      <c r="K167" s="41"/>
    </row>
    <row r="168" spans="2:14" ht="9.75" customHeight="1" x14ac:dyDescent="0.2">
      <c r="B168" s="38"/>
      <c r="C168" s="280" t="str">
        <f>"2:"</f>
        <v>2:</v>
      </c>
      <c r="D168" s="278" t="s">
        <v>924</v>
      </c>
      <c r="E168" s="40"/>
      <c r="F168" s="40"/>
      <c r="G168" s="40"/>
      <c r="H168" s="40"/>
      <c r="I168" s="40"/>
      <c r="J168" s="40"/>
      <c r="K168" s="41"/>
    </row>
    <row r="169" spans="2:14" ht="9.75" customHeight="1" x14ac:dyDescent="0.2">
      <c r="B169" s="38"/>
      <c r="C169" s="280" t="str">
        <f>"3:"</f>
        <v>3:</v>
      </c>
      <c r="D169" s="278" t="s">
        <v>925</v>
      </c>
      <c r="E169" s="40"/>
      <c r="F169" s="40"/>
      <c r="G169" s="40"/>
      <c r="H169" s="40"/>
      <c r="I169" s="40"/>
      <c r="J169" s="40"/>
      <c r="K169" s="41"/>
    </row>
    <row r="170" spans="2:14" ht="9.75" customHeight="1" x14ac:dyDescent="0.2">
      <c r="B170" s="38"/>
      <c r="C170" s="280" t="str">
        <f>"4:"</f>
        <v>4:</v>
      </c>
      <c r="D170" s="278" t="s">
        <v>926</v>
      </c>
      <c r="E170" s="40"/>
      <c r="F170" s="40"/>
      <c r="G170" s="40"/>
      <c r="H170" s="40"/>
      <c r="I170" s="40"/>
      <c r="J170" s="40"/>
      <c r="K170" s="41"/>
      <c r="N170" s="12" t="s">
        <v>661</v>
      </c>
    </row>
    <row r="171" spans="2:14" x14ac:dyDescent="0.2">
      <c r="B171" s="38"/>
      <c r="C171" s="174" t="s">
        <v>662</v>
      </c>
      <c r="D171" s="40"/>
      <c r="E171" s="40"/>
      <c r="F171" s="40"/>
      <c r="G171" s="40"/>
      <c r="H171" s="40"/>
      <c r="I171" s="40"/>
      <c r="J171" s="265" t="s">
        <v>661</v>
      </c>
      <c r="K171" s="41"/>
      <c r="N171" s="12" t="s">
        <v>894</v>
      </c>
    </row>
    <row r="172" spans="2:14" x14ac:dyDescent="0.2">
      <c r="B172" s="38"/>
      <c r="C172" s="174" t="s">
        <v>660</v>
      </c>
      <c r="D172" s="40"/>
      <c r="E172" s="40"/>
      <c r="F172" s="40"/>
      <c r="G172" s="40"/>
      <c r="H172" s="40"/>
      <c r="I172" s="40"/>
      <c r="J172" s="246" t="str">
        <f>IF(J171=N170,"N/A",IF(J171=N171,0,IF(J171=N172,1,IF(J171=N173,2,IF(J171=N174,3,IF(J171=N175,4,"N/A"))))))</f>
        <v>N/A</v>
      </c>
      <c r="K172" s="41"/>
      <c r="N172" s="12" t="s">
        <v>899</v>
      </c>
    </row>
    <row r="173" spans="2:14" x14ac:dyDescent="0.2">
      <c r="B173" s="38"/>
      <c r="C173" s="40" t="s">
        <v>257</v>
      </c>
      <c r="D173" s="40"/>
      <c r="E173" s="40"/>
      <c r="F173" s="40"/>
      <c r="G173" s="40"/>
      <c r="H173" s="40"/>
      <c r="I173" s="40"/>
      <c r="J173" s="266" t="s">
        <v>874</v>
      </c>
      <c r="K173" s="41"/>
      <c r="N173" s="12" t="s">
        <v>900</v>
      </c>
    </row>
    <row r="174" spans="2:14" x14ac:dyDescent="0.2">
      <c r="B174" s="38"/>
      <c r="C174" s="40" t="s">
        <v>261</v>
      </c>
      <c r="D174" s="40"/>
      <c r="E174" s="40"/>
      <c r="F174" s="40"/>
      <c r="G174" s="40"/>
      <c r="H174" s="40"/>
      <c r="I174" s="40"/>
      <c r="J174" s="245">
        <f>IF(J173=$B$973,$A$973,IF(J173=$B$974,$A$974,IF(J173=$B$975,$A$975,IF(J173=$B$976,$A$976,IF(J173=$B$977,$A$977,"Not Calculated")))))</f>
        <v>4</v>
      </c>
      <c r="K174" s="41"/>
      <c r="N174" s="12" t="s">
        <v>901</v>
      </c>
    </row>
    <row r="175" spans="2:14" x14ac:dyDescent="0.2">
      <c r="B175" s="38"/>
      <c r="C175" s="40" t="s">
        <v>893</v>
      </c>
      <c r="D175" s="40"/>
      <c r="E175" s="40"/>
      <c r="F175" s="40"/>
      <c r="G175" s="40"/>
      <c r="H175" s="40"/>
      <c r="I175" s="40"/>
      <c r="J175" s="40"/>
      <c r="K175" s="41"/>
      <c r="N175" s="12" t="s">
        <v>902</v>
      </c>
    </row>
    <row r="176" spans="2:14" ht="45" customHeight="1" x14ac:dyDescent="0.2">
      <c r="B176" s="38"/>
      <c r="C176" s="399" t="s">
        <v>529</v>
      </c>
      <c r="D176" s="400"/>
      <c r="E176" s="400"/>
      <c r="F176" s="400"/>
      <c r="G176" s="400"/>
      <c r="H176" s="400"/>
      <c r="I176" s="400"/>
      <c r="J176" s="401"/>
      <c r="K176" s="41"/>
    </row>
    <row r="177" spans="2:14" x14ac:dyDescent="0.2">
      <c r="B177" s="38"/>
      <c r="C177" s="40"/>
      <c r="D177" s="40"/>
      <c r="E177" s="40"/>
      <c r="F177" s="40"/>
      <c r="G177" s="40"/>
      <c r="H177" s="40"/>
      <c r="I177" s="40"/>
      <c r="J177" s="40"/>
      <c r="K177" s="41"/>
    </row>
    <row r="178" spans="2:14" x14ac:dyDescent="0.2">
      <c r="B178" s="38"/>
      <c r="C178" s="179" t="s">
        <v>274</v>
      </c>
      <c r="D178" s="40"/>
      <c r="E178" s="40"/>
      <c r="F178" s="40"/>
      <c r="G178" s="40"/>
      <c r="H178" s="40"/>
      <c r="I178" s="40"/>
      <c r="J178" s="245" t="str">
        <f>IF(J172="N/A",IF(OR(J165="Not Calculated",J174="Not Calculated")=TRUE,"Not Calculated",AVERAGE(J165,J174)),AVERAGE(J172,J174))</f>
        <v>Not Calculated</v>
      </c>
      <c r="K178" s="41"/>
    </row>
    <row r="179" spans="2:14" x14ac:dyDescent="0.2">
      <c r="B179" s="38"/>
      <c r="C179" s="40"/>
      <c r="D179" s="40"/>
      <c r="E179" s="40"/>
      <c r="F179" s="40"/>
      <c r="G179" s="40"/>
      <c r="H179" s="40"/>
      <c r="I179" s="40"/>
      <c r="J179" s="40"/>
      <c r="K179" s="41"/>
    </row>
    <row r="180" spans="2:14" x14ac:dyDescent="0.2">
      <c r="B180" s="38"/>
      <c r="C180" s="40"/>
      <c r="D180" s="40"/>
      <c r="E180" s="40"/>
      <c r="F180" s="40"/>
      <c r="G180" s="40"/>
      <c r="H180" s="40"/>
      <c r="I180" s="40"/>
      <c r="J180" s="40"/>
      <c r="K180" s="41"/>
    </row>
    <row r="181" spans="2:14" ht="16" x14ac:dyDescent="0.2">
      <c r="B181" s="38"/>
      <c r="C181" s="45" t="s">
        <v>74</v>
      </c>
      <c r="D181" s="40"/>
      <c r="E181" s="40"/>
      <c r="F181" s="40"/>
      <c r="G181" s="40"/>
      <c r="H181" s="40"/>
      <c r="I181" s="40"/>
      <c r="J181" s="40"/>
      <c r="K181" s="41"/>
    </row>
    <row r="182" spans="2:14" x14ac:dyDescent="0.2">
      <c r="B182" s="38"/>
      <c r="C182" s="40" t="s">
        <v>443</v>
      </c>
      <c r="D182" s="40"/>
      <c r="E182" s="40"/>
      <c r="F182" s="40"/>
      <c r="G182" s="40"/>
      <c r="H182" s="40"/>
      <c r="I182" s="40"/>
      <c r="J182" s="252">
        <f>'Baseline Health'!G59</f>
        <v>0</v>
      </c>
      <c r="K182" s="41"/>
    </row>
    <row r="183" spans="2:14" x14ac:dyDescent="0.2">
      <c r="B183" s="38"/>
      <c r="C183" s="40" t="s">
        <v>281</v>
      </c>
      <c r="D183" s="40"/>
      <c r="E183" s="40"/>
      <c r="F183" s="40"/>
      <c r="G183" s="40"/>
      <c r="H183" s="40"/>
      <c r="I183" s="40"/>
      <c r="J183" s="264">
        <f>J182*0.4</f>
        <v>0</v>
      </c>
      <c r="K183" s="41"/>
    </row>
    <row r="184" spans="2:14" x14ac:dyDescent="0.2">
      <c r="B184" s="38"/>
      <c r="C184" s="40" t="s">
        <v>354</v>
      </c>
      <c r="D184" s="40"/>
      <c r="E184" s="40"/>
      <c r="F184" s="40"/>
      <c r="G184" s="40"/>
      <c r="H184" s="40"/>
      <c r="I184" s="40"/>
      <c r="J184" s="264">
        <f>'Baseline Health'!$G$6*0.0057</f>
        <v>0</v>
      </c>
      <c r="K184" s="41"/>
    </row>
    <row r="185" spans="2:14" x14ac:dyDescent="0.2">
      <c r="B185" s="38"/>
      <c r="C185" s="40" t="s">
        <v>260</v>
      </c>
      <c r="D185" s="40"/>
      <c r="E185" s="40"/>
      <c r="F185" s="40"/>
      <c r="G185" s="40"/>
      <c r="H185" s="40"/>
      <c r="I185" s="40"/>
      <c r="J185" s="245" t="str">
        <f>IF(OR(J182=0,J182="Not Calculated")=TRUE,"Not Calculated",IF(J182-J183=0,4,IF(((J182+J184)/(J182-J183))&lt;=1,0,IF(((J182+J184)/(J182-J183))&lt;=1.05,1,IF(((J182+J184)/(J182-J183))&lt;=1.5, 2,IF(((J182+J184)/(J182-J183))&lt;=2,3,4))))))</f>
        <v>Not Calculated</v>
      </c>
      <c r="K185" s="41"/>
    </row>
    <row r="186" spans="2:14" ht="9.75" customHeight="1" x14ac:dyDescent="0.2">
      <c r="B186" s="38"/>
      <c r="C186" s="279" t="str">
        <f>"0:"</f>
        <v>0:</v>
      </c>
      <c r="D186" s="278" t="s">
        <v>918</v>
      </c>
      <c r="E186" s="40"/>
      <c r="F186" s="40"/>
      <c r="G186" s="40"/>
      <c r="H186" s="40"/>
      <c r="I186" s="40"/>
      <c r="J186" s="40"/>
      <c r="K186" s="41"/>
    </row>
    <row r="187" spans="2:14" ht="9.75" customHeight="1" x14ac:dyDescent="0.2">
      <c r="B187" s="38"/>
      <c r="C187" s="280" t="str">
        <f>"1:"</f>
        <v>1:</v>
      </c>
      <c r="D187" s="278" t="s">
        <v>923</v>
      </c>
      <c r="E187" s="40"/>
      <c r="F187" s="40"/>
      <c r="G187" s="40"/>
      <c r="H187" s="40"/>
      <c r="I187" s="40"/>
      <c r="J187" s="40"/>
      <c r="K187" s="41"/>
    </row>
    <row r="188" spans="2:14" ht="9.75" customHeight="1" x14ac:dyDescent="0.2">
      <c r="B188" s="38"/>
      <c r="C188" s="280" t="str">
        <f>"2:"</f>
        <v>2:</v>
      </c>
      <c r="D188" s="278" t="s">
        <v>924</v>
      </c>
      <c r="E188" s="40"/>
      <c r="F188" s="40"/>
      <c r="G188" s="40"/>
      <c r="H188" s="40"/>
      <c r="I188" s="40"/>
      <c r="J188" s="40"/>
      <c r="K188" s="41"/>
    </row>
    <row r="189" spans="2:14" ht="9.75" customHeight="1" x14ac:dyDescent="0.2">
      <c r="B189" s="38"/>
      <c r="C189" s="280" t="str">
        <f>"3:"</f>
        <v>3:</v>
      </c>
      <c r="D189" s="278" t="s">
        <v>925</v>
      </c>
      <c r="E189" s="40"/>
      <c r="F189" s="40"/>
      <c r="G189" s="40"/>
      <c r="H189" s="40"/>
      <c r="I189" s="40"/>
      <c r="J189" s="40"/>
      <c r="K189" s="41"/>
    </row>
    <row r="190" spans="2:14" ht="9.75" customHeight="1" x14ac:dyDescent="0.2">
      <c r="B190" s="38"/>
      <c r="C190" s="280" t="str">
        <f>"4:"</f>
        <v>4:</v>
      </c>
      <c r="D190" s="278" t="s">
        <v>926</v>
      </c>
      <c r="E190" s="40"/>
      <c r="F190" s="40"/>
      <c r="G190" s="40"/>
      <c r="H190" s="40"/>
      <c r="I190" s="40"/>
      <c r="J190" s="40"/>
      <c r="K190" s="41"/>
      <c r="N190" s="12" t="s">
        <v>661</v>
      </c>
    </row>
    <row r="191" spans="2:14" x14ac:dyDescent="0.2">
      <c r="B191" s="38"/>
      <c r="C191" s="174" t="s">
        <v>662</v>
      </c>
      <c r="D191" s="40"/>
      <c r="E191" s="40"/>
      <c r="F191" s="40"/>
      <c r="G191" s="40"/>
      <c r="H191" s="40"/>
      <c r="I191" s="40"/>
      <c r="J191" s="265" t="s">
        <v>661</v>
      </c>
      <c r="K191" s="41"/>
      <c r="N191" s="12" t="s">
        <v>894</v>
      </c>
    </row>
    <row r="192" spans="2:14" x14ac:dyDescent="0.2">
      <c r="B192" s="38"/>
      <c r="C192" s="174" t="s">
        <v>660</v>
      </c>
      <c r="D192" s="40"/>
      <c r="E192" s="40"/>
      <c r="F192" s="40"/>
      <c r="G192" s="40"/>
      <c r="H192" s="40"/>
      <c r="I192" s="40"/>
      <c r="J192" s="246" t="str">
        <f>IF(J191=N190,"N/A",IF(J191=N191,0,IF(J191=N192,1,IF(J191=N193,2,IF(J191=N194,3,IF(J191=N195,4,"N/A"))))))</f>
        <v>N/A</v>
      </c>
      <c r="K192" s="41"/>
      <c r="N192" s="12" t="s">
        <v>899</v>
      </c>
    </row>
    <row r="193" spans="2:14" x14ac:dyDescent="0.2">
      <c r="B193" s="38"/>
      <c r="C193" s="40" t="s">
        <v>257</v>
      </c>
      <c r="D193" s="40"/>
      <c r="E193" s="40"/>
      <c r="F193" s="40"/>
      <c r="G193" s="40"/>
      <c r="H193" s="40"/>
      <c r="I193" s="40"/>
      <c r="J193" s="266" t="s">
        <v>874</v>
      </c>
      <c r="K193" s="41"/>
      <c r="N193" s="12" t="s">
        <v>900</v>
      </c>
    </row>
    <row r="194" spans="2:14" x14ac:dyDescent="0.2">
      <c r="B194" s="38"/>
      <c r="C194" s="40" t="s">
        <v>261</v>
      </c>
      <c r="D194" s="40"/>
      <c r="E194" s="40"/>
      <c r="F194" s="40"/>
      <c r="G194" s="40"/>
      <c r="H194" s="40"/>
      <c r="I194" s="40"/>
      <c r="J194" s="245">
        <f>IF(J193=$B$973,$A$973,IF(J193=$B$974,$A$974,IF(J193=$B$975,$A$975,IF(J193=$B$976,$A$976,IF(J193=$B$977,$A$977,"Not Calculated")))))</f>
        <v>4</v>
      </c>
      <c r="K194" s="41"/>
      <c r="N194" s="12" t="s">
        <v>901</v>
      </c>
    </row>
    <row r="195" spans="2:14" x14ac:dyDescent="0.2">
      <c r="B195" s="38"/>
      <c r="C195" s="40" t="s">
        <v>893</v>
      </c>
      <c r="D195" s="40"/>
      <c r="E195" s="40"/>
      <c r="F195" s="40"/>
      <c r="G195" s="40"/>
      <c r="H195" s="40"/>
      <c r="I195" s="40"/>
      <c r="J195" s="40"/>
      <c r="K195" s="41"/>
      <c r="N195" s="12" t="s">
        <v>902</v>
      </c>
    </row>
    <row r="196" spans="2:14" ht="75" customHeight="1" x14ac:dyDescent="0.2">
      <c r="B196" s="38"/>
      <c r="C196" s="399" t="s">
        <v>530</v>
      </c>
      <c r="D196" s="400"/>
      <c r="E196" s="400"/>
      <c r="F196" s="400"/>
      <c r="G196" s="400"/>
      <c r="H196" s="400"/>
      <c r="I196" s="400"/>
      <c r="J196" s="401"/>
      <c r="K196" s="41"/>
    </row>
    <row r="197" spans="2:14" x14ac:dyDescent="0.2">
      <c r="B197" s="38"/>
      <c r="C197" s="40"/>
      <c r="D197" s="40"/>
      <c r="E197" s="40"/>
      <c r="F197" s="40"/>
      <c r="G197" s="40"/>
      <c r="H197" s="40"/>
      <c r="I197" s="40"/>
      <c r="J197" s="40"/>
      <c r="K197" s="41"/>
    </row>
    <row r="198" spans="2:14" x14ac:dyDescent="0.2">
      <c r="B198" s="38"/>
      <c r="C198" s="179" t="s">
        <v>275</v>
      </c>
      <c r="D198" s="40"/>
      <c r="E198" s="40"/>
      <c r="F198" s="40"/>
      <c r="G198" s="40"/>
      <c r="H198" s="40"/>
      <c r="I198" s="40"/>
      <c r="J198" s="245" t="str">
        <f>IF(J192="N/A",IF(OR(J185="Not Calculated",J194="Not Calculated")=TRUE,"Not Calculated",AVERAGE(J185,J194)),AVERAGE(J192,J194))</f>
        <v>Not Calculated</v>
      </c>
      <c r="K198" s="41"/>
    </row>
    <row r="199" spans="2:14" x14ac:dyDescent="0.2">
      <c r="B199" s="38"/>
      <c r="C199" s="40"/>
      <c r="D199" s="40"/>
      <c r="E199" s="40"/>
      <c r="F199" s="40"/>
      <c r="G199" s="40"/>
      <c r="H199" s="40"/>
      <c r="I199" s="40"/>
      <c r="J199" s="40"/>
      <c r="K199" s="41"/>
    </row>
    <row r="200" spans="2:14" x14ac:dyDescent="0.2">
      <c r="B200" s="38"/>
      <c r="C200" s="40"/>
      <c r="D200" s="40"/>
      <c r="E200" s="40"/>
      <c r="F200" s="40"/>
      <c r="G200" s="40"/>
      <c r="H200" s="40"/>
      <c r="I200" s="40"/>
      <c r="J200" s="40"/>
      <c r="K200" s="41"/>
    </row>
    <row r="201" spans="2:14" ht="16" x14ac:dyDescent="0.2">
      <c r="B201" s="38"/>
      <c r="C201" s="45" t="s">
        <v>75</v>
      </c>
      <c r="D201" s="40"/>
      <c r="E201" s="40"/>
      <c r="F201" s="40"/>
      <c r="G201" s="40"/>
      <c r="H201" s="40"/>
      <c r="I201" s="40"/>
      <c r="J201" s="40"/>
      <c r="K201" s="41"/>
    </row>
    <row r="202" spans="2:14" x14ac:dyDescent="0.2">
      <c r="B202" s="38"/>
      <c r="C202" s="40" t="s">
        <v>444</v>
      </c>
      <c r="D202" s="40"/>
      <c r="E202" s="40"/>
      <c r="F202" s="40"/>
      <c r="G202" s="40"/>
      <c r="H202" s="40"/>
      <c r="I202" s="40"/>
      <c r="J202" s="252">
        <f>'Baseline Health'!G65</f>
        <v>0</v>
      </c>
      <c r="K202" s="41"/>
    </row>
    <row r="203" spans="2:14" x14ac:dyDescent="0.2">
      <c r="B203" s="38"/>
      <c r="C203" s="40" t="s">
        <v>282</v>
      </c>
      <c r="D203" s="40"/>
      <c r="E203" s="40"/>
      <c r="F203" s="40"/>
      <c r="G203" s="40"/>
      <c r="H203" s="40"/>
      <c r="I203" s="40"/>
      <c r="J203" s="264">
        <f>J202*0.4</f>
        <v>0</v>
      </c>
      <c r="K203" s="41"/>
    </row>
    <row r="204" spans="2:14" x14ac:dyDescent="0.2">
      <c r="B204" s="38"/>
      <c r="C204" s="40" t="s">
        <v>355</v>
      </c>
      <c r="D204" s="40"/>
      <c r="E204" s="40"/>
      <c r="F204" s="40"/>
      <c r="G204" s="40"/>
      <c r="H204" s="40"/>
      <c r="I204" s="40"/>
      <c r="J204" s="264">
        <f>('Baseline Health'!$G$6*0.3)/480</f>
        <v>0</v>
      </c>
      <c r="K204" s="41"/>
    </row>
    <row r="205" spans="2:14" x14ac:dyDescent="0.2">
      <c r="B205" s="38"/>
      <c r="C205" s="40" t="s">
        <v>260</v>
      </c>
      <c r="D205" s="40"/>
      <c r="E205" s="40"/>
      <c r="F205" s="40"/>
      <c r="G205" s="40"/>
      <c r="H205" s="40"/>
      <c r="I205" s="40"/>
      <c r="J205" s="245" t="str">
        <f>IF(OR(J202=0,J202="Not Calculated")=TRUE,"Not Calculated",IF(J202-J203=0,4,IF(((J202+J204)/(J202-J203))&lt;=1,0,IF(((J202+J204)/(J202-J203))&lt;=1.05,1,IF(((J202+J204)/(J202-J203))&lt;=1.5, 2,IF(((J202+J204)/(J202-J203))&lt;=2,3,4))))))</f>
        <v>Not Calculated</v>
      </c>
      <c r="K205" s="41"/>
    </row>
    <row r="206" spans="2:14" ht="9.75" customHeight="1" x14ac:dyDescent="0.2">
      <c r="B206" s="38"/>
      <c r="C206" s="279" t="str">
        <f>"0:"</f>
        <v>0:</v>
      </c>
      <c r="D206" s="278" t="s">
        <v>918</v>
      </c>
      <c r="E206" s="40"/>
      <c r="F206" s="40"/>
      <c r="G206" s="40"/>
      <c r="H206" s="40"/>
      <c r="I206" s="40"/>
      <c r="J206" s="40"/>
      <c r="K206" s="41"/>
    </row>
    <row r="207" spans="2:14" ht="9.75" customHeight="1" x14ac:dyDescent="0.2">
      <c r="B207" s="38"/>
      <c r="C207" s="280" t="str">
        <f>"1:"</f>
        <v>1:</v>
      </c>
      <c r="D207" s="278" t="s">
        <v>923</v>
      </c>
      <c r="E207" s="40"/>
      <c r="F207" s="40"/>
      <c r="G207" s="40"/>
      <c r="H207" s="40"/>
      <c r="I207" s="40"/>
      <c r="J207" s="40"/>
      <c r="K207" s="41"/>
    </row>
    <row r="208" spans="2:14" ht="9.75" customHeight="1" x14ac:dyDescent="0.2">
      <c r="B208" s="38"/>
      <c r="C208" s="280" t="str">
        <f>"2:"</f>
        <v>2:</v>
      </c>
      <c r="D208" s="278" t="s">
        <v>924</v>
      </c>
      <c r="E208" s="40"/>
      <c r="F208" s="40"/>
      <c r="G208" s="40"/>
      <c r="H208" s="40"/>
      <c r="I208" s="40"/>
      <c r="J208" s="40"/>
      <c r="K208" s="41"/>
    </row>
    <row r="209" spans="2:14" ht="9.75" customHeight="1" x14ac:dyDescent="0.2">
      <c r="B209" s="38"/>
      <c r="C209" s="280" t="str">
        <f>"3:"</f>
        <v>3:</v>
      </c>
      <c r="D209" s="278" t="s">
        <v>925</v>
      </c>
      <c r="E209" s="40"/>
      <c r="F209" s="40"/>
      <c r="G209" s="40"/>
      <c r="H209" s="40"/>
      <c r="I209" s="40"/>
      <c r="J209" s="40"/>
      <c r="K209" s="41"/>
    </row>
    <row r="210" spans="2:14" ht="9.75" customHeight="1" x14ac:dyDescent="0.2">
      <c r="B210" s="38"/>
      <c r="C210" s="280" t="str">
        <f>"4:"</f>
        <v>4:</v>
      </c>
      <c r="D210" s="278" t="s">
        <v>926</v>
      </c>
      <c r="E210" s="40"/>
      <c r="F210" s="40"/>
      <c r="G210" s="40"/>
      <c r="H210" s="40"/>
      <c r="I210" s="40"/>
      <c r="J210" s="40"/>
      <c r="K210" s="41"/>
      <c r="N210" s="12" t="s">
        <v>661</v>
      </c>
    </row>
    <row r="211" spans="2:14" x14ac:dyDescent="0.2">
      <c r="B211" s="38"/>
      <c r="C211" s="174" t="s">
        <v>662</v>
      </c>
      <c r="D211" s="40"/>
      <c r="E211" s="40"/>
      <c r="F211" s="40"/>
      <c r="G211" s="40"/>
      <c r="H211" s="40"/>
      <c r="I211" s="40"/>
      <c r="J211" s="265" t="s">
        <v>661</v>
      </c>
      <c r="K211" s="41"/>
      <c r="N211" s="12" t="s">
        <v>894</v>
      </c>
    </row>
    <row r="212" spans="2:14" x14ac:dyDescent="0.2">
      <c r="B212" s="38"/>
      <c r="C212" s="174" t="s">
        <v>660</v>
      </c>
      <c r="D212" s="40"/>
      <c r="E212" s="40"/>
      <c r="F212" s="40"/>
      <c r="G212" s="40"/>
      <c r="H212" s="40"/>
      <c r="I212" s="40"/>
      <c r="J212" s="246" t="str">
        <f>IF(J211=N210,"N/A",IF(J211=N211,0,IF(J211=N212,1,IF(J211=N213,2,IF(J211=N214,3,IF(J211=N215,4,"N/A"))))))</f>
        <v>N/A</v>
      </c>
      <c r="K212" s="41"/>
      <c r="N212" s="12" t="s">
        <v>899</v>
      </c>
    </row>
    <row r="213" spans="2:14" x14ac:dyDescent="0.2">
      <c r="B213" s="38"/>
      <c r="C213" s="40" t="s">
        <v>257</v>
      </c>
      <c r="D213" s="40"/>
      <c r="E213" s="40"/>
      <c r="F213" s="40"/>
      <c r="G213" s="40"/>
      <c r="H213" s="40"/>
      <c r="I213" s="40"/>
      <c r="J213" s="266" t="s">
        <v>874</v>
      </c>
      <c r="K213" s="41"/>
      <c r="N213" s="12" t="s">
        <v>900</v>
      </c>
    </row>
    <row r="214" spans="2:14" x14ac:dyDescent="0.2">
      <c r="B214" s="38"/>
      <c r="C214" s="40" t="s">
        <v>261</v>
      </c>
      <c r="D214" s="40"/>
      <c r="E214" s="40"/>
      <c r="F214" s="40"/>
      <c r="G214" s="40"/>
      <c r="H214" s="40"/>
      <c r="I214" s="40"/>
      <c r="J214" s="245">
        <f>IF(J213=$B$973,$A$973,IF(J213=$B$974,$A$974,IF(J213=$B$975,$A$975,IF(J213=$B$976,$A$976,IF(J213=$B$977,$A$977,"Not Calculated")))))</f>
        <v>4</v>
      </c>
      <c r="K214" s="41"/>
      <c r="N214" s="12" t="s">
        <v>901</v>
      </c>
    </row>
    <row r="215" spans="2:14" x14ac:dyDescent="0.2">
      <c r="B215" s="38"/>
      <c r="C215" s="40" t="s">
        <v>893</v>
      </c>
      <c r="D215" s="40"/>
      <c r="E215" s="40"/>
      <c r="F215" s="40"/>
      <c r="G215" s="40"/>
      <c r="H215" s="40"/>
      <c r="I215" s="40"/>
      <c r="J215" s="40"/>
      <c r="K215" s="41"/>
      <c r="N215" s="12" t="s">
        <v>902</v>
      </c>
    </row>
    <row r="216" spans="2:14" ht="90" customHeight="1" x14ac:dyDescent="0.2">
      <c r="B216" s="38"/>
      <c r="C216" s="399" t="s">
        <v>531</v>
      </c>
      <c r="D216" s="400"/>
      <c r="E216" s="400"/>
      <c r="F216" s="400"/>
      <c r="G216" s="400"/>
      <c r="H216" s="400"/>
      <c r="I216" s="400"/>
      <c r="J216" s="401"/>
      <c r="K216" s="41"/>
    </row>
    <row r="217" spans="2:14" x14ac:dyDescent="0.2">
      <c r="B217" s="38"/>
      <c r="C217" s="40"/>
      <c r="D217" s="40"/>
      <c r="E217" s="40"/>
      <c r="F217" s="40"/>
      <c r="G217" s="40"/>
      <c r="H217" s="40"/>
      <c r="I217" s="40"/>
      <c r="J217" s="40"/>
      <c r="K217" s="41"/>
    </row>
    <row r="218" spans="2:14" x14ac:dyDescent="0.2">
      <c r="B218" s="38"/>
      <c r="C218" s="179" t="s">
        <v>276</v>
      </c>
      <c r="D218" s="40"/>
      <c r="E218" s="40"/>
      <c r="F218" s="40"/>
      <c r="G218" s="40"/>
      <c r="H218" s="40"/>
      <c r="I218" s="40"/>
      <c r="J218" s="245" t="str">
        <f>IF(J212="N/A",IF(OR(J205="Not Calculated",J214="Not Calculated")=TRUE,"Not Calculated",AVERAGE(J205,J214)),AVERAGE(J212,J214))</f>
        <v>Not Calculated</v>
      </c>
      <c r="K218" s="41"/>
    </row>
    <row r="219" spans="2:14" x14ac:dyDescent="0.2">
      <c r="B219" s="38"/>
      <c r="C219" s="40"/>
      <c r="D219" s="40"/>
      <c r="E219" s="40"/>
      <c r="F219" s="40"/>
      <c r="G219" s="40"/>
      <c r="H219" s="40"/>
      <c r="I219" s="40"/>
      <c r="J219" s="40"/>
      <c r="K219" s="41"/>
    </row>
    <row r="220" spans="2:14" x14ac:dyDescent="0.2">
      <c r="B220" s="38"/>
      <c r="C220" s="40"/>
      <c r="D220" s="40"/>
      <c r="E220" s="40"/>
      <c r="F220" s="40"/>
      <c r="G220" s="40"/>
      <c r="H220" s="40"/>
      <c r="I220" s="40"/>
      <c r="J220" s="40"/>
      <c r="K220" s="41"/>
    </row>
    <row r="221" spans="2:14" ht="16" x14ac:dyDescent="0.2">
      <c r="B221" s="38"/>
      <c r="C221" s="45" t="s">
        <v>76</v>
      </c>
      <c r="D221" s="40"/>
      <c r="E221" s="40"/>
      <c r="F221" s="40"/>
      <c r="G221" s="40"/>
      <c r="H221" s="40"/>
      <c r="I221" s="40"/>
      <c r="J221" s="40"/>
      <c r="K221" s="41"/>
    </row>
    <row r="222" spans="2:14" ht="15" customHeight="1" x14ac:dyDescent="0.2">
      <c r="B222" s="38"/>
      <c r="C222" s="40" t="s">
        <v>356</v>
      </c>
      <c r="D222" s="40"/>
      <c r="E222" s="40"/>
      <c r="F222" s="40"/>
      <c r="G222" s="40"/>
      <c r="H222" s="40"/>
      <c r="I222" s="40"/>
      <c r="J222" s="252">
        <f>'Baseline Health'!G71</f>
        <v>0</v>
      </c>
      <c r="K222" s="41"/>
    </row>
    <row r="223" spans="2:14" x14ac:dyDescent="0.2">
      <c r="B223" s="38"/>
      <c r="C223" s="40" t="s">
        <v>357</v>
      </c>
      <c r="D223" s="40"/>
      <c r="E223" s="40"/>
      <c r="F223" s="40"/>
      <c r="G223" s="40"/>
      <c r="H223" s="40"/>
      <c r="I223" s="40"/>
      <c r="J223" s="264">
        <f>J222*0.4</f>
        <v>0</v>
      </c>
      <c r="K223" s="41"/>
    </row>
    <row r="224" spans="2:14" x14ac:dyDescent="0.2">
      <c r="B224" s="38"/>
      <c r="C224" s="40" t="s">
        <v>445</v>
      </c>
      <c r="D224" s="40"/>
      <c r="E224" s="40"/>
      <c r="F224" s="40"/>
      <c r="G224" s="40"/>
      <c r="H224" s="40"/>
      <c r="I224" s="40"/>
      <c r="J224" s="251">
        <f>J102</f>
        <v>0</v>
      </c>
      <c r="K224" s="41"/>
    </row>
    <row r="225" spans="2:14" x14ac:dyDescent="0.2">
      <c r="B225" s="38"/>
      <c r="C225" s="40"/>
      <c r="D225" s="40" t="s">
        <v>446</v>
      </c>
      <c r="E225" s="40"/>
      <c r="F225" s="40"/>
      <c r="G225" s="40"/>
      <c r="H225" s="40"/>
      <c r="I225" s="40"/>
      <c r="J225" s="40"/>
      <c r="K225" s="41"/>
    </row>
    <row r="226" spans="2:14" x14ac:dyDescent="0.2">
      <c r="B226" s="38"/>
      <c r="C226" s="40" t="s">
        <v>260</v>
      </c>
      <c r="D226" s="40"/>
      <c r="E226" s="40"/>
      <c r="F226" s="40"/>
      <c r="G226" s="40"/>
      <c r="H226" s="40"/>
      <c r="I226" s="40"/>
      <c r="J226" s="245" t="str">
        <f>IF(OR(J222=0,J222="Not Calculated")=TRUE,"Not Calculated",IF(J222-J223=0,4,IF(((J222+J224)/(J222-J223))&lt;=1,0,IF(((J222+J224)/(J222-J223))&lt;=1.05,1,IF(((J222+J224)/(J222-J223))&lt;=1.5, 2,IF(((J222+J224)/(J222-J223))&lt;=2,3,4))))))</f>
        <v>Not Calculated</v>
      </c>
      <c r="K226" s="41"/>
    </row>
    <row r="227" spans="2:14" ht="9.75" customHeight="1" x14ac:dyDescent="0.2">
      <c r="B227" s="38"/>
      <c r="C227" s="279" t="str">
        <f>"0:"</f>
        <v>0:</v>
      </c>
      <c r="D227" s="278" t="s">
        <v>918</v>
      </c>
      <c r="E227" s="40"/>
      <c r="F227" s="40"/>
      <c r="G227" s="40"/>
      <c r="H227" s="40"/>
      <c r="I227" s="40"/>
      <c r="J227" s="40"/>
      <c r="K227" s="41"/>
    </row>
    <row r="228" spans="2:14" ht="9.75" customHeight="1" x14ac:dyDescent="0.2">
      <c r="B228" s="38"/>
      <c r="C228" s="280" t="str">
        <f>"1:"</f>
        <v>1:</v>
      </c>
      <c r="D228" s="278" t="s">
        <v>923</v>
      </c>
      <c r="E228" s="40"/>
      <c r="F228" s="40"/>
      <c r="G228" s="40"/>
      <c r="H228" s="40"/>
      <c r="I228" s="40"/>
      <c r="J228" s="40"/>
      <c r="K228" s="41"/>
    </row>
    <row r="229" spans="2:14" ht="9.75" customHeight="1" x14ac:dyDescent="0.2">
      <c r="B229" s="38"/>
      <c r="C229" s="280" t="str">
        <f>"2:"</f>
        <v>2:</v>
      </c>
      <c r="D229" s="278" t="s">
        <v>924</v>
      </c>
      <c r="E229" s="40"/>
      <c r="F229" s="40"/>
      <c r="G229" s="40"/>
      <c r="H229" s="40"/>
      <c r="I229" s="40"/>
      <c r="J229" s="40"/>
      <c r="K229" s="41"/>
    </row>
    <row r="230" spans="2:14" ht="9.75" customHeight="1" x14ac:dyDescent="0.2">
      <c r="B230" s="38"/>
      <c r="C230" s="280" t="str">
        <f>"3:"</f>
        <v>3:</v>
      </c>
      <c r="D230" s="278" t="s">
        <v>925</v>
      </c>
      <c r="E230" s="40"/>
      <c r="F230" s="40"/>
      <c r="G230" s="40"/>
      <c r="H230" s="40"/>
      <c r="I230" s="40"/>
      <c r="J230" s="40"/>
      <c r="K230" s="41"/>
    </row>
    <row r="231" spans="2:14" ht="9.75" customHeight="1" x14ac:dyDescent="0.2">
      <c r="B231" s="38"/>
      <c r="C231" s="280" t="str">
        <f>"4:"</f>
        <v>4:</v>
      </c>
      <c r="D231" s="278" t="s">
        <v>926</v>
      </c>
      <c r="E231" s="40"/>
      <c r="F231" s="40"/>
      <c r="G231" s="40"/>
      <c r="H231" s="40"/>
      <c r="I231" s="40"/>
      <c r="J231" s="40"/>
      <c r="K231" s="41"/>
      <c r="N231" s="12" t="s">
        <v>661</v>
      </c>
    </row>
    <row r="232" spans="2:14" x14ac:dyDescent="0.2">
      <c r="B232" s="38"/>
      <c r="C232" s="174" t="s">
        <v>662</v>
      </c>
      <c r="D232" s="40"/>
      <c r="E232" s="40"/>
      <c r="F232" s="40"/>
      <c r="G232" s="40"/>
      <c r="H232" s="40"/>
      <c r="I232" s="40"/>
      <c r="J232" s="265" t="s">
        <v>661</v>
      </c>
      <c r="K232" s="41"/>
      <c r="N232" s="12" t="s">
        <v>894</v>
      </c>
    </row>
    <row r="233" spans="2:14" x14ac:dyDescent="0.2">
      <c r="B233" s="38"/>
      <c r="C233" s="174" t="s">
        <v>660</v>
      </c>
      <c r="D233" s="40"/>
      <c r="E233" s="40"/>
      <c r="F233" s="40"/>
      <c r="G233" s="40"/>
      <c r="H233" s="40"/>
      <c r="I233" s="40"/>
      <c r="J233" s="246" t="str">
        <f>IF(J232=N231,"N/A",IF(J232=N232,0,IF(J232=N233,1,IF(J232=N234,2,IF(J232=N235,3,IF(J232=N236,4,"N/A"))))))</f>
        <v>N/A</v>
      </c>
      <c r="K233" s="41"/>
      <c r="N233" s="12" t="s">
        <v>899</v>
      </c>
    </row>
    <row r="234" spans="2:14" x14ac:dyDescent="0.2">
      <c r="B234" s="38"/>
      <c r="C234" s="40" t="s">
        <v>257</v>
      </c>
      <c r="D234" s="40"/>
      <c r="E234" s="40"/>
      <c r="F234" s="40"/>
      <c r="G234" s="40"/>
      <c r="H234" s="40"/>
      <c r="I234" s="40"/>
      <c r="J234" s="266" t="s">
        <v>874</v>
      </c>
      <c r="K234" s="41"/>
      <c r="N234" s="12" t="s">
        <v>900</v>
      </c>
    </row>
    <row r="235" spans="2:14" x14ac:dyDescent="0.2">
      <c r="B235" s="38"/>
      <c r="C235" s="40" t="s">
        <v>261</v>
      </c>
      <c r="D235" s="40"/>
      <c r="E235" s="40"/>
      <c r="F235" s="40"/>
      <c r="G235" s="40"/>
      <c r="H235" s="40"/>
      <c r="I235" s="40"/>
      <c r="J235" s="245">
        <f>IF(J234=$B$973,$A$973,IF(J234=$B$974,$A$974,IF(J234=$B$975,$A$975,IF(J234=$B$976,$A$976,IF(J234=$B$977,$A$977,"Not Calculated")))))</f>
        <v>4</v>
      </c>
      <c r="K235" s="41"/>
      <c r="N235" s="12" t="s">
        <v>901</v>
      </c>
    </row>
    <row r="236" spans="2:14" x14ac:dyDescent="0.2">
      <c r="B236" s="38"/>
      <c r="C236" s="40" t="s">
        <v>893</v>
      </c>
      <c r="D236" s="40"/>
      <c r="E236" s="40"/>
      <c r="F236" s="40"/>
      <c r="G236" s="40"/>
      <c r="H236" s="40"/>
      <c r="I236" s="40"/>
      <c r="J236" s="40"/>
      <c r="K236" s="41"/>
      <c r="N236" s="12" t="s">
        <v>902</v>
      </c>
    </row>
    <row r="237" spans="2:14" ht="45" customHeight="1" x14ac:dyDescent="0.2">
      <c r="B237" s="38"/>
      <c r="C237" s="399" t="s">
        <v>532</v>
      </c>
      <c r="D237" s="400"/>
      <c r="E237" s="400"/>
      <c r="F237" s="400"/>
      <c r="G237" s="400"/>
      <c r="H237" s="400"/>
      <c r="I237" s="400"/>
      <c r="J237" s="401"/>
      <c r="K237" s="41"/>
    </row>
    <row r="238" spans="2:14" x14ac:dyDescent="0.2">
      <c r="B238" s="38"/>
      <c r="C238" s="40"/>
      <c r="D238" s="40"/>
      <c r="E238" s="40"/>
      <c r="F238" s="40"/>
      <c r="G238" s="40"/>
      <c r="H238" s="40"/>
      <c r="I238" s="40"/>
      <c r="J238" s="40"/>
      <c r="K238" s="41"/>
    </row>
    <row r="239" spans="2:14" x14ac:dyDescent="0.2">
      <c r="B239" s="38"/>
      <c r="C239" s="179" t="s">
        <v>277</v>
      </c>
      <c r="D239" s="40"/>
      <c r="E239" s="40"/>
      <c r="F239" s="40"/>
      <c r="G239" s="40"/>
      <c r="H239" s="40"/>
      <c r="I239" s="40"/>
      <c r="J239" s="245" t="str">
        <f>IF(J233="N/A",IF(OR(J226="Not Calculated",J235="Not Calculated")=TRUE,"Not Calculated",AVERAGE(J226,J235)),AVERAGE(J233,J235))</f>
        <v>Not Calculated</v>
      </c>
      <c r="K239" s="41"/>
    </row>
    <row r="240" spans="2:14" x14ac:dyDescent="0.2">
      <c r="B240" s="38"/>
      <c r="C240" s="40"/>
      <c r="D240" s="40"/>
      <c r="E240" s="40"/>
      <c r="F240" s="40"/>
      <c r="G240" s="40"/>
      <c r="H240" s="40"/>
      <c r="I240" s="40"/>
      <c r="J240" s="40"/>
      <c r="K240" s="41"/>
    </row>
    <row r="241" spans="2:14" x14ac:dyDescent="0.2">
      <c r="B241" s="38"/>
      <c r="C241" s="40"/>
      <c r="D241" s="40"/>
      <c r="E241" s="40"/>
      <c r="F241" s="40"/>
      <c r="G241" s="40"/>
      <c r="H241" s="40"/>
      <c r="I241" s="40"/>
      <c r="J241" s="40"/>
      <c r="K241" s="41"/>
    </row>
    <row r="242" spans="2:14" ht="16" x14ac:dyDescent="0.2">
      <c r="B242" s="38"/>
      <c r="C242" s="45" t="s">
        <v>278</v>
      </c>
      <c r="D242" s="40"/>
      <c r="E242" s="40"/>
      <c r="F242" s="40"/>
      <c r="G242" s="40"/>
      <c r="H242" s="40"/>
      <c r="I242" s="40"/>
      <c r="J242" s="40"/>
      <c r="K242" s="41"/>
    </row>
    <row r="243" spans="2:14" ht="15" customHeight="1" x14ac:dyDescent="0.2">
      <c r="B243" s="38"/>
      <c r="C243" s="40" t="s">
        <v>447</v>
      </c>
      <c r="D243" s="40"/>
      <c r="E243" s="40"/>
      <c r="F243" s="40"/>
      <c r="G243" s="40"/>
      <c r="H243" s="40"/>
      <c r="I243" s="40"/>
      <c r="J243" s="254">
        <f>'Baseline Health'!G77</f>
        <v>0</v>
      </c>
      <c r="K243" s="41"/>
    </row>
    <row r="244" spans="2:14" x14ac:dyDescent="0.2">
      <c r="B244" s="38"/>
      <c r="C244" s="40" t="s">
        <v>358</v>
      </c>
      <c r="D244" s="40"/>
      <c r="E244" s="40"/>
      <c r="F244" s="40"/>
      <c r="G244" s="40"/>
      <c r="H244" s="40"/>
      <c r="I244" s="40"/>
      <c r="J244" s="264">
        <f>J243*0.4</f>
        <v>0</v>
      </c>
      <c r="K244" s="41"/>
    </row>
    <row r="245" spans="2:14" x14ac:dyDescent="0.2">
      <c r="B245" s="38"/>
      <c r="C245" s="40" t="s">
        <v>360</v>
      </c>
      <c r="D245" s="291"/>
      <c r="E245" s="291"/>
      <c r="F245" s="291"/>
      <c r="G245" s="291"/>
      <c r="H245" s="291"/>
      <c r="I245" s="291"/>
      <c r="J245" s="264">
        <f>'Baseline Health'!$G$6*0.16*40/250</f>
        <v>0</v>
      </c>
      <c r="K245" s="41"/>
    </row>
    <row r="246" spans="2:14" x14ac:dyDescent="0.2">
      <c r="B246" s="38"/>
      <c r="C246" s="40" t="s">
        <v>260</v>
      </c>
      <c r="D246" s="40"/>
      <c r="E246" s="40"/>
      <c r="F246" s="40"/>
      <c r="G246" s="40"/>
      <c r="H246" s="40"/>
      <c r="I246" s="40"/>
      <c r="J246" s="245" t="str">
        <f>IF(OR(J243=0,J243="Not Calculated")=TRUE,"Not Calculated",IF(J243-J244=0,4,(IF(((J243+J245)/(J243-J244))&lt;=1,0,IF(((J243+J245)/(J243-J244))&lt;=1.05,1,IF(((J243+J245)/(J243-J244))&lt;=1.5,2,IF(((J243+J245)/(J243-J244))&lt;=2,3,4)))))))</f>
        <v>Not Calculated</v>
      </c>
      <c r="K246" s="41"/>
    </row>
    <row r="247" spans="2:14" ht="9.75" customHeight="1" x14ac:dyDescent="0.2">
      <c r="B247" s="38"/>
      <c r="C247" s="279" t="str">
        <f>"0:"</f>
        <v>0:</v>
      </c>
      <c r="D247" s="278" t="s">
        <v>918</v>
      </c>
      <c r="E247" s="40"/>
      <c r="F247" s="40"/>
      <c r="G247" s="40"/>
      <c r="H247" s="40"/>
      <c r="I247" s="40"/>
      <c r="J247" s="40"/>
      <c r="K247" s="41"/>
    </row>
    <row r="248" spans="2:14" ht="9.75" customHeight="1" x14ac:dyDescent="0.2">
      <c r="B248" s="38"/>
      <c r="C248" s="280" t="str">
        <f>"1:"</f>
        <v>1:</v>
      </c>
      <c r="D248" s="278" t="s">
        <v>923</v>
      </c>
      <c r="E248" s="40"/>
      <c r="F248" s="40"/>
      <c r="G248" s="40"/>
      <c r="H248" s="40"/>
      <c r="I248" s="40"/>
      <c r="J248" s="40"/>
      <c r="K248" s="41"/>
    </row>
    <row r="249" spans="2:14" ht="9.75" customHeight="1" x14ac:dyDescent="0.2">
      <c r="B249" s="38"/>
      <c r="C249" s="280" t="str">
        <f>"2:"</f>
        <v>2:</v>
      </c>
      <c r="D249" s="278" t="s">
        <v>924</v>
      </c>
      <c r="E249" s="40"/>
      <c r="F249" s="40"/>
      <c r="G249" s="40"/>
      <c r="H249" s="40"/>
      <c r="I249" s="40"/>
      <c r="J249" s="40"/>
      <c r="K249" s="41"/>
    </row>
    <row r="250" spans="2:14" ht="9.75" customHeight="1" x14ac:dyDescent="0.2">
      <c r="B250" s="38"/>
      <c r="C250" s="280" t="str">
        <f>"3:"</f>
        <v>3:</v>
      </c>
      <c r="D250" s="278" t="s">
        <v>925</v>
      </c>
      <c r="E250" s="40"/>
      <c r="F250" s="40"/>
      <c r="G250" s="40"/>
      <c r="H250" s="40"/>
      <c r="I250" s="40"/>
      <c r="J250" s="40"/>
      <c r="K250" s="41"/>
    </row>
    <row r="251" spans="2:14" ht="9.75" customHeight="1" x14ac:dyDescent="0.2">
      <c r="B251" s="38"/>
      <c r="C251" s="280" t="str">
        <f>"4:"</f>
        <v>4:</v>
      </c>
      <c r="D251" s="278" t="s">
        <v>926</v>
      </c>
      <c r="E251" s="40"/>
      <c r="F251" s="40"/>
      <c r="G251" s="40"/>
      <c r="H251" s="40"/>
      <c r="I251" s="40"/>
      <c r="J251" s="40"/>
      <c r="K251" s="41"/>
      <c r="N251" s="12" t="s">
        <v>661</v>
      </c>
    </row>
    <row r="252" spans="2:14" x14ac:dyDescent="0.2">
      <c r="B252" s="38"/>
      <c r="C252" s="174" t="s">
        <v>662</v>
      </c>
      <c r="D252" s="40"/>
      <c r="E252" s="40"/>
      <c r="F252" s="40"/>
      <c r="G252" s="40"/>
      <c r="H252" s="40"/>
      <c r="I252" s="40"/>
      <c r="J252" s="265" t="s">
        <v>661</v>
      </c>
      <c r="K252" s="41"/>
      <c r="N252" s="12" t="s">
        <v>894</v>
      </c>
    </row>
    <row r="253" spans="2:14" x14ac:dyDescent="0.2">
      <c r="B253" s="38"/>
      <c r="C253" s="174" t="s">
        <v>660</v>
      </c>
      <c r="D253" s="40"/>
      <c r="E253" s="40"/>
      <c r="F253" s="40"/>
      <c r="G253" s="40"/>
      <c r="H253" s="40"/>
      <c r="I253" s="40"/>
      <c r="J253" s="246" t="str">
        <f>IF(J252=N251,"N/A",IF(J252=N252,0,IF(J252=N253,1,IF(J252=N254,2,IF(J252=N255,3,IF(J252=N256,4,"N/A"))))))</f>
        <v>N/A</v>
      </c>
      <c r="K253" s="41"/>
      <c r="N253" s="12" t="s">
        <v>899</v>
      </c>
    </row>
    <row r="254" spans="2:14" x14ac:dyDescent="0.2">
      <c r="B254" s="38"/>
      <c r="C254" s="40" t="s">
        <v>257</v>
      </c>
      <c r="D254" s="40"/>
      <c r="E254" s="40"/>
      <c r="F254" s="40"/>
      <c r="G254" s="40"/>
      <c r="H254" s="40"/>
      <c r="I254" s="40"/>
      <c r="J254" s="266" t="s">
        <v>874</v>
      </c>
      <c r="K254" s="41"/>
      <c r="N254" s="12" t="s">
        <v>900</v>
      </c>
    </row>
    <row r="255" spans="2:14" x14ac:dyDescent="0.2">
      <c r="B255" s="38"/>
      <c r="C255" s="40" t="s">
        <v>261</v>
      </c>
      <c r="D255" s="40"/>
      <c r="E255" s="40"/>
      <c r="F255" s="40"/>
      <c r="G255" s="40"/>
      <c r="H255" s="40"/>
      <c r="I255" s="40"/>
      <c r="J255" s="245">
        <f>IF(J254=$B$973,$A$973,IF(J254=$B$974,$A$974,IF(J254=$B$975,$A$975,IF(J254=$B$976,$A$976,IF(J254=$B$977,$A$977,"Not Calculated")))))</f>
        <v>4</v>
      </c>
      <c r="K255" s="41"/>
      <c r="N255" s="12" t="s">
        <v>901</v>
      </c>
    </row>
    <row r="256" spans="2:14" x14ac:dyDescent="0.2">
      <c r="B256" s="38"/>
      <c r="C256" s="40" t="s">
        <v>893</v>
      </c>
      <c r="D256" s="40"/>
      <c r="E256" s="40"/>
      <c r="F256" s="40"/>
      <c r="G256" s="40"/>
      <c r="H256" s="40"/>
      <c r="I256" s="40"/>
      <c r="J256" s="40"/>
      <c r="K256" s="41"/>
      <c r="N256" s="12" t="s">
        <v>902</v>
      </c>
    </row>
    <row r="257" spans="2:11" ht="90" customHeight="1" x14ac:dyDescent="0.2">
      <c r="B257" s="38"/>
      <c r="C257" s="399" t="s">
        <v>533</v>
      </c>
      <c r="D257" s="400"/>
      <c r="E257" s="400"/>
      <c r="F257" s="400"/>
      <c r="G257" s="400"/>
      <c r="H257" s="400"/>
      <c r="I257" s="400"/>
      <c r="J257" s="401"/>
      <c r="K257" s="41"/>
    </row>
    <row r="258" spans="2:11" x14ac:dyDescent="0.2">
      <c r="B258" s="38"/>
      <c r="C258" s="40"/>
      <c r="D258" s="40"/>
      <c r="E258" s="40"/>
      <c r="F258" s="40"/>
      <c r="G258" s="40"/>
      <c r="H258" s="40"/>
      <c r="I258" s="40"/>
      <c r="J258" s="40"/>
      <c r="K258" s="41"/>
    </row>
    <row r="259" spans="2:11" x14ac:dyDescent="0.2">
      <c r="B259" s="38"/>
      <c r="C259" s="179" t="s">
        <v>279</v>
      </c>
      <c r="D259" s="40"/>
      <c r="E259" s="40"/>
      <c r="F259" s="40"/>
      <c r="G259" s="40"/>
      <c r="H259" s="40"/>
      <c r="I259" s="40"/>
      <c r="J259" s="245" t="str">
        <f>IF(J253="N/A",IF(OR(J246="Not Calculated",J255="Not Calculated")=TRUE,"Not Calculated",AVERAGE(J246,J255)),AVERAGE(J253,J255))</f>
        <v>Not Calculated</v>
      </c>
      <c r="K259" s="41"/>
    </row>
    <row r="260" spans="2:11" x14ac:dyDescent="0.2">
      <c r="B260" s="38"/>
      <c r="C260" s="40"/>
      <c r="D260" s="40"/>
      <c r="E260" s="40"/>
      <c r="F260" s="40"/>
      <c r="G260" s="40"/>
      <c r="H260" s="40"/>
      <c r="I260" s="40"/>
      <c r="J260" s="40"/>
      <c r="K260" s="41"/>
    </row>
    <row r="261" spans="2:11" ht="18" x14ac:dyDescent="0.2">
      <c r="B261" s="38"/>
      <c r="C261" s="180" t="s">
        <v>272</v>
      </c>
      <c r="D261" s="40"/>
      <c r="E261" s="40"/>
      <c r="F261" s="40"/>
      <c r="G261" s="40"/>
      <c r="H261" s="40"/>
      <c r="I261" s="40"/>
      <c r="J261" s="244" t="str">
        <f>IF(OR(J157="Not Calculated",J178="Not Calculated",J198="Not Calculated",J218="Not Calculated",J239="Not Calculated",J259="Not Calculated",)=TRUE,"Not Calculated",AVERAGE(J157,J178,J198,J218,J239,J259))</f>
        <v>Not Calculated</v>
      </c>
      <c r="K261" s="41"/>
    </row>
    <row r="262" spans="2:11" ht="16" thickBot="1" x14ac:dyDescent="0.25">
      <c r="B262" s="46"/>
      <c r="C262" s="47"/>
      <c r="D262" s="47"/>
      <c r="E262" s="47"/>
      <c r="F262" s="47"/>
      <c r="G262" s="47"/>
      <c r="H262" s="47"/>
      <c r="I262" s="47"/>
      <c r="J262" s="47"/>
      <c r="K262" s="49"/>
    </row>
    <row r="263" spans="2:11" ht="16" thickBot="1" x14ac:dyDescent="0.25"/>
    <row r="264" spans="2:11" x14ac:dyDescent="0.2">
      <c r="B264" s="33"/>
      <c r="C264" s="34"/>
      <c r="D264" s="34"/>
      <c r="E264" s="34"/>
      <c r="F264" s="34"/>
      <c r="G264" s="34"/>
      <c r="H264" s="34"/>
      <c r="I264" s="34"/>
      <c r="J264" s="34"/>
      <c r="K264" s="37"/>
    </row>
    <row r="265" spans="2:11" ht="21" x14ac:dyDescent="0.25">
      <c r="B265" s="38"/>
      <c r="C265" s="40"/>
      <c r="D265" s="40"/>
      <c r="E265" s="40"/>
      <c r="F265" s="40"/>
      <c r="G265" s="172" t="s">
        <v>864</v>
      </c>
      <c r="H265" s="40"/>
      <c r="I265" s="40"/>
      <c r="J265" s="40"/>
      <c r="K265" s="41"/>
    </row>
    <row r="266" spans="2:11" ht="15" customHeight="1" x14ac:dyDescent="0.2">
      <c r="B266" s="38"/>
      <c r="C266" s="40"/>
      <c r="D266" s="40"/>
      <c r="E266" s="40"/>
      <c r="F266" s="40"/>
      <c r="G266" s="40"/>
      <c r="H266" s="40"/>
      <c r="I266" s="40"/>
      <c r="J266" s="40"/>
      <c r="K266" s="41"/>
    </row>
    <row r="267" spans="2:11" ht="16" x14ac:dyDescent="0.2">
      <c r="B267" s="38"/>
      <c r="C267" s="45" t="s">
        <v>80</v>
      </c>
      <c r="D267" s="40"/>
      <c r="E267" s="40"/>
      <c r="F267" s="40"/>
      <c r="G267" s="40"/>
      <c r="H267" s="40"/>
      <c r="I267" s="40"/>
      <c r="J267" s="40"/>
      <c r="K267" s="41"/>
    </row>
    <row r="268" spans="2:11" x14ac:dyDescent="0.2">
      <c r="B268" s="38"/>
      <c r="C268" s="40" t="s">
        <v>283</v>
      </c>
      <c r="D268" s="40"/>
      <c r="E268" s="40"/>
      <c r="F268" s="40"/>
      <c r="G268" s="40"/>
      <c r="H268" s="40"/>
      <c r="I268" s="40"/>
      <c r="J268" s="250">
        <f>'Baseline Health'!G88</f>
        <v>0</v>
      </c>
      <c r="K268" s="41"/>
    </row>
    <row r="269" spans="2:11" x14ac:dyDescent="0.2">
      <c r="B269" s="38"/>
      <c r="C269" s="40" t="s">
        <v>284</v>
      </c>
      <c r="D269" s="40"/>
      <c r="E269" s="40"/>
      <c r="F269" s="40"/>
      <c r="G269" s="40"/>
      <c r="H269" s="40"/>
      <c r="I269" s="40"/>
      <c r="J269" s="264">
        <f>J268*0.4</f>
        <v>0</v>
      </c>
      <c r="K269" s="41"/>
    </row>
    <row r="270" spans="2:11" x14ac:dyDescent="0.2">
      <c r="B270" s="38"/>
      <c r="C270" s="40" t="s">
        <v>285</v>
      </c>
      <c r="D270" s="40"/>
      <c r="E270" s="40"/>
      <c r="F270" s="40"/>
      <c r="G270" s="40"/>
      <c r="H270" s="40"/>
      <c r="I270" s="40"/>
      <c r="J270" s="259">
        <f>'Baseline Health'!G93</f>
        <v>0</v>
      </c>
      <c r="K270" s="41"/>
    </row>
    <row r="271" spans="2:11" x14ac:dyDescent="0.2">
      <c r="B271" s="38"/>
      <c r="C271" s="40" t="s">
        <v>286</v>
      </c>
      <c r="D271" s="40"/>
      <c r="E271" s="40"/>
      <c r="F271" s="40"/>
      <c r="G271" s="40"/>
      <c r="H271" s="40"/>
      <c r="I271" s="40"/>
      <c r="J271" s="250">
        <f>J184</f>
        <v>0</v>
      </c>
      <c r="K271" s="41"/>
    </row>
    <row r="272" spans="2:11" x14ac:dyDescent="0.2">
      <c r="B272" s="38"/>
      <c r="C272" s="40"/>
      <c r="D272" s="40" t="s">
        <v>432</v>
      </c>
      <c r="E272" s="40"/>
      <c r="F272" s="40"/>
      <c r="G272" s="40"/>
      <c r="H272" s="40"/>
      <c r="I272" s="40"/>
      <c r="J272" s="40"/>
      <c r="K272" s="41"/>
    </row>
    <row r="273" spans="2:14" x14ac:dyDescent="0.2">
      <c r="B273" s="38"/>
      <c r="C273" s="40" t="s">
        <v>292</v>
      </c>
      <c r="D273" s="40"/>
      <c r="E273" s="40"/>
      <c r="F273" s="40"/>
      <c r="G273" s="40"/>
      <c r="H273" s="40"/>
      <c r="I273" s="40"/>
      <c r="J273" s="258" t="str">
        <f>'Baseline Health'!G97</f>
        <v>N/A</v>
      </c>
      <c r="K273" s="41"/>
    </row>
    <row r="274" spans="2:14" x14ac:dyDescent="0.2">
      <c r="B274" s="38"/>
      <c r="C274" s="40" t="s">
        <v>293</v>
      </c>
      <c r="D274" s="40"/>
      <c r="E274" s="40"/>
      <c r="F274" s="40"/>
      <c r="G274" s="40"/>
      <c r="H274" s="40"/>
      <c r="I274" s="40"/>
      <c r="J274" s="258" t="str">
        <f>IF(J273="N/A","N/A",IF(J268-J269=0,"No Nurses",((J270+J271)/(J268-J269))))</f>
        <v>N/A</v>
      </c>
      <c r="K274" s="41"/>
    </row>
    <row r="275" spans="2:14" x14ac:dyDescent="0.2">
      <c r="B275" s="38"/>
      <c r="C275" s="40" t="s">
        <v>260</v>
      </c>
      <c r="D275" s="40"/>
      <c r="E275" s="40"/>
      <c r="F275" s="40"/>
      <c r="G275" s="40"/>
      <c r="H275" s="40"/>
      <c r="I275" s="40"/>
      <c r="J275" s="245">
        <f>IF(J273=0,"Not Calculated",IF(J274="N/A",0,IF(J274="No Nurses",4,IF((J274/J273)&lt;=1,0,IF((J274/J273)&lt;=1.1,1,IF((J274/J273)&lt;=1=1.25,2,IF((J274/J273)&lt;=1.5,3,4)))))))</f>
        <v>0</v>
      </c>
      <c r="K275" s="41"/>
    </row>
    <row r="276" spans="2:14" ht="9.75" customHeight="1" x14ac:dyDescent="0.2">
      <c r="B276" s="38"/>
      <c r="C276" s="279" t="str">
        <f>"0:"</f>
        <v>0:</v>
      </c>
      <c r="D276" s="278" t="s">
        <v>927</v>
      </c>
      <c r="E276" s="40"/>
      <c r="F276" s="40"/>
      <c r="G276" s="40"/>
      <c r="H276" s="40"/>
      <c r="I276" s="40"/>
      <c r="J276" s="258"/>
      <c r="K276" s="41"/>
    </row>
    <row r="277" spans="2:14" ht="9.75" customHeight="1" x14ac:dyDescent="0.2">
      <c r="B277" s="38"/>
      <c r="C277" s="280" t="str">
        <f>"1:"</f>
        <v>1:</v>
      </c>
      <c r="D277" s="278" t="s">
        <v>928</v>
      </c>
      <c r="E277" s="40"/>
      <c r="F277" s="40"/>
      <c r="G277" s="40"/>
      <c r="H277" s="40"/>
      <c r="I277" s="40"/>
      <c r="J277" s="258"/>
      <c r="K277" s="41"/>
    </row>
    <row r="278" spans="2:14" ht="9.75" customHeight="1" x14ac:dyDescent="0.2">
      <c r="B278" s="38"/>
      <c r="C278" s="280" t="str">
        <f>"2:"</f>
        <v>2:</v>
      </c>
      <c r="D278" s="278" t="s">
        <v>929</v>
      </c>
      <c r="E278" s="40"/>
      <c r="F278" s="40"/>
      <c r="G278" s="40"/>
      <c r="H278" s="40"/>
      <c r="I278" s="40"/>
      <c r="J278" s="258"/>
      <c r="K278" s="41"/>
    </row>
    <row r="279" spans="2:14" ht="9.75" customHeight="1" x14ac:dyDescent="0.2">
      <c r="B279" s="38"/>
      <c r="C279" s="280" t="str">
        <f>"3:"</f>
        <v>3:</v>
      </c>
      <c r="D279" s="278" t="s">
        <v>930</v>
      </c>
      <c r="E279" s="40"/>
      <c r="F279" s="40"/>
      <c r="G279" s="40"/>
      <c r="H279" s="40"/>
      <c r="I279" s="40"/>
      <c r="J279" s="258"/>
      <c r="K279" s="41"/>
    </row>
    <row r="280" spans="2:14" ht="9.75" customHeight="1" x14ac:dyDescent="0.2">
      <c r="B280" s="38"/>
      <c r="C280" s="280" t="str">
        <f>"4:"</f>
        <v>4:</v>
      </c>
      <c r="D280" s="278" t="s">
        <v>931</v>
      </c>
      <c r="E280" s="40"/>
      <c r="F280" s="40"/>
      <c r="G280" s="40"/>
      <c r="H280" s="40"/>
      <c r="I280" s="40"/>
      <c r="J280" s="40"/>
      <c r="K280" s="41"/>
      <c r="N280" s="12" t="s">
        <v>661</v>
      </c>
    </row>
    <row r="281" spans="2:14" x14ac:dyDescent="0.2">
      <c r="B281" s="38"/>
      <c r="C281" s="174" t="s">
        <v>662</v>
      </c>
      <c r="D281" s="40"/>
      <c r="E281" s="40"/>
      <c r="F281" s="40"/>
      <c r="G281" s="40"/>
      <c r="H281" s="40"/>
      <c r="I281" s="40"/>
      <c r="J281" s="265" t="s">
        <v>661</v>
      </c>
      <c r="K281" s="41"/>
      <c r="N281" s="12" t="s">
        <v>903</v>
      </c>
    </row>
    <row r="282" spans="2:14" x14ac:dyDescent="0.2">
      <c r="B282" s="38"/>
      <c r="C282" s="174" t="s">
        <v>660</v>
      </c>
      <c r="D282" s="40"/>
      <c r="E282" s="40"/>
      <c r="F282" s="40"/>
      <c r="G282" s="40"/>
      <c r="H282" s="40"/>
      <c r="I282" s="40"/>
      <c r="J282" s="246" t="str">
        <f>IF(J281=N280,"N/A",IF(J281=N281,0,IF(J281=N282,1,IF(J281=N283,2,IF(J281=N284,3,IF(J281=N285,4,"N/A"))))))</f>
        <v>N/A</v>
      </c>
      <c r="K282" s="41"/>
      <c r="N282" s="12" t="s">
        <v>904</v>
      </c>
    </row>
    <row r="283" spans="2:14" x14ac:dyDescent="0.2">
      <c r="B283" s="38"/>
      <c r="C283" s="40" t="s">
        <v>257</v>
      </c>
      <c r="D283" s="40"/>
      <c r="E283" s="40"/>
      <c r="F283" s="40"/>
      <c r="G283" s="40"/>
      <c r="H283" s="40"/>
      <c r="I283" s="40"/>
      <c r="J283" s="266" t="s">
        <v>874</v>
      </c>
      <c r="K283" s="41"/>
      <c r="N283" s="12" t="s">
        <v>905</v>
      </c>
    </row>
    <row r="284" spans="2:14" x14ac:dyDescent="0.2">
      <c r="B284" s="38"/>
      <c r="C284" s="40" t="s">
        <v>261</v>
      </c>
      <c r="D284" s="40"/>
      <c r="E284" s="40"/>
      <c r="F284" s="40"/>
      <c r="G284" s="40"/>
      <c r="H284" s="40"/>
      <c r="I284" s="40"/>
      <c r="J284" s="248">
        <f>IF(J283=$B$973,$A$973,IF(J283=$B$974,$A$974,IF(J283=$B$975,$A$975,IF(J283=$B$976,$A$976,IF(J283=$B$977,$A$977,"Not Calculated")))))</f>
        <v>4</v>
      </c>
      <c r="K284" s="41"/>
      <c r="N284" s="12" t="s">
        <v>906</v>
      </c>
    </row>
    <row r="285" spans="2:14" x14ac:dyDescent="0.2">
      <c r="B285" s="38"/>
      <c r="C285" s="40" t="s">
        <v>893</v>
      </c>
      <c r="D285" s="40"/>
      <c r="E285" s="40"/>
      <c r="F285" s="40"/>
      <c r="G285" s="40"/>
      <c r="H285" s="40"/>
      <c r="I285" s="40"/>
      <c r="J285" s="40"/>
      <c r="K285" s="41"/>
      <c r="N285" s="12" t="s">
        <v>907</v>
      </c>
    </row>
    <row r="286" spans="2:14" ht="30" customHeight="1" x14ac:dyDescent="0.2">
      <c r="B286" s="38"/>
      <c r="C286" s="399" t="s">
        <v>528</v>
      </c>
      <c r="D286" s="400"/>
      <c r="E286" s="400"/>
      <c r="F286" s="400"/>
      <c r="G286" s="400"/>
      <c r="H286" s="400"/>
      <c r="I286" s="400"/>
      <c r="J286" s="401"/>
      <c r="K286" s="41"/>
    </row>
    <row r="287" spans="2:14" x14ac:dyDescent="0.2">
      <c r="B287" s="38"/>
      <c r="C287" s="40"/>
      <c r="D287" s="40"/>
      <c r="E287" s="40"/>
      <c r="F287" s="40"/>
      <c r="G287" s="40"/>
      <c r="H287" s="40"/>
      <c r="I287" s="40"/>
      <c r="J287" s="40"/>
      <c r="K287" s="41"/>
    </row>
    <row r="288" spans="2:14" x14ac:dyDescent="0.2">
      <c r="B288" s="38"/>
      <c r="C288" s="179" t="s">
        <v>295</v>
      </c>
      <c r="D288" s="40"/>
      <c r="E288" s="40"/>
      <c r="F288" s="40"/>
      <c r="G288" s="40"/>
      <c r="H288" s="40"/>
      <c r="I288" s="40"/>
      <c r="J288" s="245">
        <f>IF(J282="N/A",IF(OR(J275="Not Calculated",J284="Not Calculated")=TRUE,"Not Calculated",AVERAGE(J275,J284)),AVERAGE(J282,J284))</f>
        <v>2</v>
      </c>
      <c r="K288" s="41"/>
    </row>
    <row r="289" spans="2:11" x14ac:dyDescent="0.2">
      <c r="B289" s="38"/>
      <c r="C289" s="40"/>
      <c r="D289" s="40"/>
      <c r="E289" s="40"/>
      <c r="F289" s="40"/>
      <c r="G289" s="40"/>
      <c r="H289" s="40"/>
      <c r="I289" s="40"/>
      <c r="J289" s="245"/>
      <c r="K289" s="41"/>
    </row>
    <row r="290" spans="2:11" x14ac:dyDescent="0.2">
      <c r="B290" s="38"/>
      <c r="C290" s="40"/>
      <c r="D290" s="40"/>
      <c r="E290" s="40"/>
      <c r="F290" s="40"/>
      <c r="G290" s="40"/>
      <c r="H290" s="40"/>
      <c r="I290" s="40"/>
      <c r="J290" s="40"/>
      <c r="K290" s="41"/>
    </row>
    <row r="291" spans="2:11" ht="16" x14ac:dyDescent="0.2">
      <c r="B291" s="38"/>
      <c r="C291" s="45" t="s">
        <v>856</v>
      </c>
      <c r="D291" s="40"/>
      <c r="E291" s="40"/>
      <c r="F291" s="40"/>
      <c r="G291" s="40"/>
      <c r="H291" s="40"/>
      <c r="I291" s="40"/>
      <c r="J291" s="40"/>
      <c r="K291" s="41"/>
    </row>
    <row r="292" spans="2:11" ht="15" customHeight="1" x14ac:dyDescent="0.2">
      <c r="B292" s="38"/>
      <c r="C292" s="380" t="s">
        <v>855</v>
      </c>
      <c r="D292" s="380"/>
      <c r="E292" s="380"/>
      <c r="F292" s="380"/>
      <c r="G292" s="380"/>
      <c r="H292" s="380"/>
      <c r="I292" s="380"/>
      <c r="J292" s="40"/>
      <c r="K292" s="41"/>
    </row>
    <row r="293" spans="2:11" x14ac:dyDescent="0.2">
      <c r="B293" s="38"/>
      <c r="C293" s="380"/>
      <c r="D293" s="380"/>
      <c r="E293" s="380"/>
      <c r="F293" s="380"/>
      <c r="G293" s="380"/>
      <c r="H293" s="380"/>
      <c r="I293" s="380"/>
      <c r="J293" s="264">
        <v>0</v>
      </c>
      <c r="K293" s="41"/>
    </row>
    <row r="294" spans="2:11" x14ac:dyDescent="0.2">
      <c r="B294" s="38"/>
      <c r="C294" s="40" t="s">
        <v>853</v>
      </c>
      <c r="D294" s="291"/>
      <c r="E294" s="291"/>
      <c r="F294" s="291"/>
      <c r="G294" s="291"/>
      <c r="H294" s="291"/>
      <c r="I294" s="291"/>
      <c r="J294" s="255">
        <f>'Baseline Health'!$G$102</f>
        <v>0</v>
      </c>
      <c r="K294" s="41"/>
    </row>
    <row r="295" spans="2:11" x14ac:dyDescent="0.2">
      <c r="B295" s="38"/>
      <c r="C295" s="40" t="s">
        <v>842</v>
      </c>
      <c r="D295" s="40"/>
      <c r="E295" s="40"/>
      <c r="F295" s="40"/>
      <c r="G295" s="40"/>
      <c r="H295" s="40"/>
      <c r="I295" s="40"/>
      <c r="J295" s="244" t="str">
        <f>IF('Baseline Health'!$G$102=0,"Not Calculated",100*J293/'Baseline Health'!$G$102)</f>
        <v>Not Calculated</v>
      </c>
      <c r="K295" s="41"/>
    </row>
    <row r="296" spans="2:11" x14ac:dyDescent="0.2">
      <c r="B296" s="38"/>
      <c r="C296" s="40" t="s">
        <v>260</v>
      </c>
      <c r="D296" s="40"/>
      <c r="E296" s="40"/>
      <c r="F296" s="40"/>
      <c r="G296" s="40"/>
      <c r="H296" s="40"/>
      <c r="I296" s="40"/>
      <c r="J296" s="245">
        <f>IF(J295&lt;=0,0,IF(J295&lt;=1,1,IF(J295&lt;=5,2,IF(J295&lt;=10,3,4))))</f>
        <v>4</v>
      </c>
      <c r="K296" s="41"/>
    </row>
    <row r="297" spans="2:11" ht="9.75" customHeight="1" x14ac:dyDescent="0.2">
      <c r="B297" s="38"/>
      <c r="C297" s="279" t="str">
        <f>"0:"</f>
        <v>0:</v>
      </c>
      <c r="D297" s="278" t="s">
        <v>932</v>
      </c>
      <c r="E297" s="40"/>
      <c r="F297" s="40"/>
      <c r="G297" s="40"/>
      <c r="H297" s="40"/>
      <c r="I297" s="40"/>
      <c r="J297" s="244"/>
      <c r="K297" s="41"/>
    </row>
    <row r="298" spans="2:11" ht="9.75" customHeight="1" x14ac:dyDescent="0.2">
      <c r="B298" s="38"/>
      <c r="C298" s="280" t="str">
        <f>"1:"</f>
        <v>1:</v>
      </c>
      <c r="D298" s="278" t="s">
        <v>934</v>
      </c>
      <c r="E298" s="40"/>
      <c r="F298" s="40"/>
      <c r="G298" s="40"/>
      <c r="H298" s="40"/>
      <c r="I298" s="40"/>
      <c r="J298" s="244"/>
      <c r="K298" s="41"/>
    </row>
    <row r="299" spans="2:11" ht="9.75" customHeight="1" x14ac:dyDescent="0.2">
      <c r="B299" s="38"/>
      <c r="C299" s="280" t="str">
        <f>"2:"</f>
        <v>2:</v>
      </c>
      <c r="D299" s="278" t="s">
        <v>933</v>
      </c>
      <c r="E299" s="40"/>
      <c r="F299" s="40"/>
      <c r="G299" s="40"/>
      <c r="H299" s="40"/>
      <c r="I299" s="40"/>
      <c r="J299" s="244"/>
      <c r="K299" s="41"/>
    </row>
    <row r="300" spans="2:11" ht="9.75" customHeight="1" x14ac:dyDescent="0.2">
      <c r="B300" s="38"/>
      <c r="C300" s="280" t="str">
        <f>"3:"</f>
        <v>3:</v>
      </c>
      <c r="D300" s="278" t="s">
        <v>935</v>
      </c>
      <c r="E300" s="40"/>
      <c r="F300" s="40"/>
      <c r="G300" s="40"/>
      <c r="H300" s="40"/>
      <c r="I300" s="40"/>
      <c r="J300" s="244"/>
      <c r="K300" s="41"/>
    </row>
    <row r="301" spans="2:11" ht="9.75" customHeight="1" x14ac:dyDescent="0.2">
      <c r="B301" s="38"/>
      <c r="C301" s="280" t="str">
        <f>"4:"</f>
        <v>4:</v>
      </c>
      <c r="D301" s="278" t="s">
        <v>936</v>
      </c>
      <c r="E301" s="40"/>
      <c r="F301" s="40"/>
      <c r="G301" s="40"/>
      <c r="H301" s="40"/>
      <c r="I301" s="40"/>
      <c r="J301" s="40"/>
      <c r="K301" s="41"/>
    </row>
    <row r="302" spans="2:11" x14ac:dyDescent="0.2">
      <c r="B302" s="38"/>
      <c r="C302" s="40" t="s">
        <v>257</v>
      </c>
      <c r="D302" s="40"/>
      <c r="E302" s="40"/>
      <c r="F302" s="40"/>
      <c r="G302" s="40"/>
      <c r="H302" s="40"/>
      <c r="I302" s="40"/>
      <c r="J302" s="266" t="s">
        <v>870</v>
      </c>
      <c r="K302" s="41"/>
    </row>
    <row r="303" spans="2:11" x14ac:dyDescent="0.2">
      <c r="B303" s="38"/>
      <c r="C303" s="40" t="s">
        <v>261</v>
      </c>
      <c r="D303" s="40"/>
      <c r="E303" s="40"/>
      <c r="F303" s="40"/>
      <c r="G303" s="40"/>
      <c r="H303" s="40"/>
      <c r="I303" s="40"/>
      <c r="J303" s="245">
        <f>IF(J302=$B$980,$A$980,IF(J302=$B$981,$A$981,IF(J302=$B$982,$A$982,IF(J302=$B$983,$A$983,IF(J302=$B$984,$A$984,"Not Calculated")))))</f>
        <v>0</v>
      </c>
      <c r="K303" s="41"/>
    </row>
    <row r="304" spans="2:11" x14ac:dyDescent="0.2">
      <c r="B304" s="38"/>
      <c r="C304" s="40" t="s">
        <v>893</v>
      </c>
      <c r="D304" s="40"/>
      <c r="E304" s="40"/>
      <c r="F304" s="40"/>
      <c r="G304" s="40"/>
      <c r="H304" s="40"/>
      <c r="I304" s="40"/>
      <c r="J304" s="40"/>
      <c r="K304" s="41"/>
    </row>
    <row r="305" spans="2:11" ht="30" customHeight="1" x14ac:dyDescent="0.2">
      <c r="B305" s="38"/>
      <c r="C305" s="399"/>
      <c r="D305" s="400"/>
      <c r="E305" s="400"/>
      <c r="F305" s="400"/>
      <c r="G305" s="400"/>
      <c r="H305" s="400"/>
      <c r="I305" s="400"/>
      <c r="J305" s="401"/>
      <c r="K305" s="41"/>
    </row>
    <row r="306" spans="2:11" x14ac:dyDescent="0.2">
      <c r="B306" s="38"/>
      <c r="C306" s="40"/>
      <c r="D306" s="40"/>
      <c r="E306" s="40"/>
      <c r="F306" s="40"/>
      <c r="G306" s="40"/>
      <c r="H306" s="40"/>
      <c r="I306" s="40"/>
      <c r="J306" s="40"/>
      <c r="K306" s="41"/>
    </row>
    <row r="307" spans="2:11" x14ac:dyDescent="0.2">
      <c r="B307" s="38"/>
      <c r="C307" s="179" t="s">
        <v>885</v>
      </c>
      <c r="D307" s="40"/>
      <c r="E307" s="40"/>
      <c r="F307" s="40"/>
      <c r="G307" s="40"/>
      <c r="H307" s="40"/>
      <c r="I307" s="40"/>
      <c r="J307" s="245">
        <f>IF(OR(J296="Not Calculated",J303="Not Calculated")=TRUE,"Not Calculated",AVERAGE(J296,J303))</f>
        <v>2</v>
      </c>
      <c r="K307" s="41"/>
    </row>
    <row r="308" spans="2:11" x14ac:dyDescent="0.2">
      <c r="B308" s="38"/>
      <c r="C308" s="40"/>
      <c r="D308" s="40"/>
      <c r="E308" s="40"/>
      <c r="F308" s="40"/>
      <c r="G308" s="40"/>
      <c r="H308" s="40"/>
      <c r="I308" s="40"/>
      <c r="J308" s="40"/>
      <c r="K308" s="41"/>
    </row>
    <row r="309" spans="2:11" x14ac:dyDescent="0.2">
      <c r="B309" s="38"/>
      <c r="C309" s="40"/>
      <c r="D309" s="40"/>
      <c r="E309" s="40"/>
      <c r="F309" s="40"/>
      <c r="G309" s="40"/>
      <c r="H309" s="40"/>
      <c r="I309" s="40"/>
      <c r="J309" s="40"/>
      <c r="K309" s="41"/>
    </row>
    <row r="310" spans="2:11" ht="16" x14ac:dyDescent="0.2">
      <c r="B310" s="38"/>
      <c r="C310" s="45" t="s">
        <v>857</v>
      </c>
      <c r="D310" s="40"/>
      <c r="E310" s="40"/>
      <c r="F310" s="40"/>
      <c r="G310" s="40"/>
      <c r="H310" s="40"/>
      <c r="I310" s="40"/>
      <c r="J310" s="40"/>
      <c r="K310" s="41"/>
    </row>
    <row r="311" spans="2:11" ht="15" customHeight="1" x14ac:dyDescent="0.2">
      <c r="B311" s="38"/>
      <c r="C311" s="380" t="s">
        <v>843</v>
      </c>
      <c r="D311" s="380"/>
      <c r="E311" s="380"/>
      <c r="F311" s="380"/>
      <c r="G311" s="380"/>
      <c r="H311" s="380"/>
      <c r="I311" s="380"/>
      <c r="J311" s="40"/>
      <c r="K311" s="41"/>
    </row>
    <row r="312" spans="2:11" x14ac:dyDescent="0.2">
      <c r="B312" s="38"/>
      <c r="C312" s="380"/>
      <c r="D312" s="380"/>
      <c r="E312" s="380"/>
      <c r="F312" s="380"/>
      <c r="G312" s="380"/>
      <c r="H312" s="380"/>
      <c r="I312" s="380"/>
      <c r="J312" s="264">
        <f>'Baseline Health'!$G$102*0.1</f>
        <v>0</v>
      </c>
      <c r="K312" s="41"/>
    </row>
    <row r="313" spans="2:11" x14ac:dyDescent="0.2">
      <c r="B313" s="38"/>
      <c r="C313" s="40" t="s">
        <v>853</v>
      </c>
      <c r="D313" s="291"/>
      <c r="E313" s="291"/>
      <c r="F313" s="291"/>
      <c r="G313" s="291"/>
      <c r="H313" s="291"/>
      <c r="I313" s="291"/>
      <c r="J313" s="255">
        <f>'Baseline Health'!$G$102</f>
        <v>0</v>
      </c>
      <c r="K313" s="41"/>
    </row>
    <row r="314" spans="2:11" x14ac:dyDescent="0.2">
      <c r="B314" s="38"/>
      <c r="C314" s="40" t="s">
        <v>842</v>
      </c>
      <c r="D314" s="40"/>
      <c r="E314" s="40"/>
      <c r="F314" s="40"/>
      <c r="G314" s="40"/>
      <c r="H314" s="40"/>
      <c r="I314" s="40"/>
      <c r="J314" s="244" t="str">
        <f>IF('Baseline Health'!$G$102=0,"Not Calculated",100*J312/'Baseline Health'!$G$102)</f>
        <v>Not Calculated</v>
      </c>
      <c r="K314" s="41"/>
    </row>
    <row r="315" spans="2:11" x14ac:dyDescent="0.2">
      <c r="B315" s="38"/>
      <c r="C315" s="40" t="s">
        <v>260</v>
      </c>
      <c r="D315" s="40"/>
      <c r="E315" s="40"/>
      <c r="F315" s="40"/>
      <c r="G315" s="40"/>
      <c r="H315" s="40"/>
      <c r="I315" s="40"/>
      <c r="J315" s="245">
        <f>IF(J314&lt;=0,0,IF(J314&lt;=1,1,IF(J314&lt;=5,2,IF(J314&lt;=10,3,4))))</f>
        <v>4</v>
      </c>
      <c r="K315" s="41"/>
    </row>
    <row r="316" spans="2:11" ht="9.75" customHeight="1" x14ac:dyDescent="0.2">
      <c r="B316" s="38"/>
      <c r="C316" s="279" t="str">
        <f>"0:"</f>
        <v>0:</v>
      </c>
      <c r="D316" s="278" t="s">
        <v>932</v>
      </c>
      <c r="E316" s="40"/>
      <c r="F316" s="40"/>
      <c r="G316" s="40"/>
      <c r="H316" s="40"/>
      <c r="I316" s="40"/>
      <c r="J316" s="244"/>
      <c r="K316" s="41"/>
    </row>
    <row r="317" spans="2:11" ht="9.75" customHeight="1" x14ac:dyDescent="0.2">
      <c r="B317" s="38"/>
      <c r="C317" s="280" t="str">
        <f>"1:"</f>
        <v>1:</v>
      </c>
      <c r="D317" s="278" t="s">
        <v>934</v>
      </c>
      <c r="E317" s="40"/>
      <c r="F317" s="40"/>
      <c r="G317" s="40"/>
      <c r="H317" s="40"/>
      <c r="I317" s="40"/>
      <c r="J317" s="244"/>
      <c r="K317" s="41"/>
    </row>
    <row r="318" spans="2:11" ht="9.75" customHeight="1" x14ac:dyDescent="0.2">
      <c r="B318" s="38"/>
      <c r="C318" s="280" t="str">
        <f>"2:"</f>
        <v>2:</v>
      </c>
      <c r="D318" s="278" t="s">
        <v>933</v>
      </c>
      <c r="E318" s="40"/>
      <c r="F318" s="40"/>
      <c r="G318" s="40"/>
      <c r="H318" s="40"/>
      <c r="I318" s="40"/>
      <c r="J318" s="244"/>
      <c r="K318" s="41"/>
    </row>
    <row r="319" spans="2:11" ht="9.75" customHeight="1" x14ac:dyDescent="0.2">
      <c r="B319" s="38"/>
      <c r="C319" s="280" t="str">
        <f>"3:"</f>
        <v>3:</v>
      </c>
      <c r="D319" s="278" t="s">
        <v>935</v>
      </c>
      <c r="E319" s="40"/>
      <c r="F319" s="40"/>
      <c r="G319" s="40"/>
      <c r="H319" s="40"/>
      <c r="I319" s="40"/>
      <c r="J319" s="244"/>
      <c r="K319" s="41"/>
    </row>
    <row r="320" spans="2:11" ht="9.75" customHeight="1" x14ac:dyDescent="0.2">
      <c r="B320" s="38"/>
      <c r="C320" s="280" t="str">
        <f>"4:"</f>
        <v>4:</v>
      </c>
      <c r="D320" s="278" t="s">
        <v>936</v>
      </c>
      <c r="E320" s="40"/>
      <c r="F320" s="40"/>
      <c r="G320" s="40"/>
      <c r="H320" s="40"/>
      <c r="I320" s="40"/>
      <c r="J320" s="40"/>
      <c r="K320" s="41"/>
    </row>
    <row r="321" spans="2:11" x14ac:dyDescent="0.2">
      <c r="B321" s="38"/>
      <c r="C321" s="40" t="s">
        <v>296</v>
      </c>
      <c r="D321" s="40"/>
      <c r="E321" s="40"/>
      <c r="F321" s="40"/>
      <c r="G321" s="40"/>
      <c r="H321" s="40"/>
      <c r="I321" s="40"/>
      <c r="J321" s="266">
        <v>4</v>
      </c>
      <c r="K321" s="41"/>
    </row>
    <row r="322" spans="2:11" x14ac:dyDescent="0.2">
      <c r="B322" s="38"/>
      <c r="C322" s="40" t="s">
        <v>261</v>
      </c>
      <c r="D322" s="40"/>
      <c r="E322" s="40"/>
      <c r="F322" s="40"/>
      <c r="G322" s="40"/>
      <c r="H322" s="40"/>
      <c r="I322" s="40"/>
      <c r="J322" s="245">
        <f>IF(J321&lt;=0,0,IF(J321&lt;=2,1,IF(J321&lt;=6,2,IF(J321&lt;=12,3,4))))</f>
        <v>2</v>
      </c>
      <c r="K322" s="41"/>
    </row>
    <row r="323" spans="2:11" x14ac:dyDescent="0.2">
      <c r="B323" s="38"/>
      <c r="C323" s="40" t="s">
        <v>893</v>
      </c>
      <c r="D323" s="40"/>
      <c r="E323" s="40"/>
      <c r="F323" s="40"/>
      <c r="G323" s="40"/>
      <c r="H323" s="40"/>
      <c r="I323" s="40"/>
      <c r="J323" s="40"/>
      <c r="K323" s="41"/>
    </row>
    <row r="324" spans="2:11" ht="120" customHeight="1" x14ac:dyDescent="0.2">
      <c r="B324" s="38"/>
      <c r="C324" s="399" t="s">
        <v>534</v>
      </c>
      <c r="D324" s="400"/>
      <c r="E324" s="400"/>
      <c r="F324" s="400"/>
      <c r="G324" s="400"/>
      <c r="H324" s="400"/>
      <c r="I324" s="400"/>
      <c r="J324" s="401"/>
      <c r="K324" s="41"/>
    </row>
    <row r="325" spans="2:11" x14ac:dyDescent="0.2">
      <c r="B325" s="38"/>
      <c r="C325" s="40"/>
      <c r="D325" s="40"/>
      <c r="E325" s="40"/>
      <c r="F325" s="40"/>
      <c r="G325" s="40"/>
      <c r="H325" s="40"/>
      <c r="I325" s="40"/>
      <c r="J325" s="40"/>
      <c r="K325" s="41"/>
    </row>
    <row r="326" spans="2:11" x14ac:dyDescent="0.2">
      <c r="B326" s="38"/>
      <c r="C326" s="179" t="s">
        <v>886</v>
      </c>
      <c r="D326" s="40"/>
      <c r="E326" s="40"/>
      <c r="F326" s="40"/>
      <c r="G326" s="40"/>
      <c r="H326" s="40"/>
      <c r="I326" s="40"/>
      <c r="J326" s="245">
        <f>IF(OR(J315="Not Calculated",J322="Not Calculated")=TRUE,"Not Calculated",AVERAGE(J315,J322))</f>
        <v>3</v>
      </c>
      <c r="K326" s="41"/>
    </row>
    <row r="327" spans="2:11" x14ac:dyDescent="0.2">
      <c r="B327" s="38"/>
      <c r="C327" s="40"/>
      <c r="D327" s="40"/>
      <c r="E327" s="40"/>
      <c r="F327" s="40"/>
      <c r="G327" s="40"/>
      <c r="H327" s="40"/>
      <c r="I327" s="40"/>
      <c r="J327" s="40"/>
      <c r="K327" s="41"/>
    </row>
    <row r="328" spans="2:11" x14ac:dyDescent="0.2">
      <c r="B328" s="38"/>
      <c r="C328" s="40"/>
      <c r="D328" s="40"/>
      <c r="E328" s="40"/>
      <c r="F328" s="40"/>
      <c r="G328" s="40"/>
      <c r="H328" s="40"/>
      <c r="I328" s="40"/>
      <c r="J328" s="40"/>
      <c r="K328" s="41"/>
    </row>
    <row r="329" spans="2:11" ht="16" x14ac:dyDescent="0.2">
      <c r="B329" s="38"/>
      <c r="C329" s="45" t="s">
        <v>858</v>
      </c>
      <c r="D329" s="40"/>
      <c r="E329" s="40"/>
      <c r="F329" s="40"/>
      <c r="G329" s="40"/>
      <c r="H329" s="40"/>
      <c r="I329" s="40"/>
      <c r="J329" s="40"/>
      <c r="K329" s="41"/>
    </row>
    <row r="330" spans="2:11" ht="15" customHeight="1" x14ac:dyDescent="0.2">
      <c r="B330" s="38"/>
      <c r="C330" s="380" t="s">
        <v>844</v>
      </c>
      <c r="D330" s="380"/>
      <c r="E330" s="380"/>
      <c r="F330" s="380"/>
      <c r="G330" s="380"/>
      <c r="H330" s="380"/>
      <c r="I330" s="380"/>
      <c r="J330" s="40"/>
      <c r="K330" s="41"/>
    </row>
    <row r="331" spans="2:11" x14ac:dyDescent="0.2">
      <c r="B331" s="38"/>
      <c r="C331" s="380"/>
      <c r="D331" s="380"/>
      <c r="E331" s="380"/>
      <c r="F331" s="380"/>
      <c r="G331" s="380"/>
      <c r="H331" s="380"/>
      <c r="I331" s="380"/>
      <c r="J331" s="264">
        <v>0</v>
      </c>
      <c r="K331" s="41"/>
    </row>
    <row r="332" spans="2:11" x14ac:dyDescent="0.2">
      <c r="B332" s="38"/>
      <c r="C332" s="40" t="s">
        <v>853</v>
      </c>
      <c r="D332" s="291"/>
      <c r="E332" s="291"/>
      <c r="F332" s="291"/>
      <c r="G332" s="291"/>
      <c r="H332" s="291"/>
      <c r="I332" s="291"/>
      <c r="J332" s="255">
        <f>'Baseline Health'!$G$102</f>
        <v>0</v>
      </c>
      <c r="K332" s="41"/>
    </row>
    <row r="333" spans="2:11" x14ac:dyDescent="0.2">
      <c r="B333" s="38"/>
      <c r="C333" s="40" t="s">
        <v>845</v>
      </c>
      <c r="D333" s="40"/>
      <c r="E333" s="40"/>
      <c r="F333" s="40"/>
      <c r="G333" s="40"/>
      <c r="H333" s="40"/>
      <c r="I333" s="40"/>
      <c r="J333" s="244" t="str">
        <f>IF('Baseline Health'!$G$102=0,"Not Calculated",100*J331/'Baseline Health'!$G$102)</f>
        <v>Not Calculated</v>
      </c>
      <c r="K333" s="41"/>
    </row>
    <row r="334" spans="2:11" x14ac:dyDescent="0.2">
      <c r="B334" s="38"/>
      <c r="C334" s="40" t="s">
        <v>260</v>
      </c>
      <c r="D334" s="40"/>
      <c r="E334" s="40"/>
      <c r="F334" s="40"/>
      <c r="G334" s="40"/>
      <c r="H334" s="40"/>
      <c r="I334" s="40"/>
      <c r="J334" s="245">
        <f>IF(J333&lt;=0,0,IF(J333&lt;=1,1,IF(J333&lt;=5,2,IF(J333&lt;=10,3,4))))</f>
        <v>4</v>
      </c>
      <c r="K334" s="41"/>
    </row>
    <row r="335" spans="2:11" ht="9.75" customHeight="1" x14ac:dyDescent="0.2">
      <c r="B335" s="38"/>
      <c r="C335" s="279" t="str">
        <f>"0:"</f>
        <v>0:</v>
      </c>
      <c r="D335" s="278" t="s">
        <v>932</v>
      </c>
      <c r="E335" s="40"/>
      <c r="F335" s="40"/>
      <c r="G335" s="40"/>
      <c r="H335" s="40"/>
      <c r="I335" s="40"/>
      <c r="J335" s="244"/>
      <c r="K335" s="41"/>
    </row>
    <row r="336" spans="2:11" ht="9.75" customHeight="1" x14ac:dyDescent="0.2">
      <c r="B336" s="38"/>
      <c r="C336" s="280" t="str">
        <f>"1:"</f>
        <v>1:</v>
      </c>
      <c r="D336" s="278" t="s">
        <v>934</v>
      </c>
      <c r="E336" s="40"/>
      <c r="F336" s="40"/>
      <c r="G336" s="40"/>
      <c r="H336" s="40"/>
      <c r="I336" s="40"/>
      <c r="J336" s="244"/>
      <c r="K336" s="41"/>
    </row>
    <row r="337" spans="2:11" ht="9.75" customHeight="1" x14ac:dyDescent="0.2">
      <c r="B337" s="38"/>
      <c r="C337" s="280" t="str">
        <f>"2:"</f>
        <v>2:</v>
      </c>
      <c r="D337" s="278" t="s">
        <v>933</v>
      </c>
      <c r="E337" s="40"/>
      <c r="F337" s="40"/>
      <c r="G337" s="40"/>
      <c r="H337" s="40"/>
      <c r="I337" s="40"/>
      <c r="J337" s="244"/>
      <c r="K337" s="41"/>
    </row>
    <row r="338" spans="2:11" ht="9.75" customHeight="1" x14ac:dyDescent="0.2">
      <c r="B338" s="38"/>
      <c r="C338" s="280" t="str">
        <f>"3:"</f>
        <v>3:</v>
      </c>
      <c r="D338" s="278" t="s">
        <v>935</v>
      </c>
      <c r="E338" s="40"/>
      <c r="F338" s="40"/>
      <c r="G338" s="40"/>
      <c r="H338" s="40"/>
      <c r="I338" s="40"/>
      <c r="J338" s="244"/>
      <c r="K338" s="41"/>
    </row>
    <row r="339" spans="2:11" ht="9.75" customHeight="1" x14ac:dyDescent="0.2">
      <c r="B339" s="38"/>
      <c r="C339" s="280" t="str">
        <f>"4:"</f>
        <v>4:</v>
      </c>
      <c r="D339" s="278" t="s">
        <v>936</v>
      </c>
      <c r="E339" s="40"/>
      <c r="F339" s="40"/>
      <c r="G339" s="40"/>
      <c r="H339" s="40"/>
      <c r="I339" s="40"/>
      <c r="J339" s="40"/>
      <c r="K339" s="41"/>
    </row>
    <row r="340" spans="2:11" ht="15" customHeight="1" x14ac:dyDescent="0.2">
      <c r="B340" s="38"/>
      <c r="C340" s="380" t="s">
        <v>84</v>
      </c>
      <c r="D340" s="380"/>
      <c r="E340" s="380"/>
      <c r="F340" s="380"/>
      <c r="G340" s="380"/>
      <c r="H340" s="380"/>
      <c r="I340" s="380"/>
      <c r="J340" s="245"/>
      <c r="K340" s="41"/>
    </row>
    <row r="341" spans="2:11" x14ac:dyDescent="0.2">
      <c r="B341" s="38"/>
      <c r="C341" s="380"/>
      <c r="D341" s="380"/>
      <c r="E341" s="380"/>
      <c r="F341" s="380"/>
      <c r="G341" s="380"/>
      <c r="H341" s="380"/>
      <c r="I341" s="380"/>
      <c r="J341" s="251">
        <f>'Baseline Health'!G108</f>
        <v>40</v>
      </c>
      <c r="K341" s="41"/>
    </row>
    <row r="342" spans="2:11" ht="15" customHeight="1" x14ac:dyDescent="0.2">
      <c r="B342" s="38"/>
      <c r="C342" s="40" t="s">
        <v>833</v>
      </c>
      <c r="D342" s="40"/>
      <c r="E342" s="40"/>
      <c r="F342" s="40"/>
      <c r="G342" s="40"/>
      <c r="H342" s="40"/>
      <c r="I342" s="40"/>
      <c r="J342" s="245">
        <f>IF(J341&gt;J321,0,J321-J341)</f>
        <v>0</v>
      </c>
      <c r="K342" s="41"/>
    </row>
    <row r="343" spans="2:11" ht="15" customHeight="1" x14ac:dyDescent="0.2">
      <c r="B343" s="38"/>
      <c r="C343" s="40"/>
      <c r="D343" s="380" t="s">
        <v>834</v>
      </c>
      <c r="E343" s="380"/>
      <c r="F343" s="380"/>
      <c r="G343" s="380"/>
      <c r="H343" s="380"/>
      <c r="I343" s="380"/>
      <c r="J343" s="40"/>
      <c r="K343" s="41"/>
    </row>
    <row r="344" spans="2:11" x14ac:dyDescent="0.2">
      <c r="B344" s="38"/>
      <c r="C344" s="40"/>
      <c r="D344" s="380"/>
      <c r="E344" s="380"/>
      <c r="F344" s="380"/>
      <c r="G344" s="380"/>
      <c r="H344" s="380"/>
      <c r="I344" s="380"/>
      <c r="J344" s="40"/>
      <c r="K344" s="41"/>
    </row>
    <row r="345" spans="2:11" x14ac:dyDescent="0.2">
      <c r="B345" s="38"/>
      <c r="C345" s="40" t="s">
        <v>261</v>
      </c>
      <c r="D345" s="40"/>
      <c r="E345" s="40"/>
      <c r="F345" s="40"/>
      <c r="G345" s="40"/>
      <c r="H345" s="40"/>
      <c r="I345" s="40"/>
      <c r="J345" s="245">
        <f>IF(J342&lt;=0,0,IF(J342&lt;=2,1,IF(J342&lt;=6,2,IF(J342&lt;=12,3,4))))</f>
        <v>0</v>
      </c>
      <c r="K345" s="41"/>
    </row>
    <row r="346" spans="2:11" x14ac:dyDescent="0.2">
      <c r="B346" s="38"/>
      <c r="C346" s="40" t="s">
        <v>893</v>
      </c>
      <c r="D346" s="40"/>
      <c r="E346" s="40"/>
      <c r="F346" s="40"/>
      <c r="G346" s="40"/>
      <c r="H346" s="40"/>
      <c r="I346" s="40"/>
      <c r="J346" s="40"/>
      <c r="K346" s="41"/>
    </row>
    <row r="347" spans="2:11" ht="30" customHeight="1" x14ac:dyDescent="0.2">
      <c r="B347" s="38"/>
      <c r="C347" s="399"/>
      <c r="D347" s="400"/>
      <c r="E347" s="400"/>
      <c r="F347" s="400"/>
      <c r="G347" s="400"/>
      <c r="H347" s="400"/>
      <c r="I347" s="400"/>
      <c r="J347" s="401"/>
      <c r="K347" s="41"/>
    </row>
    <row r="348" spans="2:11" x14ac:dyDescent="0.2">
      <c r="B348" s="38"/>
      <c r="C348" s="40"/>
      <c r="D348" s="40"/>
      <c r="E348" s="40"/>
      <c r="F348" s="40"/>
      <c r="G348" s="40"/>
      <c r="H348" s="40"/>
      <c r="I348" s="40"/>
      <c r="J348" s="40"/>
      <c r="K348" s="41"/>
    </row>
    <row r="349" spans="2:11" x14ac:dyDescent="0.2">
      <c r="B349" s="38"/>
      <c r="C349" s="179" t="s">
        <v>887</v>
      </c>
      <c r="D349" s="40"/>
      <c r="E349" s="40"/>
      <c r="F349" s="40"/>
      <c r="G349" s="40"/>
      <c r="H349" s="40"/>
      <c r="I349" s="40"/>
      <c r="J349" s="245">
        <f>IF(OR(J334="Not Calculated",J345="Not Calculated")=TRUE,"Not Calculated",AVERAGE(J334,J345))</f>
        <v>2</v>
      </c>
      <c r="K349" s="41"/>
    </row>
    <row r="350" spans="2:11" x14ac:dyDescent="0.2">
      <c r="B350" s="38"/>
      <c r="C350" s="40"/>
      <c r="D350" s="40"/>
      <c r="E350" s="40"/>
      <c r="F350" s="40"/>
      <c r="G350" s="40"/>
      <c r="H350" s="40"/>
      <c r="I350" s="40"/>
      <c r="J350" s="40"/>
      <c r="K350" s="41"/>
    </row>
    <row r="351" spans="2:11" x14ac:dyDescent="0.2">
      <c r="B351" s="38"/>
      <c r="C351" s="40"/>
      <c r="D351" s="40"/>
      <c r="E351" s="40"/>
      <c r="F351" s="40"/>
      <c r="G351" s="40"/>
      <c r="H351" s="40"/>
      <c r="I351" s="40"/>
      <c r="J351" s="40"/>
      <c r="K351" s="41"/>
    </row>
    <row r="352" spans="2:11" ht="15" customHeight="1" x14ac:dyDescent="0.2">
      <c r="B352" s="38"/>
      <c r="C352" s="45" t="s">
        <v>859</v>
      </c>
      <c r="D352" s="40"/>
      <c r="E352" s="40"/>
      <c r="F352" s="40"/>
      <c r="G352" s="40"/>
      <c r="H352" s="40"/>
      <c r="I352" s="40"/>
      <c r="J352" s="40"/>
      <c r="K352" s="41"/>
    </row>
    <row r="353" spans="2:11" ht="15" customHeight="1" x14ac:dyDescent="0.2">
      <c r="B353" s="38"/>
      <c r="C353" s="40" t="s">
        <v>846</v>
      </c>
      <c r="D353" s="40"/>
      <c r="E353" s="40"/>
      <c r="F353" s="40"/>
      <c r="G353" s="40"/>
      <c r="H353" s="40"/>
      <c r="I353" s="40"/>
      <c r="J353" s="264">
        <v>0</v>
      </c>
      <c r="K353" s="41"/>
    </row>
    <row r="354" spans="2:11" ht="15" customHeight="1" x14ac:dyDescent="0.2">
      <c r="B354" s="38"/>
      <c r="C354" s="40" t="s">
        <v>854</v>
      </c>
      <c r="D354" s="40"/>
      <c r="E354" s="40"/>
      <c r="F354" s="40"/>
      <c r="G354" s="40"/>
      <c r="H354" s="40"/>
      <c r="I354" s="40"/>
      <c r="J354" s="255">
        <f>'Baseline Health'!$G$59</f>
        <v>0</v>
      </c>
      <c r="K354" s="41"/>
    </row>
    <row r="355" spans="2:11" x14ac:dyDescent="0.2">
      <c r="B355" s="38"/>
      <c r="C355" s="40" t="s">
        <v>847</v>
      </c>
      <c r="D355" s="40"/>
      <c r="E355" s="40"/>
      <c r="F355" s="40"/>
      <c r="G355" s="40"/>
      <c r="H355" s="40"/>
      <c r="I355" s="40"/>
      <c r="J355" s="244">
        <f>IF(J353=0,0,IF('Baseline Health'!G$59=0,"Not Calculated",100*J353/'Baseline Health'!$G$59))</f>
        <v>0</v>
      </c>
      <c r="K355" s="41"/>
    </row>
    <row r="356" spans="2:11" x14ac:dyDescent="0.2">
      <c r="B356" s="38"/>
      <c r="C356" s="40" t="s">
        <v>260</v>
      </c>
      <c r="D356" s="40"/>
      <c r="E356" s="40"/>
      <c r="F356" s="40"/>
      <c r="G356" s="40"/>
      <c r="H356" s="40"/>
      <c r="I356" s="40"/>
      <c r="J356" s="245">
        <f>IF(J355&lt;=0,0,IF(J355&lt;=5,1,IF(J355&lt;=10,2,IF(J355&lt;=25,3,4))))</f>
        <v>0</v>
      </c>
      <c r="K356" s="41"/>
    </row>
    <row r="357" spans="2:11" ht="9.75" customHeight="1" x14ac:dyDescent="0.2">
      <c r="B357" s="38"/>
      <c r="C357" s="279" t="str">
        <f>"0:"</f>
        <v>0:</v>
      </c>
      <c r="D357" s="278" t="s">
        <v>932</v>
      </c>
      <c r="E357" s="40"/>
      <c r="F357" s="40"/>
      <c r="G357" s="40"/>
      <c r="H357" s="40"/>
      <c r="I357" s="40"/>
      <c r="J357" s="244"/>
      <c r="K357" s="41"/>
    </row>
    <row r="358" spans="2:11" ht="9.75" customHeight="1" x14ac:dyDescent="0.2">
      <c r="B358" s="38"/>
      <c r="C358" s="280" t="str">
        <f>"1:"</f>
        <v>1:</v>
      </c>
      <c r="D358" s="278" t="s">
        <v>933</v>
      </c>
      <c r="E358" s="40"/>
      <c r="F358" s="40"/>
      <c r="G358" s="40"/>
      <c r="H358" s="40"/>
      <c r="I358" s="40"/>
      <c r="J358" s="244"/>
      <c r="K358" s="41"/>
    </row>
    <row r="359" spans="2:11" ht="9.75" customHeight="1" x14ac:dyDescent="0.2">
      <c r="B359" s="38"/>
      <c r="C359" s="280" t="str">
        <f>"2:"</f>
        <v>2:</v>
      </c>
      <c r="D359" s="278" t="s">
        <v>935</v>
      </c>
      <c r="E359" s="40"/>
      <c r="F359" s="40"/>
      <c r="G359" s="40"/>
      <c r="H359" s="40"/>
      <c r="I359" s="40"/>
      <c r="J359" s="244"/>
      <c r="K359" s="41"/>
    </row>
    <row r="360" spans="2:11" ht="9.75" customHeight="1" x14ac:dyDescent="0.2">
      <c r="B360" s="38"/>
      <c r="C360" s="280" t="str">
        <f>"3:"</f>
        <v>3:</v>
      </c>
      <c r="D360" s="278" t="s">
        <v>937</v>
      </c>
      <c r="E360" s="40"/>
      <c r="F360" s="40"/>
      <c r="G360" s="40"/>
      <c r="H360" s="40"/>
      <c r="I360" s="40"/>
      <c r="J360" s="244"/>
      <c r="K360" s="41"/>
    </row>
    <row r="361" spans="2:11" ht="9.75" customHeight="1" x14ac:dyDescent="0.2">
      <c r="B361" s="38"/>
      <c r="C361" s="280" t="str">
        <f>"4:"</f>
        <v>4:</v>
      </c>
      <c r="D361" s="278" t="s">
        <v>938</v>
      </c>
      <c r="E361" s="40"/>
      <c r="F361" s="40"/>
      <c r="G361" s="40"/>
      <c r="H361" s="40"/>
      <c r="I361" s="40"/>
      <c r="J361" s="40"/>
      <c r="K361" s="41"/>
    </row>
    <row r="362" spans="2:11" x14ac:dyDescent="0.2">
      <c r="B362" s="38"/>
      <c r="C362" s="40" t="s">
        <v>257</v>
      </c>
      <c r="D362" s="40"/>
      <c r="E362" s="40"/>
      <c r="F362" s="40"/>
      <c r="G362" s="40"/>
      <c r="H362" s="40"/>
      <c r="I362" s="40"/>
      <c r="J362" s="266" t="s">
        <v>870</v>
      </c>
      <c r="K362" s="41"/>
    </row>
    <row r="363" spans="2:11" x14ac:dyDescent="0.2">
      <c r="B363" s="38"/>
      <c r="C363" s="40" t="s">
        <v>261</v>
      </c>
      <c r="D363" s="40"/>
      <c r="E363" s="40"/>
      <c r="F363" s="40"/>
      <c r="G363" s="40"/>
      <c r="H363" s="40"/>
      <c r="I363" s="40"/>
      <c r="J363" s="245">
        <f>IF(J362=$B$980,$A$980,IF(J362=$B$981,$A$981,IF(J362=$B$982,$A$982,IF(J362=$B$983,$A$983,IF(J362=$B$984,$A$984,"Not Calculated")))))</f>
        <v>0</v>
      </c>
      <c r="K363" s="41"/>
    </row>
    <row r="364" spans="2:11" x14ac:dyDescent="0.2">
      <c r="B364" s="38"/>
      <c r="C364" s="40" t="s">
        <v>893</v>
      </c>
      <c r="D364" s="40"/>
      <c r="E364" s="40"/>
      <c r="F364" s="40"/>
      <c r="G364" s="40"/>
      <c r="H364" s="40"/>
      <c r="I364" s="40"/>
      <c r="J364" s="40"/>
      <c r="K364" s="41"/>
    </row>
    <row r="365" spans="2:11" ht="30" customHeight="1" x14ac:dyDescent="0.2">
      <c r="B365" s="38"/>
      <c r="C365" s="399"/>
      <c r="D365" s="400"/>
      <c r="E365" s="400"/>
      <c r="F365" s="400"/>
      <c r="G365" s="400"/>
      <c r="H365" s="400"/>
      <c r="I365" s="400"/>
      <c r="J365" s="401"/>
      <c r="K365" s="41"/>
    </row>
    <row r="366" spans="2:11" x14ac:dyDescent="0.2">
      <c r="B366" s="38"/>
      <c r="C366" s="40"/>
      <c r="D366" s="40"/>
      <c r="E366" s="40"/>
      <c r="F366" s="40"/>
      <c r="G366" s="40"/>
      <c r="H366" s="40"/>
      <c r="I366" s="40"/>
      <c r="J366" s="40"/>
      <c r="K366" s="41"/>
    </row>
    <row r="367" spans="2:11" x14ac:dyDescent="0.2">
      <c r="B367" s="38"/>
      <c r="C367" s="179" t="s">
        <v>888</v>
      </c>
      <c r="D367" s="40"/>
      <c r="E367" s="40"/>
      <c r="F367" s="40"/>
      <c r="G367" s="40"/>
      <c r="H367" s="40"/>
      <c r="I367" s="40"/>
      <c r="J367" s="245">
        <f>IF(OR(J356="Not Calculated",J363="Not Calculated")=TRUE,"Not Calculated",AVERAGE(J356,J363))</f>
        <v>0</v>
      </c>
      <c r="K367" s="41"/>
    </row>
    <row r="368" spans="2:11" x14ac:dyDescent="0.2">
      <c r="B368" s="38"/>
      <c r="C368" s="40"/>
      <c r="D368" s="40"/>
      <c r="E368" s="40"/>
      <c r="F368" s="40"/>
      <c r="G368" s="40"/>
      <c r="H368" s="40"/>
      <c r="I368" s="40"/>
      <c r="J368" s="40"/>
      <c r="K368" s="41"/>
    </row>
    <row r="369" spans="2:11" x14ac:dyDescent="0.2">
      <c r="B369" s="38"/>
      <c r="C369" s="40"/>
      <c r="D369" s="40"/>
      <c r="E369" s="40"/>
      <c r="F369" s="40"/>
      <c r="G369" s="40"/>
      <c r="H369" s="40"/>
      <c r="I369" s="40"/>
      <c r="J369" s="40"/>
      <c r="K369" s="41"/>
    </row>
    <row r="370" spans="2:11" ht="16" x14ac:dyDescent="0.2">
      <c r="B370" s="38"/>
      <c r="C370" s="45" t="s">
        <v>863</v>
      </c>
      <c r="D370" s="40"/>
      <c r="E370" s="40"/>
      <c r="F370" s="40"/>
      <c r="G370" s="40"/>
      <c r="H370" s="40"/>
      <c r="I370" s="40"/>
      <c r="J370" s="40"/>
      <c r="K370" s="41"/>
    </row>
    <row r="371" spans="2:11" ht="15" customHeight="1" x14ac:dyDescent="0.2">
      <c r="B371" s="38"/>
      <c r="C371" s="380" t="s">
        <v>848</v>
      </c>
      <c r="D371" s="380"/>
      <c r="E371" s="380"/>
      <c r="F371" s="380"/>
      <c r="G371" s="380"/>
      <c r="H371" s="380"/>
      <c r="I371" s="380"/>
      <c r="J371" s="181"/>
      <c r="K371" s="41"/>
    </row>
    <row r="372" spans="2:11" x14ac:dyDescent="0.2">
      <c r="B372" s="38"/>
      <c r="C372" s="380"/>
      <c r="D372" s="380"/>
      <c r="E372" s="380"/>
      <c r="F372" s="380"/>
      <c r="G372" s="380"/>
      <c r="H372" s="380"/>
      <c r="I372" s="380"/>
      <c r="J372" s="264">
        <f>'Baseline Health'!$G$102*0.1</f>
        <v>0</v>
      </c>
      <c r="K372" s="41"/>
    </row>
    <row r="373" spans="2:11" x14ac:dyDescent="0.2">
      <c r="B373" s="38"/>
      <c r="C373" s="40" t="s">
        <v>853</v>
      </c>
      <c r="D373" s="291"/>
      <c r="E373" s="291"/>
      <c r="F373" s="291"/>
      <c r="G373" s="291"/>
      <c r="H373" s="291"/>
      <c r="I373" s="291"/>
      <c r="J373" s="255">
        <f>'Baseline Health'!$G$102</f>
        <v>0</v>
      </c>
      <c r="K373" s="41"/>
    </row>
    <row r="374" spans="2:11" x14ac:dyDescent="0.2">
      <c r="B374" s="38"/>
      <c r="C374" s="40" t="s">
        <v>842</v>
      </c>
      <c r="D374" s="291"/>
      <c r="E374" s="291"/>
      <c r="F374" s="291"/>
      <c r="G374" s="291"/>
      <c r="H374" s="291"/>
      <c r="I374" s="291"/>
      <c r="J374" s="244" t="str">
        <f>IF('Baseline Health'!$G$102=0,"Not Calculated",100*J372/'Baseline Health'!$G$102)</f>
        <v>Not Calculated</v>
      </c>
      <c r="K374" s="41"/>
    </row>
    <row r="375" spans="2:11" x14ac:dyDescent="0.2">
      <c r="B375" s="38"/>
      <c r="C375" s="40" t="s">
        <v>260</v>
      </c>
      <c r="D375" s="40"/>
      <c r="E375" s="40"/>
      <c r="F375" s="40"/>
      <c r="G375" s="40"/>
      <c r="H375" s="40"/>
      <c r="I375" s="40"/>
      <c r="J375" s="251">
        <f>IF(J374&lt;=0,0,IF(J374&lt;=1,1,IF(J374&lt;=5,2,IF(J374&lt;=10,3,4))))</f>
        <v>4</v>
      </c>
      <c r="K375" s="41"/>
    </row>
    <row r="376" spans="2:11" ht="9.75" customHeight="1" x14ac:dyDescent="0.2">
      <c r="B376" s="38"/>
      <c r="C376" s="279" t="str">
        <f>"0:"</f>
        <v>0:</v>
      </c>
      <c r="D376" s="278" t="s">
        <v>932</v>
      </c>
      <c r="E376" s="291"/>
      <c r="F376" s="291"/>
      <c r="G376" s="291"/>
      <c r="H376" s="291"/>
      <c r="I376" s="291"/>
      <c r="J376" s="244"/>
      <c r="K376" s="41"/>
    </row>
    <row r="377" spans="2:11" ht="9.75" customHeight="1" x14ac:dyDescent="0.2">
      <c r="B377" s="38"/>
      <c r="C377" s="280" t="str">
        <f>"1:"</f>
        <v>1:</v>
      </c>
      <c r="D377" s="278" t="s">
        <v>934</v>
      </c>
      <c r="E377" s="291"/>
      <c r="F377" s="291"/>
      <c r="G377" s="291"/>
      <c r="H377" s="291"/>
      <c r="I377" s="291"/>
      <c r="J377" s="244"/>
      <c r="K377" s="41"/>
    </row>
    <row r="378" spans="2:11" ht="9.75" customHeight="1" x14ac:dyDescent="0.2">
      <c r="B378" s="38"/>
      <c r="C378" s="280" t="str">
        <f>"2:"</f>
        <v>2:</v>
      </c>
      <c r="D378" s="278" t="s">
        <v>933</v>
      </c>
      <c r="E378" s="291"/>
      <c r="F378" s="291"/>
      <c r="G378" s="291"/>
      <c r="H378" s="291"/>
      <c r="I378" s="291"/>
      <c r="J378" s="244"/>
      <c r="K378" s="41"/>
    </row>
    <row r="379" spans="2:11" ht="9.75" customHeight="1" x14ac:dyDescent="0.2">
      <c r="B379" s="38"/>
      <c r="C379" s="280" t="str">
        <f>"3:"</f>
        <v>3:</v>
      </c>
      <c r="D379" s="278" t="s">
        <v>935</v>
      </c>
      <c r="E379" s="291"/>
      <c r="F379" s="291"/>
      <c r="G379" s="291"/>
      <c r="H379" s="291"/>
      <c r="I379" s="291"/>
      <c r="J379" s="244"/>
      <c r="K379" s="41"/>
    </row>
    <row r="380" spans="2:11" ht="9.75" customHeight="1" x14ac:dyDescent="0.2">
      <c r="B380" s="38"/>
      <c r="C380" s="280" t="str">
        <f>"4:"</f>
        <v>4:</v>
      </c>
      <c r="D380" s="278" t="s">
        <v>936</v>
      </c>
      <c r="E380" s="40"/>
      <c r="F380" s="40"/>
      <c r="G380" s="40"/>
      <c r="H380" s="40"/>
      <c r="I380" s="40"/>
      <c r="J380" s="40"/>
      <c r="K380" s="41"/>
    </row>
    <row r="381" spans="2:11" x14ac:dyDescent="0.2">
      <c r="B381" s="38"/>
      <c r="C381" s="40" t="s">
        <v>85</v>
      </c>
      <c r="D381" s="40"/>
      <c r="E381" s="40"/>
      <c r="F381" s="40"/>
      <c r="G381" s="40"/>
      <c r="H381" s="40"/>
      <c r="I381" s="40"/>
      <c r="J381" s="254">
        <f>'Baseline Health'!G114</f>
        <v>7</v>
      </c>
      <c r="K381" s="41"/>
    </row>
    <row r="382" spans="2:11" x14ac:dyDescent="0.2">
      <c r="B382" s="38"/>
      <c r="C382" s="40" t="s">
        <v>297</v>
      </c>
      <c r="D382" s="40"/>
      <c r="E382" s="40"/>
      <c r="F382" s="40"/>
      <c r="G382" s="40"/>
      <c r="H382" s="40"/>
      <c r="I382" s="40"/>
      <c r="J382" s="266">
        <v>2</v>
      </c>
      <c r="K382" s="41"/>
    </row>
    <row r="383" spans="2:11" x14ac:dyDescent="0.2">
      <c r="B383" s="38"/>
      <c r="C383" s="40" t="s">
        <v>261</v>
      </c>
      <c r="D383" s="40"/>
      <c r="E383" s="40"/>
      <c r="F383" s="40"/>
      <c r="G383" s="40"/>
      <c r="H383" s="40"/>
      <c r="I383" s="40"/>
      <c r="J383" s="248">
        <f>IF((J382-J381)&lt;1,0,IF((J382-J381)&lt;3,1,IF((J382-J381)&lt;5,2,IF((J382-J381)&lt;7,3,4))))</f>
        <v>0</v>
      </c>
      <c r="K383" s="41"/>
    </row>
    <row r="384" spans="2:11" x14ac:dyDescent="0.2">
      <c r="B384" s="38"/>
      <c r="C384" s="40" t="s">
        <v>893</v>
      </c>
      <c r="D384" s="40"/>
      <c r="E384" s="40"/>
      <c r="F384" s="40"/>
      <c r="G384" s="40"/>
      <c r="H384" s="40"/>
      <c r="I384" s="40"/>
      <c r="J384" s="40"/>
      <c r="K384" s="41"/>
    </row>
    <row r="385" spans="2:11" ht="30" customHeight="1" x14ac:dyDescent="0.2">
      <c r="B385" s="38"/>
      <c r="C385" s="399" t="s">
        <v>535</v>
      </c>
      <c r="D385" s="400"/>
      <c r="E385" s="400"/>
      <c r="F385" s="400"/>
      <c r="G385" s="400"/>
      <c r="H385" s="400"/>
      <c r="I385" s="400"/>
      <c r="J385" s="401"/>
      <c r="K385" s="41"/>
    </row>
    <row r="386" spans="2:11" x14ac:dyDescent="0.2">
      <c r="B386" s="38"/>
      <c r="C386" s="40"/>
      <c r="D386" s="40"/>
      <c r="E386" s="40"/>
      <c r="F386" s="40"/>
      <c r="G386" s="40"/>
      <c r="H386" s="40"/>
      <c r="I386" s="40"/>
      <c r="J386" s="40"/>
      <c r="K386" s="41"/>
    </row>
    <row r="387" spans="2:11" x14ac:dyDescent="0.2">
      <c r="B387" s="38"/>
      <c r="C387" s="179" t="s">
        <v>889</v>
      </c>
      <c r="D387" s="40"/>
      <c r="E387" s="40"/>
      <c r="F387" s="40"/>
      <c r="G387" s="40"/>
      <c r="H387" s="40"/>
      <c r="I387" s="40"/>
      <c r="J387" s="245">
        <f>IF(OR(J375="Not Calculated",J383="Not Calculated")=TRUE,"Not Calculated",AVERAGE(J375,J383))</f>
        <v>2</v>
      </c>
      <c r="K387" s="41"/>
    </row>
    <row r="388" spans="2:11" x14ac:dyDescent="0.2">
      <c r="B388" s="38"/>
      <c r="C388" s="40"/>
      <c r="D388" s="40"/>
      <c r="E388" s="40"/>
      <c r="F388" s="40"/>
      <c r="G388" s="40"/>
      <c r="H388" s="40"/>
      <c r="I388" s="40"/>
      <c r="J388" s="40"/>
      <c r="K388" s="41"/>
    </row>
    <row r="389" spans="2:11" x14ac:dyDescent="0.2">
      <c r="B389" s="38"/>
      <c r="C389" s="40"/>
      <c r="D389" s="40"/>
      <c r="E389" s="40"/>
      <c r="F389" s="40"/>
      <c r="G389" s="40"/>
      <c r="H389" s="40"/>
      <c r="I389" s="40"/>
      <c r="J389" s="40"/>
      <c r="K389" s="41"/>
    </row>
    <row r="390" spans="2:11" ht="16" x14ac:dyDescent="0.2">
      <c r="B390" s="38"/>
      <c r="C390" s="45" t="s">
        <v>860</v>
      </c>
      <c r="D390" s="40"/>
      <c r="E390" s="40"/>
      <c r="F390" s="40"/>
      <c r="G390" s="40"/>
      <c r="H390" s="40"/>
      <c r="I390" s="40"/>
      <c r="J390" s="40"/>
      <c r="K390" s="41"/>
    </row>
    <row r="391" spans="2:11" ht="15" customHeight="1" x14ac:dyDescent="0.2">
      <c r="B391" s="38"/>
      <c r="C391" s="380" t="s">
        <v>849</v>
      </c>
      <c r="D391" s="380"/>
      <c r="E391" s="380"/>
      <c r="F391" s="380"/>
      <c r="G391" s="380"/>
      <c r="H391" s="380"/>
      <c r="I391" s="380"/>
      <c r="J391" s="181"/>
      <c r="K391" s="41"/>
    </row>
    <row r="392" spans="2:11" x14ac:dyDescent="0.2">
      <c r="B392" s="38"/>
      <c r="C392" s="380"/>
      <c r="D392" s="380"/>
      <c r="E392" s="380"/>
      <c r="F392" s="380"/>
      <c r="G392" s="380"/>
      <c r="H392" s="380"/>
      <c r="I392" s="380"/>
      <c r="J392" s="264">
        <v>0</v>
      </c>
      <c r="K392" s="41"/>
    </row>
    <row r="393" spans="2:11" ht="15" customHeight="1" x14ac:dyDescent="0.2">
      <c r="B393" s="38"/>
      <c r="C393" s="40" t="s">
        <v>853</v>
      </c>
      <c r="D393" s="291"/>
      <c r="E393" s="291"/>
      <c r="F393" s="291"/>
      <c r="G393" s="291"/>
      <c r="H393" s="291"/>
      <c r="I393" s="291"/>
      <c r="J393" s="255">
        <f>'Baseline Health'!$G$102</f>
        <v>0</v>
      </c>
      <c r="K393" s="41"/>
    </row>
    <row r="394" spans="2:11" ht="15" customHeight="1" x14ac:dyDescent="0.2">
      <c r="B394" s="38"/>
      <c r="C394" s="40" t="s">
        <v>850</v>
      </c>
      <c r="D394" s="291"/>
      <c r="E394" s="291"/>
      <c r="F394" s="291"/>
      <c r="G394" s="291"/>
      <c r="H394" s="291"/>
      <c r="I394" s="291"/>
      <c r="J394" s="244" t="str">
        <f>IF('Baseline Health'!$G$102=0,"Not Calculated",100*J392/'Baseline Health'!$G$102)</f>
        <v>Not Calculated</v>
      </c>
      <c r="K394" s="41"/>
    </row>
    <row r="395" spans="2:11" ht="15" customHeight="1" x14ac:dyDescent="0.2">
      <c r="B395" s="38"/>
      <c r="C395" s="40" t="s">
        <v>260</v>
      </c>
      <c r="D395" s="40"/>
      <c r="E395" s="40"/>
      <c r="F395" s="40"/>
      <c r="G395" s="40"/>
      <c r="H395" s="40"/>
      <c r="I395" s="40"/>
      <c r="J395" s="43">
        <f>IF(J394&lt;=0,0,IF(J394&lt;=1,1,IF(J394&lt;=5,2,IF(J394&lt;=10,3,4))))</f>
        <v>4</v>
      </c>
      <c r="K395" s="41"/>
    </row>
    <row r="396" spans="2:11" ht="9.75" customHeight="1" x14ac:dyDescent="0.2">
      <c r="B396" s="38"/>
      <c r="C396" s="279" t="str">
        <f>"0:"</f>
        <v>0:</v>
      </c>
      <c r="D396" s="278" t="s">
        <v>932</v>
      </c>
      <c r="E396" s="291"/>
      <c r="F396" s="291"/>
      <c r="G396" s="291"/>
      <c r="H396" s="291"/>
      <c r="I396" s="291"/>
      <c r="J396" s="244"/>
      <c r="K396" s="41"/>
    </row>
    <row r="397" spans="2:11" ht="9.75" customHeight="1" x14ac:dyDescent="0.2">
      <c r="B397" s="38"/>
      <c r="C397" s="280" t="str">
        <f>"1:"</f>
        <v>1:</v>
      </c>
      <c r="D397" s="278" t="s">
        <v>934</v>
      </c>
      <c r="E397" s="291"/>
      <c r="F397" s="291"/>
      <c r="G397" s="291"/>
      <c r="H397" s="291"/>
      <c r="I397" s="291"/>
      <c r="J397" s="244"/>
      <c r="K397" s="41"/>
    </row>
    <row r="398" spans="2:11" ht="9.75" customHeight="1" x14ac:dyDescent="0.2">
      <c r="B398" s="38"/>
      <c r="C398" s="280" t="str">
        <f>"2:"</f>
        <v>2:</v>
      </c>
      <c r="D398" s="278" t="s">
        <v>933</v>
      </c>
      <c r="E398" s="291"/>
      <c r="F398" s="291"/>
      <c r="G398" s="291"/>
      <c r="H398" s="291"/>
      <c r="I398" s="291"/>
      <c r="J398" s="244"/>
      <c r="K398" s="41"/>
    </row>
    <row r="399" spans="2:11" ht="9.75" customHeight="1" x14ac:dyDescent="0.2">
      <c r="B399" s="38"/>
      <c r="C399" s="280" t="str">
        <f>"3:"</f>
        <v>3:</v>
      </c>
      <c r="D399" s="278" t="s">
        <v>935</v>
      </c>
      <c r="E399" s="291"/>
      <c r="F399" s="291"/>
      <c r="G399" s="291"/>
      <c r="H399" s="291"/>
      <c r="I399" s="291"/>
      <c r="J399" s="244"/>
      <c r="K399" s="41"/>
    </row>
    <row r="400" spans="2:11" ht="9.75" customHeight="1" x14ac:dyDescent="0.2">
      <c r="B400" s="38"/>
      <c r="C400" s="280" t="str">
        <f>"4:"</f>
        <v>4:</v>
      </c>
      <c r="D400" s="278" t="s">
        <v>936</v>
      </c>
      <c r="E400" s="40"/>
      <c r="F400" s="40"/>
      <c r="G400" s="40"/>
      <c r="H400" s="40"/>
      <c r="I400" s="40"/>
      <c r="J400" s="40"/>
      <c r="K400" s="41"/>
    </row>
    <row r="401" spans="2:11" x14ac:dyDescent="0.2">
      <c r="B401" s="38"/>
      <c r="C401" s="40" t="s">
        <v>893</v>
      </c>
      <c r="D401" s="40"/>
      <c r="E401" s="40"/>
      <c r="F401" s="40"/>
      <c r="G401" s="40"/>
      <c r="H401" s="40"/>
      <c r="I401" s="40"/>
      <c r="J401" s="40"/>
      <c r="K401" s="41"/>
    </row>
    <row r="402" spans="2:11" ht="30" customHeight="1" x14ac:dyDescent="0.2">
      <c r="B402" s="38"/>
      <c r="C402" s="399"/>
      <c r="D402" s="400"/>
      <c r="E402" s="400"/>
      <c r="F402" s="400"/>
      <c r="G402" s="400"/>
      <c r="H402" s="400"/>
      <c r="I402" s="400"/>
      <c r="J402" s="401"/>
      <c r="K402" s="41"/>
    </row>
    <row r="403" spans="2:11" x14ac:dyDescent="0.2">
      <c r="B403" s="38"/>
      <c r="C403" s="40"/>
      <c r="D403" s="40"/>
      <c r="E403" s="40"/>
      <c r="F403" s="40"/>
      <c r="G403" s="40"/>
      <c r="H403" s="40"/>
      <c r="I403" s="40"/>
      <c r="J403" s="40"/>
      <c r="K403" s="41"/>
    </row>
    <row r="404" spans="2:11" x14ac:dyDescent="0.2">
      <c r="B404" s="38"/>
      <c r="C404" s="179" t="s">
        <v>890</v>
      </c>
      <c r="D404" s="40"/>
      <c r="E404" s="40"/>
      <c r="F404" s="40"/>
      <c r="G404" s="40"/>
      <c r="H404" s="40"/>
      <c r="I404" s="40"/>
      <c r="J404" s="245">
        <f>J395</f>
        <v>4</v>
      </c>
      <c r="K404" s="41"/>
    </row>
    <row r="405" spans="2:11" x14ac:dyDescent="0.2">
      <c r="B405" s="38"/>
      <c r="C405" s="40"/>
      <c r="D405" s="40"/>
      <c r="E405" s="40"/>
      <c r="F405" s="40"/>
      <c r="G405" s="40"/>
      <c r="H405" s="40"/>
      <c r="I405" s="40"/>
      <c r="J405" s="40"/>
      <c r="K405" s="41"/>
    </row>
    <row r="406" spans="2:11" x14ac:dyDescent="0.2">
      <c r="B406" s="38"/>
      <c r="C406" s="40"/>
      <c r="D406" s="40"/>
      <c r="E406" s="40"/>
      <c r="F406" s="40"/>
      <c r="G406" s="40"/>
      <c r="H406" s="40"/>
      <c r="I406" s="40"/>
      <c r="J406" s="40"/>
      <c r="K406" s="41"/>
    </row>
    <row r="407" spans="2:11" ht="16" x14ac:dyDescent="0.2">
      <c r="B407" s="38"/>
      <c r="C407" s="45" t="s">
        <v>861</v>
      </c>
      <c r="D407" s="40"/>
      <c r="E407" s="40"/>
      <c r="F407" s="40"/>
      <c r="G407" s="40"/>
      <c r="H407" s="40"/>
      <c r="I407" s="40"/>
      <c r="J407" s="40"/>
      <c r="K407" s="41"/>
    </row>
    <row r="408" spans="2:11" x14ac:dyDescent="0.2">
      <c r="B408" s="38"/>
      <c r="C408" s="40" t="s">
        <v>298</v>
      </c>
      <c r="D408" s="40"/>
      <c r="E408" s="40"/>
      <c r="F408" s="40"/>
      <c r="G408" s="40"/>
      <c r="H408" s="40"/>
      <c r="I408" s="40"/>
      <c r="J408" s="269">
        <v>0</v>
      </c>
      <c r="K408" s="41"/>
    </row>
    <row r="409" spans="2:11" x14ac:dyDescent="0.2">
      <c r="B409" s="38"/>
      <c r="C409" s="40" t="s">
        <v>260</v>
      </c>
      <c r="D409" s="40"/>
      <c r="E409" s="40"/>
      <c r="F409" s="40"/>
      <c r="G409" s="40"/>
      <c r="H409" s="40"/>
      <c r="I409" s="40"/>
      <c r="J409" s="253">
        <f>IF(J408&lt;=0,0,IF(J408&lt;=(J161*0.01),1,IF(J408&lt;=(J161*0.05),2,IF(J408&lt;=(J161*0.1),3,4))))</f>
        <v>0</v>
      </c>
      <c r="K409" s="41"/>
    </row>
    <row r="410" spans="2:11" ht="9.75" customHeight="1" x14ac:dyDescent="0.2">
      <c r="B410" s="38"/>
      <c r="C410" s="279" t="str">
        <f>"0:"</f>
        <v>0:</v>
      </c>
      <c r="D410" s="278" t="s">
        <v>939</v>
      </c>
      <c r="E410" s="40"/>
      <c r="F410" s="40"/>
      <c r="G410" s="40"/>
      <c r="H410" s="40"/>
      <c r="I410" s="40"/>
      <c r="J410" s="282"/>
      <c r="K410" s="41"/>
    </row>
    <row r="411" spans="2:11" ht="9.75" customHeight="1" x14ac:dyDescent="0.2">
      <c r="B411" s="38"/>
      <c r="C411" s="280" t="str">
        <f>"1:"</f>
        <v>1:</v>
      </c>
      <c r="D411" s="278" t="s">
        <v>940</v>
      </c>
      <c r="E411" s="40"/>
      <c r="F411" s="40"/>
      <c r="G411" s="40"/>
      <c r="H411" s="40"/>
      <c r="I411" s="40"/>
      <c r="J411" s="282"/>
      <c r="K411" s="41"/>
    </row>
    <row r="412" spans="2:11" ht="9.75" customHeight="1" x14ac:dyDescent="0.2">
      <c r="B412" s="38"/>
      <c r="C412" s="280" t="str">
        <f>"2:"</f>
        <v>2:</v>
      </c>
      <c r="D412" s="278" t="s">
        <v>941</v>
      </c>
      <c r="E412" s="40"/>
      <c r="F412" s="40"/>
      <c r="G412" s="40"/>
      <c r="H412" s="40"/>
      <c r="I412" s="40"/>
      <c r="J412" s="282"/>
      <c r="K412" s="41"/>
    </row>
    <row r="413" spans="2:11" ht="9.75" customHeight="1" x14ac:dyDescent="0.2">
      <c r="B413" s="38"/>
      <c r="C413" s="280" t="str">
        <f>"3:"</f>
        <v>3:</v>
      </c>
      <c r="D413" s="278" t="s">
        <v>942</v>
      </c>
      <c r="E413" s="40"/>
      <c r="F413" s="40"/>
      <c r="G413" s="40"/>
      <c r="H413" s="40"/>
      <c r="I413" s="40"/>
      <c r="J413" s="282"/>
      <c r="K413" s="41"/>
    </row>
    <row r="414" spans="2:11" ht="9.75" customHeight="1" x14ac:dyDescent="0.2">
      <c r="B414" s="38"/>
      <c r="C414" s="280" t="str">
        <f>"4:"</f>
        <v>4:</v>
      </c>
      <c r="D414" s="278" t="s">
        <v>943</v>
      </c>
      <c r="E414" s="40"/>
      <c r="F414" s="40"/>
      <c r="G414" s="40"/>
      <c r="H414" s="40"/>
      <c r="I414" s="40"/>
      <c r="J414" s="40"/>
      <c r="K414" s="41"/>
    </row>
    <row r="415" spans="2:11" x14ac:dyDescent="0.2">
      <c r="B415" s="38"/>
      <c r="C415" s="40" t="s">
        <v>893</v>
      </c>
      <c r="D415" s="40"/>
      <c r="E415" s="40"/>
      <c r="F415" s="40"/>
      <c r="G415" s="40"/>
      <c r="H415" s="40"/>
      <c r="I415" s="40"/>
      <c r="J415" s="40"/>
      <c r="K415" s="41"/>
    </row>
    <row r="416" spans="2:11" ht="30" customHeight="1" x14ac:dyDescent="0.2">
      <c r="B416" s="38"/>
      <c r="C416" s="399"/>
      <c r="D416" s="400"/>
      <c r="E416" s="400"/>
      <c r="F416" s="400"/>
      <c r="G416" s="400"/>
      <c r="H416" s="400"/>
      <c r="I416" s="400"/>
      <c r="J416" s="401"/>
      <c r="K416" s="41"/>
    </row>
    <row r="417" spans="2:11" x14ac:dyDescent="0.2">
      <c r="B417" s="38"/>
      <c r="C417" s="40"/>
      <c r="D417" s="40"/>
      <c r="E417" s="40"/>
      <c r="F417" s="40"/>
      <c r="G417" s="40"/>
      <c r="H417" s="40"/>
      <c r="I417" s="40"/>
      <c r="J417" s="40"/>
      <c r="K417" s="41"/>
    </row>
    <row r="418" spans="2:11" x14ac:dyDescent="0.2">
      <c r="B418" s="38"/>
      <c r="C418" s="179" t="s">
        <v>891</v>
      </c>
      <c r="D418" s="40"/>
      <c r="E418" s="40"/>
      <c r="F418" s="40"/>
      <c r="G418" s="40"/>
      <c r="H418" s="40"/>
      <c r="I418" s="40"/>
      <c r="J418" s="245">
        <f>J409</f>
        <v>0</v>
      </c>
      <c r="K418" s="41"/>
    </row>
    <row r="419" spans="2:11" x14ac:dyDescent="0.2">
      <c r="B419" s="38"/>
      <c r="C419" s="40"/>
      <c r="D419" s="40"/>
      <c r="E419" s="40"/>
      <c r="F419" s="40"/>
      <c r="G419" s="40"/>
      <c r="H419" s="40"/>
      <c r="I419" s="40"/>
      <c r="J419" s="40"/>
      <c r="K419" s="41"/>
    </row>
    <row r="420" spans="2:11" x14ac:dyDescent="0.2">
      <c r="B420" s="38"/>
      <c r="C420" s="410" t="s">
        <v>881</v>
      </c>
      <c r="D420" s="410"/>
      <c r="E420" s="410"/>
      <c r="F420" s="410"/>
      <c r="G420" s="410"/>
      <c r="H420" s="410"/>
      <c r="I420" s="410"/>
      <c r="J420" s="40"/>
      <c r="K420" s="41"/>
    </row>
    <row r="421" spans="2:11" ht="18" customHeight="1" x14ac:dyDescent="0.2">
      <c r="B421" s="38"/>
      <c r="C421" s="410"/>
      <c r="D421" s="410"/>
      <c r="E421" s="410"/>
      <c r="F421" s="410"/>
      <c r="G421" s="410"/>
      <c r="H421" s="410"/>
      <c r="I421" s="410"/>
      <c r="J421" s="244">
        <f>IF(OR(J287="Not Calculated",J306="Not Calculated",J325="Not Calculated",J348="Not Calculated",J366="Not Calculated",J387="Not Calculated",J404="Not Calculated",J418="Not Calculated")=TRUE,"Not Calculated",AVERAGE(J287,J306,J325,J348,J366,J387,J404,J418))</f>
        <v>2</v>
      </c>
      <c r="K421" s="41"/>
    </row>
    <row r="422" spans="2:11" ht="18" customHeight="1" thickBot="1" x14ac:dyDescent="0.25">
      <c r="B422" s="46"/>
      <c r="C422" s="47"/>
      <c r="D422" s="47"/>
      <c r="E422" s="47"/>
      <c r="F422" s="47"/>
      <c r="G422" s="47"/>
      <c r="H422" s="47"/>
      <c r="I422" s="47"/>
      <c r="J422" s="47"/>
      <c r="K422" s="49"/>
    </row>
    <row r="423" spans="2:11" ht="16" thickBot="1" x14ac:dyDescent="0.25"/>
    <row r="424" spans="2:11" x14ac:dyDescent="0.2">
      <c r="B424" s="33"/>
      <c r="C424" s="34"/>
      <c r="D424" s="34"/>
      <c r="E424" s="34"/>
      <c r="F424" s="34"/>
      <c r="G424" s="34"/>
      <c r="H424" s="34"/>
      <c r="I424" s="34"/>
      <c r="J424" s="34"/>
      <c r="K424" s="37"/>
    </row>
    <row r="425" spans="2:11" ht="21" x14ac:dyDescent="0.25">
      <c r="B425" s="38"/>
      <c r="C425" s="40"/>
      <c r="D425" s="40"/>
      <c r="E425" s="40"/>
      <c r="F425" s="40"/>
      <c r="G425" s="172" t="s">
        <v>230</v>
      </c>
      <c r="H425" s="40"/>
      <c r="I425" s="40"/>
      <c r="J425" s="40"/>
      <c r="K425" s="41"/>
    </row>
    <row r="426" spans="2:11" x14ac:dyDescent="0.2">
      <c r="B426" s="38"/>
      <c r="C426" s="40"/>
      <c r="D426" s="40"/>
      <c r="E426" s="40"/>
      <c r="F426" s="40"/>
      <c r="G426" s="40"/>
      <c r="H426" s="40"/>
      <c r="I426" s="40"/>
      <c r="J426" s="40"/>
      <c r="K426" s="41"/>
    </row>
    <row r="427" spans="2:11" ht="16" x14ac:dyDescent="0.2">
      <c r="B427" s="38"/>
      <c r="C427" s="45" t="s">
        <v>299</v>
      </c>
      <c r="D427" s="40"/>
      <c r="E427" s="40"/>
      <c r="F427" s="40"/>
      <c r="G427" s="40"/>
      <c r="H427" s="40"/>
      <c r="I427" s="40"/>
      <c r="J427" s="40"/>
      <c r="K427" s="41"/>
    </row>
    <row r="428" spans="2:11" x14ac:dyDescent="0.2">
      <c r="B428" s="38"/>
      <c r="C428" s="40" t="s">
        <v>300</v>
      </c>
      <c r="D428" s="40"/>
      <c r="E428" s="40"/>
      <c r="F428" s="40"/>
      <c r="G428" s="40"/>
      <c r="H428" s="40"/>
      <c r="I428" s="40"/>
      <c r="J428" s="270">
        <v>10</v>
      </c>
      <c r="K428" s="41"/>
    </row>
    <row r="429" spans="2:11" x14ac:dyDescent="0.2">
      <c r="B429" s="38"/>
      <c r="C429" s="40" t="s">
        <v>260</v>
      </c>
      <c r="D429" s="40"/>
      <c r="E429" s="40"/>
      <c r="F429" s="40"/>
      <c r="G429" s="40"/>
      <c r="H429" s="40"/>
      <c r="I429" s="40"/>
      <c r="J429" s="248">
        <f>IF(J428&lt;=0,0,IF(J428&lt;=1,1,IF(J428&lt;=5,2,IF(J428&lt;=10,3,4))))</f>
        <v>3</v>
      </c>
      <c r="K429" s="41"/>
    </row>
    <row r="430" spans="2:11" s="98" customFormat="1" ht="9.75" customHeight="1" x14ac:dyDescent="0.2">
      <c r="B430" s="288"/>
      <c r="C430" s="279" t="str">
        <f>"0:"</f>
        <v>0:</v>
      </c>
      <c r="D430" s="290" t="s">
        <v>944</v>
      </c>
      <c r="E430" s="245"/>
      <c r="F430" s="245"/>
      <c r="G430" s="245"/>
      <c r="H430" s="245"/>
      <c r="I430" s="245"/>
      <c r="J430" s="245"/>
      <c r="K430" s="289"/>
    </row>
    <row r="431" spans="2:11" s="98" customFormat="1" ht="9.75" customHeight="1" x14ac:dyDescent="0.2">
      <c r="B431" s="288"/>
      <c r="C431" s="280" t="str">
        <f>"1:"</f>
        <v>1:</v>
      </c>
      <c r="D431" s="290" t="s">
        <v>945</v>
      </c>
      <c r="E431" s="245"/>
      <c r="F431" s="245"/>
      <c r="G431" s="245"/>
      <c r="H431" s="245"/>
      <c r="I431" s="245"/>
      <c r="J431" s="245"/>
      <c r="K431" s="289"/>
    </row>
    <row r="432" spans="2:11" s="98" customFormat="1" ht="9.75" customHeight="1" x14ac:dyDescent="0.2">
      <c r="B432" s="288"/>
      <c r="C432" s="280" t="str">
        <f>"2:"</f>
        <v>2:</v>
      </c>
      <c r="D432" s="290" t="s">
        <v>946</v>
      </c>
      <c r="E432" s="245"/>
      <c r="F432" s="245"/>
      <c r="G432" s="245"/>
      <c r="H432" s="245"/>
      <c r="I432" s="245"/>
      <c r="J432" s="245"/>
      <c r="K432" s="289"/>
    </row>
    <row r="433" spans="2:11" s="98" customFormat="1" ht="9.75" customHeight="1" x14ac:dyDescent="0.2">
      <c r="B433" s="288"/>
      <c r="C433" s="280" t="str">
        <f>"3:"</f>
        <v>3:</v>
      </c>
      <c r="D433" s="290" t="s">
        <v>947</v>
      </c>
      <c r="E433" s="245"/>
      <c r="F433" s="245"/>
      <c r="G433" s="245"/>
      <c r="H433" s="245"/>
      <c r="I433" s="245"/>
      <c r="J433" s="245"/>
      <c r="K433" s="289"/>
    </row>
    <row r="434" spans="2:11" s="98" customFormat="1" ht="9.75" customHeight="1" x14ac:dyDescent="0.2">
      <c r="B434" s="288"/>
      <c r="C434" s="280" t="str">
        <f>"4:"</f>
        <v>4:</v>
      </c>
      <c r="D434" s="290" t="s">
        <v>948</v>
      </c>
      <c r="E434" s="245"/>
      <c r="F434" s="245"/>
      <c r="G434" s="245"/>
      <c r="H434" s="245"/>
      <c r="I434" s="245"/>
      <c r="J434" s="247"/>
      <c r="K434" s="289"/>
    </row>
    <row r="435" spans="2:11" x14ac:dyDescent="0.2">
      <c r="B435" s="38"/>
      <c r="C435" s="40" t="s">
        <v>257</v>
      </c>
      <c r="D435" s="40"/>
      <c r="E435" s="40"/>
      <c r="F435" s="40"/>
      <c r="G435" s="40"/>
      <c r="H435" s="40"/>
      <c r="I435" s="40"/>
      <c r="J435" s="266" t="s">
        <v>872</v>
      </c>
      <c r="K435" s="41"/>
    </row>
    <row r="436" spans="2:11" x14ac:dyDescent="0.2">
      <c r="B436" s="38"/>
      <c r="C436" s="40" t="s">
        <v>261</v>
      </c>
      <c r="D436" s="40"/>
      <c r="E436" s="40"/>
      <c r="F436" s="40"/>
      <c r="G436" s="40"/>
      <c r="H436" s="40"/>
      <c r="I436" s="40"/>
      <c r="J436" s="245">
        <f>IF(J435=$B$973,$A$973,IF(J435=$B$974,$A$974,IF(J435=$B$975,$A$975,IF(J435=$B$976,$A$976,IF(J435=$B$977,$A$977,"Not Calculated")))))</f>
        <v>2</v>
      </c>
      <c r="K436" s="41"/>
    </row>
    <row r="437" spans="2:11" x14ac:dyDescent="0.2">
      <c r="B437" s="38"/>
      <c r="C437" s="40" t="s">
        <v>893</v>
      </c>
      <c r="D437" s="40"/>
      <c r="E437" s="40"/>
      <c r="F437" s="40"/>
      <c r="G437" s="40"/>
      <c r="H437" s="40"/>
      <c r="I437" s="40"/>
      <c r="J437" s="40"/>
      <c r="K437" s="41"/>
    </row>
    <row r="438" spans="2:11" ht="120" customHeight="1" x14ac:dyDescent="0.2">
      <c r="B438" s="38"/>
      <c r="C438" s="399" t="s">
        <v>534</v>
      </c>
      <c r="D438" s="400"/>
      <c r="E438" s="400"/>
      <c r="F438" s="400"/>
      <c r="G438" s="400"/>
      <c r="H438" s="400"/>
      <c r="I438" s="400"/>
      <c r="J438" s="401"/>
      <c r="K438" s="41"/>
    </row>
    <row r="439" spans="2:11" x14ac:dyDescent="0.2">
      <c r="B439" s="38"/>
      <c r="C439" s="40"/>
      <c r="D439" s="40"/>
      <c r="E439" s="40"/>
      <c r="F439" s="40"/>
      <c r="G439" s="40"/>
      <c r="H439" s="40"/>
      <c r="I439" s="40"/>
      <c r="J439" s="40"/>
      <c r="K439" s="41"/>
    </row>
    <row r="440" spans="2:11" x14ac:dyDescent="0.2">
      <c r="B440" s="38"/>
      <c r="C440" s="179" t="s">
        <v>301</v>
      </c>
      <c r="D440" s="40"/>
      <c r="E440" s="40"/>
      <c r="F440" s="40"/>
      <c r="G440" s="40"/>
      <c r="H440" s="40"/>
      <c r="I440" s="40"/>
      <c r="J440" s="245">
        <f>IF(OR(J429="Not Calculated",J436="Not Calculated")=TRUE,"Not Calculated",AVERAGE(J429,J436))</f>
        <v>2.5</v>
      </c>
      <c r="K440" s="41"/>
    </row>
    <row r="441" spans="2:11" x14ac:dyDescent="0.2">
      <c r="B441" s="38"/>
      <c r="C441" s="40"/>
      <c r="D441" s="40"/>
      <c r="E441" s="40"/>
      <c r="F441" s="40"/>
      <c r="G441" s="40"/>
      <c r="H441" s="40"/>
      <c r="I441" s="40"/>
      <c r="J441" s="40"/>
      <c r="K441" s="41"/>
    </row>
    <row r="442" spans="2:11" x14ac:dyDescent="0.2">
      <c r="B442" s="38"/>
      <c r="C442" s="40"/>
      <c r="D442" s="40"/>
      <c r="E442" s="40"/>
      <c r="F442" s="40"/>
      <c r="G442" s="40"/>
      <c r="H442" s="40"/>
      <c r="I442" s="40"/>
      <c r="J442" s="40"/>
      <c r="K442" s="41"/>
    </row>
    <row r="443" spans="2:11" ht="16" x14ac:dyDescent="0.2">
      <c r="B443" s="38"/>
      <c r="C443" s="45" t="s">
        <v>303</v>
      </c>
      <c r="D443" s="40"/>
      <c r="E443" s="40"/>
      <c r="F443" s="40"/>
      <c r="G443" s="40"/>
      <c r="H443" s="40"/>
      <c r="I443" s="40"/>
      <c r="J443" s="40"/>
      <c r="K443" s="41"/>
    </row>
    <row r="444" spans="2:11" ht="15" customHeight="1" x14ac:dyDescent="0.2">
      <c r="B444" s="38"/>
      <c r="C444" s="380" t="s">
        <v>305</v>
      </c>
      <c r="D444" s="380"/>
      <c r="E444" s="380"/>
      <c r="F444" s="380"/>
      <c r="G444" s="380"/>
      <c r="H444" s="380"/>
      <c r="I444" s="380"/>
      <c r="J444" s="40"/>
      <c r="K444" s="41"/>
    </row>
    <row r="445" spans="2:11" x14ac:dyDescent="0.2">
      <c r="B445" s="38"/>
      <c r="C445" s="380"/>
      <c r="D445" s="380"/>
      <c r="E445" s="380"/>
      <c r="F445" s="380"/>
      <c r="G445" s="380"/>
      <c r="H445" s="380"/>
      <c r="I445" s="380"/>
      <c r="J445" s="270">
        <v>0</v>
      </c>
      <c r="K445" s="41"/>
    </row>
    <row r="446" spans="2:11" x14ac:dyDescent="0.2">
      <c r="B446" s="38"/>
      <c r="C446" s="40" t="s">
        <v>260</v>
      </c>
      <c r="D446" s="40"/>
      <c r="E446" s="40"/>
      <c r="F446" s="40"/>
      <c r="G446" s="40"/>
      <c r="H446" s="40"/>
      <c r="I446" s="40"/>
      <c r="J446" s="248">
        <f>IF(J445&lt;=0,0,IF(J445&lt;=1,1,IF(J445&lt;=5,2,IF(J445&lt;=10,3,4))))</f>
        <v>0</v>
      </c>
      <c r="K446" s="41"/>
    </row>
    <row r="447" spans="2:11" ht="9.75" customHeight="1" x14ac:dyDescent="0.2">
      <c r="B447" s="38"/>
      <c r="C447" s="279" t="str">
        <f>"0:"</f>
        <v>0:</v>
      </c>
      <c r="D447" s="278" t="s">
        <v>944</v>
      </c>
      <c r="E447" s="40"/>
      <c r="F447" s="40"/>
      <c r="G447" s="40"/>
      <c r="H447" s="40"/>
      <c r="I447" s="40"/>
      <c r="J447" s="245"/>
      <c r="K447" s="41"/>
    </row>
    <row r="448" spans="2:11" ht="9.75" customHeight="1" x14ac:dyDescent="0.2">
      <c r="B448" s="38"/>
      <c r="C448" s="280" t="str">
        <f>"1:"</f>
        <v>1:</v>
      </c>
      <c r="D448" s="278" t="s">
        <v>945</v>
      </c>
      <c r="E448" s="40"/>
      <c r="F448" s="40"/>
      <c r="G448" s="40"/>
      <c r="H448" s="40"/>
      <c r="I448" s="40"/>
      <c r="J448" s="245"/>
      <c r="K448" s="41"/>
    </row>
    <row r="449" spans="2:11" ht="9.75" customHeight="1" x14ac:dyDescent="0.2">
      <c r="B449" s="38"/>
      <c r="C449" s="280" t="str">
        <f>"2:"</f>
        <v>2:</v>
      </c>
      <c r="D449" s="278" t="s">
        <v>946</v>
      </c>
      <c r="E449" s="40"/>
      <c r="F449" s="40"/>
      <c r="G449" s="40"/>
      <c r="H449" s="40"/>
      <c r="I449" s="40"/>
      <c r="J449" s="245"/>
      <c r="K449" s="41"/>
    </row>
    <row r="450" spans="2:11" ht="9.75" customHeight="1" x14ac:dyDescent="0.2">
      <c r="B450" s="38"/>
      <c r="C450" s="280" t="str">
        <f>"3:"</f>
        <v>3:</v>
      </c>
      <c r="D450" s="278" t="s">
        <v>947</v>
      </c>
      <c r="E450" s="40"/>
      <c r="F450" s="40"/>
      <c r="G450" s="40"/>
      <c r="H450" s="40"/>
      <c r="I450" s="40"/>
      <c r="J450" s="245"/>
      <c r="K450" s="41"/>
    </row>
    <row r="451" spans="2:11" ht="9.75" customHeight="1" x14ac:dyDescent="0.2">
      <c r="B451" s="38"/>
      <c r="C451" s="280" t="str">
        <f>"4:"</f>
        <v>4:</v>
      </c>
      <c r="D451" s="278" t="s">
        <v>948</v>
      </c>
      <c r="E451" s="40"/>
      <c r="F451" s="40"/>
      <c r="G451" s="40"/>
      <c r="H451" s="40"/>
      <c r="I451" s="40"/>
      <c r="J451" s="247"/>
      <c r="K451" s="41"/>
    </row>
    <row r="452" spans="2:11" x14ac:dyDescent="0.2">
      <c r="B452" s="38"/>
      <c r="C452" s="40" t="s">
        <v>257</v>
      </c>
      <c r="D452" s="40"/>
      <c r="E452" s="40"/>
      <c r="F452" s="40"/>
      <c r="G452" s="40"/>
      <c r="H452" s="40"/>
      <c r="I452" s="40"/>
      <c r="J452" s="266" t="s">
        <v>870</v>
      </c>
      <c r="K452" s="41"/>
    </row>
    <row r="453" spans="2:11" x14ac:dyDescent="0.2">
      <c r="B453" s="38"/>
      <c r="C453" s="40" t="s">
        <v>261</v>
      </c>
      <c r="D453" s="40"/>
      <c r="E453" s="40"/>
      <c r="F453" s="40"/>
      <c r="G453" s="40"/>
      <c r="H453" s="40"/>
      <c r="I453" s="40"/>
      <c r="J453" s="245">
        <f>IF(J452=$B$973,$A$973,IF(J452=$B$974,$A$974,IF(J452=$B$975,$A$975,IF(J452=$B$976,$A$976,IF(J452=$B$977,$A$977,"Not Calculated")))))</f>
        <v>0</v>
      </c>
      <c r="K453" s="41"/>
    </row>
    <row r="454" spans="2:11" x14ac:dyDescent="0.2">
      <c r="B454" s="38"/>
      <c r="C454" s="40" t="s">
        <v>893</v>
      </c>
      <c r="D454" s="40"/>
      <c r="E454" s="40"/>
      <c r="F454" s="40"/>
      <c r="G454" s="40"/>
      <c r="H454" s="40"/>
      <c r="I454" s="40"/>
      <c r="J454" s="40"/>
      <c r="K454" s="41"/>
    </row>
    <row r="455" spans="2:11" ht="30" customHeight="1" x14ac:dyDescent="0.2">
      <c r="B455" s="38"/>
      <c r="C455" s="399"/>
      <c r="D455" s="400"/>
      <c r="E455" s="400"/>
      <c r="F455" s="400"/>
      <c r="G455" s="400"/>
      <c r="H455" s="400"/>
      <c r="I455" s="400"/>
      <c r="J455" s="401"/>
      <c r="K455" s="41"/>
    </row>
    <row r="456" spans="2:11" x14ac:dyDescent="0.2">
      <c r="B456" s="38"/>
      <c r="C456" s="40"/>
      <c r="D456" s="40"/>
      <c r="E456" s="40"/>
      <c r="F456" s="40"/>
      <c r="G456" s="40"/>
      <c r="H456" s="40"/>
      <c r="I456" s="40"/>
      <c r="J456" s="40"/>
      <c r="K456" s="41"/>
    </row>
    <row r="457" spans="2:11" x14ac:dyDescent="0.2">
      <c r="B457" s="38"/>
      <c r="C457" s="179" t="s">
        <v>304</v>
      </c>
      <c r="D457" s="40"/>
      <c r="E457" s="40"/>
      <c r="F457" s="40"/>
      <c r="G457" s="40"/>
      <c r="H457" s="40"/>
      <c r="I457" s="40"/>
      <c r="J457" s="245">
        <f>IF(OR(J446="Not Calculated",J453="Not Calculated")=TRUE,"Not Calculated",AVERAGE(J446,J453))</f>
        <v>0</v>
      </c>
      <c r="K457" s="41"/>
    </row>
    <row r="458" spans="2:11" x14ac:dyDescent="0.2">
      <c r="B458" s="38"/>
      <c r="C458" s="40"/>
      <c r="D458" s="40"/>
      <c r="E458" s="40"/>
      <c r="F458" s="40"/>
      <c r="G458" s="40"/>
      <c r="H458" s="40"/>
      <c r="I458" s="40"/>
      <c r="J458" s="40"/>
      <c r="K458" s="41"/>
    </row>
    <row r="459" spans="2:11" x14ac:dyDescent="0.2">
      <c r="B459" s="38"/>
      <c r="C459" s="40"/>
      <c r="D459" s="40"/>
      <c r="E459" s="40"/>
      <c r="F459" s="40"/>
      <c r="G459" s="40"/>
      <c r="H459" s="40"/>
      <c r="I459" s="40"/>
      <c r="J459" s="40"/>
      <c r="K459" s="41"/>
    </row>
    <row r="460" spans="2:11" ht="16" x14ac:dyDescent="0.2">
      <c r="B460" s="38"/>
      <c r="C460" s="45" t="s">
        <v>306</v>
      </c>
      <c r="D460" s="40"/>
      <c r="E460" s="40"/>
      <c r="F460" s="40"/>
      <c r="G460" s="40"/>
      <c r="H460" s="40"/>
      <c r="I460" s="40"/>
      <c r="J460" s="40"/>
      <c r="K460" s="41"/>
    </row>
    <row r="461" spans="2:11" x14ac:dyDescent="0.2">
      <c r="B461" s="38"/>
      <c r="C461" s="40" t="s">
        <v>949</v>
      </c>
      <c r="D461" s="40"/>
      <c r="E461" s="40"/>
      <c r="F461" s="40"/>
      <c r="G461" s="40"/>
      <c r="H461" s="40"/>
      <c r="I461" s="40"/>
      <c r="J461" s="270">
        <v>10</v>
      </c>
      <c r="K461" s="41"/>
    </row>
    <row r="462" spans="2:11" x14ac:dyDescent="0.2">
      <c r="B462" s="38"/>
      <c r="C462" s="40" t="s">
        <v>260</v>
      </c>
      <c r="D462" s="40"/>
      <c r="E462" s="40"/>
      <c r="F462" s="40"/>
      <c r="G462" s="40"/>
      <c r="H462" s="40"/>
      <c r="I462" s="40"/>
      <c r="J462" s="248">
        <f>IF(J461&lt;=0,0,IF(J461&lt;=1,1,IF(J461&lt;=5,2,IF(J461&lt;=10,3,4))))</f>
        <v>3</v>
      </c>
      <c r="K462" s="41"/>
    </row>
    <row r="463" spans="2:11" ht="9.75" customHeight="1" x14ac:dyDescent="0.2">
      <c r="B463" s="38"/>
      <c r="C463" s="279" t="str">
        <f>"0:"</f>
        <v>0:</v>
      </c>
      <c r="D463" s="290" t="s">
        <v>944</v>
      </c>
      <c r="E463" s="40"/>
      <c r="F463" s="40"/>
      <c r="G463" s="40"/>
      <c r="H463" s="40"/>
      <c r="I463" s="40"/>
      <c r="J463" s="245"/>
      <c r="K463" s="41"/>
    </row>
    <row r="464" spans="2:11" ht="9.75" customHeight="1" x14ac:dyDescent="0.2">
      <c r="B464" s="38"/>
      <c r="C464" s="280" t="str">
        <f>"1:"</f>
        <v>1:</v>
      </c>
      <c r="D464" s="290" t="s">
        <v>945</v>
      </c>
      <c r="E464" s="40"/>
      <c r="F464" s="40"/>
      <c r="G464" s="40"/>
      <c r="H464" s="40"/>
      <c r="I464" s="40"/>
      <c r="J464" s="245"/>
      <c r="K464" s="41"/>
    </row>
    <row r="465" spans="2:11" ht="9.75" customHeight="1" x14ac:dyDescent="0.2">
      <c r="B465" s="38"/>
      <c r="C465" s="280" t="str">
        <f>"2:"</f>
        <v>2:</v>
      </c>
      <c r="D465" s="290" t="s">
        <v>946</v>
      </c>
      <c r="E465" s="40"/>
      <c r="F465" s="40"/>
      <c r="G465" s="40"/>
      <c r="H465" s="40"/>
      <c r="I465" s="40"/>
      <c r="J465" s="245"/>
      <c r="K465" s="41"/>
    </row>
    <row r="466" spans="2:11" ht="9.75" customHeight="1" x14ac:dyDescent="0.2">
      <c r="B466" s="38"/>
      <c r="C466" s="280" t="str">
        <f>"3:"</f>
        <v>3:</v>
      </c>
      <c r="D466" s="290" t="s">
        <v>947</v>
      </c>
      <c r="E466" s="40"/>
      <c r="F466" s="40"/>
      <c r="G466" s="40"/>
      <c r="H466" s="40"/>
      <c r="I466" s="40"/>
      <c r="J466" s="245"/>
      <c r="K466" s="41"/>
    </row>
    <row r="467" spans="2:11" ht="9.75" customHeight="1" x14ac:dyDescent="0.2">
      <c r="B467" s="38"/>
      <c r="C467" s="280" t="str">
        <f>"4:"</f>
        <v>4:</v>
      </c>
      <c r="D467" s="290" t="s">
        <v>948</v>
      </c>
      <c r="E467" s="40"/>
      <c r="F467" s="40"/>
      <c r="G467" s="40"/>
      <c r="H467" s="40"/>
      <c r="I467" s="40"/>
      <c r="J467" s="247"/>
      <c r="K467" s="41"/>
    </row>
    <row r="468" spans="2:11" x14ac:dyDescent="0.2">
      <c r="B468" s="38"/>
      <c r="C468" s="40" t="s">
        <v>257</v>
      </c>
      <c r="D468" s="40"/>
      <c r="E468" s="40"/>
      <c r="F468" s="40"/>
      <c r="G468" s="40"/>
      <c r="H468" s="40"/>
      <c r="I468" s="40"/>
      <c r="J468" s="266" t="s">
        <v>882</v>
      </c>
      <c r="K468" s="41"/>
    </row>
    <row r="469" spans="2:11" ht="15" customHeight="1" x14ac:dyDescent="0.2">
      <c r="B469" s="38"/>
      <c r="C469" s="40" t="s">
        <v>261</v>
      </c>
      <c r="D469" s="40"/>
      <c r="E469" s="40"/>
      <c r="F469" s="40"/>
      <c r="G469" s="40"/>
      <c r="H469" s="40"/>
      <c r="I469" s="40"/>
      <c r="J469" s="245">
        <f>IF(J468=$B$973,$A$973,IF(J468=$B$974,$A$974,IF(J468=$B$975,$A$975,IF(J468=$B$976,$A$976,IF(J468=$B$977,$A$977,"Not Calculated")))))</f>
        <v>1</v>
      </c>
      <c r="K469" s="41"/>
    </row>
    <row r="470" spans="2:11" x14ac:dyDescent="0.2">
      <c r="B470" s="38"/>
      <c r="C470" s="40" t="s">
        <v>893</v>
      </c>
      <c r="D470" s="40"/>
      <c r="E470" s="40"/>
      <c r="F470" s="40"/>
      <c r="G470" s="40"/>
      <c r="H470" s="40"/>
      <c r="I470" s="40"/>
      <c r="J470" s="40"/>
      <c r="K470" s="41"/>
    </row>
    <row r="471" spans="2:11" ht="120" customHeight="1" x14ac:dyDescent="0.2">
      <c r="B471" s="38"/>
      <c r="C471" s="399" t="s">
        <v>536</v>
      </c>
      <c r="D471" s="400"/>
      <c r="E471" s="400"/>
      <c r="F471" s="400"/>
      <c r="G471" s="400"/>
      <c r="H471" s="400"/>
      <c r="I471" s="400"/>
      <c r="J471" s="401"/>
      <c r="K471" s="41"/>
    </row>
    <row r="472" spans="2:11" x14ac:dyDescent="0.2">
      <c r="B472" s="38"/>
      <c r="C472" s="40"/>
      <c r="D472" s="40"/>
      <c r="E472" s="40"/>
      <c r="F472" s="40"/>
      <c r="G472" s="40"/>
      <c r="H472" s="40"/>
      <c r="I472" s="40"/>
      <c r="J472" s="40"/>
      <c r="K472" s="41"/>
    </row>
    <row r="473" spans="2:11" x14ac:dyDescent="0.2">
      <c r="B473" s="38"/>
      <c r="C473" s="179" t="s">
        <v>307</v>
      </c>
      <c r="D473" s="40"/>
      <c r="E473" s="40"/>
      <c r="F473" s="40"/>
      <c r="G473" s="40"/>
      <c r="H473" s="40"/>
      <c r="I473" s="40"/>
      <c r="J473" s="245">
        <f>IF(OR(J462="Not Calculated",J469="Not Calculated")=TRUE,"Not Calculated",AVERAGE(J462,J469))</f>
        <v>2</v>
      </c>
      <c r="K473" s="41"/>
    </row>
    <row r="474" spans="2:11" x14ac:dyDescent="0.2">
      <c r="B474" s="38"/>
      <c r="C474" s="40"/>
      <c r="D474" s="40"/>
      <c r="E474" s="40"/>
      <c r="F474" s="40"/>
      <c r="G474" s="40"/>
      <c r="H474" s="40"/>
      <c r="I474" s="40"/>
      <c r="J474" s="40"/>
      <c r="K474" s="41"/>
    </row>
    <row r="475" spans="2:11" x14ac:dyDescent="0.2">
      <c r="B475" s="38"/>
      <c r="C475" s="40"/>
      <c r="D475" s="40"/>
      <c r="E475" s="40"/>
      <c r="F475" s="40"/>
      <c r="G475" s="40"/>
      <c r="H475" s="40"/>
      <c r="I475" s="40"/>
      <c r="J475" s="40"/>
      <c r="K475" s="41"/>
    </row>
    <row r="476" spans="2:11" ht="16" x14ac:dyDescent="0.2">
      <c r="B476" s="38"/>
      <c r="C476" s="45" t="s">
        <v>308</v>
      </c>
      <c r="D476" s="40"/>
      <c r="E476" s="40"/>
      <c r="F476" s="40"/>
      <c r="G476" s="40"/>
      <c r="H476" s="40"/>
      <c r="I476" s="40"/>
      <c r="J476" s="40"/>
      <c r="K476" s="41"/>
    </row>
    <row r="477" spans="2:11" ht="15" customHeight="1" x14ac:dyDescent="0.2">
      <c r="B477" s="38"/>
      <c r="C477" s="380" t="s">
        <v>310</v>
      </c>
      <c r="D477" s="380"/>
      <c r="E477" s="380"/>
      <c r="F477" s="380"/>
      <c r="G477" s="380"/>
      <c r="H477" s="380"/>
      <c r="I477" s="380"/>
      <c r="J477" s="40"/>
      <c r="K477" s="41"/>
    </row>
    <row r="478" spans="2:11" x14ac:dyDescent="0.2">
      <c r="B478" s="38"/>
      <c r="C478" s="380"/>
      <c r="D478" s="380"/>
      <c r="E478" s="380"/>
      <c r="F478" s="380"/>
      <c r="G478" s="380"/>
      <c r="H478" s="380"/>
      <c r="I478" s="380"/>
      <c r="J478" s="131">
        <f>7*8</f>
        <v>56</v>
      </c>
      <c r="K478" s="41"/>
    </row>
    <row r="479" spans="2:11" x14ac:dyDescent="0.2">
      <c r="B479" s="38"/>
      <c r="C479" s="40" t="s">
        <v>261</v>
      </c>
      <c r="D479" s="40"/>
      <c r="E479" s="40"/>
      <c r="F479" s="40"/>
      <c r="G479" s="40"/>
      <c r="H479" s="40"/>
      <c r="I479" s="40"/>
      <c r="J479" s="245">
        <f>IF(J478&lt;=0,0,IF(J478&lt;=1,1,IF(J478&lt;=7,2,IF(J478&lt;=14,3,4))))</f>
        <v>4</v>
      </c>
      <c r="K479" s="41"/>
    </row>
    <row r="480" spans="2:11" s="51" customFormat="1" ht="9.75" customHeight="1" x14ac:dyDescent="0.2">
      <c r="B480" s="283"/>
      <c r="C480" s="279" t="str">
        <f>"0:"</f>
        <v>0:</v>
      </c>
      <c r="D480" s="284" t="s">
        <v>950</v>
      </c>
      <c r="E480" s="285"/>
      <c r="F480" s="285"/>
      <c r="G480" s="285"/>
      <c r="H480" s="285"/>
      <c r="I480" s="285"/>
      <c r="J480" s="43"/>
      <c r="K480" s="286"/>
    </row>
    <row r="481" spans="2:11" s="51" customFormat="1" ht="9.75" customHeight="1" x14ac:dyDescent="0.2">
      <c r="B481" s="283"/>
      <c r="C481" s="280" t="str">
        <f>"1:"</f>
        <v>1:</v>
      </c>
      <c r="D481" s="284" t="s">
        <v>951</v>
      </c>
      <c r="E481" s="285"/>
      <c r="F481" s="285"/>
      <c r="G481" s="285"/>
      <c r="H481" s="285"/>
      <c r="I481" s="285"/>
      <c r="J481" s="43"/>
      <c r="K481" s="286"/>
    </row>
    <row r="482" spans="2:11" s="51" customFormat="1" ht="9.75" customHeight="1" x14ac:dyDescent="0.2">
      <c r="B482" s="283"/>
      <c r="C482" s="280" t="str">
        <f>"2:"</f>
        <v>2:</v>
      </c>
      <c r="D482" s="284" t="s">
        <v>952</v>
      </c>
      <c r="E482" s="285"/>
      <c r="F482" s="285"/>
      <c r="G482" s="285"/>
      <c r="H482" s="285"/>
      <c r="I482" s="285"/>
      <c r="J482" s="43"/>
      <c r="K482" s="286"/>
    </row>
    <row r="483" spans="2:11" s="51" customFormat="1" ht="9.75" customHeight="1" x14ac:dyDescent="0.2">
      <c r="B483" s="283"/>
      <c r="C483" s="280" t="str">
        <f>"3:"</f>
        <v>3:</v>
      </c>
      <c r="D483" s="284" t="s">
        <v>953</v>
      </c>
      <c r="E483" s="285"/>
      <c r="F483" s="285"/>
      <c r="G483" s="285"/>
      <c r="H483" s="285"/>
      <c r="I483" s="285"/>
      <c r="J483" s="43"/>
      <c r="K483" s="286"/>
    </row>
    <row r="484" spans="2:11" s="51" customFormat="1" ht="9.75" customHeight="1" x14ac:dyDescent="0.2">
      <c r="B484" s="283"/>
      <c r="C484" s="280" t="str">
        <f>"4:"</f>
        <v>4:</v>
      </c>
      <c r="D484" s="284" t="s">
        <v>954</v>
      </c>
      <c r="E484" s="285"/>
      <c r="F484" s="285"/>
      <c r="G484" s="285"/>
      <c r="H484" s="285"/>
      <c r="I484" s="285"/>
      <c r="J484" s="43"/>
      <c r="K484" s="286"/>
    </row>
    <row r="485" spans="2:11" x14ac:dyDescent="0.2">
      <c r="B485" s="38"/>
      <c r="C485" s="40" t="s">
        <v>893</v>
      </c>
      <c r="D485" s="40"/>
      <c r="E485" s="40"/>
      <c r="F485" s="40"/>
      <c r="G485" s="40"/>
      <c r="H485" s="40"/>
      <c r="I485" s="40"/>
      <c r="J485" s="40"/>
      <c r="K485" s="41"/>
    </row>
    <row r="486" spans="2:11" ht="30" customHeight="1" x14ac:dyDescent="0.2">
      <c r="B486" s="38"/>
      <c r="C486" s="399" t="s">
        <v>537</v>
      </c>
      <c r="D486" s="400"/>
      <c r="E486" s="400"/>
      <c r="F486" s="400"/>
      <c r="G486" s="400"/>
      <c r="H486" s="400"/>
      <c r="I486" s="400"/>
      <c r="J486" s="401"/>
      <c r="K486" s="41"/>
    </row>
    <row r="487" spans="2:11" x14ac:dyDescent="0.2">
      <c r="B487" s="38"/>
      <c r="C487" s="40"/>
      <c r="D487" s="40"/>
      <c r="E487" s="40"/>
      <c r="F487" s="40"/>
      <c r="G487" s="40"/>
      <c r="H487" s="40"/>
      <c r="I487" s="40"/>
      <c r="J487" s="40"/>
      <c r="K487" s="41"/>
    </row>
    <row r="488" spans="2:11" x14ac:dyDescent="0.2">
      <c r="B488" s="38"/>
      <c r="C488" s="179" t="s">
        <v>309</v>
      </c>
      <c r="D488" s="40"/>
      <c r="E488" s="40"/>
      <c r="F488" s="40"/>
      <c r="G488" s="40"/>
      <c r="H488" s="40"/>
      <c r="I488" s="40"/>
      <c r="J488" s="245">
        <f>J479</f>
        <v>4</v>
      </c>
      <c r="K488" s="41"/>
    </row>
    <row r="489" spans="2:11" x14ac:dyDescent="0.2">
      <c r="B489" s="38"/>
      <c r="C489" s="40"/>
      <c r="D489" s="40"/>
      <c r="E489" s="40"/>
      <c r="F489" s="40"/>
      <c r="G489" s="40"/>
      <c r="H489" s="40"/>
      <c r="I489" s="40"/>
      <c r="J489" s="40"/>
      <c r="K489" s="41"/>
    </row>
    <row r="490" spans="2:11" x14ac:dyDescent="0.2">
      <c r="B490" s="38"/>
      <c r="C490" s="40"/>
      <c r="D490" s="40"/>
      <c r="E490" s="40"/>
      <c r="F490" s="40"/>
      <c r="G490" s="40"/>
      <c r="H490" s="40"/>
      <c r="I490" s="40"/>
      <c r="J490" s="40"/>
      <c r="K490" s="41"/>
    </row>
    <row r="491" spans="2:11" ht="16" x14ac:dyDescent="0.2">
      <c r="B491" s="38"/>
      <c r="C491" s="45" t="s">
        <v>311</v>
      </c>
      <c r="D491" s="40"/>
      <c r="E491" s="40"/>
      <c r="F491" s="40"/>
      <c r="G491" s="40"/>
      <c r="H491" s="40"/>
      <c r="I491" s="40"/>
      <c r="J491" s="40"/>
      <c r="K491" s="41"/>
    </row>
    <row r="492" spans="2:11" x14ac:dyDescent="0.2">
      <c r="B492" s="38"/>
      <c r="C492" s="40" t="s">
        <v>312</v>
      </c>
      <c r="D492" s="40"/>
      <c r="E492" s="40"/>
      <c r="F492" s="40"/>
      <c r="G492" s="40"/>
      <c r="H492" s="40"/>
      <c r="I492" s="40"/>
      <c r="J492" s="270">
        <v>25</v>
      </c>
      <c r="K492" s="41"/>
    </row>
    <row r="493" spans="2:11" x14ac:dyDescent="0.2">
      <c r="B493" s="38"/>
      <c r="C493" s="40" t="s">
        <v>260</v>
      </c>
      <c r="D493" s="40"/>
      <c r="E493" s="40"/>
      <c r="F493" s="40"/>
      <c r="G493" s="40"/>
      <c r="H493" s="40"/>
      <c r="I493" s="40"/>
      <c r="J493" s="248">
        <f>IF(J492&lt;=0,0,IF(J492&lt;=1,1,IF(J492&lt;=5,2,IF(J492&lt;=10,3,4))))</f>
        <v>4</v>
      </c>
      <c r="K493" s="41"/>
    </row>
    <row r="494" spans="2:11" ht="9.75" customHeight="1" x14ac:dyDescent="0.2">
      <c r="B494" s="38"/>
      <c r="C494" s="279" t="str">
        <f>"0:"</f>
        <v>0:</v>
      </c>
      <c r="D494" s="290" t="s">
        <v>955</v>
      </c>
      <c r="E494" s="40"/>
      <c r="F494" s="40"/>
      <c r="G494" s="40"/>
      <c r="H494" s="40"/>
      <c r="I494" s="40"/>
      <c r="J494" s="245"/>
      <c r="K494" s="41"/>
    </row>
    <row r="495" spans="2:11" ht="9.75" customHeight="1" x14ac:dyDescent="0.2">
      <c r="B495" s="38"/>
      <c r="C495" s="280" t="str">
        <f>"1:"</f>
        <v>1:</v>
      </c>
      <c r="D495" s="290" t="s">
        <v>956</v>
      </c>
      <c r="E495" s="40"/>
      <c r="F495" s="40"/>
      <c r="G495" s="40"/>
      <c r="H495" s="40"/>
      <c r="I495" s="40"/>
      <c r="J495" s="245"/>
      <c r="K495" s="41"/>
    </row>
    <row r="496" spans="2:11" ht="9.75" customHeight="1" x14ac:dyDescent="0.2">
      <c r="B496" s="38"/>
      <c r="C496" s="280" t="str">
        <f>"2:"</f>
        <v>2:</v>
      </c>
      <c r="D496" s="290" t="s">
        <v>957</v>
      </c>
      <c r="E496" s="40"/>
      <c r="F496" s="40"/>
      <c r="G496" s="40"/>
      <c r="H496" s="40"/>
      <c r="I496" s="40"/>
      <c r="J496" s="245"/>
      <c r="K496" s="41"/>
    </row>
    <row r="497" spans="2:11" ht="9.75" customHeight="1" x14ac:dyDescent="0.2">
      <c r="B497" s="38"/>
      <c r="C497" s="280" t="str">
        <f>"3:"</f>
        <v>3:</v>
      </c>
      <c r="D497" s="290" t="s">
        <v>958</v>
      </c>
      <c r="E497" s="40"/>
      <c r="F497" s="40"/>
      <c r="G497" s="40"/>
      <c r="H497" s="40"/>
      <c r="I497" s="40"/>
      <c r="J497" s="245"/>
      <c r="K497" s="41"/>
    </row>
    <row r="498" spans="2:11" ht="9.75" customHeight="1" x14ac:dyDescent="0.2">
      <c r="B498" s="38"/>
      <c r="C498" s="280" t="str">
        <f>"4:"</f>
        <v>4:</v>
      </c>
      <c r="D498" s="290" t="s">
        <v>959</v>
      </c>
      <c r="E498" s="40"/>
      <c r="F498" s="40"/>
      <c r="G498" s="40"/>
      <c r="H498" s="40"/>
      <c r="I498" s="40"/>
      <c r="J498" s="247"/>
      <c r="K498" s="41"/>
    </row>
    <row r="499" spans="2:11" x14ac:dyDescent="0.2">
      <c r="B499" s="38"/>
      <c r="C499" s="40" t="s">
        <v>313</v>
      </c>
      <c r="D499" s="40"/>
      <c r="E499" s="40"/>
      <c r="F499" s="40"/>
      <c r="G499" s="40"/>
      <c r="H499" s="40"/>
      <c r="I499" s="40"/>
      <c r="J499" s="266" t="s">
        <v>872</v>
      </c>
      <c r="K499" s="41"/>
    </row>
    <row r="500" spans="2:11" x14ac:dyDescent="0.2">
      <c r="B500" s="38"/>
      <c r="C500" s="40" t="s">
        <v>261</v>
      </c>
      <c r="D500" s="40"/>
      <c r="E500" s="40"/>
      <c r="F500" s="40"/>
      <c r="G500" s="40"/>
      <c r="H500" s="40"/>
      <c r="I500" s="40"/>
      <c r="J500" s="245">
        <f>IF(J499=$B$973,$A$973,IF(J499=$B$974,$A$974,IF(J499=$B$975,$A$975,IF(J499=$B$976,$A$976,IF(J499=$B$977,$A$977,"Not Calculated")))))</f>
        <v>2</v>
      </c>
      <c r="K500" s="41"/>
    </row>
    <row r="501" spans="2:11" x14ac:dyDescent="0.2">
      <c r="B501" s="38"/>
      <c r="C501" s="40" t="s">
        <v>893</v>
      </c>
      <c r="D501" s="40"/>
      <c r="E501" s="40"/>
      <c r="F501" s="40"/>
      <c r="G501" s="40"/>
      <c r="H501" s="40"/>
      <c r="I501" s="40"/>
      <c r="J501" s="40"/>
      <c r="K501" s="41"/>
    </row>
    <row r="502" spans="2:11" ht="90" customHeight="1" x14ac:dyDescent="0.2">
      <c r="B502" s="38"/>
      <c r="C502" s="399" t="s">
        <v>538</v>
      </c>
      <c r="D502" s="400"/>
      <c r="E502" s="400"/>
      <c r="F502" s="400"/>
      <c r="G502" s="400"/>
      <c r="H502" s="400"/>
      <c r="I502" s="400"/>
      <c r="J502" s="401"/>
      <c r="K502" s="41"/>
    </row>
    <row r="503" spans="2:11" x14ac:dyDescent="0.2">
      <c r="B503" s="38"/>
      <c r="C503" s="40"/>
      <c r="D503" s="40"/>
      <c r="E503" s="40"/>
      <c r="F503" s="40"/>
      <c r="G503" s="40"/>
      <c r="H503" s="40"/>
      <c r="I503" s="40"/>
      <c r="J503" s="40"/>
      <c r="K503" s="41"/>
    </row>
    <row r="504" spans="2:11" x14ac:dyDescent="0.2">
      <c r="B504" s="38"/>
      <c r="C504" s="179" t="s">
        <v>321</v>
      </c>
      <c r="D504" s="40"/>
      <c r="E504" s="40"/>
      <c r="F504" s="40"/>
      <c r="G504" s="40"/>
      <c r="H504" s="40"/>
      <c r="I504" s="40"/>
      <c r="J504" s="245">
        <f>IF(OR(J493="Not Calculated",J500="Not Calculated")=TRUE,"Not Calculated",AVERAGE(J493,J500))</f>
        <v>3</v>
      </c>
      <c r="K504" s="41"/>
    </row>
    <row r="505" spans="2:11" x14ac:dyDescent="0.2">
      <c r="B505" s="38"/>
      <c r="C505" s="40"/>
      <c r="D505" s="40"/>
      <c r="E505" s="40"/>
      <c r="F505" s="40"/>
      <c r="G505" s="40"/>
      <c r="H505" s="40"/>
      <c r="I505" s="40"/>
      <c r="J505" s="40"/>
      <c r="K505" s="41"/>
    </row>
    <row r="506" spans="2:11" x14ac:dyDescent="0.2">
      <c r="B506" s="38"/>
      <c r="C506" s="40"/>
      <c r="D506" s="40"/>
      <c r="E506" s="40"/>
      <c r="F506" s="40"/>
      <c r="G506" s="40"/>
      <c r="H506" s="40"/>
      <c r="I506" s="40"/>
      <c r="J506" s="40"/>
      <c r="K506" s="41"/>
    </row>
    <row r="507" spans="2:11" ht="16" x14ac:dyDescent="0.2">
      <c r="B507" s="38"/>
      <c r="C507" s="45" t="s">
        <v>314</v>
      </c>
      <c r="D507" s="40"/>
      <c r="E507" s="40"/>
      <c r="F507" s="40"/>
      <c r="G507" s="40"/>
      <c r="H507" s="40"/>
      <c r="I507" s="40"/>
      <c r="J507" s="40"/>
      <c r="K507" s="41"/>
    </row>
    <row r="508" spans="2:11" x14ac:dyDescent="0.2">
      <c r="B508" s="38"/>
      <c r="C508" s="40" t="s">
        <v>316</v>
      </c>
      <c r="D508" s="40"/>
      <c r="E508" s="40"/>
      <c r="F508" s="40"/>
      <c r="G508" s="40"/>
      <c r="H508" s="40"/>
      <c r="I508" s="40"/>
      <c r="J508" s="269">
        <v>0</v>
      </c>
      <c r="K508" s="41"/>
    </row>
    <row r="509" spans="2:11" x14ac:dyDescent="0.2">
      <c r="B509" s="38"/>
      <c r="C509" s="40" t="s">
        <v>260</v>
      </c>
      <c r="D509" s="40"/>
      <c r="E509" s="40"/>
      <c r="F509" s="40"/>
      <c r="G509" s="40"/>
      <c r="H509" s="40"/>
      <c r="I509" s="40"/>
      <c r="J509" s="248">
        <f>IF(J508&lt;=0,0,IF(J508&lt;=1000,1,IF(J508&lt;=5000,2,IF(J508&lt;=25000,3,4))))</f>
        <v>0</v>
      </c>
      <c r="K509" s="41"/>
    </row>
    <row r="510" spans="2:11" s="51" customFormat="1" ht="9.75" customHeight="1" x14ac:dyDescent="0.2">
      <c r="B510" s="283"/>
      <c r="C510" s="279" t="str">
        <f>"0:"</f>
        <v>0:</v>
      </c>
      <c r="D510" s="284" t="s">
        <v>960</v>
      </c>
      <c r="E510" s="285"/>
      <c r="F510" s="285"/>
      <c r="G510" s="285"/>
      <c r="H510" s="285"/>
      <c r="I510" s="285"/>
      <c r="J510" s="43"/>
      <c r="K510" s="286"/>
    </row>
    <row r="511" spans="2:11" s="51" customFormat="1" ht="9.75" customHeight="1" x14ac:dyDescent="0.2">
      <c r="B511" s="283"/>
      <c r="C511" s="280" t="str">
        <f>"1:"</f>
        <v>1:</v>
      </c>
      <c r="D511" s="284" t="s">
        <v>961</v>
      </c>
      <c r="E511" s="285"/>
      <c r="F511" s="285"/>
      <c r="G511" s="285"/>
      <c r="H511" s="285"/>
      <c r="I511" s="285"/>
      <c r="J511" s="43"/>
      <c r="K511" s="286"/>
    </row>
    <row r="512" spans="2:11" s="51" customFormat="1" ht="9.75" customHeight="1" x14ac:dyDescent="0.2">
      <c r="B512" s="283"/>
      <c r="C512" s="280" t="str">
        <f>"2:"</f>
        <v>2:</v>
      </c>
      <c r="D512" s="284" t="s">
        <v>962</v>
      </c>
      <c r="E512" s="285"/>
      <c r="F512" s="285"/>
      <c r="G512" s="285"/>
      <c r="H512" s="285"/>
      <c r="I512" s="285"/>
      <c r="J512" s="43"/>
      <c r="K512" s="286"/>
    </row>
    <row r="513" spans="2:11" s="51" customFormat="1" ht="9.75" customHeight="1" x14ac:dyDescent="0.2">
      <c r="B513" s="283"/>
      <c r="C513" s="280" t="str">
        <f>"3:"</f>
        <v>3:</v>
      </c>
      <c r="D513" s="284" t="s">
        <v>963</v>
      </c>
      <c r="E513" s="285"/>
      <c r="F513" s="285"/>
      <c r="G513" s="285"/>
      <c r="H513" s="285"/>
      <c r="I513" s="285"/>
      <c r="J513" s="43"/>
      <c r="K513" s="286"/>
    </row>
    <row r="514" spans="2:11" s="51" customFormat="1" ht="9.75" customHeight="1" x14ac:dyDescent="0.2">
      <c r="B514" s="283"/>
      <c r="C514" s="280" t="str">
        <f>"4:"</f>
        <v>4:</v>
      </c>
      <c r="D514" s="284" t="s">
        <v>964</v>
      </c>
      <c r="E514" s="285"/>
      <c r="F514" s="285"/>
      <c r="G514" s="285"/>
      <c r="H514" s="285"/>
      <c r="I514" s="285"/>
      <c r="J514" s="287"/>
      <c r="K514" s="286"/>
    </row>
    <row r="515" spans="2:11" x14ac:dyDescent="0.2">
      <c r="B515" s="38"/>
      <c r="C515" s="40" t="s">
        <v>315</v>
      </c>
      <c r="D515" s="40"/>
      <c r="E515" s="40"/>
      <c r="F515" s="40"/>
      <c r="G515" s="40"/>
      <c r="H515" s="40"/>
      <c r="I515" s="40"/>
      <c r="J515" s="266" t="s">
        <v>870</v>
      </c>
      <c r="K515" s="41"/>
    </row>
    <row r="516" spans="2:11" x14ac:dyDescent="0.2">
      <c r="B516" s="38"/>
      <c r="C516" s="40" t="s">
        <v>261</v>
      </c>
      <c r="D516" s="40"/>
      <c r="E516" s="40"/>
      <c r="F516" s="40"/>
      <c r="G516" s="40"/>
      <c r="H516" s="40"/>
      <c r="I516" s="40"/>
      <c r="J516" s="245">
        <f>IF(J515=$B$973,$A$973,IF(J515=$B$974,$A$974,IF(J515=$B$975,$A$975,IF(J515=$B$976,$A$976,IF(J515=$B$977,$A$977,"Not Calculated")))))</f>
        <v>0</v>
      </c>
      <c r="K516" s="41"/>
    </row>
    <row r="517" spans="2:11" x14ac:dyDescent="0.2">
      <c r="B517" s="38"/>
      <c r="C517" s="40" t="s">
        <v>893</v>
      </c>
      <c r="D517" s="40"/>
      <c r="E517" s="40"/>
      <c r="F517" s="40"/>
      <c r="G517" s="40"/>
      <c r="H517" s="40"/>
      <c r="I517" s="40"/>
      <c r="J517" s="40"/>
      <c r="K517" s="41"/>
    </row>
    <row r="518" spans="2:11" ht="30" customHeight="1" x14ac:dyDescent="0.2">
      <c r="B518" s="38"/>
      <c r="C518" s="399"/>
      <c r="D518" s="400"/>
      <c r="E518" s="400"/>
      <c r="F518" s="400"/>
      <c r="G518" s="400"/>
      <c r="H518" s="400"/>
      <c r="I518" s="400"/>
      <c r="J518" s="401"/>
      <c r="K518" s="41"/>
    </row>
    <row r="519" spans="2:11" x14ac:dyDescent="0.2">
      <c r="B519" s="38"/>
      <c r="C519" s="40"/>
      <c r="D519" s="40"/>
      <c r="E519" s="40"/>
      <c r="F519" s="40"/>
      <c r="G519" s="40"/>
      <c r="H519" s="40"/>
      <c r="I519" s="40"/>
      <c r="J519" s="40"/>
      <c r="K519" s="41"/>
    </row>
    <row r="520" spans="2:11" x14ac:dyDescent="0.2">
      <c r="B520" s="38"/>
      <c r="C520" s="179" t="s">
        <v>320</v>
      </c>
      <c r="D520" s="40"/>
      <c r="E520" s="40"/>
      <c r="F520" s="40"/>
      <c r="G520" s="40"/>
      <c r="H520" s="40"/>
      <c r="I520" s="40"/>
      <c r="J520" s="245">
        <f>IF(OR(J509="Not Calculated",J516="Not Calculated")=TRUE,"Not Calculated",AVERAGE(J509,J516))</f>
        <v>0</v>
      </c>
      <c r="K520" s="41"/>
    </row>
    <row r="521" spans="2:11" x14ac:dyDescent="0.2">
      <c r="B521" s="38"/>
      <c r="C521" s="40"/>
      <c r="D521" s="40"/>
      <c r="E521" s="40"/>
      <c r="F521" s="40"/>
      <c r="G521" s="40"/>
      <c r="H521" s="40"/>
      <c r="I521" s="40"/>
      <c r="J521" s="40"/>
      <c r="K521" s="41"/>
    </row>
    <row r="522" spans="2:11" x14ac:dyDescent="0.2">
      <c r="B522" s="38"/>
      <c r="C522" s="40"/>
      <c r="D522" s="40"/>
      <c r="E522" s="40"/>
      <c r="F522" s="40"/>
      <c r="G522" s="40"/>
      <c r="H522" s="40"/>
      <c r="I522" s="40"/>
      <c r="J522" s="40"/>
      <c r="K522" s="41"/>
    </row>
    <row r="523" spans="2:11" ht="16" x14ac:dyDescent="0.2">
      <c r="B523" s="38"/>
      <c r="C523" s="45" t="s">
        <v>317</v>
      </c>
      <c r="D523" s="40"/>
      <c r="E523" s="40"/>
      <c r="F523" s="40"/>
      <c r="G523" s="40"/>
      <c r="H523" s="40"/>
      <c r="I523" s="40"/>
      <c r="J523" s="40"/>
      <c r="K523" s="41"/>
    </row>
    <row r="524" spans="2:11" ht="15" customHeight="1" x14ac:dyDescent="0.2">
      <c r="B524" s="38"/>
      <c r="C524" s="380" t="s">
        <v>318</v>
      </c>
      <c r="D524" s="380"/>
      <c r="E524" s="380"/>
      <c r="F524" s="380"/>
      <c r="G524" s="380"/>
      <c r="H524" s="380"/>
      <c r="I524" s="380"/>
      <c r="J524" s="40"/>
      <c r="K524" s="41"/>
    </row>
    <row r="525" spans="2:11" x14ac:dyDescent="0.2">
      <c r="B525" s="38"/>
      <c r="C525" s="380"/>
      <c r="D525" s="380"/>
      <c r="E525" s="380"/>
      <c r="F525" s="380"/>
      <c r="G525" s="380"/>
      <c r="H525" s="380"/>
      <c r="I525" s="380"/>
      <c r="J525" s="274">
        <v>0</v>
      </c>
      <c r="K525" s="41"/>
    </row>
    <row r="526" spans="2:11" x14ac:dyDescent="0.2">
      <c r="B526" s="38"/>
      <c r="C526" s="40" t="s">
        <v>260</v>
      </c>
      <c r="D526" s="40"/>
      <c r="E526" s="40"/>
      <c r="F526" s="40"/>
      <c r="G526" s="40"/>
      <c r="H526" s="40"/>
      <c r="I526" s="40"/>
      <c r="J526" s="248">
        <f>IF(J525&lt;=0,0,IF(J525&lt;=1,1,IF(J525&lt;=5,2,IF(J525&lt;=10,3,4))))</f>
        <v>0</v>
      </c>
      <c r="K526" s="41"/>
    </row>
    <row r="527" spans="2:11" s="51" customFormat="1" ht="9.75" customHeight="1" x14ac:dyDescent="0.2">
      <c r="B527" s="283"/>
      <c r="C527" s="279" t="str">
        <f>"0:"</f>
        <v>0:</v>
      </c>
      <c r="D527" s="284" t="s">
        <v>965</v>
      </c>
      <c r="E527" s="285"/>
      <c r="F527" s="285"/>
      <c r="G527" s="285"/>
      <c r="H527" s="285"/>
      <c r="I527" s="285"/>
      <c r="J527" s="43"/>
      <c r="K527" s="286"/>
    </row>
    <row r="528" spans="2:11" s="51" customFormat="1" ht="9.75" customHeight="1" x14ac:dyDescent="0.2">
      <c r="B528" s="283"/>
      <c r="C528" s="280" t="str">
        <f>"1:"</f>
        <v>1:</v>
      </c>
      <c r="D528" s="284" t="s">
        <v>966</v>
      </c>
      <c r="E528" s="285"/>
      <c r="F528" s="285"/>
      <c r="G528" s="285"/>
      <c r="H528" s="285"/>
      <c r="I528" s="285"/>
      <c r="J528" s="43"/>
      <c r="K528" s="286"/>
    </row>
    <row r="529" spans="2:11" s="51" customFormat="1" ht="9.75" customHeight="1" x14ac:dyDescent="0.2">
      <c r="B529" s="283"/>
      <c r="C529" s="280" t="str">
        <f>"2:"</f>
        <v>2:</v>
      </c>
      <c r="D529" s="284" t="s">
        <v>967</v>
      </c>
      <c r="E529" s="285"/>
      <c r="F529" s="285"/>
      <c r="G529" s="285"/>
      <c r="H529" s="285"/>
      <c r="I529" s="285"/>
      <c r="J529" s="43"/>
      <c r="K529" s="286"/>
    </row>
    <row r="530" spans="2:11" s="51" customFormat="1" ht="9.75" customHeight="1" x14ac:dyDescent="0.2">
      <c r="B530" s="283"/>
      <c r="C530" s="280" t="str">
        <f>"3:"</f>
        <v>3:</v>
      </c>
      <c r="D530" s="284" t="s">
        <v>968</v>
      </c>
      <c r="E530" s="285"/>
      <c r="F530" s="285"/>
      <c r="G530" s="285"/>
      <c r="H530" s="285"/>
      <c r="I530" s="285"/>
      <c r="J530" s="43"/>
      <c r="K530" s="286"/>
    </row>
    <row r="531" spans="2:11" s="51" customFormat="1" ht="9.75" customHeight="1" x14ac:dyDescent="0.2">
      <c r="B531" s="283"/>
      <c r="C531" s="280" t="str">
        <f>"4:"</f>
        <v>4:</v>
      </c>
      <c r="D531" s="284" t="s">
        <v>969</v>
      </c>
      <c r="E531" s="285"/>
      <c r="F531" s="285"/>
      <c r="G531" s="285"/>
      <c r="H531" s="285"/>
      <c r="I531" s="285"/>
      <c r="J531" s="287"/>
      <c r="K531" s="286"/>
    </row>
    <row r="532" spans="2:11" x14ac:dyDescent="0.2">
      <c r="B532" s="38"/>
      <c r="C532" s="40" t="s">
        <v>257</v>
      </c>
      <c r="D532" s="40"/>
      <c r="E532" s="40"/>
      <c r="F532" s="40"/>
      <c r="G532" s="40"/>
      <c r="H532" s="40"/>
      <c r="I532" s="40"/>
      <c r="J532" s="266" t="s">
        <v>870</v>
      </c>
      <c r="K532" s="41"/>
    </row>
    <row r="533" spans="2:11" x14ac:dyDescent="0.2">
      <c r="B533" s="38"/>
      <c r="C533" s="40" t="s">
        <v>261</v>
      </c>
      <c r="D533" s="40"/>
      <c r="E533" s="40"/>
      <c r="F533" s="40"/>
      <c r="G533" s="40"/>
      <c r="H533" s="40"/>
      <c r="I533" s="40"/>
      <c r="J533" s="245">
        <f>IF(J532=$B$973,$A$973,IF(J532=$B$974,$A$974,IF(J532=$B$975,$A$975,IF(J532=$B$976,$A$976,IF(J532=$B$977,$A$977,"Not Calculated")))))</f>
        <v>0</v>
      </c>
      <c r="K533" s="41"/>
    </row>
    <row r="534" spans="2:11" x14ac:dyDescent="0.2">
      <c r="B534" s="38"/>
      <c r="C534" s="40" t="s">
        <v>893</v>
      </c>
      <c r="D534" s="40"/>
      <c r="E534" s="40"/>
      <c r="F534" s="40"/>
      <c r="G534" s="40"/>
      <c r="H534" s="40"/>
      <c r="I534" s="40"/>
      <c r="J534" s="40"/>
      <c r="K534" s="41"/>
    </row>
    <row r="535" spans="2:11" ht="105" customHeight="1" x14ac:dyDescent="0.2">
      <c r="B535" s="38"/>
      <c r="C535" s="399" t="s">
        <v>539</v>
      </c>
      <c r="D535" s="400"/>
      <c r="E535" s="400"/>
      <c r="F535" s="400"/>
      <c r="G535" s="400"/>
      <c r="H535" s="400"/>
      <c r="I535" s="400"/>
      <c r="J535" s="401"/>
      <c r="K535" s="41"/>
    </row>
    <row r="536" spans="2:11" x14ac:dyDescent="0.2">
      <c r="B536" s="38"/>
      <c r="C536" s="40"/>
      <c r="D536" s="40"/>
      <c r="E536" s="40"/>
      <c r="F536" s="40"/>
      <c r="G536" s="40"/>
      <c r="H536" s="40"/>
      <c r="I536" s="40"/>
      <c r="J536" s="40"/>
      <c r="K536" s="41"/>
    </row>
    <row r="537" spans="2:11" x14ac:dyDescent="0.2">
      <c r="B537" s="38"/>
      <c r="C537" s="179" t="s">
        <v>319</v>
      </c>
      <c r="D537" s="40"/>
      <c r="E537" s="40"/>
      <c r="F537" s="40"/>
      <c r="G537" s="40"/>
      <c r="H537" s="40"/>
      <c r="I537" s="40"/>
      <c r="J537" s="245">
        <f>IF(OR(J526="Not Calculated",J533="Not Calculated")=TRUE,"Not Calculated",AVERAGE(J526,J533))</f>
        <v>0</v>
      </c>
      <c r="K537" s="41"/>
    </row>
    <row r="538" spans="2:11" x14ac:dyDescent="0.2">
      <c r="B538" s="38"/>
      <c r="C538" s="40"/>
      <c r="D538" s="40"/>
      <c r="E538" s="40"/>
      <c r="F538" s="40"/>
      <c r="G538" s="40"/>
      <c r="H538" s="40"/>
      <c r="I538" s="40"/>
      <c r="J538" s="40"/>
      <c r="K538" s="41"/>
    </row>
    <row r="539" spans="2:11" ht="18" x14ac:dyDescent="0.2">
      <c r="B539" s="38"/>
      <c r="C539" s="180" t="s">
        <v>302</v>
      </c>
      <c r="D539" s="40"/>
      <c r="E539" s="40"/>
      <c r="F539" s="40"/>
      <c r="G539" s="40"/>
      <c r="H539" s="40"/>
      <c r="I539" s="40"/>
      <c r="J539" s="244">
        <f>IF(OR(J440="Not Calculated",J457="Not Calculated",J473="Not Calculated",J488="Not Calculated",J504="Not Calculated",J520="Not Calculated",J537="Not Calculated")=TRUE,"Not Calculated",AVERAGE(J440,J457,J473,J488,J504,J520,J537))</f>
        <v>1.6428571428571428</v>
      </c>
      <c r="K539" s="41"/>
    </row>
    <row r="540" spans="2:11" ht="16" thickBot="1" x14ac:dyDescent="0.25">
      <c r="B540" s="46"/>
      <c r="C540" s="47"/>
      <c r="D540" s="47"/>
      <c r="E540" s="47"/>
      <c r="F540" s="47"/>
      <c r="G540" s="47"/>
      <c r="H540" s="47"/>
      <c r="I540" s="47"/>
      <c r="J540" s="47"/>
      <c r="K540" s="49"/>
    </row>
    <row r="541" spans="2:11" ht="16" thickBot="1" x14ac:dyDescent="0.25"/>
    <row r="542" spans="2:11" x14ac:dyDescent="0.2">
      <c r="B542" s="33"/>
      <c r="C542" s="34"/>
      <c r="D542" s="34"/>
      <c r="E542" s="34"/>
      <c r="F542" s="34"/>
      <c r="G542" s="34"/>
      <c r="H542" s="34"/>
      <c r="I542" s="34"/>
      <c r="J542" s="34"/>
      <c r="K542" s="37"/>
    </row>
    <row r="543" spans="2:11" ht="21" x14ac:dyDescent="0.25">
      <c r="B543" s="38"/>
      <c r="C543" s="40"/>
      <c r="D543" s="40"/>
      <c r="E543" s="40"/>
      <c r="F543" s="40"/>
      <c r="G543" s="172" t="s">
        <v>29</v>
      </c>
      <c r="H543" s="40"/>
      <c r="I543" s="40"/>
      <c r="J543" s="40"/>
      <c r="K543" s="41"/>
    </row>
    <row r="544" spans="2:11" ht="15" customHeight="1" x14ac:dyDescent="0.2">
      <c r="B544" s="38"/>
      <c r="C544" s="40"/>
      <c r="D544" s="40"/>
      <c r="E544" s="40"/>
      <c r="F544" s="40"/>
      <c r="G544" s="40"/>
      <c r="H544" s="40"/>
      <c r="I544" s="40"/>
      <c r="J544" s="40"/>
      <c r="K544" s="41"/>
    </row>
    <row r="545" spans="2:14" ht="16" x14ac:dyDescent="0.2">
      <c r="B545" s="38"/>
      <c r="C545" s="45" t="s">
        <v>88</v>
      </c>
      <c r="D545" s="40"/>
      <c r="E545" s="40"/>
      <c r="F545" s="40"/>
      <c r="G545" s="40"/>
      <c r="H545" s="40"/>
      <c r="I545" s="40"/>
      <c r="J545" s="40"/>
      <c r="K545" s="41"/>
    </row>
    <row r="546" spans="2:14" x14ac:dyDescent="0.2">
      <c r="B546" s="38"/>
      <c r="C546" s="40" t="s">
        <v>448</v>
      </c>
      <c r="D546" s="40"/>
      <c r="E546" s="40"/>
      <c r="F546" s="40"/>
      <c r="G546" s="40"/>
      <c r="H546" s="40"/>
      <c r="I546" s="40"/>
      <c r="J546" s="251">
        <f>'Baseline Health'!G123</f>
        <v>0</v>
      </c>
      <c r="K546" s="41"/>
    </row>
    <row r="547" spans="2:14" x14ac:dyDescent="0.2">
      <c r="B547" s="38"/>
      <c r="C547" s="40" t="s">
        <v>322</v>
      </c>
      <c r="D547" s="40"/>
      <c r="E547" s="40"/>
      <c r="F547" s="40"/>
      <c r="G547" s="40"/>
      <c r="H547" s="40"/>
      <c r="I547" s="40"/>
      <c r="J547" s="264">
        <f>J546*0.4</f>
        <v>0</v>
      </c>
      <c r="K547" s="41"/>
    </row>
    <row r="548" spans="2:14" x14ac:dyDescent="0.2">
      <c r="B548" s="38"/>
      <c r="C548" s="40" t="s">
        <v>428</v>
      </c>
      <c r="D548" s="40"/>
      <c r="E548" s="40"/>
      <c r="F548" s="40"/>
      <c r="G548" s="40"/>
      <c r="H548" s="40"/>
      <c r="I548" s="40"/>
      <c r="J548" s="264">
        <f>J546</f>
        <v>0</v>
      </c>
      <c r="K548" s="41"/>
    </row>
    <row r="549" spans="2:14" x14ac:dyDescent="0.2">
      <c r="B549" s="38"/>
      <c r="C549" s="40" t="s">
        <v>260</v>
      </c>
      <c r="D549" s="40"/>
      <c r="E549" s="40"/>
      <c r="F549" s="40"/>
      <c r="G549" s="40"/>
      <c r="H549" s="40"/>
      <c r="I549" s="40"/>
      <c r="J549" s="245" t="str">
        <f>IF(OR(J546=0,J546="Not Calculated")=TRUE,"Not Calculated",IF(J546-J547=0,4,(IF(((J546+J548)/(J546-J547))&lt;=1,0,IF(((J546+J548)/(J546-J547))&lt;=1.05,1,IF(((J546+J548)/(J546-J547))&lt;=1.5, 2,IF(((J546+J548)/(J546-J547))&lt;=2,3,4)))))))</f>
        <v>Not Calculated</v>
      </c>
      <c r="K549" s="41"/>
    </row>
    <row r="550" spans="2:14" ht="9.75" customHeight="1" x14ac:dyDescent="0.2">
      <c r="B550" s="38"/>
      <c r="C550" s="279" t="str">
        <f>"0:"</f>
        <v>0:</v>
      </c>
      <c r="D550" s="278" t="s">
        <v>918</v>
      </c>
      <c r="E550" s="40"/>
      <c r="F550" s="40"/>
      <c r="G550" s="40"/>
      <c r="H550" s="40"/>
      <c r="I550" s="40"/>
      <c r="J550" s="251"/>
      <c r="K550" s="41"/>
    </row>
    <row r="551" spans="2:14" ht="9.75" customHeight="1" x14ac:dyDescent="0.2">
      <c r="B551" s="38"/>
      <c r="C551" s="280" t="str">
        <f>"1:"</f>
        <v>1:</v>
      </c>
      <c r="D551" s="278" t="s">
        <v>923</v>
      </c>
      <c r="E551" s="40"/>
      <c r="F551" s="40"/>
      <c r="G551" s="40"/>
      <c r="H551" s="40"/>
      <c r="I551" s="40"/>
      <c r="J551" s="251"/>
      <c r="K551" s="41"/>
    </row>
    <row r="552" spans="2:14" ht="9.75" customHeight="1" x14ac:dyDescent="0.2">
      <c r="B552" s="38"/>
      <c r="C552" s="280" t="str">
        <f>"2:"</f>
        <v>2:</v>
      </c>
      <c r="D552" s="278" t="s">
        <v>924</v>
      </c>
      <c r="E552" s="40"/>
      <c r="F552" s="40"/>
      <c r="G552" s="40"/>
      <c r="H552" s="40"/>
      <c r="I552" s="40"/>
      <c r="J552" s="251"/>
      <c r="K552" s="41"/>
    </row>
    <row r="553" spans="2:14" ht="9.75" customHeight="1" x14ac:dyDescent="0.2">
      <c r="B553" s="38"/>
      <c r="C553" s="280" t="str">
        <f>"3:"</f>
        <v>3:</v>
      </c>
      <c r="D553" s="278" t="s">
        <v>925</v>
      </c>
      <c r="E553" s="40"/>
      <c r="F553" s="40"/>
      <c r="G553" s="40"/>
      <c r="H553" s="40"/>
      <c r="I553" s="40"/>
      <c r="J553" s="251"/>
      <c r="K553" s="41"/>
    </row>
    <row r="554" spans="2:14" ht="9.75" customHeight="1" x14ac:dyDescent="0.2">
      <c r="B554" s="38"/>
      <c r="C554" s="280" t="str">
        <f>"4:"</f>
        <v>4:</v>
      </c>
      <c r="D554" s="278" t="s">
        <v>926</v>
      </c>
      <c r="E554" s="40"/>
      <c r="F554" s="40"/>
      <c r="G554" s="40"/>
      <c r="H554" s="40"/>
      <c r="I554" s="40"/>
      <c r="J554" s="40"/>
      <c r="K554" s="41"/>
      <c r="N554" s="12" t="s">
        <v>661</v>
      </c>
    </row>
    <row r="555" spans="2:14" x14ac:dyDescent="0.2">
      <c r="B555" s="38"/>
      <c r="C555" s="174" t="s">
        <v>662</v>
      </c>
      <c r="D555" s="40"/>
      <c r="E555" s="40"/>
      <c r="F555" s="40"/>
      <c r="G555" s="40"/>
      <c r="H555" s="40"/>
      <c r="I555" s="40"/>
      <c r="J555" s="265" t="s">
        <v>661</v>
      </c>
      <c r="K555" s="41"/>
      <c r="N555" s="12" t="s">
        <v>894</v>
      </c>
    </row>
    <row r="556" spans="2:14" x14ac:dyDescent="0.2">
      <c r="B556" s="38"/>
      <c r="C556" s="174" t="s">
        <v>660</v>
      </c>
      <c r="D556" s="40"/>
      <c r="E556" s="40"/>
      <c r="F556" s="40"/>
      <c r="G556" s="40"/>
      <c r="H556" s="40"/>
      <c r="I556" s="40"/>
      <c r="J556" s="247" t="str">
        <f>IF(J555=N554,"N/A",IF(J555=N555,0,IF(J555=N556,1,IF(J555=N557,2,IF(J555=N558,3,IF(J555=N559,4,"N/A"))))))</f>
        <v>N/A</v>
      </c>
      <c r="K556" s="41"/>
      <c r="N556" s="12" t="s">
        <v>899</v>
      </c>
    </row>
    <row r="557" spans="2:14" x14ac:dyDescent="0.2">
      <c r="B557" s="38"/>
      <c r="C557" s="40" t="s">
        <v>257</v>
      </c>
      <c r="D557" s="40"/>
      <c r="E557" s="40"/>
      <c r="F557" s="40"/>
      <c r="G557" s="40"/>
      <c r="H557" s="40"/>
      <c r="I557" s="40"/>
      <c r="J557" s="266" t="s">
        <v>874</v>
      </c>
      <c r="K557" s="41"/>
      <c r="N557" s="12" t="s">
        <v>900</v>
      </c>
    </row>
    <row r="558" spans="2:14" x14ac:dyDescent="0.2">
      <c r="B558" s="38"/>
      <c r="C558" s="40" t="s">
        <v>261</v>
      </c>
      <c r="D558" s="40"/>
      <c r="E558" s="40"/>
      <c r="F558" s="40"/>
      <c r="G558" s="40"/>
      <c r="H558" s="40"/>
      <c r="I558" s="40"/>
      <c r="J558" s="245">
        <f>IF(J557=$B$973,$A$973,IF(J557=$B$974,$A$974,IF(J557=$B$975,$A$975,IF(J557=$B$976,$A$976,IF(J557=$B$977,$A$977,"Not Calculated")))))</f>
        <v>4</v>
      </c>
      <c r="K558" s="41"/>
      <c r="N558" s="12" t="s">
        <v>901</v>
      </c>
    </row>
    <row r="559" spans="2:14" x14ac:dyDescent="0.2">
      <c r="B559" s="38"/>
      <c r="C559" s="40" t="s">
        <v>893</v>
      </c>
      <c r="D559" s="40"/>
      <c r="E559" s="40"/>
      <c r="F559" s="40"/>
      <c r="G559" s="40"/>
      <c r="H559" s="40"/>
      <c r="I559" s="40"/>
      <c r="J559" s="40"/>
      <c r="K559" s="41"/>
      <c r="N559" s="12" t="s">
        <v>902</v>
      </c>
    </row>
    <row r="560" spans="2:14" ht="60" customHeight="1" x14ac:dyDescent="0.2">
      <c r="B560" s="38"/>
      <c r="C560" s="399" t="s">
        <v>540</v>
      </c>
      <c r="D560" s="400"/>
      <c r="E560" s="400"/>
      <c r="F560" s="400"/>
      <c r="G560" s="400"/>
      <c r="H560" s="400"/>
      <c r="I560" s="400"/>
      <c r="J560" s="401"/>
      <c r="K560" s="41"/>
    </row>
    <row r="561" spans="2:11" x14ac:dyDescent="0.2">
      <c r="B561" s="38"/>
      <c r="C561" s="40"/>
      <c r="D561" s="40"/>
      <c r="E561" s="40"/>
      <c r="F561" s="40"/>
      <c r="G561" s="40"/>
      <c r="H561" s="40"/>
      <c r="I561" s="40"/>
      <c r="J561" s="40"/>
      <c r="K561" s="41"/>
    </row>
    <row r="562" spans="2:11" x14ac:dyDescent="0.2">
      <c r="B562" s="38"/>
      <c r="C562" s="179" t="s">
        <v>323</v>
      </c>
      <c r="D562" s="40"/>
      <c r="E562" s="40"/>
      <c r="F562" s="40"/>
      <c r="G562" s="40"/>
      <c r="H562" s="40"/>
      <c r="I562" s="40"/>
      <c r="J562" s="245" t="str">
        <f>IF(J556="N/A",IF(OR(J549="Not Calculated",J558="Not Calculated")=TRUE,"Not Calculated",AVERAGE(J549,J558)),AVERAGE(J556,J558))</f>
        <v>Not Calculated</v>
      </c>
      <c r="K562" s="41"/>
    </row>
    <row r="563" spans="2:11" x14ac:dyDescent="0.2">
      <c r="B563" s="38"/>
      <c r="C563" s="40"/>
      <c r="D563" s="40"/>
      <c r="E563" s="40"/>
      <c r="F563" s="40"/>
      <c r="G563" s="40"/>
      <c r="H563" s="40"/>
      <c r="I563" s="40"/>
      <c r="J563" s="40"/>
      <c r="K563" s="41"/>
    </row>
    <row r="564" spans="2:11" x14ac:dyDescent="0.2">
      <c r="B564" s="38"/>
      <c r="C564" s="40"/>
      <c r="D564" s="40"/>
      <c r="E564" s="40"/>
      <c r="F564" s="40"/>
      <c r="G564" s="40"/>
      <c r="H564" s="40"/>
      <c r="I564" s="40"/>
      <c r="J564" s="40"/>
      <c r="K564" s="41"/>
    </row>
    <row r="565" spans="2:11" ht="16" x14ac:dyDescent="0.2">
      <c r="B565" s="38"/>
      <c r="C565" s="45" t="s">
        <v>89</v>
      </c>
      <c r="D565" s="40"/>
      <c r="E565" s="40"/>
      <c r="F565" s="40"/>
      <c r="G565" s="40"/>
      <c r="H565" s="40"/>
      <c r="I565" s="40"/>
      <c r="J565" s="40"/>
      <c r="K565" s="41"/>
    </row>
    <row r="566" spans="2:11" ht="15" customHeight="1" x14ac:dyDescent="0.2">
      <c r="B566" s="38"/>
      <c r="C566" s="380" t="s">
        <v>333</v>
      </c>
      <c r="D566" s="380"/>
      <c r="E566" s="380"/>
      <c r="F566" s="380"/>
      <c r="G566" s="380"/>
      <c r="H566" s="380"/>
      <c r="I566" s="380"/>
      <c r="J566" s="40"/>
      <c r="K566" s="41"/>
    </row>
    <row r="567" spans="2:11" x14ac:dyDescent="0.2">
      <c r="B567" s="38"/>
      <c r="C567" s="380"/>
      <c r="D567" s="380"/>
      <c r="E567" s="380"/>
      <c r="F567" s="380"/>
      <c r="G567" s="380"/>
      <c r="H567" s="380"/>
      <c r="I567" s="380"/>
      <c r="J567" s="40"/>
      <c r="K567" s="41"/>
    </row>
    <row r="568" spans="2:11" x14ac:dyDescent="0.2">
      <c r="B568" s="38"/>
      <c r="C568" s="380"/>
      <c r="D568" s="380"/>
      <c r="E568" s="380"/>
      <c r="F568" s="380"/>
      <c r="G568" s="380"/>
      <c r="H568" s="380"/>
      <c r="I568" s="380"/>
      <c r="J568" s="251">
        <f>'Baseline Health'!G132</f>
        <v>0</v>
      </c>
      <c r="K568" s="41"/>
    </row>
    <row r="569" spans="2:11" ht="15" customHeight="1" x14ac:dyDescent="0.2">
      <c r="B569" s="38"/>
      <c r="C569" s="380" t="s">
        <v>334</v>
      </c>
      <c r="D569" s="380"/>
      <c r="E569" s="380"/>
      <c r="F569" s="380"/>
      <c r="G569" s="380"/>
      <c r="H569" s="380"/>
      <c r="I569" s="380"/>
      <c r="J569" s="245"/>
      <c r="K569" s="41"/>
    </row>
    <row r="570" spans="2:11" x14ac:dyDescent="0.2">
      <c r="B570" s="38"/>
      <c r="C570" s="380"/>
      <c r="D570" s="380"/>
      <c r="E570" s="380"/>
      <c r="F570" s="380"/>
      <c r="G570" s="380"/>
      <c r="H570" s="380"/>
      <c r="I570" s="380"/>
      <c r="J570" s="245"/>
      <c r="K570" s="41"/>
    </row>
    <row r="571" spans="2:11" x14ac:dyDescent="0.2">
      <c r="B571" s="38"/>
      <c r="C571" s="380"/>
      <c r="D571" s="380"/>
      <c r="E571" s="380"/>
      <c r="F571" s="380"/>
      <c r="G571" s="380"/>
      <c r="H571" s="380"/>
      <c r="I571" s="380"/>
      <c r="J571" s="264">
        <f>J568*7.5</f>
        <v>0</v>
      </c>
      <c r="K571" s="41"/>
    </row>
    <row r="572" spans="2:11" x14ac:dyDescent="0.2">
      <c r="B572" s="38"/>
      <c r="C572" s="40" t="s">
        <v>260</v>
      </c>
      <c r="D572" s="40"/>
      <c r="E572" s="40"/>
      <c r="F572" s="40"/>
      <c r="G572" s="40"/>
      <c r="H572" s="40"/>
      <c r="I572" s="40"/>
      <c r="J572" s="245" t="str">
        <f>IF(OR(J568=0,J568="Not Calculated")=TRUE,"Not Calculated",IF(((J568+J571)/J568)&lt;=1,0,IF(((J568+J571)/J568)&lt;=1.05,1,IF(((J568+J571)/J568)&lt;=1.5, 2,IF(((J568+J571)/J568)&lt;=2,3,4)))))</f>
        <v>Not Calculated</v>
      </c>
      <c r="K572" s="41"/>
    </row>
    <row r="573" spans="2:11" ht="9.75" customHeight="1" x14ac:dyDescent="0.2">
      <c r="B573" s="38"/>
      <c r="C573" s="279" t="str">
        <f>"0:"</f>
        <v>0:</v>
      </c>
      <c r="D573" s="281" t="s">
        <v>918</v>
      </c>
      <c r="E573" s="291"/>
      <c r="F573" s="291"/>
      <c r="G573" s="291"/>
      <c r="H573" s="291"/>
      <c r="I573" s="291"/>
      <c r="J573" s="251"/>
      <c r="K573" s="41"/>
    </row>
    <row r="574" spans="2:11" ht="9.75" customHeight="1" x14ac:dyDescent="0.2">
      <c r="B574" s="38"/>
      <c r="C574" s="280" t="str">
        <f>"1:"</f>
        <v>1:</v>
      </c>
      <c r="D574" s="281" t="s">
        <v>919</v>
      </c>
      <c r="E574" s="291"/>
      <c r="F574" s="291"/>
      <c r="G574" s="291"/>
      <c r="H574" s="291"/>
      <c r="I574" s="291"/>
      <c r="J574" s="251"/>
      <c r="K574" s="41"/>
    </row>
    <row r="575" spans="2:11" ht="9.75" customHeight="1" x14ac:dyDescent="0.2">
      <c r="B575" s="38"/>
      <c r="C575" s="280" t="str">
        <f>"2:"</f>
        <v>2:</v>
      </c>
      <c r="D575" s="281" t="s">
        <v>920</v>
      </c>
      <c r="E575" s="291"/>
      <c r="F575" s="291"/>
      <c r="G575" s="291"/>
      <c r="H575" s="291"/>
      <c r="I575" s="291"/>
      <c r="J575" s="251"/>
      <c r="K575" s="41"/>
    </row>
    <row r="576" spans="2:11" ht="9.75" customHeight="1" x14ac:dyDescent="0.2">
      <c r="B576" s="38"/>
      <c r="C576" s="280" t="str">
        <f>"3:"</f>
        <v>3:</v>
      </c>
      <c r="D576" s="281" t="s">
        <v>921</v>
      </c>
      <c r="E576" s="291"/>
      <c r="F576" s="291"/>
      <c r="G576" s="291"/>
      <c r="H576" s="291"/>
      <c r="I576" s="291"/>
      <c r="J576" s="251"/>
      <c r="K576" s="41"/>
    </row>
    <row r="577" spans="2:14" ht="9.75" customHeight="1" x14ac:dyDescent="0.2">
      <c r="B577" s="38"/>
      <c r="C577" s="280" t="str">
        <f>"4:"</f>
        <v>4:</v>
      </c>
      <c r="D577" s="281" t="s">
        <v>922</v>
      </c>
      <c r="E577" s="40"/>
      <c r="F577" s="40"/>
      <c r="G577" s="40"/>
      <c r="H577" s="40"/>
      <c r="I577" s="40"/>
      <c r="J577" s="40"/>
      <c r="K577" s="41"/>
      <c r="N577" s="12" t="s">
        <v>661</v>
      </c>
    </row>
    <row r="578" spans="2:14" ht="15" customHeight="1" x14ac:dyDescent="0.2">
      <c r="B578" s="38"/>
      <c r="C578" s="174" t="s">
        <v>662</v>
      </c>
      <c r="D578" s="40"/>
      <c r="E578" s="40"/>
      <c r="F578" s="40"/>
      <c r="G578" s="40"/>
      <c r="H578" s="40"/>
      <c r="I578" s="40"/>
      <c r="J578" s="265" t="s">
        <v>661</v>
      </c>
      <c r="K578" s="41"/>
      <c r="N578" s="12" t="s">
        <v>894</v>
      </c>
    </row>
    <row r="579" spans="2:14" ht="15" customHeight="1" x14ac:dyDescent="0.2">
      <c r="B579" s="38"/>
      <c r="C579" s="174" t="s">
        <v>660</v>
      </c>
      <c r="D579" s="40"/>
      <c r="E579" s="40"/>
      <c r="F579" s="40"/>
      <c r="G579" s="40"/>
      <c r="H579" s="40"/>
      <c r="I579" s="40"/>
      <c r="J579" s="247" t="str">
        <f>IF(J578=N577,"N/A",IF(J578=N578,0,IF(J578=N579,1,IF(J578=N580,2,IF(J578=N581,3,IF(J578=N582,4,"N/A"))))))</f>
        <v>N/A</v>
      </c>
      <c r="K579" s="41"/>
      <c r="N579" s="12" t="s">
        <v>895</v>
      </c>
    </row>
    <row r="580" spans="2:14" x14ac:dyDescent="0.2">
      <c r="B580" s="38"/>
      <c r="C580" s="40" t="s">
        <v>257</v>
      </c>
      <c r="D580" s="40"/>
      <c r="E580" s="40"/>
      <c r="F580" s="40"/>
      <c r="G580" s="40"/>
      <c r="H580" s="40"/>
      <c r="I580" s="40"/>
      <c r="J580" s="266" t="s">
        <v>874</v>
      </c>
      <c r="K580" s="41"/>
      <c r="N580" s="12" t="s">
        <v>896</v>
      </c>
    </row>
    <row r="581" spans="2:14" x14ac:dyDescent="0.2">
      <c r="B581" s="38"/>
      <c r="C581" s="40" t="s">
        <v>261</v>
      </c>
      <c r="D581" s="40"/>
      <c r="E581" s="40"/>
      <c r="F581" s="40"/>
      <c r="G581" s="40"/>
      <c r="H581" s="40"/>
      <c r="I581" s="40"/>
      <c r="J581" s="245">
        <f>IF(J580=$B$973,$A$973,IF(J580=$B$974,$A$974,IF(J580=$B$975,$A$975,IF(J580=$B$976,$A$976,IF(J580=$B$977,$A$977,"Not Calculated")))))</f>
        <v>4</v>
      </c>
      <c r="K581" s="41"/>
      <c r="N581" s="12" t="s">
        <v>897</v>
      </c>
    </row>
    <row r="582" spans="2:14" x14ac:dyDescent="0.2">
      <c r="B582" s="38"/>
      <c r="C582" s="40" t="s">
        <v>893</v>
      </c>
      <c r="D582" s="40"/>
      <c r="E582" s="40"/>
      <c r="F582" s="40"/>
      <c r="G582" s="40"/>
      <c r="H582" s="40"/>
      <c r="I582" s="40"/>
      <c r="J582" s="40"/>
      <c r="K582" s="41"/>
      <c r="N582" s="12" t="s">
        <v>898</v>
      </c>
    </row>
    <row r="583" spans="2:14" ht="30" customHeight="1" x14ac:dyDescent="0.2">
      <c r="B583" s="38"/>
      <c r="C583" s="399" t="s">
        <v>541</v>
      </c>
      <c r="D583" s="400"/>
      <c r="E583" s="400"/>
      <c r="F583" s="400"/>
      <c r="G583" s="400"/>
      <c r="H583" s="400"/>
      <c r="I583" s="400"/>
      <c r="J583" s="401"/>
      <c r="K583" s="41"/>
    </row>
    <row r="584" spans="2:14" x14ac:dyDescent="0.2">
      <c r="B584" s="38"/>
      <c r="C584" s="40"/>
      <c r="D584" s="40"/>
      <c r="E584" s="40"/>
      <c r="F584" s="40"/>
      <c r="G584" s="40"/>
      <c r="H584" s="40"/>
      <c r="I584" s="40"/>
      <c r="J584" s="40"/>
      <c r="K584" s="41"/>
    </row>
    <row r="585" spans="2:14" x14ac:dyDescent="0.2">
      <c r="B585" s="38"/>
      <c r="C585" s="179" t="s">
        <v>324</v>
      </c>
      <c r="D585" s="40"/>
      <c r="E585" s="40"/>
      <c r="F585" s="40"/>
      <c r="G585" s="40"/>
      <c r="H585" s="40"/>
      <c r="I585" s="40"/>
      <c r="J585" s="245" t="str">
        <f>IF(J579="N/A",IF(OR(J572="Not Calculated",J581="Not Calculated")=TRUE,"Not Calculated",AVERAGE(J572,J581)),AVERAGE(J579,J581))</f>
        <v>Not Calculated</v>
      </c>
      <c r="K585" s="41"/>
    </row>
    <row r="586" spans="2:14" x14ac:dyDescent="0.2">
      <c r="B586" s="38"/>
      <c r="C586" s="40"/>
      <c r="D586" s="40"/>
      <c r="E586" s="40"/>
      <c r="F586" s="40"/>
      <c r="G586" s="40"/>
      <c r="H586" s="40"/>
      <c r="I586" s="40"/>
      <c r="J586" s="40"/>
      <c r="K586" s="41"/>
    </row>
    <row r="587" spans="2:14" x14ac:dyDescent="0.2">
      <c r="B587" s="38"/>
      <c r="C587" s="40"/>
      <c r="D587" s="40"/>
      <c r="E587" s="40"/>
      <c r="F587" s="40"/>
      <c r="G587" s="40"/>
      <c r="H587" s="40"/>
      <c r="I587" s="40"/>
      <c r="J587" s="40"/>
      <c r="K587" s="41"/>
    </row>
    <row r="588" spans="2:14" ht="16" x14ac:dyDescent="0.2">
      <c r="B588" s="38"/>
      <c r="C588" s="45" t="s">
        <v>115</v>
      </c>
      <c r="D588" s="40"/>
      <c r="E588" s="40"/>
      <c r="F588" s="40"/>
      <c r="G588" s="40"/>
      <c r="H588" s="40"/>
      <c r="I588" s="40"/>
      <c r="J588" s="40"/>
      <c r="K588" s="41"/>
    </row>
    <row r="589" spans="2:14" x14ac:dyDescent="0.2">
      <c r="B589" s="38"/>
      <c r="C589" s="40" t="s">
        <v>335</v>
      </c>
      <c r="D589" s="40"/>
      <c r="E589" s="40"/>
      <c r="F589" s="40"/>
      <c r="G589" s="40"/>
      <c r="H589" s="40"/>
      <c r="I589" s="40"/>
      <c r="J589" s="264">
        <v>0</v>
      </c>
      <c r="K589" s="41"/>
    </row>
    <row r="590" spans="2:14" x14ac:dyDescent="0.2">
      <c r="B590" s="38"/>
      <c r="C590" s="40" t="s">
        <v>260</v>
      </c>
      <c r="D590" s="40"/>
      <c r="E590" s="40"/>
      <c r="F590" s="40"/>
      <c r="G590" s="40"/>
      <c r="H590" s="40"/>
      <c r="I590" s="40"/>
      <c r="J590" s="255">
        <f>IF(J589&lt;=0,0,IF(J589&lt;=1000,1,IF(J589&lt;=5000,2,IF(J589&lt;=25000,3,4))))</f>
        <v>0</v>
      </c>
      <c r="K590" s="41"/>
    </row>
    <row r="591" spans="2:14" ht="9.75" customHeight="1" x14ac:dyDescent="0.2">
      <c r="B591" s="38"/>
      <c r="C591" s="279" t="str">
        <f>"0:"</f>
        <v>0:</v>
      </c>
      <c r="D591" s="284" t="s">
        <v>970</v>
      </c>
      <c r="E591" s="40"/>
      <c r="F591" s="40"/>
      <c r="G591" s="40"/>
      <c r="H591" s="40"/>
      <c r="I591" s="40"/>
      <c r="J591" s="251"/>
      <c r="K591" s="41"/>
    </row>
    <row r="592" spans="2:14" ht="9.75" customHeight="1" x14ac:dyDescent="0.2">
      <c r="B592" s="38"/>
      <c r="C592" s="280" t="str">
        <f>"1:"</f>
        <v>1:</v>
      </c>
      <c r="D592" s="284" t="s">
        <v>961</v>
      </c>
      <c r="E592" s="40"/>
      <c r="F592" s="40"/>
      <c r="G592" s="40"/>
      <c r="H592" s="40"/>
      <c r="I592" s="40"/>
      <c r="J592" s="251"/>
      <c r="K592" s="41"/>
    </row>
    <row r="593" spans="2:11" ht="9.75" customHeight="1" x14ac:dyDescent="0.2">
      <c r="B593" s="38"/>
      <c r="C593" s="280" t="str">
        <f>"2:"</f>
        <v>2:</v>
      </c>
      <c r="D593" s="284" t="s">
        <v>971</v>
      </c>
      <c r="E593" s="40"/>
      <c r="F593" s="40"/>
      <c r="G593" s="40"/>
      <c r="H593" s="40"/>
      <c r="I593" s="40"/>
      <c r="J593" s="251"/>
      <c r="K593" s="41"/>
    </row>
    <row r="594" spans="2:11" ht="9.75" customHeight="1" x14ac:dyDescent="0.2">
      <c r="B594" s="38"/>
      <c r="C594" s="280" t="str">
        <f>"3:"</f>
        <v>3:</v>
      </c>
      <c r="D594" s="284" t="s">
        <v>963</v>
      </c>
      <c r="E594" s="40"/>
      <c r="F594" s="40"/>
      <c r="G594" s="40"/>
      <c r="H594" s="40"/>
      <c r="I594" s="40"/>
      <c r="J594" s="251"/>
      <c r="K594" s="41"/>
    </row>
    <row r="595" spans="2:11" ht="9.75" customHeight="1" x14ac:dyDescent="0.2">
      <c r="B595" s="38"/>
      <c r="C595" s="280" t="str">
        <f>"4:"</f>
        <v>4:</v>
      </c>
      <c r="D595" s="284" t="s">
        <v>964</v>
      </c>
      <c r="E595" s="40"/>
      <c r="F595" s="40"/>
      <c r="G595" s="40"/>
      <c r="H595" s="40"/>
      <c r="I595" s="40"/>
      <c r="J595" s="40"/>
      <c r="K595" s="41"/>
    </row>
    <row r="596" spans="2:11" ht="15" customHeight="1" x14ac:dyDescent="0.2">
      <c r="B596" s="38"/>
      <c r="C596" s="40" t="s">
        <v>257</v>
      </c>
      <c r="D596" s="40"/>
      <c r="E596" s="40"/>
      <c r="F596" s="40"/>
      <c r="G596" s="40"/>
      <c r="H596" s="40"/>
      <c r="I596" s="40"/>
      <c r="J596" s="266" t="s">
        <v>870</v>
      </c>
      <c r="K596" s="41"/>
    </row>
    <row r="597" spans="2:11" ht="15" customHeight="1" x14ac:dyDescent="0.2">
      <c r="B597" s="38"/>
      <c r="C597" s="40" t="s">
        <v>261</v>
      </c>
      <c r="D597" s="40"/>
      <c r="E597" s="40"/>
      <c r="F597" s="40"/>
      <c r="G597" s="40"/>
      <c r="H597" s="40"/>
      <c r="I597" s="40"/>
      <c r="J597" s="245">
        <f>IF(J596=$B$973,$A$973,IF(J596=$B$974,$A$974,IF(J596=$B$975,$A$975,IF(J596=$B$976,$A$976,IF(J596=$B$977,$A$977,"Not Calculated")))))</f>
        <v>0</v>
      </c>
      <c r="K597" s="41"/>
    </row>
    <row r="598" spans="2:11" x14ac:dyDescent="0.2">
      <c r="B598" s="38"/>
      <c r="C598" s="40" t="s">
        <v>893</v>
      </c>
      <c r="D598" s="40"/>
      <c r="E598" s="40"/>
      <c r="F598" s="40"/>
      <c r="G598" s="40"/>
      <c r="H598" s="40"/>
      <c r="I598" s="40"/>
      <c r="J598" s="40"/>
      <c r="K598" s="41"/>
    </row>
    <row r="599" spans="2:11" ht="30" customHeight="1" x14ac:dyDescent="0.2">
      <c r="B599" s="38"/>
      <c r="C599" s="399"/>
      <c r="D599" s="400"/>
      <c r="E599" s="400"/>
      <c r="F599" s="400"/>
      <c r="G599" s="400"/>
      <c r="H599" s="400"/>
      <c r="I599" s="400"/>
      <c r="J599" s="401"/>
      <c r="K599" s="41"/>
    </row>
    <row r="600" spans="2:11" x14ac:dyDescent="0.2">
      <c r="B600" s="38"/>
      <c r="C600" s="40"/>
      <c r="D600" s="40"/>
      <c r="E600" s="40"/>
      <c r="F600" s="40"/>
      <c r="G600" s="40"/>
      <c r="H600" s="40"/>
      <c r="I600" s="40"/>
      <c r="J600" s="40"/>
      <c r="K600" s="41"/>
    </row>
    <row r="601" spans="2:11" x14ac:dyDescent="0.2">
      <c r="B601" s="38"/>
      <c r="C601" s="179" t="s">
        <v>325</v>
      </c>
      <c r="D601" s="40"/>
      <c r="E601" s="40"/>
      <c r="F601" s="40"/>
      <c r="G601" s="40"/>
      <c r="H601" s="40"/>
      <c r="I601" s="40"/>
      <c r="J601" s="245">
        <f>IF(J590="Not Calculated","Not Calculated",AVERAGE(J590,J597))</f>
        <v>0</v>
      </c>
      <c r="K601" s="41"/>
    </row>
    <row r="602" spans="2:11" x14ac:dyDescent="0.2">
      <c r="B602" s="38"/>
      <c r="C602" s="40"/>
      <c r="D602" s="40"/>
      <c r="E602" s="40"/>
      <c r="F602" s="40"/>
      <c r="G602" s="40"/>
      <c r="H602" s="40"/>
      <c r="I602" s="40"/>
      <c r="J602" s="40"/>
      <c r="K602" s="41"/>
    </row>
    <row r="603" spans="2:11" x14ac:dyDescent="0.2">
      <c r="B603" s="38"/>
      <c r="C603" s="40"/>
      <c r="D603" s="40"/>
      <c r="E603" s="40"/>
      <c r="F603" s="40"/>
      <c r="G603" s="40"/>
      <c r="H603" s="40"/>
      <c r="I603" s="40"/>
      <c r="J603" s="40"/>
      <c r="K603" s="41"/>
    </row>
    <row r="604" spans="2:11" ht="16" x14ac:dyDescent="0.2">
      <c r="B604" s="38"/>
      <c r="C604" s="45" t="s">
        <v>326</v>
      </c>
      <c r="D604" s="40"/>
      <c r="E604" s="40"/>
      <c r="F604" s="40"/>
      <c r="G604" s="40"/>
      <c r="H604" s="40"/>
      <c r="I604" s="40"/>
      <c r="J604" s="40"/>
      <c r="K604" s="41"/>
    </row>
    <row r="605" spans="2:11" x14ac:dyDescent="0.2">
      <c r="B605" s="38"/>
      <c r="C605" s="40" t="s">
        <v>336</v>
      </c>
      <c r="D605" s="40"/>
      <c r="E605" s="40"/>
      <c r="F605" s="40"/>
      <c r="G605" s="40"/>
      <c r="H605" s="40"/>
      <c r="I605" s="40"/>
      <c r="J605" s="271">
        <v>100</v>
      </c>
      <c r="K605" s="41"/>
    </row>
    <row r="606" spans="2:11" x14ac:dyDescent="0.2">
      <c r="B606" s="38"/>
      <c r="C606" s="40" t="s">
        <v>260</v>
      </c>
      <c r="D606" s="40"/>
      <c r="E606" s="40"/>
      <c r="F606" s="40"/>
      <c r="G606" s="40"/>
      <c r="H606" s="40"/>
      <c r="I606" s="40"/>
      <c r="J606" s="248">
        <f>IF(J605&lt;=0,0,IF(J605&lt;=10,1,IF(J605&lt;=25,2,IF(J605&lt;=50,3,4))))</f>
        <v>4</v>
      </c>
      <c r="K606" s="41"/>
    </row>
    <row r="607" spans="2:11" ht="9.75" customHeight="1" x14ac:dyDescent="0.2">
      <c r="B607" s="38"/>
      <c r="C607" s="279" t="str">
        <f>"0:"</f>
        <v>0:</v>
      </c>
      <c r="D607" s="290" t="s">
        <v>944</v>
      </c>
      <c r="E607" s="40"/>
      <c r="F607" s="40"/>
      <c r="G607" s="40"/>
      <c r="H607" s="40"/>
      <c r="I607" s="40"/>
      <c r="J607" s="244"/>
      <c r="K607" s="41"/>
    </row>
    <row r="608" spans="2:11" ht="9.75" customHeight="1" x14ac:dyDescent="0.2">
      <c r="B608" s="38"/>
      <c r="C608" s="280" t="str">
        <f>"1:"</f>
        <v>1:</v>
      </c>
      <c r="D608" s="290" t="s">
        <v>947</v>
      </c>
      <c r="E608" s="40"/>
      <c r="F608" s="40"/>
      <c r="G608" s="40"/>
      <c r="H608" s="40"/>
      <c r="I608" s="40"/>
      <c r="J608" s="244"/>
      <c r="K608" s="41"/>
    </row>
    <row r="609" spans="2:11" ht="9.75" customHeight="1" x14ac:dyDescent="0.2">
      <c r="B609" s="38"/>
      <c r="C609" s="280" t="str">
        <f>"2:"</f>
        <v>2:</v>
      </c>
      <c r="D609" s="290" t="s">
        <v>972</v>
      </c>
      <c r="E609" s="40"/>
      <c r="F609" s="40"/>
      <c r="G609" s="40"/>
      <c r="H609" s="40"/>
      <c r="I609" s="40"/>
      <c r="J609" s="244"/>
      <c r="K609" s="41"/>
    </row>
    <row r="610" spans="2:11" ht="9.75" customHeight="1" x14ac:dyDescent="0.2">
      <c r="B610" s="38"/>
      <c r="C610" s="280" t="str">
        <f>"3:"</f>
        <v>3:</v>
      </c>
      <c r="D610" s="290" t="s">
        <v>973</v>
      </c>
      <c r="E610" s="40"/>
      <c r="F610" s="40"/>
      <c r="G610" s="40"/>
      <c r="H610" s="40"/>
      <c r="I610" s="40"/>
      <c r="J610" s="244"/>
      <c r="K610" s="41"/>
    </row>
    <row r="611" spans="2:11" ht="9.75" customHeight="1" x14ac:dyDescent="0.2">
      <c r="B611" s="38"/>
      <c r="C611" s="280" t="str">
        <f>"4:"</f>
        <v>4:</v>
      </c>
      <c r="D611" s="290" t="s">
        <v>974</v>
      </c>
      <c r="E611" s="40"/>
      <c r="F611" s="40"/>
      <c r="G611" s="40"/>
      <c r="H611" s="40"/>
      <c r="I611" s="40"/>
      <c r="J611" s="40"/>
      <c r="K611" s="41"/>
    </row>
    <row r="612" spans="2:11" x14ac:dyDescent="0.2">
      <c r="B612" s="38"/>
      <c r="C612" s="40" t="s">
        <v>893</v>
      </c>
      <c r="D612" s="40"/>
      <c r="E612" s="40"/>
      <c r="F612" s="40"/>
      <c r="G612" s="40"/>
      <c r="H612" s="40"/>
      <c r="I612" s="40"/>
      <c r="J612" s="40"/>
      <c r="K612" s="41"/>
    </row>
    <row r="613" spans="2:11" ht="30" customHeight="1" x14ac:dyDescent="0.2">
      <c r="B613" s="38"/>
      <c r="C613" s="399" t="s">
        <v>542</v>
      </c>
      <c r="D613" s="400"/>
      <c r="E613" s="400"/>
      <c r="F613" s="400"/>
      <c r="G613" s="400"/>
      <c r="H613" s="400"/>
      <c r="I613" s="400"/>
      <c r="J613" s="401"/>
      <c r="K613" s="41"/>
    </row>
    <row r="614" spans="2:11" x14ac:dyDescent="0.2">
      <c r="B614" s="38"/>
      <c r="C614" s="40"/>
      <c r="D614" s="40"/>
      <c r="E614" s="40"/>
      <c r="F614" s="40"/>
      <c r="G614" s="40"/>
      <c r="H614" s="40"/>
      <c r="I614" s="40"/>
      <c r="J614" s="40"/>
      <c r="K614" s="41"/>
    </row>
    <row r="615" spans="2:11" x14ac:dyDescent="0.2">
      <c r="B615" s="38"/>
      <c r="C615" s="179" t="s">
        <v>327</v>
      </c>
      <c r="D615" s="40"/>
      <c r="E615" s="40"/>
      <c r="F615" s="40"/>
      <c r="G615" s="40"/>
      <c r="H615" s="40"/>
      <c r="I615" s="40"/>
      <c r="J615" s="245">
        <f>J606</f>
        <v>4</v>
      </c>
      <c r="K615" s="41"/>
    </row>
    <row r="616" spans="2:11" x14ac:dyDescent="0.2">
      <c r="B616" s="38"/>
      <c r="C616" s="40"/>
      <c r="D616" s="40"/>
      <c r="E616" s="40"/>
      <c r="F616" s="40"/>
      <c r="G616" s="40"/>
      <c r="H616" s="40"/>
      <c r="I616" s="40"/>
      <c r="J616" s="40"/>
      <c r="K616" s="41"/>
    </row>
    <row r="617" spans="2:11" x14ac:dyDescent="0.2">
      <c r="B617" s="38"/>
      <c r="C617" s="40"/>
      <c r="D617" s="40"/>
      <c r="E617" s="40"/>
      <c r="F617" s="40"/>
      <c r="G617" s="40"/>
      <c r="H617" s="40"/>
      <c r="I617" s="40"/>
      <c r="J617" s="40"/>
      <c r="K617" s="41"/>
    </row>
    <row r="618" spans="2:11" ht="16" x14ac:dyDescent="0.2">
      <c r="B618" s="38"/>
      <c r="C618" s="45" t="s">
        <v>92</v>
      </c>
      <c r="D618" s="40"/>
      <c r="E618" s="40"/>
      <c r="F618" s="40"/>
      <c r="G618" s="40"/>
      <c r="H618" s="40"/>
      <c r="I618" s="40"/>
      <c r="J618" s="40"/>
      <c r="K618" s="41"/>
    </row>
    <row r="619" spans="2:11" x14ac:dyDescent="0.2">
      <c r="B619" s="38"/>
      <c r="C619" s="40" t="s">
        <v>337</v>
      </c>
      <c r="D619" s="40"/>
      <c r="E619" s="40"/>
      <c r="F619" s="40"/>
      <c r="G619" s="40"/>
      <c r="H619" s="40"/>
      <c r="I619" s="40"/>
      <c r="J619" s="251">
        <f>'Baseline Health'!G137</f>
        <v>1</v>
      </c>
      <c r="K619" s="41"/>
    </row>
    <row r="620" spans="2:11" ht="15" customHeight="1" x14ac:dyDescent="0.2">
      <c r="B620" s="38"/>
      <c r="C620" s="380" t="s">
        <v>338</v>
      </c>
      <c r="D620" s="380"/>
      <c r="E620" s="380"/>
      <c r="F620" s="380"/>
      <c r="G620" s="380"/>
      <c r="H620" s="380"/>
      <c r="I620" s="380"/>
      <c r="J620" s="251"/>
      <c r="K620" s="41"/>
    </row>
    <row r="621" spans="2:11" x14ac:dyDescent="0.2">
      <c r="B621" s="38"/>
      <c r="C621" s="380"/>
      <c r="D621" s="380"/>
      <c r="E621" s="380"/>
      <c r="F621" s="380"/>
      <c r="G621" s="380"/>
      <c r="H621" s="380"/>
      <c r="I621" s="380"/>
      <c r="J621" s="264">
        <f>J619*7.5</f>
        <v>7.5</v>
      </c>
      <c r="K621" s="41"/>
    </row>
    <row r="622" spans="2:11" x14ac:dyDescent="0.2">
      <c r="B622" s="38"/>
      <c r="C622" s="40" t="s">
        <v>260</v>
      </c>
      <c r="D622" s="40"/>
      <c r="E622" s="40"/>
      <c r="F622" s="40"/>
      <c r="G622" s="40"/>
      <c r="H622" s="40"/>
      <c r="I622" s="40"/>
      <c r="J622" s="245">
        <f>IF(OR(J619=0,J619="Not Calculated")=TRUE,"Not Calculated",IF(((J619+J621)/J619)&lt;=1,0,IF(((J619+J621)/J619)&lt;=1.05,1,IF(((J619+J621)/J619)&lt;=1.5, 2,IF(((J619+J621)/J619)&lt;=2,3,4)))))</f>
        <v>4</v>
      </c>
      <c r="K622" s="41"/>
    </row>
    <row r="623" spans="2:11" ht="9.75" customHeight="1" x14ac:dyDescent="0.2">
      <c r="B623" s="38"/>
      <c r="C623" s="279" t="str">
        <f>"0:"</f>
        <v>0:</v>
      </c>
      <c r="D623" s="281" t="s">
        <v>918</v>
      </c>
      <c r="E623" s="291"/>
      <c r="F623" s="291"/>
      <c r="G623" s="291"/>
      <c r="H623" s="291"/>
      <c r="I623" s="291"/>
      <c r="J623" s="251"/>
      <c r="K623" s="41"/>
    </row>
    <row r="624" spans="2:11" ht="9.75" customHeight="1" x14ac:dyDescent="0.2">
      <c r="B624" s="38"/>
      <c r="C624" s="280" t="str">
        <f>"1:"</f>
        <v>1:</v>
      </c>
      <c r="D624" s="281" t="s">
        <v>919</v>
      </c>
      <c r="E624" s="291"/>
      <c r="F624" s="291"/>
      <c r="G624" s="291"/>
      <c r="H624" s="291"/>
      <c r="I624" s="291"/>
      <c r="J624" s="251"/>
      <c r="K624" s="41"/>
    </row>
    <row r="625" spans="2:14" ht="9.75" customHeight="1" x14ac:dyDescent="0.2">
      <c r="B625" s="38"/>
      <c r="C625" s="280" t="str">
        <f>"2:"</f>
        <v>2:</v>
      </c>
      <c r="D625" s="281" t="s">
        <v>920</v>
      </c>
      <c r="E625" s="291"/>
      <c r="F625" s="291"/>
      <c r="G625" s="291"/>
      <c r="H625" s="291"/>
      <c r="I625" s="291"/>
      <c r="J625" s="251"/>
      <c r="K625" s="41"/>
    </row>
    <row r="626" spans="2:14" ht="9.75" customHeight="1" x14ac:dyDescent="0.2">
      <c r="B626" s="38"/>
      <c r="C626" s="280" t="str">
        <f>"3:"</f>
        <v>3:</v>
      </c>
      <c r="D626" s="281" t="s">
        <v>921</v>
      </c>
      <c r="E626" s="291"/>
      <c r="F626" s="291"/>
      <c r="G626" s="291"/>
      <c r="H626" s="291"/>
      <c r="I626" s="291"/>
      <c r="J626" s="251"/>
      <c r="K626" s="41"/>
    </row>
    <row r="627" spans="2:14" ht="9.75" customHeight="1" x14ac:dyDescent="0.2">
      <c r="B627" s="38"/>
      <c r="C627" s="280" t="str">
        <f>"4:"</f>
        <v>4:</v>
      </c>
      <c r="D627" s="281" t="s">
        <v>922</v>
      </c>
      <c r="E627" s="40"/>
      <c r="F627" s="40"/>
      <c r="G627" s="40"/>
      <c r="H627" s="40"/>
      <c r="I627" s="40"/>
      <c r="J627" s="40"/>
      <c r="K627" s="41"/>
      <c r="N627" s="12" t="s">
        <v>661</v>
      </c>
    </row>
    <row r="628" spans="2:14" x14ac:dyDescent="0.2">
      <c r="B628" s="38"/>
      <c r="C628" s="174" t="s">
        <v>662</v>
      </c>
      <c r="D628" s="40"/>
      <c r="E628" s="40"/>
      <c r="F628" s="40"/>
      <c r="G628" s="40"/>
      <c r="H628" s="40"/>
      <c r="I628" s="40"/>
      <c r="J628" s="265" t="s">
        <v>661</v>
      </c>
      <c r="K628" s="41"/>
      <c r="N628" s="12" t="s">
        <v>894</v>
      </c>
    </row>
    <row r="629" spans="2:14" x14ac:dyDescent="0.2">
      <c r="B629" s="38"/>
      <c r="C629" s="174" t="s">
        <v>660</v>
      </c>
      <c r="D629" s="40"/>
      <c r="E629" s="40"/>
      <c r="F629" s="40"/>
      <c r="G629" s="40"/>
      <c r="H629" s="40"/>
      <c r="I629" s="40"/>
      <c r="J629" s="247" t="str">
        <f>IF(J628=N627,"N/A",IF(J628=N628,0,IF(J628=N629,1,IF(J628=N630,2,IF(J628=N631,3,IF(J628=N632,4,"N/A"))))))</f>
        <v>N/A</v>
      </c>
      <c r="K629" s="41"/>
      <c r="N629" s="12" t="s">
        <v>895</v>
      </c>
    </row>
    <row r="630" spans="2:14" x14ac:dyDescent="0.2">
      <c r="B630" s="38"/>
      <c r="C630" s="40" t="s">
        <v>257</v>
      </c>
      <c r="D630" s="40"/>
      <c r="E630" s="40"/>
      <c r="F630" s="40"/>
      <c r="G630" s="40"/>
      <c r="H630" s="40"/>
      <c r="I630" s="40"/>
      <c r="J630" s="266" t="s">
        <v>874</v>
      </c>
      <c r="K630" s="41"/>
      <c r="N630" s="12" t="s">
        <v>896</v>
      </c>
    </row>
    <row r="631" spans="2:14" x14ac:dyDescent="0.2">
      <c r="B631" s="38"/>
      <c r="C631" s="40" t="s">
        <v>261</v>
      </c>
      <c r="D631" s="40"/>
      <c r="E631" s="40"/>
      <c r="F631" s="40"/>
      <c r="G631" s="40"/>
      <c r="H631" s="40"/>
      <c r="I631" s="40"/>
      <c r="J631" s="245">
        <f>IF(J630=$B$973,$A$973,IF(J630=$B$974,$A$974,IF(J630=$B$975,$A$975,IF(J630=$B$976,$A$976,IF(J630=$B$977,$A$977,"Not Calculated")))))</f>
        <v>4</v>
      </c>
      <c r="K631" s="41"/>
      <c r="N631" s="12" t="s">
        <v>897</v>
      </c>
    </row>
    <row r="632" spans="2:14" x14ac:dyDescent="0.2">
      <c r="B632" s="38"/>
      <c r="C632" s="40" t="s">
        <v>893</v>
      </c>
      <c r="D632" s="40"/>
      <c r="E632" s="40"/>
      <c r="F632" s="40"/>
      <c r="G632" s="40"/>
      <c r="H632" s="40"/>
      <c r="I632" s="40"/>
      <c r="J632" s="40"/>
      <c r="K632" s="41"/>
      <c r="N632" s="12" t="s">
        <v>898</v>
      </c>
    </row>
    <row r="633" spans="2:14" ht="30" customHeight="1" x14ac:dyDescent="0.2">
      <c r="B633" s="38"/>
      <c r="C633" s="399" t="s">
        <v>541</v>
      </c>
      <c r="D633" s="400"/>
      <c r="E633" s="400"/>
      <c r="F633" s="400"/>
      <c r="G633" s="400"/>
      <c r="H633" s="400"/>
      <c r="I633" s="400"/>
      <c r="J633" s="401"/>
      <c r="K633" s="41"/>
    </row>
    <row r="634" spans="2:14" x14ac:dyDescent="0.2">
      <c r="B634" s="38"/>
      <c r="C634" s="40"/>
      <c r="D634" s="40"/>
      <c r="E634" s="40"/>
      <c r="F634" s="40"/>
      <c r="G634" s="40"/>
      <c r="H634" s="40"/>
      <c r="I634" s="40"/>
      <c r="J634" s="40"/>
      <c r="K634" s="41"/>
    </row>
    <row r="635" spans="2:14" x14ac:dyDescent="0.2">
      <c r="B635" s="38"/>
      <c r="C635" s="179" t="s">
        <v>328</v>
      </c>
      <c r="D635" s="40"/>
      <c r="E635" s="40"/>
      <c r="F635" s="40"/>
      <c r="G635" s="40"/>
      <c r="H635" s="40"/>
      <c r="I635" s="40"/>
      <c r="J635" s="245">
        <f>IF(J629="N/A",IF(OR(J622="Not Calculated",J631="Not Calculated")=TRUE,"Not Calculated",AVERAGE(J622,J631)),AVERAGE(J629,J631))</f>
        <v>4</v>
      </c>
      <c r="K635" s="41"/>
    </row>
    <row r="636" spans="2:14" x14ac:dyDescent="0.2">
      <c r="B636" s="38"/>
      <c r="C636" s="40"/>
      <c r="D636" s="40"/>
      <c r="E636" s="40"/>
      <c r="F636" s="40"/>
      <c r="G636" s="40"/>
      <c r="H636" s="40"/>
      <c r="I636" s="40"/>
      <c r="J636" s="40"/>
      <c r="K636" s="41"/>
    </row>
    <row r="637" spans="2:14" x14ac:dyDescent="0.2">
      <c r="B637" s="38"/>
      <c r="C637" s="40"/>
      <c r="D637" s="40"/>
      <c r="E637" s="40"/>
      <c r="F637" s="40"/>
      <c r="G637" s="40"/>
      <c r="H637" s="40"/>
      <c r="I637" s="40"/>
      <c r="J637" s="40"/>
      <c r="K637" s="41"/>
    </row>
    <row r="638" spans="2:14" ht="16" x14ac:dyDescent="0.2">
      <c r="B638" s="38"/>
      <c r="C638" s="45" t="s">
        <v>329</v>
      </c>
      <c r="D638" s="40"/>
      <c r="E638" s="40"/>
      <c r="F638" s="40"/>
      <c r="G638" s="40"/>
      <c r="H638" s="40"/>
      <c r="I638" s="40"/>
      <c r="J638" s="40"/>
      <c r="K638" s="41"/>
    </row>
    <row r="639" spans="2:14" ht="15" customHeight="1" x14ac:dyDescent="0.2">
      <c r="B639" s="38"/>
      <c r="C639" s="380" t="s">
        <v>339</v>
      </c>
      <c r="D639" s="380"/>
      <c r="E639" s="380"/>
      <c r="F639" s="380"/>
      <c r="G639" s="380"/>
      <c r="H639" s="380"/>
      <c r="I639" s="380"/>
      <c r="J639" s="40"/>
      <c r="K639" s="41"/>
    </row>
    <row r="640" spans="2:14" x14ac:dyDescent="0.2">
      <c r="B640" s="38"/>
      <c r="C640" s="380"/>
      <c r="D640" s="380"/>
      <c r="E640" s="380"/>
      <c r="F640" s="380"/>
      <c r="G640" s="380"/>
      <c r="H640" s="380"/>
      <c r="I640" s="380"/>
      <c r="J640" s="250">
        <f>'Baseline Health'!G145</f>
        <v>0</v>
      </c>
      <c r="K640" s="41"/>
    </row>
    <row r="641" spans="2:14" ht="15" customHeight="1" x14ac:dyDescent="0.2">
      <c r="B641" s="38"/>
      <c r="C641" s="380" t="s">
        <v>340</v>
      </c>
      <c r="D641" s="380"/>
      <c r="E641" s="380"/>
      <c r="F641" s="380"/>
      <c r="G641" s="380"/>
      <c r="H641" s="380"/>
      <c r="I641" s="380"/>
      <c r="J641" s="245"/>
      <c r="K641" s="41"/>
    </row>
    <row r="642" spans="2:14" x14ac:dyDescent="0.2">
      <c r="B642" s="38"/>
      <c r="C642" s="380"/>
      <c r="D642" s="380"/>
      <c r="E642" s="380"/>
      <c r="F642" s="380"/>
      <c r="G642" s="380"/>
      <c r="H642" s="380"/>
      <c r="I642" s="380"/>
      <c r="J642" s="245"/>
      <c r="K642" s="41"/>
    </row>
    <row r="643" spans="2:14" x14ac:dyDescent="0.2">
      <c r="B643" s="38"/>
      <c r="C643" s="380"/>
      <c r="D643" s="380"/>
      <c r="E643" s="380"/>
      <c r="F643" s="380"/>
      <c r="G643" s="380"/>
      <c r="H643" s="380"/>
      <c r="I643" s="380"/>
      <c r="J643" s="272">
        <v>75</v>
      </c>
      <c r="K643" s="41"/>
    </row>
    <row r="644" spans="2:14" x14ac:dyDescent="0.2">
      <c r="B644" s="38"/>
      <c r="C644" s="40" t="s">
        <v>260</v>
      </c>
      <c r="D644" s="40"/>
      <c r="E644" s="40"/>
      <c r="F644" s="40"/>
      <c r="G644" s="40"/>
      <c r="H644" s="40"/>
      <c r="I644" s="40"/>
      <c r="J644" s="245" t="str">
        <f>IF(OR(J640=0,J640="Not Calculated")=TRUE,"Not Calculated",IF(((J640+J643)/J640)&lt;=1,0,IF(((J640+J643)/J640)&lt;=1.05,1,IF(((J640+J643)/J640)&lt;=1.5, 2,IF(((J640+J643)/J640)&lt;=2,3,4)))))</f>
        <v>Not Calculated</v>
      </c>
      <c r="K644" s="41"/>
    </row>
    <row r="645" spans="2:14" ht="9.75" customHeight="1" x14ac:dyDescent="0.2">
      <c r="B645" s="38"/>
      <c r="C645" s="279" t="str">
        <f>"0:"</f>
        <v>0:</v>
      </c>
      <c r="D645" s="281" t="s">
        <v>918</v>
      </c>
      <c r="E645" s="291"/>
      <c r="F645" s="291"/>
      <c r="G645" s="291"/>
      <c r="H645" s="291"/>
      <c r="I645" s="291"/>
      <c r="J645" s="250"/>
      <c r="K645" s="41"/>
    </row>
    <row r="646" spans="2:14" ht="9.75" customHeight="1" x14ac:dyDescent="0.2">
      <c r="B646" s="38"/>
      <c r="C646" s="280" t="str">
        <f>"1:"</f>
        <v>1:</v>
      </c>
      <c r="D646" s="281" t="s">
        <v>919</v>
      </c>
      <c r="E646" s="291"/>
      <c r="F646" s="291"/>
      <c r="G646" s="291"/>
      <c r="H646" s="291"/>
      <c r="I646" s="291"/>
      <c r="J646" s="250"/>
      <c r="K646" s="41"/>
    </row>
    <row r="647" spans="2:14" ht="9.75" customHeight="1" x14ac:dyDescent="0.2">
      <c r="B647" s="38"/>
      <c r="C647" s="280" t="str">
        <f>"2:"</f>
        <v>2:</v>
      </c>
      <c r="D647" s="281" t="s">
        <v>920</v>
      </c>
      <c r="E647" s="291"/>
      <c r="F647" s="291"/>
      <c r="G647" s="291"/>
      <c r="H647" s="291"/>
      <c r="I647" s="291"/>
      <c r="J647" s="250"/>
      <c r="K647" s="41"/>
    </row>
    <row r="648" spans="2:14" ht="9.75" customHeight="1" x14ac:dyDescent="0.2">
      <c r="B648" s="38"/>
      <c r="C648" s="280" t="str">
        <f>"3:"</f>
        <v>3:</v>
      </c>
      <c r="D648" s="281" t="s">
        <v>921</v>
      </c>
      <c r="E648" s="291"/>
      <c r="F648" s="291"/>
      <c r="G648" s="291"/>
      <c r="H648" s="291"/>
      <c r="I648" s="291"/>
      <c r="J648" s="250"/>
      <c r="K648" s="41"/>
    </row>
    <row r="649" spans="2:14" ht="9.75" customHeight="1" x14ac:dyDescent="0.2">
      <c r="B649" s="38"/>
      <c r="C649" s="280" t="str">
        <f>"4:"</f>
        <v>4:</v>
      </c>
      <c r="D649" s="281" t="s">
        <v>922</v>
      </c>
      <c r="E649" s="40"/>
      <c r="F649" s="40"/>
      <c r="G649" s="40"/>
      <c r="H649" s="40"/>
      <c r="I649" s="40"/>
      <c r="J649" s="40"/>
      <c r="K649" s="41"/>
      <c r="N649" s="12" t="s">
        <v>661</v>
      </c>
    </row>
    <row r="650" spans="2:14" x14ac:dyDescent="0.2">
      <c r="B650" s="38"/>
      <c r="C650" s="174" t="s">
        <v>662</v>
      </c>
      <c r="D650" s="40"/>
      <c r="E650" s="40"/>
      <c r="F650" s="40"/>
      <c r="G650" s="40"/>
      <c r="H650" s="40"/>
      <c r="I650" s="40"/>
      <c r="J650" s="265" t="s">
        <v>661</v>
      </c>
      <c r="K650" s="41"/>
      <c r="N650" s="12" t="s">
        <v>894</v>
      </c>
    </row>
    <row r="651" spans="2:14" x14ac:dyDescent="0.2">
      <c r="B651" s="38"/>
      <c r="C651" s="174" t="s">
        <v>660</v>
      </c>
      <c r="D651" s="40"/>
      <c r="E651" s="40"/>
      <c r="F651" s="40"/>
      <c r="G651" s="40"/>
      <c r="H651" s="40"/>
      <c r="I651" s="40"/>
      <c r="J651" s="247" t="str">
        <f>IF(J650=N649,"N/A",IF(J650=N650,0,IF(J650=N651,1,IF(J650=N652,2,IF(J650=N653,3,IF(J650=N654,4,"N/A"))))))</f>
        <v>N/A</v>
      </c>
      <c r="K651" s="41"/>
      <c r="N651" s="12" t="s">
        <v>895</v>
      </c>
    </row>
    <row r="652" spans="2:14" ht="15" customHeight="1" x14ac:dyDescent="0.2">
      <c r="B652" s="38"/>
      <c r="C652" s="40" t="s">
        <v>257</v>
      </c>
      <c r="D652" s="40"/>
      <c r="E652" s="40"/>
      <c r="F652" s="40"/>
      <c r="G652" s="40"/>
      <c r="H652" s="40"/>
      <c r="I652" s="40"/>
      <c r="J652" s="266" t="s">
        <v>874</v>
      </c>
      <c r="K652" s="41"/>
      <c r="N652" s="12" t="s">
        <v>896</v>
      </c>
    </row>
    <row r="653" spans="2:14" x14ac:dyDescent="0.2">
      <c r="B653" s="38"/>
      <c r="C653" s="40" t="s">
        <v>261</v>
      </c>
      <c r="D653" s="40"/>
      <c r="E653" s="40"/>
      <c r="F653" s="40"/>
      <c r="G653" s="40"/>
      <c r="H653" s="40"/>
      <c r="I653" s="40"/>
      <c r="J653" s="245">
        <f>IF(J652=$B$973,$A$973,IF(J652=$B$974,$A$974,IF(J652=$B$975,$A$975,IF(J652=$B$976,$A$976,IF(J652=$B$977,$A$977,"Not Calculated")))))</f>
        <v>4</v>
      </c>
      <c r="K653" s="41"/>
      <c r="N653" s="12" t="s">
        <v>897</v>
      </c>
    </row>
    <row r="654" spans="2:14" x14ac:dyDescent="0.2">
      <c r="B654" s="38"/>
      <c r="C654" s="40" t="s">
        <v>893</v>
      </c>
      <c r="D654" s="40"/>
      <c r="E654" s="40"/>
      <c r="F654" s="40"/>
      <c r="G654" s="40"/>
      <c r="H654" s="40"/>
      <c r="I654" s="40"/>
      <c r="J654" s="40"/>
      <c r="K654" s="41"/>
      <c r="N654" s="12" t="s">
        <v>898</v>
      </c>
    </row>
    <row r="655" spans="2:14" ht="45" customHeight="1" x14ac:dyDescent="0.2">
      <c r="B655" s="38"/>
      <c r="C655" s="399" t="s">
        <v>543</v>
      </c>
      <c r="D655" s="400"/>
      <c r="E655" s="400"/>
      <c r="F655" s="400"/>
      <c r="G655" s="400"/>
      <c r="H655" s="400"/>
      <c r="I655" s="400"/>
      <c r="J655" s="401"/>
      <c r="K655" s="41"/>
    </row>
    <row r="656" spans="2:14" x14ac:dyDescent="0.2">
      <c r="B656" s="38"/>
      <c r="C656" s="40"/>
      <c r="D656" s="40"/>
      <c r="E656" s="40"/>
      <c r="F656" s="40"/>
      <c r="G656" s="40"/>
      <c r="H656" s="40"/>
      <c r="I656" s="40"/>
      <c r="J656" s="40"/>
      <c r="K656" s="41"/>
    </row>
    <row r="657" spans="2:14" x14ac:dyDescent="0.2">
      <c r="B657" s="38"/>
      <c r="C657" s="179" t="s">
        <v>330</v>
      </c>
      <c r="D657" s="40"/>
      <c r="E657" s="40"/>
      <c r="F657" s="40"/>
      <c r="G657" s="40"/>
      <c r="H657" s="40"/>
      <c r="I657" s="40"/>
      <c r="J657" s="245" t="str">
        <f>IF(J651="N/A",IF(OR(J644="Not Calculated",J653="Not Calculated")=TRUE,"Not Calculated",AVERAGE(J644,J653)),AVERAGE(J651,J653))</f>
        <v>Not Calculated</v>
      </c>
      <c r="K657" s="41"/>
    </row>
    <row r="658" spans="2:14" x14ac:dyDescent="0.2">
      <c r="B658" s="38"/>
      <c r="C658" s="40"/>
      <c r="D658" s="40"/>
      <c r="E658" s="40"/>
      <c r="F658" s="40"/>
      <c r="G658" s="40"/>
      <c r="H658" s="40"/>
      <c r="I658" s="40"/>
      <c r="J658" s="40"/>
      <c r="K658" s="41"/>
    </row>
    <row r="659" spans="2:14" x14ac:dyDescent="0.2">
      <c r="B659" s="38"/>
      <c r="C659" s="40"/>
      <c r="D659" s="40"/>
      <c r="E659" s="40"/>
      <c r="F659" s="40"/>
      <c r="G659" s="40"/>
      <c r="H659" s="40"/>
      <c r="I659" s="40"/>
      <c r="J659" s="40"/>
      <c r="K659" s="41"/>
    </row>
    <row r="660" spans="2:14" ht="16" x14ac:dyDescent="0.2">
      <c r="B660" s="38"/>
      <c r="C660" s="45" t="s">
        <v>97</v>
      </c>
      <c r="D660" s="40"/>
      <c r="E660" s="40"/>
      <c r="F660" s="40"/>
      <c r="G660" s="40"/>
      <c r="H660" s="40"/>
      <c r="I660" s="40"/>
      <c r="J660" s="40"/>
      <c r="K660" s="41"/>
    </row>
    <row r="661" spans="2:14" x14ac:dyDescent="0.2">
      <c r="B661" s="38"/>
      <c r="C661" s="40" t="s">
        <v>449</v>
      </c>
      <c r="D661" s="40"/>
      <c r="E661" s="40"/>
      <c r="F661" s="40"/>
      <c r="G661" s="40"/>
      <c r="H661" s="40"/>
      <c r="I661" s="40"/>
      <c r="J661" s="263">
        <f>'Baseline Health'!G150</f>
        <v>0</v>
      </c>
      <c r="K661" s="41"/>
    </row>
    <row r="662" spans="2:14" x14ac:dyDescent="0.2">
      <c r="B662" s="38"/>
      <c r="C662" s="40" t="s">
        <v>341</v>
      </c>
      <c r="D662" s="40"/>
      <c r="E662" s="40"/>
      <c r="F662" s="40"/>
      <c r="G662" s="40"/>
      <c r="H662" s="40"/>
      <c r="I662" s="40"/>
      <c r="J662" s="273">
        <v>0</v>
      </c>
      <c r="K662" s="41"/>
    </row>
    <row r="663" spans="2:14" x14ac:dyDescent="0.2">
      <c r="B663" s="38"/>
      <c r="C663" s="40" t="s">
        <v>450</v>
      </c>
      <c r="D663" s="40"/>
      <c r="E663" s="40"/>
      <c r="F663" s="40"/>
      <c r="G663" s="40"/>
      <c r="H663" s="40"/>
      <c r="I663" s="40"/>
      <c r="J663" s="263">
        <f>J26</f>
        <v>0</v>
      </c>
      <c r="K663" s="41"/>
    </row>
    <row r="664" spans="2:14" ht="15" customHeight="1" x14ac:dyDescent="0.2">
      <c r="B664" s="38"/>
      <c r="C664" s="291"/>
      <c r="D664" s="380" t="s">
        <v>342</v>
      </c>
      <c r="E664" s="380"/>
      <c r="F664" s="380"/>
      <c r="G664" s="380"/>
      <c r="H664" s="380"/>
      <c r="I664" s="380"/>
      <c r="J664" s="245"/>
      <c r="K664" s="41"/>
    </row>
    <row r="665" spans="2:14" x14ac:dyDescent="0.2">
      <c r="B665" s="38"/>
      <c r="C665" s="291"/>
      <c r="D665" s="380"/>
      <c r="E665" s="380"/>
      <c r="F665" s="380"/>
      <c r="G665" s="380"/>
      <c r="H665" s="380"/>
      <c r="I665" s="380"/>
      <c r="J665" s="245"/>
      <c r="K665" s="41"/>
    </row>
    <row r="666" spans="2:14" x14ac:dyDescent="0.2">
      <c r="B666" s="38"/>
      <c r="C666" s="40" t="s">
        <v>260</v>
      </c>
      <c r="D666" s="40"/>
      <c r="E666" s="40"/>
      <c r="F666" s="40"/>
      <c r="G666" s="40"/>
      <c r="H666" s="40"/>
      <c r="I666" s="40"/>
      <c r="J666" s="245" t="str">
        <f>IF(OR(J661=0,J661="Not Calculated")=TRUE,"Not Calculated",IF(((J661+J663)/(J661-J662))&lt;=1,0,IF(((J661+J663)/(J661-J662))&lt;=1.1,1,IF(((J661+J663)/(J661-J662))&lt;=1.5, 2,IF(((J661+J663)/(J661-J662))&lt;=2,3,4)))))</f>
        <v>Not Calculated</v>
      </c>
      <c r="K666" s="41"/>
    </row>
    <row r="667" spans="2:14" ht="9.75" customHeight="1" x14ac:dyDescent="0.2">
      <c r="B667" s="38"/>
      <c r="C667" s="279" t="str">
        <f>"0:"</f>
        <v>0:</v>
      </c>
      <c r="D667" s="278" t="s">
        <v>918</v>
      </c>
      <c r="E667" s="291"/>
      <c r="F667" s="291"/>
      <c r="G667" s="291"/>
      <c r="H667" s="291"/>
      <c r="I667" s="291"/>
      <c r="J667" s="245"/>
      <c r="K667" s="41"/>
    </row>
    <row r="668" spans="2:14" ht="9.75" customHeight="1" x14ac:dyDescent="0.2">
      <c r="B668" s="38"/>
      <c r="C668" s="280" t="str">
        <f>"1:"</f>
        <v>1:</v>
      </c>
      <c r="D668" s="278" t="s">
        <v>923</v>
      </c>
      <c r="E668" s="291"/>
      <c r="F668" s="291"/>
      <c r="G668" s="291"/>
      <c r="H668" s="291"/>
      <c r="I668" s="291"/>
      <c r="J668" s="245"/>
      <c r="K668" s="41"/>
    </row>
    <row r="669" spans="2:14" ht="9.75" customHeight="1" x14ac:dyDescent="0.2">
      <c r="B669" s="38"/>
      <c r="C669" s="280" t="str">
        <f>"2:"</f>
        <v>2:</v>
      </c>
      <c r="D669" s="278" t="s">
        <v>924</v>
      </c>
      <c r="E669" s="291"/>
      <c r="F669" s="291"/>
      <c r="G669" s="291"/>
      <c r="H669" s="291"/>
      <c r="I669" s="291"/>
      <c r="J669" s="245"/>
      <c r="K669" s="41"/>
    </row>
    <row r="670" spans="2:14" ht="9.75" customHeight="1" x14ac:dyDescent="0.2">
      <c r="B670" s="38"/>
      <c r="C670" s="280" t="str">
        <f>"3:"</f>
        <v>3:</v>
      </c>
      <c r="D670" s="278" t="s">
        <v>925</v>
      </c>
      <c r="E670" s="291"/>
      <c r="F670" s="291"/>
      <c r="G670" s="291"/>
      <c r="H670" s="291"/>
      <c r="I670" s="291"/>
      <c r="J670" s="245"/>
      <c r="K670" s="41"/>
    </row>
    <row r="671" spans="2:14" ht="9.75" customHeight="1" x14ac:dyDescent="0.2">
      <c r="B671" s="38"/>
      <c r="C671" s="280" t="str">
        <f>"4:"</f>
        <v>4:</v>
      </c>
      <c r="D671" s="278" t="s">
        <v>926</v>
      </c>
      <c r="E671" s="40"/>
      <c r="F671" s="40"/>
      <c r="G671" s="40"/>
      <c r="H671" s="40"/>
      <c r="I671" s="40"/>
      <c r="J671" s="40"/>
      <c r="K671" s="41"/>
      <c r="N671" s="12" t="s">
        <v>661</v>
      </c>
    </row>
    <row r="672" spans="2:14" ht="15" customHeight="1" x14ac:dyDescent="0.2">
      <c r="B672" s="38"/>
      <c r="C672" s="174" t="s">
        <v>662</v>
      </c>
      <c r="D672" s="40"/>
      <c r="E672" s="40"/>
      <c r="F672" s="40"/>
      <c r="G672" s="40"/>
      <c r="H672" s="40"/>
      <c r="I672" s="40"/>
      <c r="J672" s="265" t="s">
        <v>661</v>
      </c>
      <c r="K672" s="41"/>
      <c r="N672" s="12" t="s">
        <v>894</v>
      </c>
    </row>
    <row r="673" spans="2:14" ht="15" customHeight="1" x14ac:dyDescent="0.2">
      <c r="B673" s="38"/>
      <c r="C673" s="174" t="s">
        <v>660</v>
      </c>
      <c r="D673" s="40"/>
      <c r="E673" s="40"/>
      <c r="F673" s="40"/>
      <c r="G673" s="40"/>
      <c r="H673" s="40"/>
      <c r="I673" s="40"/>
      <c r="J673" s="246" t="str">
        <f>IF(J672=N671,"N/A",IF(J672=N672,0,IF(J672=N673,1,IF(J672=N674,2,IF(J672=N675,3,IF(J672=N676,4,"N/A"))))))</f>
        <v>N/A</v>
      </c>
      <c r="K673" s="41"/>
      <c r="N673" s="12" t="s">
        <v>908</v>
      </c>
    </row>
    <row r="674" spans="2:14" ht="15" customHeight="1" x14ac:dyDescent="0.2">
      <c r="B674" s="38"/>
      <c r="C674" s="40" t="s">
        <v>257</v>
      </c>
      <c r="D674" s="40"/>
      <c r="E674" s="40"/>
      <c r="F674" s="40"/>
      <c r="G674" s="40"/>
      <c r="H674" s="40"/>
      <c r="I674" s="40"/>
      <c r="J674" s="266" t="s">
        <v>874</v>
      </c>
      <c r="K674" s="41"/>
      <c r="N674" s="12" t="s">
        <v>900</v>
      </c>
    </row>
    <row r="675" spans="2:14" x14ac:dyDescent="0.2">
      <c r="B675" s="38"/>
      <c r="C675" s="40" t="s">
        <v>261</v>
      </c>
      <c r="D675" s="40"/>
      <c r="E675" s="40"/>
      <c r="F675" s="40"/>
      <c r="G675" s="40"/>
      <c r="H675" s="40"/>
      <c r="I675" s="40"/>
      <c r="J675" s="245">
        <f>IF(J674=$B$973,$A$973,IF(J674=$B$974,$A$974,IF(J674=$B$975,$A$975,IF(J674=$B$976,$A$976,IF(J674=$B$977,$A$977,"Not Calculated")))))</f>
        <v>4</v>
      </c>
      <c r="K675" s="41"/>
      <c r="N675" s="12" t="s">
        <v>901</v>
      </c>
    </row>
    <row r="676" spans="2:14" ht="15" customHeight="1" x14ac:dyDescent="0.2">
      <c r="B676" s="38"/>
      <c r="C676" s="40" t="s">
        <v>893</v>
      </c>
      <c r="D676" s="40"/>
      <c r="E676" s="40"/>
      <c r="F676" s="40"/>
      <c r="G676" s="40"/>
      <c r="H676" s="40"/>
      <c r="I676" s="40"/>
      <c r="J676" s="40"/>
      <c r="K676" s="41"/>
      <c r="N676" s="12" t="s">
        <v>909</v>
      </c>
    </row>
    <row r="677" spans="2:14" ht="30" customHeight="1" x14ac:dyDescent="0.2">
      <c r="B677" s="38"/>
      <c r="C677" s="399"/>
      <c r="D677" s="400"/>
      <c r="E677" s="400"/>
      <c r="F677" s="400"/>
      <c r="G677" s="400"/>
      <c r="H677" s="400"/>
      <c r="I677" s="400"/>
      <c r="J677" s="401"/>
      <c r="K677" s="41"/>
    </row>
    <row r="678" spans="2:14" x14ac:dyDescent="0.2">
      <c r="B678" s="38"/>
      <c r="C678" s="40"/>
      <c r="D678" s="40"/>
      <c r="E678" s="40"/>
      <c r="F678" s="40"/>
      <c r="G678" s="40"/>
      <c r="H678" s="40"/>
      <c r="I678" s="40"/>
      <c r="J678" s="40"/>
      <c r="K678" s="41"/>
    </row>
    <row r="679" spans="2:14" x14ac:dyDescent="0.2">
      <c r="B679" s="38"/>
      <c r="C679" s="179" t="s">
        <v>331</v>
      </c>
      <c r="D679" s="40"/>
      <c r="E679" s="40"/>
      <c r="F679" s="40"/>
      <c r="G679" s="40"/>
      <c r="H679" s="40"/>
      <c r="I679" s="40"/>
      <c r="J679" s="245" t="str">
        <f>IF(J673="N/A",IF(OR(J666="Not Calculated",J675="Not Calculated")=TRUE,"Not Calculated",AVERAGE(J666,J675)),AVERAGE(J673,J675))</f>
        <v>Not Calculated</v>
      </c>
      <c r="K679" s="41"/>
    </row>
    <row r="680" spans="2:14" x14ac:dyDescent="0.2">
      <c r="B680" s="38"/>
      <c r="C680" s="40"/>
      <c r="D680" s="40"/>
      <c r="E680" s="40"/>
      <c r="F680" s="40"/>
      <c r="G680" s="40"/>
      <c r="H680" s="40"/>
      <c r="I680" s="40"/>
      <c r="J680" s="40"/>
      <c r="K680" s="41"/>
    </row>
    <row r="681" spans="2:14" ht="18" x14ac:dyDescent="0.2">
      <c r="B681" s="38"/>
      <c r="C681" s="180" t="s">
        <v>332</v>
      </c>
      <c r="D681" s="40"/>
      <c r="E681" s="40"/>
      <c r="F681" s="40"/>
      <c r="G681" s="40"/>
      <c r="H681" s="40"/>
      <c r="I681" s="40"/>
      <c r="J681" s="244" t="str">
        <f>IF(OR(J562="Not Calculated",J585="Not Calculated",J601="Not Calculated",J615="Not Calculated",J635="Not Calculated",J657="Not Calculated",J679="Not Calculated")=TRUE,"Not Calculated",AVERAGE(J562,J585,J601,J615,J635,J657,J679))</f>
        <v>Not Calculated</v>
      </c>
      <c r="K681" s="41"/>
    </row>
    <row r="682" spans="2:14" ht="16" thickBot="1" x14ac:dyDescent="0.25">
      <c r="B682" s="46"/>
      <c r="C682" s="47"/>
      <c r="D682" s="47"/>
      <c r="E682" s="47"/>
      <c r="F682" s="47"/>
      <c r="G682" s="47"/>
      <c r="H682" s="47"/>
      <c r="I682" s="47"/>
      <c r="J682" s="47"/>
      <c r="K682" s="49"/>
    </row>
    <row r="683" spans="2:14" ht="16" thickBot="1" x14ac:dyDescent="0.25"/>
    <row r="684" spans="2:14" x14ac:dyDescent="0.2">
      <c r="B684" s="33"/>
      <c r="C684" s="34"/>
      <c r="D684" s="34"/>
      <c r="E684" s="34"/>
      <c r="F684" s="34"/>
      <c r="G684" s="34"/>
      <c r="H684" s="34"/>
      <c r="I684" s="34"/>
      <c r="J684" s="34"/>
      <c r="K684" s="37"/>
    </row>
    <row r="685" spans="2:14" ht="21" x14ac:dyDescent="0.25">
      <c r="B685" s="38"/>
      <c r="C685" s="40" t="s">
        <v>865</v>
      </c>
      <c r="D685" s="40"/>
      <c r="E685" s="40"/>
      <c r="F685" s="40"/>
      <c r="G685" s="172" t="s">
        <v>346</v>
      </c>
      <c r="H685" s="40"/>
      <c r="I685" s="40"/>
      <c r="J685" s="40"/>
      <c r="K685" s="41"/>
    </row>
    <row r="686" spans="2:14" x14ac:dyDescent="0.2">
      <c r="B686" s="38"/>
      <c r="C686" s="40"/>
      <c r="D686" s="40"/>
      <c r="E686" s="40"/>
      <c r="F686" s="40"/>
      <c r="G686" s="40"/>
      <c r="H686" s="40"/>
      <c r="I686" s="40"/>
      <c r="J686" s="40"/>
      <c r="K686" s="41"/>
    </row>
    <row r="687" spans="2:14" ht="16" x14ac:dyDescent="0.2">
      <c r="B687" s="38"/>
      <c r="C687" s="182" t="s">
        <v>986</v>
      </c>
      <c r="D687" s="40"/>
      <c r="E687" s="40"/>
      <c r="F687" s="40"/>
      <c r="G687" s="40"/>
      <c r="H687" s="40"/>
      <c r="I687" s="40"/>
      <c r="J687" s="257" t="str">
        <f>IF(OR($J$133="Not Calculated",$J$261="Not Calculated",$J$420="Not Calculated",$J$539="Not Calculated",$J$681="Not Calculated")=TRUE,"Not Calculated",AVERAGE($J$133,$J$261,$J$420,$J$539,$J$681))</f>
        <v>Not Calculated</v>
      </c>
      <c r="K687" s="41"/>
    </row>
    <row r="688" spans="2:14" x14ac:dyDescent="0.2">
      <c r="B688" s="38"/>
      <c r="C688" s="40" t="s">
        <v>865</v>
      </c>
      <c r="D688" s="40" t="s">
        <v>343</v>
      </c>
      <c r="E688" s="40"/>
      <c r="F688" s="40"/>
      <c r="G688" s="40"/>
      <c r="H688" s="40"/>
      <c r="I688" s="40"/>
      <c r="J688" s="40"/>
      <c r="K688" s="41"/>
    </row>
    <row r="689" spans="2:11" ht="15" customHeight="1" x14ac:dyDescent="0.2">
      <c r="B689" s="38"/>
      <c r="C689" s="40"/>
      <c r="D689" s="40"/>
      <c r="E689" s="40"/>
      <c r="F689" s="40"/>
      <c r="G689" s="40"/>
      <c r="H689" s="40"/>
      <c r="I689" s="40"/>
      <c r="J689" s="40"/>
      <c r="K689" s="41"/>
    </row>
    <row r="690" spans="2:11" ht="16" x14ac:dyDescent="0.2">
      <c r="B690" s="38"/>
      <c r="C690" s="182" t="s">
        <v>987</v>
      </c>
      <c r="D690" s="40"/>
      <c r="E690" s="40"/>
      <c r="F690" s="40"/>
      <c r="G690" s="40"/>
      <c r="H690" s="40"/>
      <c r="I690" s="40"/>
      <c r="J690" s="257" t="str">
        <f>IF(OR($J$133="Not Calculated",$J$261="Not Calculated",$J$539="Not Calculated",$J$681="Not Calculated")=TRUE,"Not Calculated",AVERAGE($J$133,$J$261,$J$539,$J$681))</f>
        <v>Not Calculated</v>
      </c>
      <c r="K690" s="41"/>
    </row>
    <row r="691" spans="2:11" ht="15" customHeight="1" x14ac:dyDescent="0.2">
      <c r="B691" s="38"/>
      <c r="C691" s="40"/>
      <c r="D691" s="40" t="s">
        <v>344</v>
      </c>
      <c r="E691" s="40"/>
      <c r="F691" s="40"/>
      <c r="G691" s="40"/>
      <c r="H691" s="40"/>
      <c r="I691" s="40"/>
      <c r="J691" s="40"/>
      <c r="K691" s="41"/>
    </row>
    <row r="692" spans="2:11" x14ac:dyDescent="0.2">
      <c r="B692" s="38"/>
      <c r="C692" s="40"/>
      <c r="D692" s="40"/>
      <c r="E692" s="40"/>
      <c r="F692" s="40"/>
      <c r="G692" s="40"/>
      <c r="H692" s="40"/>
      <c r="I692" s="40"/>
      <c r="J692" s="40"/>
      <c r="K692" s="41"/>
    </row>
    <row r="693" spans="2:11" ht="16" x14ac:dyDescent="0.2">
      <c r="B693" s="38"/>
      <c r="C693" s="182" t="s">
        <v>988</v>
      </c>
      <c r="D693" s="40"/>
      <c r="E693" s="40"/>
      <c r="F693" s="40"/>
      <c r="G693" s="40"/>
      <c r="H693" s="40"/>
      <c r="I693" s="40"/>
      <c r="J693" s="257" t="str">
        <f>IF(OR($J$133="Not Calculated",$J$261="Not Calculated",$J$420="Not Calculated")=TRUE,"Not Calculated",AVERAGE($J$133,$J$261,$J$420))</f>
        <v>Not Calculated</v>
      </c>
      <c r="K693" s="41"/>
    </row>
    <row r="694" spans="2:11" x14ac:dyDescent="0.2">
      <c r="B694" s="38"/>
      <c r="C694" s="40"/>
      <c r="D694" s="40" t="s">
        <v>345</v>
      </c>
      <c r="E694" s="40"/>
      <c r="F694" s="40"/>
      <c r="G694" s="40"/>
      <c r="H694" s="40"/>
      <c r="I694" s="40"/>
      <c r="J694" s="40"/>
      <c r="K694" s="41"/>
    </row>
    <row r="695" spans="2:11" ht="16" thickBot="1" x14ac:dyDescent="0.25">
      <c r="B695" s="46"/>
      <c r="C695" s="47"/>
      <c r="D695" s="47"/>
      <c r="E695" s="47"/>
      <c r="F695" s="47"/>
      <c r="G695" s="47"/>
      <c r="H695" s="47"/>
      <c r="I695" s="47"/>
      <c r="J695" s="47"/>
      <c r="K695" s="49"/>
    </row>
    <row r="696" spans="2:11" ht="16" thickBot="1" x14ac:dyDescent="0.25"/>
    <row r="697" spans="2:11" x14ac:dyDescent="0.2">
      <c r="B697" s="183"/>
      <c r="C697" s="184"/>
      <c r="D697" s="184"/>
      <c r="E697" s="184"/>
      <c r="F697" s="184"/>
      <c r="G697" s="184"/>
      <c r="H697" s="184"/>
      <c r="I697" s="184"/>
      <c r="J697" s="184"/>
      <c r="K697" s="185"/>
    </row>
    <row r="698" spans="2:11" ht="21" x14ac:dyDescent="0.25">
      <c r="B698" s="186"/>
      <c r="C698" s="187" t="s">
        <v>866</v>
      </c>
      <c r="D698" s="187"/>
      <c r="E698" s="187"/>
      <c r="F698" s="187"/>
      <c r="G698" s="188" t="s">
        <v>231</v>
      </c>
      <c r="H698" s="187"/>
      <c r="I698" s="187"/>
      <c r="J698" s="187"/>
      <c r="K698" s="189"/>
    </row>
    <row r="699" spans="2:11" x14ac:dyDescent="0.2">
      <c r="B699" s="186"/>
      <c r="C699" s="187"/>
      <c r="D699" s="187"/>
      <c r="E699" s="187"/>
      <c r="F699" s="187"/>
      <c r="G699" s="187"/>
      <c r="H699" s="187"/>
      <c r="I699" s="187"/>
      <c r="J699" s="187"/>
      <c r="K699" s="189"/>
    </row>
    <row r="700" spans="2:11" ht="16" x14ac:dyDescent="0.2">
      <c r="B700" s="186"/>
      <c r="C700" s="190" t="s">
        <v>989</v>
      </c>
      <c r="D700" s="187"/>
      <c r="E700" s="187"/>
      <c r="F700" s="187"/>
      <c r="G700" s="187"/>
      <c r="H700" s="187"/>
      <c r="I700" s="187"/>
      <c r="J700" s="256" t="str">
        <f>IF(OR(J687="Not Calculated",$E$17="Not Calculated")=TRUE,"Not Calculated",(J687*$E$17*100/16))</f>
        <v>Not Calculated</v>
      </c>
      <c r="K700" s="189"/>
    </row>
    <row r="701" spans="2:11" x14ac:dyDescent="0.2">
      <c r="B701" s="186"/>
      <c r="C701" s="187" t="s">
        <v>866</v>
      </c>
      <c r="D701" s="187" t="s">
        <v>377</v>
      </c>
      <c r="E701" s="187"/>
      <c r="F701" s="187"/>
      <c r="G701" s="187"/>
      <c r="H701" s="187"/>
      <c r="I701" s="187"/>
      <c r="J701" s="187"/>
      <c r="K701" s="189"/>
    </row>
    <row r="702" spans="2:11" x14ac:dyDescent="0.2">
      <c r="B702" s="186"/>
      <c r="C702" s="187"/>
      <c r="D702" s="187"/>
      <c r="E702" s="187"/>
      <c r="F702" s="187"/>
      <c r="G702" s="187"/>
      <c r="H702" s="187"/>
      <c r="I702" s="187"/>
      <c r="J702" s="187"/>
      <c r="K702" s="189"/>
    </row>
    <row r="703" spans="2:11" ht="16" x14ac:dyDescent="0.2">
      <c r="B703" s="186"/>
      <c r="C703" s="190" t="s">
        <v>990</v>
      </c>
      <c r="D703" s="187"/>
      <c r="E703" s="187"/>
      <c r="F703" s="187"/>
      <c r="G703" s="187"/>
      <c r="H703" s="187"/>
      <c r="I703" s="187"/>
      <c r="J703" s="256" t="str">
        <f>IF(OR(J690="Not Calculated",$E$17="Not Calculated")=TRUE,"Not Calculated",(J690*$E$17*100/16))</f>
        <v>Not Calculated</v>
      </c>
      <c r="K703" s="189"/>
    </row>
    <row r="704" spans="2:11" x14ac:dyDescent="0.2">
      <c r="B704" s="186"/>
      <c r="C704" s="187"/>
      <c r="D704" s="187" t="s">
        <v>378</v>
      </c>
      <c r="E704" s="187"/>
      <c r="F704" s="187"/>
      <c r="G704" s="187"/>
      <c r="H704" s="187"/>
      <c r="I704" s="187"/>
      <c r="J704" s="187"/>
      <c r="K704" s="189"/>
    </row>
    <row r="705" spans="2:11" x14ac:dyDescent="0.2">
      <c r="B705" s="186"/>
      <c r="C705" s="187"/>
      <c r="D705" s="187"/>
      <c r="E705" s="187"/>
      <c r="F705" s="187"/>
      <c r="G705" s="187"/>
      <c r="H705" s="187"/>
      <c r="I705" s="187"/>
      <c r="J705" s="187"/>
      <c r="K705" s="189"/>
    </row>
    <row r="706" spans="2:11" ht="16" x14ac:dyDescent="0.2">
      <c r="B706" s="186"/>
      <c r="C706" s="190" t="s">
        <v>991</v>
      </c>
      <c r="D706" s="187"/>
      <c r="E706" s="187"/>
      <c r="F706" s="187"/>
      <c r="G706" s="187"/>
      <c r="H706" s="187"/>
      <c r="I706" s="187"/>
      <c r="J706" s="256" t="str">
        <f>IF(OR(J693="Not Calculated",$E$17="Not Calculated")=TRUE,"Not Calculated",(J693*$E$17*100/16))</f>
        <v>Not Calculated</v>
      </c>
      <c r="K706" s="189"/>
    </row>
    <row r="707" spans="2:11" x14ac:dyDescent="0.2">
      <c r="B707" s="186"/>
      <c r="C707" s="187"/>
      <c r="D707" s="187" t="s">
        <v>379</v>
      </c>
      <c r="E707" s="187"/>
      <c r="F707" s="187"/>
      <c r="G707" s="187"/>
      <c r="H707" s="187"/>
      <c r="I707" s="187"/>
      <c r="J707" s="187"/>
      <c r="K707" s="189"/>
    </row>
    <row r="708" spans="2:11" ht="16" thickBot="1" x14ac:dyDescent="0.25">
      <c r="B708" s="191"/>
      <c r="C708" s="192"/>
      <c r="D708" s="192"/>
      <c r="E708" s="192"/>
      <c r="F708" s="192"/>
      <c r="G708" s="192"/>
      <c r="H708" s="192"/>
      <c r="I708" s="192"/>
      <c r="J708" s="192"/>
      <c r="K708" s="193"/>
    </row>
    <row r="709" spans="2:11" ht="16" thickBot="1" x14ac:dyDescent="0.25"/>
    <row r="710" spans="2:11" x14ac:dyDescent="0.2">
      <c r="B710" s="53"/>
      <c r="C710" s="54"/>
      <c r="D710" s="54"/>
      <c r="E710" s="54"/>
      <c r="F710" s="54"/>
      <c r="G710" s="54"/>
      <c r="H710" s="54"/>
      <c r="I710" s="54"/>
      <c r="J710" s="54"/>
      <c r="K710" s="56"/>
    </row>
    <row r="711" spans="2:11" ht="21" x14ac:dyDescent="0.25">
      <c r="B711" s="57"/>
      <c r="C711" s="59"/>
      <c r="D711" s="59"/>
      <c r="E711" s="59"/>
      <c r="F711" s="59"/>
      <c r="G711" s="194" t="s">
        <v>232</v>
      </c>
      <c r="H711" s="59"/>
      <c r="I711" s="59"/>
      <c r="J711" s="59"/>
      <c r="K711" s="61"/>
    </row>
    <row r="712" spans="2:11" x14ac:dyDescent="0.2">
      <c r="B712" s="57"/>
      <c r="C712" s="59"/>
      <c r="D712" s="59"/>
      <c r="E712" s="59"/>
      <c r="F712" s="59"/>
      <c r="G712" s="59"/>
      <c r="H712" s="59"/>
      <c r="I712" s="59"/>
      <c r="J712" s="59"/>
      <c r="K712" s="61"/>
    </row>
    <row r="713" spans="2:11" ht="16" x14ac:dyDescent="0.2">
      <c r="B713" s="57"/>
      <c r="C713" s="195" t="s">
        <v>363</v>
      </c>
      <c r="D713" s="59"/>
      <c r="E713" s="59"/>
      <c r="F713" s="59"/>
      <c r="G713" s="59"/>
      <c r="H713" s="59"/>
      <c r="I713" s="59"/>
      <c r="J713" s="59"/>
      <c r="K713" s="61"/>
    </row>
    <row r="714" spans="2:11" ht="15" customHeight="1" x14ac:dyDescent="0.2">
      <c r="B714" s="57"/>
      <c r="C714" s="411" t="s">
        <v>364</v>
      </c>
      <c r="D714" s="411"/>
      <c r="E714" s="411"/>
      <c r="F714" s="411"/>
      <c r="G714" s="411"/>
      <c r="H714" s="411"/>
      <c r="I714" s="411"/>
      <c r="J714" s="411"/>
      <c r="K714" s="61"/>
    </row>
    <row r="715" spans="2:11" x14ac:dyDescent="0.2">
      <c r="B715" s="57"/>
      <c r="C715" s="411"/>
      <c r="D715" s="411"/>
      <c r="E715" s="411"/>
      <c r="F715" s="411"/>
      <c r="G715" s="411"/>
      <c r="H715" s="411"/>
      <c r="I715" s="411"/>
      <c r="J715" s="411"/>
      <c r="K715" s="61"/>
    </row>
    <row r="716" spans="2:11" x14ac:dyDescent="0.2">
      <c r="B716" s="57"/>
      <c r="C716" s="411"/>
      <c r="D716" s="411"/>
      <c r="E716" s="411"/>
      <c r="F716" s="411"/>
      <c r="G716" s="411"/>
      <c r="H716" s="411"/>
      <c r="I716" s="411"/>
      <c r="J716" s="411"/>
      <c r="K716" s="61"/>
    </row>
    <row r="717" spans="2:11" x14ac:dyDescent="0.2">
      <c r="B717" s="57"/>
      <c r="C717" s="196" t="s">
        <v>30</v>
      </c>
      <c r="D717" s="59"/>
      <c r="E717" s="59"/>
      <c r="F717" s="59"/>
      <c r="G717" s="431" t="s">
        <v>190</v>
      </c>
      <c r="H717" s="431"/>
      <c r="I717" s="59"/>
      <c r="J717" s="260">
        <f>IF(G717=$B$994,$A$994,IF(G717=$B$995,$A$995,"Not Calculated"))</f>
        <v>1</v>
      </c>
      <c r="K717" s="61"/>
    </row>
    <row r="718" spans="2:11" x14ac:dyDescent="0.2">
      <c r="B718" s="57"/>
      <c r="C718" s="196" t="s">
        <v>32</v>
      </c>
      <c r="D718" s="59"/>
      <c r="E718" s="59"/>
      <c r="F718" s="59"/>
      <c r="G718" s="431" t="s">
        <v>190</v>
      </c>
      <c r="H718" s="431"/>
      <c r="I718" s="59"/>
      <c r="J718" s="260">
        <f t="shared" ref="J718:J725" si="0">IF(G718=$B$994,$A$994,IF(G718=$B$995,$A$995,"Not Calculated"))</f>
        <v>1</v>
      </c>
      <c r="K718" s="61"/>
    </row>
    <row r="719" spans="2:11" x14ac:dyDescent="0.2">
      <c r="B719" s="57"/>
      <c r="C719" s="196" t="s">
        <v>34</v>
      </c>
      <c r="D719" s="59"/>
      <c r="E719" s="59"/>
      <c r="F719" s="59"/>
      <c r="G719" s="431" t="s">
        <v>202</v>
      </c>
      <c r="H719" s="431"/>
      <c r="I719" s="59"/>
      <c r="J719" s="260">
        <f t="shared" si="0"/>
        <v>0</v>
      </c>
      <c r="K719" s="61"/>
    </row>
    <row r="720" spans="2:11" x14ac:dyDescent="0.2">
      <c r="B720" s="57"/>
      <c r="C720" s="196" t="s">
        <v>35</v>
      </c>
      <c r="D720" s="59"/>
      <c r="E720" s="59"/>
      <c r="F720" s="59"/>
      <c r="G720" s="431" t="s">
        <v>190</v>
      </c>
      <c r="H720" s="431"/>
      <c r="I720" s="59"/>
      <c r="J720" s="260">
        <f t="shared" si="0"/>
        <v>1</v>
      </c>
      <c r="K720" s="61"/>
    </row>
    <row r="721" spans="2:11" x14ac:dyDescent="0.2">
      <c r="B721" s="57"/>
      <c r="C721" s="196" t="s">
        <v>37</v>
      </c>
      <c r="D721" s="59"/>
      <c r="E721" s="59"/>
      <c r="F721" s="59"/>
      <c r="G721" s="431" t="s">
        <v>190</v>
      </c>
      <c r="H721" s="431"/>
      <c r="I721" s="59"/>
      <c r="J721" s="260">
        <f t="shared" si="0"/>
        <v>1</v>
      </c>
      <c r="K721" s="61"/>
    </row>
    <row r="722" spans="2:11" x14ac:dyDescent="0.2">
      <c r="B722" s="57"/>
      <c r="C722" s="196" t="s">
        <v>38</v>
      </c>
      <c r="D722" s="59"/>
      <c r="E722" s="59"/>
      <c r="F722" s="59"/>
      <c r="G722" s="431" t="s">
        <v>190</v>
      </c>
      <c r="H722" s="431"/>
      <c r="I722" s="59"/>
      <c r="J722" s="260">
        <f t="shared" si="0"/>
        <v>1</v>
      </c>
      <c r="K722" s="61"/>
    </row>
    <row r="723" spans="2:11" x14ac:dyDescent="0.2">
      <c r="B723" s="57"/>
      <c r="C723" s="196" t="s">
        <v>40</v>
      </c>
      <c r="D723" s="59"/>
      <c r="E723" s="59"/>
      <c r="F723" s="59"/>
      <c r="G723" s="431" t="s">
        <v>190</v>
      </c>
      <c r="H723" s="431"/>
      <c r="I723" s="59"/>
      <c r="J723" s="260">
        <f t="shared" si="0"/>
        <v>1</v>
      </c>
      <c r="K723" s="61"/>
    </row>
    <row r="724" spans="2:11" x14ac:dyDescent="0.2">
      <c r="B724" s="57"/>
      <c r="C724" s="196" t="s">
        <v>41</v>
      </c>
      <c r="D724" s="59"/>
      <c r="E724" s="59"/>
      <c r="F724" s="59"/>
      <c r="G724" s="431" t="s">
        <v>190</v>
      </c>
      <c r="H724" s="431"/>
      <c r="I724" s="59"/>
      <c r="J724" s="260">
        <f t="shared" si="0"/>
        <v>1</v>
      </c>
      <c r="K724" s="61"/>
    </row>
    <row r="725" spans="2:11" x14ac:dyDescent="0.2">
      <c r="B725" s="57"/>
      <c r="C725" s="196" t="s">
        <v>43</v>
      </c>
      <c r="D725" s="59"/>
      <c r="E725" s="59"/>
      <c r="F725" s="59"/>
      <c r="G725" s="431" t="s">
        <v>190</v>
      </c>
      <c r="H725" s="431"/>
      <c r="I725" s="59"/>
      <c r="J725" s="260">
        <f t="shared" si="0"/>
        <v>1</v>
      </c>
      <c r="K725" s="61"/>
    </row>
    <row r="726" spans="2:11" x14ac:dyDescent="0.2">
      <c r="B726" s="57"/>
      <c r="C726" s="59"/>
      <c r="D726" s="59"/>
      <c r="E726" s="59"/>
      <c r="F726" s="59"/>
      <c r="G726" s="59"/>
      <c r="H726" s="59"/>
      <c r="I726" s="59"/>
      <c r="J726" s="59"/>
      <c r="K726" s="61"/>
    </row>
    <row r="727" spans="2:11" x14ac:dyDescent="0.2">
      <c r="B727" s="57"/>
      <c r="C727" s="59"/>
      <c r="D727" s="59"/>
      <c r="E727" s="59"/>
      <c r="F727" s="59"/>
      <c r="G727" s="59"/>
      <c r="H727" s="59"/>
      <c r="I727" s="59"/>
      <c r="J727" s="59"/>
      <c r="K727" s="61"/>
    </row>
    <row r="728" spans="2:11" ht="16" x14ac:dyDescent="0.2">
      <c r="B728" s="57"/>
      <c r="C728" s="195" t="s">
        <v>115</v>
      </c>
      <c r="D728" s="59"/>
      <c r="E728" s="59"/>
      <c r="F728" s="59"/>
      <c r="G728" s="59"/>
      <c r="H728" s="59"/>
      <c r="I728" s="59"/>
      <c r="J728" s="59"/>
      <c r="K728" s="61"/>
    </row>
    <row r="729" spans="2:11" ht="15" customHeight="1" x14ac:dyDescent="0.2">
      <c r="B729" s="57"/>
      <c r="C729" s="411" t="s">
        <v>365</v>
      </c>
      <c r="D729" s="411"/>
      <c r="E729" s="411"/>
      <c r="F729" s="411"/>
      <c r="G729" s="411"/>
      <c r="H729" s="411"/>
      <c r="I729" s="411"/>
      <c r="J729" s="411"/>
      <c r="K729" s="61"/>
    </row>
    <row r="730" spans="2:11" x14ac:dyDescent="0.2">
      <c r="B730" s="57"/>
      <c r="C730" s="411"/>
      <c r="D730" s="411"/>
      <c r="E730" s="411"/>
      <c r="F730" s="411"/>
      <c r="G730" s="411"/>
      <c r="H730" s="411"/>
      <c r="I730" s="411"/>
      <c r="J730" s="411"/>
      <c r="K730" s="61"/>
    </row>
    <row r="731" spans="2:11" x14ac:dyDescent="0.2">
      <c r="B731" s="57"/>
      <c r="C731" s="411"/>
      <c r="D731" s="411"/>
      <c r="E731" s="411"/>
      <c r="F731" s="411"/>
      <c r="G731" s="411"/>
      <c r="H731" s="411"/>
      <c r="I731" s="411"/>
      <c r="J731" s="411"/>
      <c r="K731" s="61"/>
    </row>
    <row r="732" spans="2:11" x14ac:dyDescent="0.2">
      <c r="B732" s="57"/>
      <c r="C732" s="196" t="s">
        <v>30</v>
      </c>
      <c r="D732" s="59"/>
      <c r="E732" s="59"/>
      <c r="F732" s="59"/>
      <c r="G732" s="431" t="s">
        <v>202</v>
      </c>
      <c r="H732" s="431"/>
      <c r="I732" s="59"/>
      <c r="J732" s="260">
        <f>IF(G732=$B$994,$A$994,IF(G732=$B$995,$A$995,"Not Calculated"))</f>
        <v>0</v>
      </c>
      <c r="K732" s="61"/>
    </row>
    <row r="733" spans="2:11" x14ac:dyDescent="0.2">
      <c r="B733" s="57"/>
      <c r="C733" s="196" t="s">
        <v>32</v>
      </c>
      <c r="D733" s="59"/>
      <c r="E733" s="59"/>
      <c r="F733" s="59"/>
      <c r="G733" s="431" t="s">
        <v>202</v>
      </c>
      <c r="H733" s="431"/>
      <c r="I733" s="59"/>
      <c r="J733" s="260">
        <f t="shared" ref="J733:J740" si="1">IF(G733=$B$994,$A$994,IF(G733=$B$995,$A$995,"Not Calculated"))</f>
        <v>0</v>
      </c>
      <c r="K733" s="61"/>
    </row>
    <row r="734" spans="2:11" ht="15" customHeight="1" x14ac:dyDescent="0.2">
      <c r="B734" s="57"/>
      <c r="C734" s="196" t="s">
        <v>34</v>
      </c>
      <c r="D734" s="59"/>
      <c r="E734" s="59"/>
      <c r="F734" s="59"/>
      <c r="G734" s="431" t="s">
        <v>202</v>
      </c>
      <c r="H734" s="431"/>
      <c r="I734" s="59"/>
      <c r="J734" s="260">
        <f t="shared" si="1"/>
        <v>0</v>
      </c>
      <c r="K734" s="61"/>
    </row>
    <row r="735" spans="2:11" x14ac:dyDescent="0.2">
      <c r="B735" s="57"/>
      <c r="C735" s="196" t="s">
        <v>35</v>
      </c>
      <c r="D735" s="59"/>
      <c r="E735" s="59"/>
      <c r="F735" s="59"/>
      <c r="G735" s="431" t="s">
        <v>202</v>
      </c>
      <c r="H735" s="431"/>
      <c r="I735" s="59"/>
      <c r="J735" s="260">
        <f t="shared" si="1"/>
        <v>0</v>
      </c>
      <c r="K735" s="61"/>
    </row>
    <row r="736" spans="2:11" x14ac:dyDescent="0.2">
      <c r="B736" s="57"/>
      <c r="C736" s="196" t="s">
        <v>37</v>
      </c>
      <c r="D736" s="59"/>
      <c r="E736" s="59"/>
      <c r="F736" s="59"/>
      <c r="G736" s="431" t="s">
        <v>202</v>
      </c>
      <c r="H736" s="431"/>
      <c r="I736" s="59"/>
      <c r="J736" s="260">
        <f t="shared" si="1"/>
        <v>0</v>
      </c>
      <c r="K736" s="61"/>
    </row>
    <row r="737" spans="2:11" x14ac:dyDescent="0.2">
      <c r="B737" s="57"/>
      <c r="C737" s="196" t="s">
        <v>38</v>
      </c>
      <c r="D737" s="59"/>
      <c r="E737" s="59"/>
      <c r="F737" s="59"/>
      <c r="G737" s="431" t="s">
        <v>202</v>
      </c>
      <c r="H737" s="431"/>
      <c r="I737" s="59"/>
      <c r="J737" s="260">
        <f t="shared" si="1"/>
        <v>0</v>
      </c>
      <c r="K737" s="61"/>
    </row>
    <row r="738" spans="2:11" x14ac:dyDescent="0.2">
      <c r="B738" s="57"/>
      <c r="C738" s="196" t="s">
        <v>40</v>
      </c>
      <c r="D738" s="59"/>
      <c r="E738" s="59"/>
      <c r="F738" s="59"/>
      <c r="G738" s="431" t="s">
        <v>202</v>
      </c>
      <c r="H738" s="431"/>
      <c r="I738" s="59"/>
      <c r="J738" s="260">
        <f t="shared" si="1"/>
        <v>0</v>
      </c>
      <c r="K738" s="61"/>
    </row>
    <row r="739" spans="2:11" x14ac:dyDescent="0.2">
      <c r="B739" s="57"/>
      <c r="C739" s="196" t="s">
        <v>41</v>
      </c>
      <c r="D739" s="59"/>
      <c r="E739" s="59"/>
      <c r="F739" s="59"/>
      <c r="G739" s="431" t="s">
        <v>202</v>
      </c>
      <c r="H739" s="431"/>
      <c r="I739" s="59"/>
      <c r="J739" s="260">
        <f t="shared" si="1"/>
        <v>0</v>
      </c>
      <c r="K739" s="61"/>
    </row>
    <row r="740" spans="2:11" x14ac:dyDescent="0.2">
      <c r="B740" s="57"/>
      <c r="C740" s="196" t="s">
        <v>43</v>
      </c>
      <c r="D740" s="59"/>
      <c r="E740" s="59"/>
      <c r="F740" s="59"/>
      <c r="G740" s="431" t="s">
        <v>202</v>
      </c>
      <c r="H740" s="431"/>
      <c r="I740" s="59"/>
      <c r="J740" s="260">
        <f t="shared" si="1"/>
        <v>0</v>
      </c>
      <c r="K740" s="61"/>
    </row>
    <row r="741" spans="2:11" x14ac:dyDescent="0.2">
      <c r="B741" s="57"/>
      <c r="C741" s="59"/>
      <c r="D741" s="59"/>
      <c r="E741" s="59"/>
      <c r="F741" s="59"/>
      <c r="G741" s="59"/>
      <c r="H741" s="59"/>
      <c r="I741" s="59"/>
      <c r="J741" s="59"/>
      <c r="K741" s="61"/>
    </row>
    <row r="742" spans="2:11" x14ac:dyDescent="0.2">
      <c r="B742" s="57"/>
      <c r="C742" s="59"/>
      <c r="D742" s="59"/>
      <c r="E742" s="59"/>
      <c r="F742" s="59"/>
      <c r="G742" s="59"/>
      <c r="H742" s="59"/>
      <c r="I742" s="59"/>
      <c r="J742" s="59"/>
      <c r="K742" s="61"/>
    </row>
    <row r="743" spans="2:11" ht="16" x14ac:dyDescent="0.2">
      <c r="B743" s="57"/>
      <c r="C743" s="195" t="s">
        <v>366</v>
      </c>
      <c r="D743" s="59"/>
      <c r="E743" s="59"/>
      <c r="F743" s="59"/>
      <c r="G743" s="59"/>
      <c r="H743" s="59"/>
      <c r="I743" s="59"/>
      <c r="J743" s="59"/>
      <c r="K743" s="61"/>
    </row>
    <row r="744" spans="2:11" ht="15" customHeight="1" x14ac:dyDescent="0.2">
      <c r="B744" s="57"/>
      <c r="C744" s="411" t="s">
        <v>367</v>
      </c>
      <c r="D744" s="411"/>
      <c r="E744" s="411"/>
      <c r="F744" s="411"/>
      <c r="G744" s="411"/>
      <c r="H744" s="411"/>
      <c r="I744" s="411"/>
      <c r="J744" s="411"/>
      <c r="K744" s="61"/>
    </row>
    <row r="745" spans="2:11" x14ac:dyDescent="0.2">
      <c r="B745" s="57"/>
      <c r="C745" s="411"/>
      <c r="D745" s="411"/>
      <c r="E745" s="411"/>
      <c r="F745" s="411"/>
      <c r="G745" s="411"/>
      <c r="H745" s="411"/>
      <c r="I745" s="411"/>
      <c r="J745" s="411"/>
      <c r="K745" s="61"/>
    </row>
    <row r="746" spans="2:11" x14ac:dyDescent="0.2">
      <c r="B746" s="57"/>
      <c r="C746" s="411"/>
      <c r="D746" s="411"/>
      <c r="E746" s="411"/>
      <c r="F746" s="411"/>
      <c r="G746" s="411"/>
      <c r="H746" s="411"/>
      <c r="I746" s="411"/>
      <c r="J746" s="411"/>
      <c r="K746" s="61"/>
    </row>
    <row r="747" spans="2:11" x14ac:dyDescent="0.2">
      <c r="B747" s="57"/>
      <c r="C747" s="196" t="s">
        <v>30</v>
      </c>
      <c r="D747" s="59"/>
      <c r="E747" s="59"/>
      <c r="F747" s="59"/>
      <c r="G747" s="431" t="s">
        <v>202</v>
      </c>
      <c r="H747" s="431"/>
      <c r="I747" s="59"/>
      <c r="J747" s="260">
        <f>IF(G747=$B$994,$A$994,IF(G747=$B$995,$A$995,"Not Calculated"))</f>
        <v>0</v>
      </c>
      <c r="K747" s="61"/>
    </row>
    <row r="748" spans="2:11" x14ac:dyDescent="0.2">
      <c r="B748" s="57"/>
      <c r="C748" s="196" t="s">
        <v>32</v>
      </c>
      <c r="D748" s="59"/>
      <c r="E748" s="59"/>
      <c r="F748" s="59"/>
      <c r="G748" s="431" t="s">
        <v>202</v>
      </c>
      <c r="H748" s="431"/>
      <c r="I748" s="59"/>
      <c r="J748" s="260">
        <f t="shared" ref="J748:J755" si="2">IF(G748=$B$994,$A$994,IF(G748=$B$995,$A$995,"Not Calculated"))</f>
        <v>0</v>
      </c>
      <c r="K748" s="61"/>
    </row>
    <row r="749" spans="2:11" ht="15" customHeight="1" x14ac:dyDescent="0.2">
      <c r="B749" s="57"/>
      <c r="C749" s="196" t="s">
        <v>34</v>
      </c>
      <c r="D749" s="59"/>
      <c r="E749" s="59"/>
      <c r="F749" s="59"/>
      <c r="G749" s="431" t="s">
        <v>202</v>
      </c>
      <c r="H749" s="431"/>
      <c r="I749" s="59"/>
      <c r="J749" s="260">
        <f t="shared" si="2"/>
        <v>0</v>
      </c>
      <c r="K749" s="61"/>
    </row>
    <row r="750" spans="2:11" x14ac:dyDescent="0.2">
      <c r="B750" s="57"/>
      <c r="C750" s="196" t="s">
        <v>35</v>
      </c>
      <c r="D750" s="59"/>
      <c r="E750" s="59"/>
      <c r="F750" s="59"/>
      <c r="G750" s="431" t="s">
        <v>202</v>
      </c>
      <c r="H750" s="431"/>
      <c r="I750" s="59"/>
      <c r="J750" s="260">
        <f t="shared" si="2"/>
        <v>0</v>
      </c>
      <c r="K750" s="61"/>
    </row>
    <row r="751" spans="2:11" x14ac:dyDescent="0.2">
      <c r="B751" s="57"/>
      <c r="C751" s="196" t="s">
        <v>37</v>
      </c>
      <c r="D751" s="59"/>
      <c r="E751" s="59"/>
      <c r="F751" s="59"/>
      <c r="G751" s="431" t="s">
        <v>202</v>
      </c>
      <c r="H751" s="431"/>
      <c r="I751" s="59"/>
      <c r="J751" s="260">
        <f t="shared" si="2"/>
        <v>0</v>
      </c>
      <c r="K751" s="61"/>
    </row>
    <row r="752" spans="2:11" x14ac:dyDescent="0.2">
      <c r="B752" s="57"/>
      <c r="C752" s="196" t="s">
        <v>38</v>
      </c>
      <c r="D752" s="59"/>
      <c r="E752" s="59"/>
      <c r="F752" s="59"/>
      <c r="G752" s="431" t="s">
        <v>202</v>
      </c>
      <c r="H752" s="431"/>
      <c r="I752" s="59"/>
      <c r="J752" s="260">
        <f t="shared" si="2"/>
        <v>0</v>
      </c>
      <c r="K752" s="61"/>
    </row>
    <row r="753" spans="2:11" x14ac:dyDescent="0.2">
      <c r="B753" s="57"/>
      <c r="C753" s="196" t="s">
        <v>40</v>
      </c>
      <c r="D753" s="59"/>
      <c r="E753" s="59"/>
      <c r="F753" s="59"/>
      <c r="G753" s="431" t="s">
        <v>202</v>
      </c>
      <c r="H753" s="431"/>
      <c r="I753" s="59"/>
      <c r="J753" s="260">
        <f t="shared" si="2"/>
        <v>0</v>
      </c>
      <c r="K753" s="61"/>
    </row>
    <row r="754" spans="2:11" x14ac:dyDescent="0.2">
      <c r="B754" s="57"/>
      <c r="C754" s="196" t="s">
        <v>41</v>
      </c>
      <c r="D754" s="59"/>
      <c r="E754" s="59"/>
      <c r="F754" s="59"/>
      <c r="G754" s="431" t="s">
        <v>202</v>
      </c>
      <c r="H754" s="431"/>
      <c r="I754" s="59"/>
      <c r="J754" s="260">
        <f t="shared" si="2"/>
        <v>0</v>
      </c>
      <c r="K754" s="61"/>
    </row>
    <row r="755" spans="2:11" x14ac:dyDescent="0.2">
      <c r="B755" s="57"/>
      <c r="C755" s="196" t="s">
        <v>43</v>
      </c>
      <c r="D755" s="59"/>
      <c r="E755" s="59"/>
      <c r="F755" s="59"/>
      <c r="G755" s="431" t="s">
        <v>202</v>
      </c>
      <c r="H755" s="431"/>
      <c r="I755" s="59"/>
      <c r="J755" s="260">
        <f t="shared" si="2"/>
        <v>0</v>
      </c>
      <c r="K755" s="61"/>
    </row>
    <row r="756" spans="2:11" x14ac:dyDescent="0.2">
      <c r="B756" s="57"/>
      <c r="C756" s="59"/>
      <c r="D756" s="59"/>
      <c r="E756" s="59"/>
      <c r="F756" s="59"/>
      <c r="G756" s="59"/>
      <c r="H756" s="59"/>
      <c r="I756" s="59"/>
      <c r="J756" s="59"/>
      <c r="K756" s="61"/>
    </row>
    <row r="757" spans="2:11" x14ac:dyDescent="0.2">
      <c r="B757" s="57"/>
      <c r="C757" s="59"/>
      <c r="D757" s="59"/>
      <c r="E757" s="59"/>
      <c r="F757" s="59"/>
      <c r="G757" s="59"/>
      <c r="H757" s="59"/>
      <c r="I757" s="59"/>
      <c r="J757" s="59"/>
      <c r="K757" s="61"/>
    </row>
    <row r="758" spans="2:11" ht="16" x14ac:dyDescent="0.2">
      <c r="B758" s="57"/>
      <c r="C758" s="195" t="s">
        <v>368</v>
      </c>
      <c r="D758" s="59"/>
      <c r="E758" s="59"/>
      <c r="F758" s="59"/>
      <c r="G758" s="59"/>
      <c r="H758" s="59"/>
      <c r="I758" s="59"/>
      <c r="J758" s="59"/>
      <c r="K758" s="61"/>
    </row>
    <row r="759" spans="2:11" ht="15" customHeight="1" x14ac:dyDescent="0.2">
      <c r="B759" s="57"/>
      <c r="C759" s="411" t="s">
        <v>369</v>
      </c>
      <c r="D759" s="411"/>
      <c r="E759" s="411"/>
      <c r="F759" s="411"/>
      <c r="G759" s="411"/>
      <c r="H759" s="411"/>
      <c r="I759" s="411"/>
      <c r="J759" s="411"/>
      <c r="K759" s="61"/>
    </row>
    <row r="760" spans="2:11" x14ac:dyDescent="0.2">
      <c r="B760" s="57"/>
      <c r="C760" s="411"/>
      <c r="D760" s="411"/>
      <c r="E760" s="411"/>
      <c r="F760" s="411"/>
      <c r="G760" s="411"/>
      <c r="H760" s="411"/>
      <c r="I760" s="411"/>
      <c r="J760" s="411"/>
      <c r="K760" s="61"/>
    </row>
    <row r="761" spans="2:11" x14ac:dyDescent="0.2">
      <c r="B761" s="57"/>
      <c r="C761" s="411"/>
      <c r="D761" s="411"/>
      <c r="E761" s="411"/>
      <c r="F761" s="411"/>
      <c r="G761" s="411"/>
      <c r="H761" s="411"/>
      <c r="I761" s="411"/>
      <c r="J761" s="411"/>
      <c r="K761" s="61"/>
    </row>
    <row r="762" spans="2:11" x14ac:dyDescent="0.2">
      <c r="B762" s="57"/>
      <c r="C762" s="196" t="s">
        <v>30</v>
      </c>
      <c r="D762" s="59"/>
      <c r="E762" s="59"/>
      <c r="F762" s="59"/>
      <c r="G762" s="431" t="s">
        <v>190</v>
      </c>
      <c r="H762" s="431"/>
      <c r="I762" s="59"/>
      <c r="J762" s="260">
        <f>IF(G762=$B$994,$A$994,IF(G762=$B$995,$A$995,"Not Calculated"))</f>
        <v>1</v>
      </c>
      <c r="K762" s="61"/>
    </row>
    <row r="763" spans="2:11" x14ac:dyDescent="0.2">
      <c r="B763" s="57"/>
      <c r="C763" s="196" t="s">
        <v>32</v>
      </c>
      <c r="D763" s="59"/>
      <c r="E763" s="59"/>
      <c r="F763" s="59"/>
      <c r="G763" s="431" t="s">
        <v>190</v>
      </c>
      <c r="H763" s="431"/>
      <c r="I763" s="59"/>
      <c r="J763" s="260">
        <f t="shared" ref="J763:J770" si="3">IF(G763=$B$994,$A$994,IF(G763=$B$995,$A$995,"Not Calculated"))</f>
        <v>1</v>
      </c>
      <c r="K763" s="61"/>
    </row>
    <row r="764" spans="2:11" ht="15" customHeight="1" x14ac:dyDescent="0.2">
      <c r="B764" s="57"/>
      <c r="C764" s="196" t="s">
        <v>34</v>
      </c>
      <c r="D764" s="59"/>
      <c r="E764" s="59"/>
      <c r="F764" s="59"/>
      <c r="G764" s="431" t="s">
        <v>190</v>
      </c>
      <c r="H764" s="431"/>
      <c r="I764" s="59"/>
      <c r="J764" s="260">
        <f t="shared" si="3"/>
        <v>1</v>
      </c>
      <c r="K764" s="61"/>
    </row>
    <row r="765" spans="2:11" x14ac:dyDescent="0.2">
      <c r="B765" s="57"/>
      <c r="C765" s="196" t="s">
        <v>35</v>
      </c>
      <c r="D765" s="59"/>
      <c r="E765" s="59"/>
      <c r="F765" s="59"/>
      <c r="G765" s="431" t="s">
        <v>190</v>
      </c>
      <c r="H765" s="431"/>
      <c r="I765" s="59"/>
      <c r="J765" s="260">
        <f t="shared" si="3"/>
        <v>1</v>
      </c>
      <c r="K765" s="61"/>
    </row>
    <row r="766" spans="2:11" x14ac:dyDescent="0.2">
      <c r="B766" s="57"/>
      <c r="C766" s="196" t="s">
        <v>37</v>
      </c>
      <c r="D766" s="59"/>
      <c r="E766" s="59"/>
      <c r="F766" s="59"/>
      <c r="G766" s="431" t="s">
        <v>190</v>
      </c>
      <c r="H766" s="431"/>
      <c r="I766" s="59"/>
      <c r="J766" s="260">
        <f t="shared" si="3"/>
        <v>1</v>
      </c>
      <c r="K766" s="61"/>
    </row>
    <row r="767" spans="2:11" x14ac:dyDescent="0.2">
      <c r="B767" s="57"/>
      <c r="C767" s="196" t="s">
        <v>38</v>
      </c>
      <c r="D767" s="59"/>
      <c r="E767" s="59"/>
      <c r="F767" s="59"/>
      <c r="G767" s="431" t="s">
        <v>190</v>
      </c>
      <c r="H767" s="431"/>
      <c r="I767" s="59"/>
      <c r="J767" s="260">
        <f t="shared" si="3"/>
        <v>1</v>
      </c>
      <c r="K767" s="61"/>
    </row>
    <row r="768" spans="2:11" x14ac:dyDescent="0.2">
      <c r="B768" s="57"/>
      <c r="C768" s="196" t="s">
        <v>40</v>
      </c>
      <c r="D768" s="59"/>
      <c r="E768" s="59"/>
      <c r="F768" s="59"/>
      <c r="G768" s="431" t="s">
        <v>190</v>
      </c>
      <c r="H768" s="431"/>
      <c r="I768" s="59"/>
      <c r="J768" s="260">
        <f t="shared" si="3"/>
        <v>1</v>
      </c>
      <c r="K768" s="61"/>
    </row>
    <row r="769" spans="2:11" x14ac:dyDescent="0.2">
      <c r="B769" s="57"/>
      <c r="C769" s="196" t="s">
        <v>41</v>
      </c>
      <c r="D769" s="59"/>
      <c r="E769" s="59"/>
      <c r="F769" s="59"/>
      <c r="G769" s="431" t="s">
        <v>190</v>
      </c>
      <c r="H769" s="431"/>
      <c r="I769" s="59"/>
      <c r="J769" s="260">
        <f t="shared" si="3"/>
        <v>1</v>
      </c>
      <c r="K769" s="61"/>
    </row>
    <row r="770" spans="2:11" x14ac:dyDescent="0.2">
      <c r="B770" s="57"/>
      <c r="C770" s="196" t="s">
        <v>43</v>
      </c>
      <c r="D770" s="59"/>
      <c r="E770" s="59"/>
      <c r="F770" s="59"/>
      <c r="G770" s="431" t="s">
        <v>190</v>
      </c>
      <c r="H770" s="431"/>
      <c r="I770" s="59"/>
      <c r="J770" s="260">
        <f t="shared" si="3"/>
        <v>1</v>
      </c>
      <c r="K770" s="61"/>
    </row>
    <row r="771" spans="2:11" x14ac:dyDescent="0.2">
      <c r="B771" s="57"/>
      <c r="C771" s="59"/>
      <c r="D771" s="59"/>
      <c r="E771" s="59"/>
      <c r="F771" s="59"/>
      <c r="G771" s="59"/>
      <c r="H771" s="59"/>
      <c r="I771" s="59"/>
      <c r="J771" s="59"/>
      <c r="K771" s="61"/>
    </row>
    <row r="772" spans="2:11" x14ac:dyDescent="0.2">
      <c r="B772" s="57"/>
      <c r="C772" s="59"/>
      <c r="D772" s="59"/>
      <c r="E772" s="59"/>
      <c r="F772" s="59"/>
      <c r="G772" s="59"/>
      <c r="H772" s="59"/>
      <c r="I772" s="59"/>
      <c r="J772" s="59"/>
      <c r="K772" s="61"/>
    </row>
    <row r="773" spans="2:11" ht="16" x14ac:dyDescent="0.2">
      <c r="B773" s="57"/>
      <c r="C773" s="197" t="s">
        <v>30</v>
      </c>
      <c r="D773" s="59"/>
      <c r="E773" s="59"/>
      <c r="F773" s="59"/>
      <c r="G773" s="59"/>
      <c r="H773" s="59"/>
      <c r="I773" s="59"/>
      <c r="J773" s="59"/>
      <c r="K773" s="61"/>
    </row>
    <row r="774" spans="2:11" x14ac:dyDescent="0.2">
      <c r="B774" s="57"/>
      <c r="C774" s="59"/>
      <c r="D774" s="59" t="s">
        <v>370</v>
      </c>
      <c r="E774" s="59"/>
      <c r="F774" s="59"/>
      <c r="G774" s="59"/>
      <c r="H774" s="59"/>
      <c r="I774" s="59"/>
      <c r="J774" s="60">
        <f>'Baseline At-Risk Pops'!H8</f>
        <v>0</v>
      </c>
      <c r="K774" s="61"/>
    </row>
    <row r="775" spans="2:11" x14ac:dyDescent="0.2">
      <c r="B775" s="57"/>
      <c r="C775" s="59"/>
      <c r="D775" s="59" t="s">
        <v>371</v>
      </c>
      <c r="E775" s="59"/>
      <c r="F775" s="59"/>
      <c r="G775" s="59"/>
      <c r="H775" s="59"/>
      <c r="I775" s="59"/>
      <c r="J775" s="60">
        <f>SUM(J717,J732,J747,J762)</f>
        <v>2</v>
      </c>
      <c r="K775" s="61"/>
    </row>
    <row r="776" spans="2:11" x14ac:dyDescent="0.2">
      <c r="B776" s="57"/>
      <c r="C776" s="59"/>
      <c r="D776" s="196" t="s">
        <v>372</v>
      </c>
      <c r="E776" s="59"/>
      <c r="F776" s="59"/>
      <c r="G776" s="59"/>
      <c r="H776" s="59"/>
      <c r="I776" s="59"/>
      <c r="J776" s="60">
        <f>AVERAGE(J774,J775)</f>
        <v>1</v>
      </c>
      <c r="K776" s="61"/>
    </row>
    <row r="777" spans="2:11" ht="16" x14ac:dyDescent="0.2">
      <c r="B777" s="57"/>
      <c r="C777" s="197" t="s">
        <v>32</v>
      </c>
      <c r="D777" s="59"/>
      <c r="E777" s="59"/>
      <c r="F777" s="59"/>
      <c r="G777" s="59"/>
      <c r="H777" s="59"/>
      <c r="I777" s="59"/>
      <c r="J777" s="60"/>
      <c r="K777" s="61"/>
    </row>
    <row r="778" spans="2:11" x14ac:dyDescent="0.2">
      <c r="B778" s="57"/>
      <c r="C778" s="59"/>
      <c r="D778" s="59" t="s">
        <v>370</v>
      </c>
      <c r="E778" s="59"/>
      <c r="F778" s="59"/>
      <c r="G778" s="59"/>
      <c r="H778" s="59"/>
      <c r="I778" s="59"/>
      <c r="J778" s="60">
        <f>'Baseline At-Risk Pops'!H14</f>
        <v>0</v>
      </c>
      <c r="K778" s="61"/>
    </row>
    <row r="779" spans="2:11" ht="15" customHeight="1" x14ac:dyDescent="0.2">
      <c r="B779" s="57"/>
      <c r="C779" s="59"/>
      <c r="D779" s="59" t="s">
        <v>371</v>
      </c>
      <c r="E779" s="59"/>
      <c r="F779" s="59"/>
      <c r="G779" s="59"/>
      <c r="H779" s="59"/>
      <c r="I779" s="59"/>
      <c r="J779" s="60">
        <f>SUM(J718,J733,J748,J763)</f>
        <v>2</v>
      </c>
      <c r="K779" s="61"/>
    </row>
    <row r="780" spans="2:11" x14ac:dyDescent="0.2">
      <c r="B780" s="57"/>
      <c r="C780" s="59"/>
      <c r="D780" s="196" t="s">
        <v>372</v>
      </c>
      <c r="E780" s="59"/>
      <c r="F780" s="59"/>
      <c r="G780" s="59"/>
      <c r="H780" s="59"/>
      <c r="I780" s="59"/>
      <c r="J780" s="60">
        <f>AVERAGE(J778,J779)</f>
        <v>1</v>
      </c>
      <c r="K780" s="61"/>
    </row>
    <row r="781" spans="2:11" ht="16" x14ac:dyDescent="0.2">
      <c r="B781" s="57"/>
      <c r="C781" s="197" t="s">
        <v>34</v>
      </c>
      <c r="D781" s="59"/>
      <c r="E781" s="59"/>
      <c r="F781" s="59"/>
      <c r="G781" s="59"/>
      <c r="H781" s="59"/>
      <c r="I781" s="59"/>
      <c r="J781" s="60"/>
      <c r="K781" s="61"/>
    </row>
    <row r="782" spans="2:11" ht="16" x14ac:dyDescent="0.2">
      <c r="B782" s="57"/>
      <c r="C782" s="197"/>
      <c r="D782" s="59" t="s">
        <v>370</v>
      </c>
      <c r="E782" s="59"/>
      <c r="F782" s="59"/>
      <c r="G782" s="59"/>
      <c r="H782" s="59"/>
      <c r="I782" s="59"/>
      <c r="J782" s="60">
        <f>'Baseline At-Risk Pops'!H21</f>
        <v>0</v>
      </c>
      <c r="K782" s="61"/>
    </row>
    <row r="783" spans="2:11" x14ac:dyDescent="0.2">
      <c r="B783" s="57"/>
      <c r="C783" s="59"/>
      <c r="D783" s="59" t="s">
        <v>371</v>
      </c>
      <c r="E783" s="59"/>
      <c r="F783" s="59"/>
      <c r="G783" s="59"/>
      <c r="H783" s="59"/>
      <c r="I783" s="59"/>
      <c r="J783" s="60">
        <f>SUM(J719,J734,J749,J764)</f>
        <v>1</v>
      </c>
      <c r="K783" s="61"/>
    </row>
    <row r="784" spans="2:11" x14ac:dyDescent="0.2">
      <c r="B784" s="57"/>
      <c r="C784" s="59"/>
      <c r="D784" s="196" t="s">
        <v>372</v>
      </c>
      <c r="E784" s="59"/>
      <c r="F784" s="59"/>
      <c r="G784" s="59"/>
      <c r="H784" s="59"/>
      <c r="I784" s="59"/>
      <c r="J784" s="60">
        <f>AVERAGE(J782,J783)</f>
        <v>0.5</v>
      </c>
      <c r="K784" s="61"/>
    </row>
    <row r="785" spans="2:11" ht="16" x14ac:dyDescent="0.2">
      <c r="B785" s="57"/>
      <c r="C785" s="197" t="s">
        <v>35</v>
      </c>
      <c r="D785" s="59"/>
      <c r="E785" s="59"/>
      <c r="F785" s="59"/>
      <c r="G785" s="59"/>
      <c r="H785" s="59"/>
      <c r="I785" s="59"/>
      <c r="J785" s="60"/>
      <c r="K785" s="61"/>
    </row>
    <row r="786" spans="2:11" x14ac:dyDescent="0.2">
      <c r="B786" s="57"/>
      <c r="C786" s="59"/>
      <c r="D786" s="59" t="s">
        <v>370</v>
      </c>
      <c r="E786" s="59"/>
      <c r="F786" s="59"/>
      <c r="G786" s="59"/>
      <c r="H786" s="59"/>
      <c r="I786" s="59"/>
      <c r="J786" s="60">
        <f>'Baseline At-Risk Pops'!H27</f>
        <v>0</v>
      </c>
      <c r="K786" s="61"/>
    </row>
    <row r="787" spans="2:11" x14ac:dyDescent="0.2">
      <c r="B787" s="57"/>
      <c r="C787" s="59"/>
      <c r="D787" s="59" t="s">
        <v>371</v>
      </c>
      <c r="E787" s="59"/>
      <c r="F787" s="59"/>
      <c r="G787" s="59"/>
      <c r="H787" s="59"/>
      <c r="I787" s="59"/>
      <c r="J787" s="60">
        <f>SUM(J720,J735,J750,J765)</f>
        <v>2</v>
      </c>
      <c r="K787" s="61"/>
    </row>
    <row r="788" spans="2:11" x14ac:dyDescent="0.2">
      <c r="B788" s="57"/>
      <c r="C788" s="59"/>
      <c r="D788" s="196" t="s">
        <v>372</v>
      </c>
      <c r="E788" s="59"/>
      <c r="F788" s="59"/>
      <c r="G788" s="59"/>
      <c r="H788" s="59"/>
      <c r="I788" s="59"/>
      <c r="J788" s="60">
        <f>AVERAGE(J786,J787)</f>
        <v>1</v>
      </c>
      <c r="K788" s="61"/>
    </row>
    <row r="789" spans="2:11" ht="16" x14ac:dyDescent="0.2">
      <c r="B789" s="57"/>
      <c r="C789" s="197" t="s">
        <v>37</v>
      </c>
      <c r="D789" s="59"/>
      <c r="E789" s="59"/>
      <c r="F789" s="59"/>
      <c r="G789" s="59"/>
      <c r="H789" s="59"/>
      <c r="I789" s="59"/>
      <c r="J789" s="60"/>
      <c r="K789" s="61"/>
    </row>
    <row r="790" spans="2:11" x14ac:dyDescent="0.2">
      <c r="B790" s="57"/>
      <c r="C790" s="59"/>
      <c r="D790" s="59" t="s">
        <v>370</v>
      </c>
      <c r="E790" s="59"/>
      <c r="F790" s="59"/>
      <c r="G790" s="59"/>
      <c r="H790" s="59"/>
      <c r="I790" s="59"/>
      <c r="J790" s="60">
        <f>'Baseline At-Risk Pops'!H34</f>
        <v>0</v>
      </c>
      <c r="K790" s="61"/>
    </row>
    <row r="791" spans="2:11" x14ac:dyDescent="0.2">
      <c r="B791" s="57"/>
      <c r="C791" s="59"/>
      <c r="D791" s="59" t="s">
        <v>371</v>
      </c>
      <c r="E791" s="59"/>
      <c r="F791" s="59"/>
      <c r="G791" s="59"/>
      <c r="H791" s="59"/>
      <c r="I791" s="59"/>
      <c r="J791" s="60">
        <f>SUM(J721,J736,J751,J766)</f>
        <v>2</v>
      </c>
      <c r="K791" s="61"/>
    </row>
    <row r="792" spans="2:11" x14ac:dyDescent="0.2">
      <c r="B792" s="57"/>
      <c r="C792" s="59"/>
      <c r="D792" s="196" t="s">
        <v>372</v>
      </c>
      <c r="E792" s="59"/>
      <c r="F792" s="59"/>
      <c r="G792" s="59"/>
      <c r="H792" s="59"/>
      <c r="I792" s="59"/>
      <c r="J792" s="60">
        <f>AVERAGE(J790,J791)</f>
        <v>1</v>
      </c>
      <c r="K792" s="61"/>
    </row>
    <row r="793" spans="2:11" ht="16" x14ac:dyDescent="0.2">
      <c r="B793" s="57"/>
      <c r="C793" s="197" t="s">
        <v>38</v>
      </c>
      <c r="D793" s="59"/>
      <c r="E793" s="59"/>
      <c r="F793" s="59"/>
      <c r="G793" s="59"/>
      <c r="H793" s="59"/>
      <c r="I793" s="59"/>
      <c r="J793" s="60"/>
      <c r="K793" s="61"/>
    </row>
    <row r="794" spans="2:11" x14ac:dyDescent="0.2">
      <c r="B794" s="57"/>
      <c r="C794" s="59"/>
      <c r="D794" s="59" t="s">
        <v>370</v>
      </c>
      <c r="E794" s="59"/>
      <c r="F794" s="59"/>
      <c r="G794" s="59"/>
      <c r="H794" s="59"/>
      <c r="I794" s="59"/>
      <c r="J794" s="60">
        <f>'Baseline At-Risk Pops'!H40</f>
        <v>0</v>
      </c>
      <c r="K794" s="61"/>
    </row>
    <row r="795" spans="2:11" x14ac:dyDescent="0.2">
      <c r="B795" s="57"/>
      <c r="C795" s="59"/>
      <c r="D795" s="59" t="s">
        <v>371</v>
      </c>
      <c r="E795" s="59"/>
      <c r="F795" s="59"/>
      <c r="G795" s="59"/>
      <c r="H795" s="59"/>
      <c r="I795" s="59"/>
      <c r="J795" s="60">
        <f>SUM(J722,J737,J752,J767)</f>
        <v>2</v>
      </c>
      <c r="K795" s="61"/>
    </row>
    <row r="796" spans="2:11" x14ac:dyDescent="0.2">
      <c r="B796" s="57"/>
      <c r="C796" s="59"/>
      <c r="D796" s="196" t="s">
        <v>372</v>
      </c>
      <c r="E796" s="59"/>
      <c r="F796" s="59"/>
      <c r="G796" s="59"/>
      <c r="H796" s="59"/>
      <c r="I796" s="59"/>
      <c r="J796" s="60">
        <f>AVERAGE(J794,J795)</f>
        <v>1</v>
      </c>
      <c r="K796" s="61"/>
    </row>
    <row r="797" spans="2:11" ht="16" x14ac:dyDescent="0.2">
      <c r="B797" s="57"/>
      <c r="C797" s="197" t="s">
        <v>40</v>
      </c>
      <c r="D797" s="59"/>
      <c r="E797" s="59"/>
      <c r="F797" s="59"/>
      <c r="G797" s="59"/>
      <c r="H797" s="59"/>
      <c r="I797" s="59"/>
      <c r="J797" s="60"/>
      <c r="K797" s="61"/>
    </row>
    <row r="798" spans="2:11" x14ac:dyDescent="0.2">
      <c r="B798" s="57"/>
      <c r="C798" s="59"/>
      <c r="D798" s="59" t="s">
        <v>370</v>
      </c>
      <c r="E798" s="59"/>
      <c r="F798" s="59"/>
      <c r="G798" s="59"/>
      <c r="H798" s="59"/>
      <c r="I798" s="59"/>
      <c r="J798" s="60">
        <f>'Baseline At-Risk Pops'!H46</f>
        <v>0</v>
      </c>
      <c r="K798" s="61"/>
    </row>
    <row r="799" spans="2:11" x14ac:dyDescent="0.2">
      <c r="B799" s="57"/>
      <c r="C799" s="59"/>
      <c r="D799" s="59" t="s">
        <v>371</v>
      </c>
      <c r="E799" s="59"/>
      <c r="F799" s="59"/>
      <c r="G799" s="59"/>
      <c r="H799" s="59"/>
      <c r="I799" s="59"/>
      <c r="J799" s="60">
        <f>SUM(J723,J738,J753,J768)</f>
        <v>2</v>
      </c>
      <c r="K799" s="61"/>
    </row>
    <row r="800" spans="2:11" x14ac:dyDescent="0.2">
      <c r="B800" s="57"/>
      <c r="C800" s="59"/>
      <c r="D800" s="196" t="s">
        <v>372</v>
      </c>
      <c r="E800" s="59"/>
      <c r="F800" s="59"/>
      <c r="G800" s="59"/>
      <c r="H800" s="59"/>
      <c r="I800" s="59"/>
      <c r="J800" s="60">
        <f>AVERAGE(J798,J799)</f>
        <v>1</v>
      </c>
      <c r="K800" s="61"/>
    </row>
    <row r="801" spans="2:11" ht="16" x14ac:dyDescent="0.2">
      <c r="B801" s="57"/>
      <c r="C801" s="197" t="s">
        <v>41</v>
      </c>
      <c r="D801" s="59"/>
      <c r="E801" s="59"/>
      <c r="F801" s="59"/>
      <c r="G801" s="59"/>
      <c r="H801" s="59"/>
      <c r="I801" s="59"/>
      <c r="J801" s="60"/>
      <c r="K801" s="61"/>
    </row>
    <row r="802" spans="2:11" ht="16" x14ac:dyDescent="0.2">
      <c r="B802" s="57"/>
      <c r="C802" s="197"/>
      <c r="D802" s="59" t="s">
        <v>370</v>
      </c>
      <c r="E802" s="59"/>
      <c r="F802" s="59"/>
      <c r="G802" s="59"/>
      <c r="H802" s="59"/>
      <c r="I802" s="59"/>
      <c r="J802" s="60">
        <f>'Baseline At-Risk Pops'!H52</f>
        <v>0</v>
      </c>
      <c r="K802" s="61"/>
    </row>
    <row r="803" spans="2:11" x14ac:dyDescent="0.2">
      <c r="B803" s="57"/>
      <c r="C803" s="59"/>
      <c r="D803" s="59" t="s">
        <v>371</v>
      </c>
      <c r="E803" s="59"/>
      <c r="F803" s="59"/>
      <c r="G803" s="59"/>
      <c r="H803" s="59"/>
      <c r="I803" s="59"/>
      <c r="J803" s="60">
        <f>SUM(J724,J739,J754,J769)</f>
        <v>2</v>
      </c>
      <c r="K803" s="61"/>
    </row>
    <row r="804" spans="2:11" x14ac:dyDescent="0.2">
      <c r="B804" s="57"/>
      <c r="C804" s="59"/>
      <c r="D804" s="196" t="s">
        <v>372</v>
      </c>
      <c r="E804" s="59"/>
      <c r="F804" s="59"/>
      <c r="G804" s="59"/>
      <c r="H804" s="59"/>
      <c r="I804" s="59"/>
      <c r="J804" s="60">
        <f>AVERAGE(J802,J803)</f>
        <v>1</v>
      </c>
      <c r="K804" s="61"/>
    </row>
    <row r="805" spans="2:11" ht="16" x14ac:dyDescent="0.2">
      <c r="B805" s="57"/>
      <c r="C805" s="197" t="s">
        <v>43</v>
      </c>
      <c r="D805" s="59"/>
      <c r="E805" s="59"/>
      <c r="F805" s="59"/>
      <c r="G805" s="59"/>
      <c r="H805" s="59"/>
      <c r="I805" s="59"/>
      <c r="J805" s="60"/>
      <c r="K805" s="61"/>
    </row>
    <row r="806" spans="2:11" x14ac:dyDescent="0.2">
      <c r="B806" s="57"/>
      <c r="C806" s="59"/>
      <c r="D806" s="59" t="s">
        <v>370</v>
      </c>
      <c r="E806" s="59"/>
      <c r="F806" s="59"/>
      <c r="G806" s="59"/>
      <c r="H806" s="59"/>
      <c r="I806" s="59"/>
      <c r="J806" s="60">
        <f>'Baseline At-Risk Pops'!H58</f>
        <v>0</v>
      </c>
      <c r="K806" s="61"/>
    </row>
    <row r="807" spans="2:11" x14ac:dyDescent="0.2">
      <c r="B807" s="57"/>
      <c r="C807" s="59"/>
      <c r="D807" s="59" t="s">
        <v>371</v>
      </c>
      <c r="E807" s="59"/>
      <c r="F807" s="59"/>
      <c r="G807" s="59"/>
      <c r="H807" s="59"/>
      <c r="I807" s="59"/>
      <c r="J807" s="60">
        <f>SUM(J725,J740,J755,J770)</f>
        <v>2</v>
      </c>
      <c r="K807" s="61"/>
    </row>
    <row r="808" spans="2:11" x14ac:dyDescent="0.2">
      <c r="B808" s="57"/>
      <c r="C808" s="59"/>
      <c r="D808" s="196" t="s">
        <v>372</v>
      </c>
      <c r="E808" s="59"/>
      <c r="F808" s="59"/>
      <c r="G808" s="59"/>
      <c r="H808" s="59"/>
      <c r="I808" s="59"/>
      <c r="J808" s="60">
        <f>AVERAGE(J806,J807)</f>
        <v>1</v>
      </c>
      <c r="K808" s="61"/>
    </row>
    <row r="809" spans="2:11" x14ac:dyDescent="0.2">
      <c r="B809" s="57"/>
      <c r="C809" s="59"/>
      <c r="D809" s="59"/>
      <c r="E809" s="59"/>
      <c r="F809" s="59"/>
      <c r="G809" s="59"/>
      <c r="H809" s="59"/>
      <c r="I809" s="59"/>
      <c r="J809" s="59"/>
      <c r="K809" s="61"/>
    </row>
    <row r="810" spans="2:11" x14ac:dyDescent="0.2">
      <c r="B810" s="57"/>
      <c r="C810" s="59"/>
      <c r="D810" s="59"/>
      <c r="E810" s="59"/>
      <c r="F810" s="59"/>
      <c r="G810" s="59"/>
      <c r="H810" s="59"/>
      <c r="I810" s="59"/>
      <c r="J810" s="59"/>
      <c r="K810" s="61"/>
    </row>
    <row r="811" spans="2:11" ht="16" x14ac:dyDescent="0.2">
      <c r="B811" s="57"/>
      <c r="C811" s="198" t="s">
        <v>373</v>
      </c>
      <c r="D811" s="59"/>
      <c r="E811" s="59"/>
      <c r="F811" s="59"/>
      <c r="G811" s="59"/>
      <c r="H811" s="59"/>
      <c r="I811" s="59"/>
      <c r="J811" s="261">
        <f>AVERAGE(J776,J780,J784,J788,J792,J796,J800,J804,J808)</f>
        <v>0.94444444444444442</v>
      </c>
      <c r="K811" s="61"/>
    </row>
    <row r="812" spans="2:11" ht="16" thickBot="1" x14ac:dyDescent="0.25">
      <c r="B812" s="73"/>
      <c r="C812" s="74"/>
      <c r="D812" s="74"/>
      <c r="E812" s="74"/>
      <c r="F812" s="74"/>
      <c r="G812" s="74"/>
      <c r="H812" s="74"/>
      <c r="I812" s="74"/>
      <c r="J812" s="74"/>
      <c r="K812" s="76"/>
    </row>
    <row r="813" spans="2:11" ht="16" thickBot="1" x14ac:dyDescent="0.25"/>
    <row r="814" spans="2:11" x14ac:dyDescent="0.2">
      <c r="B814" s="199"/>
      <c r="C814" s="200"/>
      <c r="D814" s="200"/>
      <c r="E814" s="200"/>
      <c r="F814" s="200"/>
      <c r="G814" s="200"/>
      <c r="H814" s="200"/>
      <c r="I814" s="200"/>
      <c r="J814" s="200"/>
      <c r="K814" s="201"/>
    </row>
    <row r="815" spans="2:11" ht="21" x14ac:dyDescent="0.25">
      <c r="B815" s="202"/>
      <c r="C815" s="203" t="s">
        <v>867</v>
      </c>
      <c r="D815" s="203"/>
      <c r="E815" s="203"/>
      <c r="F815" s="203"/>
      <c r="G815" s="204" t="s">
        <v>233</v>
      </c>
      <c r="H815" s="203"/>
      <c r="I815" s="203"/>
      <c r="J815" s="203"/>
      <c r="K815" s="205"/>
    </row>
    <row r="816" spans="2:11" x14ac:dyDescent="0.2">
      <c r="B816" s="202"/>
      <c r="C816" s="203"/>
      <c r="D816" s="203"/>
      <c r="E816" s="203"/>
      <c r="F816" s="203"/>
      <c r="G816" s="203"/>
      <c r="H816" s="203"/>
      <c r="I816" s="203"/>
      <c r="J816" s="203"/>
      <c r="K816" s="205"/>
    </row>
    <row r="817" spans="2:11" ht="16" x14ac:dyDescent="0.2">
      <c r="B817" s="202"/>
      <c r="C817" s="206" t="s">
        <v>992</v>
      </c>
      <c r="D817" s="203"/>
      <c r="E817" s="203"/>
      <c r="F817" s="203"/>
      <c r="G817" s="203"/>
      <c r="H817" s="203"/>
      <c r="I817" s="203"/>
      <c r="J817" s="262" t="str">
        <f>IF(J700="Not Calculated","Not Calculated",J700*(($J$811/4)+1))</f>
        <v>Not Calculated</v>
      </c>
      <c r="K817" s="205"/>
    </row>
    <row r="818" spans="2:11" x14ac:dyDescent="0.2">
      <c r="B818" s="202"/>
      <c r="C818" s="203"/>
      <c r="D818" s="203" t="s">
        <v>1119</v>
      </c>
      <c r="E818" s="203"/>
      <c r="F818" s="203"/>
      <c r="G818" s="203"/>
      <c r="H818" s="203"/>
      <c r="I818" s="203"/>
      <c r="J818" s="203"/>
      <c r="K818" s="205"/>
    </row>
    <row r="819" spans="2:11" x14ac:dyDescent="0.2">
      <c r="B819" s="202"/>
      <c r="C819" s="203"/>
      <c r="D819" s="203"/>
      <c r="E819" s="203"/>
      <c r="F819" s="203"/>
      <c r="G819" s="203"/>
      <c r="H819" s="203"/>
      <c r="I819" s="203"/>
      <c r="J819" s="203"/>
      <c r="K819" s="205"/>
    </row>
    <row r="820" spans="2:11" ht="16" x14ac:dyDescent="0.2">
      <c r="B820" s="202"/>
      <c r="C820" s="206" t="s">
        <v>993</v>
      </c>
      <c r="D820" s="203"/>
      <c r="E820" s="203"/>
      <c r="F820" s="203"/>
      <c r="G820" s="203"/>
      <c r="H820" s="203"/>
      <c r="I820" s="203"/>
      <c r="J820" s="262" t="str">
        <f>IF(J703="Not Calculated","Not Calculated",J703*(($J$811/4)+1))</f>
        <v>Not Calculated</v>
      </c>
      <c r="K820" s="205"/>
    </row>
    <row r="821" spans="2:11" x14ac:dyDescent="0.2">
      <c r="B821" s="202"/>
      <c r="C821" s="203"/>
      <c r="D821" s="203" t="s">
        <v>1120</v>
      </c>
      <c r="E821" s="203"/>
      <c r="F821" s="203"/>
      <c r="G821" s="203"/>
      <c r="H821" s="203"/>
      <c r="I821" s="203"/>
      <c r="J821" s="203"/>
      <c r="K821" s="205"/>
    </row>
    <row r="822" spans="2:11" x14ac:dyDescent="0.2">
      <c r="B822" s="202"/>
      <c r="C822" s="203"/>
      <c r="D822" s="203"/>
      <c r="E822" s="203"/>
      <c r="F822" s="203"/>
      <c r="G822" s="203"/>
      <c r="H822" s="203"/>
      <c r="I822" s="203"/>
      <c r="J822" s="203"/>
      <c r="K822" s="205"/>
    </row>
    <row r="823" spans="2:11" ht="16" x14ac:dyDescent="0.2">
      <c r="B823" s="202"/>
      <c r="C823" s="206" t="s">
        <v>994</v>
      </c>
      <c r="D823" s="203"/>
      <c r="E823" s="203"/>
      <c r="F823" s="203"/>
      <c r="G823" s="203"/>
      <c r="H823" s="203"/>
      <c r="I823" s="203"/>
      <c r="J823" s="262" t="str">
        <f>IF(J706="Not Calculated","Not Calculated",J706*(($J$811/4)+1))</f>
        <v>Not Calculated</v>
      </c>
      <c r="K823" s="205"/>
    </row>
    <row r="824" spans="2:11" x14ac:dyDescent="0.2">
      <c r="B824" s="202"/>
      <c r="C824" s="203"/>
      <c r="D824" s="203" t="s">
        <v>1121</v>
      </c>
      <c r="E824" s="203"/>
      <c r="F824" s="203"/>
      <c r="G824" s="203"/>
      <c r="H824" s="203"/>
      <c r="I824" s="203"/>
      <c r="J824" s="203"/>
      <c r="K824" s="205"/>
    </row>
    <row r="825" spans="2:11" ht="16" thickBot="1" x14ac:dyDescent="0.25">
      <c r="B825" s="207"/>
      <c r="C825" s="208"/>
      <c r="D825" s="208"/>
      <c r="E825" s="208"/>
      <c r="F825" s="208"/>
      <c r="G825" s="208"/>
      <c r="H825" s="208"/>
      <c r="I825" s="208"/>
      <c r="J825" s="208"/>
      <c r="K825" s="209"/>
    </row>
    <row r="826" spans="2:11" ht="16" thickBot="1" x14ac:dyDescent="0.25"/>
    <row r="827" spans="2:11" x14ac:dyDescent="0.2">
      <c r="B827" s="77"/>
      <c r="C827" s="78"/>
      <c r="D827" s="78"/>
      <c r="E827" s="78"/>
      <c r="F827" s="78"/>
      <c r="G827" s="78"/>
      <c r="H827" s="78"/>
      <c r="I827" s="78"/>
      <c r="J827" s="78"/>
      <c r="K827" s="80"/>
    </row>
    <row r="828" spans="2:11" ht="21" x14ac:dyDescent="0.25">
      <c r="B828" s="81"/>
      <c r="C828" s="85"/>
      <c r="D828" s="85"/>
      <c r="E828" s="85"/>
      <c r="F828" s="85"/>
      <c r="G828" s="210" t="s">
        <v>806</v>
      </c>
      <c r="H828" s="85"/>
      <c r="I828" s="85"/>
      <c r="J828" s="85"/>
      <c r="K828" s="87"/>
    </row>
    <row r="829" spans="2:11" x14ac:dyDescent="0.2">
      <c r="B829" s="81"/>
      <c r="C829" s="85"/>
      <c r="D829" s="85"/>
      <c r="E829" s="85"/>
      <c r="F829" s="85"/>
      <c r="G829" s="85"/>
      <c r="H829" s="85"/>
      <c r="I829" s="85"/>
      <c r="J829" s="85"/>
      <c r="K829" s="87"/>
    </row>
    <row r="830" spans="2:11" ht="15" customHeight="1" x14ac:dyDescent="0.2">
      <c r="B830" s="81"/>
      <c r="C830" s="424" t="s">
        <v>808</v>
      </c>
      <c r="D830" s="424"/>
      <c r="E830" s="424"/>
      <c r="F830" s="424"/>
      <c r="G830" s="424"/>
      <c r="H830" s="424"/>
      <c r="I830" s="424"/>
      <c r="J830" s="424"/>
      <c r="K830" s="87"/>
    </row>
    <row r="831" spans="2:11" x14ac:dyDescent="0.2">
      <c r="B831" s="81"/>
      <c r="C831" s="424"/>
      <c r="D831" s="424"/>
      <c r="E831" s="424"/>
      <c r="F831" s="424"/>
      <c r="G831" s="424"/>
      <c r="H831" s="424"/>
      <c r="I831" s="424"/>
      <c r="J831" s="424"/>
      <c r="K831" s="87"/>
    </row>
    <row r="832" spans="2:11" x14ac:dyDescent="0.2">
      <c r="B832" s="81"/>
      <c r="C832" s="85"/>
      <c r="D832" s="85"/>
      <c r="E832" s="85"/>
      <c r="F832" s="85"/>
      <c r="G832" s="85"/>
      <c r="H832" s="85"/>
      <c r="I832" s="85"/>
      <c r="J832" s="85"/>
      <c r="K832" s="87"/>
    </row>
    <row r="833" spans="2:11" ht="16" x14ac:dyDescent="0.2">
      <c r="B833" s="81"/>
      <c r="C833" s="211" t="s">
        <v>654</v>
      </c>
      <c r="D833" s="85"/>
      <c r="E833" s="85"/>
      <c r="F833" s="85"/>
      <c r="G833" s="85"/>
      <c r="H833" s="85"/>
      <c r="I833" s="85"/>
      <c r="J833" s="85"/>
      <c r="K833" s="87"/>
    </row>
    <row r="834" spans="2:11" x14ac:dyDescent="0.2">
      <c r="B834" s="81"/>
      <c r="C834" s="85" t="s">
        <v>380</v>
      </c>
      <c r="D834" s="85"/>
      <c r="E834" s="85"/>
      <c r="F834" s="85"/>
      <c r="G834" s="406" t="s">
        <v>234</v>
      </c>
      <c r="H834" s="407"/>
      <c r="I834" s="85"/>
      <c r="J834" s="83">
        <f>IF(G834=$B$998,$A$998,IF(G834=$B$999,$A$999,IF(G834=$B$1000,$A$1000,IF(G834=$B$1001,$A$1001,IF(G834=$B$1002,$A$1002,"Not Calculated")))))</f>
        <v>4</v>
      </c>
      <c r="K834" s="87"/>
    </row>
    <row r="835" spans="2:11" x14ac:dyDescent="0.2">
      <c r="B835" s="81"/>
      <c r="C835" s="85" t="s">
        <v>134</v>
      </c>
      <c r="D835" s="85"/>
      <c r="E835" s="85"/>
      <c r="F835" s="85"/>
      <c r="G835" s="85"/>
      <c r="H835" s="85"/>
      <c r="I835" s="85"/>
      <c r="J835" s="240">
        <f>'Baseline PHP'!J16</f>
        <v>0</v>
      </c>
      <c r="K835" s="87"/>
    </row>
    <row r="836" spans="2:11" x14ac:dyDescent="0.2">
      <c r="B836" s="81"/>
      <c r="C836" s="85"/>
      <c r="D836" s="85"/>
      <c r="E836" s="85"/>
      <c r="F836" s="85"/>
      <c r="G836" s="85"/>
      <c r="H836" s="85"/>
      <c r="I836" s="85"/>
      <c r="J836" s="85"/>
      <c r="K836" s="87"/>
    </row>
    <row r="837" spans="2:11" ht="16" x14ac:dyDescent="0.2">
      <c r="B837" s="81"/>
      <c r="C837" s="211" t="s">
        <v>655</v>
      </c>
      <c r="D837" s="85"/>
      <c r="E837" s="85"/>
      <c r="F837" s="85"/>
      <c r="G837" s="85"/>
      <c r="H837" s="85"/>
      <c r="I837" s="85"/>
      <c r="J837" s="85"/>
      <c r="K837" s="87"/>
    </row>
    <row r="838" spans="2:11" x14ac:dyDescent="0.2">
      <c r="B838" s="81"/>
      <c r="C838" s="85" t="s">
        <v>380</v>
      </c>
      <c r="D838" s="85"/>
      <c r="E838" s="85"/>
      <c r="F838" s="85"/>
      <c r="G838" s="406" t="s">
        <v>234</v>
      </c>
      <c r="H838" s="407"/>
      <c r="I838" s="85"/>
      <c r="J838" s="83">
        <f>IF(G838=$B$998,$A$998,IF(G838=$B$999,$A$999,IF(G838=$B$1000,$A$1000,IF(G838=$B$1001,$A$1001,IF(G838=$B$1002,$A$1002,"Not Calculated")))))</f>
        <v>4</v>
      </c>
      <c r="K838" s="87"/>
    </row>
    <row r="839" spans="2:11" x14ac:dyDescent="0.2">
      <c r="B839" s="81"/>
      <c r="C839" s="85" t="s">
        <v>134</v>
      </c>
      <c r="D839" s="85"/>
      <c r="E839" s="85"/>
      <c r="F839" s="85"/>
      <c r="G839" s="85"/>
      <c r="H839" s="85"/>
      <c r="I839" s="85"/>
      <c r="J839" s="240">
        <f>'Baseline PHP'!J28</f>
        <v>0</v>
      </c>
      <c r="K839" s="87"/>
    </row>
    <row r="840" spans="2:11" x14ac:dyDescent="0.2">
      <c r="B840" s="81"/>
      <c r="C840" s="85"/>
      <c r="D840" s="85"/>
      <c r="E840" s="85"/>
      <c r="F840" s="85"/>
      <c r="G840" s="85"/>
      <c r="H840" s="85"/>
      <c r="I840" s="85"/>
      <c r="J840" s="85"/>
      <c r="K840" s="87"/>
    </row>
    <row r="841" spans="2:11" ht="16" x14ac:dyDescent="0.2">
      <c r="B841" s="81"/>
      <c r="C841" s="211" t="s">
        <v>645</v>
      </c>
      <c r="D841" s="85"/>
      <c r="E841" s="85"/>
      <c r="F841" s="85"/>
      <c r="G841" s="85"/>
      <c r="H841" s="85"/>
      <c r="I841" s="85"/>
      <c r="J841" s="85"/>
      <c r="K841" s="87"/>
    </row>
    <row r="842" spans="2:11" x14ac:dyDescent="0.2">
      <c r="B842" s="81"/>
      <c r="C842" s="85" t="s">
        <v>380</v>
      </c>
      <c r="D842" s="85"/>
      <c r="E842" s="85"/>
      <c r="F842" s="85"/>
      <c r="G842" s="406" t="s">
        <v>234</v>
      </c>
      <c r="H842" s="407"/>
      <c r="I842" s="85"/>
      <c r="J842" s="83">
        <f>IF(G842=$B$998,$A$998,IF(G842=$B$999,$A$999,IF(G842=$B$1000,$A$1000,IF(G842=$B$1001,$A$1001,IF(G842=$B$1002,$A$1002,"Not Calculated")))))</f>
        <v>4</v>
      </c>
      <c r="K842" s="87"/>
    </row>
    <row r="843" spans="2:11" x14ac:dyDescent="0.2">
      <c r="B843" s="81"/>
      <c r="C843" s="85" t="s">
        <v>134</v>
      </c>
      <c r="D843" s="85"/>
      <c r="E843" s="85"/>
      <c r="F843" s="85"/>
      <c r="G843" s="85"/>
      <c r="H843" s="85"/>
      <c r="I843" s="85"/>
      <c r="J843" s="240">
        <f>'Baseline PHP'!J44</f>
        <v>0</v>
      </c>
      <c r="K843" s="87"/>
    </row>
    <row r="844" spans="2:11" x14ac:dyDescent="0.2">
      <c r="B844" s="81"/>
      <c r="C844" s="85"/>
      <c r="D844" s="85"/>
      <c r="E844" s="85"/>
      <c r="F844" s="85"/>
      <c r="G844" s="85"/>
      <c r="H844" s="85"/>
      <c r="I844" s="85"/>
      <c r="J844" s="85"/>
      <c r="K844" s="87"/>
    </row>
    <row r="845" spans="2:11" ht="16" x14ac:dyDescent="0.2">
      <c r="B845" s="81"/>
      <c r="C845" s="211" t="s">
        <v>646</v>
      </c>
      <c r="D845" s="85"/>
      <c r="E845" s="85"/>
      <c r="F845" s="85"/>
      <c r="G845" s="85"/>
      <c r="H845" s="85"/>
      <c r="I845" s="85"/>
      <c r="J845" s="85"/>
      <c r="K845" s="87"/>
    </row>
    <row r="846" spans="2:11" x14ac:dyDescent="0.2">
      <c r="B846" s="81"/>
      <c r="C846" s="85" t="s">
        <v>380</v>
      </c>
      <c r="D846" s="85"/>
      <c r="E846" s="85"/>
      <c r="F846" s="85"/>
      <c r="G846" s="406" t="s">
        <v>234</v>
      </c>
      <c r="H846" s="407"/>
      <c r="I846" s="85"/>
      <c r="J846" s="83">
        <f>IF(G846=$B$998,$A$998,IF(G846=$B$999,$A$999,IF(G846=$B$1000,$A$1000,IF(G846=$B$1001,$A$1001,IF(G846=$B$1002,$A$1002,"Not Calculated")))))</f>
        <v>4</v>
      </c>
      <c r="K846" s="87"/>
    </row>
    <row r="847" spans="2:11" x14ac:dyDescent="0.2">
      <c r="B847" s="81"/>
      <c r="C847" s="85" t="s">
        <v>134</v>
      </c>
      <c r="D847" s="85"/>
      <c r="E847" s="85"/>
      <c r="F847" s="85"/>
      <c r="G847" s="85"/>
      <c r="H847" s="85"/>
      <c r="I847" s="85"/>
      <c r="J847" s="240">
        <f>'Baseline PHP'!J60</f>
        <v>0</v>
      </c>
      <c r="K847" s="87"/>
    </row>
    <row r="848" spans="2:11" x14ac:dyDescent="0.2">
      <c r="B848" s="81"/>
      <c r="C848" s="85"/>
      <c r="D848" s="85"/>
      <c r="E848" s="85"/>
      <c r="F848" s="85"/>
      <c r="G848" s="85"/>
      <c r="H848" s="85"/>
      <c r="I848" s="85"/>
      <c r="J848" s="85"/>
      <c r="K848" s="87"/>
    </row>
    <row r="849" spans="2:11" ht="16" x14ac:dyDescent="0.2">
      <c r="B849" s="81"/>
      <c r="C849" s="211" t="s">
        <v>648</v>
      </c>
      <c r="D849" s="85"/>
      <c r="E849" s="85"/>
      <c r="F849" s="85"/>
      <c r="G849" s="85"/>
      <c r="H849" s="85"/>
      <c r="I849" s="85"/>
      <c r="J849" s="85"/>
      <c r="K849" s="87"/>
    </row>
    <row r="850" spans="2:11" ht="15" customHeight="1" x14ac:dyDescent="0.2">
      <c r="B850" s="81"/>
      <c r="C850" s="85" t="s">
        <v>380</v>
      </c>
      <c r="D850" s="85"/>
      <c r="E850" s="85"/>
      <c r="F850" s="85"/>
      <c r="G850" s="406" t="s">
        <v>234</v>
      </c>
      <c r="H850" s="407"/>
      <c r="I850" s="85"/>
      <c r="J850" s="83">
        <f>IF(G850=$B$998,$A$998,IF(G850=$B$999,$A$999,IF(G850=$B$1000,$A$1000,IF(G850=$B$1001,$A$1001,IF(G850=$B$1002,$A$1002,"Not Calculated")))))</f>
        <v>4</v>
      </c>
      <c r="K850" s="87"/>
    </row>
    <row r="851" spans="2:11" x14ac:dyDescent="0.2">
      <c r="B851" s="81"/>
      <c r="C851" s="85" t="s">
        <v>134</v>
      </c>
      <c r="D851" s="85"/>
      <c r="E851" s="85"/>
      <c r="F851" s="85"/>
      <c r="G851" s="85"/>
      <c r="H851" s="85"/>
      <c r="I851" s="85"/>
      <c r="J851" s="240">
        <f>'Baseline PHP'!J76</f>
        <v>0</v>
      </c>
      <c r="K851" s="87"/>
    </row>
    <row r="852" spans="2:11" x14ac:dyDescent="0.2">
      <c r="B852" s="81"/>
      <c r="C852" s="85"/>
      <c r="D852" s="85"/>
      <c r="E852" s="85"/>
      <c r="F852" s="85"/>
      <c r="G852" s="85"/>
      <c r="H852" s="85"/>
      <c r="I852" s="85"/>
      <c r="J852" s="85"/>
      <c r="K852" s="87"/>
    </row>
    <row r="853" spans="2:11" ht="16" x14ac:dyDescent="0.2">
      <c r="B853" s="81"/>
      <c r="C853" s="211" t="s">
        <v>647</v>
      </c>
      <c r="D853" s="85"/>
      <c r="E853" s="85"/>
      <c r="F853" s="85"/>
      <c r="G853" s="85"/>
      <c r="H853" s="85"/>
      <c r="I853" s="85"/>
      <c r="J853" s="85"/>
      <c r="K853" s="87"/>
    </row>
    <row r="854" spans="2:11" x14ac:dyDescent="0.2">
      <c r="B854" s="81"/>
      <c r="C854" s="85" t="s">
        <v>380</v>
      </c>
      <c r="D854" s="85"/>
      <c r="E854" s="85"/>
      <c r="F854" s="85"/>
      <c r="G854" s="406" t="s">
        <v>234</v>
      </c>
      <c r="H854" s="407"/>
      <c r="I854" s="85"/>
      <c r="J854" s="83">
        <f>IF(G854=$B$998,$A$998,IF(G854=$B$999,$A$999,IF(G854=$B$1000,$A$1000,IF(G854=$B$1001,$A$1001,IF(G854=$B$1002,$A$1002,"Not Calculated")))))</f>
        <v>4</v>
      </c>
      <c r="K854" s="87"/>
    </row>
    <row r="855" spans="2:11" x14ac:dyDescent="0.2">
      <c r="B855" s="81"/>
      <c r="C855" s="85" t="s">
        <v>134</v>
      </c>
      <c r="D855" s="85"/>
      <c r="E855" s="85"/>
      <c r="F855" s="85"/>
      <c r="G855" s="85"/>
      <c r="H855" s="85"/>
      <c r="I855" s="85"/>
      <c r="J855" s="240">
        <f>'Baseline PHP'!J88</f>
        <v>0</v>
      </c>
      <c r="K855" s="87"/>
    </row>
    <row r="856" spans="2:11" x14ac:dyDescent="0.2">
      <c r="B856" s="81"/>
      <c r="C856" s="85"/>
      <c r="D856" s="85"/>
      <c r="E856" s="85"/>
      <c r="F856" s="85"/>
      <c r="G856" s="85"/>
      <c r="H856" s="85"/>
      <c r="I856" s="85"/>
      <c r="J856" s="85"/>
      <c r="K856" s="87"/>
    </row>
    <row r="857" spans="2:11" ht="16" x14ac:dyDescent="0.2">
      <c r="B857" s="81"/>
      <c r="C857" s="211" t="s">
        <v>115</v>
      </c>
      <c r="D857" s="85"/>
      <c r="E857" s="85"/>
      <c r="F857" s="85"/>
      <c r="G857" s="85"/>
      <c r="H857" s="85"/>
      <c r="I857" s="85"/>
      <c r="J857" s="85"/>
      <c r="K857" s="87"/>
    </row>
    <row r="858" spans="2:11" x14ac:dyDescent="0.2">
      <c r="B858" s="81"/>
      <c r="C858" s="85" t="s">
        <v>380</v>
      </c>
      <c r="D858" s="85"/>
      <c r="E858" s="85"/>
      <c r="F858" s="85"/>
      <c r="G858" s="406" t="s">
        <v>238</v>
      </c>
      <c r="H858" s="407"/>
      <c r="I858" s="85"/>
      <c r="J858" s="83">
        <f>IF(G858=$B$998,$A$998,IF(G858=$B$999,$A$999,IF(G858=$B$1000,$A$1000,IF(G858=$B$1001,$A$1001,IF(G858=$B$1002,$A$1002,"Not Calculated")))))</f>
        <v>3</v>
      </c>
      <c r="K858" s="87"/>
    </row>
    <row r="859" spans="2:11" x14ac:dyDescent="0.2">
      <c r="B859" s="81"/>
      <c r="C859" s="85" t="s">
        <v>134</v>
      </c>
      <c r="D859" s="85"/>
      <c r="E859" s="85"/>
      <c r="F859" s="85"/>
      <c r="G859" s="85"/>
      <c r="H859" s="85"/>
      <c r="I859" s="85"/>
      <c r="J859" s="240">
        <f>'Baseline PHP'!J102</f>
        <v>0</v>
      </c>
      <c r="K859" s="87"/>
    </row>
    <row r="860" spans="2:11" x14ac:dyDescent="0.2">
      <c r="B860" s="81"/>
      <c r="C860" s="85"/>
      <c r="D860" s="85"/>
      <c r="E860" s="85"/>
      <c r="F860" s="85"/>
      <c r="G860" s="85"/>
      <c r="H860" s="85"/>
      <c r="I860" s="85"/>
      <c r="J860" s="85"/>
      <c r="K860" s="87"/>
    </row>
    <row r="861" spans="2:11" ht="16" x14ac:dyDescent="0.2">
      <c r="B861" s="81"/>
      <c r="C861" s="211" t="s">
        <v>649</v>
      </c>
      <c r="D861" s="85"/>
      <c r="E861" s="85"/>
      <c r="F861" s="85"/>
      <c r="G861" s="85"/>
      <c r="H861" s="85"/>
      <c r="I861" s="85"/>
      <c r="J861" s="85"/>
      <c r="K861" s="87"/>
    </row>
    <row r="862" spans="2:11" x14ac:dyDescent="0.2">
      <c r="B862" s="81"/>
      <c r="C862" s="85" t="s">
        <v>380</v>
      </c>
      <c r="D862" s="85"/>
      <c r="E862" s="85"/>
      <c r="F862" s="85"/>
      <c r="G862" s="406" t="s">
        <v>234</v>
      </c>
      <c r="H862" s="407"/>
      <c r="I862" s="85"/>
      <c r="J862" s="83">
        <f>IF(G862=$B$998,$A$998,IF(G862=$B$999,$A$999,IF(G862=$B$1000,$A$1000,IF(G862=$B$1001,$A$1001,IF(G862=$B$1002,$A$1002,"Not Calculated")))))</f>
        <v>4</v>
      </c>
      <c r="K862" s="87"/>
    </row>
    <row r="863" spans="2:11" x14ac:dyDescent="0.2">
      <c r="B863" s="81"/>
      <c r="C863" s="85" t="s">
        <v>134</v>
      </c>
      <c r="D863" s="85"/>
      <c r="E863" s="85"/>
      <c r="F863" s="85"/>
      <c r="G863" s="85"/>
      <c r="H863" s="85"/>
      <c r="I863" s="85"/>
      <c r="J863" s="240">
        <f>'Baseline PHP'!J118</f>
        <v>0</v>
      </c>
      <c r="K863" s="87"/>
    </row>
    <row r="864" spans="2:11" x14ac:dyDescent="0.2">
      <c r="B864" s="81"/>
      <c r="C864" s="85"/>
      <c r="D864" s="85"/>
      <c r="E864" s="85"/>
      <c r="F864" s="85"/>
      <c r="G864" s="85"/>
      <c r="H864" s="85"/>
      <c r="I864" s="85"/>
      <c r="J864" s="85"/>
      <c r="K864" s="87"/>
    </row>
    <row r="865" spans="2:11" ht="16" x14ac:dyDescent="0.2">
      <c r="B865" s="81"/>
      <c r="C865" s="211" t="s">
        <v>656</v>
      </c>
      <c r="D865" s="85"/>
      <c r="E865" s="85"/>
      <c r="F865" s="85"/>
      <c r="G865" s="85"/>
      <c r="H865" s="85"/>
      <c r="I865" s="85"/>
      <c r="J865" s="85"/>
      <c r="K865" s="87"/>
    </row>
    <row r="866" spans="2:11" x14ac:dyDescent="0.2">
      <c r="B866" s="81"/>
      <c r="C866" s="85" t="s">
        <v>380</v>
      </c>
      <c r="D866" s="85"/>
      <c r="E866" s="85"/>
      <c r="F866" s="85"/>
      <c r="G866" s="406" t="s">
        <v>234</v>
      </c>
      <c r="H866" s="407"/>
      <c r="I866" s="85"/>
      <c r="J866" s="83">
        <f>IF(G866=$B$998,$A$998,IF(G866=$B$999,$A$999,IF(G866=$B$1000,$A$1000,IF(G866=$B$1001,$A$1001,IF(G866=$B$1002,$A$1002,"Not Calculated")))))</f>
        <v>4</v>
      </c>
      <c r="K866" s="87"/>
    </row>
    <row r="867" spans="2:11" x14ac:dyDescent="0.2">
      <c r="B867" s="81"/>
      <c r="C867" s="85" t="s">
        <v>134</v>
      </c>
      <c r="D867" s="85"/>
      <c r="E867" s="85"/>
      <c r="F867" s="85"/>
      <c r="G867" s="85"/>
      <c r="H867" s="85"/>
      <c r="I867" s="85"/>
      <c r="J867" s="240">
        <f>'Baseline PHP'!J136</f>
        <v>0</v>
      </c>
      <c r="K867" s="87"/>
    </row>
    <row r="868" spans="2:11" x14ac:dyDescent="0.2">
      <c r="B868" s="81"/>
      <c r="C868" s="85"/>
      <c r="D868" s="85"/>
      <c r="E868" s="85"/>
      <c r="F868" s="85"/>
      <c r="G868" s="85"/>
      <c r="H868" s="85"/>
      <c r="I868" s="85"/>
      <c r="J868" s="85"/>
      <c r="K868" s="87"/>
    </row>
    <row r="869" spans="2:11" ht="16" x14ac:dyDescent="0.2">
      <c r="B869" s="81"/>
      <c r="C869" s="211" t="s">
        <v>121</v>
      </c>
      <c r="D869" s="85"/>
      <c r="E869" s="85"/>
      <c r="F869" s="85"/>
      <c r="G869" s="85"/>
      <c r="H869" s="85"/>
      <c r="I869" s="85"/>
      <c r="J869" s="85"/>
      <c r="K869" s="87"/>
    </row>
    <row r="870" spans="2:11" x14ac:dyDescent="0.2">
      <c r="B870" s="81"/>
      <c r="C870" s="85" t="s">
        <v>380</v>
      </c>
      <c r="D870" s="85"/>
      <c r="E870" s="85"/>
      <c r="F870" s="85"/>
      <c r="G870" s="406" t="s">
        <v>234</v>
      </c>
      <c r="H870" s="407"/>
      <c r="I870" s="85"/>
      <c r="J870" s="83">
        <f>IF(G870=$B$998,$A$998,IF(G870=$B$999,$A$999,IF(G870=$B$1000,$A$1000,IF(G870=$B$1001,$A$1001,IF(G870=$B$1002,$A$1002,"Not Calculated")))))</f>
        <v>4</v>
      </c>
      <c r="K870" s="87"/>
    </row>
    <row r="871" spans="2:11" x14ac:dyDescent="0.2">
      <c r="B871" s="81"/>
      <c r="C871" s="85" t="s">
        <v>134</v>
      </c>
      <c r="D871" s="85"/>
      <c r="E871" s="85"/>
      <c r="F871" s="85"/>
      <c r="G871" s="85"/>
      <c r="H871" s="85"/>
      <c r="I871" s="85"/>
      <c r="J871" s="240">
        <f>'Baseline PHP'!J150</f>
        <v>0</v>
      </c>
      <c r="K871" s="87"/>
    </row>
    <row r="872" spans="2:11" x14ac:dyDescent="0.2">
      <c r="B872" s="81"/>
      <c r="C872" s="85"/>
      <c r="D872" s="85"/>
      <c r="E872" s="85"/>
      <c r="F872" s="85"/>
      <c r="G872" s="85"/>
      <c r="H872" s="85"/>
      <c r="I872" s="85"/>
      <c r="J872" s="85"/>
      <c r="K872" s="87"/>
    </row>
    <row r="873" spans="2:11" ht="16" x14ac:dyDescent="0.2">
      <c r="B873" s="81"/>
      <c r="C873" s="211" t="s">
        <v>657</v>
      </c>
      <c r="D873" s="85"/>
      <c r="E873" s="85"/>
      <c r="F873" s="85"/>
      <c r="G873" s="85"/>
      <c r="H873" s="85"/>
      <c r="I873" s="85"/>
      <c r="J873" s="85"/>
      <c r="K873" s="87"/>
    </row>
    <row r="874" spans="2:11" x14ac:dyDescent="0.2">
      <c r="B874" s="81"/>
      <c r="C874" s="85" t="s">
        <v>380</v>
      </c>
      <c r="D874" s="85"/>
      <c r="E874" s="85"/>
      <c r="F874" s="85"/>
      <c r="G874" s="406" t="s">
        <v>234</v>
      </c>
      <c r="H874" s="407"/>
      <c r="I874" s="85"/>
      <c r="J874" s="83">
        <f>IF(G874=$B$998,$A$998,IF(G874=$B$999,$A$999,IF(G874=$B$1000,$A$1000,IF(G874=$B$1001,$A$1001,IF(G874=$B$1002,$A$1002,"Not Calculated")))))</f>
        <v>4</v>
      </c>
      <c r="K874" s="87"/>
    </row>
    <row r="875" spans="2:11" x14ac:dyDescent="0.2">
      <c r="B875" s="81"/>
      <c r="C875" s="85" t="s">
        <v>134</v>
      </c>
      <c r="D875" s="85"/>
      <c r="E875" s="85"/>
      <c r="F875" s="85"/>
      <c r="G875" s="85"/>
      <c r="H875" s="85"/>
      <c r="I875" s="85"/>
      <c r="J875" s="240">
        <f>'Baseline PHP'!J164</f>
        <v>0</v>
      </c>
      <c r="K875" s="87"/>
    </row>
    <row r="876" spans="2:11" x14ac:dyDescent="0.2">
      <c r="B876" s="81"/>
      <c r="C876" s="85"/>
      <c r="D876" s="85"/>
      <c r="E876" s="85"/>
      <c r="F876" s="85"/>
      <c r="G876" s="85"/>
      <c r="H876" s="85"/>
      <c r="I876" s="85"/>
      <c r="J876" s="85"/>
      <c r="K876" s="87"/>
    </row>
    <row r="877" spans="2:11" ht="16" x14ac:dyDescent="0.2">
      <c r="B877" s="81"/>
      <c r="C877" s="211" t="s">
        <v>650</v>
      </c>
      <c r="D877" s="85"/>
      <c r="E877" s="85"/>
      <c r="F877" s="85"/>
      <c r="G877" s="85"/>
      <c r="H877" s="85"/>
      <c r="I877" s="85"/>
      <c r="J877" s="85"/>
      <c r="K877" s="87"/>
    </row>
    <row r="878" spans="2:11" x14ac:dyDescent="0.2">
      <c r="B878" s="81"/>
      <c r="C878" s="85" t="s">
        <v>380</v>
      </c>
      <c r="D878" s="85"/>
      <c r="E878" s="85"/>
      <c r="F878" s="85"/>
      <c r="G878" s="406" t="s">
        <v>234</v>
      </c>
      <c r="H878" s="407"/>
      <c r="I878" s="85"/>
      <c r="J878" s="83">
        <f>IF(G878=$B$998,$A$998,IF(G878=$B$999,$A$999,IF(G878=$B$1000,$A$1000,IF(G878=$B$1001,$A$1001,IF(G878=$B$1002,$A$1002,"Not Calculated")))))</f>
        <v>4</v>
      </c>
      <c r="K878" s="87"/>
    </row>
    <row r="879" spans="2:11" x14ac:dyDescent="0.2">
      <c r="B879" s="81"/>
      <c r="C879" s="85" t="s">
        <v>134</v>
      </c>
      <c r="D879" s="85"/>
      <c r="E879" s="85"/>
      <c r="F879" s="85"/>
      <c r="G879" s="85"/>
      <c r="H879" s="85"/>
      <c r="I879" s="85"/>
      <c r="J879" s="240">
        <f>'Baseline PHP'!J180</f>
        <v>0</v>
      </c>
      <c r="K879" s="87"/>
    </row>
    <row r="880" spans="2:11" x14ac:dyDescent="0.2">
      <c r="B880" s="81"/>
      <c r="C880" s="85"/>
      <c r="D880" s="85"/>
      <c r="E880" s="85"/>
      <c r="F880" s="85"/>
      <c r="G880" s="85"/>
      <c r="H880" s="85"/>
      <c r="I880" s="85"/>
      <c r="J880" s="85"/>
      <c r="K880" s="87"/>
    </row>
    <row r="881" spans="2:11" ht="16" x14ac:dyDescent="0.2">
      <c r="B881" s="81"/>
      <c r="C881" s="211" t="s">
        <v>651</v>
      </c>
      <c r="D881" s="85"/>
      <c r="E881" s="85"/>
      <c r="F881" s="85"/>
      <c r="G881" s="85"/>
      <c r="H881" s="85"/>
      <c r="I881" s="85"/>
      <c r="J881" s="85"/>
      <c r="K881" s="87"/>
    </row>
    <row r="882" spans="2:11" x14ac:dyDescent="0.2">
      <c r="B882" s="81"/>
      <c r="C882" s="85" t="s">
        <v>380</v>
      </c>
      <c r="D882" s="85"/>
      <c r="E882" s="85"/>
      <c r="F882" s="85"/>
      <c r="G882" s="406" t="s">
        <v>234</v>
      </c>
      <c r="H882" s="407"/>
      <c r="I882" s="85"/>
      <c r="J882" s="83">
        <f>IF(G882=$B$998,$A$998,IF(G882=$B$999,$A$999,IF(G882=$B$1000,$A$1000,IF(G882=$B$1001,$A$1001,IF(G882=$B$1002,$A$1002,"Not Calculated")))))</f>
        <v>4</v>
      </c>
      <c r="K882" s="87"/>
    </row>
    <row r="883" spans="2:11" x14ac:dyDescent="0.2">
      <c r="B883" s="81"/>
      <c r="C883" s="85" t="s">
        <v>134</v>
      </c>
      <c r="D883" s="85"/>
      <c r="E883" s="85"/>
      <c r="F883" s="85"/>
      <c r="G883" s="85"/>
      <c r="H883" s="85"/>
      <c r="I883" s="85"/>
      <c r="J883" s="240">
        <f>'Baseline PHP'!J194</f>
        <v>0</v>
      </c>
      <c r="K883" s="87"/>
    </row>
    <row r="884" spans="2:11" x14ac:dyDescent="0.2">
      <c r="B884" s="81"/>
      <c r="C884" s="85"/>
      <c r="D884" s="85"/>
      <c r="E884" s="85"/>
      <c r="F884" s="85"/>
      <c r="G884" s="85"/>
      <c r="H884" s="85"/>
      <c r="I884" s="85"/>
      <c r="J884" s="85"/>
      <c r="K884" s="87"/>
    </row>
    <row r="885" spans="2:11" ht="16" x14ac:dyDescent="0.2">
      <c r="B885" s="81"/>
      <c r="C885" s="211" t="s">
        <v>652</v>
      </c>
      <c r="D885" s="85"/>
      <c r="E885" s="85"/>
      <c r="F885" s="85"/>
      <c r="G885" s="85"/>
      <c r="H885" s="85"/>
      <c r="I885" s="85"/>
      <c r="J885" s="85"/>
      <c r="K885" s="87"/>
    </row>
    <row r="886" spans="2:11" x14ac:dyDescent="0.2">
      <c r="B886" s="81"/>
      <c r="C886" s="85" t="s">
        <v>380</v>
      </c>
      <c r="D886" s="85"/>
      <c r="E886" s="85"/>
      <c r="F886" s="85"/>
      <c r="G886" s="406" t="s">
        <v>234</v>
      </c>
      <c r="H886" s="407"/>
      <c r="I886" s="85"/>
      <c r="J886" s="83">
        <f>IF(G886=$B$998,$A$998,IF(G886=$B$999,$A$999,IF(G886=$B$1000,$A$1000,IF(G886=$B$1001,$A$1001,IF(G886=$B$1002,$A$1002,"Not Calculated")))))</f>
        <v>4</v>
      </c>
      <c r="K886" s="87"/>
    </row>
    <row r="887" spans="2:11" x14ac:dyDescent="0.2">
      <c r="B887" s="81"/>
      <c r="C887" s="85" t="s">
        <v>134</v>
      </c>
      <c r="D887" s="85"/>
      <c r="E887" s="85"/>
      <c r="F887" s="85"/>
      <c r="G887" s="85"/>
      <c r="H887" s="85"/>
      <c r="I887" s="85"/>
      <c r="J887" s="240">
        <f>'Baseline PHP'!J208</f>
        <v>0</v>
      </c>
      <c r="K887" s="87"/>
    </row>
    <row r="888" spans="2:11" x14ac:dyDescent="0.2">
      <c r="B888" s="81"/>
      <c r="C888" s="85"/>
      <c r="D888" s="85"/>
      <c r="E888" s="85"/>
      <c r="F888" s="85"/>
      <c r="G888" s="85"/>
      <c r="H888" s="85"/>
      <c r="I888" s="85"/>
      <c r="J888" s="85"/>
      <c r="K888" s="87"/>
    </row>
    <row r="889" spans="2:11" ht="16" x14ac:dyDescent="0.2">
      <c r="B889" s="81"/>
      <c r="C889" s="211" t="s">
        <v>653</v>
      </c>
      <c r="D889" s="85"/>
      <c r="E889" s="85"/>
      <c r="F889" s="85"/>
      <c r="G889" s="85"/>
      <c r="H889" s="85"/>
      <c r="I889" s="85"/>
      <c r="J889" s="85"/>
      <c r="K889" s="87"/>
    </row>
    <row r="890" spans="2:11" x14ac:dyDescent="0.2">
      <c r="B890" s="81"/>
      <c r="C890" s="85" t="s">
        <v>380</v>
      </c>
      <c r="D890" s="85"/>
      <c r="E890" s="85"/>
      <c r="F890" s="85"/>
      <c r="G890" s="406" t="s">
        <v>234</v>
      </c>
      <c r="H890" s="407"/>
      <c r="I890" s="85"/>
      <c r="J890" s="83">
        <f>IF(G890=$B$998,$A$998,IF(G890=$B$999,$A$999,IF(G890=$B$1000,$A$1000,IF(G890=$B$1001,$A$1001,IF(G890=$B$1002,$A$1002,"Not Calculated")))))</f>
        <v>4</v>
      </c>
      <c r="K890" s="87"/>
    </row>
    <row r="891" spans="2:11" x14ac:dyDescent="0.2">
      <c r="B891" s="81"/>
      <c r="C891" s="85" t="s">
        <v>134</v>
      </c>
      <c r="D891" s="85"/>
      <c r="E891" s="85"/>
      <c r="F891" s="85"/>
      <c r="G891" s="85"/>
      <c r="H891" s="85"/>
      <c r="I891" s="85"/>
      <c r="J891" s="240">
        <f>'Baseline PHP'!J222</f>
        <v>0</v>
      </c>
      <c r="K891" s="87"/>
    </row>
    <row r="892" spans="2:11" x14ac:dyDescent="0.2">
      <c r="B892" s="81"/>
      <c r="C892" s="85"/>
      <c r="D892" s="85"/>
      <c r="E892" s="85"/>
      <c r="F892" s="85"/>
      <c r="G892" s="85"/>
      <c r="H892" s="85"/>
      <c r="I892" s="85"/>
      <c r="J892" s="85"/>
      <c r="K892" s="87"/>
    </row>
    <row r="893" spans="2:11" x14ac:dyDescent="0.2">
      <c r="B893" s="81"/>
      <c r="C893" s="85"/>
      <c r="D893" s="85"/>
      <c r="E893" s="85"/>
      <c r="F893" s="85"/>
      <c r="G893" s="85"/>
      <c r="H893" s="85"/>
      <c r="I893" s="85"/>
      <c r="J893" s="85"/>
      <c r="K893" s="87"/>
    </row>
    <row r="894" spans="2:11" ht="16" x14ac:dyDescent="0.2">
      <c r="B894" s="81"/>
      <c r="C894" s="212" t="s">
        <v>813</v>
      </c>
      <c r="D894" s="85"/>
      <c r="E894" s="85"/>
      <c r="F894" s="85"/>
      <c r="G894" s="85"/>
      <c r="H894" s="85"/>
      <c r="I894" s="85"/>
      <c r="J894" s="241">
        <f>IF(OR(J854="Not Calculated",J858="Not Calculated",J862="Not Calculated",J866="Not Calculated",J870="Not Calculated",J874="Not Calculated",J878="Not Calculated",J882="Not Calculated",J886="Not Calculated",J890="Not Calculated",J834="Not Calculated",J838="Not Calculated",J842="Not Calculated",J846="Not Calculated",J850="Not Calculated",J855="Not Calculated",J859="Not Calculated",J863="Not Calculated",J867="Not Calculated",J871="Not Calculated",J875="Not Calculated",J879="Not Calculated",J883="Not Calculated",J887="Not Calculated",J891="Not Calculated",J835="Not Calculated",J839="Not Calculated",J843="Not Calculated",J847="Not Calculated",J851="Not Calculated")=TRUE,"Not Calculated",((J834*J835)+(J838*J839)+(J842*J843)+(J846*J847)+(J850*J851)+(J854*J855)+(J858*J859)+(J862*J863)+(J866*J867)+(J870*J871)+(J874*J875)+(J878*J879)+(J882*J883)+(J886*J887)+(J890*J891))/(J834+J838+J842+J846+J850+J854+J858+J862+J866+J870+J874+J878+J882+J886+J890))</f>
        <v>0</v>
      </c>
      <c r="K894" s="87"/>
    </row>
    <row r="895" spans="2:11" ht="16" thickBot="1" x14ac:dyDescent="0.25">
      <c r="B895" s="213"/>
      <c r="C895" s="94"/>
      <c r="D895" s="94"/>
      <c r="E895" s="94"/>
      <c r="F895" s="94"/>
      <c r="G895" s="94"/>
      <c r="H895" s="94"/>
      <c r="I895" s="94"/>
      <c r="J895" s="94"/>
      <c r="K895" s="96"/>
    </row>
    <row r="896" spans="2:11" ht="16" thickBot="1" x14ac:dyDescent="0.25"/>
    <row r="897" spans="2:11" x14ac:dyDescent="0.2">
      <c r="B897" s="77"/>
      <c r="C897" s="78"/>
      <c r="D897" s="78"/>
      <c r="E897" s="78"/>
      <c r="F897" s="78"/>
      <c r="G897" s="78"/>
      <c r="H897" s="78"/>
      <c r="I897" s="78"/>
      <c r="J897" s="78"/>
      <c r="K897" s="80"/>
    </row>
    <row r="898" spans="2:11" ht="21" x14ac:dyDescent="0.25">
      <c r="B898" s="81"/>
      <c r="C898" s="85"/>
      <c r="D898" s="85"/>
      <c r="E898" s="85"/>
      <c r="F898" s="85"/>
      <c r="G898" s="210" t="s">
        <v>807</v>
      </c>
      <c r="H898" s="85"/>
      <c r="I898" s="85"/>
      <c r="J898" s="85"/>
      <c r="K898" s="87"/>
    </row>
    <row r="899" spans="2:11" x14ac:dyDescent="0.2">
      <c r="B899" s="81"/>
      <c r="C899" s="85"/>
      <c r="D899" s="85"/>
      <c r="E899" s="85"/>
      <c r="F899" s="85"/>
      <c r="G899" s="85"/>
      <c r="H899" s="85"/>
      <c r="I899" s="85"/>
      <c r="J899" s="85"/>
      <c r="K899" s="87"/>
    </row>
    <row r="900" spans="2:11" ht="15" customHeight="1" x14ac:dyDescent="0.2">
      <c r="B900" s="81"/>
      <c r="C900" s="424" t="s">
        <v>809</v>
      </c>
      <c r="D900" s="424"/>
      <c r="E900" s="424"/>
      <c r="F900" s="424"/>
      <c r="G900" s="424"/>
      <c r="H900" s="424"/>
      <c r="I900" s="424"/>
      <c r="J900" s="424"/>
      <c r="K900" s="87"/>
    </row>
    <row r="901" spans="2:11" x14ac:dyDescent="0.2">
      <c r="B901" s="81"/>
      <c r="C901" s="424"/>
      <c r="D901" s="424"/>
      <c r="E901" s="424"/>
      <c r="F901" s="424"/>
      <c r="G901" s="424"/>
      <c r="H901" s="424"/>
      <c r="I901" s="424"/>
      <c r="J901" s="424"/>
      <c r="K901" s="87"/>
    </row>
    <row r="902" spans="2:11" x14ac:dyDescent="0.2">
      <c r="B902" s="81"/>
      <c r="C902" s="85"/>
      <c r="D902" s="85"/>
      <c r="E902" s="85"/>
      <c r="F902" s="85"/>
      <c r="G902" s="85"/>
      <c r="H902" s="85"/>
      <c r="I902" s="85"/>
      <c r="J902" s="85"/>
      <c r="K902" s="87"/>
    </row>
    <row r="903" spans="2:11" ht="16" x14ac:dyDescent="0.2">
      <c r="B903" s="81"/>
      <c r="C903" s="211" t="s">
        <v>810</v>
      </c>
      <c r="D903" s="85"/>
      <c r="E903" s="85"/>
      <c r="F903" s="85"/>
      <c r="G903" s="85"/>
      <c r="H903" s="85"/>
      <c r="I903" s="85"/>
      <c r="J903" s="85"/>
      <c r="K903" s="87"/>
    </row>
    <row r="904" spans="2:11" x14ac:dyDescent="0.2">
      <c r="B904" s="81"/>
      <c r="C904" s="85" t="s">
        <v>380</v>
      </c>
      <c r="D904" s="85"/>
      <c r="E904" s="85"/>
      <c r="F904" s="85"/>
      <c r="G904" s="406" t="s">
        <v>234</v>
      </c>
      <c r="H904" s="407"/>
      <c r="I904" s="85"/>
      <c r="J904" s="83">
        <f>IF(G904=$B$998,$A$998,IF(G904=$B$999,$A$999,IF(G904=$B$1000,$A$1000,IF(G904=$B$1001,$A$1001,IF(G904=$B$1002,$A$1002,"Not Calculated")))))</f>
        <v>4</v>
      </c>
      <c r="K904" s="87"/>
    </row>
    <row r="905" spans="2:11" x14ac:dyDescent="0.2">
      <c r="B905" s="81"/>
      <c r="C905" s="85" t="s">
        <v>134</v>
      </c>
      <c r="D905" s="85"/>
      <c r="E905" s="85"/>
      <c r="F905" s="85"/>
      <c r="G905" s="85"/>
      <c r="H905" s="85"/>
      <c r="I905" s="85"/>
      <c r="J905" s="240">
        <f>'Baseline HP'!J22</f>
        <v>0</v>
      </c>
      <c r="K905" s="87"/>
    </row>
    <row r="906" spans="2:11" x14ac:dyDescent="0.2">
      <c r="B906" s="81"/>
      <c r="C906" s="85"/>
      <c r="D906" s="85"/>
      <c r="E906" s="85"/>
      <c r="F906" s="85"/>
      <c r="G906" s="85"/>
      <c r="H906" s="85"/>
      <c r="I906" s="85"/>
      <c r="J906" s="85"/>
      <c r="K906" s="87"/>
    </row>
    <row r="907" spans="2:11" ht="16" x14ac:dyDescent="0.2">
      <c r="B907" s="81"/>
      <c r="C907" s="211" t="s">
        <v>811</v>
      </c>
      <c r="D907" s="85"/>
      <c r="E907" s="85"/>
      <c r="F907" s="85"/>
      <c r="G907" s="85"/>
      <c r="H907" s="85"/>
      <c r="I907" s="85"/>
      <c r="J907" s="85"/>
      <c r="K907" s="87"/>
    </row>
    <row r="908" spans="2:11" x14ac:dyDescent="0.2">
      <c r="B908" s="81"/>
      <c r="C908" s="85" t="s">
        <v>380</v>
      </c>
      <c r="D908" s="85"/>
      <c r="E908" s="85"/>
      <c r="F908" s="85"/>
      <c r="G908" s="406" t="s">
        <v>234</v>
      </c>
      <c r="H908" s="407"/>
      <c r="I908" s="85"/>
      <c r="J908" s="83">
        <f>IF(G908=$B$998,$A$998,IF(G908=$B$999,$A$999,IF(G908=$B$1000,$A$1000,IF(G908=$B$1001,$A$1001,IF(G908=$B$1002,$A$1002,"Not Calculated")))))</f>
        <v>4</v>
      </c>
      <c r="K908" s="87"/>
    </row>
    <row r="909" spans="2:11" x14ac:dyDescent="0.2">
      <c r="B909" s="81"/>
      <c r="C909" s="85" t="s">
        <v>134</v>
      </c>
      <c r="D909" s="85"/>
      <c r="E909" s="85"/>
      <c r="F909" s="85"/>
      <c r="G909" s="85"/>
      <c r="H909" s="85"/>
      <c r="I909" s="85"/>
      <c r="J909" s="240">
        <f>'Baseline HP'!J32</f>
        <v>0</v>
      </c>
      <c r="K909" s="87"/>
    </row>
    <row r="910" spans="2:11" x14ac:dyDescent="0.2">
      <c r="B910" s="81"/>
      <c r="C910" s="85"/>
      <c r="D910" s="85"/>
      <c r="E910" s="85"/>
      <c r="F910" s="85"/>
      <c r="G910" s="85"/>
      <c r="H910" s="85"/>
      <c r="I910" s="85"/>
      <c r="J910" s="85"/>
      <c r="K910" s="87"/>
    </row>
    <row r="911" spans="2:11" ht="16" x14ac:dyDescent="0.2">
      <c r="B911" s="81"/>
      <c r="C911" s="211" t="s">
        <v>645</v>
      </c>
      <c r="D911" s="85"/>
      <c r="E911" s="85"/>
      <c r="F911" s="85"/>
      <c r="G911" s="85"/>
      <c r="H911" s="85"/>
      <c r="I911" s="85"/>
      <c r="J911" s="85"/>
      <c r="K911" s="87"/>
    </row>
    <row r="912" spans="2:11" x14ac:dyDescent="0.2">
      <c r="B912" s="81"/>
      <c r="C912" s="85" t="s">
        <v>380</v>
      </c>
      <c r="D912" s="85"/>
      <c r="E912" s="85"/>
      <c r="F912" s="85"/>
      <c r="G912" s="406" t="s">
        <v>234</v>
      </c>
      <c r="H912" s="407"/>
      <c r="I912" s="85"/>
      <c r="J912" s="83">
        <f>IF(G912=$B$998,$A$998,IF(G912=$B$999,$A$999,IF(G912=$B$1000,$A$1000,IF(G912=$B$1001,$A$1001,IF(G912=$B$1002,$A$1002,"Not Calculated")))))</f>
        <v>4</v>
      </c>
      <c r="K912" s="87"/>
    </row>
    <row r="913" spans="2:11" x14ac:dyDescent="0.2">
      <c r="B913" s="81"/>
      <c r="C913" s="85" t="s">
        <v>134</v>
      </c>
      <c r="D913" s="85"/>
      <c r="E913" s="85"/>
      <c r="F913" s="85"/>
      <c r="G913" s="85"/>
      <c r="H913" s="85"/>
      <c r="I913" s="85"/>
      <c r="J913" s="240">
        <f>'Baseline HP'!J46</f>
        <v>0</v>
      </c>
      <c r="K913" s="87"/>
    </row>
    <row r="914" spans="2:11" x14ac:dyDescent="0.2">
      <c r="B914" s="81"/>
      <c r="C914" s="85"/>
      <c r="D914" s="85"/>
      <c r="E914" s="85"/>
      <c r="F914" s="85"/>
      <c r="G914" s="85"/>
      <c r="H914" s="85"/>
      <c r="I914" s="85"/>
      <c r="J914" s="85"/>
      <c r="K914" s="87"/>
    </row>
    <row r="915" spans="2:11" ht="16" x14ac:dyDescent="0.2">
      <c r="B915" s="81"/>
      <c r="C915" s="211" t="s">
        <v>648</v>
      </c>
      <c r="D915" s="85"/>
      <c r="E915" s="85"/>
      <c r="F915" s="85"/>
      <c r="G915" s="85"/>
      <c r="H915" s="85"/>
      <c r="I915" s="85"/>
      <c r="J915" s="85"/>
      <c r="K915" s="87"/>
    </row>
    <row r="916" spans="2:11" ht="15" customHeight="1" x14ac:dyDescent="0.2">
      <c r="B916" s="81"/>
      <c r="C916" s="85" t="s">
        <v>380</v>
      </c>
      <c r="D916" s="85"/>
      <c r="E916" s="85"/>
      <c r="F916" s="85"/>
      <c r="G916" s="406" t="s">
        <v>234</v>
      </c>
      <c r="H916" s="407"/>
      <c r="I916" s="85"/>
      <c r="J916" s="83">
        <f>IF(G916=$B$998,$A$998,IF(G916=$B$999,$A$999,IF(G916=$B$1000,$A$1000,IF(G916=$B$1001,$A$1001,IF(G916=$B$1002,$A$1002,"Not Calculated")))))</f>
        <v>4</v>
      </c>
      <c r="K916" s="87"/>
    </row>
    <row r="917" spans="2:11" x14ac:dyDescent="0.2">
      <c r="B917" s="81"/>
      <c r="C917" s="85" t="s">
        <v>134</v>
      </c>
      <c r="D917" s="85"/>
      <c r="E917" s="85"/>
      <c r="F917" s="85"/>
      <c r="G917" s="85"/>
      <c r="H917" s="85"/>
      <c r="I917" s="85"/>
      <c r="J917" s="240">
        <f>'Baseline HP'!J58</f>
        <v>0</v>
      </c>
      <c r="K917" s="87"/>
    </row>
    <row r="918" spans="2:11" x14ac:dyDescent="0.2">
      <c r="B918" s="81"/>
      <c r="C918" s="85"/>
      <c r="D918" s="85"/>
      <c r="E918" s="85"/>
      <c r="F918" s="85"/>
      <c r="G918" s="85"/>
      <c r="H918" s="85"/>
      <c r="I918" s="85"/>
      <c r="J918" s="85"/>
      <c r="K918" s="87"/>
    </row>
    <row r="919" spans="2:11" ht="16" x14ac:dyDescent="0.2">
      <c r="B919" s="81"/>
      <c r="C919" s="211" t="s">
        <v>647</v>
      </c>
      <c r="D919" s="85"/>
      <c r="E919" s="85"/>
      <c r="F919" s="85"/>
      <c r="G919" s="85"/>
      <c r="H919" s="85"/>
      <c r="I919" s="85"/>
      <c r="J919" s="85"/>
      <c r="K919" s="87"/>
    </row>
    <row r="920" spans="2:11" x14ac:dyDescent="0.2">
      <c r="B920" s="81"/>
      <c r="C920" s="85" t="s">
        <v>380</v>
      </c>
      <c r="D920" s="85"/>
      <c r="E920" s="85"/>
      <c r="F920" s="85"/>
      <c r="G920" s="406" t="s">
        <v>234</v>
      </c>
      <c r="H920" s="407"/>
      <c r="I920" s="85"/>
      <c r="J920" s="83">
        <f>IF(G920=$B$998,$A$998,IF(G920=$B$999,$A$999,IF(G920=$B$1000,$A$1000,IF(G920=$B$1001,$A$1001,IF(G920=$B$1002,$A$1002,"Not Calculated")))))</f>
        <v>4</v>
      </c>
      <c r="K920" s="87"/>
    </row>
    <row r="921" spans="2:11" x14ac:dyDescent="0.2">
      <c r="B921" s="81"/>
      <c r="C921" s="85" t="s">
        <v>134</v>
      </c>
      <c r="D921" s="85"/>
      <c r="E921" s="85"/>
      <c r="F921" s="85"/>
      <c r="G921" s="85"/>
      <c r="H921" s="85"/>
      <c r="I921" s="85"/>
      <c r="J921" s="240">
        <f>'Baseline HP'!J68</f>
        <v>0</v>
      </c>
      <c r="K921" s="87"/>
    </row>
    <row r="922" spans="2:11" x14ac:dyDescent="0.2">
      <c r="B922" s="81"/>
      <c r="C922" s="85"/>
      <c r="D922" s="85"/>
      <c r="E922" s="85"/>
      <c r="F922" s="85"/>
      <c r="G922" s="85"/>
      <c r="H922" s="85"/>
      <c r="I922" s="85"/>
      <c r="J922" s="85"/>
      <c r="K922" s="87"/>
    </row>
    <row r="923" spans="2:11" ht="16" x14ac:dyDescent="0.2">
      <c r="B923" s="81"/>
      <c r="C923" s="211" t="s">
        <v>121</v>
      </c>
      <c r="D923" s="85"/>
      <c r="E923" s="85"/>
      <c r="F923" s="85"/>
      <c r="G923" s="85"/>
      <c r="H923" s="85"/>
      <c r="I923" s="85"/>
      <c r="J923" s="85"/>
      <c r="K923" s="87"/>
    </row>
    <row r="924" spans="2:11" x14ac:dyDescent="0.2">
      <c r="B924" s="81"/>
      <c r="C924" s="85" t="s">
        <v>380</v>
      </c>
      <c r="D924" s="85"/>
      <c r="E924" s="85"/>
      <c r="F924" s="85"/>
      <c r="G924" s="406" t="s">
        <v>234</v>
      </c>
      <c r="H924" s="407"/>
      <c r="I924" s="85"/>
      <c r="J924" s="83">
        <f>IF(G924=$B$998,$A$998,IF(G924=$B$999,$A$999,IF(G924=$B$1000,$A$1000,IF(G924=$B$1001,$A$1001,IF(G924=$B$1002,$A$1002,"Not Calculated")))))</f>
        <v>4</v>
      </c>
      <c r="K924" s="87"/>
    </row>
    <row r="925" spans="2:11" x14ac:dyDescent="0.2">
      <c r="B925" s="81"/>
      <c r="C925" s="85" t="s">
        <v>134</v>
      </c>
      <c r="D925" s="85"/>
      <c r="E925" s="85"/>
      <c r="F925" s="85"/>
      <c r="G925" s="85"/>
      <c r="H925" s="85"/>
      <c r="I925" s="85"/>
      <c r="J925" s="240">
        <f>'Baseline HP'!J84</f>
        <v>0</v>
      </c>
      <c r="K925" s="87"/>
    </row>
    <row r="926" spans="2:11" x14ac:dyDescent="0.2">
      <c r="B926" s="81"/>
      <c r="C926" s="85"/>
      <c r="D926" s="85"/>
      <c r="E926" s="85"/>
      <c r="F926" s="85"/>
      <c r="G926" s="85"/>
      <c r="H926" s="85"/>
      <c r="I926" s="85"/>
      <c r="J926" s="85"/>
      <c r="K926" s="87"/>
    </row>
    <row r="927" spans="2:11" ht="16" x14ac:dyDescent="0.2">
      <c r="B927" s="81"/>
      <c r="C927" s="211" t="s">
        <v>652</v>
      </c>
      <c r="D927" s="85"/>
      <c r="E927" s="85"/>
      <c r="F927" s="85"/>
      <c r="G927" s="85"/>
      <c r="H927" s="85"/>
      <c r="I927" s="85"/>
      <c r="J927" s="85"/>
      <c r="K927" s="87"/>
    </row>
    <row r="928" spans="2:11" x14ac:dyDescent="0.2">
      <c r="B928" s="81"/>
      <c r="C928" s="85" t="s">
        <v>380</v>
      </c>
      <c r="D928" s="85"/>
      <c r="E928" s="85"/>
      <c r="F928" s="85"/>
      <c r="G928" s="406" t="s">
        <v>234</v>
      </c>
      <c r="H928" s="407"/>
      <c r="I928" s="85"/>
      <c r="J928" s="83">
        <f>IF(G928=$B$998,$A$998,IF(G928=$B$999,$A$999,IF(G928=$B$1000,$A$1000,IF(G928=$B$1001,$A$1001,IF(G928=$B$1002,$A$1002,"Not Calculated")))))</f>
        <v>4</v>
      </c>
      <c r="K928" s="87"/>
    </row>
    <row r="929" spans="2:11" x14ac:dyDescent="0.2">
      <c r="B929" s="81"/>
      <c r="C929" s="85" t="s">
        <v>134</v>
      </c>
      <c r="D929" s="85"/>
      <c r="E929" s="85"/>
      <c r="F929" s="85"/>
      <c r="G929" s="85"/>
      <c r="H929" s="85"/>
      <c r="I929" s="85"/>
      <c r="J929" s="240">
        <f>'Baseline HP'!J94</f>
        <v>0</v>
      </c>
      <c r="K929" s="87"/>
    </row>
    <row r="930" spans="2:11" x14ac:dyDescent="0.2">
      <c r="B930" s="81"/>
      <c r="C930" s="85"/>
      <c r="D930" s="85"/>
      <c r="E930" s="85"/>
      <c r="F930" s="85"/>
      <c r="G930" s="85"/>
      <c r="H930" s="85"/>
      <c r="I930" s="85"/>
      <c r="J930" s="85"/>
      <c r="K930" s="87"/>
    </row>
    <row r="931" spans="2:11" ht="16" x14ac:dyDescent="0.2">
      <c r="B931" s="81"/>
      <c r="C931" s="211" t="s">
        <v>653</v>
      </c>
      <c r="D931" s="85"/>
      <c r="E931" s="85"/>
      <c r="F931" s="85"/>
      <c r="G931" s="85"/>
      <c r="H931" s="85"/>
      <c r="I931" s="85"/>
      <c r="J931" s="85"/>
      <c r="K931" s="87"/>
    </row>
    <row r="932" spans="2:11" x14ac:dyDescent="0.2">
      <c r="B932" s="81"/>
      <c r="C932" s="85" t="s">
        <v>380</v>
      </c>
      <c r="D932" s="85"/>
      <c r="E932" s="85"/>
      <c r="F932" s="85"/>
      <c r="G932" s="406" t="s">
        <v>234</v>
      </c>
      <c r="H932" s="407"/>
      <c r="I932" s="85"/>
      <c r="J932" s="83">
        <f>IF(G932=$B$998,$A$998,IF(G932=$B$999,$A$999,IF(G932=$B$1000,$A$1000,IF(G932=$B$1001,$A$1001,IF(G932=$B$1002,$A$1002,"Not Calculated")))))</f>
        <v>4</v>
      </c>
      <c r="K932" s="87"/>
    </row>
    <row r="933" spans="2:11" x14ac:dyDescent="0.2">
      <c r="B933" s="81"/>
      <c r="C933" s="85" t="s">
        <v>134</v>
      </c>
      <c r="D933" s="85"/>
      <c r="E933" s="85"/>
      <c r="F933" s="85"/>
      <c r="G933" s="85"/>
      <c r="H933" s="85"/>
      <c r="I933" s="85"/>
      <c r="J933" s="240">
        <f>'Baseline HP'!J108</f>
        <v>0</v>
      </c>
      <c r="K933" s="87"/>
    </row>
    <row r="934" spans="2:11" x14ac:dyDescent="0.2">
      <c r="B934" s="81"/>
      <c r="C934" s="85"/>
      <c r="D934" s="85"/>
      <c r="E934" s="85"/>
      <c r="F934" s="85"/>
      <c r="G934" s="85"/>
      <c r="H934" s="85"/>
      <c r="I934" s="85"/>
      <c r="J934" s="85"/>
      <c r="K934" s="87"/>
    </row>
    <row r="935" spans="2:11" x14ac:dyDescent="0.2">
      <c r="B935" s="81"/>
      <c r="C935" s="85"/>
      <c r="D935" s="85"/>
      <c r="E935" s="85"/>
      <c r="F935" s="85"/>
      <c r="G935" s="85"/>
      <c r="H935" s="85"/>
      <c r="I935" s="85"/>
      <c r="J935" s="85"/>
      <c r="K935" s="87"/>
    </row>
    <row r="936" spans="2:11" ht="16" x14ac:dyDescent="0.2">
      <c r="B936" s="81"/>
      <c r="C936" s="212" t="s">
        <v>812</v>
      </c>
      <c r="D936" s="85"/>
      <c r="E936" s="85"/>
      <c r="F936" s="85"/>
      <c r="G936" s="85"/>
      <c r="H936" s="85"/>
      <c r="I936" s="85"/>
      <c r="J936" s="241">
        <f>IF(OR(J920="Not Calculated",J924="Not Calculated",J928="Not Calculated",J932="Not Calculated",J904="Not Calculated",J908="Not Calculated",J912="Not Calculated",J916="Not Calculated",J921="Not Calculated",J925="Not Calculated",J929="Not Calculated",J933="Not Calculated",J905="Not Calculated",J909="Not Calculated",J913="Not Calculated",J917="Not Calculated")=TRUE,"Not Calculated",((J904*J905)+(J908*J909)+(J912*J913)+(J916*J917)+(J920*J921)+(J924*J925)+(J928*J929)+(J932*J933))/(J904+J908+J912+J916+J920+J924+J928+J932))</f>
        <v>0</v>
      </c>
      <c r="K936" s="87"/>
    </row>
    <row r="937" spans="2:11" ht="16" thickBot="1" x14ac:dyDescent="0.25">
      <c r="B937" s="213"/>
      <c r="C937" s="94"/>
      <c r="D937" s="94"/>
      <c r="E937" s="94"/>
      <c r="F937" s="94"/>
      <c r="G937" s="94"/>
      <c r="H937" s="94"/>
      <c r="I937" s="94"/>
      <c r="J937" s="94"/>
      <c r="K937" s="96"/>
    </row>
    <row r="938" spans="2:11" ht="16" thickBot="1" x14ac:dyDescent="0.25"/>
    <row r="939" spans="2:11" x14ac:dyDescent="0.2">
      <c r="B939" s="77"/>
      <c r="C939" s="78"/>
      <c r="D939" s="78"/>
      <c r="E939" s="78"/>
      <c r="F939" s="78"/>
      <c r="G939" s="78"/>
      <c r="H939" s="78"/>
      <c r="I939" s="78"/>
      <c r="J939" s="78"/>
      <c r="K939" s="80"/>
    </row>
    <row r="940" spans="2:11" ht="21" x14ac:dyDescent="0.25">
      <c r="B940" s="81"/>
      <c r="C940" s="85" t="s">
        <v>868</v>
      </c>
      <c r="D940" s="85"/>
      <c r="E940" s="85"/>
      <c r="F940" s="85"/>
      <c r="G940" s="210" t="s">
        <v>815</v>
      </c>
      <c r="H940" s="85"/>
      <c r="I940" s="85"/>
      <c r="J940" s="85"/>
      <c r="K940" s="87"/>
    </row>
    <row r="941" spans="2:11" ht="21" x14ac:dyDescent="0.25">
      <c r="B941" s="81"/>
      <c r="C941" s="85"/>
      <c r="D941" s="85"/>
      <c r="E941" s="85"/>
      <c r="F941" s="85"/>
      <c r="G941" s="210"/>
      <c r="H941" s="85"/>
      <c r="I941" s="85"/>
      <c r="J941" s="85"/>
      <c r="K941" s="87"/>
    </row>
    <row r="942" spans="2:11" ht="16" x14ac:dyDescent="0.2">
      <c r="B942" s="81"/>
      <c r="C942" s="212" t="s">
        <v>995</v>
      </c>
      <c r="D942" s="85"/>
      <c r="E942" s="85"/>
      <c r="F942" s="85"/>
      <c r="G942" s="85"/>
      <c r="H942" s="85"/>
      <c r="I942" s="85"/>
      <c r="J942" s="241">
        <f>IF(OR(J936="Not Calculated",J894="Not Calculated")=TRUE,"Not Calculated",AVERAGE(J936,J894))</f>
        <v>0</v>
      </c>
      <c r="K942" s="87"/>
    </row>
    <row r="943" spans="2:11" ht="16" x14ac:dyDescent="0.2">
      <c r="B943" s="81"/>
      <c r="C943" s="212" t="s">
        <v>868</v>
      </c>
      <c r="D943" s="85" t="s">
        <v>814</v>
      </c>
      <c r="E943" s="85"/>
      <c r="F943" s="85"/>
      <c r="G943" s="85"/>
      <c r="H943" s="85"/>
      <c r="I943" s="85"/>
      <c r="J943" s="241"/>
      <c r="K943" s="87"/>
    </row>
    <row r="944" spans="2:11" ht="17" thickBot="1" x14ac:dyDescent="0.25">
      <c r="B944" s="213"/>
      <c r="C944" s="227"/>
      <c r="D944" s="94"/>
      <c r="E944" s="94"/>
      <c r="F944" s="94"/>
      <c r="G944" s="94"/>
      <c r="H944" s="94"/>
      <c r="I944" s="94"/>
      <c r="J944" s="228"/>
      <c r="K944" s="96"/>
    </row>
    <row r="945" spans="2:11" ht="16" thickBot="1" x14ac:dyDescent="0.25"/>
    <row r="946" spans="2:11" x14ac:dyDescent="0.2">
      <c r="B946" s="214"/>
      <c r="C946" s="215"/>
      <c r="D946" s="215"/>
      <c r="E946" s="215"/>
      <c r="F946" s="215"/>
      <c r="G946" s="215"/>
      <c r="H946" s="215"/>
      <c r="I946" s="215"/>
      <c r="J946" s="215"/>
      <c r="K946" s="216"/>
    </row>
    <row r="947" spans="2:11" ht="21" x14ac:dyDescent="0.25">
      <c r="B947" s="217"/>
      <c r="C947" s="218" t="s">
        <v>869</v>
      </c>
      <c r="D947" s="218"/>
      <c r="E947" s="218"/>
      <c r="F947" s="218"/>
      <c r="G947" s="219" t="s">
        <v>239</v>
      </c>
      <c r="H947" s="218"/>
      <c r="I947" s="218"/>
      <c r="J947" s="218"/>
      <c r="K947" s="220"/>
    </row>
    <row r="948" spans="2:11" x14ac:dyDescent="0.2">
      <c r="B948" s="217"/>
      <c r="C948" s="218"/>
      <c r="D948" s="218"/>
      <c r="E948" s="218"/>
      <c r="F948" s="218"/>
      <c r="G948" s="218"/>
      <c r="H948" s="218"/>
      <c r="I948" s="218"/>
      <c r="J948" s="218"/>
      <c r="K948" s="220"/>
    </row>
    <row r="949" spans="2:11" ht="16" x14ac:dyDescent="0.2">
      <c r="B949" s="217"/>
      <c r="C949" s="221" t="s">
        <v>393</v>
      </c>
      <c r="D949" s="218"/>
      <c r="E949" s="218"/>
      <c r="F949" s="218"/>
      <c r="G949" s="218"/>
      <c r="H949" s="218"/>
      <c r="I949" s="218"/>
      <c r="J949" s="242" t="str">
        <f>IF(OR(J817="Not Calculated",J942="Not Calculated")=TRUE,"Not Calculated",J817/J942)</f>
        <v>Not Calculated</v>
      </c>
      <c r="K949" s="220"/>
    </row>
    <row r="950" spans="2:11" x14ac:dyDescent="0.2">
      <c r="B950" s="217"/>
      <c r="C950" s="218" t="s">
        <v>869</v>
      </c>
      <c r="D950" s="218" t="s">
        <v>816</v>
      </c>
      <c r="E950" s="218"/>
      <c r="F950" s="218"/>
      <c r="G950" s="218"/>
      <c r="H950" s="218"/>
      <c r="I950" s="218"/>
      <c r="J950" s="218"/>
      <c r="K950" s="220"/>
    </row>
    <row r="951" spans="2:11" x14ac:dyDescent="0.2">
      <c r="B951" s="217"/>
      <c r="C951" s="218"/>
      <c r="D951" s="218"/>
      <c r="E951" s="218"/>
      <c r="F951" s="218"/>
      <c r="G951" s="218"/>
      <c r="H951" s="218"/>
      <c r="I951" s="218"/>
      <c r="J951" s="218"/>
      <c r="K951" s="220"/>
    </row>
    <row r="952" spans="2:11" ht="16" x14ac:dyDescent="0.2">
      <c r="B952" s="217"/>
      <c r="C952" s="221" t="s">
        <v>996</v>
      </c>
      <c r="D952" s="218"/>
      <c r="E952" s="218"/>
      <c r="F952" s="218"/>
      <c r="G952" s="218"/>
      <c r="H952" s="218"/>
      <c r="I952" s="218"/>
      <c r="J952" s="242" t="str">
        <f>IF(OR(J820="Not Calculated",J894="Not Calculated")=TRUE,"Not Calculated",J820/J894)</f>
        <v>Not Calculated</v>
      </c>
      <c r="K952" s="220"/>
    </row>
    <row r="953" spans="2:11" x14ac:dyDescent="0.2">
      <c r="B953" s="217"/>
      <c r="C953" s="218"/>
      <c r="D953" s="218" t="s">
        <v>817</v>
      </c>
      <c r="E953" s="218"/>
      <c r="F953" s="218"/>
      <c r="G953" s="218"/>
      <c r="H953" s="218"/>
      <c r="I953" s="218"/>
      <c r="J953" s="218"/>
      <c r="K953" s="220"/>
    </row>
    <row r="954" spans="2:11" x14ac:dyDescent="0.2">
      <c r="B954" s="217"/>
      <c r="C954" s="218"/>
      <c r="D954" s="218"/>
      <c r="E954" s="218"/>
      <c r="F954" s="218"/>
      <c r="G954" s="218"/>
      <c r="H954" s="218"/>
      <c r="I954" s="218"/>
      <c r="J954" s="218"/>
      <c r="K954" s="220"/>
    </row>
    <row r="955" spans="2:11" ht="16" x14ac:dyDescent="0.2">
      <c r="B955" s="217"/>
      <c r="C955" s="221" t="s">
        <v>997</v>
      </c>
      <c r="D955" s="218"/>
      <c r="E955" s="218"/>
      <c r="F955" s="218"/>
      <c r="G955" s="218"/>
      <c r="H955" s="218"/>
      <c r="I955" s="218"/>
      <c r="J955" s="242" t="str">
        <f>IF(OR(J936="Not Calculated",J823="Not Calculated")=TRUE,"Not Calculated",J823/J936)</f>
        <v>Not Calculated</v>
      </c>
      <c r="K955" s="220"/>
    </row>
    <row r="956" spans="2:11" x14ac:dyDescent="0.2">
      <c r="B956" s="217"/>
      <c r="C956" s="218"/>
      <c r="D956" s="218" t="s">
        <v>818</v>
      </c>
      <c r="E956" s="218"/>
      <c r="F956" s="218"/>
      <c r="G956" s="218"/>
      <c r="H956" s="218"/>
      <c r="I956" s="218"/>
      <c r="J956" s="218"/>
      <c r="K956" s="220"/>
    </row>
    <row r="957" spans="2:11" ht="16" thickBot="1" x14ac:dyDescent="0.25">
      <c r="B957" s="222"/>
      <c r="C957" s="223"/>
      <c r="D957" s="223"/>
      <c r="E957" s="223"/>
      <c r="F957" s="223"/>
      <c r="G957" s="223"/>
      <c r="H957" s="223"/>
      <c r="I957" s="223"/>
      <c r="J957" s="223"/>
      <c r="K957" s="224"/>
    </row>
    <row r="959" spans="2:11" ht="15" customHeight="1" x14ac:dyDescent="0.2">
      <c r="F959" s="405"/>
      <c r="G959" s="405"/>
      <c r="H959" s="405"/>
    </row>
    <row r="960" spans="2:11" x14ac:dyDescent="0.2">
      <c r="F960" s="405"/>
      <c r="G960" s="405"/>
      <c r="H960" s="405"/>
    </row>
    <row r="965" spans="1:3" ht="15" customHeight="1" x14ac:dyDescent="0.2">
      <c r="A965" s="12" t="s">
        <v>228</v>
      </c>
    </row>
    <row r="966" spans="1:3" ht="15" hidden="1" customHeight="1" x14ac:dyDescent="0.2">
      <c r="A966" s="12">
        <v>0</v>
      </c>
      <c r="B966" s="12" t="s">
        <v>250</v>
      </c>
      <c r="C966" s="12" t="s">
        <v>240</v>
      </c>
    </row>
    <row r="967" spans="1:3" ht="15" hidden="1" customHeight="1" x14ac:dyDescent="0.2">
      <c r="A967" s="12">
        <v>1</v>
      </c>
      <c r="B967" s="12" t="s">
        <v>251</v>
      </c>
      <c r="C967" s="12" t="s">
        <v>241</v>
      </c>
    </row>
    <row r="968" spans="1:3" ht="15" hidden="1" customHeight="1" x14ac:dyDescent="0.2">
      <c r="A968" s="12">
        <v>2</v>
      </c>
      <c r="B968" s="12" t="s">
        <v>252</v>
      </c>
      <c r="C968" s="12" t="s">
        <v>242</v>
      </c>
    </row>
    <row r="969" spans="1:3" ht="15" hidden="1" customHeight="1" x14ac:dyDescent="0.2">
      <c r="A969" s="12">
        <v>3</v>
      </c>
      <c r="B969" s="12" t="s">
        <v>253</v>
      </c>
      <c r="C969" s="12" t="s">
        <v>227</v>
      </c>
    </row>
    <row r="970" spans="1:3" ht="15" hidden="1" customHeight="1" x14ac:dyDescent="0.2">
      <c r="A970" s="12">
        <v>4</v>
      </c>
      <c r="B970" s="12" t="s">
        <v>254</v>
      </c>
      <c r="C970" s="12" t="s">
        <v>243</v>
      </c>
    </row>
    <row r="971" spans="1:3" ht="15" hidden="1" customHeight="1" x14ac:dyDescent="0.2"/>
    <row r="972" spans="1:3" ht="15" hidden="1" customHeight="1" x14ac:dyDescent="0.2">
      <c r="A972" s="12" t="s">
        <v>259</v>
      </c>
    </row>
    <row r="973" spans="1:3" ht="15" hidden="1" customHeight="1" x14ac:dyDescent="0.2">
      <c r="A973" s="12">
        <v>0</v>
      </c>
      <c r="B973" s="225" t="s">
        <v>870</v>
      </c>
    </row>
    <row r="974" spans="1:3" ht="15" hidden="1" customHeight="1" x14ac:dyDescent="0.2">
      <c r="A974" s="12">
        <v>1</v>
      </c>
      <c r="B974" s="12" t="s">
        <v>880</v>
      </c>
    </row>
    <row r="975" spans="1:3" ht="15" hidden="1" customHeight="1" x14ac:dyDescent="0.2">
      <c r="A975" s="12">
        <v>2</v>
      </c>
      <c r="B975" s="12" t="s">
        <v>872</v>
      </c>
    </row>
    <row r="976" spans="1:3" ht="15" hidden="1" customHeight="1" x14ac:dyDescent="0.2">
      <c r="A976" s="12">
        <v>3</v>
      </c>
      <c r="B976" s="12" t="s">
        <v>873</v>
      </c>
    </row>
    <row r="977" spans="1:2" ht="15" hidden="1" customHeight="1" x14ac:dyDescent="0.2">
      <c r="A977" s="12">
        <v>4</v>
      </c>
      <c r="B977" s="12" t="s">
        <v>874</v>
      </c>
    </row>
    <row r="978" spans="1:2" ht="15" hidden="1" customHeight="1" x14ac:dyDescent="0.2"/>
    <row r="979" spans="1:2" ht="15" hidden="1" customHeight="1" x14ac:dyDescent="0.2">
      <c r="A979" s="12" t="s">
        <v>294</v>
      </c>
    </row>
    <row r="980" spans="1:2" ht="15" hidden="1" customHeight="1" x14ac:dyDescent="0.2">
      <c r="A980" s="12">
        <v>0</v>
      </c>
      <c r="B980" s="225" t="s">
        <v>870</v>
      </c>
    </row>
    <row r="981" spans="1:2" ht="15" hidden="1" customHeight="1" x14ac:dyDescent="0.2">
      <c r="A981" s="12">
        <v>1</v>
      </c>
      <c r="B981" s="12" t="s">
        <v>875</v>
      </c>
    </row>
    <row r="982" spans="1:2" ht="15" hidden="1" customHeight="1" x14ac:dyDescent="0.2">
      <c r="A982" s="12">
        <v>2</v>
      </c>
      <c r="B982" s="12" t="s">
        <v>876</v>
      </c>
    </row>
    <row r="983" spans="1:2" ht="15" hidden="1" customHeight="1" x14ac:dyDescent="0.2">
      <c r="A983" s="12">
        <v>3</v>
      </c>
      <c r="B983" s="12" t="s">
        <v>877</v>
      </c>
    </row>
    <row r="984" spans="1:2" ht="15" hidden="1" customHeight="1" x14ac:dyDescent="0.2">
      <c r="A984" s="12">
        <v>4</v>
      </c>
      <c r="B984" s="12" t="s">
        <v>878</v>
      </c>
    </row>
    <row r="985" spans="1:2" ht="15" hidden="1" customHeight="1" x14ac:dyDescent="0.2"/>
    <row r="986" spans="1:2" ht="15" hidden="1" customHeight="1" x14ac:dyDescent="0.2">
      <c r="A986" s="12" t="s">
        <v>244</v>
      </c>
    </row>
    <row r="987" spans="1:2" ht="15" hidden="1" customHeight="1" x14ac:dyDescent="0.2">
      <c r="A987" s="12">
        <v>0</v>
      </c>
      <c r="B987" s="12" t="s">
        <v>245</v>
      </c>
    </row>
    <row r="988" spans="1:2" ht="15" hidden="1" customHeight="1" x14ac:dyDescent="0.2">
      <c r="A988" s="12">
        <v>1</v>
      </c>
      <c r="B988" s="12" t="s">
        <v>246</v>
      </c>
    </row>
    <row r="989" spans="1:2" ht="15" hidden="1" customHeight="1" x14ac:dyDescent="0.2">
      <c r="A989" s="12">
        <v>2</v>
      </c>
      <c r="B989" s="12" t="s">
        <v>247</v>
      </c>
    </row>
    <row r="990" spans="1:2" ht="15" hidden="1" customHeight="1" x14ac:dyDescent="0.2">
      <c r="A990" s="12">
        <v>3</v>
      </c>
      <c r="B990" s="12" t="s">
        <v>229</v>
      </c>
    </row>
    <row r="991" spans="1:2" ht="15" hidden="1" customHeight="1" x14ac:dyDescent="0.2">
      <c r="A991" s="12">
        <v>4</v>
      </c>
      <c r="B991" s="12" t="s">
        <v>248</v>
      </c>
    </row>
    <row r="992" spans="1:2" ht="15" hidden="1" customHeight="1" x14ac:dyDescent="0.2"/>
    <row r="993" spans="1:11" ht="15" hidden="1" customHeight="1" x14ac:dyDescent="0.2">
      <c r="A993" s="12" t="s">
        <v>381</v>
      </c>
    </row>
    <row r="994" spans="1:11" ht="15" hidden="1" customHeight="1" x14ac:dyDescent="0.2">
      <c r="A994" s="12">
        <v>0</v>
      </c>
      <c r="B994" s="12" t="s">
        <v>202</v>
      </c>
    </row>
    <row r="995" spans="1:11" ht="15" hidden="1" customHeight="1" x14ac:dyDescent="0.2">
      <c r="A995" s="12">
        <v>1</v>
      </c>
      <c r="B995" s="12" t="s">
        <v>190</v>
      </c>
    </row>
    <row r="996" spans="1:11" ht="15" hidden="1" customHeight="1" x14ac:dyDescent="0.2"/>
    <row r="997" spans="1:11" ht="15" hidden="1" customHeight="1" x14ac:dyDescent="0.2">
      <c r="A997" s="12" t="s">
        <v>249</v>
      </c>
    </row>
    <row r="998" spans="1:11" ht="15" hidden="1" customHeight="1" x14ac:dyDescent="0.2">
      <c r="A998" s="12">
        <v>0</v>
      </c>
      <c r="B998" s="12" t="s">
        <v>236</v>
      </c>
    </row>
    <row r="999" spans="1:11" ht="15" hidden="1" customHeight="1" x14ac:dyDescent="0.2">
      <c r="A999" s="12">
        <v>1</v>
      </c>
      <c r="B999" s="12" t="s">
        <v>237</v>
      </c>
    </row>
    <row r="1000" spans="1:11" ht="15" hidden="1" customHeight="1" x14ac:dyDescent="0.2">
      <c r="A1000" s="12">
        <v>2</v>
      </c>
      <c r="B1000" s="12" t="s">
        <v>235</v>
      </c>
    </row>
    <row r="1001" spans="1:11" ht="15" hidden="1" customHeight="1" x14ac:dyDescent="0.2">
      <c r="A1001" s="12">
        <v>3</v>
      </c>
      <c r="B1001" s="12" t="s">
        <v>238</v>
      </c>
    </row>
    <row r="1002" spans="1:11" ht="15" hidden="1" customHeight="1" x14ac:dyDescent="0.2">
      <c r="A1002" s="12">
        <v>4</v>
      </c>
      <c r="B1002" s="12" t="s">
        <v>234</v>
      </c>
    </row>
    <row r="1003" spans="1:11" ht="15" hidden="1" customHeight="1" x14ac:dyDescent="0.2">
      <c r="B1003" s="12" t="s">
        <v>685</v>
      </c>
    </row>
    <row r="1004" spans="1:11" ht="44.25" customHeight="1" x14ac:dyDescent="0.2">
      <c r="B1004" s="465" t="s">
        <v>836</v>
      </c>
      <c r="C1004" s="466"/>
      <c r="D1004" s="466"/>
      <c r="E1004" s="466"/>
      <c r="F1004" s="466"/>
      <c r="G1004" s="466"/>
      <c r="H1004" s="466"/>
      <c r="I1004" s="466"/>
      <c r="J1004" s="466"/>
      <c r="K1004" s="467"/>
    </row>
    <row r="1005" spans="1:11" ht="15" customHeight="1" x14ac:dyDescent="0.2">
      <c r="B1005" s="396"/>
      <c r="C1005" s="397"/>
      <c r="D1005" s="397"/>
      <c r="E1005" s="397"/>
      <c r="F1005" s="397"/>
      <c r="G1005" s="397"/>
      <c r="H1005" s="397"/>
      <c r="I1005" s="397"/>
      <c r="J1005" s="397"/>
      <c r="K1005" s="398"/>
    </row>
    <row r="1006" spans="1:11" ht="15" customHeight="1" x14ac:dyDescent="0.2">
      <c r="B1006" s="396" t="s">
        <v>695</v>
      </c>
      <c r="C1006" s="397"/>
      <c r="D1006" s="397"/>
      <c r="E1006" s="397"/>
      <c r="F1006" s="397"/>
      <c r="G1006" s="397"/>
      <c r="H1006" s="397"/>
      <c r="I1006" s="397"/>
      <c r="J1006" s="397"/>
      <c r="K1006" s="398"/>
    </row>
    <row r="1007" spans="1:11" ht="15" customHeight="1" x14ac:dyDescent="0.2">
      <c r="B1007" s="396"/>
      <c r="C1007" s="397"/>
      <c r="D1007" s="397"/>
      <c r="E1007" s="397"/>
      <c r="F1007" s="397"/>
      <c r="G1007" s="397"/>
      <c r="H1007" s="397"/>
      <c r="I1007" s="397"/>
      <c r="J1007" s="397"/>
      <c r="K1007" s="398"/>
    </row>
    <row r="1008" spans="1:11" ht="15" customHeight="1" x14ac:dyDescent="0.2">
      <c r="B1008" s="396" t="s">
        <v>727</v>
      </c>
      <c r="C1008" s="397"/>
      <c r="D1008" s="397"/>
      <c r="E1008" s="397"/>
      <c r="F1008" s="397"/>
      <c r="G1008" s="397"/>
      <c r="H1008" s="397"/>
      <c r="I1008" s="397"/>
      <c r="J1008" s="397"/>
      <c r="K1008" s="398"/>
    </row>
    <row r="1009" spans="2:11" ht="15" customHeight="1" x14ac:dyDescent="0.2">
      <c r="B1009" s="396"/>
      <c r="C1009" s="397"/>
      <c r="D1009" s="397"/>
      <c r="E1009" s="397"/>
      <c r="F1009" s="397"/>
      <c r="G1009" s="397"/>
      <c r="H1009" s="397"/>
      <c r="I1009" s="397"/>
      <c r="J1009" s="397"/>
      <c r="K1009" s="398"/>
    </row>
    <row r="1010" spans="2:11" ht="30" customHeight="1" x14ac:dyDescent="0.2">
      <c r="B1010" s="396" t="s">
        <v>689</v>
      </c>
      <c r="C1010" s="397"/>
      <c r="D1010" s="397"/>
      <c r="E1010" s="397"/>
      <c r="F1010" s="397"/>
      <c r="G1010" s="397"/>
      <c r="H1010" s="397"/>
      <c r="I1010" s="397"/>
      <c r="J1010" s="397"/>
      <c r="K1010" s="398"/>
    </row>
    <row r="1011" spans="2:11" ht="15" customHeight="1" x14ac:dyDescent="0.2">
      <c r="B1011" s="396"/>
      <c r="C1011" s="397"/>
      <c r="D1011" s="397"/>
      <c r="E1011" s="397"/>
      <c r="F1011" s="397"/>
      <c r="G1011" s="397"/>
      <c r="H1011" s="397"/>
      <c r="I1011" s="397"/>
      <c r="J1011" s="397"/>
      <c r="K1011" s="398"/>
    </row>
    <row r="1012" spans="2:11" ht="30" customHeight="1" x14ac:dyDescent="0.2">
      <c r="B1012" s="396" t="s">
        <v>729</v>
      </c>
      <c r="C1012" s="397"/>
      <c r="D1012" s="397"/>
      <c r="E1012" s="397"/>
      <c r="F1012" s="397"/>
      <c r="G1012" s="397"/>
      <c r="H1012" s="397"/>
      <c r="I1012" s="397"/>
      <c r="J1012" s="397"/>
      <c r="K1012" s="398"/>
    </row>
    <row r="1013" spans="2:11" ht="15" customHeight="1" x14ac:dyDescent="0.2">
      <c r="B1013" s="396"/>
      <c r="C1013" s="397"/>
      <c r="D1013" s="397"/>
      <c r="E1013" s="397"/>
      <c r="F1013" s="397"/>
      <c r="G1013" s="397"/>
      <c r="H1013" s="397"/>
      <c r="I1013" s="397"/>
      <c r="J1013" s="397"/>
      <c r="K1013" s="398"/>
    </row>
    <row r="1014" spans="2:11" ht="30" customHeight="1" x14ac:dyDescent="0.2">
      <c r="B1014" s="396" t="s">
        <v>725</v>
      </c>
      <c r="C1014" s="397"/>
      <c r="D1014" s="397"/>
      <c r="E1014" s="397"/>
      <c r="F1014" s="397"/>
      <c r="G1014" s="397"/>
      <c r="H1014" s="397"/>
      <c r="I1014" s="397"/>
      <c r="J1014" s="397"/>
      <c r="K1014" s="398"/>
    </row>
    <row r="1015" spans="2:11" ht="15" customHeight="1" x14ac:dyDescent="0.2">
      <c r="B1015" s="396"/>
      <c r="C1015" s="397"/>
      <c r="D1015" s="397"/>
      <c r="E1015" s="397"/>
      <c r="F1015" s="397"/>
      <c r="G1015" s="397"/>
      <c r="H1015" s="397"/>
      <c r="I1015" s="397"/>
      <c r="J1015" s="397"/>
      <c r="K1015" s="398"/>
    </row>
    <row r="1016" spans="2:11" ht="45" customHeight="1" x14ac:dyDescent="0.2">
      <c r="B1016" s="396" t="s">
        <v>726</v>
      </c>
      <c r="C1016" s="397"/>
      <c r="D1016" s="397"/>
      <c r="E1016" s="397"/>
      <c r="F1016" s="397"/>
      <c r="G1016" s="397"/>
      <c r="H1016" s="397"/>
      <c r="I1016" s="397"/>
      <c r="J1016" s="397"/>
      <c r="K1016" s="398"/>
    </row>
    <row r="1017" spans="2:11" ht="15" customHeight="1" x14ac:dyDescent="0.2">
      <c r="B1017" s="396"/>
      <c r="C1017" s="397"/>
      <c r="D1017" s="397"/>
      <c r="E1017" s="397"/>
      <c r="F1017" s="397"/>
      <c r="G1017" s="397"/>
      <c r="H1017" s="397"/>
      <c r="I1017" s="397"/>
      <c r="J1017" s="397"/>
      <c r="K1017" s="398"/>
    </row>
    <row r="1018" spans="2:11" ht="15" customHeight="1" x14ac:dyDescent="0.2">
      <c r="B1018" s="396"/>
      <c r="C1018" s="397"/>
      <c r="D1018" s="397"/>
      <c r="E1018" s="397"/>
      <c r="F1018" s="397"/>
      <c r="G1018" s="397"/>
      <c r="H1018" s="397"/>
      <c r="I1018" s="397"/>
      <c r="J1018" s="397"/>
      <c r="K1018" s="398"/>
    </row>
    <row r="1019" spans="2:11" ht="15" customHeight="1" x14ac:dyDescent="0.2">
      <c r="B1019" s="396"/>
      <c r="C1019" s="397"/>
      <c r="D1019" s="397"/>
      <c r="E1019" s="397"/>
      <c r="F1019" s="397"/>
      <c r="G1019" s="397"/>
      <c r="H1019" s="397"/>
      <c r="I1019" s="397"/>
      <c r="J1019" s="397"/>
      <c r="K1019" s="398"/>
    </row>
    <row r="1020" spans="2:11" ht="15" customHeight="1" x14ac:dyDescent="0.2">
      <c r="B1020" s="396"/>
      <c r="C1020" s="397"/>
      <c r="D1020" s="397"/>
      <c r="E1020" s="397"/>
      <c r="F1020" s="397"/>
      <c r="G1020" s="397"/>
      <c r="H1020" s="397"/>
      <c r="I1020" s="397"/>
      <c r="J1020" s="397"/>
      <c r="K1020" s="398"/>
    </row>
    <row r="1021" spans="2:11" ht="15" customHeight="1" x14ac:dyDescent="0.2">
      <c r="B1021" s="396"/>
      <c r="C1021" s="397"/>
      <c r="D1021" s="397"/>
      <c r="E1021" s="397"/>
      <c r="F1021" s="397"/>
      <c r="G1021" s="397"/>
      <c r="H1021" s="397"/>
      <c r="I1021" s="397"/>
      <c r="J1021" s="397"/>
      <c r="K1021" s="398"/>
    </row>
    <row r="1022" spans="2:11" ht="15" customHeight="1" x14ac:dyDescent="0.2">
      <c r="B1022" s="396"/>
      <c r="C1022" s="397"/>
      <c r="D1022" s="397"/>
      <c r="E1022" s="397"/>
      <c r="F1022" s="397"/>
      <c r="G1022" s="397"/>
      <c r="H1022" s="397"/>
      <c r="I1022" s="397"/>
      <c r="J1022" s="397"/>
      <c r="K1022" s="398"/>
    </row>
    <row r="1023" spans="2:11" ht="15" customHeight="1" x14ac:dyDescent="0.2">
      <c r="B1023" s="396"/>
      <c r="C1023" s="397"/>
      <c r="D1023" s="397"/>
      <c r="E1023" s="397"/>
      <c r="F1023" s="397"/>
      <c r="G1023" s="397"/>
      <c r="H1023" s="397"/>
      <c r="I1023" s="397"/>
      <c r="J1023" s="397"/>
      <c r="K1023" s="398"/>
    </row>
    <row r="1024" spans="2:11" ht="15" customHeight="1" x14ac:dyDescent="0.2">
      <c r="B1024" s="396"/>
      <c r="C1024" s="397"/>
      <c r="D1024" s="397"/>
      <c r="E1024" s="397"/>
      <c r="F1024" s="397"/>
      <c r="G1024" s="397"/>
      <c r="H1024" s="397"/>
      <c r="I1024" s="397"/>
      <c r="J1024" s="397"/>
      <c r="K1024" s="398"/>
    </row>
    <row r="1025" spans="2:11" ht="15" customHeight="1" x14ac:dyDescent="0.2">
      <c r="B1025" s="396"/>
      <c r="C1025" s="397"/>
      <c r="D1025" s="397"/>
      <c r="E1025" s="397"/>
      <c r="F1025" s="397"/>
      <c r="G1025" s="397"/>
      <c r="H1025" s="397"/>
      <c r="I1025" s="397"/>
      <c r="J1025" s="397"/>
      <c r="K1025" s="398"/>
    </row>
    <row r="1026" spans="2:11" ht="15" customHeight="1" x14ac:dyDescent="0.2">
      <c r="B1026" s="396"/>
      <c r="C1026" s="397"/>
      <c r="D1026" s="397"/>
      <c r="E1026" s="397"/>
      <c r="F1026" s="397"/>
      <c r="G1026" s="397"/>
      <c r="H1026" s="397"/>
      <c r="I1026" s="397"/>
      <c r="J1026" s="397"/>
      <c r="K1026" s="398"/>
    </row>
    <row r="1027" spans="2:11" ht="15" customHeight="1" x14ac:dyDescent="0.2">
      <c r="B1027" s="396"/>
      <c r="C1027" s="397"/>
      <c r="D1027" s="397"/>
      <c r="E1027" s="397"/>
      <c r="F1027" s="397"/>
      <c r="G1027" s="397"/>
      <c r="H1027" s="397"/>
      <c r="I1027" s="397"/>
      <c r="J1027" s="397"/>
      <c r="K1027" s="398"/>
    </row>
    <row r="1028" spans="2:11" ht="15" customHeight="1" x14ac:dyDescent="0.2">
      <c r="B1028" s="396"/>
      <c r="C1028" s="397"/>
      <c r="D1028" s="397"/>
      <c r="E1028" s="397"/>
      <c r="F1028" s="397"/>
      <c r="G1028" s="397"/>
      <c r="H1028" s="397"/>
      <c r="I1028" s="397"/>
      <c r="J1028" s="397"/>
      <c r="K1028" s="398"/>
    </row>
    <row r="1029" spans="2:11" ht="15" customHeight="1" x14ac:dyDescent="0.2">
      <c r="B1029" s="393"/>
      <c r="C1029" s="394"/>
      <c r="D1029" s="394"/>
      <c r="E1029" s="394"/>
      <c r="F1029" s="394"/>
      <c r="G1029" s="394"/>
      <c r="H1029" s="394"/>
      <c r="I1029" s="394"/>
      <c r="J1029" s="394"/>
      <c r="K1029" s="395"/>
    </row>
  </sheetData>
  <sheetProtection formatCells="0" formatColumns="0" formatRows="0" selectLockedCells="1"/>
  <mergeCells count="152">
    <mergeCell ref="C292:I293"/>
    <mergeCell ref="C311:I312"/>
    <mergeCell ref="C340:I341"/>
    <mergeCell ref="C305:J305"/>
    <mergeCell ref="C385:J385"/>
    <mergeCell ref="C95:J95"/>
    <mergeCell ref="C114:J114"/>
    <mergeCell ref="C76:J76"/>
    <mergeCell ref="E15:J15"/>
    <mergeCell ref="C38:J38"/>
    <mergeCell ref="C57:J57"/>
    <mergeCell ref="C286:J286"/>
    <mergeCell ref="B5:K5"/>
    <mergeCell ref="B6:K6"/>
    <mergeCell ref="B7:K7"/>
    <mergeCell ref="B8:K8"/>
    <mergeCell ref="B9:K9"/>
    <mergeCell ref="B10:K10"/>
    <mergeCell ref="C257:J257"/>
    <mergeCell ref="C237:J237"/>
    <mergeCell ref="C216:J216"/>
    <mergeCell ref="C176:J176"/>
    <mergeCell ref="C196:J196"/>
    <mergeCell ref="C155:J155"/>
    <mergeCell ref="C120:J122"/>
    <mergeCell ref="C123:J124"/>
    <mergeCell ref="C129:J129"/>
    <mergeCell ref="C455:J455"/>
    <mergeCell ref="C402:J402"/>
    <mergeCell ref="C416:J416"/>
    <mergeCell ref="C438:J438"/>
    <mergeCell ref="C444:I445"/>
    <mergeCell ref="C365:J365"/>
    <mergeCell ref="C371:I372"/>
    <mergeCell ref="C324:J324"/>
    <mergeCell ref="C330:I331"/>
    <mergeCell ref="C347:J347"/>
    <mergeCell ref="D343:I344"/>
    <mergeCell ref="C420:I421"/>
    <mergeCell ref="C391:I392"/>
    <mergeCell ref="C613:J613"/>
    <mergeCell ref="C560:J560"/>
    <mergeCell ref="C566:I568"/>
    <mergeCell ref="C569:I571"/>
    <mergeCell ref="C583:J583"/>
    <mergeCell ref="C524:I525"/>
    <mergeCell ref="C535:J535"/>
    <mergeCell ref="C518:J518"/>
    <mergeCell ref="C471:J471"/>
    <mergeCell ref="C477:I478"/>
    <mergeCell ref="C486:J486"/>
    <mergeCell ref="C502:J502"/>
    <mergeCell ref="C599:J599"/>
    <mergeCell ref="G717:H717"/>
    <mergeCell ref="G718:H718"/>
    <mergeCell ref="C729:J731"/>
    <mergeCell ref="G732:H732"/>
    <mergeCell ref="G733:H733"/>
    <mergeCell ref="C620:I621"/>
    <mergeCell ref="C633:J633"/>
    <mergeCell ref="C639:I640"/>
    <mergeCell ref="C641:I643"/>
    <mergeCell ref="C714:J716"/>
    <mergeCell ref="C655:J655"/>
    <mergeCell ref="D664:I665"/>
    <mergeCell ref="C677:J677"/>
    <mergeCell ref="G737:H737"/>
    <mergeCell ref="G738:H738"/>
    <mergeCell ref="G734:H734"/>
    <mergeCell ref="G735:H735"/>
    <mergeCell ref="G724:H724"/>
    <mergeCell ref="G725:H725"/>
    <mergeCell ref="G719:H719"/>
    <mergeCell ref="G720:H720"/>
    <mergeCell ref="G721:H721"/>
    <mergeCell ref="G846:H846"/>
    <mergeCell ref="C830:J831"/>
    <mergeCell ref="G834:H834"/>
    <mergeCell ref="G838:H838"/>
    <mergeCell ref="G842:H842"/>
    <mergeCell ref="G769:H769"/>
    <mergeCell ref="G770:H770"/>
    <mergeCell ref="G767:H767"/>
    <mergeCell ref="G768:H768"/>
    <mergeCell ref="G766:H766"/>
    <mergeCell ref="G754:H754"/>
    <mergeCell ref="G755:H755"/>
    <mergeCell ref="G752:H752"/>
    <mergeCell ref="G753:H753"/>
    <mergeCell ref="C759:J761"/>
    <mergeCell ref="G762:H762"/>
    <mergeCell ref="G763:H763"/>
    <mergeCell ref="G764:H764"/>
    <mergeCell ref="G878:H878"/>
    <mergeCell ref="G722:H722"/>
    <mergeCell ref="G723:H723"/>
    <mergeCell ref="G850:H850"/>
    <mergeCell ref="G862:H862"/>
    <mergeCell ref="G866:H866"/>
    <mergeCell ref="G854:H854"/>
    <mergeCell ref="G858:H858"/>
    <mergeCell ref="F959:H960"/>
    <mergeCell ref="G736:H736"/>
    <mergeCell ref="C744:J746"/>
    <mergeCell ref="G747:H747"/>
    <mergeCell ref="G748:H748"/>
    <mergeCell ref="G749:H749"/>
    <mergeCell ref="G886:H886"/>
    <mergeCell ref="G890:H890"/>
    <mergeCell ref="G882:H882"/>
    <mergeCell ref="G870:H870"/>
    <mergeCell ref="G874:H874"/>
    <mergeCell ref="G765:H765"/>
    <mergeCell ref="G750:H750"/>
    <mergeCell ref="G751:H751"/>
    <mergeCell ref="G739:H739"/>
    <mergeCell ref="G740:H740"/>
    <mergeCell ref="B1004:K1004"/>
    <mergeCell ref="B1005:K1005"/>
    <mergeCell ref="B1006:K1006"/>
    <mergeCell ref="B1007:K1007"/>
    <mergeCell ref="B1008:K1008"/>
    <mergeCell ref="B1009:K1009"/>
    <mergeCell ref="B1010:K1010"/>
    <mergeCell ref="B1011:K1011"/>
    <mergeCell ref="B1012:K1012"/>
    <mergeCell ref="B1022:K1022"/>
    <mergeCell ref="B1023:K1023"/>
    <mergeCell ref="B1024:K1024"/>
    <mergeCell ref="B1025:K1025"/>
    <mergeCell ref="B1026:K1026"/>
    <mergeCell ref="B1027:K1027"/>
    <mergeCell ref="B1028:K1028"/>
    <mergeCell ref="B1029:K1029"/>
    <mergeCell ref="B1013:K1013"/>
    <mergeCell ref="B1014:K1014"/>
    <mergeCell ref="B1015:K1015"/>
    <mergeCell ref="B1016:K1016"/>
    <mergeCell ref="B1017:K1017"/>
    <mergeCell ref="B1018:K1018"/>
    <mergeCell ref="B1019:K1019"/>
    <mergeCell ref="B1020:K1020"/>
    <mergeCell ref="B1021:K1021"/>
    <mergeCell ref="G928:H928"/>
    <mergeCell ref="G932:H932"/>
    <mergeCell ref="G924:H924"/>
    <mergeCell ref="G916:H916"/>
    <mergeCell ref="G920:H920"/>
    <mergeCell ref="C900:J901"/>
    <mergeCell ref="G904:H904"/>
    <mergeCell ref="G908:H908"/>
    <mergeCell ref="G912:H912"/>
  </mergeCells>
  <dataValidations count="23">
    <dataValidation type="list" allowBlank="1" showInputMessage="1" showErrorMessage="1" sqref="E15:J15" xr:uid="{00000000-0002-0000-1600-000000000000}">
      <formula1>$C$966:$C$970</formula1>
    </dataValidation>
    <dataValidation type="list" allowBlank="1" showInputMessage="1" showErrorMessage="1" sqref="G834:H834 G886:H886 G882:H882 G878:H878 G874:H874 G866:H866 G870:H870 G862:H862 G842:H842 G858:H858 G854:H854 G850:H850 G846:H846 G838:H838 G890:H890 G904:H904 G928:H928 G924:H924 G912:H912 G920:H920 G916:H916 G908:H908 G932:H932" xr:uid="{00000000-0002-0000-1600-000001000000}">
      <formula1>$B$998:$B$1002</formula1>
    </dataValidation>
    <dataValidation type="list" allowBlank="1" showInputMessage="1" showErrorMessage="1" sqref="G717:H725 G762:H770 G732:H740 G747:H755" xr:uid="{00000000-0002-0000-1600-000002000000}">
      <formula1>$B$994:$B$995</formula1>
    </dataValidation>
    <dataValidation type="list" allowBlank="1" showInputMessage="1" showErrorMessage="1" sqref="J302 J362" xr:uid="{00000000-0002-0000-1600-000003000000}">
      <formula1>$B$980:$B$984</formula1>
    </dataValidation>
    <dataValidation type="list" allowBlank="1" showInputMessage="1" showErrorMessage="1" sqref="C123:J124" xr:uid="{00000000-0002-0000-1600-000004000000}">
      <formula1>$B$987:$B$991</formula1>
    </dataValidation>
    <dataValidation type="list" allowBlank="1" showInputMessage="1" showErrorMessage="1" sqref="J35 J213 J283 J652 J234 J54 J193 J173 J152 J126 J111 J92 J73 J254 J435 J452 J468 J499 J515 J532 J557 J580 J596 J674 J630" xr:uid="{00000000-0002-0000-1600-000005000000}">
      <formula1>$B$973:$B$977</formula1>
    </dataValidation>
    <dataValidation type="list" allowBlank="1" showInputMessage="1" showErrorMessage="1" sqref="J33" xr:uid="{00000000-0002-0000-1600-000006000000}">
      <formula1>$N$32:$N$37</formula1>
    </dataValidation>
    <dataValidation type="list" allowBlank="1" showInputMessage="1" showErrorMessage="1" sqref="J52" xr:uid="{00000000-0002-0000-1600-000007000000}">
      <formula1>$N$51:$N$56</formula1>
    </dataValidation>
    <dataValidation type="list" allowBlank="1" showInputMessage="1" showErrorMessage="1" sqref="J71" xr:uid="{00000000-0002-0000-1600-000008000000}">
      <formula1>$N$70:$N$75</formula1>
    </dataValidation>
    <dataValidation type="list" allowBlank="1" showInputMessage="1" showErrorMessage="1" sqref="J90" xr:uid="{00000000-0002-0000-1600-000009000000}">
      <formula1>$N$89:$N$94</formula1>
    </dataValidation>
    <dataValidation type="list" allowBlank="1" showInputMessage="1" showErrorMessage="1" sqref="J109" xr:uid="{00000000-0002-0000-1600-00000A000000}">
      <formula1>$N$108:$N$113</formula1>
    </dataValidation>
    <dataValidation type="list" allowBlank="1" showInputMessage="1" showErrorMessage="1" sqref="J150" xr:uid="{00000000-0002-0000-1600-00000B000000}">
      <formula1>$N$149:$N$154</formula1>
    </dataValidation>
    <dataValidation type="list" allowBlank="1" showInputMessage="1" showErrorMessage="1" sqref="J171" xr:uid="{00000000-0002-0000-1600-00000C000000}">
      <formula1>$N$170:$N$175</formula1>
    </dataValidation>
    <dataValidation type="list" allowBlank="1" showInputMessage="1" showErrorMessage="1" sqref="J191" xr:uid="{00000000-0002-0000-1600-00000D000000}">
      <formula1>$N$190:$N$195</formula1>
    </dataValidation>
    <dataValidation type="list" allowBlank="1" showInputMessage="1" showErrorMessage="1" sqref="J211" xr:uid="{00000000-0002-0000-1600-00000E000000}">
      <formula1>$N$210:$N$215</formula1>
    </dataValidation>
    <dataValidation type="list" allowBlank="1" showInputMessage="1" showErrorMessage="1" sqref="J232" xr:uid="{00000000-0002-0000-1600-00000F000000}">
      <formula1>$N$231:$N$236</formula1>
    </dataValidation>
    <dataValidation type="list" allowBlank="1" showInputMessage="1" showErrorMessage="1" sqref="J252" xr:uid="{00000000-0002-0000-1600-000010000000}">
      <formula1>$N$251:$N$256</formula1>
    </dataValidation>
    <dataValidation type="list" allowBlank="1" showInputMessage="1" showErrorMessage="1" sqref="J281" xr:uid="{00000000-0002-0000-1600-000011000000}">
      <formula1>$N$280:$N$285</formula1>
    </dataValidation>
    <dataValidation type="list" allowBlank="1" showInputMessage="1" showErrorMessage="1" sqref="J555" xr:uid="{00000000-0002-0000-1600-000012000000}">
      <formula1>$N$554:$N$559</formula1>
    </dataValidation>
    <dataValidation type="list" allowBlank="1" showInputMessage="1" showErrorMessage="1" sqref="J578" xr:uid="{00000000-0002-0000-1600-000013000000}">
      <formula1>$N$577:$N$582</formula1>
    </dataValidation>
    <dataValidation type="list" allowBlank="1" showInputMessage="1" showErrorMessage="1" sqref="J628" xr:uid="{00000000-0002-0000-1600-000014000000}">
      <formula1>$N$627:$N$632</formula1>
    </dataValidation>
    <dataValidation type="list" allowBlank="1" showInputMessage="1" showErrorMessage="1" sqref="J650" xr:uid="{00000000-0002-0000-1600-000015000000}">
      <formula1>$N$649:$N$654</formula1>
    </dataValidation>
    <dataValidation type="list" allowBlank="1" showInputMessage="1" showErrorMessage="1" sqref="J672" xr:uid="{00000000-0002-0000-1600-000016000000}">
      <formula1>$N$671:$N$676</formula1>
    </dataValidation>
  </dataValidations>
  <pageMargins left="0.7" right="0.7" top="0.75" bottom="0.75" header="0.3" footer="0.3"/>
  <pageSetup scale="70"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1"/>
  <dimension ref="A1:N1029"/>
  <sheetViews>
    <sheetView showGridLines="0" showRowColHeaders="0" zoomScaleNormal="100" workbookViewId="0">
      <selection activeCell="T416" sqref="T416"/>
    </sheetView>
  </sheetViews>
  <sheetFormatPr baseColWidth="10" defaultColWidth="9.1640625" defaultRowHeight="15" x14ac:dyDescent="0.2"/>
  <cols>
    <col min="1" max="1" width="9.1640625" style="12"/>
    <col min="2" max="3" width="9.1640625" style="12" customWidth="1"/>
    <col min="4" max="4" width="9.1640625" style="12"/>
    <col min="5" max="5" width="9.1640625" style="12" customWidth="1"/>
    <col min="6" max="9" width="9.1640625" style="12"/>
    <col min="10" max="10" width="25.6640625" style="12" customWidth="1"/>
    <col min="11" max="13" width="9.1640625" style="12"/>
    <col min="14" max="14" width="9.1640625" style="12" hidden="1" customWidth="1"/>
    <col min="15" max="16384" width="9.1640625" style="12"/>
  </cols>
  <sheetData>
    <row r="1" spans="2:13" x14ac:dyDescent="0.2">
      <c r="I1" s="29"/>
    </row>
    <row r="2" spans="2:13" ht="33" x14ac:dyDescent="0.2">
      <c r="G2" s="16" t="s">
        <v>1038</v>
      </c>
      <c r="I2" s="29"/>
    </row>
    <row r="3" spans="2:13" ht="23" x14ac:dyDescent="0.25">
      <c r="G3" s="30" t="s">
        <v>19</v>
      </c>
      <c r="I3" s="29"/>
      <c r="L3" s="157"/>
      <c r="M3" s="157"/>
    </row>
    <row r="4" spans="2:13" x14ac:dyDescent="0.2">
      <c r="G4" s="98"/>
      <c r="I4" s="29"/>
      <c r="L4" s="158"/>
      <c r="M4" s="157"/>
    </row>
    <row r="5" spans="2:13" ht="105" customHeight="1" x14ac:dyDescent="0.2">
      <c r="B5" s="426" t="s">
        <v>675</v>
      </c>
      <c r="C5" s="427"/>
      <c r="D5" s="427"/>
      <c r="E5" s="427"/>
      <c r="F5" s="427"/>
      <c r="G5" s="427"/>
      <c r="H5" s="427"/>
      <c r="I5" s="427"/>
      <c r="J5" s="427"/>
      <c r="K5" s="427"/>
      <c r="L5" s="158"/>
      <c r="M5" s="157"/>
    </row>
    <row r="6" spans="2:13" x14ac:dyDescent="0.2">
      <c r="B6" s="426"/>
      <c r="C6" s="426"/>
      <c r="D6" s="426"/>
      <c r="E6" s="426"/>
      <c r="F6" s="426"/>
      <c r="G6" s="426"/>
      <c r="H6" s="426"/>
      <c r="I6" s="426"/>
      <c r="J6" s="426"/>
      <c r="K6" s="426"/>
      <c r="L6" s="158"/>
    </row>
    <row r="7" spans="2:13" ht="60" customHeight="1" x14ac:dyDescent="0.2">
      <c r="B7" s="425" t="s">
        <v>664</v>
      </c>
      <c r="C7" s="341"/>
      <c r="D7" s="341"/>
      <c r="E7" s="341"/>
      <c r="F7" s="341"/>
      <c r="G7" s="341"/>
      <c r="H7" s="341"/>
      <c r="I7" s="341"/>
      <c r="J7" s="341"/>
      <c r="K7" s="341"/>
    </row>
    <row r="8" spans="2:13" x14ac:dyDescent="0.2">
      <c r="B8" s="426"/>
      <c r="C8" s="426"/>
      <c r="D8" s="426"/>
      <c r="E8" s="426"/>
      <c r="F8" s="426"/>
      <c r="G8" s="426"/>
      <c r="H8" s="426"/>
      <c r="I8" s="426"/>
      <c r="J8" s="426"/>
      <c r="K8" s="426"/>
    </row>
    <row r="9" spans="2:13" ht="30" customHeight="1" x14ac:dyDescent="0.2">
      <c r="B9" s="445" t="s">
        <v>665</v>
      </c>
      <c r="C9" s="446"/>
      <c r="D9" s="446"/>
      <c r="E9" s="446"/>
      <c r="F9" s="446"/>
      <c r="G9" s="446"/>
      <c r="H9" s="446"/>
      <c r="I9" s="446"/>
      <c r="J9" s="446"/>
      <c r="K9" s="446"/>
    </row>
    <row r="10" spans="2:13" ht="120" customHeight="1" x14ac:dyDescent="0.2">
      <c r="B10" s="447" t="s">
        <v>1338</v>
      </c>
      <c r="C10" s="448"/>
      <c r="D10" s="448"/>
      <c r="E10" s="448"/>
      <c r="F10" s="448"/>
      <c r="G10" s="448"/>
      <c r="H10" s="448"/>
      <c r="I10" s="448"/>
      <c r="J10" s="448"/>
      <c r="K10" s="449"/>
    </row>
    <row r="11" spans="2:13" ht="16" thickBot="1" x14ac:dyDescent="0.25"/>
    <row r="12" spans="2:13" x14ac:dyDescent="0.2">
      <c r="B12" s="159"/>
      <c r="C12" s="160"/>
      <c r="D12" s="160"/>
      <c r="E12" s="160"/>
      <c r="F12" s="160"/>
      <c r="G12" s="160"/>
      <c r="H12" s="160"/>
      <c r="I12" s="160"/>
      <c r="J12" s="160"/>
      <c r="K12" s="161"/>
    </row>
    <row r="13" spans="2:13" ht="21" x14ac:dyDescent="0.25">
      <c r="B13" s="162"/>
      <c r="C13" s="163"/>
      <c r="D13" s="163"/>
      <c r="E13" s="163"/>
      <c r="F13" s="163"/>
      <c r="G13" s="164" t="s">
        <v>226</v>
      </c>
      <c r="H13" s="163"/>
      <c r="I13" s="163"/>
      <c r="J13" s="163"/>
      <c r="K13" s="165"/>
    </row>
    <row r="14" spans="2:13" ht="21" x14ac:dyDescent="0.25">
      <c r="B14" s="162"/>
      <c r="C14" s="163"/>
      <c r="D14" s="163"/>
      <c r="E14" s="163"/>
      <c r="F14" s="163"/>
      <c r="G14" s="164"/>
      <c r="H14" s="163"/>
      <c r="I14" s="163"/>
      <c r="J14" s="163"/>
      <c r="K14" s="165"/>
    </row>
    <row r="15" spans="2:13" ht="26.25" customHeight="1" x14ac:dyDescent="0.2">
      <c r="B15" s="162"/>
      <c r="C15" s="163" t="s">
        <v>255</v>
      </c>
      <c r="D15" s="163"/>
      <c r="E15" s="412" t="s">
        <v>241</v>
      </c>
      <c r="F15" s="437"/>
      <c r="G15" s="437"/>
      <c r="H15" s="437"/>
      <c r="I15" s="437"/>
      <c r="J15" s="438"/>
      <c r="K15" s="165"/>
    </row>
    <row r="16" spans="2:13" x14ac:dyDescent="0.2">
      <c r="B16" s="162"/>
      <c r="C16" s="163"/>
      <c r="D16" s="163"/>
      <c r="E16" s="163"/>
      <c r="F16" s="163"/>
      <c r="G16" s="163"/>
      <c r="H16" s="163"/>
      <c r="I16" s="163"/>
      <c r="J16" s="163"/>
      <c r="K16" s="165"/>
    </row>
    <row r="17" spans="2:14" x14ac:dyDescent="0.2">
      <c r="B17" s="162"/>
      <c r="C17" s="166" t="s">
        <v>256</v>
      </c>
      <c r="D17" s="163"/>
      <c r="E17" s="167">
        <f>IF(E15=$C$966,$A$966,IF(E15=$C$967,$A$967,IF(E15=$C$968,$A$968,IF(E15=$C$969,$A$969,IF(E15=$C$970,$A$970,"Not Calculated")))))</f>
        <v>1</v>
      </c>
      <c r="F17" s="163"/>
      <c r="G17" s="163"/>
      <c r="H17" s="163"/>
      <c r="I17" s="163"/>
      <c r="J17" s="163"/>
      <c r="K17" s="165"/>
    </row>
    <row r="18" spans="2:14" x14ac:dyDescent="0.2">
      <c r="B18" s="162"/>
      <c r="C18" s="163"/>
      <c r="D18" s="163"/>
      <c r="E18" s="167" t="str">
        <f>IF(E15=$C$966,$B$966,IF(E15=$C$967,$B$967,IF(E15=$C$968,$B$968,IF(E15=$C$969,$B$969,IF(E15=$C$970,$B$970,"Not Calculated")))))</f>
        <v>Remote</v>
      </c>
      <c r="F18" s="163"/>
      <c r="G18" s="163"/>
      <c r="H18" s="163"/>
      <c r="I18" s="163"/>
      <c r="J18" s="163"/>
      <c r="K18" s="165"/>
    </row>
    <row r="19" spans="2:14" ht="16" thickBot="1" x14ac:dyDescent="0.25">
      <c r="B19" s="168"/>
      <c r="C19" s="169"/>
      <c r="D19" s="169"/>
      <c r="E19" s="169"/>
      <c r="F19" s="169"/>
      <c r="G19" s="169"/>
      <c r="H19" s="169"/>
      <c r="I19" s="169"/>
      <c r="J19" s="169"/>
      <c r="K19" s="170"/>
    </row>
    <row r="20" spans="2:14" ht="16" thickBot="1" x14ac:dyDescent="0.25"/>
    <row r="21" spans="2:14" x14ac:dyDescent="0.2">
      <c r="B21" s="33"/>
      <c r="C21" s="34"/>
      <c r="D21" s="34"/>
      <c r="E21" s="34"/>
      <c r="F21" s="34"/>
      <c r="G21" s="34"/>
      <c r="H21" s="34"/>
      <c r="I21" s="34"/>
      <c r="J21" s="34"/>
      <c r="K21" s="37"/>
    </row>
    <row r="22" spans="2:14" ht="21" x14ac:dyDescent="0.25">
      <c r="B22" s="38"/>
      <c r="C22" s="171"/>
      <c r="D22" s="40"/>
      <c r="E22" s="40"/>
      <c r="F22" s="40"/>
      <c r="G22" s="172" t="s">
        <v>26</v>
      </c>
      <c r="H22" s="40"/>
      <c r="I22" s="40"/>
      <c r="J22" s="40"/>
      <c r="K22" s="41"/>
    </row>
    <row r="23" spans="2:14" x14ac:dyDescent="0.2">
      <c r="B23" s="38"/>
      <c r="C23" s="40"/>
      <c r="D23" s="40"/>
      <c r="E23" s="40"/>
      <c r="F23" s="40"/>
      <c r="G23" s="40"/>
      <c r="H23" s="40"/>
      <c r="I23" s="40"/>
      <c r="J23" s="40"/>
      <c r="K23" s="41"/>
    </row>
    <row r="24" spans="2:14" ht="16" x14ac:dyDescent="0.2">
      <c r="B24" s="38"/>
      <c r="C24" s="45" t="s">
        <v>61</v>
      </c>
      <c r="D24" s="40"/>
      <c r="E24" s="40"/>
      <c r="F24" s="40"/>
      <c r="G24" s="40"/>
      <c r="H24" s="40"/>
      <c r="I24" s="40"/>
      <c r="J24" s="40"/>
      <c r="K24" s="41"/>
    </row>
    <row r="25" spans="2:14" x14ac:dyDescent="0.2">
      <c r="B25" s="38"/>
      <c r="C25" s="40" t="s">
        <v>434</v>
      </c>
      <c r="D25" s="40"/>
      <c r="E25" s="40"/>
      <c r="F25" s="40"/>
      <c r="G25" s="40"/>
      <c r="H25" s="40"/>
      <c r="I25" s="40"/>
      <c r="J25" s="252">
        <f>'Baseline Health'!G11</f>
        <v>0</v>
      </c>
      <c r="K25" s="41"/>
    </row>
    <row r="26" spans="2:14" x14ac:dyDescent="0.2">
      <c r="B26" s="38"/>
      <c r="C26" s="40" t="s">
        <v>288</v>
      </c>
      <c r="D26" s="40"/>
      <c r="E26" s="40"/>
      <c r="F26" s="40"/>
      <c r="G26" s="40"/>
      <c r="H26" s="40"/>
      <c r="I26" s="40"/>
      <c r="J26" s="264">
        <f>'Community Characteristics'!$H$111*0.46</f>
        <v>0</v>
      </c>
      <c r="K26" s="41"/>
    </row>
    <row r="27" spans="2:14" x14ac:dyDescent="0.2">
      <c r="B27" s="38"/>
      <c r="C27" s="40" t="s">
        <v>260</v>
      </c>
      <c r="D27" s="40"/>
      <c r="E27" s="40"/>
      <c r="F27" s="40"/>
      <c r="G27" s="40"/>
      <c r="H27" s="40"/>
      <c r="I27" s="40"/>
      <c r="J27" s="248" t="str">
        <f>IF(OR(J25=0,J25="Not Calculated")=TRUE,"Not Calculated",(IF(((J26+J25)/J25)&lt;=1,0,IF(((J26+J25)/J25)&lt;=1.05,1,IF(((J26+J25)/J25)&lt;=1.5, 2,IF(((J26+J25)/J25)&lt;=2,3,4))))))</f>
        <v>Not Calculated</v>
      </c>
      <c r="K27" s="41"/>
    </row>
    <row r="28" spans="2:14" ht="9.75" customHeight="1" x14ac:dyDescent="0.2">
      <c r="B28" s="38"/>
      <c r="C28" s="279" t="str">
        <f>"0:"</f>
        <v>0:</v>
      </c>
      <c r="D28" s="281" t="s">
        <v>918</v>
      </c>
      <c r="E28" s="40"/>
      <c r="F28" s="40"/>
      <c r="G28" s="40"/>
      <c r="H28" s="40"/>
      <c r="I28" s="40"/>
      <c r="J28" s="40"/>
      <c r="K28" s="41"/>
    </row>
    <row r="29" spans="2:14" ht="9.75" customHeight="1" x14ac:dyDescent="0.2">
      <c r="B29" s="38"/>
      <c r="C29" s="280" t="str">
        <f>"1:"</f>
        <v>1:</v>
      </c>
      <c r="D29" s="281" t="s">
        <v>919</v>
      </c>
      <c r="E29" s="40"/>
      <c r="F29" s="40"/>
      <c r="G29" s="40"/>
      <c r="H29" s="40"/>
      <c r="I29" s="40"/>
      <c r="J29" s="40"/>
      <c r="K29" s="41"/>
    </row>
    <row r="30" spans="2:14" ht="9.75" customHeight="1" x14ac:dyDescent="0.2">
      <c r="B30" s="38"/>
      <c r="C30" s="280" t="str">
        <f>"2:"</f>
        <v>2:</v>
      </c>
      <c r="D30" s="281" t="s">
        <v>920</v>
      </c>
      <c r="E30" s="40"/>
      <c r="F30" s="40"/>
      <c r="G30" s="40"/>
      <c r="H30" s="40"/>
      <c r="I30" s="40"/>
      <c r="J30" s="40"/>
      <c r="K30" s="41"/>
    </row>
    <row r="31" spans="2:14" ht="9.75" customHeight="1" x14ac:dyDescent="0.2">
      <c r="B31" s="38"/>
      <c r="C31" s="280" t="str">
        <f>"3:"</f>
        <v>3:</v>
      </c>
      <c r="D31" s="281" t="s">
        <v>921</v>
      </c>
      <c r="E31" s="40"/>
      <c r="F31" s="40"/>
      <c r="G31" s="40"/>
      <c r="H31" s="40"/>
      <c r="I31" s="40"/>
      <c r="J31" s="40"/>
      <c r="K31" s="41"/>
    </row>
    <row r="32" spans="2:14" ht="9.75" customHeight="1" x14ac:dyDescent="0.2">
      <c r="B32" s="38"/>
      <c r="C32" s="280" t="str">
        <f>"4:"</f>
        <v>4:</v>
      </c>
      <c r="D32" s="281" t="s">
        <v>922</v>
      </c>
      <c r="E32" s="40"/>
      <c r="F32" s="40"/>
      <c r="G32" s="40"/>
      <c r="H32" s="40"/>
      <c r="I32" s="40"/>
      <c r="J32" s="40"/>
      <c r="K32" s="41"/>
      <c r="N32" s="12" t="s">
        <v>661</v>
      </c>
    </row>
    <row r="33" spans="2:14" x14ac:dyDescent="0.2">
      <c r="B33" s="38"/>
      <c r="C33" s="174" t="s">
        <v>662</v>
      </c>
      <c r="D33" s="40"/>
      <c r="E33" s="40"/>
      <c r="F33" s="40"/>
      <c r="G33" s="40"/>
      <c r="H33" s="40"/>
      <c r="I33" s="40"/>
      <c r="J33" s="265" t="s">
        <v>661</v>
      </c>
      <c r="K33" s="41"/>
      <c r="N33" s="12" t="s">
        <v>894</v>
      </c>
    </row>
    <row r="34" spans="2:14" x14ac:dyDescent="0.2">
      <c r="B34" s="38"/>
      <c r="C34" s="174" t="s">
        <v>660</v>
      </c>
      <c r="D34" s="40"/>
      <c r="E34" s="40"/>
      <c r="F34" s="40"/>
      <c r="G34" s="40"/>
      <c r="H34" s="40"/>
      <c r="I34" s="40"/>
      <c r="J34" s="246" t="str">
        <f>IF(J33=N32,"N/A",IF(J33=N33,0,IF(J33=N34,1,IF(J33=N35,2,IF(J33=N36,3,IF(J33=N37,4,"N/A"))))))</f>
        <v>N/A</v>
      </c>
      <c r="K34" s="41"/>
      <c r="N34" s="12" t="s">
        <v>895</v>
      </c>
    </row>
    <row r="35" spans="2:14" x14ac:dyDescent="0.2">
      <c r="B35" s="38"/>
      <c r="C35" s="40" t="s">
        <v>257</v>
      </c>
      <c r="D35" s="40"/>
      <c r="E35" s="40"/>
      <c r="F35" s="40"/>
      <c r="G35" s="40"/>
      <c r="H35" s="40"/>
      <c r="I35" s="40"/>
      <c r="J35" s="266" t="s">
        <v>882</v>
      </c>
      <c r="K35" s="41"/>
      <c r="N35" s="12" t="s">
        <v>896</v>
      </c>
    </row>
    <row r="36" spans="2:14" x14ac:dyDescent="0.2">
      <c r="B36" s="38"/>
      <c r="C36" s="40" t="s">
        <v>261</v>
      </c>
      <c r="D36" s="40"/>
      <c r="E36" s="40"/>
      <c r="F36" s="40"/>
      <c r="G36" s="40"/>
      <c r="H36" s="40"/>
      <c r="I36" s="40"/>
      <c r="J36" s="245">
        <f>IF(J35=$B$973,$A$973,IF(J35=$B$974,$A$974,IF(J35=$B$975,$A$975,IF(J35=$B$976,$A$976,IF(J35=$B$977,$A$977,"Not Calculated")))))</f>
        <v>1</v>
      </c>
      <c r="K36" s="41"/>
      <c r="N36" s="12" t="s">
        <v>897</v>
      </c>
    </row>
    <row r="37" spans="2:14" x14ac:dyDescent="0.2">
      <c r="B37" s="38"/>
      <c r="C37" s="40" t="s">
        <v>893</v>
      </c>
      <c r="D37" s="40"/>
      <c r="E37" s="40"/>
      <c r="F37" s="40"/>
      <c r="G37" s="40"/>
      <c r="H37" s="40"/>
      <c r="I37" s="40"/>
      <c r="J37" s="175"/>
      <c r="K37" s="41"/>
      <c r="N37" s="12" t="s">
        <v>898</v>
      </c>
    </row>
    <row r="38" spans="2:14" s="178" customFormat="1" ht="30" customHeight="1" x14ac:dyDescent="0.2">
      <c r="B38" s="176"/>
      <c r="C38" s="415" t="s">
        <v>1031</v>
      </c>
      <c r="D38" s="400"/>
      <c r="E38" s="400"/>
      <c r="F38" s="400"/>
      <c r="G38" s="400"/>
      <c r="H38" s="400"/>
      <c r="I38" s="400"/>
      <c r="J38" s="401"/>
      <c r="K38" s="177"/>
    </row>
    <row r="39" spans="2:14" x14ac:dyDescent="0.2">
      <c r="B39" s="38"/>
      <c r="C39" s="40"/>
      <c r="D39" s="40"/>
      <c r="E39" s="40"/>
      <c r="F39" s="40"/>
      <c r="G39" s="40"/>
      <c r="H39" s="40"/>
      <c r="I39" s="40"/>
      <c r="J39" s="40"/>
      <c r="K39" s="41"/>
    </row>
    <row r="40" spans="2:14" x14ac:dyDescent="0.2">
      <c r="B40" s="38"/>
      <c r="C40" s="179" t="s">
        <v>258</v>
      </c>
      <c r="D40" s="40"/>
      <c r="E40" s="40"/>
      <c r="F40" s="40"/>
      <c r="G40" s="40"/>
      <c r="H40" s="40"/>
      <c r="I40" s="40"/>
      <c r="J40" s="245" t="str">
        <f>IF(J34="N/A",IF(OR(J27="Not Calculated",J36="Not Calculated")=TRUE,"Not Calculated",AVERAGE(J27,J36)),AVERAGE(J34,J36))</f>
        <v>Not Calculated</v>
      </c>
      <c r="K40" s="41"/>
    </row>
    <row r="41" spans="2:14" x14ac:dyDescent="0.2">
      <c r="B41" s="38"/>
      <c r="C41" s="179"/>
      <c r="D41" s="40"/>
      <c r="E41" s="40"/>
      <c r="F41" s="40"/>
      <c r="G41" s="40"/>
      <c r="H41" s="40"/>
      <c r="I41" s="40"/>
      <c r="J41" s="245"/>
      <c r="K41" s="41"/>
    </row>
    <row r="42" spans="2:14" x14ac:dyDescent="0.2">
      <c r="B42" s="38"/>
      <c r="C42" s="40"/>
      <c r="D42" s="40"/>
      <c r="E42" s="40"/>
      <c r="F42" s="40"/>
      <c r="G42" s="40"/>
      <c r="H42" s="40"/>
      <c r="I42" s="40"/>
      <c r="J42" s="40"/>
      <c r="K42" s="41"/>
    </row>
    <row r="43" spans="2:14" ht="16" x14ac:dyDescent="0.2">
      <c r="B43" s="38"/>
      <c r="C43" s="45" t="s">
        <v>51</v>
      </c>
      <c r="D43" s="40"/>
      <c r="E43" s="40"/>
      <c r="F43" s="40"/>
      <c r="G43" s="40"/>
      <c r="H43" s="40"/>
      <c r="I43" s="40"/>
      <c r="J43" s="40"/>
      <c r="K43" s="41"/>
    </row>
    <row r="44" spans="2:14" x14ac:dyDescent="0.2">
      <c r="B44" s="38"/>
      <c r="C44" s="40" t="s">
        <v>435</v>
      </c>
      <c r="D44" s="40"/>
      <c r="E44" s="40"/>
      <c r="F44" s="40"/>
      <c r="G44" s="40"/>
      <c r="H44" s="40"/>
      <c r="I44" s="40"/>
      <c r="J44" s="252">
        <f>'Baseline Health'!G17</f>
        <v>0</v>
      </c>
      <c r="K44" s="41"/>
    </row>
    <row r="45" spans="2:14" x14ac:dyDescent="0.2">
      <c r="B45" s="38"/>
      <c r="C45" s="40" t="s">
        <v>287</v>
      </c>
      <c r="D45" s="40"/>
      <c r="E45" s="40"/>
      <c r="F45" s="40"/>
      <c r="G45" s="40"/>
      <c r="H45" s="40"/>
      <c r="I45" s="40"/>
      <c r="J45" s="264">
        <f>'Community Characteristics'!$H$111*0.38</f>
        <v>0</v>
      </c>
      <c r="K45" s="41"/>
    </row>
    <row r="46" spans="2:14" x14ac:dyDescent="0.2">
      <c r="B46" s="38"/>
      <c r="C46" s="40" t="s">
        <v>260</v>
      </c>
      <c r="D46" s="40"/>
      <c r="E46" s="40"/>
      <c r="F46" s="40"/>
      <c r="G46" s="40"/>
      <c r="H46" s="40"/>
      <c r="I46" s="40"/>
      <c r="J46" s="248" t="str">
        <f>IF(OR(J44=0,J44="Not Calculated")=TRUE,"Not Calculated",(IF(((J45+J44)/J44)&lt;=1,0,IF(((J45+J44)/J44)&lt;=1.05,1,IF(((J45+J44)/J44)&lt;=1.5, 2,IF(((J45+J44)/J44)&lt;=2,3,4))))))</f>
        <v>Not Calculated</v>
      </c>
      <c r="K46" s="41"/>
    </row>
    <row r="47" spans="2:14" ht="9.75" customHeight="1" x14ac:dyDescent="0.2">
      <c r="B47" s="38"/>
      <c r="C47" s="279" t="str">
        <f>"0:"</f>
        <v>0:</v>
      </c>
      <c r="D47" s="281" t="s">
        <v>918</v>
      </c>
      <c r="E47" s="40"/>
      <c r="F47" s="40"/>
      <c r="G47" s="40"/>
      <c r="H47" s="40"/>
      <c r="I47" s="40"/>
      <c r="J47" s="40"/>
      <c r="K47" s="41"/>
    </row>
    <row r="48" spans="2:14" ht="9.75" customHeight="1" x14ac:dyDescent="0.2">
      <c r="B48" s="38"/>
      <c r="C48" s="280" t="str">
        <f>"1:"</f>
        <v>1:</v>
      </c>
      <c r="D48" s="281" t="s">
        <v>919</v>
      </c>
      <c r="E48" s="40"/>
      <c r="F48" s="40"/>
      <c r="G48" s="40"/>
      <c r="H48" s="40"/>
      <c r="I48" s="40"/>
      <c r="J48" s="40"/>
      <c r="K48" s="41"/>
    </row>
    <row r="49" spans="2:14" ht="9.75" customHeight="1" x14ac:dyDescent="0.2">
      <c r="B49" s="38"/>
      <c r="C49" s="280" t="str">
        <f>"2:"</f>
        <v>2:</v>
      </c>
      <c r="D49" s="281" t="s">
        <v>920</v>
      </c>
      <c r="E49" s="40"/>
      <c r="F49" s="40"/>
      <c r="G49" s="40"/>
      <c r="H49" s="40"/>
      <c r="I49" s="40"/>
      <c r="J49" s="40"/>
      <c r="K49" s="41"/>
    </row>
    <row r="50" spans="2:14" ht="9.75" customHeight="1" x14ac:dyDescent="0.2">
      <c r="B50" s="38"/>
      <c r="C50" s="280" t="str">
        <f>"3:"</f>
        <v>3:</v>
      </c>
      <c r="D50" s="281" t="s">
        <v>921</v>
      </c>
      <c r="E50" s="40"/>
      <c r="F50" s="40"/>
      <c r="G50" s="40"/>
      <c r="H50" s="40"/>
      <c r="I50" s="40"/>
      <c r="J50" s="40"/>
      <c r="K50" s="41"/>
    </row>
    <row r="51" spans="2:14" ht="9.75" customHeight="1" x14ac:dyDescent="0.2">
      <c r="B51" s="38"/>
      <c r="C51" s="280" t="str">
        <f>"4:"</f>
        <v>4:</v>
      </c>
      <c r="D51" s="281" t="s">
        <v>922</v>
      </c>
      <c r="E51" s="40"/>
      <c r="F51" s="40"/>
      <c r="G51" s="40"/>
      <c r="H51" s="40"/>
      <c r="I51" s="40"/>
      <c r="J51" s="40"/>
      <c r="K51" s="41"/>
      <c r="N51" s="12" t="s">
        <v>661</v>
      </c>
    </row>
    <row r="52" spans="2:14" x14ac:dyDescent="0.2">
      <c r="B52" s="38"/>
      <c r="C52" s="174" t="s">
        <v>662</v>
      </c>
      <c r="D52" s="40"/>
      <c r="E52" s="40"/>
      <c r="F52" s="40"/>
      <c r="G52" s="40"/>
      <c r="H52" s="40"/>
      <c r="I52" s="40"/>
      <c r="J52" s="265" t="s">
        <v>661</v>
      </c>
      <c r="K52" s="41"/>
      <c r="N52" s="12" t="s">
        <v>894</v>
      </c>
    </row>
    <row r="53" spans="2:14" x14ac:dyDescent="0.2">
      <c r="B53" s="38"/>
      <c r="C53" s="174" t="s">
        <v>660</v>
      </c>
      <c r="D53" s="40"/>
      <c r="E53" s="40"/>
      <c r="F53" s="40"/>
      <c r="G53" s="40"/>
      <c r="H53" s="40"/>
      <c r="I53" s="40"/>
      <c r="J53" s="246" t="str">
        <f>IF(J52=N51,"N/A",IF(J52=N52,0,IF(J52=N53,1,IF(J52=N54,2,IF(J52=N55,3,IF(J52=N56,4,"N/A"))))))</f>
        <v>N/A</v>
      </c>
      <c r="K53" s="41"/>
      <c r="N53" s="12" t="s">
        <v>895</v>
      </c>
    </row>
    <row r="54" spans="2:14" x14ac:dyDescent="0.2">
      <c r="B54" s="38"/>
      <c r="C54" s="40" t="s">
        <v>257</v>
      </c>
      <c r="D54" s="40"/>
      <c r="E54" s="40"/>
      <c r="F54" s="40"/>
      <c r="G54" s="40"/>
      <c r="H54" s="40"/>
      <c r="I54" s="40"/>
      <c r="J54" s="266" t="s">
        <v>882</v>
      </c>
      <c r="K54" s="41"/>
      <c r="N54" s="12" t="s">
        <v>896</v>
      </c>
    </row>
    <row r="55" spans="2:14" x14ac:dyDescent="0.2">
      <c r="B55" s="38"/>
      <c r="C55" s="40" t="s">
        <v>261</v>
      </c>
      <c r="D55" s="40"/>
      <c r="E55" s="40"/>
      <c r="F55" s="40"/>
      <c r="G55" s="40"/>
      <c r="H55" s="40"/>
      <c r="I55" s="40"/>
      <c r="J55" s="245">
        <f>IF(J54=$B$973,$A$973,IF(J54=$B$974,$A$974,IF(J54=$B$975,$A$975,IF(J54=$B$976,$A$976,IF(J54=$B$977,$A$977,"Not Calculated")))))</f>
        <v>1</v>
      </c>
      <c r="K55" s="41"/>
      <c r="N55" s="12" t="s">
        <v>897</v>
      </c>
    </row>
    <row r="56" spans="2:14" x14ac:dyDescent="0.2">
      <c r="B56" s="38"/>
      <c r="C56" s="40" t="s">
        <v>893</v>
      </c>
      <c r="D56" s="40"/>
      <c r="E56" s="40"/>
      <c r="F56" s="40"/>
      <c r="G56" s="40"/>
      <c r="H56" s="40"/>
      <c r="I56" s="40"/>
      <c r="J56" s="175"/>
      <c r="K56" s="41"/>
      <c r="N56" s="12" t="s">
        <v>898</v>
      </c>
    </row>
    <row r="57" spans="2:14" s="178" customFormat="1" ht="60" customHeight="1" x14ac:dyDescent="0.2">
      <c r="B57" s="176"/>
      <c r="C57" s="415" t="s">
        <v>1032</v>
      </c>
      <c r="D57" s="400"/>
      <c r="E57" s="400"/>
      <c r="F57" s="400"/>
      <c r="G57" s="400"/>
      <c r="H57" s="400"/>
      <c r="I57" s="400"/>
      <c r="J57" s="401"/>
      <c r="K57" s="177"/>
    </row>
    <row r="58" spans="2:14" x14ac:dyDescent="0.2">
      <c r="B58" s="38"/>
      <c r="C58" s="40"/>
      <c r="D58" s="40"/>
      <c r="E58" s="40"/>
      <c r="F58" s="40"/>
      <c r="G58" s="40"/>
      <c r="H58" s="40"/>
      <c r="I58" s="40"/>
      <c r="J58" s="40"/>
      <c r="K58" s="41"/>
    </row>
    <row r="59" spans="2:14" x14ac:dyDescent="0.2">
      <c r="B59" s="38"/>
      <c r="C59" s="179" t="s">
        <v>263</v>
      </c>
      <c r="D59" s="40"/>
      <c r="E59" s="40"/>
      <c r="F59" s="40"/>
      <c r="G59" s="40"/>
      <c r="H59" s="40"/>
      <c r="I59" s="40"/>
      <c r="J59" s="245" t="str">
        <f>IF(J53="N/A",IF(OR(J46="Not Calculated",J55="Not Calculated")=TRUE,"Not Calculated",AVERAGE(J46,J55)),AVERAGE(J53,J55))</f>
        <v>Not Calculated</v>
      </c>
      <c r="K59" s="41"/>
    </row>
    <row r="60" spans="2:14" x14ac:dyDescent="0.2">
      <c r="B60" s="38"/>
      <c r="C60" s="40"/>
      <c r="D60" s="40"/>
      <c r="E60" s="40"/>
      <c r="F60" s="40"/>
      <c r="G60" s="40"/>
      <c r="H60" s="40"/>
      <c r="I60" s="40"/>
      <c r="J60" s="40"/>
      <c r="K60" s="41"/>
    </row>
    <row r="61" spans="2:14" x14ac:dyDescent="0.2">
      <c r="B61" s="38"/>
      <c r="C61" s="40"/>
      <c r="D61" s="40"/>
      <c r="E61" s="40"/>
      <c r="F61" s="40"/>
      <c r="G61" s="40"/>
      <c r="H61" s="40"/>
      <c r="I61" s="40"/>
      <c r="J61" s="40"/>
      <c r="K61" s="41"/>
    </row>
    <row r="62" spans="2:14" ht="16" x14ac:dyDescent="0.2">
      <c r="B62" s="38"/>
      <c r="C62" s="45" t="s">
        <v>54</v>
      </c>
      <c r="D62" s="40"/>
      <c r="E62" s="40"/>
      <c r="F62" s="40"/>
      <c r="G62" s="40"/>
      <c r="H62" s="40"/>
      <c r="I62" s="40"/>
      <c r="J62" s="40"/>
      <c r="K62" s="41"/>
    </row>
    <row r="63" spans="2:14" x14ac:dyDescent="0.2">
      <c r="B63" s="38"/>
      <c r="C63" s="40" t="s">
        <v>436</v>
      </c>
      <c r="D63" s="40"/>
      <c r="E63" s="40"/>
      <c r="F63" s="40"/>
      <c r="G63" s="40"/>
      <c r="H63" s="40"/>
      <c r="I63" s="40"/>
      <c r="J63" s="252">
        <f>'Baseline Health'!G23</f>
        <v>0</v>
      </c>
      <c r="K63" s="41"/>
    </row>
    <row r="64" spans="2:14" x14ac:dyDescent="0.2">
      <c r="B64" s="38"/>
      <c r="C64" s="40" t="s">
        <v>289</v>
      </c>
      <c r="D64" s="40"/>
      <c r="E64" s="40"/>
      <c r="F64" s="40"/>
      <c r="G64" s="40"/>
      <c r="H64" s="40"/>
      <c r="I64" s="40"/>
      <c r="J64" s="264">
        <v>50000</v>
      </c>
      <c r="K64" s="41"/>
    </row>
    <row r="65" spans="2:14" x14ac:dyDescent="0.2">
      <c r="B65" s="38"/>
      <c r="C65" s="40" t="s">
        <v>260</v>
      </c>
      <c r="D65" s="40"/>
      <c r="E65" s="40"/>
      <c r="F65" s="40"/>
      <c r="G65" s="40"/>
      <c r="H65" s="40"/>
      <c r="I65" s="40"/>
      <c r="J65" s="248" t="str">
        <f>IF(OR(J63=0,J63="Not Calculated")=TRUE,"Not Calculated",(IF(((J64+J63)/J63)&lt;=1,0,IF(((J64+J63)/J63)&lt;=1.05,1,IF(((J64+J63)/J63)&lt;=1.5, 2,IF(((J64+J63)/J63)&lt;=2,3,4))))))</f>
        <v>Not Calculated</v>
      </c>
      <c r="K65" s="41"/>
    </row>
    <row r="66" spans="2:14" ht="9.75" customHeight="1" x14ac:dyDescent="0.2">
      <c r="B66" s="38"/>
      <c r="C66" s="279" t="str">
        <f>"0:"</f>
        <v>0:</v>
      </c>
      <c r="D66" s="281" t="s">
        <v>918</v>
      </c>
      <c r="E66" s="40"/>
      <c r="F66" s="40"/>
      <c r="G66" s="40"/>
      <c r="H66" s="40"/>
      <c r="I66" s="40"/>
      <c r="J66" s="40"/>
      <c r="K66" s="41"/>
    </row>
    <row r="67" spans="2:14" ht="9.75" customHeight="1" x14ac:dyDescent="0.2">
      <c r="B67" s="38"/>
      <c r="C67" s="280" t="str">
        <f>"1:"</f>
        <v>1:</v>
      </c>
      <c r="D67" s="281" t="s">
        <v>919</v>
      </c>
      <c r="E67" s="40"/>
      <c r="F67" s="40"/>
      <c r="G67" s="40"/>
      <c r="H67" s="40"/>
      <c r="I67" s="40"/>
      <c r="J67" s="40"/>
      <c r="K67" s="41"/>
    </row>
    <row r="68" spans="2:14" ht="9.75" customHeight="1" x14ac:dyDescent="0.2">
      <c r="B68" s="38"/>
      <c r="C68" s="280" t="str">
        <f>"2:"</f>
        <v>2:</v>
      </c>
      <c r="D68" s="281" t="s">
        <v>920</v>
      </c>
      <c r="E68" s="40"/>
      <c r="F68" s="40"/>
      <c r="G68" s="40"/>
      <c r="H68" s="40"/>
      <c r="I68" s="40"/>
      <c r="J68" s="40"/>
      <c r="K68" s="41"/>
    </row>
    <row r="69" spans="2:14" ht="9.75" customHeight="1" x14ac:dyDescent="0.2">
      <c r="B69" s="38"/>
      <c r="C69" s="280" t="str">
        <f>"3:"</f>
        <v>3:</v>
      </c>
      <c r="D69" s="281" t="s">
        <v>921</v>
      </c>
      <c r="E69" s="40"/>
      <c r="F69" s="40"/>
      <c r="G69" s="40"/>
      <c r="H69" s="40"/>
      <c r="I69" s="40"/>
      <c r="J69" s="40"/>
      <c r="K69" s="41"/>
    </row>
    <row r="70" spans="2:14" ht="9.75" customHeight="1" x14ac:dyDescent="0.2">
      <c r="B70" s="38"/>
      <c r="C70" s="280" t="str">
        <f>"4:"</f>
        <v>4:</v>
      </c>
      <c r="D70" s="281" t="s">
        <v>922</v>
      </c>
      <c r="E70" s="40"/>
      <c r="F70" s="40"/>
      <c r="G70" s="40"/>
      <c r="H70" s="40"/>
      <c r="I70" s="40"/>
      <c r="J70" s="40"/>
      <c r="K70" s="41"/>
      <c r="N70" s="12" t="s">
        <v>661</v>
      </c>
    </row>
    <row r="71" spans="2:14" x14ac:dyDescent="0.2">
      <c r="B71" s="38"/>
      <c r="C71" s="174" t="s">
        <v>662</v>
      </c>
      <c r="D71" s="40"/>
      <c r="E71" s="40"/>
      <c r="F71" s="40"/>
      <c r="G71" s="40"/>
      <c r="H71" s="40"/>
      <c r="I71" s="40"/>
      <c r="J71" s="265" t="s">
        <v>661</v>
      </c>
      <c r="K71" s="41"/>
      <c r="N71" s="12" t="s">
        <v>894</v>
      </c>
    </row>
    <row r="72" spans="2:14" x14ac:dyDescent="0.2">
      <c r="B72" s="38"/>
      <c r="C72" s="174" t="s">
        <v>660</v>
      </c>
      <c r="D72" s="40"/>
      <c r="E72" s="40"/>
      <c r="F72" s="40"/>
      <c r="G72" s="40"/>
      <c r="H72" s="40"/>
      <c r="I72" s="40"/>
      <c r="J72" s="246" t="str">
        <f>IF(J71=N70,"N/A",IF(J71=N71,0,IF(J71=N72,1,IF(J71=N73,2,IF(J71=N74,3,IF(J71=N75,4,"N/A"))))))</f>
        <v>N/A</v>
      </c>
      <c r="K72" s="41"/>
      <c r="N72" s="12" t="s">
        <v>895</v>
      </c>
    </row>
    <row r="73" spans="2:14" x14ac:dyDescent="0.2">
      <c r="B73" s="38"/>
      <c r="C73" s="40" t="s">
        <v>257</v>
      </c>
      <c r="D73" s="40"/>
      <c r="E73" s="40"/>
      <c r="F73" s="40"/>
      <c r="G73" s="40"/>
      <c r="H73" s="40"/>
      <c r="I73" s="40"/>
      <c r="J73" s="266" t="s">
        <v>872</v>
      </c>
      <c r="K73" s="41"/>
      <c r="N73" s="12" t="s">
        <v>896</v>
      </c>
    </row>
    <row r="74" spans="2:14" x14ac:dyDescent="0.2">
      <c r="B74" s="38"/>
      <c r="C74" s="40" t="s">
        <v>261</v>
      </c>
      <c r="D74" s="40"/>
      <c r="E74" s="40"/>
      <c r="F74" s="40"/>
      <c r="G74" s="40"/>
      <c r="H74" s="40"/>
      <c r="I74" s="40"/>
      <c r="J74" s="245">
        <f>IF(J73=$B$973,$A$973,IF(J73=$B$974,$A$974,IF(J73=$B$975,$A$975,IF(J73=$B$976,$A$976,IF(J73=$B$977,$A$977,"Not Calculated")))))</f>
        <v>2</v>
      </c>
      <c r="K74" s="41"/>
      <c r="N74" s="12" t="s">
        <v>897</v>
      </c>
    </row>
    <row r="75" spans="2:14" x14ac:dyDescent="0.2">
      <c r="B75" s="38"/>
      <c r="C75" s="40" t="s">
        <v>893</v>
      </c>
      <c r="D75" s="40"/>
      <c r="E75" s="40"/>
      <c r="F75" s="40"/>
      <c r="G75" s="40"/>
      <c r="H75" s="40"/>
      <c r="I75" s="40"/>
      <c r="J75" s="175"/>
      <c r="K75" s="41"/>
      <c r="N75" s="12" t="s">
        <v>898</v>
      </c>
    </row>
    <row r="76" spans="2:14" s="178" customFormat="1" ht="30" customHeight="1" x14ac:dyDescent="0.2">
      <c r="B76" s="176"/>
      <c r="C76" s="415" t="s">
        <v>544</v>
      </c>
      <c r="D76" s="400"/>
      <c r="E76" s="400"/>
      <c r="F76" s="400"/>
      <c r="G76" s="400"/>
      <c r="H76" s="400"/>
      <c r="I76" s="400"/>
      <c r="J76" s="401"/>
      <c r="K76" s="177"/>
    </row>
    <row r="77" spans="2:14" x14ac:dyDescent="0.2">
      <c r="B77" s="38"/>
      <c r="C77" s="40"/>
      <c r="D77" s="40"/>
      <c r="E77" s="40"/>
      <c r="F77" s="40"/>
      <c r="G77" s="40"/>
      <c r="H77" s="40"/>
      <c r="I77" s="40"/>
      <c r="J77" s="40"/>
      <c r="K77" s="41"/>
    </row>
    <row r="78" spans="2:14" x14ac:dyDescent="0.2">
      <c r="B78" s="38"/>
      <c r="C78" s="179" t="s">
        <v>264</v>
      </c>
      <c r="D78" s="40"/>
      <c r="E78" s="40"/>
      <c r="F78" s="40"/>
      <c r="G78" s="40"/>
      <c r="H78" s="40"/>
      <c r="I78" s="40"/>
      <c r="J78" s="245" t="str">
        <f>IF(J72="N/A",IF(OR(J65="Not Calculated",J74="Not Calculated")=TRUE,"Not Calculated",AVERAGE(J65,J74)),AVERAGE(J72,J74))</f>
        <v>Not Calculated</v>
      </c>
      <c r="K78" s="41"/>
    </row>
    <row r="79" spans="2:14" x14ac:dyDescent="0.2">
      <c r="B79" s="38"/>
      <c r="C79" s="40"/>
      <c r="D79" s="40"/>
      <c r="E79" s="40"/>
      <c r="F79" s="40"/>
      <c r="G79" s="40"/>
      <c r="H79" s="40"/>
      <c r="I79" s="40"/>
      <c r="J79" s="40"/>
      <c r="K79" s="41"/>
    </row>
    <row r="80" spans="2:14" x14ac:dyDescent="0.2">
      <c r="B80" s="38"/>
      <c r="C80" s="40"/>
      <c r="D80" s="40"/>
      <c r="E80" s="40"/>
      <c r="F80" s="40"/>
      <c r="G80" s="40"/>
      <c r="H80" s="40"/>
      <c r="I80" s="40"/>
      <c r="J80" s="40"/>
      <c r="K80" s="41"/>
    </row>
    <row r="81" spans="2:14" ht="16" x14ac:dyDescent="0.2">
      <c r="B81" s="38"/>
      <c r="C81" s="45" t="s">
        <v>57</v>
      </c>
      <c r="D81" s="40"/>
      <c r="E81" s="40"/>
      <c r="F81" s="40"/>
      <c r="G81" s="40"/>
      <c r="H81" s="40"/>
      <c r="I81" s="40"/>
      <c r="J81" s="40"/>
      <c r="K81" s="41"/>
    </row>
    <row r="82" spans="2:14" x14ac:dyDescent="0.2">
      <c r="B82" s="38"/>
      <c r="C82" s="40" t="s">
        <v>437</v>
      </c>
      <c r="D82" s="40"/>
      <c r="E82" s="40"/>
      <c r="F82" s="40"/>
      <c r="G82" s="40"/>
      <c r="H82" s="40"/>
      <c r="I82" s="40"/>
      <c r="J82" s="252">
        <f>'Baseline Health'!G29</f>
        <v>0</v>
      </c>
      <c r="K82" s="41"/>
    </row>
    <row r="83" spans="2:14" x14ac:dyDescent="0.2">
      <c r="B83" s="38"/>
      <c r="C83" s="40" t="s">
        <v>290</v>
      </c>
      <c r="D83" s="40"/>
      <c r="E83" s="40"/>
      <c r="F83" s="40"/>
      <c r="G83" s="40"/>
      <c r="H83" s="40"/>
      <c r="I83" s="40"/>
      <c r="J83" s="264">
        <f>('Community Characteristics'!$H$111*0.64)+('Baseline Health'!$G$6*0.08)</f>
        <v>0</v>
      </c>
      <c r="K83" s="41"/>
    </row>
    <row r="84" spans="2:14" x14ac:dyDescent="0.2">
      <c r="B84" s="38"/>
      <c r="C84" s="40" t="s">
        <v>260</v>
      </c>
      <c r="D84" s="40"/>
      <c r="E84" s="40"/>
      <c r="F84" s="40"/>
      <c r="G84" s="40"/>
      <c r="H84" s="40"/>
      <c r="I84" s="40"/>
      <c r="J84" s="248" t="str">
        <f>IF(OR(J82=0,J82="Not Calculated")=TRUE,"Not Calculated",(IF(((J83+J82)/J82)&lt;=1,0,IF(((J83+J82)/J82)&lt;=1.05,1,IF(((J83+J82)/J82)&lt;=1.5, 2,IF(((J83+J82)/J82)&lt;=2,3,4))))))</f>
        <v>Not Calculated</v>
      </c>
      <c r="K84" s="41"/>
    </row>
    <row r="85" spans="2:14" ht="9.75" customHeight="1" x14ac:dyDescent="0.2">
      <c r="B85" s="38"/>
      <c r="C85" s="279" t="str">
        <f>"0:"</f>
        <v>0:</v>
      </c>
      <c r="D85" s="281" t="s">
        <v>918</v>
      </c>
      <c r="E85" s="40"/>
      <c r="F85" s="40"/>
      <c r="G85" s="40"/>
      <c r="H85" s="40"/>
      <c r="I85" s="40"/>
      <c r="J85" s="40"/>
      <c r="K85" s="41"/>
    </row>
    <row r="86" spans="2:14" ht="9.75" customHeight="1" x14ac:dyDescent="0.2">
      <c r="B86" s="38"/>
      <c r="C86" s="280" t="str">
        <f>"1:"</f>
        <v>1:</v>
      </c>
      <c r="D86" s="281" t="s">
        <v>919</v>
      </c>
      <c r="E86" s="40"/>
      <c r="F86" s="40"/>
      <c r="G86" s="40"/>
      <c r="H86" s="40"/>
      <c r="I86" s="40"/>
      <c r="J86" s="40"/>
      <c r="K86" s="41"/>
    </row>
    <row r="87" spans="2:14" ht="9.75" customHeight="1" x14ac:dyDescent="0.2">
      <c r="B87" s="38"/>
      <c r="C87" s="280" t="str">
        <f>"2:"</f>
        <v>2:</v>
      </c>
      <c r="D87" s="281" t="s">
        <v>920</v>
      </c>
      <c r="E87" s="40"/>
      <c r="F87" s="40"/>
      <c r="G87" s="40"/>
      <c r="H87" s="40"/>
      <c r="I87" s="40"/>
      <c r="J87" s="40"/>
      <c r="K87" s="41"/>
    </row>
    <row r="88" spans="2:14" ht="9.75" customHeight="1" x14ac:dyDescent="0.2">
      <c r="B88" s="38"/>
      <c r="C88" s="280" t="str">
        <f>"3:"</f>
        <v>3:</v>
      </c>
      <c r="D88" s="281" t="s">
        <v>921</v>
      </c>
      <c r="E88" s="40"/>
      <c r="F88" s="40"/>
      <c r="G88" s="40"/>
      <c r="H88" s="40"/>
      <c r="I88" s="40"/>
      <c r="J88" s="40"/>
      <c r="K88" s="41"/>
    </row>
    <row r="89" spans="2:14" ht="9.75" customHeight="1" x14ac:dyDescent="0.2">
      <c r="B89" s="38"/>
      <c r="C89" s="280" t="str">
        <f>"4:"</f>
        <v>4:</v>
      </c>
      <c r="D89" s="281" t="s">
        <v>922</v>
      </c>
      <c r="E89" s="40"/>
      <c r="F89" s="40"/>
      <c r="G89" s="40"/>
      <c r="H89" s="40"/>
      <c r="I89" s="40"/>
      <c r="J89" s="40"/>
      <c r="K89" s="41"/>
      <c r="N89" s="12" t="s">
        <v>661</v>
      </c>
    </row>
    <row r="90" spans="2:14" x14ac:dyDescent="0.2">
      <c r="B90" s="38"/>
      <c r="C90" s="174" t="s">
        <v>662</v>
      </c>
      <c r="D90" s="40"/>
      <c r="E90" s="40"/>
      <c r="F90" s="40"/>
      <c r="G90" s="40"/>
      <c r="H90" s="40"/>
      <c r="I90" s="40"/>
      <c r="J90" s="265" t="s">
        <v>661</v>
      </c>
      <c r="K90" s="41"/>
      <c r="N90" s="12" t="s">
        <v>894</v>
      </c>
    </row>
    <row r="91" spans="2:14" x14ac:dyDescent="0.2">
      <c r="B91" s="38"/>
      <c r="C91" s="174" t="s">
        <v>660</v>
      </c>
      <c r="D91" s="40"/>
      <c r="E91" s="40"/>
      <c r="F91" s="40"/>
      <c r="G91" s="40"/>
      <c r="H91" s="40"/>
      <c r="I91" s="40"/>
      <c r="J91" s="246" t="str">
        <f>IF(J90=N89,"N/A",IF(J90=N90,0,IF(J90=N91,1,IF(J90=N92,2,IF(J90=N93,3,IF(J90=N94,4,"N/A"))))))</f>
        <v>N/A</v>
      </c>
      <c r="K91" s="41"/>
      <c r="N91" s="12" t="s">
        <v>895</v>
      </c>
    </row>
    <row r="92" spans="2:14" x14ac:dyDescent="0.2">
      <c r="B92" s="38"/>
      <c r="C92" s="40" t="s">
        <v>257</v>
      </c>
      <c r="D92" s="40"/>
      <c r="E92" s="40"/>
      <c r="F92" s="40"/>
      <c r="G92" s="40"/>
      <c r="H92" s="40"/>
      <c r="I92" s="40"/>
      <c r="J92" s="266" t="s">
        <v>874</v>
      </c>
      <c r="K92" s="41"/>
      <c r="N92" s="12" t="s">
        <v>896</v>
      </c>
    </row>
    <row r="93" spans="2:14" x14ac:dyDescent="0.2">
      <c r="B93" s="38"/>
      <c r="C93" s="40" t="s">
        <v>261</v>
      </c>
      <c r="D93" s="40"/>
      <c r="E93" s="40"/>
      <c r="F93" s="40"/>
      <c r="G93" s="40"/>
      <c r="H93" s="40"/>
      <c r="I93" s="40"/>
      <c r="J93" s="245">
        <f>IF(J92=$B$973,$A$973,IF(J92=$B$974,$A$974,IF(J92=$B$975,$A$975,IF(J92=$B$976,$A$976,IF(J92=$B$977,$A$977,"Not Calculated")))))</f>
        <v>4</v>
      </c>
      <c r="K93" s="41"/>
      <c r="N93" s="12" t="s">
        <v>897</v>
      </c>
    </row>
    <row r="94" spans="2:14" x14ac:dyDescent="0.2">
      <c r="B94" s="38"/>
      <c r="C94" s="40" t="s">
        <v>893</v>
      </c>
      <c r="D94" s="40"/>
      <c r="E94" s="40"/>
      <c r="F94" s="40"/>
      <c r="G94" s="40"/>
      <c r="H94" s="40"/>
      <c r="I94" s="40"/>
      <c r="J94" s="175"/>
      <c r="K94" s="41"/>
      <c r="N94" s="12" t="s">
        <v>898</v>
      </c>
    </row>
    <row r="95" spans="2:14" s="178" customFormat="1" ht="75" customHeight="1" x14ac:dyDescent="0.2">
      <c r="B95" s="176"/>
      <c r="C95" s="415" t="s">
        <v>1033</v>
      </c>
      <c r="D95" s="400"/>
      <c r="E95" s="400"/>
      <c r="F95" s="400"/>
      <c r="G95" s="400"/>
      <c r="H95" s="400"/>
      <c r="I95" s="400"/>
      <c r="J95" s="401"/>
      <c r="K95" s="177"/>
    </row>
    <row r="96" spans="2:14" x14ac:dyDescent="0.2">
      <c r="B96" s="38"/>
      <c r="C96" s="40"/>
      <c r="D96" s="40"/>
      <c r="E96" s="40"/>
      <c r="F96" s="40"/>
      <c r="G96" s="40"/>
      <c r="H96" s="40"/>
      <c r="I96" s="40"/>
      <c r="J96" s="40"/>
      <c r="K96" s="41"/>
    </row>
    <row r="97" spans="2:14" x14ac:dyDescent="0.2">
      <c r="B97" s="38"/>
      <c r="C97" s="179" t="s">
        <v>265</v>
      </c>
      <c r="D97" s="40"/>
      <c r="E97" s="40"/>
      <c r="F97" s="40"/>
      <c r="G97" s="40"/>
      <c r="H97" s="40"/>
      <c r="I97" s="40"/>
      <c r="J97" s="245" t="str">
        <f>IF(J91="N/A",IF(OR(J84="Not Calculated",J93="Not Calculated")=TRUE,"Not Calculated",AVERAGE(J84,J93)),AVERAGE(J91,J93))</f>
        <v>Not Calculated</v>
      </c>
      <c r="K97" s="41"/>
    </row>
    <row r="98" spans="2:14" x14ac:dyDescent="0.2">
      <c r="B98" s="38"/>
      <c r="C98" s="40"/>
      <c r="D98" s="40"/>
      <c r="E98" s="40"/>
      <c r="F98" s="40"/>
      <c r="G98" s="40"/>
      <c r="H98" s="40"/>
      <c r="I98" s="40"/>
      <c r="J98" s="40"/>
      <c r="K98" s="41"/>
    </row>
    <row r="99" spans="2:14" x14ac:dyDescent="0.2">
      <c r="B99" s="38"/>
      <c r="C99" s="40"/>
      <c r="D99" s="40"/>
      <c r="E99" s="40"/>
      <c r="F99" s="40"/>
      <c r="G99" s="40"/>
      <c r="H99" s="40"/>
      <c r="I99" s="40"/>
      <c r="J99" s="40"/>
      <c r="K99" s="41"/>
    </row>
    <row r="100" spans="2:14" ht="16" x14ac:dyDescent="0.2">
      <c r="B100" s="38"/>
      <c r="C100" s="45" t="s">
        <v>60</v>
      </c>
      <c r="D100" s="40"/>
      <c r="E100" s="40"/>
      <c r="F100" s="40"/>
      <c r="G100" s="40"/>
      <c r="H100" s="40"/>
      <c r="I100" s="40"/>
      <c r="J100" s="40"/>
      <c r="K100" s="41"/>
    </row>
    <row r="101" spans="2:14" x14ac:dyDescent="0.2">
      <c r="B101" s="38"/>
      <c r="C101" s="40" t="s">
        <v>438</v>
      </c>
      <c r="D101" s="40"/>
      <c r="E101" s="40"/>
      <c r="F101" s="40"/>
      <c r="G101" s="40"/>
      <c r="H101" s="40"/>
      <c r="I101" s="40"/>
      <c r="J101" s="252">
        <f>'Baseline Health'!G35</f>
        <v>0</v>
      </c>
      <c r="K101" s="41"/>
    </row>
    <row r="102" spans="2:14" x14ac:dyDescent="0.2">
      <c r="B102" s="38"/>
      <c r="C102" s="40" t="s">
        <v>291</v>
      </c>
      <c r="D102" s="40"/>
      <c r="E102" s="40"/>
      <c r="F102" s="40"/>
      <c r="G102" s="40"/>
      <c r="H102" s="40"/>
      <c r="I102" s="40"/>
      <c r="J102" s="264">
        <f>'Community Characteristics'!$H$111*0.23</f>
        <v>0</v>
      </c>
      <c r="K102" s="41"/>
    </row>
    <row r="103" spans="2:14" x14ac:dyDescent="0.2">
      <c r="B103" s="38"/>
      <c r="C103" s="40" t="s">
        <v>260</v>
      </c>
      <c r="D103" s="40"/>
      <c r="E103" s="40"/>
      <c r="F103" s="40"/>
      <c r="G103" s="40"/>
      <c r="H103" s="40"/>
      <c r="I103" s="40"/>
      <c r="J103" s="248" t="str">
        <f>IF(OR(J101=0,J101="Not Calculated")=TRUE,"Not Calculated",(IF(((J102+J101)/J101)&lt;=1,0,IF(((J102+J101)/J101)&lt;=1.05,1,IF(((J102+J101)/J101)&lt;=1.5, 2,IF(((J102+J101)/J101)&lt;=2,3,4))))))</f>
        <v>Not Calculated</v>
      </c>
      <c r="K103" s="41"/>
    </row>
    <row r="104" spans="2:14" ht="9.75" customHeight="1" x14ac:dyDescent="0.2">
      <c r="B104" s="38"/>
      <c r="C104" s="279" t="str">
        <f>"0:"</f>
        <v>0:</v>
      </c>
      <c r="D104" s="281" t="s">
        <v>918</v>
      </c>
      <c r="E104" s="40"/>
      <c r="F104" s="40"/>
      <c r="G104" s="40"/>
      <c r="H104" s="40"/>
      <c r="I104" s="40"/>
      <c r="J104" s="40"/>
      <c r="K104" s="41"/>
    </row>
    <row r="105" spans="2:14" ht="9.75" customHeight="1" x14ac:dyDescent="0.2">
      <c r="B105" s="38"/>
      <c r="C105" s="280" t="str">
        <f>"1:"</f>
        <v>1:</v>
      </c>
      <c r="D105" s="281" t="s">
        <v>919</v>
      </c>
      <c r="E105" s="40"/>
      <c r="F105" s="40"/>
      <c r="G105" s="40"/>
      <c r="H105" s="40"/>
      <c r="I105" s="40"/>
      <c r="J105" s="40"/>
      <c r="K105" s="41"/>
    </row>
    <row r="106" spans="2:14" ht="9.75" customHeight="1" x14ac:dyDescent="0.2">
      <c r="B106" s="38"/>
      <c r="C106" s="280" t="str">
        <f>"2:"</f>
        <v>2:</v>
      </c>
      <c r="D106" s="281" t="s">
        <v>920</v>
      </c>
      <c r="E106" s="40"/>
      <c r="F106" s="40"/>
      <c r="G106" s="40"/>
      <c r="H106" s="40"/>
      <c r="I106" s="40"/>
      <c r="J106" s="40"/>
      <c r="K106" s="41"/>
    </row>
    <row r="107" spans="2:14" ht="9.75" customHeight="1" x14ac:dyDescent="0.2">
      <c r="B107" s="38"/>
      <c r="C107" s="280" t="str">
        <f>"3:"</f>
        <v>3:</v>
      </c>
      <c r="D107" s="281" t="s">
        <v>921</v>
      </c>
      <c r="E107" s="40"/>
      <c r="F107" s="40"/>
      <c r="G107" s="40"/>
      <c r="H107" s="40"/>
      <c r="I107" s="40"/>
      <c r="J107" s="40"/>
      <c r="K107" s="41"/>
    </row>
    <row r="108" spans="2:14" ht="9.75" customHeight="1" x14ac:dyDescent="0.2">
      <c r="B108" s="38"/>
      <c r="C108" s="280" t="str">
        <f>"4:"</f>
        <v>4:</v>
      </c>
      <c r="D108" s="281" t="s">
        <v>922</v>
      </c>
      <c r="E108" s="40"/>
      <c r="F108" s="40"/>
      <c r="G108" s="40"/>
      <c r="H108" s="40"/>
      <c r="I108" s="40"/>
      <c r="J108" s="40"/>
      <c r="K108" s="41"/>
      <c r="N108" s="12" t="s">
        <v>661</v>
      </c>
    </row>
    <row r="109" spans="2:14" x14ac:dyDescent="0.2">
      <c r="B109" s="38"/>
      <c r="C109" s="174" t="s">
        <v>662</v>
      </c>
      <c r="D109" s="40"/>
      <c r="E109" s="40"/>
      <c r="F109" s="40"/>
      <c r="G109" s="40"/>
      <c r="H109" s="40"/>
      <c r="I109" s="40"/>
      <c r="J109" s="265" t="s">
        <v>661</v>
      </c>
      <c r="K109" s="41"/>
      <c r="N109" s="12" t="s">
        <v>894</v>
      </c>
    </row>
    <row r="110" spans="2:14" x14ac:dyDescent="0.2">
      <c r="B110" s="38"/>
      <c r="C110" s="174" t="s">
        <v>660</v>
      </c>
      <c r="D110" s="40"/>
      <c r="E110" s="40"/>
      <c r="F110" s="40"/>
      <c r="G110" s="40"/>
      <c r="H110" s="40"/>
      <c r="I110" s="40"/>
      <c r="J110" s="246" t="str">
        <f>IF(J109=N108,"N/A",IF(J109=N109,0,IF(J109=N110,1,IF(J109=N111,2,IF(J109=N112,3,IF(J109=N113,4,"N/A"))))))</f>
        <v>N/A</v>
      </c>
      <c r="K110" s="41"/>
      <c r="N110" s="12" t="s">
        <v>895</v>
      </c>
    </row>
    <row r="111" spans="2:14" x14ac:dyDescent="0.2">
      <c r="B111" s="38"/>
      <c r="C111" s="40" t="s">
        <v>257</v>
      </c>
      <c r="D111" s="40"/>
      <c r="E111" s="40"/>
      <c r="F111" s="40"/>
      <c r="G111" s="40"/>
      <c r="H111" s="40"/>
      <c r="I111" s="40"/>
      <c r="J111" s="266" t="s">
        <v>882</v>
      </c>
      <c r="K111" s="41"/>
      <c r="N111" s="12" t="s">
        <v>896</v>
      </c>
    </row>
    <row r="112" spans="2:14" x14ac:dyDescent="0.2">
      <c r="B112" s="38"/>
      <c r="C112" s="40" t="s">
        <v>261</v>
      </c>
      <c r="D112" s="40"/>
      <c r="E112" s="40"/>
      <c r="F112" s="40"/>
      <c r="G112" s="40"/>
      <c r="H112" s="40"/>
      <c r="I112" s="40"/>
      <c r="J112" s="245">
        <f>IF(J111=$B$973,$A$973,IF(J111=$B$974,$A$974,IF(J111=$B$975,$A$975,IF(J111=$B$976,$A$976,IF(J111=$B$977,$A$977,"Not Calculated")))))</f>
        <v>1</v>
      </c>
      <c r="K112" s="41"/>
      <c r="N112" s="12" t="s">
        <v>897</v>
      </c>
    </row>
    <row r="113" spans="2:14" x14ac:dyDescent="0.2">
      <c r="B113" s="38"/>
      <c r="C113" s="40" t="s">
        <v>893</v>
      </c>
      <c r="D113" s="40"/>
      <c r="E113" s="40"/>
      <c r="F113" s="40"/>
      <c r="G113" s="40"/>
      <c r="H113" s="40"/>
      <c r="I113" s="40"/>
      <c r="J113" s="175"/>
      <c r="K113" s="41"/>
      <c r="N113" s="12" t="s">
        <v>898</v>
      </c>
    </row>
    <row r="114" spans="2:14" s="178" customFormat="1" ht="30" customHeight="1" x14ac:dyDescent="0.2">
      <c r="B114" s="176"/>
      <c r="C114" s="415" t="s">
        <v>1018</v>
      </c>
      <c r="D114" s="400"/>
      <c r="E114" s="400"/>
      <c r="F114" s="400"/>
      <c r="G114" s="400"/>
      <c r="H114" s="400"/>
      <c r="I114" s="400"/>
      <c r="J114" s="400"/>
      <c r="K114" s="177"/>
    </row>
    <row r="115" spans="2:14" x14ac:dyDescent="0.2">
      <c r="B115" s="38"/>
      <c r="C115" s="40"/>
      <c r="D115" s="40"/>
      <c r="E115" s="40"/>
      <c r="F115" s="40"/>
      <c r="G115" s="40"/>
      <c r="H115" s="40"/>
      <c r="I115" s="40"/>
      <c r="J115" s="40"/>
      <c r="K115" s="41"/>
    </row>
    <row r="116" spans="2:14" x14ac:dyDescent="0.2">
      <c r="B116" s="38"/>
      <c r="C116" s="179" t="s">
        <v>266</v>
      </c>
      <c r="D116" s="40"/>
      <c r="E116" s="40"/>
      <c r="F116" s="40"/>
      <c r="G116" s="40"/>
      <c r="H116" s="40"/>
      <c r="I116" s="40"/>
      <c r="J116" s="245" t="str">
        <f>IF(J110="N/A",IF(OR(J103="Not Calculated",J112="Not Calculated")=TRUE,"Not Calculated",AVERAGE(J103,J112)),AVERAGE(J110,J112))</f>
        <v>Not Calculated</v>
      </c>
      <c r="K116" s="41"/>
    </row>
    <row r="117" spans="2:14" x14ac:dyDescent="0.2">
      <c r="B117" s="38"/>
      <c r="C117" s="40"/>
      <c r="D117" s="40"/>
      <c r="E117" s="40"/>
      <c r="F117" s="40"/>
      <c r="G117" s="40"/>
      <c r="H117" s="40"/>
      <c r="I117" s="40"/>
      <c r="J117" s="40"/>
      <c r="K117" s="41"/>
    </row>
    <row r="118" spans="2:14" x14ac:dyDescent="0.2">
      <c r="B118" s="38"/>
      <c r="C118" s="40"/>
      <c r="D118" s="40"/>
      <c r="E118" s="40"/>
      <c r="F118" s="40"/>
      <c r="G118" s="40"/>
      <c r="H118" s="40"/>
      <c r="I118" s="40"/>
      <c r="J118" s="40"/>
      <c r="K118" s="41"/>
    </row>
    <row r="119" spans="2:14" ht="16" x14ac:dyDescent="0.2">
      <c r="B119" s="38"/>
      <c r="C119" s="45" t="s">
        <v>262</v>
      </c>
      <c r="D119" s="40"/>
      <c r="E119" s="40"/>
      <c r="F119" s="40"/>
      <c r="G119" s="40"/>
      <c r="H119" s="40"/>
      <c r="I119" s="40"/>
      <c r="J119" s="40"/>
      <c r="K119" s="41"/>
    </row>
    <row r="120" spans="2:14" ht="15" customHeight="1" x14ac:dyDescent="0.2">
      <c r="B120" s="38"/>
      <c r="C120" s="422" t="s">
        <v>268</v>
      </c>
      <c r="D120" s="422"/>
      <c r="E120" s="422"/>
      <c r="F120" s="422"/>
      <c r="G120" s="422"/>
      <c r="H120" s="422"/>
      <c r="I120" s="422"/>
      <c r="J120" s="422"/>
      <c r="K120" s="41"/>
    </row>
    <row r="121" spans="2:14" x14ac:dyDescent="0.2">
      <c r="B121" s="38"/>
      <c r="C121" s="422"/>
      <c r="D121" s="422"/>
      <c r="E121" s="422"/>
      <c r="F121" s="422"/>
      <c r="G121" s="422"/>
      <c r="H121" s="422"/>
      <c r="I121" s="422"/>
      <c r="J121" s="422"/>
      <c r="K121" s="41"/>
    </row>
    <row r="122" spans="2:14" x14ac:dyDescent="0.2">
      <c r="B122" s="38"/>
      <c r="C122" s="423"/>
      <c r="D122" s="423"/>
      <c r="E122" s="423"/>
      <c r="F122" s="423"/>
      <c r="G122" s="423"/>
      <c r="H122" s="423"/>
      <c r="I122" s="423"/>
      <c r="J122" s="423"/>
      <c r="K122" s="41"/>
    </row>
    <row r="123" spans="2:14" ht="15" customHeight="1" x14ac:dyDescent="0.2">
      <c r="B123" s="38"/>
      <c r="C123" s="416" t="s">
        <v>248</v>
      </c>
      <c r="D123" s="417"/>
      <c r="E123" s="417"/>
      <c r="F123" s="417"/>
      <c r="G123" s="417"/>
      <c r="H123" s="417"/>
      <c r="I123" s="417"/>
      <c r="J123" s="418"/>
      <c r="K123" s="41"/>
    </row>
    <row r="124" spans="2:14" x14ac:dyDescent="0.2">
      <c r="B124" s="38"/>
      <c r="C124" s="419"/>
      <c r="D124" s="420"/>
      <c r="E124" s="420"/>
      <c r="F124" s="420"/>
      <c r="G124" s="420"/>
      <c r="H124" s="420"/>
      <c r="I124" s="420"/>
      <c r="J124" s="421"/>
      <c r="K124" s="41"/>
    </row>
    <row r="125" spans="2:14" ht="15" customHeight="1" x14ac:dyDescent="0.2">
      <c r="B125" s="38"/>
      <c r="C125" s="40" t="s">
        <v>260</v>
      </c>
      <c r="D125" s="40"/>
      <c r="E125" s="40"/>
      <c r="F125" s="40"/>
      <c r="G125" s="40"/>
      <c r="H125" s="40"/>
      <c r="I125" s="40"/>
      <c r="J125" s="247">
        <f>IF(C123=B987,A987,IF(C123=B988,A988,IF(C123=B989,A989,IF(C123=B990,A990,IF(C123=B991,A991,"Not Calculated")))))</f>
        <v>4</v>
      </c>
      <c r="K125" s="41"/>
    </row>
    <row r="126" spans="2:14" ht="15" customHeight="1" x14ac:dyDescent="0.2">
      <c r="B126" s="38"/>
      <c r="C126" s="40" t="s">
        <v>257</v>
      </c>
      <c r="D126" s="40"/>
      <c r="E126" s="40"/>
      <c r="F126" s="40"/>
      <c r="G126" s="40"/>
      <c r="H126" s="40"/>
      <c r="I126" s="40"/>
      <c r="J126" s="266" t="s">
        <v>874</v>
      </c>
      <c r="K126" s="41"/>
    </row>
    <row r="127" spans="2:14" x14ac:dyDescent="0.2">
      <c r="B127" s="38"/>
      <c r="C127" s="40" t="s">
        <v>261</v>
      </c>
      <c r="D127" s="40"/>
      <c r="E127" s="40"/>
      <c r="F127" s="40"/>
      <c r="G127" s="40"/>
      <c r="H127" s="40"/>
      <c r="I127" s="40"/>
      <c r="J127" s="245">
        <f>IF(J126=$B$973,$A$973,IF(J126=$B$974,$A$974,IF(J126=$B$975,$A$975,IF(J126=$B$976,$A$976,IF(J126=$B$977,$A$977,"Not Calculated")))))</f>
        <v>4</v>
      </c>
      <c r="K127" s="41"/>
    </row>
    <row r="128" spans="2:14" ht="15" customHeight="1" x14ac:dyDescent="0.2">
      <c r="B128" s="38"/>
      <c r="C128" s="40" t="s">
        <v>893</v>
      </c>
      <c r="D128" s="40"/>
      <c r="E128" s="40"/>
      <c r="F128" s="40"/>
      <c r="G128" s="40"/>
      <c r="H128" s="40"/>
      <c r="I128" s="40"/>
      <c r="J128" s="175"/>
      <c r="K128" s="41"/>
    </row>
    <row r="129" spans="2:11" s="178" customFormat="1" ht="75" customHeight="1" x14ac:dyDescent="0.2">
      <c r="B129" s="176"/>
      <c r="C129" s="415" t="s">
        <v>1034</v>
      </c>
      <c r="D129" s="400"/>
      <c r="E129" s="400"/>
      <c r="F129" s="400"/>
      <c r="G129" s="400"/>
      <c r="H129" s="400"/>
      <c r="I129" s="400"/>
      <c r="J129" s="401"/>
      <c r="K129" s="177"/>
    </row>
    <row r="130" spans="2:11" x14ac:dyDescent="0.2">
      <c r="B130" s="38"/>
      <c r="C130" s="40"/>
      <c r="D130" s="40"/>
      <c r="E130" s="40"/>
      <c r="F130" s="40"/>
      <c r="G130" s="40"/>
      <c r="H130" s="40"/>
      <c r="I130" s="40"/>
      <c r="J130" s="40"/>
      <c r="K130" s="41"/>
    </row>
    <row r="131" spans="2:11" x14ac:dyDescent="0.2">
      <c r="B131" s="38"/>
      <c r="C131" s="179" t="s">
        <v>267</v>
      </c>
      <c r="D131" s="40"/>
      <c r="E131" s="40"/>
      <c r="F131" s="40"/>
      <c r="G131" s="40"/>
      <c r="H131" s="40"/>
      <c r="I131" s="40"/>
      <c r="J131" s="245">
        <f>IF(OR(J125="Not Calculated",J127="Not Calculated")=TRUE,"Not Calculated",AVERAGE(J125,J127))</f>
        <v>4</v>
      </c>
      <c r="K131" s="41"/>
    </row>
    <row r="132" spans="2:11" x14ac:dyDescent="0.2">
      <c r="B132" s="38"/>
      <c r="C132" s="179"/>
      <c r="D132" s="40"/>
      <c r="E132" s="40"/>
      <c r="F132" s="40"/>
      <c r="G132" s="40"/>
      <c r="H132" s="40"/>
      <c r="I132" s="40"/>
      <c r="J132" s="245"/>
      <c r="K132" s="41"/>
    </row>
    <row r="133" spans="2:11" ht="18" x14ac:dyDescent="0.2">
      <c r="B133" s="38"/>
      <c r="C133" s="180" t="s">
        <v>269</v>
      </c>
      <c r="D133" s="40"/>
      <c r="E133" s="40"/>
      <c r="F133" s="40"/>
      <c r="G133" s="40"/>
      <c r="H133" s="40"/>
      <c r="I133" s="40"/>
      <c r="J133" s="244" t="str">
        <f>IF(OR(J40="Not Calculated",J59="Not Calculated",J78="Not Calculated",J97="Not Calculated",J116="Not Calculated",J131="Not Calculated",)=TRUE,"Not Calculated",AVERAGE(J40,J59,J78,J97,J116,J131))</f>
        <v>Not Calculated</v>
      </c>
      <c r="K133" s="41"/>
    </row>
    <row r="134" spans="2:11" ht="16" thickBot="1" x14ac:dyDescent="0.25">
      <c r="B134" s="46"/>
      <c r="C134" s="47"/>
      <c r="D134" s="47"/>
      <c r="E134" s="47"/>
      <c r="F134" s="47"/>
      <c r="G134" s="47"/>
      <c r="H134" s="47"/>
      <c r="I134" s="47"/>
      <c r="J134" s="47"/>
      <c r="K134" s="49"/>
    </row>
    <row r="135" spans="2:11" ht="16" thickBot="1" x14ac:dyDescent="0.25"/>
    <row r="136" spans="2:11" x14ac:dyDescent="0.2">
      <c r="B136" s="33"/>
      <c r="C136" s="34"/>
      <c r="D136" s="34"/>
      <c r="E136" s="34"/>
      <c r="F136" s="34"/>
      <c r="G136" s="34"/>
      <c r="H136" s="34"/>
      <c r="I136" s="34"/>
      <c r="J136" s="34"/>
      <c r="K136" s="37"/>
    </row>
    <row r="137" spans="2:11" ht="21" x14ac:dyDescent="0.25">
      <c r="B137" s="38"/>
      <c r="C137" s="171"/>
      <c r="D137" s="40"/>
      <c r="E137" s="40"/>
      <c r="F137" s="40"/>
      <c r="G137" s="172" t="s">
        <v>27</v>
      </c>
      <c r="H137" s="40"/>
      <c r="I137" s="40"/>
      <c r="J137" s="40"/>
      <c r="K137" s="41"/>
    </row>
    <row r="138" spans="2:11" x14ac:dyDescent="0.2">
      <c r="B138" s="38"/>
      <c r="C138" s="40"/>
      <c r="D138" s="40"/>
      <c r="E138" s="40"/>
      <c r="F138" s="40"/>
      <c r="G138" s="40"/>
      <c r="H138" s="40"/>
      <c r="I138" s="40"/>
      <c r="J138" s="40"/>
      <c r="K138" s="41"/>
    </row>
    <row r="139" spans="2:11" ht="16" x14ac:dyDescent="0.2">
      <c r="B139" s="38"/>
      <c r="C139" s="45" t="s">
        <v>72</v>
      </c>
      <c r="D139" s="40"/>
      <c r="E139" s="40"/>
      <c r="F139" s="40"/>
      <c r="G139" s="40"/>
      <c r="H139" s="40"/>
      <c r="I139" s="40"/>
      <c r="J139" s="40"/>
      <c r="K139" s="41"/>
    </row>
    <row r="140" spans="2:11" x14ac:dyDescent="0.2">
      <c r="B140" s="38"/>
      <c r="C140" s="40" t="s">
        <v>440</v>
      </c>
      <c r="D140" s="40"/>
      <c r="E140" s="40"/>
      <c r="F140" s="40"/>
      <c r="G140" s="40"/>
      <c r="H140" s="40"/>
      <c r="I140" s="40"/>
      <c r="J140" s="252">
        <f>'Baseline Health'!G45</f>
        <v>0</v>
      </c>
      <c r="K140" s="41"/>
    </row>
    <row r="141" spans="2:11" x14ac:dyDescent="0.2">
      <c r="B141" s="38"/>
      <c r="C141" s="40" t="s">
        <v>270</v>
      </c>
      <c r="D141" s="40"/>
      <c r="E141" s="40"/>
      <c r="F141" s="40"/>
      <c r="G141" s="40"/>
      <c r="H141" s="40"/>
      <c r="I141" s="40"/>
      <c r="J141" s="264">
        <f>J140*0.26</f>
        <v>0</v>
      </c>
      <c r="K141" s="41"/>
    </row>
    <row r="142" spans="2:11" x14ac:dyDescent="0.2">
      <c r="B142" s="38"/>
      <c r="C142" s="40" t="s">
        <v>439</v>
      </c>
      <c r="D142" s="40"/>
      <c r="E142" s="40"/>
      <c r="F142" s="40"/>
      <c r="G142" s="40"/>
      <c r="H142" s="40"/>
      <c r="I142" s="40"/>
      <c r="J142" s="251">
        <f>J83/20</f>
        <v>0</v>
      </c>
      <c r="K142" s="41"/>
    </row>
    <row r="143" spans="2:11" x14ac:dyDescent="0.2">
      <c r="B143" s="38"/>
      <c r="C143" s="40"/>
      <c r="D143" s="40" t="s">
        <v>351</v>
      </c>
      <c r="E143" s="40"/>
      <c r="F143" s="40"/>
      <c r="G143" s="40"/>
      <c r="H143" s="40"/>
      <c r="I143" s="40"/>
      <c r="J143" s="40"/>
      <c r="K143" s="41"/>
    </row>
    <row r="144" spans="2:11" x14ac:dyDescent="0.2">
      <c r="B144" s="38"/>
      <c r="C144" s="40" t="s">
        <v>260</v>
      </c>
      <c r="D144" s="40"/>
      <c r="E144" s="40"/>
      <c r="F144" s="40"/>
      <c r="G144" s="40"/>
      <c r="H144" s="40"/>
      <c r="I144" s="40"/>
      <c r="J144" s="245" t="str">
        <f>IF(OR(J140=0,J140="Not Calculated")=TRUE,"Not Calculated",IF((J140-J141)&lt;=0,4,IF(((J140+J142)/(J140-J141))&lt;=1,0,IF(((J140+J142)/(J140-J141))&lt;=1.05,1,IF(((J140+J142)/(J140-J141))&lt;=1.5, 2,IF(((J140+J142)/(J140-J141))&lt;=2,3,4))))))</f>
        <v>Not Calculated</v>
      </c>
      <c r="K144" s="41"/>
    </row>
    <row r="145" spans="2:14" ht="9.75" customHeight="1" x14ac:dyDescent="0.2">
      <c r="B145" s="38"/>
      <c r="C145" s="279" t="str">
        <f>"0:"</f>
        <v>0:</v>
      </c>
      <c r="D145" s="278" t="s">
        <v>918</v>
      </c>
      <c r="E145" s="40"/>
      <c r="F145" s="40"/>
      <c r="G145" s="40"/>
      <c r="H145" s="40"/>
      <c r="I145" s="40"/>
      <c r="J145" s="40"/>
      <c r="K145" s="41"/>
    </row>
    <row r="146" spans="2:14" ht="9.75" customHeight="1" x14ac:dyDescent="0.2">
      <c r="B146" s="38"/>
      <c r="C146" s="280" t="str">
        <f>"1:"</f>
        <v>1:</v>
      </c>
      <c r="D146" s="278" t="s">
        <v>923</v>
      </c>
      <c r="E146" s="40"/>
      <c r="F146" s="40"/>
      <c r="G146" s="40"/>
      <c r="H146" s="40"/>
      <c r="I146" s="40"/>
      <c r="J146" s="40"/>
      <c r="K146" s="41"/>
    </row>
    <row r="147" spans="2:14" ht="9.75" customHeight="1" x14ac:dyDescent="0.2">
      <c r="B147" s="38"/>
      <c r="C147" s="280" t="str">
        <f>"2:"</f>
        <v>2:</v>
      </c>
      <c r="D147" s="278" t="s">
        <v>924</v>
      </c>
      <c r="E147" s="40"/>
      <c r="F147" s="40"/>
      <c r="G147" s="40"/>
      <c r="H147" s="40"/>
      <c r="I147" s="40"/>
      <c r="J147" s="40"/>
      <c r="K147" s="41"/>
    </row>
    <row r="148" spans="2:14" ht="9.75" customHeight="1" x14ac:dyDescent="0.2">
      <c r="B148" s="38"/>
      <c r="C148" s="280" t="str">
        <f>"3:"</f>
        <v>3:</v>
      </c>
      <c r="D148" s="278" t="s">
        <v>925</v>
      </c>
      <c r="E148" s="40"/>
      <c r="F148" s="40"/>
      <c r="G148" s="40"/>
      <c r="H148" s="40"/>
      <c r="I148" s="40"/>
      <c r="J148" s="40"/>
      <c r="K148" s="41"/>
    </row>
    <row r="149" spans="2:14" ht="9.75" customHeight="1" x14ac:dyDescent="0.2">
      <c r="B149" s="38"/>
      <c r="C149" s="280" t="str">
        <f>"4:"</f>
        <v>4:</v>
      </c>
      <c r="D149" s="278" t="s">
        <v>926</v>
      </c>
      <c r="E149" s="40"/>
      <c r="F149" s="40"/>
      <c r="G149" s="40"/>
      <c r="H149" s="40"/>
      <c r="I149" s="40"/>
      <c r="J149" s="40"/>
      <c r="K149" s="41"/>
      <c r="N149" s="12" t="s">
        <v>661</v>
      </c>
    </row>
    <row r="150" spans="2:14" x14ac:dyDescent="0.2">
      <c r="B150" s="38"/>
      <c r="C150" s="174" t="s">
        <v>662</v>
      </c>
      <c r="D150" s="40"/>
      <c r="E150" s="40"/>
      <c r="F150" s="40"/>
      <c r="G150" s="40"/>
      <c r="H150" s="40"/>
      <c r="I150" s="40"/>
      <c r="J150" s="265" t="s">
        <v>661</v>
      </c>
      <c r="K150" s="41"/>
      <c r="N150" s="12" t="s">
        <v>894</v>
      </c>
    </row>
    <row r="151" spans="2:14" x14ac:dyDescent="0.2">
      <c r="B151" s="38"/>
      <c r="C151" s="174" t="s">
        <v>660</v>
      </c>
      <c r="D151" s="40"/>
      <c r="E151" s="40"/>
      <c r="F151" s="40"/>
      <c r="G151" s="40"/>
      <c r="H151" s="40"/>
      <c r="I151" s="40"/>
      <c r="J151" s="246" t="str">
        <f>IF(J150=N149,"N/A",IF(J150=N150,0,IF(J150=N151,1,IF(J150=N152,2,IF(J150=N153,3,IF(J150=N154,4,"N/A"))))))</f>
        <v>N/A</v>
      </c>
      <c r="K151" s="41"/>
      <c r="N151" s="12" t="s">
        <v>899</v>
      </c>
    </row>
    <row r="152" spans="2:14" x14ac:dyDescent="0.2">
      <c r="B152" s="38"/>
      <c r="C152" s="40" t="s">
        <v>257</v>
      </c>
      <c r="D152" s="40"/>
      <c r="E152" s="40"/>
      <c r="F152" s="40"/>
      <c r="G152" s="40"/>
      <c r="H152" s="40"/>
      <c r="I152" s="40"/>
      <c r="J152" s="266" t="s">
        <v>874</v>
      </c>
      <c r="K152" s="41"/>
      <c r="N152" s="12" t="s">
        <v>900</v>
      </c>
    </row>
    <row r="153" spans="2:14" x14ac:dyDescent="0.2">
      <c r="B153" s="38"/>
      <c r="C153" s="40" t="s">
        <v>261</v>
      </c>
      <c r="D153" s="40"/>
      <c r="E153" s="40"/>
      <c r="F153" s="40"/>
      <c r="G153" s="40"/>
      <c r="H153" s="40"/>
      <c r="I153" s="40"/>
      <c r="J153" s="245">
        <f>IF(J152=$B$973,$A$973,IF(J152=$B$974,$A$974,IF(J152=$B$975,$A$975,IF(J152=$B$976,$A$976,IF(J152=$B$977,$A$977,"Not Calculated")))))</f>
        <v>4</v>
      </c>
      <c r="K153" s="41"/>
      <c r="N153" s="12" t="s">
        <v>901</v>
      </c>
    </row>
    <row r="154" spans="2:14" x14ac:dyDescent="0.2">
      <c r="B154" s="38"/>
      <c r="C154" s="40" t="s">
        <v>893</v>
      </c>
      <c r="D154" s="40"/>
      <c r="E154" s="40"/>
      <c r="F154" s="40"/>
      <c r="G154" s="40"/>
      <c r="H154" s="40"/>
      <c r="I154" s="40"/>
      <c r="J154" s="40"/>
      <c r="K154" s="41"/>
      <c r="N154" s="12" t="s">
        <v>902</v>
      </c>
    </row>
    <row r="155" spans="2:14" ht="30" customHeight="1" x14ac:dyDescent="0.2">
      <c r="B155" s="38"/>
      <c r="C155" s="399" t="s">
        <v>545</v>
      </c>
      <c r="D155" s="400"/>
      <c r="E155" s="400"/>
      <c r="F155" s="400"/>
      <c r="G155" s="400"/>
      <c r="H155" s="400"/>
      <c r="I155" s="400"/>
      <c r="J155" s="401"/>
      <c r="K155" s="41"/>
    </row>
    <row r="156" spans="2:14" x14ac:dyDescent="0.2">
      <c r="B156" s="38"/>
      <c r="C156" s="40"/>
      <c r="D156" s="40"/>
      <c r="E156" s="40"/>
      <c r="F156" s="40"/>
      <c r="G156" s="40"/>
      <c r="H156" s="40"/>
      <c r="I156" s="40"/>
      <c r="J156" s="40"/>
      <c r="K156" s="41"/>
    </row>
    <row r="157" spans="2:14" x14ac:dyDescent="0.2">
      <c r="B157" s="38"/>
      <c r="C157" s="179" t="s">
        <v>271</v>
      </c>
      <c r="D157" s="40"/>
      <c r="E157" s="40"/>
      <c r="F157" s="40"/>
      <c r="G157" s="40"/>
      <c r="H157" s="40"/>
      <c r="I157" s="40"/>
      <c r="J157" s="245" t="str">
        <f>IF(J151="N/A",IF(OR(J144="Not Calculated",J153="Not Calculated")=TRUE,"Not Calculated",AVERAGE(J144,J153)),AVERAGE(J151,J153))</f>
        <v>Not Calculated</v>
      </c>
      <c r="K157" s="41"/>
    </row>
    <row r="158" spans="2:14" x14ac:dyDescent="0.2">
      <c r="B158" s="38"/>
      <c r="C158" s="40"/>
      <c r="D158" s="40"/>
      <c r="E158" s="40"/>
      <c r="F158" s="40"/>
      <c r="G158" s="40"/>
      <c r="H158" s="40"/>
      <c r="I158" s="40"/>
      <c r="J158" s="40"/>
      <c r="K158" s="41"/>
    </row>
    <row r="159" spans="2:14" x14ac:dyDescent="0.2">
      <c r="B159" s="38"/>
      <c r="C159" s="40"/>
      <c r="D159" s="40"/>
      <c r="E159" s="40"/>
      <c r="F159" s="40"/>
      <c r="G159" s="40"/>
      <c r="H159" s="40"/>
      <c r="I159" s="40"/>
      <c r="J159" s="40"/>
      <c r="K159" s="41"/>
    </row>
    <row r="160" spans="2:14" ht="16" x14ac:dyDescent="0.2">
      <c r="B160" s="38"/>
      <c r="C160" s="45" t="s">
        <v>273</v>
      </c>
      <c r="D160" s="40"/>
      <c r="E160" s="40"/>
      <c r="F160" s="40"/>
      <c r="G160" s="40"/>
      <c r="H160" s="40"/>
      <c r="I160" s="40"/>
      <c r="J160" s="40"/>
      <c r="K160" s="41"/>
    </row>
    <row r="161" spans="2:14" x14ac:dyDescent="0.2">
      <c r="B161" s="38"/>
      <c r="C161" s="40" t="s">
        <v>441</v>
      </c>
      <c r="D161" s="40"/>
      <c r="E161" s="40"/>
      <c r="F161" s="40"/>
      <c r="G161" s="40"/>
      <c r="H161" s="40"/>
      <c r="I161" s="40"/>
      <c r="J161" s="252">
        <f>'Baseline Health'!G51</f>
        <v>0</v>
      </c>
      <c r="K161" s="41"/>
    </row>
    <row r="162" spans="2:14" x14ac:dyDescent="0.2">
      <c r="B162" s="38"/>
      <c r="C162" s="40" t="s">
        <v>280</v>
      </c>
      <c r="D162" s="40"/>
      <c r="E162" s="40"/>
      <c r="F162" s="40"/>
      <c r="G162" s="40"/>
      <c r="H162" s="40"/>
      <c r="I162" s="40"/>
      <c r="J162" s="264">
        <v>0</v>
      </c>
      <c r="K162" s="41"/>
    </row>
    <row r="163" spans="2:14" x14ac:dyDescent="0.2">
      <c r="B163" s="38"/>
      <c r="C163" s="40" t="s">
        <v>442</v>
      </c>
      <c r="D163" s="40"/>
      <c r="E163" s="40"/>
      <c r="F163" s="40"/>
      <c r="G163" s="40"/>
      <c r="H163" s="40"/>
      <c r="I163" s="40"/>
      <c r="J163" s="251">
        <f>(J64)/4.5</f>
        <v>11111.111111111111</v>
      </c>
      <c r="K163" s="41"/>
    </row>
    <row r="164" spans="2:14" x14ac:dyDescent="0.2">
      <c r="B164" s="38"/>
      <c r="C164" s="40"/>
      <c r="D164" s="40" t="s">
        <v>353</v>
      </c>
      <c r="E164" s="40"/>
      <c r="F164" s="40"/>
      <c r="G164" s="40"/>
      <c r="H164" s="40"/>
      <c r="I164" s="40"/>
      <c r="J164" s="40"/>
      <c r="K164" s="41"/>
    </row>
    <row r="165" spans="2:14" x14ac:dyDescent="0.2">
      <c r="B165" s="38"/>
      <c r="C165" s="40" t="s">
        <v>260</v>
      </c>
      <c r="D165" s="40"/>
      <c r="E165" s="40"/>
      <c r="F165" s="40"/>
      <c r="G165" s="40"/>
      <c r="H165" s="40"/>
      <c r="I165" s="40"/>
      <c r="J165" s="245" t="str">
        <f>IF(OR(J161=0,J161="Not Calculated")=TRUE,"Not Calculated",IF((J161-J162)&lt;=0,4,IF(((J161+J163)/(J161-J162))&lt;=1,0,IF(((J161+J163)/(J161-J162))&lt;=1.05,1,IF(((J161+J163)/(J161-J162))&lt;=1.5, 2,IF(((J161+J163)/(J161-J162))&lt;=2,3,4))))))</f>
        <v>Not Calculated</v>
      </c>
      <c r="K165" s="41"/>
    </row>
    <row r="166" spans="2:14" ht="9.75" customHeight="1" x14ac:dyDescent="0.2">
      <c r="B166" s="38"/>
      <c r="C166" s="279" t="str">
        <f>"0:"</f>
        <v>0:</v>
      </c>
      <c r="D166" s="278" t="s">
        <v>918</v>
      </c>
      <c r="E166" s="40"/>
      <c r="F166" s="40"/>
      <c r="G166" s="40"/>
      <c r="H166" s="40"/>
      <c r="I166" s="40"/>
      <c r="J166" s="40"/>
      <c r="K166" s="41"/>
    </row>
    <row r="167" spans="2:14" ht="9.75" customHeight="1" x14ac:dyDescent="0.2">
      <c r="B167" s="38"/>
      <c r="C167" s="280" t="str">
        <f>"1:"</f>
        <v>1:</v>
      </c>
      <c r="D167" s="278" t="s">
        <v>923</v>
      </c>
      <c r="E167" s="40"/>
      <c r="F167" s="40"/>
      <c r="G167" s="40"/>
      <c r="H167" s="40"/>
      <c r="I167" s="40"/>
      <c r="J167" s="40"/>
      <c r="K167" s="41"/>
    </row>
    <row r="168" spans="2:14" ht="9.75" customHeight="1" x14ac:dyDescent="0.2">
      <c r="B168" s="38"/>
      <c r="C168" s="280" t="str">
        <f>"2:"</f>
        <v>2:</v>
      </c>
      <c r="D168" s="278" t="s">
        <v>924</v>
      </c>
      <c r="E168" s="40"/>
      <c r="F168" s="40"/>
      <c r="G168" s="40"/>
      <c r="H168" s="40"/>
      <c r="I168" s="40"/>
      <c r="J168" s="40"/>
      <c r="K168" s="41"/>
    </row>
    <row r="169" spans="2:14" ht="9.75" customHeight="1" x14ac:dyDescent="0.2">
      <c r="B169" s="38"/>
      <c r="C169" s="280" t="str">
        <f>"3:"</f>
        <v>3:</v>
      </c>
      <c r="D169" s="278" t="s">
        <v>925</v>
      </c>
      <c r="E169" s="40"/>
      <c r="F169" s="40"/>
      <c r="G169" s="40"/>
      <c r="H169" s="40"/>
      <c r="I169" s="40"/>
      <c r="J169" s="40"/>
      <c r="K169" s="41"/>
    </row>
    <row r="170" spans="2:14" ht="9.75" customHeight="1" x14ac:dyDescent="0.2">
      <c r="B170" s="38"/>
      <c r="C170" s="280" t="str">
        <f>"4:"</f>
        <v>4:</v>
      </c>
      <c r="D170" s="278" t="s">
        <v>926</v>
      </c>
      <c r="E170" s="40"/>
      <c r="F170" s="40"/>
      <c r="G170" s="40"/>
      <c r="H170" s="40"/>
      <c r="I170" s="40"/>
      <c r="J170" s="40"/>
      <c r="K170" s="41"/>
      <c r="N170" s="12" t="s">
        <v>661</v>
      </c>
    </row>
    <row r="171" spans="2:14" x14ac:dyDescent="0.2">
      <c r="B171" s="38"/>
      <c r="C171" s="174" t="s">
        <v>662</v>
      </c>
      <c r="D171" s="40"/>
      <c r="E171" s="40"/>
      <c r="F171" s="40"/>
      <c r="G171" s="40"/>
      <c r="H171" s="40"/>
      <c r="I171" s="40"/>
      <c r="J171" s="265" t="s">
        <v>661</v>
      </c>
      <c r="K171" s="41"/>
      <c r="N171" s="12" t="s">
        <v>894</v>
      </c>
    </row>
    <row r="172" spans="2:14" x14ac:dyDescent="0.2">
      <c r="B172" s="38"/>
      <c r="C172" s="174" t="s">
        <v>660</v>
      </c>
      <c r="D172" s="40"/>
      <c r="E172" s="40"/>
      <c r="F172" s="40"/>
      <c r="G172" s="40"/>
      <c r="H172" s="40"/>
      <c r="I172" s="40"/>
      <c r="J172" s="246" t="str">
        <f>IF(J171=N170,"N/A",IF(J171=N171,0,IF(J171=N172,1,IF(J171=N173,2,IF(J171=N174,3,IF(J171=N175,4,"N/A"))))))</f>
        <v>N/A</v>
      </c>
      <c r="K172" s="41"/>
      <c r="N172" s="12" t="s">
        <v>899</v>
      </c>
    </row>
    <row r="173" spans="2:14" x14ac:dyDescent="0.2">
      <c r="B173" s="38"/>
      <c r="C173" s="40" t="s">
        <v>257</v>
      </c>
      <c r="D173" s="40"/>
      <c r="E173" s="40"/>
      <c r="F173" s="40"/>
      <c r="G173" s="40"/>
      <c r="H173" s="40"/>
      <c r="I173" s="40"/>
      <c r="J173" s="266" t="s">
        <v>874</v>
      </c>
      <c r="K173" s="41"/>
      <c r="N173" s="12" t="s">
        <v>900</v>
      </c>
    </row>
    <row r="174" spans="2:14" x14ac:dyDescent="0.2">
      <c r="B174" s="38"/>
      <c r="C174" s="40" t="s">
        <v>261</v>
      </c>
      <c r="D174" s="40"/>
      <c r="E174" s="40"/>
      <c r="F174" s="40"/>
      <c r="G174" s="40"/>
      <c r="H174" s="40"/>
      <c r="I174" s="40"/>
      <c r="J174" s="245">
        <f>IF(J173=$B$973,$A$973,IF(J173=$B$974,$A$974,IF(J173=$B$975,$A$975,IF(J173=$B$976,$A$976,IF(J173=$B$977,$A$977,"Not Calculated")))))</f>
        <v>4</v>
      </c>
      <c r="K174" s="41"/>
      <c r="N174" s="12" t="s">
        <v>901</v>
      </c>
    </row>
    <row r="175" spans="2:14" x14ac:dyDescent="0.2">
      <c r="B175" s="38"/>
      <c r="C175" s="40" t="s">
        <v>893</v>
      </c>
      <c r="D175" s="40"/>
      <c r="E175" s="40"/>
      <c r="F175" s="40"/>
      <c r="G175" s="40"/>
      <c r="H175" s="40"/>
      <c r="I175" s="40"/>
      <c r="J175" s="40"/>
      <c r="K175" s="41"/>
      <c r="N175" s="12" t="s">
        <v>902</v>
      </c>
    </row>
    <row r="176" spans="2:14" ht="30" customHeight="1" x14ac:dyDescent="0.2">
      <c r="B176" s="38"/>
      <c r="C176" s="399"/>
      <c r="D176" s="400"/>
      <c r="E176" s="400"/>
      <c r="F176" s="400"/>
      <c r="G176" s="400"/>
      <c r="H176" s="400"/>
      <c r="I176" s="400"/>
      <c r="J176" s="401"/>
      <c r="K176" s="41"/>
    </row>
    <row r="177" spans="2:14" x14ac:dyDescent="0.2">
      <c r="B177" s="38"/>
      <c r="C177" s="40"/>
      <c r="D177" s="40"/>
      <c r="E177" s="40"/>
      <c r="F177" s="40"/>
      <c r="G177" s="40"/>
      <c r="H177" s="40"/>
      <c r="I177" s="40"/>
      <c r="J177" s="40"/>
      <c r="K177" s="41"/>
    </row>
    <row r="178" spans="2:14" x14ac:dyDescent="0.2">
      <c r="B178" s="38"/>
      <c r="C178" s="179" t="s">
        <v>274</v>
      </c>
      <c r="D178" s="40"/>
      <c r="E178" s="40"/>
      <c r="F178" s="40"/>
      <c r="G178" s="40"/>
      <c r="H178" s="40"/>
      <c r="I178" s="40"/>
      <c r="J178" s="245" t="str">
        <f>IF(J172="N/A",IF(OR(J165="Not Calculated",J174="Not Calculated")=TRUE,"Not Calculated",AVERAGE(J165,J174)),AVERAGE(J172,J174))</f>
        <v>Not Calculated</v>
      </c>
      <c r="K178" s="41"/>
    </row>
    <row r="179" spans="2:14" x14ac:dyDescent="0.2">
      <c r="B179" s="38"/>
      <c r="C179" s="40"/>
      <c r="D179" s="40"/>
      <c r="E179" s="40"/>
      <c r="F179" s="40"/>
      <c r="G179" s="40"/>
      <c r="H179" s="40"/>
      <c r="I179" s="40"/>
      <c r="J179" s="40"/>
      <c r="K179" s="41"/>
    </row>
    <row r="180" spans="2:14" x14ac:dyDescent="0.2">
      <c r="B180" s="38"/>
      <c r="C180" s="40"/>
      <c r="D180" s="40"/>
      <c r="E180" s="40"/>
      <c r="F180" s="40"/>
      <c r="G180" s="40"/>
      <c r="H180" s="40"/>
      <c r="I180" s="40"/>
      <c r="J180" s="40"/>
      <c r="K180" s="41"/>
    </row>
    <row r="181" spans="2:14" ht="16" x14ac:dyDescent="0.2">
      <c r="B181" s="38"/>
      <c r="C181" s="45" t="s">
        <v>74</v>
      </c>
      <c r="D181" s="40"/>
      <c r="E181" s="40"/>
      <c r="F181" s="40"/>
      <c r="G181" s="40"/>
      <c r="H181" s="40"/>
      <c r="I181" s="40"/>
      <c r="J181" s="40"/>
      <c r="K181" s="41"/>
    </row>
    <row r="182" spans="2:14" x14ac:dyDescent="0.2">
      <c r="B182" s="38"/>
      <c r="C182" s="40" t="s">
        <v>443</v>
      </c>
      <c r="D182" s="40"/>
      <c r="E182" s="40"/>
      <c r="F182" s="40"/>
      <c r="G182" s="40"/>
      <c r="H182" s="40"/>
      <c r="I182" s="40"/>
      <c r="J182" s="252">
        <f>'Baseline Health'!G59</f>
        <v>0</v>
      </c>
      <c r="K182" s="41"/>
    </row>
    <row r="183" spans="2:14" x14ac:dyDescent="0.2">
      <c r="B183" s="38"/>
      <c r="C183" s="40" t="s">
        <v>281</v>
      </c>
      <c r="D183" s="40"/>
      <c r="E183" s="40"/>
      <c r="F183" s="40"/>
      <c r="G183" s="40"/>
      <c r="H183" s="40"/>
      <c r="I183" s="40"/>
      <c r="J183" s="264">
        <v>0</v>
      </c>
      <c r="K183" s="41"/>
    </row>
    <row r="184" spans="2:14" x14ac:dyDescent="0.2">
      <c r="B184" s="38"/>
      <c r="C184" s="40" t="s">
        <v>354</v>
      </c>
      <c r="D184" s="40"/>
      <c r="E184" s="40"/>
      <c r="F184" s="40"/>
      <c r="G184" s="40"/>
      <c r="H184" s="40"/>
      <c r="I184" s="40"/>
      <c r="J184" s="264">
        <f>'Community Characteristics'!$H$111*0.25</f>
        <v>0</v>
      </c>
      <c r="K184" s="41"/>
    </row>
    <row r="185" spans="2:14" x14ac:dyDescent="0.2">
      <c r="B185" s="38"/>
      <c r="C185" s="40" t="s">
        <v>260</v>
      </c>
      <c r="D185" s="40"/>
      <c r="E185" s="40"/>
      <c r="F185" s="40"/>
      <c r="G185" s="40"/>
      <c r="H185" s="40"/>
      <c r="I185" s="40"/>
      <c r="J185" s="245" t="str">
        <f>IF(OR(J182=0,J182="Not Calculated")=TRUE,"Not Calculated",IF(J182-J183=0,4,IF(((J182+J184)/(J182-J183))&lt;=1,0,IF(((J182+J184)/(J182-J183))&lt;=1.05,1,IF(((J182+J184)/(J182-J183))&lt;=1.5, 2,IF(((J182+J184)/(J182-J183))&lt;=2,3,4))))))</f>
        <v>Not Calculated</v>
      </c>
      <c r="K185" s="41"/>
    </row>
    <row r="186" spans="2:14" ht="9.75" customHeight="1" x14ac:dyDescent="0.2">
      <c r="B186" s="38"/>
      <c r="C186" s="279" t="str">
        <f>"0:"</f>
        <v>0:</v>
      </c>
      <c r="D186" s="278" t="s">
        <v>918</v>
      </c>
      <c r="E186" s="40"/>
      <c r="F186" s="40"/>
      <c r="G186" s="40"/>
      <c r="H186" s="40"/>
      <c r="I186" s="40"/>
      <c r="J186" s="40"/>
      <c r="K186" s="41"/>
    </row>
    <row r="187" spans="2:14" ht="9.75" customHeight="1" x14ac:dyDescent="0.2">
      <c r="B187" s="38"/>
      <c r="C187" s="280" t="str">
        <f>"1:"</f>
        <v>1:</v>
      </c>
      <c r="D187" s="278" t="s">
        <v>923</v>
      </c>
      <c r="E187" s="40"/>
      <c r="F187" s="40"/>
      <c r="G187" s="40"/>
      <c r="H187" s="40"/>
      <c r="I187" s="40"/>
      <c r="J187" s="40"/>
      <c r="K187" s="41"/>
    </row>
    <row r="188" spans="2:14" ht="9.75" customHeight="1" x14ac:dyDescent="0.2">
      <c r="B188" s="38"/>
      <c r="C188" s="280" t="str">
        <f>"2:"</f>
        <v>2:</v>
      </c>
      <c r="D188" s="278" t="s">
        <v>924</v>
      </c>
      <c r="E188" s="40"/>
      <c r="F188" s="40"/>
      <c r="G188" s="40"/>
      <c r="H188" s="40"/>
      <c r="I188" s="40"/>
      <c r="J188" s="40"/>
      <c r="K188" s="41"/>
    </row>
    <row r="189" spans="2:14" ht="9.75" customHeight="1" x14ac:dyDescent="0.2">
      <c r="B189" s="38"/>
      <c r="C189" s="280" t="str">
        <f>"3:"</f>
        <v>3:</v>
      </c>
      <c r="D189" s="278" t="s">
        <v>925</v>
      </c>
      <c r="E189" s="40"/>
      <c r="F189" s="40"/>
      <c r="G189" s="40"/>
      <c r="H189" s="40"/>
      <c r="I189" s="40"/>
      <c r="J189" s="40"/>
      <c r="K189" s="41"/>
    </row>
    <row r="190" spans="2:14" ht="9.75" customHeight="1" x14ac:dyDescent="0.2">
      <c r="B190" s="38"/>
      <c r="C190" s="280" t="str">
        <f>"4:"</f>
        <v>4:</v>
      </c>
      <c r="D190" s="278" t="s">
        <v>926</v>
      </c>
      <c r="E190" s="40"/>
      <c r="F190" s="40"/>
      <c r="G190" s="40"/>
      <c r="H190" s="40"/>
      <c r="I190" s="40"/>
      <c r="J190" s="40"/>
      <c r="K190" s="41"/>
      <c r="N190" s="12" t="s">
        <v>661</v>
      </c>
    </row>
    <row r="191" spans="2:14" x14ac:dyDescent="0.2">
      <c r="B191" s="38"/>
      <c r="C191" s="174" t="s">
        <v>662</v>
      </c>
      <c r="D191" s="40"/>
      <c r="E191" s="40"/>
      <c r="F191" s="40"/>
      <c r="G191" s="40"/>
      <c r="H191" s="40"/>
      <c r="I191" s="40"/>
      <c r="J191" s="265" t="s">
        <v>661</v>
      </c>
      <c r="K191" s="41"/>
      <c r="N191" s="12" t="s">
        <v>894</v>
      </c>
    </row>
    <row r="192" spans="2:14" x14ac:dyDescent="0.2">
      <c r="B192" s="38"/>
      <c r="C192" s="174" t="s">
        <v>660</v>
      </c>
      <c r="D192" s="40"/>
      <c r="E192" s="40"/>
      <c r="F192" s="40"/>
      <c r="G192" s="40"/>
      <c r="H192" s="40"/>
      <c r="I192" s="40"/>
      <c r="J192" s="246" t="str">
        <f>IF(J191=N190,"N/A",IF(J191=N191,0,IF(J191=N192,1,IF(J191=N193,2,IF(J191=N194,3,IF(J191=N195,4,"N/A"))))))</f>
        <v>N/A</v>
      </c>
      <c r="K192" s="41"/>
      <c r="N192" s="12" t="s">
        <v>899</v>
      </c>
    </row>
    <row r="193" spans="2:14" x14ac:dyDescent="0.2">
      <c r="B193" s="38"/>
      <c r="C193" s="40" t="s">
        <v>257</v>
      </c>
      <c r="D193" s="40"/>
      <c r="E193" s="40"/>
      <c r="F193" s="40"/>
      <c r="G193" s="40"/>
      <c r="H193" s="40"/>
      <c r="I193" s="40"/>
      <c r="J193" s="266" t="s">
        <v>873</v>
      </c>
      <c r="K193" s="41"/>
      <c r="N193" s="12" t="s">
        <v>900</v>
      </c>
    </row>
    <row r="194" spans="2:14" x14ac:dyDescent="0.2">
      <c r="B194" s="38"/>
      <c r="C194" s="40" t="s">
        <v>261</v>
      </c>
      <c r="D194" s="40"/>
      <c r="E194" s="40"/>
      <c r="F194" s="40"/>
      <c r="G194" s="40"/>
      <c r="H194" s="40"/>
      <c r="I194" s="40"/>
      <c r="J194" s="245">
        <f>IF(J193=$B$973,$A$973,IF(J193=$B$974,$A$974,IF(J193=$B$975,$A$975,IF(J193=$B$976,$A$976,IF(J193=$B$977,$A$977,"Not Calculated")))))</f>
        <v>3</v>
      </c>
      <c r="K194" s="41"/>
      <c r="N194" s="12" t="s">
        <v>901</v>
      </c>
    </row>
    <row r="195" spans="2:14" x14ac:dyDescent="0.2">
      <c r="B195" s="38"/>
      <c r="C195" s="40" t="s">
        <v>893</v>
      </c>
      <c r="D195" s="40"/>
      <c r="E195" s="40"/>
      <c r="F195" s="40"/>
      <c r="G195" s="40"/>
      <c r="H195" s="40"/>
      <c r="I195" s="40"/>
      <c r="J195" s="40"/>
      <c r="K195" s="41"/>
      <c r="N195" s="12" t="s">
        <v>902</v>
      </c>
    </row>
    <row r="196" spans="2:14" ht="45" customHeight="1" x14ac:dyDescent="0.2">
      <c r="B196" s="38"/>
      <c r="C196" s="399" t="s">
        <v>1020</v>
      </c>
      <c r="D196" s="400"/>
      <c r="E196" s="400"/>
      <c r="F196" s="400"/>
      <c r="G196" s="400"/>
      <c r="H196" s="400"/>
      <c r="I196" s="400"/>
      <c r="J196" s="401"/>
      <c r="K196" s="41"/>
    </row>
    <row r="197" spans="2:14" x14ac:dyDescent="0.2">
      <c r="B197" s="38"/>
      <c r="C197" s="40"/>
      <c r="D197" s="40"/>
      <c r="E197" s="40"/>
      <c r="F197" s="40"/>
      <c r="G197" s="40"/>
      <c r="H197" s="40"/>
      <c r="I197" s="40"/>
      <c r="J197" s="40"/>
      <c r="K197" s="41"/>
    </row>
    <row r="198" spans="2:14" x14ac:dyDescent="0.2">
      <c r="B198" s="38"/>
      <c r="C198" s="179" t="s">
        <v>275</v>
      </c>
      <c r="D198" s="40"/>
      <c r="E198" s="40"/>
      <c r="F198" s="40"/>
      <c r="G198" s="40"/>
      <c r="H198" s="40"/>
      <c r="I198" s="40"/>
      <c r="J198" s="245" t="str">
        <f>IF(J192="N/A",IF(OR(J185="Not Calculated",J194="Not Calculated")=TRUE,"Not Calculated",AVERAGE(J185,J194)),AVERAGE(J192,J194))</f>
        <v>Not Calculated</v>
      </c>
      <c r="K198" s="41"/>
    </row>
    <row r="199" spans="2:14" x14ac:dyDescent="0.2">
      <c r="B199" s="38"/>
      <c r="C199" s="40"/>
      <c r="D199" s="40"/>
      <c r="E199" s="40"/>
      <c r="F199" s="40"/>
      <c r="G199" s="40"/>
      <c r="H199" s="40"/>
      <c r="I199" s="40"/>
      <c r="J199" s="40"/>
      <c r="K199" s="41"/>
    </row>
    <row r="200" spans="2:14" x14ac:dyDescent="0.2">
      <c r="B200" s="38"/>
      <c r="C200" s="40"/>
      <c r="D200" s="40"/>
      <c r="E200" s="40"/>
      <c r="F200" s="40"/>
      <c r="G200" s="40"/>
      <c r="H200" s="40"/>
      <c r="I200" s="40"/>
      <c r="J200" s="40"/>
      <c r="K200" s="41"/>
    </row>
    <row r="201" spans="2:14" ht="16" x14ac:dyDescent="0.2">
      <c r="B201" s="38"/>
      <c r="C201" s="45" t="s">
        <v>75</v>
      </c>
      <c r="D201" s="40"/>
      <c r="E201" s="40"/>
      <c r="F201" s="40"/>
      <c r="G201" s="40"/>
      <c r="H201" s="40"/>
      <c r="I201" s="40"/>
      <c r="J201" s="40"/>
      <c r="K201" s="41"/>
    </row>
    <row r="202" spans="2:14" x14ac:dyDescent="0.2">
      <c r="B202" s="38"/>
      <c r="C202" s="40" t="s">
        <v>444</v>
      </c>
      <c r="D202" s="40"/>
      <c r="E202" s="40"/>
      <c r="F202" s="40"/>
      <c r="G202" s="40"/>
      <c r="H202" s="40"/>
      <c r="I202" s="40"/>
      <c r="J202" s="252">
        <f>'Baseline Health'!G65</f>
        <v>0</v>
      </c>
      <c r="K202" s="41"/>
    </row>
    <row r="203" spans="2:14" x14ac:dyDescent="0.2">
      <c r="B203" s="38"/>
      <c r="C203" s="40" t="s">
        <v>282</v>
      </c>
      <c r="D203" s="40"/>
      <c r="E203" s="40"/>
      <c r="F203" s="40"/>
      <c r="G203" s="40"/>
      <c r="H203" s="40"/>
      <c r="I203" s="40"/>
      <c r="J203" s="264">
        <f>J202*0.26</f>
        <v>0</v>
      </c>
      <c r="K203" s="41"/>
    </row>
    <row r="204" spans="2:14" x14ac:dyDescent="0.2">
      <c r="B204" s="38"/>
      <c r="C204" s="40" t="s">
        <v>355</v>
      </c>
      <c r="D204" s="40"/>
      <c r="E204" s="40"/>
      <c r="F204" s="40"/>
      <c r="G204" s="40"/>
      <c r="H204" s="40"/>
      <c r="I204" s="40"/>
      <c r="J204" s="264">
        <v>0</v>
      </c>
      <c r="K204" s="41"/>
    </row>
    <row r="205" spans="2:14" x14ac:dyDescent="0.2">
      <c r="B205" s="38"/>
      <c r="C205" s="40" t="s">
        <v>260</v>
      </c>
      <c r="D205" s="40"/>
      <c r="E205" s="40"/>
      <c r="F205" s="40"/>
      <c r="G205" s="40"/>
      <c r="H205" s="40"/>
      <c r="I205" s="40"/>
      <c r="J205" s="245" t="str">
        <f>IF(OR(J202=0,J202="Not Calculated")=TRUE,"Not Calculated",IF(J202-J203=0,4,IF(((J202+J204)/(J202-J203))&lt;=1,0,IF(((J202+J204)/(J202-J203))&lt;=1.05,1,IF(((J202+J204)/(J202-J203))&lt;=1.5, 2,IF(((J202+J204)/(J202-J203))&lt;=2,3,4))))))</f>
        <v>Not Calculated</v>
      </c>
      <c r="K205" s="41"/>
    </row>
    <row r="206" spans="2:14" ht="9.75" customHeight="1" x14ac:dyDescent="0.2">
      <c r="B206" s="38"/>
      <c r="C206" s="279" t="str">
        <f>"0:"</f>
        <v>0:</v>
      </c>
      <c r="D206" s="278" t="s">
        <v>918</v>
      </c>
      <c r="E206" s="40"/>
      <c r="F206" s="40"/>
      <c r="G206" s="40"/>
      <c r="H206" s="40"/>
      <c r="I206" s="40"/>
      <c r="J206" s="40"/>
      <c r="K206" s="41"/>
    </row>
    <row r="207" spans="2:14" ht="9.75" customHeight="1" x14ac:dyDescent="0.2">
      <c r="B207" s="38"/>
      <c r="C207" s="280" t="str">
        <f>"1:"</f>
        <v>1:</v>
      </c>
      <c r="D207" s="278" t="s">
        <v>923</v>
      </c>
      <c r="E207" s="40"/>
      <c r="F207" s="40"/>
      <c r="G207" s="40"/>
      <c r="H207" s="40"/>
      <c r="I207" s="40"/>
      <c r="J207" s="40"/>
      <c r="K207" s="41"/>
    </row>
    <row r="208" spans="2:14" ht="9.75" customHeight="1" x14ac:dyDescent="0.2">
      <c r="B208" s="38"/>
      <c r="C208" s="280" t="str">
        <f>"2:"</f>
        <v>2:</v>
      </c>
      <c r="D208" s="278" t="s">
        <v>924</v>
      </c>
      <c r="E208" s="40"/>
      <c r="F208" s="40"/>
      <c r="G208" s="40"/>
      <c r="H208" s="40"/>
      <c r="I208" s="40"/>
      <c r="J208" s="40"/>
      <c r="K208" s="41"/>
    </row>
    <row r="209" spans="2:14" ht="9.75" customHeight="1" x14ac:dyDescent="0.2">
      <c r="B209" s="38"/>
      <c r="C209" s="280" t="str">
        <f>"3:"</f>
        <v>3:</v>
      </c>
      <c r="D209" s="278" t="s">
        <v>925</v>
      </c>
      <c r="E209" s="40"/>
      <c r="F209" s="40"/>
      <c r="G209" s="40"/>
      <c r="H209" s="40"/>
      <c r="I209" s="40"/>
      <c r="J209" s="40"/>
      <c r="K209" s="41"/>
    </row>
    <row r="210" spans="2:14" ht="9.75" customHeight="1" x14ac:dyDescent="0.2">
      <c r="B210" s="38"/>
      <c r="C210" s="280" t="str">
        <f>"4:"</f>
        <v>4:</v>
      </c>
      <c r="D210" s="278" t="s">
        <v>926</v>
      </c>
      <c r="E210" s="40"/>
      <c r="F210" s="40"/>
      <c r="G210" s="40"/>
      <c r="H210" s="40"/>
      <c r="I210" s="40"/>
      <c r="J210" s="40"/>
      <c r="K210" s="41"/>
      <c r="N210" s="12" t="s">
        <v>661</v>
      </c>
    </row>
    <row r="211" spans="2:14" x14ac:dyDescent="0.2">
      <c r="B211" s="38"/>
      <c r="C211" s="174" t="s">
        <v>662</v>
      </c>
      <c r="D211" s="40"/>
      <c r="E211" s="40"/>
      <c r="F211" s="40"/>
      <c r="G211" s="40"/>
      <c r="H211" s="40"/>
      <c r="I211" s="40"/>
      <c r="J211" s="265" t="s">
        <v>661</v>
      </c>
      <c r="K211" s="41"/>
      <c r="N211" s="12" t="s">
        <v>894</v>
      </c>
    </row>
    <row r="212" spans="2:14" x14ac:dyDescent="0.2">
      <c r="B212" s="38"/>
      <c r="C212" s="174" t="s">
        <v>660</v>
      </c>
      <c r="D212" s="40"/>
      <c r="E212" s="40"/>
      <c r="F212" s="40"/>
      <c r="G212" s="40"/>
      <c r="H212" s="40"/>
      <c r="I212" s="40"/>
      <c r="J212" s="246" t="str">
        <f>IF(J211=N210,"N/A",IF(J211=N211,0,IF(J211=N212,1,IF(J211=N213,2,IF(J211=N214,3,IF(J211=N215,4,"N/A"))))))</f>
        <v>N/A</v>
      </c>
      <c r="K212" s="41"/>
      <c r="N212" s="12" t="s">
        <v>899</v>
      </c>
    </row>
    <row r="213" spans="2:14" x14ac:dyDescent="0.2">
      <c r="B213" s="38"/>
      <c r="C213" s="40" t="s">
        <v>257</v>
      </c>
      <c r="D213" s="40"/>
      <c r="E213" s="40"/>
      <c r="F213" s="40"/>
      <c r="G213" s="40"/>
      <c r="H213" s="40"/>
      <c r="I213" s="40"/>
      <c r="J213" s="266" t="s">
        <v>872</v>
      </c>
      <c r="K213" s="41"/>
      <c r="N213" s="12" t="s">
        <v>900</v>
      </c>
    </row>
    <row r="214" spans="2:14" x14ac:dyDescent="0.2">
      <c r="B214" s="38"/>
      <c r="C214" s="40" t="s">
        <v>261</v>
      </c>
      <c r="D214" s="40"/>
      <c r="E214" s="40"/>
      <c r="F214" s="40"/>
      <c r="G214" s="40"/>
      <c r="H214" s="40"/>
      <c r="I214" s="40"/>
      <c r="J214" s="245">
        <f>IF(J213=$B$973,$A$973,IF(J213=$B$974,$A$974,IF(J213=$B$975,$A$975,IF(J213=$B$976,$A$976,IF(J213=$B$977,$A$977,"Not Calculated")))))</f>
        <v>2</v>
      </c>
      <c r="K214" s="41"/>
      <c r="N214" s="12" t="s">
        <v>901</v>
      </c>
    </row>
    <row r="215" spans="2:14" x14ac:dyDescent="0.2">
      <c r="B215" s="38"/>
      <c r="C215" s="40" t="s">
        <v>893</v>
      </c>
      <c r="D215" s="40"/>
      <c r="E215" s="40"/>
      <c r="F215" s="40"/>
      <c r="G215" s="40"/>
      <c r="H215" s="40"/>
      <c r="I215" s="40"/>
      <c r="J215" s="40"/>
      <c r="K215" s="41"/>
      <c r="N215" s="12" t="s">
        <v>902</v>
      </c>
    </row>
    <row r="216" spans="2:14" ht="30" customHeight="1" x14ac:dyDescent="0.2">
      <c r="B216" s="38"/>
      <c r="C216" s="399" t="s">
        <v>545</v>
      </c>
      <c r="D216" s="400"/>
      <c r="E216" s="400"/>
      <c r="F216" s="400"/>
      <c r="G216" s="400"/>
      <c r="H216" s="400"/>
      <c r="I216" s="400"/>
      <c r="J216" s="401"/>
      <c r="K216" s="41"/>
    </row>
    <row r="217" spans="2:14" x14ac:dyDescent="0.2">
      <c r="B217" s="38"/>
      <c r="C217" s="40"/>
      <c r="D217" s="40"/>
      <c r="E217" s="40"/>
      <c r="F217" s="40"/>
      <c r="G217" s="40"/>
      <c r="H217" s="40"/>
      <c r="I217" s="40"/>
      <c r="J217" s="40"/>
      <c r="K217" s="41"/>
    </row>
    <row r="218" spans="2:14" x14ac:dyDescent="0.2">
      <c r="B218" s="38"/>
      <c r="C218" s="179" t="s">
        <v>276</v>
      </c>
      <c r="D218" s="40"/>
      <c r="E218" s="40"/>
      <c r="F218" s="40"/>
      <c r="G218" s="40"/>
      <c r="H218" s="40"/>
      <c r="I218" s="40"/>
      <c r="J218" s="245" t="str">
        <f>IF(J212="N/A",IF(OR(J205="Not Calculated",J214="Not Calculated")=TRUE,"Not Calculated",AVERAGE(J205,J214)),AVERAGE(J212,J214))</f>
        <v>Not Calculated</v>
      </c>
      <c r="K218" s="41"/>
    </row>
    <row r="219" spans="2:14" x14ac:dyDescent="0.2">
      <c r="B219" s="38"/>
      <c r="C219" s="40"/>
      <c r="D219" s="40"/>
      <c r="E219" s="40"/>
      <c r="F219" s="40"/>
      <c r="G219" s="40"/>
      <c r="H219" s="40"/>
      <c r="I219" s="40"/>
      <c r="J219" s="40"/>
      <c r="K219" s="41"/>
    </row>
    <row r="220" spans="2:14" x14ac:dyDescent="0.2">
      <c r="B220" s="38"/>
      <c r="C220" s="40"/>
      <c r="D220" s="40"/>
      <c r="E220" s="40"/>
      <c r="F220" s="40"/>
      <c r="G220" s="40"/>
      <c r="H220" s="40"/>
      <c r="I220" s="40"/>
      <c r="J220" s="40"/>
      <c r="K220" s="41"/>
    </row>
    <row r="221" spans="2:14" ht="16" x14ac:dyDescent="0.2">
      <c r="B221" s="38"/>
      <c r="C221" s="45" t="s">
        <v>76</v>
      </c>
      <c r="D221" s="40"/>
      <c r="E221" s="40"/>
      <c r="F221" s="40"/>
      <c r="G221" s="40"/>
      <c r="H221" s="40"/>
      <c r="I221" s="40"/>
      <c r="J221" s="40"/>
      <c r="K221" s="41"/>
    </row>
    <row r="222" spans="2:14" ht="15" customHeight="1" x14ac:dyDescent="0.2">
      <c r="B222" s="38"/>
      <c r="C222" s="40" t="s">
        <v>356</v>
      </c>
      <c r="D222" s="40"/>
      <c r="E222" s="40"/>
      <c r="F222" s="40"/>
      <c r="G222" s="40"/>
      <c r="H222" s="40"/>
      <c r="I222" s="40"/>
      <c r="J222" s="252">
        <f>'Baseline Health'!G71</f>
        <v>0</v>
      </c>
      <c r="K222" s="41"/>
    </row>
    <row r="223" spans="2:14" x14ac:dyDescent="0.2">
      <c r="B223" s="38"/>
      <c r="C223" s="40" t="s">
        <v>357</v>
      </c>
      <c r="D223" s="40"/>
      <c r="E223" s="40"/>
      <c r="F223" s="40"/>
      <c r="G223" s="40"/>
      <c r="H223" s="40"/>
      <c r="I223" s="40"/>
      <c r="J223" s="264">
        <v>0</v>
      </c>
      <c r="K223" s="41"/>
    </row>
    <row r="224" spans="2:14" x14ac:dyDescent="0.2">
      <c r="B224" s="38"/>
      <c r="C224" s="40" t="s">
        <v>445</v>
      </c>
      <c r="D224" s="40"/>
      <c r="E224" s="40"/>
      <c r="F224" s="40"/>
      <c r="G224" s="40"/>
      <c r="H224" s="40"/>
      <c r="I224" s="40"/>
      <c r="J224" s="251">
        <f>J102</f>
        <v>0</v>
      </c>
      <c r="K224" s="41"/>
    </row>
    <row r="225" spans="2:14" x14ac:dyDescent="0.2">
      <c r="B225" s="38"/>
      <c r="C225" s="40"/>
      <c r="D225" s="40" t="s">
        <v>446</v>
      </c>
      <c r="E225" s="40"/>
      <c r="F225" s="40"/>
      <c r="G225" s="40"/>
      <c r="H225" s="40"/>
      <c r="I225" s="40"/>
      <c r="J225" s="40"/>
      <c r="K225" s="41"/>
    </row>
    <row r="226" spans="2:14" x14ac:dyDescent="0.2">
      <c r="B226" s="38"/>
      <c r="C226" s="40" t="s">
        <v>260</v>
      </c>
      <c r="D226" s="40"/>
      <c r="E226" s="40"/>
      <c r="F226" s="40"/>
      <c r="G226" s="40"/>
      <c r="H226" s="40"/>
      <c r="I226" s="40"/>
      <c r="J226" s="245" t="str">
        <f>IF(OR(J222=0,J222="Not Calculated")=TRUE,"Not Calculated",IF(J222-J223=0,4,IF(((J222+J224)/(J222-J223))&lt;=1,0,IF(((J222+J224)/(J222-J223))&lt;=1.05,1,IF(((J222+J224)/(J222-J223))&lt;=1.5, 2,IF(((J222+J224)/(J222-J223))&lt;=2,3,4))))))</f>
        <v>Not Calculated</v>
      </c>
      <c r="K226" s="41"/>
    </row>
    <row r="227" spans="2:14" ht="9.75" customHeight="1" x14ac:dyDescent="0.2">
      <c r="B227" s="38"/>
      <c r="C227" s="279" t="str">
        <f>"0:"</f>
        <v>0:</v>
      </c>
      <c r="D227" s="278" t="s">
        <v>918</v>
      </c>
      <c r="E227" s="40"/>
      <c r="F227" s="40"/>
      <c r="G227" s="40"/>
      <c r="H227" s="40"/>
      <c r="I227" s="40"/>
      <c r="J227" s="40"/>
      <c r="K227" s="41"/>
    </row>
    <row r="228" spans="2:14" ht="9.75" customHeight="1" x14ac:dyDescent="0.2">
      <c r="B228" s="38"/>
      <c r="C228" s="280" t="str">
        <f>"1:"</f>
        <v>1:</v>
      </c>
      <c r="D228" s="278" t="s">
        <v>923</v>
      </c>
      <c r="E228" s="40"/>
      <c r="F228" s="40"/>
      <c r="G228" s="40"/>
      <c r="H228" s="40"/>
      <c r="I228" s="40"/>
      <c r="J228" s="40"/>
      <c r="K228" s="41"/>
    </row>
    <row r="229" spans="2:14" ht="9.75" customHeight="1" x14ac:dyDescent="0.2">
      <c r="B229" s="38"/>
      <c r="C229" s="280" t="str">
        <f>"2:"</f>
        <v>2:</v>
      </c>
      <c r="D229" s="278" t="s">
        <v>924</v>
      </c>
      <c r="E229" s="40"/>
      <c r="F229" s="40"/>
      <c r="G229" s="40"/>
      <c r="H229" s="40"/>
      <c r="I229" s="40"/>
      <c r="J229" s="40"/>
      <c r="K229" s="41"/>
    </row>
    <row r="230" spans="2:14" ht="9.75" customHeight="1" x14ac:dyDescent="0.2">
      <c r="B230" s="38"/>
      <c r="C230" s="280" t="str">
        <f>"3:"</f>
        <v>3:</v>
      </c>
      <c r="D230" s="278" t="s">
        <v>925</v>
      </c>
      <c r="E230" s="40"/>
      <c r="F230" s="40"/>
      <c r="G230" s="40"/>
      <c r="H230" s="40"/>
      <c r="I230" s="40"/>
      <c r="J230" s="40"/>
      <c r="K230" s="41"/>
    </row>
    <row r="231" spans="2:14" ht="9.75" customHeight="1" x14ac:dyDescent="0.2">
      <c r="B231" s="38"/>
      <c r="C231" s="280" t="str">
        <f>"4:"</f>
        <v>4:</v>
      </c>
      <c r="D231" s="278" t="s">
        <v>926</v>
      </c>
      <c r="E231" s="40"/>
      <c r="F231" s="40"/>
      <c r="G231" s="40"/>
      <c r="H231" s="40"/>
      <c r="I231" s="40"/>
      <c r="J231" s="40"/>
      <c r="K231" s="41"/>
      <c r="N231" s="12" t="s">
        <v>661</v>
      </c>
    </row>
    <row r="232" spans="2:14" x14ac:dyDescent="0.2">
      <c r="B232" s="38"/>
      <c r="C232" s="174" t="s">
        <v>662</v>
      </c>
      <c r="D232" s="40"/>
      <c r="E232" s="40"/>
      <c r="F232" s="40"/>
      <c r="G232" s="40"/>
      <c r="H232" s="40"/>
      <c r="I232" s="40"/>
      <c r="J232" s="265" t="s">
        <v>661</v>
      </c>
      <c r="K232" s="41"/>
      <c r="N232" s="12" t="s">
        <v>894</v>
      </c>
    </row>
    <row r="233" spans="2:14" x14ac:dyDescent="0.2">
      <c r="B233" s="38"/>
      <c r="C233" s="174" t="s">
        <v>660</v>
      </c>
      <c r="D233" s="40"/>
      <c r="E233" s="40"/>
      <c r="F233" s="40"/>
      <c r="G233" s="40"/>
      <c r="H233" s="40"/>
      <c r="I233" s="40"/>
      <c r="J233" s="246" t="str">
        <f>IF(J232=N231,"N/A",IF(J232=N232,0,IF(J232=N233,1,IF(J232=N234,2,IF(J232=N235,3,IF(J232=N236,4,"N/A"))))))</f>
        <v>N/A</v>
      </c>
      <c r="K233" s="41"/>
      <c r="N233" s="12" t="s">
        <v>899</v>
      </c>
    </row>
    <row r="234" spans="2:14" x14ac:dyDescent="0.2">
      <c r="B234" s="38"/>
      <c r="C234" s="40" t="s">
        <v>257</v>
      </c>
      <c r="D234" s="40"/>
      <c r="E234" s="40"/>
      <c r="F234" s="40"/>
      <c r="G234" s="40"/>
      <c r="H234" s="40"/>
      <c r="I234" s="40"/>
      <c r="J234" s="266" t="s">
        <v>882</v>
      </c>
      <c r="K234" s="41"/>
      <c r="N234" s="12" t="s">
        <v>900</v>
      </c>
    </row>
    <row r="235" spans="2:14" x14ac:dyDescent="0.2">
      <c r="B235" s="38"/>
      <c r="C235" s="40" t="s">
        <v>261</v>
      </c>
      <c r="D235" s="40"/>
      <c r="E235" s="40"/>
      <c r="F235" s="40"/>
      <c r="G235" s="40"/>
      <c r="H235" s="40"/>
      <c r="I235" s="40"/>
      <c r="J235" s="245">
        <f>IF(J234=$B$973,$A$973,IF(J234=$B$974,$A$974,IF(J234=$B$975,$A$975,IF(J234=$B$976,$A$976,IF(J234=$B$977,$A$977,"Not Calculated")))))</f>
        <v>1</v>
      </c>
      <c r="K235" s="41"/>
      <c r="N235" s="12" t="s">
        <v>901</v>
      </c>
    </row>
    <row r="236" spans="2:14" x14ac:dyDescent="0.2">
      <c r="B236" s="38"/>
      <c r="C236" s="40" t="s">
        <v>893</v>
      </c>
      <c r="D236" s="40"/>
      <c r="E236" s="40"/>
      <c r="F236" s="40"/>
      <c r="G236" s="40"/>
      <c r="H236" s="40"/>
      <c r="I236" s="40"/>
      <c r="J236" s="40"/>
      <c r="K236" s="41"/>
      <c r="N236" s="12" t="s">
        <v>902</v>
      </c>
    </row>
    <row r="237" spans="2:14" ht="30" customHeight="1" x14ac:dyDescent="0.2">
      <c r="B237" s="38"/>
      <c r="C237" s="399"/>
      <c r="D237" s="400"/>
      <c r="E237" s="400"/>
      <c r="F237" s="400"/>
      <c r="G237" s="400"/>
      <c r="H237" s="400"/>
      <c r="I237" s="400"/>
      <c r="J237" s="401"/>
      <c r="K237" s="41"/>
    </row>
    <row r="238" spans="2:14" x14ac:dyDescent="0.2">
      <c r="B238" s="38"/>
      <c r="C238" s="40"/>
      <c r="D238" s="40"/>
      <c r="E238" s="40"/>
      <c r="F238" s="40"/>
      <c r="G238" s="40"/>
      <c r="H238" s="40"/>
      <c r="I238" s="40"/>
      <c r="J238" s="40"/>
      <c r="K238" s="41"/>
    </row>
    <row r="239" spans="2:14" x14ac:dyDescent="0.2">
      <c r="B239" s="38"/>
      <c r="C239" s="179" t="s">
        <v>277</v>
      </c>
      <c r="D239" s="40"/>
      <c r="E239" s="40"/>
      <c r="F239" s="40"/>
      <c r="G239" s="40"/>
      <c r="H239" s="40"/>
      <c r="I239" s="40"/>
      <c r="J239" s="245" t="str">
        <f>IF(J233="N/A",IF(OR(J226="Not Calculated",J235="Not Calculated")=TRUE,"Not Calculated",AVERAGE(J226,J235)),AVERAGE(J233,J235))</f>
        <v>Not Calculated</v>
      </c>
      <c r="K239" s="41"/>
    </row>
    <row r="240" spans="2:14" x14ac:dyDescent="0.2">
      <c r="B240" s="38"/>
      <c r="C240" s="40"/>
      <c r="D240" s="40"/>
      <c r="E240" s="40"/>
      <c r="F240" s="40"/>
      <c r="G240" s="40"/>
      <c r="H240" s="40"/>
      <c r="I240" s="40"/>
      <c r="J240" s="40"/>
      <c r="K240" s="41"/>
    </row>
    <row r="241" spans="2:14" x14ac:dyDescent="0.2">
      <c r="B241" s="38"/>
      <c r="C241" s="40"/>
      <c r="D241" s="40"/>
      <c r="E241" s="40"/>
      <c r="F241" s="40"/>
      <c r="G241" s="40"/>
      <c r="H241" s="40"/>
      <c r="I241" s="40"/>
      <c r="J241" s="40"/>
      <c r="K241" s="41"/>
    </row>
    <row r="242" spans="2:14" ht="16" x14ac:dyDescent="0.2">
      <c r="B242" s="38"/>
      <c r="C242" s="45" t="s">
        <v>278</v>
      </c>
      <c r="D242" s="40"/>
      <c r="E242" s="40"/>
      <c r="F242" s="40"/>
      <c r="G242" s="40"/>
      <c r="H242" s="40"/>
      <c r="I242" s="40"/>
      <c r="J242" s="40"/>
      <c r="K242" s="41"/>
    </row>
    <row r="243" spans="2:14" ht="15" customHeight="1" x14ac:dyDescent="0.2">
      <c r="B243" s="38"/>
      <c r="C243" s="40" t="s">
        <v>447</v>
      </c>
      <c r="D243" s="40"/>
      <c r="E243" s="40"/>
      <c r="F243" s="40"/>
      <c r="G243" s="40"/>
      <c r="H243" s="40"/>
      <c r="I243" s="40"/>
      <c r="J243" s="254">
        <f>'Baseline Health'!G77</f>
        <v>0</v>
      </c>
      <c r="K243" s="41"/>
    </row>
    <row r="244" spans="2:14" x14ac:dyDescent="0.2">
      <c r="B244" s="38"/>
      <c r="C244" s="40" t="s">
        <v>358</v>
      </c>
      <c r="D244" s="40"/>
      <c r="E244" s="40"/>
      <c r="F244" s="40"/>
      <c r="G244" s="40"/>
      <c r="H244" s="40"/>
      <c r="I244" s="40"/>
      <c r="J244" s="264">
        <v>0</v>
      </c>
      <c r="K244" s="41"/>
    </row>
    <row r="245" spans="2:14" x14ac:dyDescent="0.2">
      <c r="B245" s="38"/>
      <c r="C245" s="40" t="s">
        <v>360</v>
      </c>
      <c r="D245" s="291"/>
      <c r="E245" s="291"/>
      <c r="F245" s="291"/>
      <c r="G245" s="291"/>
      <c r="H245" s="291"/>
      <c r="I245" s="291"/>
      <c r="J245" s="264">
        <f>'Baseline Health'!$G$6*0.358*40/250</f>
        <v>0</v>
      </c>
      <c r="K245" s="41"/>
    </row>
    <row r="246" spans="2:14" x14ac:dyDescent="0.2">
      <c r="B246" s="38"/>
      <c r="C246" s="40" t="s">
        <v>260</v>
      </c>
      <c r="D246" s="40"/>
      <c r="E246" s="40"/>
      <c r="F246" s="40"/>
      <c r="G246" s="40"/>
      <c r="H246" s="40"/>
      <c r="I246" s="40"/>
      <c r="J246" s="245" t="str">
        <f>IF(OR(J243=0,J243="Not Calculated")=TRUE,"Not Calculated",IF(J243-J244=0,4,(IF(((J243+J245)/(J243-J244))&lt;=1,0,IF(((J243+J245)/(J243-J244))&lt;=1.05,1,IF(((J243+J245)/(J243-J244))&lt;=1.5,2,IF(((J243+J245)/(J243-J244))&lt;=2,3,4)))))))</f>
        <v>Not Calculated</v>
      </c>
      <c r="K246" s="41"/>
    </row>
    <row r="247" spans="2:14" ht="9.75" customHeight="1" x14ac:dyDescent="0.2">
      <c r="B247" s="38"/>
      <c r="C247" s="279" t="str">
        <f>"0:"</f>
        <v>0:</v>
      </c>
      <c r="D247" s="278" t="s">
        <v>918</v>
      </c>
      <c r="E247" s="40"/>
      <c r="F247" s="40"/>
      <c r="G247" s="40"/>
      <c r="H247" s="40"/>
      <c r="I247" s="40"/>
      <c r="J247" s="40"/>
      <c r="K247" s="41"/>
    </row>
    <row r="248" spans="2:14" ht="9.75" customHeight="1" x14ac:dyDescent="0.2">
      <c r="B248" s="38"/>
      <c r="C248" s="280" t="str">
        <f>"1:"</f>
        <v>1:</v>
      </c>
      <c r="D248" s="278" t="s">
        <v>923</v>
      </c>
      <c r="E248" s="40"/>
      <c r="F248" s="40"/>
      <c r="G248" s="40"/>
      <c r="H248" s="40"/>
      <c r="I248" s="40"/>
      <c r="J248" s="40"/>
      <c r="K248" s="41"/>
    </row>
    <row r="249" spans="2:14" ht="9.75" customHeight="1" x14ac:dyDescent="0.2">
      <c r="B249" s="38"/>
      <c r="C249" s="280" t="str">
        <f>"2:"</f>
        <v>2:</v>
      </c>
      <c r="D249" s="278" t="s">
        <v>924</v>
      </c>
      <c r="E249" s="40"/>
      <c r="F249" s="40"/>
      <c r="G249" s="40"/>
      <c r="H249" s="40"/>
      <c r="I249" s="40"/>
      <c r="J249" s="40"/>
      <c r="K249" s="41"/>
    </row>
    <row r="250" spans="2:14" ht="9.75" customHeight="1" x14ac:dyDescent="0.2">
      <c r="B250" s="38"/>
      <c r="C250" s="280" t="str">
        <f>"3:"</f>
        <v>3:</v>
      </c>
      <c r="D250" s="278" t="s">
        <v>925</v>
      </c>
      <c r="E250" s="40"/>
      <c r="F250" s="40"/>
      <c r="G250" s="40"/>
      <c r="H250" s="40"/>
      <c r="I250" s="40"/>
      <c r="J250" s="40"/>
      <c r="K250" s="41"/>
    </row>
    <row r="251" spans="2:14" ht="9.75" customHeight="1" x14ac:dyDescent="0.2">
      <c r="B251" s="38"/>
      <c r="C251" s="280" t="str">
        <f>"4:"</f>
        <v>4:</v>
      </c>
      <c r="D251" s="278" t="s">
        <v>926</v>
      </c>
      <c r="E251" s="40"/>
      <c r="F251" s="40"/>
      <c r="G251" s="40"/>
      <c r="H251" s="40"/>
      <c r="I251" s="40"/>
      <c r="J251" s="40"/>
      <c r="K251" s="41"/>
      <c r="N251" s="12" t="s">
        <v>661</v>
      </c>
    </row>
    <row r="252" spans="2:14" x14ac:dyDescent="0.2">
      <c r="B252" s="38"/>
      <c r="C252" s="174" t="s">
        <v>662</v>
      </c>
      <c r="D252" s="40"/>
      <c r="E252" s="40"/>
      <c r="F252" s="40"/>
      <c r="G252" s="40"/>
      <c r="H252" s="40"/>
      <c r="I252" s="40"/>
      <c r="J252" s="265" t="s">
        <v>661</v>
      </c>
      <c r="K252" s="41"/>
      <c r="N252" s="12" t="s">
        <v>894</v>
      </c>
    </row>
    <row r="253" spans="2:14" x14ac:dyDescent="0.2">
      <c r="B253" s="38"/>
      <c r="C253" s="174" t="s">
        <v>660</v>
      </c>
      <c r="D253" s="40"/>
      <c r="E253" s="40"/>
      <c r="F253" s="40"/>
      <c r="G253" s="40"/>
      <c r="H253" s="40"/>
      <c r="I253" s="40"/>
      <c r="J253" s="246" t="str">
        <f>IF(J252=N251,"N/A",IF(J252=N252,0,IF(J252=N253,1,IF(J252=N254,2,IF(J252=N255,3,IF(J252=N256,4,"N/A"))))))</f>
        <v>N/A</v>
      </c>
      <c r="K253" s="41"/>
      <c r="N253" s="12" t="s">
        <v>899</v>
      </c>
    </row>
    <row r="254" spans="2:14" x14ac:dyDescent="0.2">
      <c r="B254" s="38"/>
      <c r="C254" s="40" t="s">
        <v>257</v>
      </c>
      <c r="D254" s="40"/>
      <c r="E254" s="40"/>
      <c r="F254" s="40"/>
      <c r="G254" s="40"/>
      <c r="H254" s="40"/>
      <c r="I254" s="40"/>
      <c r="J254" s="266" t="s">
        <v>874</v>
      </c>
      <c r="K254" s="41"/>
      <c r="N254" s="12" t="s">
        <v>900</v>
      </c>
    </row>
    <row r="255" spans="2:14" x14ac:dyDescent="0.2">
      <c r="B255" s="38"/>
      <c r="C255" s="40" t="s">
        <v>261</v>
      </c>
      <c r="D255" s="40"/>
      <c r="E255" s="40"/>
      <c r="F255" s="40"/>
      <c r="G255" s="40"/>
      <c r="H255" s="40"/>
      <c r="I255" s="40"/>
      <c r="J255" s="245">
        <f>IF(J254=$B$973,$A$973,IF(J254=$B$974,$A$974,IF(J254=$B$975,$A$975,IF(J254=$B$976,$A$976,IF(J254=$B$977,$A$977,"Not Calculated")))))</f>
        <v>4</v>
      </c>
      <c r="K255" s="41"/>
      <c r="N255" s="12" t="s">
        <v>901</v>
      </c>
    </row>
    <row r="256" spans="2:14" x14ac:dyDescent="0.2">
      <c r="B256" s="38"/>
      <c r="C256" s="40" t="s">
        <v>893</v>
      </c>
      <c r="D256" s="40"/>
      <c r="E256" s="40"/>
      <c r="F256" s="40"/>
      <c r="G256" s="40"/>
      <c r="H256" s="40"/>
      <c r="I256" s="40"/>
      <c r="J256" s="40"/>
      <c r="K256" s="41"/>
      <c r="N256" s="12" t="s">
        <v>902</v>
      </c>
    </row>
    <row r="257" spans="2:11" ht="45" customHeight="1" x14ac:dyDescent="0.2">
      <c r="B257" s="38"/>
      <c r="C257" s="399" t="s">
        <v>546</v>
      </c>
      <c r="D257" s="400"/>
      <c r="E257" s="400"/>
      <c r="F257" s="400"/>
      <c r="G257" s="400"/>
      <c r="H257" s="400"/>
      <c r="I257" s="400"/>
      <c r="J257" s="401"/>
      <c r="K257" s="41"/>
    </row>
    <row r="258" spans="2:11" x14ac:dyDescent="0.2">
      <c r="B258" s="38"/>
      <c r="C258" s="40"/>
      <c r="D258" s="40"/>
      <c r="E258" s="40"/>
      <c r="F258" s="40"/>
      <c r="G258" s="40"/>
      <c r="H258" s="40"/>
      <c r="I258" s="40"/>
      <c r="J258" s="40"/>
      <c r="K258" s="41"/>
    </row>
    <row r="259" spans="2:11" x14ac:dyDescent="0.2">
      <c r="B259" s="38"/>
      <c r="C259" s="179" t="s">
        <v>279</v>
      </c>
      <c r="D259" s="40"/>
      <c r="E259" s="40"/>
      <c r="F259" s="40"/>
      <c r="G259" s="40"/>
      <c r="H259" s="40"/>
      <c r="I259" s="40"/>
      <c r="J259" s="245" t="str">
        <f>IF(J253="N/A",IF(OR(J246="Not Calculated",J255="Not Calculated")=TRUE,"Not Calculated",AVERAGE(J246,J255)),AVERAGE(J253,J255))</f>
        <v>Not Calculated</v>
      </c>
      <c r="K259" s="41"/>
    </row>
    <row r="260" spans="2:11" x14ac:dyDescent="0.2">
      <c r="B260" s="38"/>
      <c r="C260" s="40"/>
      <c r="D260" s="40"/>
      <c r="E260" s="40"/>
      <c r="F260" s="40"/>
      <c r="G260" s="40"/>
      <c r="H260" s="40"/>
      <c r="I260" s="40"/>
      <c r="J260" s="40"/>
      <c r="K260" s="41"/>
    </row>
    <row r="261" spans="2:11" ht="18" x14ac:dyDescent="0.2">
      <c r="B261" s="38"/>
      <c r="C261" s="180" t="s">
        <v>272</v>
      </c>
      <c r="D261" s="40"/>
      <c r="E261" s="40"/>
      <c r="F261" s="40"/>
      <c r="G261" s="40"/>
      <c r="H261" s="40"/>
      <c r="I261" s="40"/>
      <c r="J261" s="244" t="str">
        <f>IF(OR(J157="Not Calculated",J178="Not Calculated",J198="Not Calculated",J218="Not Calculated",J239="Not Calculated",J259="Not Calculated",)=TRUE,"Not Calculated",AVERAGE(J157,J178,J198,J218,J239,J259))</f>
        <v>Not Calculated</v>
      </c>
      <c r="K261" s="41"/>
    </row>
    <row r="262" spans="2:11" ht="16" thickBot="1" x14ac:dyDescent="0.25">
      <c r="B262" s="46"/>
      <c r="C262" s="47"/>
      <c r="D262" s="47"/>
      <c r="E262" s="47"/>
      <c r="F262" s="47"/>
      <c r="G262" s="47"/>
      <c r="H262" s="47"/>
      <c r="I262" s="47"/>
      <c r="J262" s="47"/>
      <c r="K262" s="49"/>
    </row>
    <row r="263" spans="2:11" ht="16" thickBot="1" x14ac:dyDescent="0.25"/>
    <row r="264" spans="2:11" x14ac:dyDescent="0.2">
      <c r="B264" s="33"/>
      <c r="C264" s="34"/>
      <c r="D264" s="34"/>
      <c r="E264" s="34"/>
      <c r="F264" s="34"/>
      <c r="G264" s="34"/>
      <c r="H264" s="34"/>
      <c r="I264" s="34"/>
      <c r="J264" s="34"/>
      <c r="K264" s="37"/>
    </row>
    <row r="265" spans="2:11" ht="21" x14ac:dyDescent="0.25">
      <c r="B265" s="38"/>
      <c r="C265" s="40"/>
      <c r="D265" s="40"/>
      <c r="E265" s="40"/>
      <c r="F265" s="40"/>
      <c r="G265" s="172" t="s">
        <v>864</v>
      </c>
      <c r="H265" s="40"/>
      <c r="I265" s="40"/>
      <c r="J265" s="40"/>
      <c r="K265" s="41"/>
    </row>
    <row r="266" spans="2:11" ht="15" customHeight="1" x14ac:dyDescent="0.2">
      <c r="B266" s="38"/>
      <c r="C266" s="40"/>
      <c r="D266" s="40"/>
      <c r="E266" s="40"/>
      <c r="F266" s="40"/>
      <c r="G266" s="40"/>
      <c r="H266" s="40"/>
      <c r="I266" s="40"/>
      <c r="J266" s="40"/>
      <c r="K266" s="41"/>
    </row>
    <row r="267" spans="2:11" ht="16" x14ac:dyDescent="0.2">
      <c r="B267" s="38"/>
      <c r="C267" s="45" t="s">
        <v>80</v>
      </c>
      <c r="D267" s="40"/>
      <c r="E267" s="40"/>
      <c r="F267" s="40"/>
      <c r="G267" s="40"/>
      <c r="H267" s="40"/>
      <c r="I267" s="40"/>
      <c r="J267" s="40"/>
      <c r="K267" s="41"/>
    </row>
    <row r="268" spans="2:11" x14ac:dyDescent="0.2">
      <c r="B268" s="38"/>
      <c r="C268" s="40" t="s">
        <v>283</v>
      </c>
      <c r="D268" s="40"/>
      <c r="E268" s="40"/>
      <c r="F268" s="40"/>
      <c r="G268" s="40"/>
      <c r="H268" s="40"/>
      <c r="I268" s="40"/>
      <c r="J268" s="250">
        <f>'Baseline Health'!G88</f>
        <v>0</v>
      </c>
      <c r="K268" s="41"/>
    </row>
    <row r="269" spans="2:11" x14ac:dyDescent="0.2">
      <c r="B269" s="38"/>
      <c r="C269" s="40" t="s">
        <v>284</v>
      </c>
      <c r="D269" s="40"/>
      <c r="E269" s="40"/>
      <c r="F269" s="40"/>
      <c r="G269" s="40"/>
      <c r="H269" s="40"/>
      <c r="I269" s="40"/>
      <c r="J269" s="264">
        <f>J268*0.26</f>
        <v>0</v>
      </c>
      <c r="K269" s="41"/>
    </row>
    <row r="270" spans="2:11" x14ac:dyDescent="0.2">
      <c r="B270" s="38"/>
      <c r="C270" s="40" t="s">
        <v>285</v>
      </c>
      <c r="D270" s="40"/>
      <c r="E270" s="40"/>
      <c r="F270" s="40"/>
      <c r="G270" s="40"/>
      <c r="H270" s="40"/>
      <c r="I270" s="40"/>
      <c r="J270" s="259">
        <f>'Baseline Health'!G93</f>
        <v>0</v>
      </c>
      <c r="K270" s="41"/>
    </row>
    <row r="271" spans="2:11" x14ac:dyDescent="0.2">
      <c r="B271" s="38"/>
      <c r="C271" s="40" t="s">
        <v>286</v>
      </c>
      <c r="D271" s="40"/>
      <c r="E271" s="40"/>
      <c r="F271" s="40"/>
      <c r="G271" s="40"/>
      <c r="H271" s="40"/>
      <c r="I271" s="40"/>
      <c r="J271" s="250">
        <f>J184</f>
        <v>0</v>
      </c>
      <c r="K271" s="41"/>
    </row>
    <row r="272" spans="2:11" x14ac:dyDescent="0.2">
      <c r="B272" s="38"/>
      <c r="C272" s="40"/>
      <c r="D272" s="40" t="s">
        <v>432</v>
      </c>
      <c r="E272" s="40"/>
      <c r="F272" s="40"/>
      <c r="G272" s="40"/>
      <c r="H272" s="40"/>
      <c r="I272" s="40"/>
      <c r="J272" s="40"/>
      <c r="K272" s="41"/>
    </row>
    <row r="273" spans="2:14" x14ac:dyDescent="0.2">
      <c r="B273" s="38"/>
      <c r="C273" s="40" t="s">
        <v>292</v>
      </c>
      <c r="D273" s="40"/>
      <c r="E273" s="40"/>
      <c r="F273" s="40"/>
      <c r="G273" s="40"/>
      <c r="H273" s="40"/>
      <c r="I273" s="40"/>
      <c r="J273" s="258" t="str">
        <f>'Baseline Health'!G97</f>
        <v>N/A</v>
      </c>
      <c r="K273" s="41"/>
    </row>
    <row r="274" spans="2:14" x14ac:dyDescent="0.2">
      <c r="B274" s="38"/>
      <c r="C274" s="40" t="s">
        <v>293</v>
      </c>
      <c r="D274" s="40"/>
      <c r="E274" s="40"/>
      <c r="F274" s="40"/>
      <c r="G274" s="40"/>
      <c r="H274" s="40"/>
      <c r="I274" s="40"/>
      <c r="J274" s="258" t="str">
        <f>IF(J273="N/A","N/A",IF(J268-J269=0,"No Nurses",((J270+J271)/(J268-J269))))</f>
        <v>N/A</v>
      </c>
      <c r="K274" s="41"/>
    </row>
    <row r="275" spans="2:14" x14ac:dyDescent="0.2">
      <c r="B275" s="38"/>
      <c r="C275" s="40" t="s">
        <v>260</v>
      </c>
      <c r="D275" s="40"/>
      <c r="E275" s="40"/>
      <c r="F275" s="40"/>
      <c r="G275" s="40"/>
      <c r="H275" s="40"/>
      <c r="I275" s="40"/>
      <c r="J275" s="245">
        <f>IF(J273=0,"Not Calculated",IF(J274="N/A",0,IF(J274="No Nurses",4,IF((J274/J273)&lt;=1,0,IF((J274/J273)&lt;=1.1,1,IF((J274/J273)&lt;=1=1.25,2,IF((J274/J273)&lt;=1.5,3,4)))))))</f>
        <v>0</v>
      </c>
      <c r="K275" s="41"/>
    </row>
    <row r="276" spans="2:14" ht="9.75" customHeight="1" x14ac:dyDescent="0.2">
      <c r="B276" s="38"/>
      <c r="C276" s="279" t="str">
        <f>"0:"</f>
        <v>0:</v>
      </c>
      <c r="D276" s="278" t="s">
        <v>927</v>
      </c>
      <c r="E276" s="40"/>
      <c r="F276" s="40"/>
      <c r="G276" s="40"/>
      <c r="H276" s="40"/>
      <c r="I276" s="40"/>
      <c r="J276" s="258"/>
      <c r="K276" s="41"/>
    </row>
    <row r="277" spans="2:14" ht="9.75" customHeight="1" x14ac:dyDescent="0.2">
      <c r="B277" s="38"/>
      <c r="C277" s="280" t="str">
        <f>"1:"</f>
        <v>1:</v>
      </c>
      <c r="D277" s="278" t="s">
        <v>928</v>
      </c>
      <c r="E277" s="40"/>
      <c r="F277" s="40"/>
      <c r="G277" s="40"/>
      <c r="H277" s="40"/>
      <c r="I277" s="40"/>
      <c r="J277" s="258"/>
      <c r="K277" s="41"/>
    </row>
    <row r="278" spans="2:14" ht="9.75" customHeight="1" x14ac:dyDescent="0.2">
      <c r="B278" s="38"/>
      <c r="C278" s="280" t="str">
        <f>"2:"</f>
        <v>2:</v>
      </c>
      <c r="D278" s="278" t="s">
        <v>929</v>
      </c>
      <c r="E278" s="40"/>
      <c r="F278" s="40"/>
      <c r="G278" s="40"/>
      <c r="H278" s="40"/>
      <c r="I278" s="40"/>
      <c r="J278" s="258"/>
      <c r="K278" s="41"/>
    </row>
    <row r="279" spans="2:14" ht="9.75" customHeight="1" x14ac:dyDescent="0.2">
      <c r="B279" s="38"/>
      <c r="C279" s="280" t="str">
        <f>"3:"</f>
        <v>3:</v>
      </c>
      <c r="D279" s="278" t="s">
        <v>930</v>
      </c>
      <c r="E279" s="40"/>
      <c r="F279" s="40"/>
      <c r="G279" s="40"/>
      <c r="H279" s="40"/>
      <c r="I279" s="40"/>
      <c r="J279" s="258"/>
      <c r="K279" s="41"/>
    </row>
    <row r="280" spans="2:14" ht="9.75" customHeight="1" x14ac:dyDescent="0.2">
      <c r="B280" s="38"/>
      <c r="C280" s="280" t="str">
        <f>"4:"</f>
        <v>4:</v>
      </c>
      <c r="D280" s="278" t="s">
        <v>931</v>
      </c>
      <c r="E280" s="40"/>
      <c r="F280" s="40"/>
      <c r="G280" s="40"/>
      <c r="H280" s="40"/>
      <c r="I280" s="40"/>
      <c r="J280" s="40"/>
      <c r="K280" s="41"/>
      <c r="N280" s="12" t="s">
        <v>661</v>
      </c>
    </row>
    <row r="281" spans="2:14" x14ac:dyDescent="0.2">
      <c r="B281" s="38"/>
      <c r="C281" s="174" t="s">
        <v>662</v>
      </c>
      <c r="D281" s="40"/>
      <c r="E281" s="40"/>
      <c r="F281" s="40"/>
      <c r="G281" s="40"/>
      <c r="H281" s="40"/>
      <c r="I281" s="40"/>
      <c r="J281" s="265" t="s">
        <v>661</v>
      </c>
      <c r="K281" s="41"/>
      <c r="N281" s="12" t="s">
        <v>903</v>
      </c>
    </row>
    <row r="282" spans="2:14" x14ac:dyDescent="0.2">
      <c r="B282" s="38"/>
      <c r="C282" s="174" t="s">
        <v>660</v>
      </c>
      <c r="D282" s="40"/>
      <c r="E282" s="40"/>
      <c r="F282" s="40"/>
      <c r="G282" s="40"/>
      <c r="H282" s="40"/>
      <c r="I282" s="40"/>
      <c r="J282" s="246" t="str">
        <f>IF(J281=N280,"N/A",IF(J281=N281,0,IF(J281=N282,1,IF(J281=N283,2,IF(J281=N284,3,IF(J281=N285,4,"N/A"))))))</f>
        <v>N/A</v>
      </c>
      <c r="K282" s="41"/>
      <c r="N282" s="12" t="s">
        <v>904</v>
      </c>
    </row>
    <row r="283" spans="2:14" x14ac:dyDescent="0.2">
      <c r="B283" s="38"/>
      <c r="C283" s="40" t="s">
        <v>257</v>
      </c>
      <c r="D283" s="40"/>
      <c r="E283" s="40"/>
      <c r="F283" s="40"/>
      <c r="G283" s="40"/>
      <c r="H283" s="40"/>
      <c r="I283" s="40"/>
      <c r="J283" s="266" t="s">
        <v>873</v>
      </c>
      <c r="K283" s="41"/>
      <c r="N283" s="12" t="s">
        <v>905</v>
      </c>
    </row>
    <row r="284" spans="2:14" x14ac:dyDescent="0.2">
      <c r="B284" s="38"/>
      <c r="C284" s="40" t="s">
        <v>261</v>
      </c>
      <c r="D284" s="40"/>
      <c r="E284" s="40"/>
      <c r="F284" s="40"/>
      <c r="G284" s="40"/>
      <c r="H284" s="40"/>
      <c r="I284" s="40"/>
      <c r="J284" s="248">
        <f>IF(J283=$B$973,$A$973,IF(J283=$B$974,$A$974,IF(J283=$B$975,$A$975,IF(J283=$B$976,$A$976,IF(J283=$B$977,$A$977,"Not Calculated")))))</f>
        <v>3</v>
      </c>
      <c r="K284" s="41"/>
      <c r="N284" s="12" t="s">
        <v>906</v>
      </c>
    </row>
    <row r="285" spans="2:14" x14ac:dyDescent="0.2">
      <c r="B285" s="38"/>
      <c r="C285" s="40" t="s">
        <v>893</v>
      </c>
      <c r="D285" s="40"/>
      <c r="E285" s="40"/>
      <c r="F285" s="40"/>
      <c r="G285" s="40"/>
      <c r="H285" s="40"/>
      <c r="I285" s="40"/>
      <c r="J285" s="40"/>
      <c r="K285" s="41"/>
      <c r="N285" s="12" t="s">
        <v>907</v>
      </c>
    </row>
    <row r="286" spans="2:14" ht="30" customHeight="1" x14ac:dyDescent="0.2">
      <c r="B286" s="38"/>
      <c r="C286" s="399" t="s">
        <v>545</v>
      </c>
      <c r="D286" s="400"/>
      <c r="E286" s="400"/>
      <c r="F286" s="400"/>
      <c r="G286" s="400"/>
      <c r="H286" s="400"/>
      <c r="I286" s="400"/>
      <c r="J286" s="401"/>
      <c r="K286" s="41"/>
    </row>
    <row r="287" spans="2:14" x14ac:dyDescent="0.2">
      <c r="B287" s="38"/>
      <c r="C287" s="40"/>
      <c r="D287" s="40"/>
      <c r="E287" s="40"/>
      <c r="F287" s="40"/>
      <c r="G287" s="40"/>
      <c r="H287" s="40"/>
      <c r="I287" s="40"/>
      <c r="J287" s="40"/>
      <c r="K287" s="41"/>
    </row>
    <row r="288" spans="2:14" x14ac:dyDescent="0.2">
      <c r="B288" s="38"/>
      <c r="C288" s="179" t="s">
        <v>295</v>
      </c>
      <c r="D288" s="40"/>
      <c r="E288" s="40"/>
      <c r="F288" s="40"/>
      <c r="G288" s="40"/>
      <c r="H288" s="40"/>
      <c r="I288" s="40"/>
      <c r="J288" s="245">
        <f>IF(J282="N/A",IF(OR(J275="Not Calculated",J284="Not Calculated")=TRUE,"Not Calculated",AVERAGE(J275,J284)),AVERAGE(J282,J284))</f>
        <v>1.5</v>
      </c>
      <c r="K288" s="41"/>
    </row>
    <row r="289" spans="2:11" x14ac:dyDescent="0.2">
      <c r="B289" s="38"/>
      <c r="C289" s="40"/>
      <c r="D289" s="40"/>
      <c r="E289" s="40"/>
      <c r="F289" s="40"/>
      <c r="G289" s="40"/>
      <c r="H289" s="40"/>
      <c r="I289" s="40"/>
      <c r="J289" s="245"/>
      <c r="K289" s="41"/>
    </row>
    <row r="290" spans="2:11" x14ac:dyDescent="0.2">
      <c r="B290" s="38"/>
      <c r="C290" s="40"/>
      <c r="D290" s="40"/>
      <c r="E290" s="40"/>
      <c r="F290" s="40"/>
      <c r="G290" s="40"/>
      <c r="H290" s="40"/>
      <c r="I290" s="40"/>
      <c r="J290" s="40"/>
      <c r="K290" s="41"/>
    </row>
    <row r="291" spans="2:11" ht="16" x14ac:dyDescent="0.2">
      <c r="B291" s="38"/>
      <c r="C291" s="45" t="s">
        <v>856</v>
      </c>
      <c r="D291" s="40"/>
      <c r="E291" s="40"/>
      <c r="F291" s="40"/>
      <c r="G291" s="40"/>
      <c r="H291" s="40"/>
      <c r="I291" s="40"/>
      <c r="J291" s="40"/>
      <c r="K291" s="41"/>
    </row>
    <row r="292" spans="2:11" x14ac:dyDescent="0.2">
      <c r="B292" s="38"/>
      <c r="C292" s="380" t="s">
        <v>855</v>
      </c>
      <c r="D292" s="380"/>
      <c r="E292" s="380"/>
      <c r="F292" s="380"/>
      <c r="G292" s="380"/>
      <c r="H292" s="380"/>
      <c r="I292" s="380"/>
      <c r="J292" s="40"/>
      <c r="K292" s="41"/>
    </row>
    <row r="293" spans="2:11" x14ac:dyDescent="0.2">
      <c r="B293" s="38"/>
      <c r="C293" s="380"/>
      <c r="D293" s="380"/>
      <c r="E293" s="380"/>
      <c r="F293" s="380"/>
      <c r="G293" s="380"/>
      <c r="H293" s="380"/>
      <c r="I293" s="380"/>
      <c r="J293" s="264">
        <v>0</v>
      </c>
      <c r="K293" s="41"/>
    </row>
    <row r="294" spans="2:11" x14ac:dyDescent="0.2">
      <c r="B294" s="38"/>
      <c r="C294" s="40" t="s">
        <v>853</v>
      </c>
      <c r="D294" s="291"/>
      <c r="E294" s="291"/>
      <c r="F294" s="291"/>
      <c r="G294" s="291"/>
      <c r="H294" s="291"/>
      <c r="I294" s="291"/>
      <c r="J294" s="255">
        <f>'Baseline Health'!$G$102</f>
        <v>0</v>
      </c>
      <c r="K294" s="41"/>
    </row>
    <row r="295" spans="2:11" x14ac:dyDescent="0.2">
      <c r="B295" s="38"/>
      <c r="C295" s="40" t="s">
        <v>842</v>
      </c>
      <c r="D295" s="40"/>
      <c r="E295" s="40"/>
      <c r="F295" s="40"/>
      <c r="G295" s="40"/>
      <c r="H295" s="40"/>
      <c r="I295" s="40"/>
      <c r="J295" s="244" t="str">
        <f>IF('Baseline Health'!$G$102=0,"Not Calculated",100*J293/'Baseline Health'!$G$102)</f>
        <v>Not Calculated</v>
      </c>
      <c r="K295" s="41"/>
    </row>
    <row r="296" spans="2:11" x14ac:dyDescent="0.2">
      <c r="B296" s="38"/>
      <c r="C296" s="40" t="s">
        <v>260</v>
      </c>
      <c r="D296" s="40"/>
      <c r="E296" s="40"/>
      <c r="F296" s="40"/>
      <c r="G296" s="40"/>
      <c r="H296" s="40"/>
      <c r="I296" s="40"/>
      <c r="J296" s="245">
        <f>IF(J295&lt;=0,0,IF(J295&lt;=1,1,IF(J295&lt;=5,2,IF(J295&lt;=10,3,4))))</f>
        <v>4</v>
      </c>
      <c r="K296" s="41"/>
    </row>
    <row r="297" spans="2:11" ht="9.75" customHeight="1" x14ac:dyDescent="0.2">
      <c r="B297" s="38"/>
      <c r="C297" s="279" t="str">
        <f>"0:"</f>
        <v>0:</v>
      </c>
      <c r="D297" s="278" t="s">
        <v>932</v>
      </c>
      <c r="E297" s="40"/>
      <c r="F297" s="40"/>
      <c r="G297" s="40"/>
      <c r="H297" s="40"/>
      <c r="I297" s="40"/>
      <c r="J297" s="244"/>
      <c r="K297" s="41"/>
    </row>
    <row r="298" spans="2:11" ht="9.75" customHeight="1" x14ac:dyDescent="0.2">
      <c r="B298" s="38"/>
      <c r="C298" s="280" t="str">
        <f>"1:"</f>
        <v>1:</v>
      </c>
      <c r="D298" s="278" t="s">
        <v>934</v>
      </c>
      <c r="E298" s="40"/>
      <c r="F298" s="40"/>
      <c r="G298" s="40"/>
      <c r="H298" s="40"/>
      <c r="I298" s="40"/>
      <c r="J298" s="244"/>
      <c r="K298" s="41"/>
    </row>
    <row r="299" spans="2:11" ht="9.75" customHeight="1" x14ac:dyDescent="0.2">
      <c r="B299" s="38"/>
      <c r="C299" s="280" t="str">
        <f>"2:"</f>
        <v>2:</v>
      </c>
      <c r="D299" s="278" t="s">
        <v>933</v>
      </c>
      <c r="E299" s="40"/>
      <c r="F299" s="40"/>
      <c r="G299" s="40"/>
      <c r="H299" s="40"/>
      <c r="I299" s="40"/>
      <c r="J299" s="244"/>
      <c r="K299" s="41"/>
    </row>
    <row r="300" spans="2:11" ht="9.75" customHeight="1" x14ac:dyDescent="0.2">
      <c r="B300" s="38"/>
      <c r="C300" s="280" t="str">
        <f>"3:"</f>
        <v>3:</v>
      </c>
      <c r="D300" s="278" t="s">
        <v>935</v>
      </c>
      <c r="E300" s="40"/>
      <c r="F300" s="40"/>
      <c r="G300" s="40"/>
      <c r="H300" s="40"/>
      <c r="I300" s="40"/>
      <c r="J300" s="244"/>
      <c r="K300" s="41"/>
    </row>
    <row r="301" spans="2:11" ht="9.75" customHeight="1" x14ac:dyDescent="0.2">
      <c r="B301" s="38"/>
      <c r="C301" s="280" t="str">
        <f>"4:"</f>
        <v>4:</v>
      </c>
      <c r="D301" s="278" t="s">
        <v>936</v>
      </c>
      <c r="E301" s="40"/>
      <c r="F301" s="40"/>
      <c r="G301" s="40"/>
      <c r="H301" s="40"/>
      <c r="I301" s="40"/>
      <c r="J301" s="40"/>
      <c r="K301" s="41"/>
    </row>
    <row r="302" spans="2:11" x14ac:dyDescent="0.2">
      <c r="B302" s="38"/>
      <c r="C302" s="40" t="s">
        <v>257</v>
      </c>
      <c r="D302" s="40"/>
      <c r="E302" s="40"/>
      <c r="F302" s="40"/>
      <c r="G302" s="40"/>
      <c r="H302" s="40"/>
      <c r="I302" s="40"/>
      <c r="J302" s="266" t="s">
        <v>870</v>
      </c>
      <c r="K302" s="41"/>
    </row>
    <row r="303" spans="2:11" x14ac:dyDescent="0.2">
      <c r="B303" s="38"/>
      <c r="C303" s="40" t="s">
        <v>261</v>
      </c>
      <c r="D303" s="40"/>
      <c r="E303" s="40"/>
      <c r="F303" s="40"/>
      <c r="G303" s="40"/>
      <c r="H303" s="40"/>
      <c r="I303" s="40"/>
      <c r="J303" s="245">
        <f>IF(J302=$B$980,$A$980,IF(J302=$B$981,$A$981,IF(J302=$B$982,$A$982,IF(J302=$B$983,$A$983,IF(J302=$B$984,$A$984,"Not Calculated")))))</f>
        <v>0</v>
      </c>
      <c r="K303" s="41"/>
    </row>
    <row r="304" spans="2:11" x14ac:dyDescent="0.2">
      <c r="B304" s="38"/>
      <c r="C304" s="40" t="s">
        <v>893</v>
      </c>
      <c r="D304" s="40"/>
      <c r="E304" s="40"/>
      <c r="F304" s="40"/>
      <c r="G304" s="40"/>
      <c r="H304" s="40"/>
      <c r="I304" s="40"/>
      <c r="J304" s="40"/>
      <c r="K304" s="41"/>
    </row>
    <row r="305" spans="2:11" ht="30" customHeight="1" x14ac:dyDescent="0.2">
      <c r="B305" s="38"/>
      <c r="C305" s="399"/>
      <c r="D305" s="400"/>
      <c r="E305" s="400"/>
      <c r="F305" s="400"/>
      <c r="G305" s="400"/>
      <c r="H305" s="400"/>
      <c r="I305" s="400"/>
      <c r="J305" s="401"/>
      <c r="K305" s="41"/>
    </row>
    <row r="306" spans="2:11" x14ac:dyDescent="0.2">
      <c r="B306" s="38"/>
      <c r="C306" s="40"/>
      <c r="D306" s="40"/>
      <c r="E306" s="40"/>
      <c r="F306" s="40"/>
      <c r="G306" s="40"/>
      <c r="H306" s="40"/>
      <c r="I306" s="40"/>
      <c r="J306" s="40"/>
      <c r="K306" s="41"/>
    </row>
    <row r="307" spans="2:11" x14ac:dyDescent="0.2">
      <c r="B307" s="38"/>
      <c r="C307" s="179" t="s">
        <v>885</v>
      </c>
      <c r="D307" s="40"/>
      <c r="E307" s="40"/>
      <c r="F307" s="40"/>
      <c r="G307" s="40"/>
      <c r="H307" s="40"/>
      <c r="I307" s="40"/>
      <c r="J307" s="245">
        <f>IF(OR(J296="Not Calculated",J303="Not Calculated")=TRUE,"Not Calculated",AVERAGE(J296,J303))</f>
        <v>2</v>
      </c>
      <c r="K307" s="41"/>
    </row>
    <row r="308" spans="2:11" x14ac:dyDescent="0.2">
      <c r="B308" s="38"/>
      <c r="C308" s="40"/>
      <c r="D308" s="40"/>
      <c r="E308" s="40"/>
      <c r="F308" s="40"/>
      <c r="G308" s="40"/>
      <c r="H308" s="40"/>
      <c r="I308" s="40"/>
      <c r="J308" s="40"/>
      <c r="K308" s="41"/>
    </row>
    <row r="309" spans="2:11" x14ac:dyDescent="0.2">
      <c r="B309" s="38"/>
      <c r="C309" s="40"/>
      <c r="D309" s="40"/>
      <c r="E309" s="40"/>
      <c r="F309" s="40"/>
      <c r="G309" s="40"/>
      <c r="H309" s="40"/>
      <c r="I309" s="40"/>
      <c r="J309" s="40"/>
      <c r="K309" s="41"/>
    </row>
    <row r="310" spans="2:11" ht="16" x14ac:dyDescent="0.2">
      <c r="B310" s="38"/>
      <c r="C310" s="45" t="s">
        <v>857</v>
      </c>
      <c r="D310" s="40"/>
      <c r="E310" s="40"/>
      <c r="F310" s="40"/>
      <c r="G310" s="40"/>
      <c r="H310" s="40"/>
      <c r="I310" s="40"/>
      <c r="J310" s="40"/>
      <c r="K310" s="41"/>
    </row>
    <row r="311" spans="2:11" x14ac:dyDescent="0.2">
      <c r="B311" s="38"/>
      <c r="C311" s="380" t="s">
        <v>843</v>
      </c>
      <c r="D311" s="380"/>
      <c r="E311" s="380"/>
      <c r="F311" s="380"/>
      <c r="G311" s="380"/>
      <c r="H311" s="380"/>
      <c r="I311" s="380"/>
      <c r="J311" s="40"/>
      <c r="K311" s="41"/>
    </row>
    <row r="312" spans="2:11" x14ac:dyDescent="0.2">
      <c r="B312" s="38"/>
      <c r="C312" s="380"/>
      <c r="D312" s="380"/>
      <c r="E312" s="380"/>
      <c r="F312" s="380"/>
      <c r="G312" s="380"/>
      <c r="H312" s="380"/>
      <c r="I312" s="380"/>
      <c r="J312" s="264">
        <v>0</v>
      </c>
      <c r="K312" s="41"/>
    </row>
    <row r="313" spans="2:11" x14ac:dyDescent="0.2">
      <c r="B313" s="38"/>
      <c r="C313" s="40" t="s">
        <v>853</v>
      </c>
      <c r="D313" s="291"/>
      <c r="E313" s="291"/>
      <c r="F313" s="291"/>
      <c r="G313" s="291"/>
      <c r="H313" s="291"/>
      <c r="I313" s="291"/>
      <c r="J313" s="255">
        <f>'Baseline Health'!$G$102</f>
        <v>0</v>
      </c>
      <c r="K313" s="41"/>
    </row>
    <row r="314" spans="2:11" x14ac:dyDescent="0.2">
      <c r="B314" s="38"/>
      <c r="C314" s="40" t="s">
        <v>842</v>
      </c>
      <c r="D314" s="40"/>
      <c r="E314" s="40"/>
      <c r="F314" s="40"/>
      <c r="G314" s="40"/>
      <c r="H314" s="40"/>
      <c r="I314" s="40"/>
      <c r="J314" s="244" t="str">
        <f>IF('Baseline Health'!$G$102=0,"Not Calculated",100*J312/'Baseline Health'!$G$102)</f>
        <v>Not Calculated</v>
      </c>
      <c r="K314" s="41"/>
    </row>
    <row r="315" spans="2:11" x14ac:dyDescent="0.2">
      <c r="B315" s="38"/>
      <c r="C315" s="40" t="s">
        <v>260</v>
      </c>
      <c r="D315" s="40"/>
      <c r="E315" s="40"/>
      <c r="F315" s="40"/>
      <c r="G315" s="40"/>
      <c r="H315" s="40"/>
      <c r="I315" s="40"/>
      <c r="J315" s="245">
        <f>IF(J314&lt;=0,0,IF(J314&lt;=1,1,IF(J314&lt;=5,2,IF(J314&lt;=10,3,4))))</f>
        <v>4</v>
      </c>
      <c r="K315" s="41"/>
    </row>
    <row r="316" spans="2:11" ht="9.75" customHeight="1" x14ac:dyDescent="0.2">
      <c r="B316" s="38"/>
      <c r="C316" s="279" t="str">
        <f>"0:"</f>
        <v>0:</v>
      </c>
      <c r="D316" s="278" t="s">
        <v>932</v>
      </c>
      <c r="E316" s="40"/>
      <c r="F316" s="40"/>
      <c r="G316" s="40"/>
      <c r="H316" s="40"/>
      <c r="I316" s="40"/>
      <c r="J316" s="244"/>
      <c r="K316" s="41"/>
    </row>
    <row r="317" spans="2:11" ht="9.75" customHeight="1" x14ac:dyDescent="0.2">
      <c r="B317" s="38"/>
      <c r="C317" s="280" t="str">
        <f>"1:"</f>
        <v>1:</v>
      </c>
      <c r="D317" s="278" t="s">
        <v>934</v>
      </c>
      <c r="E317" s="40"/>
      <c r="F317" s="40"/>
      <c r="G317" s="40"/>
      <c r="H317" s="40"/>
      <c r="I317" s="40"/>
      <c r="J317" s="244"/>
      <c r="K317" s="41"/>
    </row>
    <row r="318" spans="2:11" ht="9.75" customHeight="1" x14ac:dyDescent="0.2">
      <c r="B318" s="38"/>
      <c r="C318" s="280" t="str">
        <f>"2:"</f>
        <v>2:</v>
      </c>
      <c r="D318" s="278" t="s">
        <v>933</v>
      </c>
      <c r="E318" s="40"/>
      <c r="F318" s="40"/>
      <c r="G318" s="40"/>
      <c r="H318" s="40"/>
      <c r="I318" s="40"/>
      <c r="J318" s="244"/>
      <c r="K318" s="41"/>
    </row>
    <row r="319" spans="2:11" ht="9.75" customHeight="1" x14ac:dyDescent="0.2">
      <c r="B319" s="38"/>
      <c r="C319" s="280" t="str">
        <f>"3:"</f>
        <v>3:</v>
      </c>
      <c r="D319" s="278" t="s">
        <v>935</v>
      </c>
      <c r="E319" s="40"/>
      <c r="F319" s="40"/>
      <c r="G319" s="40"/>
      <c r="H319" s="40"/>
      <c r="I319" s="40"/>
      <c r="J319" s="244"/>
      <c r="K319" s="41"/>
    </row>
    <row r="320" spans="2:11" ht="9.75" customHeight="1" x14ac:dyDescent="0.2">
      <c r="B320" s="38"/>
      <c r="C320" s="280" t="str">
        <f>"4:"</f>
        <v>4:</v>
      </c>
      <c r="D320" s="278" t="s">
        <v>936</v>
      </c>
      <c r="E320" s="40"/>
      <c r="F320" s="40"/>
      <c r="G320" s="40"/>
      <c r="H320" s="40"/>
      <c r="I320" s="40"/>
      <c r="J320" s="40"/>
      <c r="K320" s="41"/>
    </row>
    <row r="321" spans="2:11" x14ac:dyDescent="0.2">
      <c r="B321" s="38"/>
      <c r="C321" s="40" t="s">
        <v>296</v>
      </c>
      <c r="D321" s="40"/>
      <c r="E321" s="40"/>
      <c r="F321" s="40"/>
      <c r="G321" s="40"/>
      <c r="H321" s="40"/>
      <c r="I321" s="40"/>
      <c r="J321" s="266">
        <v>0</v>
      </c>
      <c r="K321" s="41"/>
    </row>
    <row r="322" spans="2:11" x14ac:dyDescent="0.2">
      <c r="B322" s="38"/>
      <c r="C322" s="40" t="s">
        <v>261</v>
      </c>
      <c r="D322" s="40"/>
      <c r="E322" s="40"/>
      <c r="F322" s="40"/>
      <c r="G322" s="40"/>
      <c r="H322" s="40"/>
      <c r="I322" s="40"/>
      <c r="J322" s="245">
        <f>IF(J321&lt;=0,0,IF(J321&lt;=2,1,IF(J321&lt;=6,2,IF(J321&lt;=12,3,4))))</f>
        <v>0</v>
      </c>
      <c r="K322" s="41"/>
    </row>
    <row r="323" spans="2:11" x14ac:dyDescent="0.2">
      <c r="B323" s="38"/>
      <c r="C323" s="40" t="s">
        <v>893</v>
      </c>
      <c r="D323" s="40"/>
      <c r="E323" s="40"/>
      <c r="F323" s="40"/>
      <c r="G323" s="40"/>
      <c r="H323" s="40"/>
      <c r="I323" s="40"/>
      <c r="J323" s="40"/>
      <c r="K323" s="41"/>
    </row>
    <row r="324" spans="2:11" ht="30" customHeight="1" x14ac:dyDescent="0.2">
      <c r="B324" s="38"/>
      <c r="C324" s="399"/>
      <c r="D324" s="400"/>
      <c r="E324" s="400"/>
      <c r="F324" s="400"/>
      <c r="G324" s="400"/>
      <c r="H324" s="400"/>
      <c r="I324" s="400"/>
      <c r="J324" s="401"/>
      <c r="K324" s="41"/>
    </row>
    <row r="325" spans="2:11" x14ac:dyDescent="0.2">
      <c r="B325" s="38"/>
      <c r="C325" s="40"/>
      <c r="D325" s="40"/>
      <c r="E325" s="40"/>
      <c r="F325" s="40"/>
      <c r="G325" s="40"/>
      <c r="H325" s="40"/>
      <c r="I325" s="40"/>
      <c r="J325" s="40"/>
      <c r="K325" s="41"/>
    </row>
    <row r="326" spans="2:11" x14ac:dyDescent="0.2">
      <c r="B326" s="38"/>
      <c r="C326" s="179" t="s">
        <v>886</v>
      </c>
      <c r="D326" s="40"/>
      <c r="E326" s="40"/>
      <c r="F326" s="40"/>
      <c r="G326" s="40"/>
      <c r="H326" s="40"/>
      <c r="I326" s="40"/>
      <c r="J326" s="245">
        <f>IF(OR(J315="Not Calculated",J322="Not Calculated")=TRUE,"Not Calculated",AVERAGE(J315,J322))</f>
        <v>2</v>
      </c>
      <c r="K326" s="41"/>
    </row>
    <row r="327" spans="2:11" x14ac:dyDescent="0.2">
      <c r="B327" s="38"/>
      <c r="C327" s="40"/>
      <c r="D327" s="40"/>
      <c r="E327" s="40"/>
      <c r="F327" s="40"/>
      <c r="G327" s="40"/>
      <c r="H327" s="40"/>
      <c r="I327" s="40"/>
      <c r="J327" s="40"/>
      <c r="K327" s="41"/>
    </row>
    <row r="328" spans="2:11" x14ac:dyDescent="0.2">
      <c r="B328" s="38"/>
      <c r="C328" s="40"/>
      <c r="D328" s="40"/>
      <c r="E328" s="40"/>
      <c r="F328" s="40"/>
      <c r="G328" s="40"/>
      <c r="H328" s="40"/>
      <c r="I328" s="40"/>
      <c r="J328" s="40"/>
      <c r="K328" s="41"/>
    </row>
    <row r="329" spans="2:11" ht="16" x14ac:dyDescent="0.2">
      <c r="B329" s="38"/>
      <c r="C329" s="45" t="s">
        <v>858</v>
      </c>
      <c r="D329" s="40"/>
      <c r="E329" s="40"/>
      <c r="F329" s="40"/>
      <c r="G329" s="40"/>
      <c r="H329" s="40"/>
      <c r="I329" s="40"/>
      <c r="J329" s="40"/>
      <c r="K329" s="41"/>
    </row>
    <row r="330" spans="2:11" ht="15" customHeight="1" x14ac:dyDescent="0.2">
      <c r="B330" s="38"/>
      <c r="C330" s="380" t="s">
        <v>844</v>
      </c>
      <c r="D330" s="380"/>
      <c r="E330" s="380"/>
      <c r="F330" s="380"/>
      <c r="G330" s="380"/>
      <c r="H330" s="380"/>
      <c r="I330" s="380"/>
      <c r="J330" s="40"/>
      <c r="K330" s="41"/>
    </row>
    <row r="331" spans="2:11" x14ac:dyDescent="0.2">
      <c r="B331" s="38"/>
      <c r="C331" s="380"/>
      <c r="D331" s="380"/>
      <c r="E331" s="380"/>
      <c r="F331" s="380"/>
      <c r="G331" s="380"/>
      <c r="H331" s="380"/>
      <c r="I331" s="380"/>
      <c r="J331" s="264">
        <v>0</v>
      </c>
      <c r="K331" s="41"/>
    </row>
    <row r="332" spans="2:11" x14ac:dyDescent="0.2">
      <c r="B332" s="38"/>
      <c r="C332" s="40" t="s">
        <v>853</v>
      </c>
      <c r="D332" s="291"/>
      <c r="E332" s="291"/>
      <c r="F332" s="291"/>
      <c r="G332" s="291"/>
      <c r="H332" s="291"/>
      <c r="I332" s="291"/>
      <c r="J332" s="255">
        <f>'Baseline Health'!$G$102</f>
        <v>0</v>
      </c>
      <c r="K332" s="41"/>
    </row>
    <row r="333" spans="2:11" x14ac:dyDescent="0.2">
      <c r="B333" s="38"/>
      <c r="C333" s="40" t="s">
        <v>845</v>
      </c>
      <c r="D333" s="40"/>
      <c r="E333" s="40"/>
      <c r="F333" s="40"/>
      <c r="G333" s="40"/>
      <c r="H333" s="40"/>
      <c r="I333" s="40"/>
      <c r="J333" s="244" t="str">
        <f>IF('Baseline Health'!$G$102=0,"Not Calculated",100*J331/'Baseline Health'!$G$102)</f>
        <v>Not Calculated</v>
      </c>
      <c r="K333" s="41"/>
    </row>
    <row r="334" spans="2:11" x14ac:dyDescent="0.2">
      <c r="B334" s="38"/>
      <c r="C334" s="40" t="s">
        <v>260</v>
      </c>
      <c r="D334" s="40"/>
      <c r="E334" s="40"/>
      <c r="F334" s="40"/>
      <c r="G334" s="40"/>
      <c r="H334" s="40"/>
      <c r="I334" s="40"/>
      <c r="J334" s="245">
        <f>IF(J333&lt;=0,0,IF(J333&lt;=1,1,IF(J333&lt;=5,2,IF(J333&lt;=10,3,4))))</f>
        <v>4</v>
      </c>
      <c r="K334" s="41"/>
    </row>
    <row r="335" spans="2:11" ht="9.75" customHeight="1" x14ac:dyDescent="0.2">
      <c r="B335" s="38"/>
      <c r="C335" s="279" t="str">
        <f>"0:"</f>
        <v>0:</v>
      </c>
      <c r="D335" s="278" t="s">
        <v>932</v>
      </c>
      <c r="E335" s="40"/>
      <c r="F335" s="40"/>
      <c r="G335" s="40"/>
      <c r="H335" s="40"/>
      <c r="I335" s="40"/>
      <c r="J335" s="244"/>
      <c r="K335" s="41"/>
    </row>
    <row r="336" spans="2:11" ht="9.75" customHeight="1" x14ac:dyDescent="0.2">
      <c r="B336" s="38"/>
      <c r="C336" s="280" t="str">
        <f>"1:"</f>
        <v>1:</v>
      </c>
      <c r="D336" s="278" t="s">
        <v>934</v>
      </c>
      <c r="E336" s="40"/>
      <c r="F336" s="40"/>
      <c r="G336" s="40"/>
      <c r="H336" s="40"/>
      <c r="I336" s="40"/>
      <c r="J336" s="244"/>
      <c r="K336" s="41"/>
    </row>
    <row r="337" spans="2:11" ht="9.75" customHeight="1" x14ac:dyDescent="0.2">
      <c r="B337" s="38"/>
      <c r="C337" s="280" t="str">
        <f>"2:"</f>
        <v>2:</v>
      </c>
      <c r="D337" s="278" t="s">
        <v>933</v>
      </c>
      <c r="E337" s="40"/>
      <c r="F337" s="40"/>
      <c r="G337" s="40"/>
      <c r="H337" s="40"/>
      <c r="I337" s="40"/>
      <c r="J337" s="244"/>
      <c r="K337" s="41"/>
    </row>
    <row r="338" spans="2:11" ht="9.75" customHeight="1" x14ac:dyDescent="0.2">
      <c r="B338" s="38"/>
      <c r="C338" s="280" t="str">
        <f>"3:"</f>
        <v>3:</v>
      </c>
      <c r="D338" s="278" t="s">
        <v>935</v>
      </c>
      <c r="E338" s="40"/>
      <c r="F338" s="40"/>
      <c r="G338" s="40"/>
      <c r="H338" s="40"/>
      <c r="I338" s="40"/>
      <c r="J338" s="244"/>
      <c r="K338" s="41"/>
    </row>
    <row r="339" spans="2:11" ht="9.75" customHeight="1" x14ac:dyDescent="0.2">
      <c r="B339" s="38"/>
      <c r="C339" s="280" t="str">
        <f>"4:"</f>
        <v>4:</v>
      </c>
      <c r="D339" s="278" t="s">
        <v>936</v>
      </c>
      <c r="E339" s="40"/>
      <c r="F339" s="40"/>
      <c r="G339" s="40"/>
      <c r="H339" s="40"/>
      <c r="I339" s="40"/>
      <c r="J339" s="40"/>
      <c r="K339" s="41"/>
    </row>
    <row r="340" spans="2:11" x14ac:dyDescent="0.2">
      <c r="B340" s="38"/>
      <c r="C340" s="380" t="s">
        <v>84</v>
      </c>
      <c r="D340" s="380"/>
      <c r="E340" s="380"/>
      <c r="F340" s="380"/>
      <c r="G340" s="380"/>
      <c r="H340" s="380"/>
      <c r="I340" s="380"/>
      <c r="J340" s="245"/>
      <c r="K340" s="41"/>
    </row>
    <row r="341" spans="2:11" x14ac:dyDescent="0.2">
      <c r="B341" s="38"/>
      <c r="C341" s="380"/>
      <c r="D341" s="380"/>
      <c r="E341" s="380"/>
      <c r="F341" s="380"/>
      <c r="G341" s="380"/>
      <c r="H341" s="380"/>
      <c r="I341" s="380"/>
      <c r="J341" s="245">
        <f>'Baseline Health'!G108</f>
        <v>40</v>
      </c>
      <c r="K341" s="41"/>
    </row>
    <row r="342" spans="2:11" ht="15" customHeight="1" x14ac:dyDescent="0.2">
      <c r="B342" s="38"/>
      <c r="C342" s="40" t="s">
        <v>833</v>
      </c>
      <c r="D342" s="40"/>
      <c r="E342" s="40"/>
      <c r="F342" s="40"/>
      <c r="G342" s="40"/>
      <c r="H342" s="40"/>
      <c r="I342" s="40"/>
      <c r="J342" s="245">
        <f>IF(J341&gt;J321,0,J321-J341)</f>
        <v>0</v>
      </c>
      <c r="K342" s="41"/>
    </row>
    <row r="343" spans="2:11" x14ac:dyDescent="0.2">
      <c r="B343" s="38"/>
      <c r="C343" s="40"/>
      <c r="D343" s="380" t="s">
        <v>834</v>
      </c>
      <c r="E343" s="380"/>
      <c r="F343" s="380"/>
      <c r="G343" s="380"/>
      <c r="H343" s="380"/>
      <c r="I343" s="380"/>
      <c r="J343" s="40"/>
      <c r="K343" s="41"/>
    </row>
    <row r="344" spans="2:11" x14ac:dyDescent="0.2">
      <c r="B344" s="38"/>
      <c r="C344" s="40"/>
      <c r="D344" s="380"/>
      <c r="E344" s="380"/>
      <c r="F344" s="380"/>
      <c r="G344" s="380"/>
      <c r="H344" s="380"/>
      <c r="I344" s="380"/>
      <c r="J344" s="40"/>
      <c r="K344" s="41"/>
    </row>
    <row r="345" spans="2:11" x14ac:dyDescent="0.2">
      <c r="B345" s="38"/>
      <c r="C345" s="40" t="s">
        <v>261</v>
      </c>
      <c r="D345" s="40"/>
      <c r="E345" s="40"/>
      <c r="F345" s="40"/>
      <c r="G345" s="40"/>
      <c r="H345" s="40"/>
      <c r="I345" s="40"/>
      <c r="J345" s="245">
        <f>IF(J342&lt;=0,0,IF(J342&lt;=2,1,IF(J342&lt;=6,2,IF(J342&lt;=12,3,4))))</f>
        <v>0</v>
      </c>
      <c r="K345" s="41"/>
    </row>
    <row r="346" spans="2:11" x14ac:dyDescent="0.2">
      <c r="B346" s="38"/>
      <c r="C346" s="40" t="s">
        <v>893</v>
      </c>
      <c r="D346" s="40"/>
      <c r="E346" s="40"/>
      <c r="F346" s="40"/>
      <c r="G346" s="40"/>
      <c r="H346" s="40"/>
      <c r="I346" s="40"/>
      <c r="J346" s="40"/>
      <c r="K346" s="41"/>
    </row>
    <row r="347" spans="2:11" ht="30" customHeight="1" x14ac:dyDescent="0.2">
      <c r="B347" s="38"/>
      <c r="C347" s="399"/>
      <c r="D347" s="400"/>
      <c r="E347" s="400"/>
      <c r="F347" s="400"/>
      <c r="G347" s="400"/>
      <c r="H347" s="400"/>
      <c r="I347" s="400"/>
      <c r="J347" s="401"/>
      <c r="K347" s="41"/>
    </row>
    <row r="348" spans="2:11" x14ac:dyDescent="0.2">
      <c r="B348" s="38"/>
      <c r="C348" s="40"/>
      <c r="D348" s="40"/>
      <c r="E348" s="40"/>
      <c r="F348" s="40"/>
      <c r="G348" s="40"/>
      <c r="H348" s="40"/>
      <c r="I348" s="40"/>
      <c r="J348" s="40"/>
      <c r="K348" s="41"/>
    </row>
    <row r="349" spans="2:11" x14ac:dyDescent="0.2">
      <c r="B349" s="38"/>
      <c r="C349" s="179" t="s">
        <v>887</v>
      </c>
      <c r="D349" s="40"/>
      <c r="E349" s="40"/>
      <c r="F349" s="40"/>
      <c r="G349" s="40"/>
      <c r="H349" s="40"/>
      <c r="I349" s="40"/>
      <c r="J349" s="245">
        <f>IF(OR(J334="Not Calculated",J345="Not Calculated")=TRUE,"Not Calculated",AVERAGE(J334,J345))</f>
        <v>2</v>
      </c>
      <c r="K349" s="41"/>
    </row>
    <row r="350" spans="2:11" x14ac:dyDescent="0.2">
      <c r="B350" s="38"/>
      <c r="C350" s="40"/>
      <c r="D350" s="40"/>
      <c r="E350" s="40"/>
      <c r="F350" s="40"/>
      <c r="G350" s="40"/>
      <c r="H350" s="40"/>
      <c r="I350" s="40"/>
      <c r="J350" s="40"/>
      <c r="K350" s="41"/>
    </row>
    <row r="351" spans="2:11" x14ac:dyDescent="0.2">
      <c r="B351" s="38"/>
      <c r="C351" s="40"/>
      <c r="D351" s="40"/>
      <c r="E351" s="40"/>
      <c r="F351" s="40"/>
      <c r="G351" s="40"/>
      <c r="H351" s="40"/>
      <c r="I351" s="40"/>
      <c r="J351" s="40"/>
      <c r="K351" s="41"/>
    </row>
    <row r="352" spans="2:11" ht="15" customHeight="1" x14ac:dyDescent="0.2">
      <c r="B352" s="38"/>
      <c r="C352" s="45" t="s">
        <v>859</v>
      </c>
      <c r="D352" s="40"/>
      <c r="E352" s="40"/>
      <c r="F352" s="40"/>
      <c r="G352" s="40"/>
      <c r="H352" s="40"/>
      <c r="I352" s="40"/>
      <c r="J352" s="40"/>
      <c r="K352" s="41"/>
    </row>
    <row r="353" spans="2:11" x14ac:dyDescent="0.2">
      <c r="B353" s="38"/>
      <c r="C353" s="40" t="s">
        <v>846</v>
      </c>
      <c r="D353" s="40"/>
      <c r="E353" s="40"/>
      <c r="F353" s="40"/>
      <c r="G353" s="40"/>
      <c r="H353" s="40"/>
      <c r="I353" s="40"/>
      <c r="J353" s="264">
        <v>0</v>
      </c>
      <c r="K353" s="41"/>
    </row>
    <row r="354" spans="2:11" x14ac:dyDescent="0.2">
      <c r="B354" s="38"/>
      <c r="C354" s="40" t="s">
        <v>854</v>
      </c>
      <c r="D354" s="40"/>
      <c r="E354" s="40"/>
      <c r="F354" s="40"/>
      <c r="G354" s="40"/>
      <c r="H354" s="40"/>
      <c r="I354" s="40"/>
      <c r="J354" s="255">
        <f>'Baseline Health'!$G$59</f>
        <v>0</v>
      </c>
      <c r="K354" s="41"/>
    </row>
    <row r="355" spans="2:11" x14ac:dyDescent="0.2">
      <c r="B355" s="38"/>
      <c r="C355" s="40" t="s">
        <v>847</v>
      </c>
      <c r="D355" s="40"/>
      <c r="E355" s="40"/>
      <c r="F355" s="40"/>
      <c r="G355" s="40"/>
      <c r="H355" s="40"/>
      <c r="I355" s="40"/>
      <c r="J355" s="244">
        <f>IF(J353=0,0,IF('Baseline Health'!G$59=0,"Not Calculated",100*J353/'Baseline Health'!$G$59))</f>
        <v>0</v>
      </c>
      <c r="K355" s="41"/>
    </row>
    <row r="356" spans="2:11" x14ac:dyDescent="0.2">
      <c r="B356" s="38"/>
      <c r="C356" s="40" t="s">
        <v>260</v>
      </c>
      <c r="D356" s="40"/>
      <c r="E356" s="40"/>
      <c r="F356" s="40"/>
      <c r="G356" s="40"/>
      <c r="H356" s="40"/>
      <c r="I356" s="40"/>
      <c r="J356" s="245">
        <f>IF(J355&lt;=0,0,IF(J355&lt;=5,1,IF(J355&lt;=10,2,IF(J355&lt;=25,3,4))))</f>
        <v>0</v>
      </c>
      <c r="K356" s="41"/>
    </row>
    <row r="357" spans="2:11" ht="9.75" customHeight="1" x14ac:dyDescent="0.2">
      <c r="B357" s="38"/>
      <c r="C357" s="279" t="str">
        <f>"0:"</f>
        <v>0:</v>
      </c>
      <c r="D357" s="278" t="s">
        <v>932</v>
      </c>
      <c r="E357" s="40"/>
      <c r="F357" s="40"/>
      <c r="G357" s="40"/>
      <c r="H357" s="40"/>
      <c r="I357" s="40"/>
      <c r="J357" s="244"/>
      <c r="K357" s="41"/>
    </row>
    <row r="358" spans="2:11" ht="9.75" customHeight="1" x14ac:dyDescent="0.2">
      <c r="B358" s="38"/>
      <c r="C358" s="280" t="str">
        <f>"1:"</f>
        <v>1:</v>
      </c>
      <c r="D358" s="278" t="s">
        <v>933</v>
      </c>
      <c r="E358" s="40"/>
      <c r="F358" s="40"/>
      <c r="G358" s="40"/>
      <c r="H358" s="40"/>
      <c r="I358" s="40"/>
      <c r="J358" s="244"/>
      <c r="K358" s="41"/>
    </row>
    <row r="359" spans="2:11" ht="9.75" customHeight="1" x14ac:dyDescent="0.2">
      <c r="B359" s="38"/>
      <c r="C359" s="280" t="str">
        <f>"2:"</f>
        <v>2:</v>
      </c>
      <c r="D359" s="278" t="s">
        <v>935</v>
      </c>
      <c r="E359" s="40"/>
      <c r="F359" s="40"/>
      <c r="G359" s="40"/>
      <c r="H359" s="40"/>
      <c r="I359" s="40"/>
      <c r="J359" s="244"/>
      <c r="K359" s="41"/>
    </row>
    <row r="360" spans="2:11" ht="9.75" customHeight="1" x14ac:dyDescent="0.2">
      <c r="B360" s="38"/>
      <c r="C360" s="280" t="str">
        <f>"3:"</f>
        <v>3:</v>
      </c>
      <c r="D360" s="278" t="s">
        <v>937</v>
      </c>
      <c r="E360" s="40"/>
      <c r="F360" s="40"/>
      <c r="G360" s="40"/>
      <c r="H360" s="40"/>
      <c r="I360" s="40"/>
      <c r="J360" s="244"/>
      <c r="K360" s="41"/>
    </row>
    <row r="361" spans="2:11" ht="9.75" customHeight="1" x14ac:dyDescent="0.2">
      <c r="B361" s="38"/>
      <c r="C361" s="280" t="str">
        <f>"4:"</f>
        <v>4:</v>
      </c>
      <c r="D361" s="278" t="s">
        <v>938</v>
      </c>
      <c r="E361" s="40"/>
      <c r="F361" s="40"/>
      <c r="G361" s="40"/>
      <c r="H361" s="40"/>
      <c r="I361" s="40"/>
      <c r="J361" s="40"/>
      <c r="K361" s="41"/>
    </row>
    <row r="362" spans="2:11" x14ac:dyDescent="0.2">
      <c r="B362" s="38"/>
      <c r="C362" s="40" t="s">
        <v>257</v>
      </c>
      <c r="D362" s="40"/>
      <c r="E362" s="40"/>
      <c r="F362" s="40"/>
      <c r="G362" s="40"/>
      <c r="H362" s="40"/>
      <c r="I362" s="40"/>
      <c r="J362" s="266" t="s">
        <v>870</v>
      </c>
      <c r="K362" s="41"/>
    </row>
    <row r="363" spans="2:11" x14ac:dyDescent="0.2">
      <c r="B363" s="38"/>
      <c r="C363" s="40" t="s">
        <v>261</v>
      </c>
      <c r="D363" s="40"/>
      <c r="E363" s="40"/>
      <c r="F363" s="40"/>
      <c r="G363" s="40"/>
      <c r="H363" s="40"/>
      <c r="I363" s="40"/>
      <c r="J363" s="245">
        <f>IF(J362=$B$980,$A$980,IF(J362=$B$981,$A$981,IF(J362=$B$982,$A$982,IF(J362=$B$983,$A$983,IF(J362=$B$984,$A$984,"Not Calculated")))))</f>
        <v>0</v>
      </c>
      <c r="K363" s="41"/>
    </row>
    <row r="364" spans="2:11" x14ac:dyDescent="0.2">
      <c r="B364" s="38"/>
      <c r="C364" s="40" t="s">
        <v>893</v>
      </c>
      <c r="D364" s="40"/>
      <c r="E364" s="40"/>
      <c r="F364" s="40"/>
      <c r="G364" s="40"/>
      <c r="H364" s="40"/>
      <c r="I364" s="40"/>
      <c r="J364" s="40"/>
      <c r="K364" s="41"/>
    </row>
    <row r="365" spans="2:11" ht="30" customHeight="1" x14ac:dyDescent="0.2">
      <c r="B365" s="38"/>
      <c r="C365" s="399"/>
      <c r="D365" s="400"/>
      <c r="E365" s="400"/>
      <c r="F365" s="400"/>
      <c r="G365" s="400"/>
      <c r="H365" s="400"/>
      <c r="I365" s="400"/>
      <c r="J365" s="401"/>
      <c r="K365" s="41"/>
    </row>
    <row r="366" spans="2:11" x14ac:dyDescent="0.2">
      <c r="B366" s="38"/>
      <c r="C366" s="40"/>
      <c r="D366" s="40"/>
      <c r="E366" s="40"/>
      <c r="F366" s="40"/>
      <c r="G366" s="40"/>
      <c r="H366" s="40"/>
      <c r="I366" s="40"/>
      <c r="J366" s="40"/>
      <c r="K366" s="41"/>
    </row>
    <row r="367" spans="2:11" x14ac:dyDescent="0.2">
      <c r="B367" s="38"/>
      <c r="C367" s="179" t="s">
        <v>888</v>
      </c>
      <c r="D367" s="40"/>
      <c r="E367" s="40"/>
      <c r="F367" s="40"/>
      <c r="G367" s="40"/>
      <c r="H367" s="40"/>
      <c r="I367" s="40"/>
      <c r="J367" s="245">
        <f>IF(OR(J356="Not Calculated",J363="Not Calculated")=TRUE,"Not Calculated",AVERAGE(J356,J363))</f>
        <v>0</v>
      </c>
      <c r="K367" s="41"/>
    </row>
    <row r="368" spans="2:11" x14ac:dyDescent="0.2">
      <c r="B368" s="38"/>
      <c r="C368" s="40"/>
      <c r="D368" s="40"/>
      <c r="E368" s="40"/>
      <c r="F368" s="40"/>
      <c r="G368" s="40"/>
      <c r="H368" s="40"/>
      <c r="I368" s="40"/>
      <c r="J368" s="40"/>
      <c r="K368" s="41"/>
    </row>
    <row r="369" spans="2:11" x14ac:dyDescent="0.2">
      <c r="B369" s="38"/>
      <c r="C369" s="40"/>
      <c r="D369" s="40"/>
      <c r="E369" s="40"/>
      <c r="F369" s="40"/>
      <c r="G369" s="40"/>
      <c r="H369" s="40"/>
      <c r="I369" s="40"/>
      <c r="J369" s="40"/>
      <c r="K369" s="41"/>
    </row>
    <row r="370" spans="2:11" ht="16" x14ac:dyDescent="0.2">
      <c r="B370" s="38"/>
      <c r="C370" s="45" t="s">
        <v>863</v>
      </c>
      <c r="D370" s="40"/>
      <c r="E370" s="40"/>
      <c r="F370" s="40"/>
      <c r="G370" s="40"/>
      <c r="H370" s="40"/>
      <c r="I370" s="40"/>
      <c r="J370" s="40"/>
      <c r="K370" s="41"/>
    </row>
    <row r="371" spans="2:11" ht="15" customHeight="1" x14ac:dyDescent="0.2">
      <c r="B371" s="38"/>
      <c r="C371" s="380" t="s">
        <v>848</v>
      </c>
      <c r="D371" s="380"/>
      <c r="E371" s="380"/>
      <c r="F371" s="380"/>
      <c r="G371" s="380"/>
      <c r="H371" s="380"/>
      <c r="I371" s="380"/>
      <c r="J371" s="181"/>
      <c r="K371" s="41"/>
    </row>
    <row r="372" spans="2:11" x14ac:dyDescent="0.2">
      <c r="B372" s="38"/>
      <c r="C372" s="380"/>
      <c r="D372" s="380"/>
      <c r="E372" s="380"/>
      <c r="F372" s="380"/>
      <c r="G372" s="380"/>
      <c r="H372" s="380"/>
      <c r="I372" s="380"/>
      <c r="J372" s="264">
        <v>0</v>
      </c>
      <c r="K372" s="41"/>
    </row>
    <row r="373" spans="2:11" x14ac:dyDescent="0.2">
      <c r="B373" s="38"/>
      <c r="C373" s="40" t="s">
        <v>853</v>
      </c>
      <c r="D373" s="291"/>
      <c r="E373" s="291"/>
      <c r="F373" s="291"/>
      <c r="G373" s="291"/>
      <c r="H373" s="291"/>
      <c r="I373" s="291"/>
      <c r="J373" s="255">
        <f>'Baseline Health'!$G$102</f>
        <v>0</v>
      </c>
      <c r="K373" s="41"/>
    </row>
    <row r="374" spans="2:11" x14ac:dyDescent="0.2">
      <c r="B374" s="38"/>
      <c r="C374" s="40" t="s">
        <v>842</v>
      </c>
      <c r="D374" s="291"/>
      <c r="E374" s="291"/>
      <c r="F374" s="291"/>
      <c r="G374" s="291"/>
      <c r="H374" s="291"/>
      <c r="I374" s="291"/>
      <c r="J374" s="244" t="str">
        <f>IF('Baseline Health'!$G$102=0,"Not Calculated",100*J372/'Baseline Health'!$G$102)</f>
        <v>Not Calculated</v>
      </c>
      <c r="K374" s="41"/>
    </row>
    <row r="375" spans="2:11" x14ac:dyDescent="0.2">
      <c r="B375" s="38"/>
      <c r="C375" s="40" t="s">
        <v>260</v>
      </c>
      <c r="D375" s="40"/>
      <c r="E375" s="40"/>
      <c r="F375" s="40"/>
      <c r="G375" s="40"/>
      <c r="H375" s="40"/>
      <c r="I375" s="40"/>
      <c r="J375" s="251">
        <f>IF(J374&lt;=0,0,IF(J374&lt;=1,1,IF(J374&lt;=5,2,IF(J374&lt;=10,3,4))))</f>
        <v>4</v>
      </c>
      <c r="K375" s="41"/>
    </row>
    <row r="376" spans="2:11" ht="9.75" customHeight="1" x14ac:dyDescent="0.2">
      <c r="B376" s="38"/>
      <c r="C376" s="279" t="str">
        <f>"0:"</f>
        <v>0:</v>
      </c>
      <c r="D376" s="278" t="s">
        <v>932</v>
      </c>
      <c r="E376" s="291"/>
      <c r="F376" s="291"/>
      <c r="G376" s="291"/>
      <c r="H376" s="291"/>
      <c r="I376" s="291"/>
      <c r="J376" s="244"/>
      <c r="K376" s="41"/>
    </row>
    <row r="377" spans="2:11" ht="9.75" customHeight="1" x14ac:dyDescent="0.2">
      <c r="B377" s="38"/>
      <c r="C377" s="280" t="str">
        <f>"1:"</f>
        <v>1:</v>
      </c>
      <c r="D377" s="278" t="s">
        <v>934</v>
      </c>
      <c r="E377" s="291"/>
      <c r="F377" s="291"/>
      <c r="G377" s="291"/>
      <c r="H377" s="291"/>
      <c r="I377" s="291"/>
      <c r="J377" s="244"/>
      <c r="K377" s="41"/>
    </row>
    <row r="378" spans="2:11" ht="9.75" customHeight="1" x14ac:dyDescent="0.2">
      <c r="B378" s="38"/>
      <c r="C378" s="280" t="str">
        <f>"2:"</f>
        <v>2:</v>
      </c>
      <c r="D378" s="278" t="s">
        <v>933</v>
      </c>
      <c r="E378" s="291"/>
      <c r="F378" s="291"/>
      <c r="G378" s="291"/>
      <c r="H378" s="291"/>
      <c r="I378" s="291"/>
      <c r="J378" s="244"/>
      <c r="K378" s="41"/>
    </row>
    <row r="379" spans="2:11" ht="9.75" customHeight="1" x14ac:dyDescent="0.2">
      <c r="B379" s="38"/>
      <c r="C379" s="280" t="str">
        <f>"3:"</f>
        <v>3:</v>
      </c>
      <c r="D379" s="278" t="s">
        <v>935</v>
      </c>
      <c r="E379" s="291"/>
      <c r="F379" s="291"/>
      <c r="G379" s="291"/>
      <c r="H379" s="291"/>
      <c r="I379" s="291"/>
      <c r="J379" s="244"/>
      <c r="K379" s="41"/>
    </row>
    <row r="380" spans="2:11" ht="9.75" customHeight="1" x14ac:dyDescent="0.2">
      <c r="B380" s="38"/>
      <c r="C380" s="280" t="str">
        <f>"4:"</f>
        <v>4:</v>
      </c>
      <c r="D380" s="278" t="s">
        <v>936</v>
      </c>
      <c r="E380" s="40"/>
      <c r="F380" s="40"/>
      <c r="G380" s="40"/>
      <c r="H380" s="40"/>
      <c r="I380" s="40"/>
      <c r="J380" s="40"/>
      <c r="K380" s="41"/>
    </row>
    <row r="381" spans="2:11" x14ac:dyDescent="0.2">
      <c r="B381" s="38"/>
      <c r="C381" s="40" t="s">
        <v>85</v>
      </c>
      <c r="D381" s="40"/>
      <c r="E381" s="40"/>
      <c r="F381" s="40"/>
      <c r="G381" s="40"/>
      <c r="H381" s="40"/>
      <c r="I381" s="40"/>
      <c r="J381" s="252">
        <f>'Baseline Health'!G114</f>
        <v>7</v>
      </c>
      <c r="K381" s="41"/>
    </row>
    <row r="382" spans="2:11" x14ac:dyDescent="0.2">
      <c r="B382" s="38"/>
      <c r="C382" s="40" t="s">
        <v>297</v>
      </c>
      <c r="D382" s="40"/>
      <c r="E382" s="40"/>
      <c r="F382" s="40"/>
      <c r="G382" s="40"/>
      <c r="H382" s="40"/>
      <c r="I382" s="40"/>
      <c r="J382" s="266">
        <v>0</v>
      </c>
      <c r="K382" s="41"/>
    </row>
    <row r="383" spans="2:11" x14ac:dyDescent="0.2">
      <c r="B383" s="38"/>
      <c r="C383" s="40" t="s">
        <v>261</v>
      </c>
      <c r="D383" s="40"/>
      <c r="E383" s="40"/>
      <c r="F383" s="40"/>
      <c r="G383" s="40"/>
      <c r="H383" s="40"/>
      <c r="I383" s="40"/>
      <c r="J383" s="248">
        <f>IF((J382-J381)&lt;1,0,IF((J382-J381)&lt;3,1,IF((J382-J381)&lt;5,2,IF((J382-J381)&lt;7,3,4))))</f>
        <v>0</v>
      </c>
      <c r="K383" s="41"/>
    </row>
    <row r="384" spans="2:11" x14ac:dyDescent="0.2">
      <c r="B384" s="38"/>
      <c r="C384" s="40" t="s">
        <v>893</v>
      </c>
      <c r="D384" s="40"/>
      <c r="E384" s="40"/>
      <c r="F384" s="40"/>
      <c r="G384" s="40"/>
      <c r="H384" s="40"/>
      <c r="I384" s="40"/>
      <c r="J384" s="40"/>
      <c r="K384" s="41"/>
    </row>
    <row r="385" spans="2:11" ht="30" customHeight="1" x14ac:dyDescent="0.2">
      <c r="B385" s="38"/>
      <c r="C385" s="399"/>
      <c r="D385" s="400"/>
      <c r="E385" s="400"/>
      <c r="F385" s="400"/>
      <c r="G385" s="400"/>
      <c r="H385" s="400"/>
      <c r="I385" s="400"/>
      <c r="J385" s="401"/>
      <c r="K385" s="41"/>
    </row>
    <row r="386" spans="2:11" x14ac:dyDescent="0.2">
      <c r="B386" s="38"/>
      <c r="C386" s="40"/>
      <c r="D386" s="40"/>
      <c r="E386" s="40"/>
      <c r="F386" s="40"/>
      <c r="G386" s="40"/>
      <c r="H386" s="40"/>
      <c r="I386" s="40"/>
      <c r="J386" s="40"/>
      <c r="K386" s="41"/>
    </row>
    <row r="387" spans="2:11" x14ac:dyDescent="0.2">
      <c r="B387" s="38"/>
      <c r="C387" s="179" t="s">
        <v>889</v>
      </c>
      <c r="D387" s="40"/>
      <c r="E387" s="40"/>
      <c r="F387" s="40"/>
      <c r="G387" s="40"/>
      <c r="H387" s="40"/>
      <c r="I387" s="40"/>
      <c r="J387" s="245">
        <f>IF(OR(J375="Not Calculated",J383="Not Calculated")=TRUE,"Not Calculated",AVERAGE(J375,J383))</f>
        <v>2</v>
      </c>
      <c r="K387" s="41"/>
    </row>
    <row r="388" spans="2:11" x14ac:dyDescent="0.2">
      <c r="B388" s="38"/>
      <c r="C388" s="40"/>
      <c r="D388" s="40"/>
      <c r="E388" s="40"/>
      <c r="F388" s="40"/>
      <c r="G388" s="40"/>
      <c r="H388" s="40"/>
      <c r="I388" s="40"/>
      <c r="J388" s="40"/>
      <c r="K388" s="41"/>
    </row>
    <row r="389" spans="2:11" x14ac:dyDescent="0.2">
      <c r="B389" s="38"/>
      <c r="C389" s="40"/>
      <c r="D389" s="40"/>
      <c r="E389" s="40"/>
      <c r="F389" s="40"/>
      <c r="G389" s="40"/>
      <c r="H389" s="40"/>
      <c r="I389" s="40"/>
      <c r="J389" s="40"/>
      <c r="K389" s="41"/>
    </row>
    <row r="390" spans="2:11" ht="16" x14ac:dyDescent="0.2">
      <c r="B390" s="38"/>
      <c r="C390" s="45" t="s">
        <v>860</v>
      </c>
      <c r="D390" s="40"/>
      <c r="E390" s="40"/>
      <c r="F390" s="40"/>
      <c r="G390" s="40"/>
      <c r="H390" s="40"/>
      <c r="I390" s="40"/>
      <c r="J390" s="40"/>
      <c r="K390" s="41"/>
    </row>
    <row r="391" spans="2:11" x14ac:dyDescent="0.2">
      <c r="B391" s="38"/>
      <c r="C391" s="380" t="s">
        <v>849</v>
      </c>
      <c r="D391" s="380"/>
      <c r="E391" s="380"/>
      <c r="F391" s="380"/>
      <c r="G391" s="380"/>
      <c r="H391" s="380"/>
      <c r="I391" s="380"/>
      <c r="J391" s="181"/>
      <c r="K391" s="41"/>
    </row>
    <row r="392" spans="2:11" x14ac:dyDescent="0.2">
      <c r="B392" s="38"/>
      <c r="C392" s="380"/>
      <c r="D392" s="380"/>
      <c r="E392" s="380"/>
      <c r="F392" s="380"/>
      <c r="G392" s="380"/>
      <c r="H392" s="380"/>
      <c r="I392" s="380"/>
      <c r="J392" s="264">
        <v>0</v>
      </c>
      <c r="K392" s="41"/>
    </row>
    <row r="393" spans="2:11" x14ac:dyDescent="0.2">
      <c r="B393" s="38"/>
      <c r="C393" s="40" t="s">
        <v>853</v>
      </c>
      <c r="D393" s="291"/>
      <c r="E393" s="291"/>
      <c r="F393" s="291"/>
      <c r="G393" s="291"/>
      <c r="H393" s="291"/>
      <c r="I393" s="291"/>
      <c r="J393" s="255">
        <f>'Baseline Health'!$G$102</f>
        <v>0</v>
      </c>
      <c r="K393" s="41"/>
    </row>
    <row r="394" spans="2:11" ht="15" customHeight="1" x14ac:dyDescent="0.2">
      <c r="B394" s="38"/>
      <c r="C394" s="40" t="s">
        <v>850</v>
      </c>
      <c r="D394" s="291"/>
      <c r="E394" s="291"/>
      <c r="F394" s="291"/>
      <c r="G394" s="291"/>
      <c r="H394" s="291"/>
      <c r="I394" s="291"/>
      <c r="J394" s="244" t="str">
        <f>IF('Baseline Health'!$G$102=0,"Not Calculated",100*J392/'Baseline Health'!$G$102)</f>
        <v>Not Calculated</v>
      </c>
      <c r="K394" s="41"/>
    </row>
    <row r="395" spans="2:11" ht="15" customHeight="1" x14ac:dyDescent="0.2">
      <c r="B395" s="38"/>
      <c r="C395" s="40" t="s">
        <v>260</v>
      </c>
      <c r="D395" s="40"/>
      <c r="E395" s="40"/>
      <c r="F395" s="40"/>
      <c r="G395" s="40"/>
      <c r="H395" s="40"/>
      <c r="I395" s="40"/>
      <c r="J395" s="43">
        <f>IF(J394&lt;=0,0,IF(J394&lt;=1,1,IF(J394&lt;=5,2,IF(J394&lt;=10,3,4))))</f>
        <v>4</v>
      </c>
      <c r="K395" s="41"/>
    </row>
    <row r="396" spans="2:11" ht="9.75" customHeight="1" x14ac:dyDescent="0.2">
      <c r="B396" s="38"/>
      <c r="C396" s="279" t="str">
        <f>"0:"</f>
        <v>0:</v>
      </c>
      <c r="D396" s="278" t="s">
        <v>932</v>
      </c>
      <c r="E396" s="291"/>
      <c r="F396" s="291"/>
      <c r="G396" s="291"/>
      <c r="H396" s="291"/>
      <c r="I396" s="291"/>
      <c r="J396" s="244"/>
      <c r="K396" s="41"/>
    </row>
    <row r="397" spans="2:11" ht="9.75" customHeight="1" x14ac:dyDescent="0.2">
      <c r="B397" s="38"/>
      <c r="C397" s="280" t="str">
        <f>"1:"</f>
        <v>1:</v>
      </c>
      <c r="D397" s="278" t="s">
        <v>934</v>
      </c>
      <c r="E397" s="291"/>
      <c r="F397" s="291"/>
      <c r="G397" s="291"/>
      <c r="H397" s="291"/>
      <c r="I397" s="291"/>
      <c r="J397" s="244"/>
      <c r="K397" s="41"/>
    </row>
    <row r="398" spans="2:11" ht="9.75" customHeight="1" x14ac:dyDescent="0.2">
      <c r="B398" s="38"/>
      <c r="C398" s="280" t="str">
        <f>"2:"</f>
        <v>2:</v>
      </c>
      <c r="D398" s="278" t="s">
        <v>933</v>
      </c>
      <c r="E398" s="291"/>
      <c r="F398" s="291"/>
      <c r="G398" s="291"/>
      <c r="H398" s="291"/>
      <c r="I398" s="291"/>
      <c r="J398" s="244"/>
      <c r="K398" s="41"/>
    </row>
    <row r="399" spans="2:11" ht="9.75" customHeight="1" x14ac:dyDescent="0.2">
      <c r="B399" s="38"/>
      <c r="C399" s="280" t="str">
        <f>"3:"</f>
        <v>3:</v>
      </c>
      <c r="D399" s="278" t="s">
        <v>935</v>
      </c>
      <c r="E399" s="291"/>
      <c r="F399" s="291"/>
      <c r="G399" s="291"/>
      <c r="H399" s="291"/>
      <c r="I399" s="291"/>
      <c r="J399" s="244"/>
      <c r="K399" s="41"/>
    </row>
    <row r="400" spans="2:11" ht="9.75" customHeight="1" x14ac:dyDescent="0.2">
      <c r="B400" s="38"/>
      <c r="C400" s="280" t="str">
        <f>"4:"</f>
        <v>4:</v>
      </c>
      <c r="D400" s="278" t="s">
        <v>936</v>
      </c>
      <c r="E400" s="40"/>
      <c r="F400" s="40"/>
      <c r="G400" s="40"/>
      <c r="H400" s="40"/>
      <c r="I400" s="40"/>
      <c r="J400" s="40"/>
      <c r="K400" s="41"/>
    </row>
    <row r="401" spans="2:11" x14ac:dyDescent="0.2">
      <c r="B401" s="38"/>
      <c r="C401" s="40" t="s">
        <v>893</v>
      </c>
      <c r="D401" s="40"/>
      <c r="E401" s="40"/>
      <c r="F401" s="40"/>
      <c r="G401" s="40"/>
      <c r="H401" s="40"/>
      <c r="I401" s="40"/>
      <c r="J401" s="40"/>
      <c r="K401" s="41"/>
    </row>
    <row r="402" spans="2:11" ht="30" customHeight="1" x14ac:dyDescent="0.2">
      <c r="B402" s="38"/>
      <c r="C402" s="399"/>
      <c r="D402" s="400"/>
      <c r="E402" s="400"/>
      <c r="F402" s="400"/>
      <c r="G402" s="400"/>
      <c r="H402" s="400"/>
      <c r="I402" s="400"/>
      <c r="J402" s="401"/>
      <c r="K402" s="41"/>
    </row>
    <row r="403" spans="2:11" x14ac:dyDescent="0.2">
      <c r="B403" s="38"/>
      <c r="C403" s="40"/>
      <c r="D403" s="40"/>
      <c r="E403" s="40"/>
      <c r="F403" s="40"/>
      <c r="G403" s="40"/>
      <c r="H403" s="40"/>
      <c r="I403" s="40"/>
      <c r="J403" s="40"/>
      <c r="K403" s="41"/>
    </row>
    <row r="404" spans="2:11" x14ac:dyDescent="0.2">
      <c r="B404" s="38"/>
      <c r="C404" s="179" t="s">
        <v>890</v>
      </c>
      <c r="D404" s="40"/>
      <c r="E404" s="40"/>
      <c r="F404" s="40"/>
      <c r="G404" s="40"/>
      <c r="H404" s="40"/>
      <c r="I404" s="40"/>
      <c r="J404" s="245">
        <f>J395</f>
        <v>4</v>
      </c>
      <c r="K404" s="41"/>
    </row>
    <row r="405" spans="2:11" x14ac:dyDescent="0.2">
      <c r="B405" s="38"/>
      <c r="C405" s="40"/>
      <c r="D405" s="40"/>
      <c r="E405" s="40"/>
      <c r="F405" s="40"/>
      <c r="G405" s="40"/>
      <c r="H405" s="40"/>
      <c r="I405" s="40"/>
      <c r="J405" s="40"/>
      <c r="K405" s="41"/>
    </row>
    <row r="406" spans="2:11" x14ac:dyDescent="0.2">
      <c r="B406" s="38"/>
      <c r="C406" s="40"/>
      <c r="D406" s="40"/>
      <c r="E406" s="40"/>
      <c r="F406" s="40"/>
      <c r="G406" s="40"/>
      <c r="H406" s="40"/>
      <c r="I406" s="40"/>
      <c r="J406" s="40"/>
      <c r="K406" s="41"/>
    </row>
    <row r="407" spans="2:11" ht="16" x14ac:dyDescent="0.2">
      <c r="B407" s="38"/>
      <c r="C407" s="45" t="s">
        <v>861</v>
      </c>
      <c r="D407" s="40"/>
      <c r="E407" s="40"/>
      <c r="F407" s="40"/>
      <c r="G407" s="40"/>
      <c r="H407" s="40"/>
      <c r="I407" s="40"/>
      <c r="J407" s="40"/>
      <c r="K407" s="41"/>
    </row>
    <row r="408" spans="2:11" x14ac:dyDescent="0.2">
      <c r="B408" s="38"/>
      <c r="C408" s="40" t="s">
        <v>298</v>
      </c>
      <c r="D408" s="40"/>
      <c r="E408" s="40"/>
      <c r="F408" s="40"/>
      <c r="G408" s="40"/>
      <c r="H408" s="40"/>
      <c r="I408" s="40"/>
      <c r="J408" s="269">
        <f>'Community Characteristics'!$H$111*0.38</f>
        <v>0</v>
      </c>
      <c r="K408" s="41"/>
    </row>
    <row r="409" spans="2:11" x14ac:dyDescent="0.2">
      <c r="B409" s="38"/>
      <c r="C409" s="40" t="s">
        <v>260</v>
      </c>
      <c r="D409" s="40"/>
      <c r="E409" s="40"/>
      <c r="F409" s="40"/>
      <c r="G409" s="40"/>
      <c r="H409" s="40"/>
      <c r="I409" s="40"/>
      <c r="J409" s="253">
        <f>IF(J408&lt;=0,0,IF(J408&lt;=(J161*0.01),1,IF(J408&lt;=(J161*0.05),2,IF(J408&lt;=(J161*0.1),3,4))))</f>
        <v>0</v>
      </c>
      <c r="K409" s="41"/>
    </row>
    <row r="410" spans="2:11" ht="9.75" customHeight="1" x14ac:dyDescent="0.2">
      <c r="B410" s="38"/>
      <c r="C410" s="279" t="str">
        <f>"0:"</f>
        <v>0:</v>
      </c>
      <c r="D410" s="278" t="s">
        <v>939</v>
      </c>
      <c r="E410" s="40"/>
      <c r="F410" s="40"/>
      <c r="G410" s="40"/>
      <c r="H410" s="40"/>
      <c r="I410" s="40"/>
      <c r="J410" s="282"/>
      <c r="K410" s="41"/>
    </row>
    <row r="411" spans="2:11" ht="9.75" customHeight="1" x14ac:dyDescent="0.2">
      <c r="B411" s="38"/>
      <c r="C411" s="280" t="str">
        <f>"1:"</f>
        <v>1:</v>
      </c>
      <c r="D411" s="278" t="s">
        <v>940</v>
      </c>
      <c r="E411" s="40"/>
      <c r="F411" s="40"/>
      <c r="G411" s="40"/>
      <c r="H411" s="40"/>
      <c r="I411" s="40"/>
      <c r="J411" s="282"/>
      <c r="K411" s="41"/>
    </row>
    <row r="412" spans="2:11" ht="9.75" customHeight="1" x14ac:dyDescent="0.2">
      <c r="B412" s="38"/>
      <c r="C412" s="280" t="str">
        <f>"2:"</f>
        <v>2:</v>
      </c>
      <c r="D412" s="278" t="s">
        <v>941</v>
      </c>
      <c r="E412" s="40"/>
      <c r="F412" s="40"/>
      <c r="G412" s="40"/>
      <c r="H412" s="40"/>
      <c r="I412" s="40"/>
      <c r="J412" s="282"/>
      <c r="K412" s="41"/>
    </row>
    <row r="413" spans="2:11" ht="9.75" customHeight="1" x14ac:dyDescent="0.2">
      <c r="B413" s="38"/>
      <c r="C413" s="280" t="str">
        <f>"3:"</f>
        <v>3:</v>
      </c>
      <c r="D413" s="278" t="s">
        <v>942</v>
      </c>
      <c r="E413" s="40"/>
      <c r="F413" s="40"/>
      <c r="G413" s="40"/>
      <c r="H413" s="40"/>
      <c r="I413" s="40"/>
      <c r="J413" s="282"/>
      <c r="K413" s="41"/>
    </row>
    <row r="414" spans="2:11" ht="9.75" customHeight="1" x14ac:dyDescent="0.2">
      <c r="B414" s="38"/>
      <c r="C414" s="280" t="str">
        <f>"4:"</f>
        <v>4:</v>
      </c>
      <c r="D414" s="278" t="s">
        <v>943</v>
      </c>
      <c r="E414" s="40"/>
      <c r="F414" s="40"/>
      <c r="G414" s="40"/>
      <c r="H414" s="40"/>
      <c r="I414" s="40"/>
      <c r="J414" s="40"/>
      <c r="K414" s="41"/>
    </row>
    <row r="415" spans="2:11" x14ac:dyDescent="0.2">
      <c r="B415" s="38"/>
      <c r="C415" s="40" t="s">
        <v>893</v>
      </c>
      <c r="D415" s="40"/>
      <c r="E415" s="40"/>
      <c r="F415" s="40"/>
      <c r="G415" s="40"/>
      <c r="H415" s="40"/>
      <c r="I415" s="40"/>
      <c r="J415" s="40"/>
      <c r="K415" s="41"/>
    </row>
    <row r="416" spans="2:11" ht="30" customHeight="1" x14ac:dyDescent="0.2">
      <c r="B416" s="38"/>
      <c r="C416" s="399" t="s">
        <v>547</v>
      </c>
      <c r="D416" s="400"/>
      <c r="E416" s="400"/>
      <c r="F416" s="400"/>
      <c r="G416" s="400"/>
      <c r="H416" s="400"/>
      <c r="I416" s="400"/>
      <c r="J416" s="401"/>
      <c r="K416" s="41"/>
    </row>
    <row r="417" spans="2:11" x14ac:dyDescent="0.2">
      <c r="B417" s="38"/>
      <c r="C417" s="40"/>
      <c r="D417" s="40"/>
      <c r="E417" s="40"/>
      <c r="F417" s="40"/>
      <c r="G417" s="40"/>
      <c r="H417" s="40"/>
      <c r="I417" s="40"/>
      <c r="J417" s="40"/>
      <c r="K417" s="41"/>
    </row>
    <row r="418" spans="2:11" x14ac:dyDescent="0.2">
      <c r="B418" s="38"/>
      <c r="C418" s="179" t="s">
        <v>891</v>
      </c>
      <c r="D418" s="40"/>
      <c r="E418" s="40"/>
      <c r="F418" s="40"/>
      <c r="G418" s="40"/>
      <c r="H418" s="40"/>
      <c r="I418" s="40"/>
      <c r="J418" s="245">
        <f>J409</f>
        <v>0</v>
      </c>
      <c r="K418" s="41"/>
    </row>
    <row r="419" spans="2:11" x14ac:dyDescent="0.2">
      <c r="B419" s="38"/>
      <c r="C419" s="40"/>
      <c r="D419" s="40"/>
      <c r="E419" s="40"/>
      <c r="F419" s="40"/>
      <c r="G419" s="40"/>
      <c r="H419" s="40"/>
      <c r="I419" s="40"/>
      <c r="J419" s="40"/>
      <c r="K419" s="41"/>
    </row>
    <row r="420" spans="2:11" ht="20" customHeight="1" x14ac:dyDescent="0.2">
      <c r="B420" s="38"/>
      <c r="C420" s="410" t="s">
        <v>881</v>
      </c>
      <c r="D420" s="410"/>
      <c r="E420" s="410"/>
      <c r="F420" s="410"/>
      <c r="G420" s="410"/>
      <c r="H420" s="410"/>
      <c r="I420" s="410"/>
      <c r="J420" s="40"/>
      <c r="K420" s="41"/>
    </row>
    <row r="421" spans="2:11" ht="20" customHeight="1" x14ac:dyDescent="0.2">
      <c r="B421" s="38"/>
      <c r="C421" s="410"/>
      <c r="D421" s="410"/>
      <c r="E421" s="410"/>
      <c r="F421" s="410"/>
      <c r="G421" s="410"/>
      <c r="H421" s="410"/>
      <c r="I421" s="410"/>
      <c r="J421" s="244">
        <f>IF(OR(J288="Not Calculated",J307="Not Calculated",J326="Not Calculated",J349="Not Calculated",J367="Not Calculated",J387="Not Calculated",J404="Not Calculated",J418="Not Calculated")=TRUE,"Not Calculated",AVERAGE(J288,J307,J326,J349,J367,J387,J404,J418))</f>
        <v>1.6875</v>
      </c>
      <c r="K421" s="41"/>
    </row>
    <row r="422" spans="2:11" ht="16" thickBot="1" x14ac:dyDescent="0.25">
      <c r="B422" s="46"/>
      <c r="C422" s="47"/>
      <c r="D422" s="47"/>
      <c r="E422" s="47"/>
      <c r="F422" s="47"/>
      <c r="G422" s="47"/>
      <c r="H422" s="47"/>
      <c r="I422" s="47"/>
      <c r="J422" s="47"/>
      <c r="K422" s="49"/>
    </row>
    <row r="423" spans="2:11" ht="16" thickBot="1" x14ac:dyDescent="0.25"/>
    <row r="424" spans="2:11" x14ac:dyDescent="0.2">
      <c r="B424" s="33"/>
      <c r="C424" s="34"/>
      <c r="D424" s="34"/>
      <c r="E424" s="34"/>
      <c r="F424" s="34"/>
      <c r="G424" s="34"/>
      <c r="H424" s="34"/>
      <c r="I424" s="34"/>
      <c r="J424" s="34"/>
      <c r="K424" s="37"/>
    </row>
    <row r="425" spans="2:11" ht="21" x14ac:dyDescent="0.25">
      <c r="B425" s="38"/>
      <c r="C425" s="40"/>
      <c r="D425" s="40"/>
      <c r="E425" s="40"/>
      <c r="F425" s="40"/>
      <c r="G425" s="172" t="s">
        <v>230</v>
      </c>
      <c r="H425" s="40"/>
      <c r="I425" s="40"/>
      <c r="J425" s="40"/>
      <c r="K425" s="41"/>
    </row>
    <row r="426" spans="2:11" x14ac:dyDescent="0.2">
      <c r="B426" s="38"/>
      <c r="C426" s="40"/>
      <c r="D426" s="40"/>
      <c r="E426" s="40"/>
      <c r="F426" s="40"/>
      <c r="G426" s="40"/>
      <c r="H426" s="40"/>
      <c r="I426" s="40"/>
      <c r="J426" s="40"/>
      <c r="K426" s="41"/>
    </row>
    <row r="427" spans="2:11" ht="16" x14ac:dyDescent="0.2">
      <c r="B427" s="38"/>
      <c r="C427" s="45" t="s">
        <v>299</v>
      </c>
      <c r="D427" s="40"/>
      <c r="E427" s="40"/>
      <c r="F427" s="40"/>
      <c r="G427" s="40"/>
      <c r="H427" s="40"/>
      <c r="I427" s="40"/>
      <c r="J427" s="40"/>
      <c r="K427" s="41"/>
    </row>
    <row r="428" spans="2:11" x14ac:dyDescent="0.2">
      <c r="B428" s="38"/>
      <c r="C428" s="40" t="s">
        <v>300</v>
      </c>
      <c r="D428" s="40"/>
      <c r="E428" s="40"/>
      <c r="F428" s="40"/>
      <c r="G428" s="40"/>
      <c r="H428" s="40"/>
      <c r="I428" s="40"/>
      <c r="J428" s="270">
        <v>0</v>
      </c>
      <c r="K428" s="41"/>
    </row>
    <row r="429" spans="2:11" x14ac:dyDescent="0.2">
      <c r="B429" s="38"/>
      <c r="C429" s="40" t="s">
        <v>260</v>
      </c>
      <c r="D429" s="40"/>
      <c r="E429" s="40"/>
      <c r="F429" s="40"/>
      <c r="G429" s="40"/>
      <c r="H429" s="40"/>
      <c r="I429" s="40"/>
      <c r="J429" s="248">
        <f>IF(J428&lt;=0,0,IF(J428&lt;=1,1,IF(J428&lt;=5,2,IF(J428&lt;=10,3,4))))</f>
        <v>0</v>
      </c>
      <c r="K429" s="41"/>
    </row>
    <row r="430" spans="2:11" s="98" customFormat="1" ht="9.75" customHeight="1" x14ac:dyDescent="0.2">
      <c r="B430" s="288"/>
      <c r="C430" s="279" t="str">
        <f>"0:"</f>
        <v>0:</v>
      </c>
      <c r="D430" s="290" t="s">
        <v>944</v>
      </c>
      <c r="E430" s="245"/>
      <c r="F430" s="245"/>
      <c r="G430" s="245"/>
      <c r="H430" s="245"/>
      <c r="I430" s="245"/>
      <c r="J430" s="245"/>
      <c r="K430" s="289"/>
    </row>
    <row r="431" spans="2:11" s="98" customFormat="1" ht="9.75" customHeight="1" x14ac:dyDescent="0.2">
      <c r="B431" s="288"/>
      <c r="C431" s="280" t="str">
        <f>"1:"</f>
        <v>1:</v>
      </c>
      <c r="D431" s="290" t="s">
        <v>945</v>
      </c>
      <c r="E431" s="245"/>
      <c r="F431" s="245"/>
      <c r="G431" s="245"/>
      <c r="H431" s="245"/>
      <c r="I431" s="245"/>
      <c r="J431" s="245"/>
      <c r="K431" s="289"/>
    </row>
    <row r="432" spans="2:11" s="98" customFormat="1" ht="9.75" customHeight="1" x14ac:dyDescent="0.2">
      <c r="B432" s="288"/>
      <c r="C432" s="280" t="str">
        <f>"2:"</f>
        <v>2:</v>
      </c>
      <c r="D432" s="290" t="s">
        <v>946</v>
      </c>
      <c r="E432" s="245"/>
      <c r="F432" s="245"/>
      <c r="G432" s="245"/>
      <c r="H432" s="245"/>
      <c r="I432" s="245"/>
      <c r="J432" s="245"/>
      <c r="K432" s="289"/>
    </row>
    <row r="433" spans="2:11" s="98" customFormat="1" ht="9.75" customHeight="1" x14ac:dyDescent="0.2">
      <c r="B433" s="288"/>
      <c r="C433" s="280" t="str">
        <f>"3:"</f>
        <v>3:</v>
      </c>
      <c r="D433" s="290" t="s">
        <v>947</v>
      </c>
      <c r="E433" s="245"/>
      <c r="F433" s="245"/>
      <c r="G433" s="245"/>
      <c r="H433" s="245"/>
      <c r="I433" s="245"/>
      <c r="J433" s="245"/>
      <c r="K433" s="289"/>
    </row>
    <row r="434" spans="2:11" s="98" customFormat="1" ht="9.75" customHeight="1" x14ac:dyDescent="0.2">
      <c r="B434" s="288"/>
      <c r="C434" s="280" t="str">
        <f>"4:"</f>
        <v>4:</v>
      </c>
      <c r="D434" s="290" t="s">
        <v>948</v>
      </c>
      <c r="E434" s="245"/>
      <c r="F434" s="245"/>
      <c r="G434" s="245"/>
      <c r="H434" s="245"/>
      <c r="I434" s="245"/>
      <c r="J434" s="247"/>
      <c r="K434" s="289"/>
    </row>
    <row r="435" spans="2:11" x14ac:dyDescent="0.2">
      <c r="B435" s="38"/>
      <c r="C435" s="40" t="s">
        <v>257</v>
      </c>
      <c r="D435" s="40"/>
      <c r="E435" s="40"/>
      <c r="F435" s="40"/>
      <c r="G435" s="40"/>
      <c r="H435" s="40"/>
      <c r="I435" s="40"/>
      <c r="J435" s="266" t="s">
        <v>870</v>
      </c>
      <c r="K435" s="41"/>
    </row>
    <row r="436" spans="2:11" x14ac:dyDescent="0.2">
      <c r="B436" s="38"/>
      <c r="C436" s="40" t="s">
        <v>261</v>
      </c>
      <c r="D436" s="40"/>
      <c r="E436" s="40"/>
      <c r="F436" s="40"/>
      <c r="G436" s="40"/>
      <c r="H436" s="40"/>
      <c r="I436" s="40"/>
      <c r="J436" s="245">
        <f>IF(J435=$B$973,$A$973,IF(J435=$B$974,$A$974,IF(J435=$B$975,$A$975,IF(J435=$B$976,$A$976,IF(J435=$B$977,$A$977,"Not Calculated")))))</f>
        <v>0</v>
      </c>
      <c r="K436" s="41"/>
    </row>
    <row r="437" spans="2:11" x14ac:dyDescent="0.2">
      <c r="B437" s="38"/>
      <c r="C437" s="40" t="s">
        <v>893</v>
      </c>
      <c r="D437" s="40"/>
      <c r="E437" s="40"/>
      <c r="F437" s="40"/>
      <c r="G437" s="40"/>
      <c r="H437" s="40"/>
      <c r="I437" s="40"/>
      <c r="J437" s="40"/>
      <c r="K437" s="41"/>
    </row>
    <row r="438" spans="2:11" ht="30" customHeight="1" x14ac:dyDescent="0.2">
      <c r="B438" s="38"/>
      <c r="C438" s="399"/>
      <c r="D438" s="400"/>
      <c r="E438" s="400"/>
      <c r="F438" s="400"/>
      <c r="G438" s="400"/>
      <c r="H438" s="400"/>
      <c r="I438" s="400"/>
      <c r="J438" s="401"/>
      <c r="K438" s="41"/>
    </row>
    <row r="439" spans="2:11" x14ac:dyDescent="0.2">
      <c r="B439" s="38"/>
      <c r="C439" s="40"/>
      <c r="D439" s="40"/>
      <c r="E439" s="40"/>
      <c r="F439" s="40"/>
      <c r="G439" s="40"/>
      <c r="H439" s="40"/>
      <c r="I439" s="40"/>
      <c r="J439" s="40"/>
      <c r="K439" s="41"/>
    </row>
    <row r="440" spans="2:11" x14ac:dyDescent="0.2">
      <c r="B440" s="38"/>
      <c r="C440" s="179" t="s">
        <v>301</v>
      </c>
      <c r="D440" s="40"/>
      <c r="E440" s="40"/>
      <c r="F440" s="40"/>
      <c r="G440" s="40"/>
      <c r="H440" s="40"/>
      <c r="I440" s="40"/>
      <c r="J440" s="245">
        <f>IF(OR(J429="Not Calculated",J436="Not Calculated")=TRUE,"Not Calculated",AVERAGE(J429,J436))</f>
        <v>0</v>
      </c>
      <c r="K440" s="41"/>
    </row>
    <row r="441" spans="2:11" x14ac:dyDescent="0.2">
      <c r="B441" s="38"/>
      <c r="C441" s="40"/>
      <c r="D441" s="40"/>
      <c r="E441" s="40"/>
      <c r="F441" s="40"/>
      <c r="G441" s="40"/>
      <c r="H441" s="40"/>
      <c r="I441" s="40"/>
      <c r="J441" s="40"/>
      <c r="K441" s="41"/>
    </row>
    <row r="442" spans="2:11" x14ac:dyDescent="0.2">
      <c r="B442" s="38"/>
      <c r="C442" s="40"/>
      <c r="D442" s="40"/>
      <c r="E442" s="40"/>
      <c r="F442" s="40"/>
      <c r="G442" s="40"/>
      <c r="H442" s="40"/>
      <c r="I442" s="40"/>
      <c r="J442" s="40"/>
      <c r="K442" s="41"/>
    </row>
    <row r="443" spans="2:11" ht="16" x14ac:dyDescent="0.2">
      <c r="B443" s="38"/>
      <c r="C443" s="45" t="s">
        <v>303</v>
      </c>
      <c r="D443" s="40"/>
      <c r="E443" s="40"/>
      <c r="F443" s="40"/>
      <c r="G443" s="40"/>
      <c r="H443" s="40"/>
      <c r="I443" s="40"/>
      <c r="J443" s="40"/>
      <c r="K443" s="41"/>
    </row>
    <row r="444" spans="2:11" ht="15" customHeight="1" x14ac:dyDescent="0.2">
      <c r="B444" s="38"/>
      <c r="C444" s="380" t="s">
        <v>305</v>
      </c>
      <c r="D444" s="380"/>
      <c r="E444" s="380"/>
      <c r="F444" s="380"/>
      <c r="G444" s="380"/>
      <c r="H444" s="380"/>
      <c r="I444" s="380"/>
      <c r="J444" s="40"/>
      <c r="K444" s="41"/>
    </row>
    <row r="445" spans="2:11" x14ac:dyDescent="0.2">
      <c r="B445" s="38"/>
      <c r="C445" s="380"/>
      <c r="D445" s="380"/>
      <c r="E445" s="380"/>
      <c r="F445" s="380"/>
      <c r="G445" s="380"/>
      <c r="H445" s="380"/>
      <c r="I445" s="380"/>
      <c r="J445" s="270">
        <v>0</v>
      </c>
      <c r="K445" s="41"/>
    </row>
    <row r="446" spans="2:11" x14ac:dyDescent="0.2">
      <c r="B446" s="38"/>
      <c r="C446" s="40" t="s">
        <v>260</v>
      </c>
      <c r="D446" s="40"/>
      <c r="E446" s="40"/>
      <c r="F446" s="40"/>
      <c r="G446" s="40"/>
      <c r="H446" s="40"/>
      <c r="I446" s="40"/>
      <c r="J446" s="248">
        <f>IF(J445&lt;=0,0,IF(J445&lt;=1,1,IF(J445&lt;=5,2,IF(J445&lt;=10,3,4))))</f>
        <v>0</v>
      </c>
      <c r="K446" s="41"/>
    </row>
    <row r="447" spans="2:11" ht="9.75" customHeight="1" x14ac:dyDescent="0.2">
      <c r="B447" s="38"/>
      <c r="C447" s="279" t="str">
        <f>"0:"</f>
        <v>0:</v>
      </c>
      <c r="D447" s="278" t="s">
        <v>944</v>
      </c>
      <c r="E447" s="40"/>
      <c r="F447" s="40"/>
      <c r="G447" s="40"/>
      <c r="H447" s="40"/>
      <c r="I447" s="40"/>
      <c r="J447" s="245"/>
      <c r="K447" s="41"/>
    </row>
    <row r="448" spans="2:11" ht="9.75" customHeight="1" x14ac:dyDescent="0.2">
      <c r="B448" s="38"/>
      <c r="C448" s="280" t="str">
        <f>"1:"</f>
        <v>1:</v>
      </c>
      <c r="D448" s="278" t="s">
        <v>945</v>
      </c>
      <c r="E448" s="40"/>
      <c r="F448" s="40"/>
      <c r="G448" s="40"/>
      <c r="H448" s="40"/>
      <c r="I448" s="40"/>
      <c r="J448" s="245"/>
      <c r="K448" s="41"/>
    </row>
    <row r="449" spans="2:11" ht="9.75" customHeight="1" x14ac:dyDescent="0.2">
      <c r="B449" s="38"/>
      <c r="C449" s="280" t="str">
        <f>"2:"</f>
        <v>2:</v>
      </c>
      <c r="D449" s="278" t="s">
        <v>946</v>
      </c>
      <c r="E449" s="40"/>
      <c r="F449" s="40"/>
      <c r="G449" s="40"/>
      <c r="H449" s="40"/>
      <c r="I449" s="40"/>
      <c r="J449" s="245"/>
      <c r="K449" s="41"/>
    </row>
    <row r="450" spans="2:11" ht="9.75" customHeight="1" x14ac:dyDescent="0.2">
      <c r="B450" s="38"/>
      <c r="C450" s="280" t="str">
        <f>"3:"</f>
        <v>3:</v>
      </c>
      <c r="D450" s="278" t="s">
        <v>947</v>
      </c>
      <c r="E450" s="40"/>
      <c r="F450" s="40"/>
      <c r="G450" s="40"/>
      <c r="H450" s="40"/>
      <c r="I450" s="40"/>
      <c r="J450" s="245"/>
      <c r="K450" s="41"/>
    </row>
    <row r="451" spans="2:11" ht="9.75" customHeight="1" x14ac:dyDescent="0.2">
      <c r="B451" s="38"/>
      <c r="C451" s="280" t="str">
        <f>"4:"</f>
        <v>4:</v>
      </c>
      <c r="D451" s="278" t="s">
        <v>948</v>
      </c>
      <c r="E451" s="40"/>
      <c r="F451" s="40"/>
      <c r="G451" s="40"/>
      <c r="H451" s="40"/>
      <c r="I451" s="40"/>
      <c r="J451" s="247"/>
      <c r="K451" s="41"/>
    </row>
    <row r="452" spans="2:11" x14ac:dyDescent="0.2">
      <c r="B452" s="38"/>
      <c r="C452" s="40" t="s">
        <v>257</v>
      </c>
      <c r="D452" s="40"/>
      <c r="E452" s="40"/>
      <c r="F452" s="40"/>
      <c r="G452" s="40"/>
      <c r="H452" s="40"/>
      <c r="I452" s="40"/>
      <c r="J452" s="266" t="s">
        <v>870</v>
      </c>
      <c r="K452" s="41"/>
    </row>
    <row r="453" spans="2:11" x14ac:dyDescent="0.2">
      <c r="B453" s="38"/>
      <c r="C453" s="40" t="s">
        <v>261</v>
      </c>
      <c r="D453" s="40"/>
      <c r="E453" s="40"/>
      <c r="F453" s="40"/>
      <c r="G453" s="40"/>
      <c r="H453" s="40"/>
      <c r="I453" s="40"/>
      <c r="J453" s="245">
        <f>IF(J452=$B$973,$A$973,IF(J452=$B$974,$A$974,IF(J452=$B$975,$A$975,IF(J452=$B$976,$A$976,IF(J452=$B$977,$A$977,"Not Calculated")))))</f>
        <v>0</v>
      </c>
      <c r="K453" s="41"/>
    </row>
    <row r="454" spans="2:11" x14ac:dyDescent="0.2">
      <c r="B454" s="38"/>
      <c r="C454" s="40" t="s">
        <v>893</v>
      </c>
      <c r="D454" s="40"/>
      <c r="E454" s="40"/>
      <c r="F454" s="40"/>
      <c r="G454" s="40"/>
      <c r="H454" s="40"/>
      <c r="I454" s="40"/>
      <c r="J454" s="40"/>
      <c r="K454" s="41"/>
    </row>
    <row r="455" spans="2:11" ht="30" customHeight="1" x14ac:dyDescent="0.2">
      <c r="B455" s="38"/>
      <c r="C455" s="399"/>
      <c r="D455" s="400"/>
      <c r="E455" s="400"/>
      <c r="F455" s="400"/>
      <c r="G455" s="400"/>
      <c r="H455" s="400"/>
      <c r="I455" s="400"/>
      <c r="J455" s="401"/>
      <c r="K455" s="41"/>
    </row>
    <row r="456" spans="2:11" x14ac:dyDescent="0.2">
      <c r="B456" s="38"/>
      <c r="C456" s="40"/>
      <c r="D456" s="40"/>
      <c r="E456" s="40"/>
      <c r="F456" s="40"/>
      <c r="G456" s="40"/>
      <c r="H456" s="40"/>
      <c r="I456" s="40"/>
      <c r="J456" s="40"/>
      <c r="K456" s="41"/>
    </row>
    <row r="457" spans="2:11" x14ac:dyDescent="0.2">
      <c r="B457" s="38"/>
      <c r="C457" s="179" t="s">
        <v>304</v>
      </c>
      <c r="D457" s="40"/>
      <c r="E457" s="40"/>
      <c r="F457" s="40"/>
      <c r="G457" s="40"/>
      <c r="H457" s="40"/>
      <c r="I457" s="40"/>
      <c r="J457" s="245">
        <f>IF(OR(J446="Not Calculated",J453="Not Calculated")=TRUE,"Not Calculated",AVERAGE(J446,J453))</f>
        <v>0</v>
      </c>
      <c r="K457" s="41"/>
    </row>
    <row r="458" spans="2:11" x14ac:dyDescent="0.2">
      <c r="B458" s="38"/>
      <c r="C458" s="40"/>
      <c r="D458" s="40"/>
      <c r="E458" s="40"/>
      <c r="F458" s="40"/>
      <c r="G458" s="40"/>
      <c r="H458" s="40"/>
      <c r="I458" s="40"/>
      <c r="J458" s="40"/>
      <c r="K458" s="41"/>
    </row>
    <row r="459" spans="2:11" x14ac:dyDescent="0.2">
      <c r="B459" s="38"/>
      <c r="C459" s="40"/>
      <c r="D459" s="40"/>
      <c r="E459" s="40"/>
      <c r="F459" s="40"/>
      <c r="G459" s="40"/>
      <c r="H459" s="40"/>
      <c r="I459" s="40"/>
      <c r="J459" s="40"/>
      <c r="K459" s="41"/>
    </row>
    <row r="460" spans="2:11" ht="16" x14ac:dyDescent="0.2">
      <c r="B460" s="38"/>
      <c r="C460" s="45" t="s">
        <v>306</v>
      </c>
      <c r="D460" s="40"/>
      <c r="E460" s="40"/>
      <c r="F460" s="40"/>
      <c r="G460" s="40"/>
      <c r="H460" s="40"/>
      <c r="I460" s="40"/>
      <c r="J460" s="40"/>
      <c r="K460" s="41"/>
    </row>
    <row r="461" spans="2:11" x14ac:dyDescent="0.2">
      <c r="B461" s="38"/>
      <c r="C461" s="40" t="s">
        <v>949</v>
      </c>
      <c r="D461" s="40"/>
      <c r="E461" s="40"/>
      <c r="F461" s="40"/>
      <c r="G461" s="40"/>
      <c r="H461" s="40"/>
      <c r="I461" s="40"/>
      <c r="J461" s="270">
        <v>0</v>
      </c>
      <c r="K461" s="41"/>
    </row>
    <row r="462" spans="2:11" x14ac:dyDescent="0.2">
      <c r="B462" s="38"/>
      <c r="C462" s="40" t="s">
        <v>260</v>
      </c>
      <c r="D462" s="40"/>
      <c r="E462" s="40"/>
      <c r="F462" s="40"/>
      <c r="G462" s="40"/>
      <c r="H462" s="40"/>
      <c r="I462" s="40"/>
      <c r="J462" s="248">
        <f>IF(J461&lt;=0,0,IF(J461&lt;=1,1,IF(J461&lt;=5,2,IF(J461&lt;=10,3,4))))</f>
        <v>0</v>
      </c>
      <c r="K462" s="41"/>
    </row>
    <row r="463" spans="2:11" ht="9.75" customHeight="1" x14ac:dyDescent="0.2">
      <c r="B463" s="38"/>
      <c r="C463" s="279" t="str">
        <f>"0:"</f>
        <v>0:</v>
      </c>
      <c r="D463" s="290" t="s">
        <v>944</v>
      </c>
      <c r="E463" s="40"/>
      <c r="F463" s="40"/>
      <c r="G463" s="40"/>
      <c r="H463" s="40"/>
      <c r="I463" s="40"/>
      <c r="J463" s="245"/>
      <c r="K463" s="41"/>
    </row>
    <row r="464" spans="2:11" ht="9.75" customHeight="1" x14ac:dyDescent="0.2">
      <c r="B464" s="38"/>
      <c r="C464" s="280" t="str">
        <f>"1:"</f>
        <v>1:</v>
      </c>
      <c r="D464" s="290" t="s">
        <v>945</v>
      </c>
      <c r="E464" s="40"/>
      <c r="F464" s="40"/>
      <c r="G464" s="40"/>
      <c r="H464" s="40"/>
      <c r="I464" s="40"/>
      <c r="J464" s="245"/>
      <c r="K464" s="41"/>
    </row>
    <row r="465" spans="2:11" ht="9.75" customHeight="1" x14ac:dyDescent="0.2">
      <c r="B465" s="38"/>
      <c r="C465" s="280" t="str">
        <f>"2:"</f>
        <v>2:</v>
      </c>
      <c r="D465" s="290" t="s">
        <v>946</v>
      </c>
      <c r="E465" s="40"/>
      <c r="F465" s="40"/>
      <c r="G465" s="40"/>
      <c r="H465" s="40"/>
      <c r="I465" s="40"/>
      <c r="J465" s="245"/>
      <c r="K465" s="41"/>
    </row>
    <row r="466" spans="2:11" ht="9.75" customHeight="1" x14ac:dyDescent="0.2">
      <c r="B466" s="38"/>
      <c r="C466" s="280" t="str">
        <f>"3:"</f>
        <v>3:</v>
      </c>
      <c r="D466" s="290" t="s">
        <v>947</v>
      </c>
      <c r="E466" s="40"/>
      <c r="F466" s="40"/>
      <c r="G466" s="40"/>
      <c r="H466" s="40"/>
      <c r="I466" s="40"/>
      <c r="J466" s="245"/>
      <c r="K466" s="41"/>
    </row>
    <row r="467" spans="2:11" ht="9.75" customHeight="1" x14ac:dyDescent="0.2">
      <c r="B467" s="38"/>
      <c r="C467" s="280" t="str">
        <f>"4:"</f>
        <v>4:</v>
      </c>
      <c r="D467" s="290" t="s">
        <v>948</v>
      </c>
      <c r="E467" s="40"/>
      <c r="F467" s="40"/>
      <c r="G467" s="40"/>
      <c r="H467" s="40"/>
      <c r="I467" s="40"/>
      <c r="J467" s="247"/>
      <c r="K467" s="41"/>
    </row>
    <row r="468" spans="2:11" x14ac:dyDescent="0.2">
      <c r="B468" s="38"/>
      <c r="C468" s="40" t="s">
        <v>257</v>
      </c>
      <c r="D468" s="40"/>
      <c r="E468" s="40"/>
      <c r="F468" s="40"/>
      <c r="G468" s="40"/>
      <c r="H468" s="40"/>
      <c r="I468" s="40"/>
      <c r="J468" s="266" t="s">
        <v>870</v>
      </c>
      <c r="K468" s="41"/>
    </row>
    <row r="469" spans="2:11" ht="15" customHeight="1" x14ac:dyDescent="0.2">
      <c r="B469" s="38"/>
      <c r="C469" s="40" t="s">
        <v>261</v>
      </c>
      <c r="D469" s="40"/>
      <c r="E469" s="40"/>
      <c r="F469" s="40"/>
      <c r="G469" s="40"/>
      <c r="H469" s="40"/>
      <c r="I469" s="40"/>
      <c r="J469" s="245">
        <f>IF(J468=$B$973,$A$973,IF(J468=$B$974,$A$974,IF(J468=$B$975,$A$975,IF(J468=$B$976,$A$976,IF(J468=$B$977,$A$977,"Not Calculated")))))</f>
        <v>0</v>
      </c>
      <c r="K469" s="41"/>
    </row>
    <row r="470" spans="2:11" x14ac:dyDescent="0.2">
      <c r="B470" s="38"/>
      <c r="C470" s="40" t="s">
        <v>893</v>
      </c>
      <c r="D470" s="40"/>
      <c r="E470" s="40"/>
      <c r="F470" s="40"/>
      <c r="G470" s="40"/>
      <c r="H470" s="40"/>
      <c r="I470" s="40"/>
      <c r="J470" s="40"/>
      <c r="K470" s="41"/>
    </row>
    <row r="471" spans="2:11" ht="30" customHeight="1" x14ac:dyDescent="0.2">
      <c r="B471" s="38"/>
      <c r="C471" s="399"/>
      <c r="D471" s="400"/>
      <c r="E471" s="400"/>
      <c r="F471" s="400"/>
      <c r="G471" s="400"/>
      <c r="H471" s="400"/>
      <c r="I471" s="400"/>
      <c r="J471" s="401"/>
      <c r="K471" s="41"/>
    </row>
    <row r="472" spans="2:11" x14ac:dyDescent="0.2">
      <c r="B472" s="38"/>
      <c r="C472" s="40"/>
      <c r="D472" s="40"/>
      <c r="E472" s="40"/>
      <c r="F472" s="40"/>
      <c r="G472" s="40"/>
      <c r="H472" s="40"/>
      <c r="I472" s="40"/>
      <c r="J472" s="40"/>
      <c r="K472" s="41"/>
    </row>
    <row r="473" spans="2:11" x14ac:dyDescent="0.2">
      <c r="B473" s="38"/>
      <c r="C473" s="179" t="s">
        <v>307</v>
      </c>
      <c r="D473" s="40"/>
      <c r="E473" s="40"/>
      <c r="F473" s="40"/>
      <c r="G473" s="40"/>
      <c r="H473" s="40"/>
      <c r="I473" s="40"/>
      <c r="J473" s="245">
        <f>IF(OR(J462="Not Calculated",J469="Not Calculated")=TRUE,"Not Calculated",AVERAGE(J462,J469))</f>
        <v>0</v>
      </c>
      <c r="K473" s="41"/>
    </row>
    <row r="474" spans="2:11" x14ac:dyDescent="0.2">
      <c r="B474" s="38"/>
      <c r="C474" s="40"/>
      <c r="D474" s="40"/>
      <c r="E474" s="40"/>
      <c r="F474" s="40"/>
      <c r="G474" s="40"/>
      <c r="H474" s="40"/>
      <c r="I474" s="40"/>
      <c r="J474" s="40"/>
      <c r="K474" s="41"/>
    </row>
    <row r="475" spans="2:11" x14ac:dyDescent="0.2">
      <c r="B475" s="38"/>
      <c r="C475" s="40"/>
      <c r="D475" s="40"/>
      <c r="E475" s="40"/>
      <c r="F475" s="40"/>
      <c r="G475" s="40"/>
      <c r="H475" s="40"/>
      <c r="I475" s="40"/>
      <c r="J475" s="40"/>
      <c r="K475" s="41"/>
    </row>
    <row r="476" spans="2:11" ht="16" x14ac:dyDescent="0.2">
      <c r="B476" s="38"/>
      <c r="C476" s="45" t="s">
        <v>308</v>
      </c>
      <c r="D476" s="40"/>
      <c r="E476" s="40"/>
      <c r="F476" s="40"/>
      <c r="G476" s="40"/>
      <c r="H476" s="40"/>
      <c r="I476" s="40"/>
      <c r="J476" s="40"/>
      <c r="K476" s="41"/>
    </row>
    <row r="477" spans="2:11" ht="15" customHeight="1" x14ac:dyDescent="0.2">
      <c r="B477" s="38"/>
      <c r="C477" s="380" t="s">
        <v>310</v>
      </c>
      <c r="D477" s="380"/>
      <c r="E477" s="380"/>
      <c r="F477" s="380"/>
      <c r="G477" s="380"/>
      <c r="H477" s="380"/>
      <c r="I477" s="380"/>
      <c r="J477" s="40"/>
      <c r="K477" s="41"/>
    </row>
    <row r="478" spans="2:11" x14ac:dyDescent="0.2">
      <c r="B478" s="38"/>
      <c r="C478" s="380"/>
      <c r="D478" s="380"/>
      <c r="E478" s="380"/>
      <c r="F478" s="380"/>
      <c r="G478" s="380"/>
      <c r="H478" s="380"/>
      <c r="I478" s="380"/>
      <c r="J478" s="131">
        <v>30</v>
      </c>
      <c r="K478" s="41"/>
    </row>
    <row r="479" spans="2:11" x14ac:dyDescent="0.2">
      <c r="B479" s="38"/>
      <c r="C479" s="40" t="s">
        <v>261</v>
      </c>
      <c r="D479" s="40"/>
      <c r="E479" s="40"/>
      <c r="F479" s="40"/>
      <c r="G479" s="40"/>
      <c r="H479" s="40"/>
      <c r="I479" s="40"/>
      <c r="J479" s="245">
        <f>IF(J478&lt;=0,0,IF(J478&lt;=1,1,IF(J478&lt;=7,2,IF(J478&lt;=14,3,4))))</f>
        <v>4</v>
      </c>
      <c r="K479" s="41"/>
    </row>
    <row r="480" spans="2:11" s="51" customFormat="1" ht="9.75" customHeight="1" x14ac:dyDescent="0.2">
      <c r="B480" s="283"/>
      <c r="C480" s="279" t="str">
        <f>"0:"</f>
        <v>0:</v>
      </c>
      <c r="D480" s="284" t="s">
        <v>950</v>
      </c>
      <c r="E480" s="285"/>
      <c r="F480" s="285"/>
      <c r="G480" s="285"/>
      <c r="H480" s="285"/>
      <c r="I480" s="285"/>
      <c r="J480" s="43"/>
      <c r="K480" s="286"/>
    </row>
    <row r="481" spans="2:11" s="51" customFormat="1" ht="9.75" customHeight="1" x14ac:dyDescent="0.2">
      <c r="B481" s="283"/>
      <c r="C481" s="280" t="str">
        <f>"1:"</f>
        <v>1:</v>
      </c>
      <c r="D481" s="284" t="s">
        <v>951</v>
      </c>
      <c r="E481" s="285"/>
      <c r="F481" s="285"/>
      <c r="G481" s="285"/>
      <c r="H481" s="285"/>
      <c r="I481" s="285"/>
      <c r="J481" s="43"/>
      <c r="K481" s="286"/>
    </row>
    <row r="482" spans="2:11" s="51" customFormat="1" ht="9.75" customHeight="1" x14ac:dyDescent="0.2">
      <c r="B482" s="283"/>
      <c r="C482" s="280" t="str">
        <f>"2:"</f>
        <v>2:</v>
      </c>
      <c r="D482" s="284" t="s">
        <v>952</v>
      </c>
      <c r="E482" s="285"/>
      <c r="F482" s="285"/>
      <c r="G482" s="285"/>
      <c r="H482" s="285"/>
      <c r="I482" s="285"/>
      <c r="J482" s="43"/>
      <c r="K482" s="286"/>
    </row>
    <row r="483" spans="2:11" s="51" customFormat="1" ht="9.75" customHeight="1" x14ac:dyDescent="0.2">
      <c r="B483" s="283"/>
      <c r="C483" s="280" t="str">
        <f>"3:"</f>
        <v>3:</v>
      </c>
      <c r="D483" s="284" t="s">
        <v>953</v>
      </c>
      <c r="E483" s="285"/>
      <c r="F483" s="285"/>
      <c r="G483" s="285"/>
      <c r="H483" s="285"/>
      <c r="I483" s="285"/>
      <c r="J483" s="43"/>
      <c r="K483" s="286"/>
    </row>
    <row r="484" spans="2:11" s="51" customFormat="1" ht="9.75" customHeight="1" x14ac:dyDescent="0.2">
      <c r="B484" s="283"/>
      <c r="C484" s="280" t="str">
        <f>"4:"</f>
        <v>4:</v>
      </c>
      <c r="D484" s="284" t="s">
        <v>954</v>
      </c>
      <c r="E484" s="285"/>
      <c r="F484" s="285"/>
      <c r="G484" s="285"/>
      <c r="H484" s="285"/>
      <c r="I484" s="285"/>
      <c r="J484" s="43"/>
      <c r="K484" s="286"/>
    </row>
    <row r="485" spans="2:11" x14ac:dyDescent="0.2">
      <c r="B485" s="38"/>
      <c r="C485" s="40" t="s">
        <v>893</v>
      </c>
      <c r="D485" s="40"/>
      <c r="E485" s="40"/>
      <c r="F485" s="40"/>
      <c r="G485" s="40"/>
      <c r="H485" s="40"/>
      <c r="I485" s="40"/>
      <c r="J485" s="40"/>
      <c r="K485" s="41"/>
    </row>
    <row r="486" spans="2:11" ht="30" customHeight="1" x14ac:dyDescent="0.2">
      <c r="B486" s="38"/>
      <c r="C486" s="399" t="s">
        <v>548</v>
      </c>
      <c r="D486" s="400"/>
      <c r="E486" s="400"/>
      <c r="F486" s="400"/>
      <c r="G486" s="400"/>
      <c r="H486" s="400"/>
      <c r="I486" s="400"/>
      <c r="J486" s="401"/>
      <c r="K486" s="41"/>
    </row>
    <row r="487" spans="2:11" x14ac:dyDescent="0.2">
      <c r="B487" s="38"/>
      <c r="C487" s="40"/>
      <c r="D487" s="40"/>
      <c r="E487" s="40"/>
      <c r="F487" s="40"/>
      <c r="G487" s="40"/>
      <c r="H487" s="40"/>
      <c r="I487" s="40"/>
      <c r="J487" s="40"/>
      <c r="K487" s="41"/>
    </row>
    <row r="488" spans="2:11" x14ac:dyDescent="0.2">
      <c r="B488" s="38"/>
      <c r="C488" s="179" t="s">
        <v>309</v>
      </c>
      <c r="D488" s="40"/>
      <c r="E488" s="40"/>
      <c r="F488" s="40"/>
      <c r="G488" s="40"/>
      <c r="H488" s="40"/>
      <c r="I488" s="40"/>
      <c r="J488" s="245">
        <f>J479</f>
        <v>4</v>
      </c>
      <c r="K488" s="41"/>
    </row>
    <row r="489" spans="2:11" x14ac:dyDescent="0.2">
      <c r="B489" s="38"/>
      <c r="C489" s="40"/>
      <c r="D489" s="40"/>
      <c r="E489" s="40"/>
      <c r="F489" s="40"/>
      <c r="G489" s="40"/>
      <c r="H489" s="40"/>
      <c r="I489" s="40"/>
      <c r="J489" s="40"/>
      <c r="K489" s="41"/>
    </row>
    <row r="490" spans="2:11" x14ac:dyDescent="0.2">
      <c r="B490" s="38"/>
      <c r="C490" s="40"/>
      <c r="D490" s="40"/>
      <c r="E490" s="40"/>
      <c r="F490" s="40"/>
      <c r="G490" s="40"/>
      <c r="H490" s="40"/>
      <c r="I490" s="40"/>
      <c r="J490" s="40"/>
      <c r="K490" s="41"/>
    </row>
    <row r="491" spans="2:11" ht="16" x14ac:dyDescent="0.2">
      <c r="B491" s="38"/>
      <c r="C491" s="45" t="s">
        <v>311</v>
      </c>
      <c r="D491" s="40"/>
      <c r="E491" s="40"/>
      <c r="F491" s="40"/>
      <c r="G491" s="40"/>
      <c r="H491" s="40"/>
      <c r="I491" s="40"/>
      <c r="J491" s="40"/>
      <c r="K491" s="41"/>
    </row>
    <row r="492" spans="2:11" x14ac:dyDescent="0.2">
      <c r="B492" s="38"/>
      <c r="C492" s="40" t="s">
        <v>312</v>
      </c>
      <c r="D492" s="40"/>
      <c r="E492" s="40"/>
      <c r="F492" s="40"/>
      <c r="G492" s="40"/>
      <c r="H492" s="40"/>
      <c r="I492" s="40"/>
      <c r="J492" s="270">
        <v>5</v>
      </c>
      <c r="K492" s="41"/>
    </row>
    <row r="493" spans="2:11" x14ac:dyDescent="0.2">
      <c r="B493" s="38"/>
      <c r="C493" s="40" t="s">
        <v>260</v>
      </c>
      <c r="D493" s="40"/>
      <c r="E493" s="40"/>
      <c r="F493" s="40"/>
      <c r="G493" s="40"/>
      <c r="H493" s="40"/>
      <c r="I493" s="40"/>
      <c r="J493" s="248">
        <f>IF(J492&lt;=0,0,IF(J492&lt;=1,1,IF(J492&lt;=5,2,IF(J492&lt;=10,3,4))))</f>
        <v>2</v>
      </c>
      <c r="K493" s="41"/>
    </row>
    <row r="494" spans="2:11" ht="9.75" customHeight="1" x14ac:dyDescent="0.2">
      <c r="B494" s="38"/>
      <c r="C494" s="279" t="str">
        <f>"0:"</f>
        <v>0:</v>
      </c>
      <c r="D494" s="290" t="s">
        <v>955</v>
      </c>
      <c r="E494" s="40"/>
      <c r="F494" s="40"/>
      <c r="G494" s="40"/>
      <c r="H494" s="40"/>
      <c r="I494" s="40"/>
      <c r="J494" s="245"/>
      <c r="K494" s="41"/>
    </row>
    <row r="495" spans="2:11" ht="9.75" customHeight="1" x14ac:dyDescent="0.2">
      <c r="B495" s="38"/>
      <c r="C495" s="280" t="str">
        <f>"1:"</f>
        <v>1:</v>
      </c>
      <c r="D495" s="290" t="s">
        <v>956</v>
      </c>
      <c r="E495" s="40"/>
      <c r="F495" s="40"/>
      <c r="G495" s="40"/>
      <c r="H495" s="40"/>
      <c r="I495" s="40"/>
      <c r="J495" s="245"/>
      <c r="K495" s="41"/>
    </row>
    <row r="496" spans="2:11" ht="9.75" customHeight="1" x14ac:dyDescent="0.2">
      <c r="B496" s="38"/>
      <c r="C496" s="280" t="str">
        <f>"2:"</f>
        <v>2:</v>
      </c>
      <c r="D496" s="290" t="s">
        <v>957</v>
      </c>
      <c r="E496" s="40"/>
      <c r="F496" s="40"/>
      <c r="G496" s="40"/>
      <c r="H496" s="40"/>
      <c r="I496" s="40"/>
      <c r="J496" s="245"/>
      <c r="K496" s="41"/>
    </row>
    <row r="497" spans="2:11" ht="9.75" customHeight="1" x14ac:dyDescent="0.2">
      <c r="B497" s="38"/>
      <c r="C497" s="280" t="str">
        <f>"3:"</f>
        <v>3:</v>
      </c>
      <c r="D497" s="290" t="s">
        <v>958</v>
      </c>
      <c r="E497" s="40"/>
      <c r="F497" s="40"/>
      <c r="G497" s="40"/>
      <c r="H497" s="40"/>
      <c r="I497" s="40"/>
      <c r="J497" s="245"/>
      <c r="K497" s="41"/>
    </row>
    <row r="498" spans="2:11" ht="9.75" customHeight="1" x14ac:dyDescent="0.2">
      <c r="B498" s="38"/>
      <c r="C498" s="280" t="str">
        <f>"4:"</f>
        <v>4:</v>
      </c>
      <c r="D498" s="290" t="s">
        <v>959</v>
      </c>
      <c r="E498" s="40"/>
      <c r="F498" s="40"/>
      <c r="G498" s="40"/>
      <c r="H498" s="40"/>
      <c r="I498" s="40"/>
      <c r="J498" s="247"/>
      <c r="K498" s="41"/>
    </row>
    <row r="499" spans="2:11" x14ac:dyDescent="0.2">
      <c r="B499" s="38"/>
      <c r="C499" s="40" t="s">
        <v>313</v>
      </c>
      <c r="D499" s="40"/>
      <c r="E499" s="40"/>
      <c r="F499" s="40"/>
      <c r="G499" s="40"/>
      <c r="H499" s="40"/>
      <c r="I499" s="40"/>
      <c r="J499" s="266" t="s">
        <v>874</v>
      </c>
      <c r="K499" s="41"/>
    </row>
    <row r="500" spans="2:11" x14ac:dyDescent="0.2">
      <c r="B500" s="38"/>
      <c r="C500" s="40" t="s">
        <v>261</v>
      </c>
      <c r="D500" s="40"/>
      <c r="E500" s="40"/>
      <c r="F500" s="40"/>
      <c r="G500" s="40"/>
      <c r="H500" s="40"/>
      <c r="I500" s="40"/>
      <c r="J500" s="245">
        <f>IF(J499=$B$973,$A$973,IF(J499=$B$974,$A$974,IF(J499=$B$975,$A$975,IF(J499=$B$976,$A$976,IF(J499=$B$977,$A$977,"Not Calculated")))))</f>
        <v>4</v>
      </c>
      <c r="K500" s="41"/>
    </row>
    <row r="501" spans="2:11" x14ac:dyDescent="0.2">
      <c r="B501" s="38"/>
      <c r="C501" s="40" t="s">
        <v>893</v>
      </c>
      <c r="D501" s="40"/>
      <c r="E501" s="40"/>
      <c r="F501" s="40"/>
      <c r="G501" s="40"/>
      <c r="H501" s="40"/>
      <c r="I501" s="40"/>
      <c r="J501" s="40"/>
      <c r="K501" s="41"/>
    </row>
    <row r="502" spans="2:11" ht="30" customHeight="1" x14ac:dyDescent="0.2">
      <c r="B502" s="38"/>
      <c r="C502" s="399" t="s">
        <v>549</v>
      </c>
      <c r="D502" s="400"/>
      <c r="E502" s="400"/>
      <c r="F502" s="400"/>
      <c r="G502" s="400"/>
      <c r="H502" s="400"/>
      <c r="I502" s="400"/>
      <c r="J502" s="401"/>
      <c r="K502" s="41"/>
    </row>
    <row r="503" spans="2:11" x14ac:dyDescent="0.2">
      <c r="B503" s="38"/>
      <c r="C503" s="40"/>
      <c r="D503" s="40"/>
      <c r="E503" s="40"/>
      <c r="F503" s="40"/>
      <c r="G503" s="40"/>
      <c r="H503" s="40"/>
      <c r="I503" s="40"/>
      <c r="J503" s="40"/>
      <c r="K503" s="41"/>
    </row>
    <row r="504" spans="2:11" x14ac:dyDescent="0.2">
      <c r="B504" s="38"/>
      <c r="C504" s="179" t="s">
        <v>321</v>
      </c>
      <c r="D504" s="40"/>
      <c r="E504" s="40"/>
      <c r="F504" s="40"/>
      <c r="G504" s="40"/>
      <c r="H504" s="40"/>
      <c r="I504" s="40"/>
      <c r="J504" s="245">
        <f>IF(OR(J493="Not Calculated",J500="Not Calculated")=TRUE,"Not Calculated",AVERAGE(J493,J500))</f>
        <v>3</v>
      </c>
      <c r="K504" s="41"/>
    </row>
    <row r="505" spans="2:11" x14ac:dyDescent="0.2">
      <c r="B505" s="38"/>
      <c r="C505" s="40"/>
      <c r="D505" s="40"/>
      <c r="E505" s="40"/>
      <c r="F505" s="40"/>
      <c r="G505" s="40"/>
      <c r="H505" s="40"/>
      <c r="I505" s="40"/>
      <c r="J505" s="40"/>
      <c r="K505" s="41"/>
    </row>
    <row r="506" spans="2:11" x14ac:dyDescent="0.2">
      <c r="B506" s="38"/>
      <c r="C506" s="40"/>
      <c r="D506" s="40"/>
      <c r="E506" s="40"/>
      <c r="F506" s="40"/>
      <c r="G506" s="40"/>
      <c r="H506" s="40"/>
      <c r="I506" s="40"/>
      <c r="J506" s="40"/>
      <c r="K506" s="41"/>
    </row>
    <row r="507" spans="2:11" ht="16" x14ac:dyDescent="0.2">
      <c r="B507" s="38"/>
      <c r="C507" s="45" t="s">
        <v>314</v>
      </c>
      <c r="D507" s="40"/>
      <c r="E507" s="40"/>
      <c r="F507" s="40"/>
      <c r="G507" s="40"/>
      <c r="H507" s="40"/>
      <c r="I507" s="40"/>
      <c r="J507" s="40"/>
      <c r="K507" s="41"/>
    </row>
    <row r="508" spans="2:11" x14ac:dyDescent="0.2">
      <c r="B508" s="38"/>
      <c r="C508" s="40" t="s">
        <v>316</v>
      </c>
      <c r="D508" s="40"/>
      <c r="E508" s="40"/>
      <c r="F508" s="40"/>
      <c r="G508" s="40"/>
      <c r="H508" s="40"/>
      <c r="I508" s="40"/>
      <c r="J508" s="269">
        <f>10.29*'Community Characteristics'!H114</f>
        <v>0</v>
      </c>
      <c r="K508" s="41"/>
    </row>
    <row r="509" spans="2:11" x14ac:dyDescent="0.2">
      <c r="B509" s="38"/>
      <c r="C509" s="40" t="s">
        <v>260</v>
      </c>
      <c r="D509" s="40"/>
      <c r="E509" s="40"/>
      <c r="F509" s="40"/>
      <c r="G509" s="40"/>
      <c r="H509" s="40"/>
      <c r="I509" s="40"/>
      <c r="J509" s="248">
        <f>IF(J508&lt;=0,0,IF(J508&lt;=1000,1,IF(J508&lt;=5000,2,IF(J508&lt;=25000,3,4))))</f>
        <v>0</v>
      </c>
      <c r="K509" s="41"/>
    </row>
    <row r="510" spans="2:11" s="51" customFormat="1" ht="9.75" customHeight="1" x14ac:dyDescent="0.2">
      <c r="B510" s="283"/>
      <c r="C510" s="279" t="str">
        <f>"0:"</f>
        <v>0:</v>
      </c>
      <c r="D510" s="284" t="s">
        <v>960</v>
      </c>
      <c r="E510" s="285"/>
      <c r="F510" s="285"/>
      <c r="G510" s="285"/>
      <c r="H510" s="285"/>
      <c r="I510" s="285"/>
      <c r="J510" s="43"/>
      <c r="K510" s="286"/>
    </row>
    <row r="511" spans="2:11" s="51" customFormat="1" ht="9.75" customHeight="1" x14ac:dyDescent="0.2">
      <c r="B511" s="283"/>
      <c r="C511" s="280" t="str">
        <f>"1:"</f>
        <v>1:</v>
      </c>
      <c r="D511" s="284" t="s">
        <v>961</v>
      </c>
      <c r="E511" s="285"/>
      <c r="F511" s="285"/>
      <c r="G511" s="285"/>
      <c r="H511" s="285"/>
      <c r="I511" s="285"/>
      <c r="J511" s="43"/>
      <c r="K511" s="286"/>
    </row>
    <row r="512" spans="2:11" s="51" customFormat="1" ht="9.75" customHeight="1" x14ac:dyDescent="0.2">
      <c r="B512" s="283"/>
      <c r="C512" s="280" t="str">
        <f>"2:"</f>
        <v>2:</v>
      </c>
      <c r="D512" s="284" t="s">
        <v>962</v>
      </c>
      <c r="E512" s="285"/>
      <c r="F512" s="285"/>
      <c r="G512" s="285"/>
      <c r="H512" s="285"/>
      <c r="I512" s="285"/>
      <c r="J512" s="43"/>
      <c r="K512" s="286"/>
    </row>
    <row r="513" spans="2:11" s="51" customFormat="1" ht="9.75" customHeight="1" x14ac:dyDescent="0.2">
      <c r="B513" s="283"/>
      <c r="C513" s="280" t="str">
        <f>"3:"</f>
        <v>3:</v>
      </c>
      <c r="D513" s="284" t="s">
        <v>963</v>
      </c>
      <c r="E513" s="285"/>
      <c r="F513" s="285"/>
      <c r="G513" s="285"/>
      <c r="H513" s="285"/>
      <c r="I513" s="285"/>
      <c r="J513" s="43"/>
      <c r="K513" s="286"/>
    </row>
    <row r="514" spans="2:11" s="51" customFormat="1" ht="9.75" customHeight="1" x14ac:dyDescent="0.2">
      <c r="B514" s="283"/>
      <c r="C514" s="280" t="str">
        <f>"4:"</f>
        <v>4:</v>
      </c>
      <c r="D514" s="284" t="s">
        <v>964</v>
      </c>
      <c r="E514" s="285"/>
      <c r="F514" s="285"/>
      <c r="G514" s="285"/>
      <c r="H514" s="285"/>
      <c r="I514" s="285"/>
      <c r="J514" s="287"/>
      <c r="K514" s="286"/>
    </row>
    <row r="515" spans="2:11" x14ac:dyDescent="0.2">
      <c r="B515" s="38"/>
      <c r="C515" s="40" t="s">
        <v>315</v>
      </c>
      <c r="D515" s="40"/>
      <c r="E515" s="40"/>
      <c r="F515" s="40"/>
      <c r="G515" s="40"/>
      <c r="H515" s="40"/>
      <c r="I515" s="40"/>
      <c r="J515" s="266" t="s">
        <v>874</v>
      </c>
      <c r="K515" s="41"/>
    </row>
    <row r="516" spans="2:11" x14ac:dyDescent="0.2">
      <c r="B516" s="38"/>
      <c r="C516" s="40" t="s">
        <v>261</v>
      </c>
      <c r="D516" s="40"/>
      <c r="E516" s="40"/>
      <c r="F516" s="40"/>
      <c r="G516" s="40"/>
      <c r="H516" s="40"/>
      <c r="I516" s="40"/>
      <c r="J516" s="245">
        <f>IF(J515=$B$973,$A$973,IF(J515=$B$974,$A$974,IF(J515=$B$975,$A$975,IF(J515=$B$976,$A$976,IF(J515=$B$977,$A$977,"Not Calculated")))))</f>
        <v>4</v>
      </c>
      <c r="K516" s="41"/>
    </row>
    <row r="517" spans="2:11" x14ac:dyDescent="0.2">
      <c r="B517" s="38"/>
      <c r="C517" s="40" t="s">
        <v>893</v>
      </c>
      <c r="D517" s="40"/>
      <c r="E517" s="40"/>
      <c r="F517" s="40"/>
      <c r="G517" s="40"/>
      <c r="H517" s="40"/>
      <c r="I517" s="40"/>
      <c r="J517" s="40"/>
      <c r="K517" s="41"/>
    </row>
    <row r="518" spans="2:11" ht="45" customHeight="1" x14ac:dyDescent="0.2">
      <c r="B518" s="38"/>
      <c r="C518" s="399" t="s">
        <v>1035</v>
      </c>
      <c r="D518" s="400"/>
      <c r="E518" s="400"/>
      <c r="F518" s="400"/>
      <c r="G518" s="400"/>
      <c r="H518" s="400"/>
      <c r="I518" s="400"/>
      <c r="J518" s="401"/>
      <c r="K518" s="41"/>
    </row>
    <row r="519" spans="2:11" x14ac:dyDescent="0.2">
      <c r="B519" s="38"/>
      <c r="C519" s="40"/>
      <c r="D519" s="40"/>
      <c r="E519" s="40"/>
      <c r="F519" s="40"/>
      <c r="G519" s="40"/>
      <c r="H519" s="40"/>
      <c r="I519" s="40"/>
      <c r="J519" s="40"/>
      <c r="K519" s="41"/>
    </row>
    <row r="520" spans="2:11" x14ac:dyDescent="0.2">
      <c r="B520" s="38"/>
      <c r="C520" s="179" t="s">
        <v>320</v>
      </c>
      <c r="D520" s="40"/>
      <c r="E520" s="40"/>
      <c r="F520" s="40"/>
      <c r="G520" s="40"/>
      <c r="H520" s="40"/>
      <c r="I520" s="40"/>
      <c r="J520" s="245">
        <f>IF(OR(J509="Not Calculated",J516="Not Calculated")=TRUE,"Not Calculated",AVERAGE(J509,J516))</f>
        <v>2</v>
      </c>
      <c r="K520" s="41"/>
    </row>
    <row r="521" spans="2:11" x14ac:dyDescent="0.2">
      <c r="B521" s="38"/>
      <c r="C521" s="40"/>
      <c r="D521" s="40"/>
      <c r="E521" s="40"/>
      <c r="F521" s="40"/>
      <c r="G521" s="40"/>
      <c r="H521" s="40"/>
      <c r="I521" s="40"/>
      <c r="J521" s="40"/>
      <c r="K521" s="41"/>
    </row>
    <row r="522" spans="2:11" x14ac:dyDescent="0.2">
      <c r="B522" s="38"/>
      <c r="C522" s="40"/>
      <c r="D522" s="40"/>
      <c r="E522" s="40"/>
      <c r="F522" s="40"/>
      <c r="G522" s="40"/>
      <c r="H522" s="40"/>
      <c r="I522" s="40"/>
      <c r="J522" s="40"/>
      <c r="K522" s="41"/>
    </row>
    <row r="523" spans="2:11" ht="16" x14ac:dyDescent="0.2">
      <c r="B523" s="38"/>
      <c r="C523" s="45" t="s">
        <v>317</v>
      </c>
      <c r="D523" s="40"/>
      <c r="E523" s="40"/>
      <c r="F523" s="40"/>
      <c r="G523" s="40"/>
      <c r="H523" s="40"/>
      <c r="I523" s="40"/>
      <c r="J523" s="40"/>
      <c r="K523" s="41"/>
    </row>
    <row r="524" spans="2:11" ht="15" customHeight="1" x14ac:dyDescent="0.2">
      <c r="B524" s="38"/>
      <c r="C524" s="380" t="s">
        <v>318</v>
      </c>
      <c r="D524" s="380"/>
      <c r="E524" s="380"/>
      <c r="F524" s="380"/>
      <c r="G524" s="380"/>
      <c r="H524" s="380"/>
      <c r="I524" s="380"/>
      <c r="J524" s="40"/>
      <c r="K524" s="41"/>
    </row>
    <row r="525" spans="2:11" x14ac:dyDescent="0.2">
      <c r="B525" s="38"/>
      <c r="C525" s="380"/>
      <c r="D525" s="380"/>
      <c r="E525" s="380"/>
      <c r="F525" s="380"/>
      <c r="G525" s="380"/>
      <c r="H525" s="380"/>
      <c r="I525" s="380"/>
      <c r="J525" s="274">
        <v>3</v>
      </c>
      <c r="K525" s="41"/>
    </row>
    <row r="526" spans="2:11" x14ac:dyDescent="0.2">
      <c r="B526" s="38"/>
      <c r="C526" s="40" t="s">
        <v>260</v>
      </c>
      <c r="D526" s="40"/>
      <c r="E526" s="40"/>
      <c r="F526" s="40"/>
      <c r="G526" s="40"/>
      <c r="H526" s="40"/>
      <c r="I526" s="40"/>
      <c r="J526" s="248">
        <f>IF(J525&lt;=0,0,IF(J525&lt;=1,1,IF(J525&lt;=5,2,IF(J525&lt;=10,3,4))))</f>
        <v>2</v>
      </c>
      <c r="K526" s="41"/>
    </row>
    <row r="527" spans="2:11" s="51" customFormat="1" ht="9.75" customHeight="1" x14ac:dyDescent="0.2">
      <c r="B527" s="283"/>
      <c r="C527" s="279" t="str">
        <f>"0:"</f>
        <v>0:</v>
      </c>
      <c r="D527" s="284" t="s">
        <v>965</v>
      </c>
      <c r="E527" s="285"/>
      <c r="F527" s="285"/>
      <c r="G527" s="285"/>
      <c r="H527" s="285"/>
      <c r="I527" s="285"/>
      <c r="J527" s="43"/>
      <c r="K527" s="286"/>
    </row>
    <row r="528" spans="2:11" s="51" customFormat="1" ht="9.75" customHeight="1" x14ac:dyDescent="0.2">
      <c r="B528" s="283"/>
      <c r="C528" s="280" t="str">
        <f>"1:"</f>
        <v>1:</v>
      </c>
      <c r="D528" s="284" t="s">
        <v>966</v>
      </c>
      <c r="E528" s="285"/>
      <c r="F528" s="285"/>
      <c r="G528" s="285"/>
      <c r="H528" s="285"/>
      <c r="I528" s="285"/>
      <c r="J528" s="43"/>
      <c r="K528" s="286"/>
    </row>
    <row r="529" spans="2:11" s="51" customFormat="1" ht="9.75" customHeight="1" x14ac:dyDescent="0.2">
      <c r="B529" s="283"/>
      <c r="C529" s="280" t="str">
        <f>"2:"</f>
        <v>2:</v>
      </c>
      <c r="D529" s="284" t="s">
        <v>967</v>
      </c>
      <c r="E529" s="285"/>
      <c r="F529" s="285"/>
      <c r="G529" s="285"/>
      <c r="H529" s="285"/>
      <c r="I529" s="285"/>
      <c r="J529" s="43"/>
      <c r="K529" s="286"/>
    </row>
    <row r="530" spans="2:11" s="51" customFormat="1" ht="9.75" customHeight="1" x14ac:dyDescent="0.2">
      <c r="B530" s="283"/>
      <c r="C530" s="280" t="str">
        <f>"3:"</f>
        <v>3:</v>
      </c>
      <c r="D530" s="284" t="s">
        <v>968</v>
      </c>
      <c r="E530" s="285"/>
      <c r="F530" s="285"/>
      <c r="G530" s="285"/>
      <c r="H530" s="285"/>
      <c r="I530" s="285"/>
      <c r="J530" s="43"/>
      <c r="K530" s="286"/>
    </row>
    <row r="531" spans="2:11" s="51" customFormat="1" ht="9.75" customHeight="1" x14ac:dyDescent="0.2">
      <c r="B531" s="283"/>
      <c r="C531" s="280" t="str">
        <f>"4:"</f>
        <v>4:</v>
      </c>
      <c r="D531" s="284" t="s">
        <v>969</v>
      </c>
      <c r="E531" s="285"/>
      <c r="F531" s="285"/>
      <c r="G531" s="285"/>
      <c r="H531" s="285"/>
      <c r="I531" s="285"/>
      <c r="J531" s="287"/>
      <c r="K531" s="286"/>
    </row>
    <row r="532" spans="2:11" x14ac:dyDescent="0.2">
      <c r="B532" s="38"/>
      <c r="C532" s="40" t="s">
        <v>257</v>
      </c>
      <c r="D532" s="40"/>
      <c r="E532" s="40"/>
      <c r="F532" s="40"/>
      <c r="G532" s="40"/>
      <c r="H532" s="40"/>
      <c r="I532" s="40"/>
      <c r="J532" s="266" t="s">
        <v>874</v>
      </c>
      <c r="K532" s="41"/>
    </row>
    <row r="533" spans="2:11" x14ac:dyDescent="0.2">
      <c r="B533" s="38"/>
      <c r="C533" s="40" t="s">
        <v>261</v>
      </c>
      <c r="D533" s="40"/>
      <c r="E533" s="40"/>
      <c r="F533" s="40"/>
      <c r="G533" s="40"/>
      <c r="H533" s="40"/>
      <c r="I533" s="40"/>
      <c r="J533" s="245">
        <f>IF(J532=$B$973,$A$973,IF(J532=$B$974,$A$974,IF(J532=$B$975,$A$975,IF(J532=$B$976,$A$976,IF(J532=$B$977,$A$977,"Not Calculated")))))</f>
        <v>4</v>
      </c>
      <c r="K533" s="41"/>
    </row>
    <row r="534" spans="2:11" x14ac:dyDescent="0.2">
      <c r="B534" s="38"/>
      <c r="C534" s="40" t="s">
        <v>893</v>
      </c>
      <c r="D534" s="40"/>
      <c r="E534" s="40"/>
      <c r="F534" s="40"/>
      <c r="G534" s="40"/>
      <c r="H534" s="40"/>
      <c r="I534" s="40"/>
      <c r="J534" s="40"/>
      <c r="K534" s="41"/>
    </row>
    <row r="535" spans="2:11" ht="30" customHeight="1" x14ac:dyDescent="0.2">
      <c r="B535" s="38"/>
      <c r="C535" s="399" t="s">
        <v>550</v>
      </c>
      <c r="D535" s="400"/>
      <c r="E535" s="400"/>
      <c r="F535" s="400"/>
      <c r="G535" s="400"/>
      <c r="H535" s="400"/>
      <c r="I535" s="400"/>
      <c r="J535" s="401"/>
      <c r="K535" s="41"/>
    </row>
    <row r="536" spans="2:11" x14ac:dyDescent="0.2">
      <c r="B536" s="38"/>
      <c r="C536" s="40"/>
      <c r="D536" s="40"/>
      <c r="E536" s="40"/>
      <c r="F536" s="40"/>
      <c r="G536" s="40"/>
      <c r="H536" s="40"/>
      <c r="I536" s="40"/>
      <c r="J536" s="40"/>
      <c r="K536" s="41"/>
    </row>
    <row r="537" spans="2:11" x14ac:dyDescent="0.2">
      <c r="B537" s="38"/>
      <c r="C537" s="179" t="s">
        <v>319</v>
      </c>
      <c r="D537" s="40"/>
      <c r="E537" s="40"/>
      <c r="F537" s="40"/>
      <c r="G537" s="40"/>
      <c r="H537" s="40"/>
      <c r="I537" s="40"/>
      <c r="J537" s="245">
        <f>IF(OR(J526="Not Calculated",J533="Not Calculated")=TRUE,"Not Calculated",AVERAGE(J526,J533))</f>
        <v>3</v>
      </c>
      <c r="K537" s="41"/>
    </row>
    <row r="538" spans="2:11" x14ac:dyDescent="0.2">
      <c r="B538" s="38"/>
      <c r="C538" s="40"/>
      <c r="D538" s="40"/>
      <c r="E538" s="40"/>
      <c r="F538" s="40"/>
      <c r="G538" s="40"/>
      <c r="H538" s="40"/>
      <c r="I538" s="40"/>
      <c r="J538" s="40"/>
      <c r="K538" s="41"/>
    </row>
    <row r="539" spans="2:11" ht="18" x14ac:dyDescent="0.2">
      <c r="B539" s="38"/>
      <c r="C539" s="180" t="s">
        <v>302</v>
      </c>
      <c r="D539" s="40"/>
      <c r="E539" s="40"/>
      <c r="F539" s="40"/>
      <c r="G539" s="40"/>
      <c r="H539" s="40"/>
      <c r="I539" s="40"/>
      <c r="J539" s="244">
        <f>IF(OR(J440="Not Calculated",J457="Not Calculated",J473="Not Calculated",J488="Not Calculated",J504="Not Calculated",J520="Not Calculated",J537="Not Calculated")=TRUE,"Not Calculated",AVERAGE(J440,J457,J473,J488,J504,J520,J537))</f>
        <v>1.7142857142857142</v>
      </c>
      <c r="K539" s="41"/>
    </row>
    <row r="540" spans="2:11" ht="16" thickBot="1" x14ac:dyDescent="0.25">
      <c r="B540" s="46"/>
      <c r="C540" s="47"/>
      <c r="D540" s="47"/>
      <c r="E540" s="47"/>
      <c r="F540" s="47"/>
      <c r="G540" s="47"/>
      <c r="H540" s="47"/>
      <c r="I540" s="47"/>
      <c r="J540" s="47"/>
      <c r="K540" s="49"/>
    </row>
    <row r="541" spans="2:11" ht="16" thickBot="1" x14ac:dyDescent="0.25"/>
    <row r="542" spans="2:11" x14ac:dyDescent="0.2">
      <c r="B542" s="33"/>
      <c r="C542" s="34"/>
      <c r="D542" s="34"/>
      <c r="E542" s="34"/>
      <c r="F542" s="34"/>
      <c r="G542" s="34"/>
      <c r="H542" s="34"/>
      <c r="I542" s="34"/>
      <c r="J542" s="34"/>
      <c r="K542" s="37"/>
    </row>
    <row r="543" spans="2:11" ht="21" x14ac:dyDescent="0.25">
      <c r="B543" s="38"/>
      <c r="C543" s="40"/>
      <c r="D543" s="40"/>
      <c r="E543" s="40"/>
      <c r="F543" s="40"/>
      <c r="G543" s="172" t="s">
        <v>29</v>
      </c>
      <c r="H543" s="40"/>
      <c r="I543" s="40"/>
      <c r="J543" s="40"/>
      <c r="K543" s="41"/>
    </row>
    <row r="544" spans="2:11" ht="15" customHeight="1" x14ac:dyDescent="0.2">
      <c r="B544" s="38"/>
      <c r="C544" s="40"/>
      <c r="D544" s="40"/>
      <c r="E544" s="40"/>
      <c r="F544" s="40"/>
      <c r="G544" s="40"/>
      <c r="H544" s="40"/>
      <c r="I544" s="40"/>
      <c r="J544" s="40"/>
      <c r="K544" s="41"/>
    </row>
    <row r="545" spans="2:14" ht="16" x14ac:dyDescent="0.2">
      <c r="B545" s="38"/>
      <c r="C545" s="45" t="s">
        <v>88</v>
      </c>
      <c r="D545" s="40"/>
      <c r="E545" s="40"/>
      <c r="F545" s="40"/>
      <c r="G545" s="40"/>
      <c r="H545" s="40"/>
      <c r="I545" s="40"/>
      <c r="J545" s="40"/>
      <c r="K545" s="41"/>
    </row>
    <row r="546" spans="2:14" x14ac:dyDescent="0.2">
      <c r="B546" s="38"/>
      <c r="C546" s="40" t="s">
        <v>448</v>
      </c>
      <c r="D546" s="40"/>
      <c r="E546" s="40"/>
      <c r="F546" s="40"/>
      <c r="G546" s="40"/>
      <c r="H546" s="40"/>
      <c r="I546" s="40"/>
      <c r="J546" s="251">
        <f>'Baseline Health'!G123</f>
        <v>0</v>
      </c>
      <c r="K546" s="41"/>
    </row>
    <row r="547" spans="2:14" x14ac:dyDescent="0.2">
      <c r="B547" s="38"/>
      <c r="C547" s="40" t="s">
        <v>322</v>
      </c>
      <c r="D547" s="40"/>
      <c r="E547" s="40"/>
      <c r="F547" s="40"/>
      <c r="G547" s="40"/>
      <c r="H547" s="40"/>
      <c r="I547" s="40"/>
      <c r="J547" s="264">
        <v>0</v>
      </c>
      <c r="K547" s="41"/>
    </row>
    <row r="548" spans="2:14" x14ac:dyDescent="0.2">
      <c r="B548" s="38"/>
      <c r="C548" s="40" t="s">
        <v>428</v>
      </c>
      <c r="D548" s="40"/>
      <c r="E548" s="40"/>
      <c r="F548" s="40"/>
      <c r="G548" s="40"/>
      <c r="H548" s="40"/>
      <c r="I548" s="40"/>
      <c r="J548" s="264">
        <f>J546</f>
        <v>0</v>
      </c>
      <c r="K548" s="41"/>
    </row>
    <row r="549" spans="2:14" x14ac:dyDescent="0.2">
      <c r="B549" s="38"/>
      <c r="C549" s="40" t="s">
        <v>260</v>
      </c>
      <c r="D549" s="40"/>
      <c r="E549" s="40"/>
      <c r="F549" s="40"/>
      <c r="G549" s="40"/>
      <c r="H549" s="40"/>
      <c r="I549" s="40"/>
      <c r="J549" s="245" t="str">
        <f>IF(OR(J546=0,J546="Not Calculated")=TRUE,"Not Calculated",IF(J546-J547=0,4,(IF(((J546+J548)/(J546-J547))&lt;=1,0,IF(((J546+J548)/(J546-J547))&lt;=1.05,1,IF(((J546+J548)/(J546-J547))&lt;=1.5, 2,IF(((J546+J548)/(J546-J547))&lt;=2,3,4)))))))</f>
        <v>Not Calculated</v>
      </c>
      <c r="K549" s="41"/>
    </row>
    <row r="550" spans="2:14" ht="9.75" customHeight="1" x14ac:dyDescent="0.2">
      <c r="B550" s="38"/>
      <c r="C550" s="40"/>
      <c r="D550" s="40"/>
      <c r="E550" s="40"/>
      <c r="F550" s="40"/>
      <c r="G550" s="40"/>
      <c r="H550" s="40"/>
      <c r="I550" s="40"/>
      <c r="J550" s="251"/>
      <c r="K550" s="41"/>
    </row>
    <row r="551" spans="2:14" ht="9.75" customHeight="1" x14ac:dyDescent="0.2">
      <c r="B551" s="38"/>
      <c r="C551" s="40"/>
      <c r="D551" s="40"/>
      <c r="E551" s="40"/>
      <c r="F551" s="40"/>
      <c r="G551" s="40"/>
      <c r="H551" s="40"/>
      <c r="I551" s="40"/>
      <c r="J551" s="251"/>
      <c r="K551" s="41"/>
    </row>
    <row r="552" spans="2:14" ht="9.75" customHeight="1" x14ac:dyDescent="0.2">
      <c r="B552" s="38"/>
      <c r="C552" s="40"/>
      <c r="D552" s="40"/>
      <c r="E552" s="40"/>
      <c r="F552" s="40"/>
      <c r="G552" s="40"/>
      <c r="H552" s="40"/>
      <c r="I552" s="40"/>
      <c r="J552" s="251"/>
      <c r="K552" s="41"/>
    </row>
    <row r="553" spans="2:14" ht="9.75" customHeight="1" x14ac:dyDescent="0.2">
      <c r="B553" s="38"/>
      <c r="C553" s="40"/>
      <c r="D553" s="40"/>
      <c r="E553" s="40"/>
      <c r="F553" s="40"/>
      <c r="G553" s="40"/>
      <c r="H553" s="40"/>
      <c r="I553" s="40"/>
      <c r="J553" s="251"/>
      <c r="K553" s="41"/>
    </row>
    <row r="554" spans="2:14" ht="9.75" customHeight="1" x14ac:dyDescent="0.2">
      <c r="B554" s="38"/>
      <c r="C554" s="40"/>
      <c r="D554" s="40"/>
      <c r="E554" s="40"/>
      <c r="F554" s="40"/>
      <c r="G554" s="40"/>
      <c r="H554" s="40"/>
      <c r="I554" s="40"/>
      <c r="J554" s="40"/>
      <c r="K554" s="41"/>
      <c r="N554" s="12" t="s">
        <v>661</v>
      </c>
    </row>
    <row r="555" spans="2:14" x14ac:dyDescent="0.2">
      <c r="B555" s="38"/>
      <c r="C555" s="174" t="s">
        <v>662</v>
      </c>
      <c r="D555" s="40"/>
      <c r="E555" s="40"/>
      <c r="F555" s="40"/>
      <c r="G555" s="40"/>
      <c r="H555" s="40"/>
      <c r="I555" s="40"/>
      <c r="J555" s="265" t="s">
        <v>661</v>
      </c>
      <c r="K555" s="41"/>
      <c r="N555" s="12" t="s">
        <v>894</v>
      </c>
    </row>
    <row r="556" spans="2:14" x14ac:dyDescent="0.2">
      <c r="B556" s="38"/>
      <c r="C556" s="174" t="s">
        <v>660</v>
      </c>
      <c r="D556" s="40"/>
      <c r="E556" s="40"/>
      <c r="F556" s="40"/>
      <c r="G556" s="40"/>
      <c r="H556" s="40"/>
      <c r="I556" s="40"/>
      <c r="J556" s="247" t="str">
        <f>IF(J555=N554,"N/A",IF(J555=N555,0,IF(J555=N556,1,IF(J555=N557,2,IF(J555=N558,3,IF(J555=N559,4,"N/A"))))))</f>
        <v>N/A</v>
      </c>
      <c r="K556" s="41"/>
      <c r="N556" s="12" t="s">
        <v>899</v>
      </c>
    </row>
    <row r="557" spans="2:14" x14ac:dyDescent="0.2">
      <c r="B557" s="38"/>
      <c r="C557" s="40" t="s">
        <v>257</v>
      </c>
      <c r="D557" s="40"/>
      <c r="E557" s="40"/>
      <c r="F557" s="40"/>
      <c r="G557" s="40"/>
      <c r="H557" s="40"/>
      <c r="I557" s="40"/>
      <c r="J557" s="266" t="s">
        <v>874</v>
      </c>
      <c r="K557" s="41"/>
      <c r="N557" s="12" t="s">
        <v>900</v>
      </c>
    </row>
    <row r="558" spans="2:14" x14ac:dyDescent="0.2">
      <c r="B558" s="38"/>
      <c r="C558" s="40" t="s">
        <v>261</v>
      </c>
      <c r="D558" s="40"/>
      <c r="E558" s="40"/>
      <c r="F558" s="40"/>
      <c r="G558" s="40"/>
      <c r="H558" s="40"/>
      <c r="I558" s="40"/>
      <c r="J558" s="245">
        <f>IF(J557=$B$973,$A$973,IF(J557=$B$974,$A$974,IF(J557=$B$975,$A$975,IF(J557=$B$976,$A$976,IF(J557=$B$977,$A$977,"Not Calculated")))))</f>
        <v>4</v>
      </c>
      <c r="K558" s="41"/>
      <c r="N558" s="12" t="s">
        <v>901</v>
      </c>
    </row>
    <row r="559" spans="2:14" x14ac:dyDescent="0.2">
      <c r="B559" s="38"/>
      <c r="C559" s="40" t="s">
        <v>893</v>
      </c>
      <c r="D559" s="40"/>
      <c r="E559" s="40"/>
      <c r="F559" s="40"/>
      <c r="G559" s="40"/>
      <c r="H559" s="40"/>
      <c r="I559" s="40"/>
      <c r="J559" s="40"/>
      <c r="K559" s="41"/>
      <c r="N559" s="12" t="s">
        <v>902</v>
      </c>
    </row>
    <row r="560" spans="2:14" ht="45" customHeight="1" x14ac:dyDescent="0.2">
      <c r="B560" s="38"/>
      <c r="C560" s="399" t="s">
        <v>551</v>
      </c>
      <c r="D560" s="400"/>
      <c r="E560" s="400"/>
      <c r="F560" s="400"/>
      <c r="G560" s="400"/>
      <c r="H560" s="400"/>
      <c r="I560" s="400"/>
      <c r="J560" s="401"/>
      <c r="K560" s="41"/>
    </row>
    <row r="561" spans="2:11" x14ac:dyDescent="0.2">
      <c r="B561" s="38"/>
      <c r="C561" s="40"/>
      <c r="D561" s="40"/>
      <c r="E561" s="40"/>
      <c r="F561" s="40"/>
      <c r="G561" s="40"/>
      <c r="H561" s="40"/>
      <c r="I561" s="40"/>
      <c r="J561" s="40"/>
      <c r="K561" s="41"/>
    </row>
    <row r="562" spans="2:11" x14ac:dyDescent="0.2">
      <c r="B562" s="38"/>
      <c r="C562" s="179" t="s">
        <v>323</v>
      </c>
      <c r="D562" s="40"/>
      <c r="E562" s="40"/>
      <c r="F562" s="40"/>
      <c r="G562" s="40"/>
      <c r="H562" s="40"/>
      <c r="I562" s="40"/>
      <c r="J562" s="245" t="str">
        <f>IF(J556="N/A",IF(OR(J549="Not Calculated",J558="Not Calculated")=TRUE,"Not Calculated",AVERAGE(J549,J558)),AVERAGE(J556,J558))</f>
        <v>Not Calculated</v>
      </c>
      <c r="K562" s="41"/>
    </row>
    <row r="563" spans="2:11" x14ac:dyDescent="0.2">
      <c r="B563" s="38"/>
      <c r="C563" s="40"/>
      <c r="D563" s="40"/>
      <c r="E563" s="40"/>
      <c r="F563" s="40"/>
      <c r="G563" s="40"/>
      <c r="H563" s="40"/>
      <c r="I563" s="40"/>
      <c r="J563" s="40"/>
      <c r="K563" s="41"/>
    </row>
    <row r="564" spans="2:11" x14ac:dyDescent="0.2">
      <c r="B564" s="38"/>
      <c r="C564" s="40"/>
      <c r="D564" s="40"/>
      <c r="E564" s="40"/>
      <c r="F564" s="40"/>
      <c r="G564" s="40"/>
      <c r="H564" s="40"/>
      <c r="I564" s="40"/>
      <c r="J564" s="40"/>
      <c r="K564" s="41"/>
    </row>
    <row r="565" spans="2:11" ht="16" x14ac:dyDescent="0.2">
      <c r="B565" s="38"/>
      <c r="C565" s="45" t="s">
        <v>89</v>
      </c>
      <c r="D565" s="40"/>
      <c r="E565" s="40"/>
      <c r="F565" s="40"/>
      <c r="G565" s="40"/>
      <c r="H565" s="40"/>
      <c r="I565" s="40"/>
      <c r="J565" s="40"/>
      <c r="K565" s="41"/>
    </row>
    <row r="566" spans="2:11" ht="15" customHeight="1" x14ac:dyDescent="0.2">
      <c r="B566" s="38"/>
      <c r="C566" s="380" t="s">
        <v>333</v>
      </c>
      <c r="D566" s="380"/>
      <c r="E566" s="380"/>
      <c r="F566" s="380"/>
      <c r="G566" s="380"/>
      <c r="H566" s="380"/>
      <c r="I566" s="380"/>
      <c r="J566" s="40"/>
      <c r="K566" s="41"/>
    </row>
    <row r="567" spans="2:11" x14ac:dyDescent="0.2">
      <c r="B567" s="38"/>
      <c r="C567" s="380"/>
      <c r="D567" s="380"/>
      <c r="E567" s="380"/>
      <c r="F567" s="380"/>
      <c r="G567" s="380"/>
      <c r="H567" s="380"/>
      <c r="I567" s="380"/>
      <c r="J567" s="40"/>
      <c r="K567" s="41"/>
    </row>
    <row r="568" spans="2:11" x14ac:dyDescent="0.2">
      <c r="B568" s="38"/>
      <c r="C568" s="380"/>
      <c r="D568" s="380"/>
      <c r="E568" s="380"/>
      <c r="F568" s="380"/>
      <c r="G568" s="380"/>
      <c r="H568" s="380"/>
      <c r="I568" s="380"/>
      <c r="J568" s="251">
        <f>'Baseline Health'!G132</f>
        <v>0</v>
      </c>
      <c r="K568" s="41"/>
    </row>
    <row r="569" spans="2:11" ht="15" customHeight="1" x14ac:dyDescent="0.2">
      <c r="B569" s="38"/>
      <c r="C569" s="380" t="s">
        <v>334</v>
      </c>
      <c r="D569" s="380"/>
      <c r="E569" s="380"/>
      <c r="F569" s="380"/>
      <c r="G569" s="380"/>
      <c r="H569" s="380"/>
      <c r="I569" s="380"/>
      <c r="J569" s="245"/>
      <c r="K569" s="41"/>
    </row>
    <row r="570" spans="2:11" x14ac:dyDescent="0.2">
      <c r="B570" s="38"/>
      <c r="C570" s="380"/>
      <c r="D570" s="380"/>
      <c r="E570" s="380"/>
      <c r="F570" s="380"/>
      <c r="G570" s="380"/>
      <c r="H570" s="380"/>
      <c r="I570" s="380"/>
      <c r="J570" s="245"/>
      <c r="K570" s="41"/>
    </row>
    <row r="571" spans="2:11" x14ac:dyDescent="0.2">
      <c r="B571" s="38"/>
      <c r="C571" s="380"/>
      <c r="D571" s="380"/>
      <c r="E571" s="380"/>
      <c r="F571" s="380"/>
      <c r="G571" s="380"/>
      <c r="H571" s="380"/>
      <c r="I571" s="380"/>
      <c r="J571" s="264">
        <f>'Community Characteristics'!H117*(0.5)</f>
        <v>0</v>
      </c>
      <c r="K571" s="41"/>
    </row>
    <row r="572" spans="2:11" x14ac:dyDescent="0.2">
      <c r="B572" s="38"/>
      <c r="C572" s="40" t="s">
        <v>260</v>
      </c>
      <c r="D572" s="40"/>
      <c r="E572" s="40"/>
      <c r="F572" s="40"/>
      <c r="G572" s="40"/>
      <c r="H572" s="40"/>
      <c r="I572" s="40"/>
      <c r="J572" s="245" t="str">
        <f>IF(OR(J568=0,J568="Not Calculated")=TRUE,"Not Calculated",IF(((J568+J571)/J568)&lt;=1,0,IF(((J568+J571)/J568)&lt;=1.05,1,IF(((J568+J571)/J568)&lt;=1.5, 2,IF(((J568+J571)/J568)&lt;=2,3,4)))))</f>
        <v>Not Calculated</v>
      </c>
      <c r="K572" s="41"/>
    </row>
    <row r="573" spans="2:11" ht="9.75" customHeight="1" x14ac:dyDescent="0.2">
      <c r="B573" s="38"/>
      <c r="C573" s="279" t="str">
        <f>"0:"</f>
        <v>0:</v>
      </c>
      <c r="D573" s="281" t="s">
        <v>918</v>
      </c>
      <c r="E573" s="291"/>
      <c r="F573" s="291"/>
      <c r="G573" s="291"/>
      <c r="H573" s="291"/>
      <c r="I573" s="291"/>
      <c r="J573" s="251"/>
      <c r="K573" s="41"/>
    </row>
    <row r="574" spans="2:11" ht="9.75" customHeight="1" x14ac:dyDescent="0.2">
      <c r="B574" s="38"/>
      <c r="C574" s="280" t="str">
        <f>"1:"</f>
        <v>1:</v>
      </c>
      <c r="D574" s="281" t="s">
        <v>919</v>
      </c>
      <c r="E574" s="291"/>
      <c r="F574" s="291"/>
      <c r="G574" s="291"/>
      <c r="H574" s="291"/>
      <c r="I574" s="291"/>
      <c r="J574" s="251"/>
      <c r="K574" s="41"/>
    </row>
    <row r="575" spans="2:11" ht="9.75" customHeight="1" x14ac:dyDescent="0.2">
      <c r="B575" s="38"/>
      <c r="C575" s="280" t="str">
        <f>"2:"</f>
        <v>2:</v>
      </c>
      <c r="D575" s="281" t="s">
        <v>920</v>
      </c>
      <c r="E575" s="291"/>
      <c r="F575" s="291"/>
      <c r="G575" s="291"/>
      <c r="H575" s="291"/>
      <c r="I575" s="291"/>
      <c r="J575" s="251"/>
      <c r="K575" s="41"/>
    </row>
    <row r="576" spans="2:11" ht="9.75" customHeight="1" x14ac:dyDescent="0.2">
      <c r="B576" s="38"/>
      <c r="C576" s="280" t="str">
        <f>"3:"</f>
        <v>3:</v>
      </c>
      <c r="D576" s="281" t="s">
        <v>921</v>
      </c>
      <c r="E576" s="291"/>
      <c r="F576" s="291"/>
      <c r="G576" s="291"/>
      <c r="H576" s="291"/>
      <c r="I576" s="291"/>
      <c r="J576" s="251"/>
      <c r="K576" s="41"/>
    </row>
    <row r="577" spans="2:14" ht="9.75" customHeight="1" x14ac:dyDescent="0.2">
      <c r="B577" s="38"/>
      <c r="C577" s="280" t="str">
        <f>"4:"</f>
        <v>4:</v>
      </c>
      <c r="D577" s="281" t="s">
        <v>922</v>
      </c>
      <c r="E577" s="40"/>
      <c r="F577" s="40"/>
      <c r="G577" s="40"/>
      <c r="H577" s="40"/>
      <c r="I577" s="40"/>
      <c r="J577" s="40"/>
      <c r="K577" s="41"/>
      <c r="N577" s="12" t="s">
        <v>661</v>
      </c>
    </row>
    <row r="578" spans="2:14" ht="15" customHeight="1" x14ac:dyDescent="0.2">
      <c r="B578" s="38"/>
      <c r="C578" s="174" t="s">
        <v>662</v>
      </c>
      <c r="D578" s="40"/>
      <c r="E578" s="40"/>
      <c r="F578" s="40"/>
      <c r="G578" s="40"/>
      <c r="H578" s="40"/>
      <c r="I578" s="40"/>
      <c r="J578" s="265" t="s">
        <v>661</v>
      </c>
      <c r="K578" s="41"/>
      <c r="N578" s="12" t="s">
        <v>894</v>
      </c>
    </row>
    <row r="579" spans="2:14" ht="15" customHeight="1" x14ac:dyDescent="0.2">
      <c r="B579" s="38"/>
      <c r="C579" s="174" t="s">
        <v>660</v>
      </c>
      <c r="D579" s="40"/>
      <c r="E579" s="40"/>
      <c r="F579" s="40"/>
      <c r="G579" s="40"/>
      <c r="H579" s="40"/>
      <c r="I579" s="40"/>
      <c r="J579" s="247" t="str">
        <f>IF(J578=N577,"N/A",IF(J578=N578,0,IF(J578=N579,1,IF(J578=N580,2,IF(J578=N581,3,IF(J578=N582,4,"N/A"))))))</f>
        <v>N/A</v>
      </c>
      <c r="K579" s="41"/>
      <c r="N579" s="12" t="s">
        <v>895</v>
      </c>
    </row>
    <row r="580" spans="2:14" x14ac:dyDescent="0.2">
      <c r="B580" s="38"/>
      <c r="C580" s="40" t="s">
        <v>257</v>
      </c>
      <c r="D580" s="40"/>
      <c r="E580" s="40"/>
      <c r="F580" s="40"/>
      <c r="G580" s="40"/>
      <c r="H580" s="40"/>
      <c r="I580" s="40"/>
      <c r="J580" s="266" t="s">
        <v>874</v>
      </c>
      <c r="K580" s="41"/>
      <c r="N580" s="12" t="s">
        <v>896</v>
      </c>
    </row>
    <row r="581" spans="2:14" x14ac:dyDescent="0.2">
      <c r="B581" s="38"/>
      <c r="C581" s="40" t="s">
        <v>261</v>
      </c>
      <c r="D581" s="40"/>
      <c r="E581" s="40"/>
      <c r="F581" s="40"/>
      <c r="G581" s="40"/>
      <c r="H581" s="40"/>
      <c r="I581" s="40"/>
      <c r="J581" s="245">
        <f>IF(J580=$B$973,$A$973,IF(J580=$B$974,$A$974,IF(J580=$B$975,$A$975,IF(J580=$B$976,$A$976,IF(J580=$B$977,$A$977,"Not Calculated")))))</f>
        <v>4</v>
      </c>
      <c r="K581" s="41"/>
      <c r="N581" s="12" t="s">
        <v>897</v>
      </c>
    </row>
    <row r="582" spans="2:14" x14ac:dyDescent="0.2">
      <c r="B582" s="38"/>
      <c r="C582" s="40" t="s">
        <v>893</v>
      </c>
      <c r="D582" s="40"/>
      <c r="E582" s="40"/>
      <c r="F582" s="40"/>
      <c r="G582" s="40"/>
      <c r="H582" s="40"/>
      <c r="I582" s="40"/>
      <c r="J582" s="40"/>
      <c r="K582" s="41"/>
      <c r="N582" s="12" t="s">
        <v>898</v>
      </c>
    </row>
    <row r="583" spans="2:14" ht="60" customHeight="1" x14ac:dyDescent="0.2">
      <c r="B583" s="38"/>
      <c r="C583" s="399" t="s">
        <v>1036</v>
      </c>
      <c r="D583" s="400"/>
      <c r="E583" s="400"/>
      <c r="F583" s="400"/>
      <c r="G583" s="400"/>
      <c r="H583" s="400"/>
      <c r="I583" s="400"/>
      <c r="J583" s="401"/>
      <c r="K583" s="41"/>
    </row>
    <row r="584" spans="2:14" x14ac:dyDescent="0.2">
      <c r="B584" s="38"/>
      <c r="C584" s="40"/>
      <c r="D584" s="40"/>
      <c r="E584" s="40"/>
      <c r="F584" s="40"/>
      <c r="G584" s="40"/>
      <c r="H584" s="40"/>
      <c r="I584" s="40"/>
      <c r="J584" s="40"/>
      <c r="K584" s="41"/>
    </row>
    <row r="585" spans="2:14" x14ac:dyDescent="0.2">
      <c r="B585" s="38"/>
      <c r="C585" s="179" t="s">
        <v>324</v>
      </c>
      <c r="D585" s="40"/>
      <c r="E585" s="40"/>
      <c r="F585" s="40"/>
      <c r="G585" s="40"/>
      <c r="H585" s="40"/>
      <c r="I585" s="40"/>
      <c r="J585" s="245" t="str">
        <f>IF(J579="N/A",IF(OR(J572="Not Calculated",J581="Not Calculated")=TRUE,"Not Calculated",AVERAGE(J572,J581)),AVERAGE(J579,J581))</f>
        <v>Not Calculated</v>
      </c>
      <c r="K585" s="41"/>
    </row>
    <row r="586" spans="2:14" x14ac:dyDescent="0.2">
      <c r="B586" s="38"/>
      <c r="C586" s="40"/>
      <c r="D586" s="40"/>
      <c r="E586" s="40"/>
      <c r="F586" s="40"/>
      <c r="G586" s="40"/>
      <c r="H586" s="40"/>
      <c r="I586" s="40"/>
      <c r="J586" s="40"/>
      <c r="K586" s="41"/>
    </row>
    <row r="587" spans="2:14" x14ac:dyDescent="0.2">
      <c r="B587" s="38"/>
      <c r="C587" s="40"/>
      <c r="D587" s="40"/>
      <c r="E587" s="40"/>
      <c r="F587" s="40"/>
      <c r="G587" s="40"/>
      <c r="H587" s="40"/>
      <c r="I587" s="40"/>
      <c r="J587" s="40"/>
      <c r="K587" s="41"/>
    </row>
    <row r="588" spans="2:14" ht="16" x14ac:dyDescent="0.2">
      <c r="B588" s="38"/>
      <c r="C588" s="45" t="s">
        <v>115</v>
      </c>
      <c r="D588" s="40"/>
      <c r="E588" s="40"/>
      <c r="F588" s="40"/>
      <c r="G588" s="40"/>
      <c r="H588" s="40"/>
      <c r="I588" s="40"/>
      <c r="J588" s="40"/>
      <c r="K588" s="41"/>
    </row>
    <row r="589" spans="2:14" x14ac:dyDescent="0.2">
      <c r="B589" s="38"/>
      <c r="C589" s="40" t="s">
        <v>335</v>
      </c>
      <c r="D589" s="40"/>
      <c r="E589" s="40"/>
      <c r="F589" s="40"/>
      <c r="G589" s="40"/>
      <c r="H589" s="40"/>
      <c r="I589" s="40"/>
      <c r="J589" s="264">
        <f>J508</f>
        <v>0</v>
      </c>
      <c r="K589" s="41"/>
    </row>
    <row r="590" spans="2:14" x14ac:dyDescent="0.2">
      <c r="B590" s="38"/>
      <c r="C590" s="40" t="s">
        <v>260</v>
      </c>
      <c r="D590" s="40"/>
      <c r="E590" s="40"/>
      <c r="F590" s="40"/>
      <c r="G590" s="40"/>
      <c r="H590" s="40"/>
      <c r="I590" s="40"/>
      <c r="J590" s="255">
        <f>IF(J589&lt;=0,0,IF(J589&lt;=1000,1,IF(J589&lt;=5000,2,IF(J589&lt;=25000,3,4))))</f>
        <v>0</v>
      </c>
      <c r="K590" s="41"/>
    </row>
    <row r="591" spans="2:14" ht="9.75" customHeight="1" x14ac:dyDescent="0.2">
      <c r="B591" s="38"/>
      <c r="C591" s="279" t="str">
        <f>"0:"</f>
        <v>0:</v>
      </c>
      <c r="D591" s="284" t="s">
        <v>970</v>
      </c>
      <c r="E591" s="40"/>
      <c r="F591" s="40"/>
      <c r="G591" s="40"/>
      <c r="H591" s="40"/>
      <c r="I591" s="40"/>
      <c r="J591" s="251"/>
      <c r="K591" s="41"/>
    </row>
    <row r="592" spans="2:14" ht="9.75" customHeight="1" x14ac:dyDescent="0.2">
      <c r="B592" s="38"/>
      <c r="C592" s="280" t="str">
        <f>"1:"</f>
        <v>1:</v>
      </c>
      <c r="D592" s="284" t="s">
        <v>961</v>
      </c>
      <c r="E592" s="40"/>
      <c r="F592" s="40"/>
      <c r="G592" s="40"/>
      <c r="H592" s="40"/>
      <c r="I592" s="40"/>
      <c r="J592" s="251"/>
      <c r="K592" s="41"/>
    </row>
    <row r="593" spans="2:11" ht="9.75" customHeight="1" x14ac:dyDescent="0.2">
      <c r="B593" s="38"/>
      <c r="C593" s="280" t="str">
        <f>"2:"</f>
        <v>2:</v>
      </c>
      <c r="D593" s="284" t="s">
        <v>971</v>
      </c>
      <c r="E593" s="40"/>
      <c r="F593" s="40"/>
      <c r="G593" s="40"/>
      <c r="H593" s="40"/>
      <c r="I593" s="40"/>
      <c r="J593" s="251"/>
      <c r="K593" s="41"/>
    </row>
    <row r="594" spans="2:11" ht="9.75" customHeight="1" x14ac:dyDescent="0.2">
      <c r="B594" s="38"/>
      <c r="C594" s="280" t="str">
        <f>"3:"</f>
        <v>3:</v>
      </c>
      <c r="D594" s="284" t="s">
        <v>963</v>
      </c>
      <c r="E594" s="40"/>
      <c r="F594" s="40"/>
      <c r="G594" s="40"/>
      <c r="H594" s="40"/>
      <c r="I594" s="40"/>
      <c r="J594" s="251"/>
      <c r="K594" s="41"/>
    </row>
    <row r="595" spans="2:11" ht="9.75" customHeight="1" x14ac:dyDescent="0.2">
      <c r="B595" s="38"/>
      <c r="C595" s="280" t="str">
        <f>"4:"</f>
        <v>4:</v>
      </c>
      <c r="D595" s="284" t="s">
        <v>964</v>
      </c>
      <c r="E595" s="40"/>
      <c r="F595" s="40"/>
      <c r="G595" s="40"/>
      <c r="H595" s="40"/>
      <c r="I595" s="40"/>
      <c r="J595" s="40"/>
      <c r="K595" s="41"/>
    </row>
    <row r="596" spans="2:11" ht="15" customHeight="1" x14ac:dyDescent="0.2">
      <c r="B596" s="38"/>
      <c r="C596" s="40" t="s">
        <v>257</v>
      </c>
      <c r="D596" s="40"/>
      <c r="E596" s="40"/>
      <c r="F596" s="40"/>
      <c r="G596" s="40"/>
      <c r="H596" s="40"/>
      <c r="I596" s="40"/>
      <c r="J596" s="266" t="s">
        <v>874</v>
      </c>
      <c r="K596" s="41"/>
    </row>
    <row r="597" spans="2:11" ht="15" customHeight="1" x14ac:dyDescent="0.2">
      <c r="B597" s="38"/>
      <c r="C597" s="40" t="s">
        <v>261</v>
      </c>
      <c r="D597" s="40"/>
      <c r="E597" s="40"/>
      <c r="F597" s="40"/>
      <c r="G597" s="40"/>
      <c r="H597" s="40"/>
      <c r="I597" s="40"/>
      <c r="J597" s="245">
        <f>IF(J596=$B$973,$A$973,IF(J596=$B$974,$A$974,IF(J596=$B$975,$A$975,IF(J596=$B$976,$A$976,IF(J596=$B$977,$A$977,"Not Calculated")))))</f>
        <v>4</v>
      </c>
      <c r="K597" s="41"/>
    </row>
    <row r="598" spans="2:11" x14ac:dyDescent="0.2">
      <c r="B598" s="38"/>
      <c r="C598" s="40" t="s">
        <v>893</v>
      </c>
      <c r="D598" s="40"/>
      <c r="E598" s="40"/>
      <c r="F598" s="40"/>
      <c r="G598" s="40"/>
      <c r="H598" s="40"/>
      <c r="I598" s="40"/>
      <c r="J598" s="40"/>
      <c r="K598" s="41"/>
    </row>
    <row r="599" spans="2:11" ht="30" customHeight="1" x14ac:dyDescent="0.2">
      <c r="B599" s="38"/>
      <c r="C599" s="399" t="s">
        <v>1037</v>
      </c>
      <c r="D599" s="400"/>
      <c r="E599" s="400"/>
      <c r="F599" s="400"/>
      <c r="G599" s="400"/>
      <c r="H599" s="400"/>
      <c r="I599" s="400"/>
      <c r="J599" s="401"/>
      <c r="K599" s="41"/>
    </row>
    <row r="600" spans="2:11" x14ac:dyDescent="0.2">
      <c r="B600" s="38"/>
      <c r="C600" s="40"/>
      <c r="D600" s="40"/>
      <c r="E600" s="40"/>
      <c r="F600" s="40"/>
      <c r="G600" s="40"/>
      <c r="H600" s="40"/>
      <c r="I600" s="40"/>
      <c r="J600" s="40"/>
      <c r="K600" s="41"/>
    </row>
    <row r="601" spans="2:11" x14ac:dyDescent="0.2">
      <c r="B601" s="38"/>
      <c r="C601" s="179" t="s">
        <v>325</v>
      </c>
      <c r="D601" s="40"/>
      <c r="E601" s="40"/>
      <c r="F601" s="40"/>
      <c r="G601" s="40"/>
      <c r="H601" s="40"/>
      <c r="I601" s="40"/>
      <c r="J601" s="245">
        <f>IF(J590="Not Calculated","Not Calculated",AVERAGE(J590,J597))</f>
        <v>2</v>
      </c>
      <c r="K601" s="41"/>
    </row>
    <row r="602" spans="2:11" x14ac:dyDescent="0.2">
      <c r="B602" s="38"/>
      <c r="C602" s="40"/>
      <c r="D602" s="40"/>
      <c r="E602" s="40"/>
      <c r="F602" s="40"/>
      <c r="G602" s="40"/>
      <c r="H602" s="40"/>
      <c r="I602" s="40"/>
      <c r="J602" s="40"/>
      <c r="K602" s="41"/>
    </row>
    <row r="603" spans="2:11" x14ac:dyDescent="0.2">
      <c r="B603" s="38"/>
      <c r="C603" s="40"/>
      <c r="D603" s="40"/>
      <c r="E603" s="40"/>
      <c r="F603" s="40"/>
      <c r="G603" s="40"/>
      <c r="H603" s="40"/>
      <c r="I603" s="40"/>
      <c r="J603" s="40"/>
      <c r="K603" s="41"/>
    </row>
    <row r="604" spans="2:11" ht="16" x14ac:dyDescent="0.2">
      <c r="B604" s="38"/>
      <c r="C604" s="45" t="s">
        <v>326</v>
      </c>
      <c r="D604" s="40"/>
      <c r="E604" s="40"/>
      <c r="F604" s="40"/>
      <c r="G604" s="40"/>
      <c r="H604" s="40"/>
      <c r="I604" s="40"/>
      <c r="J604" s="40"/>
      <c r="K604" s="41"/>
    </row>
    <row r="605" spans="2:11" x14ac:dyDescent="0.2">
      <c r="B605" s="38"/>
      <c r="C605" s="40" t="s">
        <v>336</v>
      </c>
      <c r="D605" s="40"/>
      <c r="E605" s="40"/>
      <c r="F605" s="40"/>
      <c r="G605" s="40"/>
      <c r="H605" s="40"/>
      <c r="I605" s="40"/>
      <c r="J605" s="271">
        <v>0</v>
      </c>
      <c r="K605" s="41"/>
    </row>
    <row r="606" spans="2:11" x14ac:dyDescent="0.2">
      <c r="B606" s="38"/>
      <c r="C606" s="40" t="s">
        <v>260</v>
      </c>
      <c r="D606" s="40"/>
      <c r="E606" s="40"/>
      <c r="F606" s="40"/>
      <c r="G606" s="40"/>
      <c r="H606" s="40"/>
      <c r="I606" s="40"/>
      <c r="J606" s="248">
        <f>IF(J605&lt;=0,0,IF(J605&lt;=10,1,IF(J605&lt;=25,2,IF(J605&lt;=50,3,4))))</f>
        <v>0</v>
      </c>
      <c r="K606" s="41"/>
    </row>
    <row r="607" spans="2:11" ht="9.75" customHeight="1" x14ac:dyDescent="0.2">
      <c r="B607" s="38"/>
      <c r="C607" s="279" t="str">
        <f>"0:"</f>
        <v>0:</v>
      </c>
      <c r="D607" s="290" t="s">
        <v>944</v>
      </c>
      <c r="E607" s="40"/>
      <c r="F607" s="40"/>
      <c r="G607" s="40"/>
      <c r="H607" s="40"/>
      <c r="I607" s="40"/>
      <c r="J607" s="244"/>
      <c r="K607" s="41"/>
    </row>
    <row r="608" spans="2:11" ht="9.75" customHeight="1" x14ac:dyDescent="0.2">
      <c r="B608" s="38"/>
      <c r="C608" s="280" t="str">
        <f>"1:"</f>
        <v>1:</v>
      </c>
      <c r="D608" s="290" t="s">
        <v>947</v>
      </c>
      <c r="E608" s="40"/>
      <c r="F608" s="40"/>
      <c r="G608" s="40"/>
      <c r="H608" s="40"/>
      <c r="I608" s="40"/>
      <c r="J608" s="244"/>
      <c r="K608" s="41"/>
    </row>
    <row r="609" spans="2:11" ht="9.75" customHeight="1" x14ac:dyDescent="0.2">
      <c r="B609" s="38"/>
      <c r="C609" s="280" t="str">
        <f>"2:"</f>
        <v>2:</v>
      </c>
      <c r="D609" s="290" t="s">
        <v>972</v>
      </c>
      <c r="E609" s="40"/>
      <c r="F609" s="40"/>
      <c r="G609" s="40"/>
      <c r="H609" s="40"/>
      <c r="I609" s="40"/>
      <c r="J609" s="244"/>
      <c r="K609" s="41"/>
    </row>
    <row r="610" spans="2:11" ht="9.75" customHeight="1" x14ac:dyDescent="0.2">
      <c r="B610" s="38"/>
      <c r="C610" s="280" t="str">
        <f>"3:"</f>
        <v>3:</v>
      </c>
      <c r="D610" s="290" t="s">
        <v>973</v>
      </c>
      <c r="E610" s="40"/>
      <c r="F610" s="40"/>
      <c r="G610" s="40"/>
      <c r="H610" s="40"/>
      <c r="I610" s="40"/>
      <c r="J610" s="244"/>
      <c r="K610" s="41"/>
    </row>
    <row r="611" spans="2:11" ht="9.75" customHeight="1" x14ac:dyDescent="0.2">
      <c r="B611" s="38"/>
      <c r="C611" s="280" t="str">
        <f>"4:"</f>
        <v>4:</v>
      </c>
      <c r="D611" s="290" t="s">
        <v>974</v>
      </c>
      <c r="E611" s="40"/>
      <c r="F611" s="40"/>
      <c r="G611" s="40"/>
      <c r="H611" s="40"/>
      <c r="I611" s="40"/>
      <c r="J611" s="40"/>
      <c r="K611" s="41"/>
    </row>
    <row r="612" spans="2:11" x14ac:dyDescent="0.2">
      <c r="B612" s="38"/>
      <c r="C612" s="40" t="s">
        <v>893</v>
      </c>
      <c r="D612" s="40"/>
      <c r="E612" s="40"/>
      <c r="F612" s="40"/>
      <c r="G612" s="40"/>
      <c r="H612" s="40"/>
      <c r="I612" s="40"/>
      <c r="J612" s="40"/>
      <c r="K612" s="41"/>
    </row>
    <row r="613" spans="2:11" ht="30" customHeight="1" x14ac:dyDescent="0.2">
      <c r="B613" s="38"/>
      <c r="C613" s="399"/>
      <c r="D613" s="400"/>
      <c r="E613" s="400"/>
      <c r="F613" s="400"/>
      <c r="G613" s="400"/>
      <c r="H613" s="400"/>
      <c r="I613" s="400"/>
      <c r="J613" s="401"/>
      <c r="K613" s="41"/>
    </row>
    <row r="614" spans="2:11" x14ac:dyDescent="0.2">
      <c r="B614" s="38"/>
      <c r="C614" s="40"/>
      <c r="D614" s="40"/>
      <c r="E614" s="40"/>
      <c r="F614" s="40"/>
      <c r="G614" s="40"/>
      <c r="H614" s="40"/>
      <c r="I614" s="40"/>
      <c r="J614" s="40"/>
      <c r="K614" s="41"/>
    </row>
    <row r="615" spans="2:11" x14ac:dyDescent="0.2">
      <c r="B615" s="38"/>
      <c r="C615" s="179" t="s">
        <v>327</v>
      </c>
      <c r="D615" s="40"/>
      <c r="E615" s="40"/>
      <c r="F615" s="40"/>
      <c r="G615" s="40"/>
      <c r="H615" s="40"/>
      <c r="I615" s="40"/>
      <c r="J615" s="245">
        <f>J606</f>
        <v>0</v>
      </c>
      <c r="K615" s="41"/>
    </row>
    <row r="616" spans="2:11" x14ac:dyDescent="0.2">
      <c r="B616" s="38"/>
      <c r="C616" s="40"/>
      <c r="D616" s="40"/>
      <c r="E616" s="40"/>
      <c r="F616" s="40"/>
      <c r="G616" s="40"/>
      <c r="H616" s="40"/>
      <c r="I616" s="40"/>
      <c r="J616" s="40"/>
      <c r="K616" s="41"/>
    </row>
    <row r="617" spans="2:11" x14ac:dyDescent="0.2">
      <c r="B617" s="38"/>
      <c r="C617" s="40"/>
      <c r="D617" s="40"/>
      <c r="E617" s="40"/>
      <c r="F617" s="40"/>
      <c r="G617" s="40"/>
      <c r="H617" s="40"/>
      <c r="I617" s="40"/>
      <c r="J617" s="40"/>
      <c r="K617" s="41"/>
    </row>
    <row r="618" spans="2:11" ht="16" x14ac:dyDescent="0.2">
      <c r="B618" s="38"/>
      <c r="C618" s="45" t="s">
        <v>92</v>
      </c>
      <c r="D618" s="40"/>
      <c r="E618" s="40"/>
      <c r="F618" s="40"/>
      <c r="G618" s="40"/>
      <c r="H618" s="40"/>
      <c r="I618" s="40"/>
      <c r="J618" s="40"/>
      <c r="K618" s="41"/>
    </row>
    <row r="619" spans="2:11" x14ac:dyDescent="0.2">
      <c r="B619" s="38"/>
      <c r="C619" s="40" t="s">
        <v>337</v>
      </c>
      <c r="D619" s="40"/>
      <c r="E619" s="40"/>
      <c r="F619" s="40"/>
      <c r="G619" s="40"/>
      <c r="H619" s="40"/>
      <c r="I619" s="40"/>
      <c r="J619" s="251">
        <f>'Baseline Health'!G137</f>
        <v>1</v>
      </c>
      <c r="K619" s="41"/>
    </row>
    <row r="620" spans="2:11" ht="15" customHeight="1" x14ac:dyDescent="0.2">
      <c r="B620" s="38"/>
      <c r="C620" s="380" t="s">
        <v>338</v>
      </c>
      <c r="D620" s="380"/>
      <c r="E620" s="380"/>
      <c r="F620" s="380"/>
      <c r="G620" s="380"/>
      <c r="H620" s="380"/>
      <c r="I620" s="380"/>
      <c r="J620" s="251"/>
      <c r="K620" s="41"/>
    </row>
    <row r="621" spans="2:11" x14ac:dyDescent="0.2">
      <c r="B621" s="38"/>
      <c r="C621" s="380"/>
      <c r="D621" s="380"/>
      <c r="E621" s="380"/>
      <c r="F621" s="380"/>
      <c r="G621" s="380"/>
      <c r="H621" s="380"/>
      <c r="I621" s="380"/>
      <c r="J621" s="264">
        <v>3000</v>
      </c>
      <c r="K621" s="41"/>
    </row>
    <row r="622" spans="2:11" x14ac:dyDescent="0.2">
      <c r="B622" s="38"/>
      <c r="C622" s="40" t="s">
        <v>260</v>
      </c>
      <c r="D622" s="40"/>
      <c r="E622" s="40"/>
      <c r="F622" s="40"/>
      <c r="G622" s="40"/>
      <c r="H622" s="40"/>
      <c r="I622" s="40"/>
      <c r="J622" s="245">
        <f>IF(OR(J619=0,J619="Not Calculated")=TRUE,"Not Calculated",IF(((J619+J621)/J619)&lt;=1,0,IF(((J619+J621)/J619)&lt;=1.05,1,IF(((J619+J621)/J619)&lt;=1.5, 2,IF(((J619+J621)/J619)&lt;=2,3,4)))))</f>
        <v>4</v>
      </c>
      <c r="K622" s="41"/>
    </row>
    <row r="623" spans="2:11" ht="9.75" customHeight="1" x14ac:dyDescent="0.2">
      <c r="B623" s="38"/>
      <c r="C623" s="279" t="str">
        <f>"0:"</f>
        <v>0:</v>
      </c>
      <c r="D623" s="281" t="s">
        <v>918</v>
      </c>
      <c r="E623" s="291"/>
      <c r="F623" s="291"/>
      <c r="G623" s="291"/>
      <c r="H623" s="291"/>
      <c r="I623" s="291"/>
      <c r="J623" s="251"/>
      <c r="K623" s="41"/>
    </row>
    <row r="624" spans="2:11" ht="9.75" customHeight="1" x14ac:dyDescent="0.2">
      <c r="B624" s="38"/>
      <c r="C624" s="280" t="str">
        <f>"1:"</f>
        <v>1:</v>
      </c>
      <c r="D624" s="281" t="s">
        <v>919</v>
      </c>
      <c r="E624" s="291"/>
      <c r="F624" s="291"/>
      <c r="G624" s="291"/>
      <c r="H624" s="291"/>
      <c r="I624" s="291"/>
      <c r="J624" s="251"/>
      <c r="K624" s="41"/>
    </row>
    <row r="625" spans="2:14" ht="9.75" customHeight="1" x14ac:dyDescent="0.2">
      <c r="B625" s="38"/>
      <c r="C625" s="280" t="str">
        <f>"2:"</f>
        <v>2:</v>
      </c>
      <c r="D625" s="281" t="s">
        <v>920</v>
      </c>
      <c r="E625" s="291"/>
      <c r="F625" s="291"/>
      <c r="G625" s="291"/>
      <c r="H625" s="291"/>
      <c r="I625" s="291"/>
      <c r="J625" s="251"/>
      <c r="K625" s="41"/>
    </row>
    <row r="626" spans="2:14" ht="9.75" customHeight="1" x14ac:dyDescent="0.2">
      <c r="B626" s="38"/>
      <c r="C626" s="280" t="str">
        <f>"3:"</f>
        <v>3:</v>
      </c>
      <c r="D626" s="281" t="s">
        <v>921</v>
      </c>
      <c r="E626" s="291"/>
      <c r="F626" s="291"/>
      <c r="G626" s="291"/>
      <c r="H626" s="291"/>
      <c r="I626" s="291"/>
      <c r="J626" s="251"/>
      <c r="K626" s="41"/>
    </row>
    <row r="627" spans="2:14" ht="9.75" customHeight="1" x14ac:dyDescent="0.2">
      <c r="B627" s="38"/>
      <c r="C627" s="280" t="str">
        <f>"4:"</f>
        <v>4:</v>
      </c>
      <c r="D627" s="281" t="s">
        <v>922</v>
      </c>
      <c r="E627" s="40"/>
      <c r="F627" s="40"/>
      <c r="G627" s="40"/>
      <c r="H627" s="40"/>
      <c r="I627" s="40"/>
      <c r="J627" s="40"/>
      <c r="K627" s="41"/>
      <c r="N627" s="12" t="s">
        <v>661</v>
      </c>
    </row>
    <row r="628" spans="2:14" x14ac:dyDescent="0.2">
      <c r="B628" s="38"/>
      <c r="C628" s="174" t="s">
        <v>662</v>
      </c>
      <c r="D628" s="40"/>
      <c r="E628" s="40"/>
      <c r="F628" s="40"/>
      <c r="G628" s="40"/>
      <c r="H628" s="40"/>
      <c r="I628" s="40"/>
      <c r="J628" s="265" t="s">
        <v>661</v>
      </c>
      <c r="K628" s="41"/>
      <c r="N628" s="12" t="s">
        <v>894</v>
      </c>
    </row>
    <row r="629" spans="2:14" x14ac:dyDescent="0.2">
      <c r="B629" s="38"/>
      <c r="C629" s="174" t="s">
        <v>660</v>
      </c>
      <c r="D629" s="40"/>
      <c r="E629" s="40"/>
      <c r="F629" s="40"/>
      <c r="G629" s="40"/>
      <c r="H629" s="40"/>
      <c r="I629" s="40"/>
      <c r="J629" s="247" t="str">
        <f>IF(J628=N627,"N/A",IF(J628=N628,0,IF(J628=N629,1,IF(J628=N630,2,IF(J628=N631,3,IF(J628=N632,4,"N/A"))))))</f>
        <v>N/A</v>
      </c>
      <c r="K629" s="41"/>
      <c r="N629" s="12" t="s">
        <v>895</v>
      </c>
    </row>
    <row r="630" spans="2:14" x14ac:dyDescent="0.2">
      <c r="B630" s="38"/>
      <c r="C630" s="40" t="s">
        <v>257</v>
      </c>
      <c r="D630" s="40"/>
      <c r="E630" s="40"/>
      <c r="F630" s="40"/>
      <c r="G630" s="40"/>
      <c r="H630" s="40"/>
      <c r="I630" s="40"/>
      <c r="J630" s="266" t="s">
        <v>870</v>
      </c>
      <c r="K630" s="41"/>
      <c r="N630" s="12" t="s">
        <v>896</v>
      </c>
    </row>
    <row r="631" spans="2:14" x14ac:dyDescent="0.2">
      <c r="B631" s="38"/>
      <c r="C631" s="40" t="s">
        <v>261</v>
      </c>
      <c r="D631" s="40"/>
      <c r="E631" s="40"/>
      <c r="F631" s="40"/>
      <c r="G631" s="40"/>
      <c r="H631" s="40"/>
      <c r="I631" s="40"/>
      <c r="J631" s="245">
        <f>IF(J630=$B$973,$A$973,IF(J630=$B$974,$A$974,IF(J630=$B$975,$A$975,IF(J630=$B$976,$A$976,IF(J630=$B$977,$A$977,"Not Calculated")))))</f>
        <v>0</v>
      </c>
      <c r="K631" s="41"/>
      <c r="N631" s="12" t="s">
        <v>897</v>
      </c>
    </row>
    <row r="632" spans="2:14" x14ac:dyDescent="0.2">
      <c r="B632" s="38"/>
      <c r="C632" s="40" t="s">
        <v>893</v>
      </c>
      <c r="D632" s="40"/>
      <c r="E632" s="40"/>
      <c r="F632" s="40"/>
      <c r="G632" s="40"/>
      <c r="H632" s="40"/>
      <c r="I632" s="40"/>
      <c r="J632" s="40"/>
      <c r="K632" s="41"/>
      <c r="N632" s="12" t="s">
        <v>898</v>
      </c>
    </row>
    <row r="633" spans="2:14" ht="30" customHeight="1" x14ac:dyDescent="0.2">
      <c r="B633" s="38"/>
      <c r="C633" s="399" t="s">
        <v>552</v>
      </c>
      <c r="D633" s="400"/>
      <c r="E633" s="400"/>
      <c r="F633" s="400"/>
      <c r="G633" s="400"/>
      <c r="H633" s="400"/>
      <c r="I633" s="400"/>
      <c r="J633" s="401"/>
      <c r="K633" s="41"/>
    </row>
    <row r="634" spans="2:14" x14ac:dyDescent="0.2">
      <c r="B634" s="38"/>
      <c r="C634" s="40"/>
      <c r="D634" s="40"/>
      <c r="E634" s="40"/>
      <c r="F634" s="40"/>
      <c r="G634" s="40"/>
      <c r="H634" s="40"/>
      <c r="I634" s="40"/>
      <c r="J634" s="40"/>
      <c r="K634" s="41"/>
    </row>
    <row r="635" spans="2:14" x14ac:dyDescent="0.2">
      <c r="B635" s="38"/>
      <c r="C635" s="179" t="s">
        <v>328</v>
      </c>
      <c r="D635" s="40"/>
      <c r="E635" s="40"/>
      <c r="F635" s="40"/>
      <c r="G635" s="40"/>
      <c r="H635" s="40"/>
      <c r="I635" s="40"/>
      <c r="J635" s="245">
        <f>IF(J629="N/A",IF(OR(J622="Not Calculated",J631="Not Calculated")=TRUE,"Not Calculated",AVERAGE(J622,J631)),AVERAGE(J629,J631))</f>
        <v>2</v>
      </c>
      <c r="K635" s="41"/>
    </row>
    <row r="636" spans="2:14" x14ac:dyDescent="0.2">
      <c r="B636" s="38"/>
      <c r="C636" s="40"/>
      <c r="D636" s="40"/>
      <c r="E636" s="40"/>
      <c r="F636" s="40"/>
      <c r="G636" s="40"/>
      <c r="H636" s="40"/>
      <c r="I636" s="40"/>
      <c r="J636" s="40"/>
      <c r="K636" s="41"/>
    </row>
    <row r="637" spans="2:14" x14ac:dyDescent="0.2">
      <c r="B637" s="38"/>
      <c r="C637" s="40"/>
      <c r="D637" s="40"/>
      <c r="E637" s="40"/>
      <c r="F637" s="40"/>
      <c r="G637" s="40"/>
      <c r="H637" s="40"/>
      <c r="I637" s="40"/>
      <c r="J637" s="40"/>
      <c r="K637" s="41"/>
    </row>
    <row r="638" spans="2:14" ht="16" x14ac:dyDescent="0.2">
      <c r="B638" s="38"/>
      <c r="C638" s="45" t="s">
        <v>329</v>
      </c>
      <c r="D638" s="40"/>
      <c r="E638" s="40"/>
      <c r="F638" s="40"/>
      <c r="G638" s="40"/>
      <c r="H638" s="40"/>
      <c r="I638" s="40"/>
      <c r="J638" s="40"/>
      <c r="K638" s="41"/>
    </row>
    <row r="639" spans="2:14" ht="15" customHeight="1" x14ac:dyDescent="0.2">
      <c r="B639" s="38"/>
      <c r="C639" s="380" t="s">
        <v>339</v>
      </c>
      <c r="D639" s="380"/>
      <c r="E639" s="380"/>
      <c r="F639" s="380"/>
      <c r="G639" s="380"/>
      <c r="H639" s="380"/>
      <c r="I639" s="380"/>
      <c r="J639" s="40"/>
      <c r="K639" s="41"/>
    </row>
    <row r="640" spans="2:14" x14ac:dyDescent="0.2">
      <c r="B640" s="38"/>
      <c r="C640" s="380"/>
      <c r="D640" s="380"/>
      <c r="E640" s="380"/>
      <c r="F640" s="380"/>
      <c r="G640" s="380"/>
      <c r="H640" s="380"/>
      <c r="I640" s="380"/>
      <c r="J640" s="250">
        <f>'Baseline Health'!G145</f>
        <v>0</v>
      </c>
      <c r="K640" s="41"/>
    </row>
    <row r="641" spans="2:14" ht="15" customHeight="1" x14ac:dyDescent="0.2">
      <c r="B641" s="38"/>
      <c r="C641" s="380" t="s">
        <v>340</v>
      </c>
      <c r="D641" s="380"/>
      <c r="E641" s="380"/>
      <c r="F641" s="380"/>
      <c r="G641" s="380"/>
      <c r="H641" s="380"/>
      <c r="I641" s="380"/>
      <c r="J641" s="245"/>
      <c r="K641" s="41"/>
    </row>
    <row r="642" spans="2:14" x14ac:dyDescent="0.2">
      <c r="B642" s="38"/>
      <c r="C642" s="380"/>
      <c r="D642" s="380"/>
      <c r="E642" s="380"/>
      <c r="F642" s="380"/>
      <c r="G642" s="380"/>
      <c r="H642" s="380"/>
      <c r="I642" s="380"/>
      <c r="J642" s="245"/>
      <c r="K642" s="41"/>
    </row>
    <row r="643" spans="2:14" x14ac:dyDescent="0.2">
      <c r="B643" s="38"/>
      <c r="C643" s="380"/>
      <c r="D643" s="380"/>
      <c r="E643" s="380"/>
      <c r="F643" s="380"/>
      <c r="G643" s="380"/>
      <c r="H643" s="380"/>
      <c r="I643" s="380"/>
      <c r="J643" s="272">
        <v>75</v>
      </c>
      <c r="K643" s="41"/>
    </row>
    <row r="644" spans="2:14" x14ac:dyDescent="0.2">
      <c r="B644" s="38"/>
      <c r="C644" s="40" t="s">
        <v>260</v>
      </c>
      <c r="D644" s="40"/>
      <c r="E644" s="40"/>
      <c r="F644" s="40"/>
      <c r="G644" s="40"/>
      <c r="H644" s="40"/>
      <c r="I644" s="40"/>
      <c r="J644" s="245" t="str">
        <f>IF(OR(J640=0,J640="Not Calculated")=TRUE,"Not Calculated",IF(((J640+J643)/J640)&lt;=1,0,IF(((J640+J643)/J640)&lt;=1.05,1,IF(((J640+J643)/J640)&lt;=1.5, 2,IF(((J640+J643)/J640)&lt;=2,3,4)))))</f>
        <v>Not Calculated</v>
      </c>
      <c r="K644" s="41"/>
    </row>
    <row r="645" spans="2:14" ht="9.75" customHeight="1" x14ac:dyDescent="0.2">
      <c r="B645" s="38"/>
      <c r="C645" s="279" t="str">
        <f>"0:"</f>
        <v>0:</v>
      </c>
      <c r="D645" s="281" t="s">
        <v>918</v>
      </c>
      <c r="E645" s="291"/>
      <c r="F645" s="291"/>
      <c r="G645" s="291"/>
      <c r="H645" s="291"/>
      <c r="I645" s="291"/>
      <c r="J645" s="250"/>
      <c r="K645" s="41"/>
    </row>
    <row r="646" spans="2:14" ht="9.75" customHeight="1" x14ac:dyDescent="0.2">
      <c r="B646" s="38"/>
      <c r="C646" s="280" t="str">
        <f>"1:"</f>
        <v>1:</v>
      </c>
      <c r="D646" s="281" t="s">
        <v>919</v>
      </c>
      <c r="E646" s="291"/>
      <c r="F646" s="291"/>
      <c r="G646" s="291"/>
      <c r="H646" s="291"/>
      <c r="I646" s="291"/>
      <c r="J646" s="250"/>
      <c r="K646" s="41"/>
    </row>
    <row r="647" spans="2:14" ht="9.75" customHeight="1" x14ac:dyDescent="0.2">
      <c r="B647" s="38"/>
      <c r="C647" s="280" t="str">
        <f>"2:"</f>
        <v>2:</v>
      </c>
      <c r="D647" s="281" t="s">
        <v>920</v>
      </c>
      <c r="E647" s="291"/>
      <c r="F647" s="291"/>
      <c r="G647" s="291"/>
      <c r="H647" s="291"/>
      <c r="I647" s="291"/>
      <c r="J647" s="250"/>
      <c r="K647" s="41"/>
    </row>
    <row r="648" spans="2:14" ht="9.75" customHeight="1" x14ac:dyDescent="0.2">
      <c r="B648" s="38"/>
      <c r="C648" s="280" t="str">
        <f>"3:"</f>
        <v>3:</v>
      </c>
      <c r="D648" s="281" t="s">
        <v>921</v>
      </c>
      <c r="E648" s="291"/>
      <c r="F648" s="291"/>
      <c r="G648" s="291"/>
      <c r="H648" s="291"/>
      <c r="I648" s="291"/>
      <c r="J648" s="250"/>
      <c r="K648" s="41"/>
    </row>
    <row r="649" spans="2:14" ht="9.75" customHeight="1" x14ac:dyDescent="0.2">
      <c r="B649" s="38"/>
      <c r="C649" s="280" t="str">
        <f>"4:"</f>
        <v>4:</v>
      </c>
      <c r="D649" s="281" t="s">
        <v>922</v>
      </c>
      <c r="E649" s="40"/>
      <c r="F649" s="40"/>
      <c r="G649" s="40"/>
      <c r="H649" s="40"/>
      <c r="I649" s="40"/>
      <c r="J649" s="40"/>
      <c r="K649" s="41"/>
      <c r="N649" s="12" t="s">
        <v>661</v>
      </c>
    </row>
    <row r="650" spans="2:14" x14ac:dyDescent="0.2">
      <c r="B650" s="38"/>
      <c r="C650" s="174" t="s">
        <v>662</v>
      </c>
      <c r="D650" s="40"/>
      <c r="E650" s="40"/>
      <c r="F650" s="40"/>
      <c r="G650" s="40"/>
      <c r="H650" s="40"/>
      <c r="I650" s="40"/>
      <c r="J650" s="265" t="s">
        <v>661</v>
      </c>
      <c r="K650" s="41"/>
      <c r="N650" s="12" t="s">
        <v>894</v>
      </c>
    </row>
    <row r="651" spans="2:14" x14ac:dyDescent="0.2">
      <c r="B651" s="38"/>
      <c r="C651" s="174" t="s">
        <v>660</v>
      </c>
      <c r="D651" s="40"/>
      <c r="E651" s="40"/>
      <c r="F651" s="40"/>
      <c r="G651" s="40"/>
      <c r="H651" s="40"/>
      <c r="I651" s="40"/>
      <c r="J651" s="247" t="str">
        <f>IF(J650=N649,"N/A",IF(J650=N650,0,IF(J650=N651,1,IF(J650=N652,2,IF(J650=N653,3,IF(J650=N654,4,"N/A"))))))</f>
        <v>N/A</v>
      </c>
      <c r="K651" s="41"/>
      <c r="N651" s="12" t="s">
        <v>895</v>
      </c>
    </row>
    <row r="652" spans="2:14" ht="15" customHeight="1" x14ac:dyDescent="0.2">
      <c r="B652" s="38"/>
      <c r="C652" s="40" t="s">
        <v>257</v>
      </c>
      <c r="D652" s="40"/>
      <c r="E652" s="40"/>
      <c r="F652" s="40"/>
      <c r="G652" s="40"/>
      <c r="H652" s="40"/>
      <c r="I652" s="40"/>
      <c r="J652" s="266" t="s">
        <v>874</v>
      </c>
      <c r="K652" s="41"/>
      <c r="N652" s="12" t="s">
        <v>896</v>
      </c>
    </row>
    <row r="653" spans="2:14" x14ac:dyDescent="0.2">
      <c r="B653" s="38"/>
      <c r="C653" s="40" t="s">
        <v>261</v>
      </c>
      <c r="D653" s="40"/>
      <c r="E653" s="40"/>
      <c r="F653" s="40"/>
      <c r="G653" s="40"/>
      <c r="H653" s="40"/>
      <c r="I653" s="40"/>
      <c r="J653" s="245">
        <f>IF(J652=$B$973,$A$973,IF(J652=$B$974,$A$974,IF(J652=$B$975,$A$975,IF(J652=$B$976,$A$976,IF(J652=$B$977,$A$977,"Not Calculated")))))</f>
        <v>4</v>
      </c>
      <c r="K653" s="41"/>
      <c r="N653" s="12" t="s">
        <v>897</v>
      </c>
    </row>
    <row r="654" spans="2:14" x14ac:dyDescent="0.2">
      <c r="B654" s="38"/>
      <c r="C654" s="40" t="s">
        <v>893</v>
      </c>
      <c r="D654" s="40"/>
      <c r="E654" s="40"/>
      <c r="F654" s="40"/>
      <c r="G654" s="40"/>
      <c r="H654" s="40"/>
      <c r="I654" s="40"/>
      <c r="J654" s="40"/>
      <c r="K654" s="41"/>
      <c r="N654" s="12" t="s">
        <v>898</v>
      </c>
    </row>
    <row r="655" spans="2:14" ht="45" customHeight="1" x14ac:dyDescent="0.2">
      <c r="B655" s="38"/>
      <c r="C655" s="399" t="s">
        <v>553</v>
      </c>
      <c r="D655" s="400"/>
      <c r="E655" s="400"/>
      <c r="F655" s="400"/>
      <c r="G655" s="400"/>
      <c r="H655" s="400"/>
      <c r="I655" s="400"/>
      <c r="J655" s="401"/>
      <c r="K655" s="41"/>
    </row>
    <row r="656" spans="2:14" x14ac:dyDescent="0.2">
      <c r="B656" s="38"/>
      <c r="C656" s="40"/>
      <c r="D656" s="40"/>
      <c r="E656" s="40"/>
      <c r="F656" s="40"/>
      <c r="G656" s="40"/>
      <c r="H656" s="40"/>
      <c r="I656" s="40"/>
      <c r="J656" s="40"/>
      <c r="K656" s="41"/>
    </row>
    <row r="657" spans="2:14" x14ac:dyDescent="0.2">
      <c r="B657" s="38"/>
      <c r="C657" s="179" t="s">
        <v>330</v>
      </c>
      <c r="D657" s="40"/>
      <c r="E657" s="40"/>
      <c r="F657" s="40"/>
      <c r="G657" s="40"/>
      <c r="H657" s="40"/>
      <c r="I657" s="40"/>
      <c r="J657" s="245" t="str">
        <f>IF(J651="N/A",IF(OR(J644="Not Calculated",J653="Not Calculated")=TRUE,"Not Calculated",AVERAGE(J644,J653)),AVERAGE(J651,J653))</f>
        <v>Not Calculated</v>
      </c>
      <c r="K657" s="41"/>
    </row>
    <row r="658" spans="2:14" x14ac:dyDescent="0.2">
      <c r="B658" s="38"/>
      <c r="C658" s="40"/>
      <c r="D658" s="40"/>
      <c r="E658" s="40"/>
      <c r="F658" s="40"/>
      <c r="G658" s="40"/>
      <c r="H658" s="40"/>
      <c r="I658" s="40"/>
      <c r="J658" s="40"/>
      <c r="K658" s="41"/>
    </row>
    <row r="659" spans="2:14" x14ac:dyDescent="0.2">
      <c r="B659" s="38"/>
      <c r="C659" s="40"/>
      <c r="D659" s="40"/>
      <c r="E659" s="40"/>
      <c r="F659" s="40"/>
      <c r="G659" s="40"/>
      <c r="H659" s="40"/>
      <c r="I659" s="40"/>
      <c r="J659" s="40"/>
      <c r="K659" s="41"/>
    </row>
    <row r="660" spans="2:14" ht="16" x14ac:dyDescent="0.2">
      <c r="B660" s="38"/>
      <c r="C660" s="45" t="s">
        <v>97</v>
      </c>
      <c r="D660" s="40"/>
      <c r="E660" s="40"/>
      <c r="F660" s="40"/>
      <c r="G660" s="40"/>
      <c r="H660" s="40"/>
      <c r="I660" s="40"/>
      <c r="J660" s="40"/>
      <c r="K660" s="41"/>
    </row>
    <row r="661" spans="2:14" x14ac:dyDescent="0.2">
      <c r="B661" s="38"/>
      <c r="C661" s="40" t="s">
        <v>449</v>
      </c>
      <c r="D661" s="40"/>
      <c r="E661" s="40"/>
      <c r="F661" s="40"/>
      <c r="G661" s="40"/>
      <c r="H661" s="40"/>
      <c r="I661" s="40"/>
      <c r="J661" s="263">
        <f>'Baseline Health'!G150</f>
        <v>0</v>
      </c>
      <c r="K661" s="41"/>
    </row>
    <row r="662" spans="2:14" x14ac:dyDescent="0.2">
      <c r="B662" s="38"/>
      <c r="C662" s="40" t="s">
        <v>341</v>
      </c>
      <c r="D662" s="40"/>
      <c r="E662" s="40"/>
      <c r="F662" s="40"/>
      <c r="G662" s="40"/>
      <c r="H662" s="40"/>
      <c r="I662" s="40"/>
      <c r="J662" s="273">
        <v>0</v>
      </c>
      <c r="K662" s="41"/>
    </row>
    <row r="663" spans="2:14" x14ac:dyDescent="0.2">
      <c r="B663" s="38"/>
      <c r="C663" s="40" t="s">
        <v>450</v>
      </c>
      <c r="D663" s="40"/>
      <c r="E663" s="40"/>
      <c r="F663" s="40"/>
      <c r="G663" s="40"/>
      <c r="H663" s="40"/>
      <c r="I663" s="40"/>
      <c r="J663" s="263">
        <f>J26</f>
        <v>0</v>
      </c>
      <c r="K663" s="41"/>
    </row>
    <row r="664" spans="2:14" ht="15" customHeight="1" x14ac:dyDescent="0.2">
      <c r="B664" s="38"/>
      <c r="C664" s="291"/>
      <c r="D664" s="380" t="s">
        <v>342</v>
      </c>
      <c r="E664" s="380"/>
      <c r="F664" s="380"/>
      <c r="G664" s="380"/>
      <c r="H664" s="380"/>
      <c r="I664" s="380"/>
      <c r="J664" s="245"/>
      <c r="K664" s="41"/>
    </row>
    <row r="665" spans="2:14" x14ac:dyDescent="0.2">
      <c r="B665" s="38"/>
      <c r="C665" s="291"/>
      <c r="D665" s="380"/>
      <c r="E665" s="380"/>
      <c r="F665" s="380"/>
      <c r="G665" s="380"/>
      <c r="H665" s="380"/>
      <c r="I665" s="380"/>
      <c r="J665" s="245"/>
      <c r="K665" s="41"/>
    </row>
    <row r="666" spans="2:14" x14ac:dyDescent="0.2">
      <c r="B666" s="38"/>
      <c r="C666" s="40" t="s">
        <v>260</v>
      </c>
      <c r="D666" s="40"/>
      <c r="E666" s="40"/>
      <c r="F666" s="40"/>
      <c r="G666" s="40"/>
      <c r="H666" s="40"/>
      <c r="I666" s="40"/>
      <c r="J666" s="245" t="str">
        <f>IF(OR(J661=0,J661="Not Calculated")=TRUE,"Not Calculated",IF(((J661+J663)/(J661-J662))&lt;=1,0,IF(((J661+J663)/(J661-J662))&lt;=1.1,1,IF(((J661+J663)/(J661-J662))&lt;=1.5, 2,IF(((J661+J663)/(J661-J662))&lt;=2,3,4)))))</f>
        <v>Not Calculated</v>
      </c>
      <c r="K666" s="41"/>
    </row>
    <row r="667" spans="2:14" ht="9.75" customHeight="1" x14ac:dyDescent="0.2">
      <c r="B667" s="38"/>
      <c r="C667" s="40"/>
      <c r="D667" s="40"/>
      <c r="E667" s="291"/>
      <c r="F667" s="291"/>
      <c r="G667" s="291"/>
      <c r="H667" s="291"/>
      <c r="I667" s="291"/>
      <c r="J667" s="245"/>
      <c r="K667" s="41"/>
    </row>
    <row r="668" spans="2:14" ht="9.75" customHeight="1" x14ac:dyDescent="0.2">
      <c r="B668" s="38"/>
      <c r="C668" s="40"/>
      <c r="D668" s="40"/>
      <c r="E668" s="291"/>
      <c r="F668" s="291"/>
      <c r="G668" s="291"/>
      <c r="H668" s="291"/>
      <c r="I668" s="291"/>
      <c r="J668" s="245"/>
      <c r="K668" s="41"/>
    </row>
    <row r="669" spans="2:14" ht="9.75" customHeight="1" x14ac:dyDescent="0.2">
      <c r="B669" s="38"/>
      <c r="C669" s="40"/>
      <c r="D669" s="40"/>
      <c r="E669" s="291"/>
      <c r="F669" s="291"/>
      <c r="G669" s="291"/>
      <c r="H669" s="291"/>
      <c r="I669" s="291"/>
      <c r="J669" s="245"/>
      <c r="K669" s="41"/>
    </row>
    <row r="670" spans="2:14" ht="9.75" customHeight="1" x14ac:dyDescent="0.2">
      <c r="B670" s="38"/>
      <c r="C670" s="40"/>
      <c r="D670" s="40"/>
      <c r="E670" s="291"/>
      <c r="F670" s="291"/>
      <c r="G670" s="291"/>
      <c r="H670" s="291"/>
      <c r="I670" s="291"/>
      <c r="J670" s="245"/>
      <c r="K670" s="41"/>
    </row>
    <row r="671" spans="2:14" ht="9.75" customHeight="1" x14ac:dyDescent="0.2">
      <c r="B671" s="38"/>
      <c r="C671" s="40"/>
      <c r="D671" s="40"/>
      <c r="E671" s="40"/>
      <c r="F671" s="40"/>
      <c r="G671" s="40"/>
      <c r="H671" s="40"/>
      <c r="I671" s="40"/>
      <c r="J671" s="40"/>
      <c r="K671" s="41"/>
      <c r="N671" s="12" t="s">
        <v>661</v>
      </c>
    </row>
    <row r="672" spans="2:14" ht="15" customHeight="1" x14ac:dyDescent="0.2">
      <c r="B672" s="38"/>
      <c r="C672" s="174" t="s">
        <v>662</v>
      </c>
      <c r="D672" s="40"/>
      <c r="E672" s="40"/>
      <c r="F672" s="40"/>
      <c r="G672" s="40"/>
      <c r="H672" s="40"/>
      <c r="I672" s="40"/>
      <c r="J672" s="265" t="s">
        <v>661</v>
      </c>
      <c r="K672" s="41"/>
      <c r="N672" s="12" t="s">
        <v>894</v>
      </c>
    </row>
    <row r="673" spans="2:14" ht="15" customHeight="1" x14ac:dyDescent="0.2">
      <c r="B673" s="38"/>
      <c r="C673" s="174" t="s">
        <v>660</v>
      </c>
      <c r="D673" s="40"/>
      <c r="E673" s="40"/>
      <c r="F673" s="40"/>
      <c r="G673" s="40"/>
      <c r="H673" s="40"/>
      <c r="I673" s="40"/>
      <c r="J673" s="246" t="str">
        <f>IF(J672=N671,"N/A",IF(J672=N672,0,IF(J672=N673,1,IF(J672=N674,2,IF(J672=N675,3,IF(J672=N676,4,"N/A"))))))</f>
        <v>N/A</v>
      </c>
      <c r="K673" s="41"/>
      <c r="N673" s="12" t="s">
        <v>908</v>
      </c>
    </row>
    <row r="674" spans="2:14" ht="15" customHeight="1" x14ac:dyDescent="0.2">
      <c r="B674" s="38"/>
      <c r="C674" s="40" t="s">
        <v>257</v>
      </c>
      <c r="D674" s="40"/>
      <c r="E674" s="40"/>
      <c r="F674" s="40"/>
      <c r="G674" s="40"/>
      <c r="H674" s="40"/>
      <c r="I674" s="40"/>
      <c r="J674" s="266" t="s">
        <v>882</v>
      </c>
      <c r="K674" s="41"/>
      <c r="N674" s="12" t="s">
        <v>900</v>
      </c>
    </row>
    <row r="675" spans="2:14" x14ac:dyDescent="0.2">
      <c r="B675" s="38"/>
      <c r="C675" s="40" t="s">
        <v>261</v>
      </c>
      <c r="D675" s="40"/>
      <c r="E675" s="40"/>
      <c r="F675" s="40"/>
      <c r="G675" s="40"/>
      <c r="H675" s="40"/>
      <c r="I675" s="40"/>
      <c r="J675" s="245">
        <f>IF(J674=$B$973,$A$973,IF(J674=$B$974,$A$974,IF(J674=$B$975,$A$975,IF(J674=$B$976,$A$976,IF(J674=$B$977,$A$977,"Not Calculated")))))</f>
        <v>1</v>
      </c>
      <c r="K675" s="41"/>
      <c r="N675" s="12" t="s">
        <v>901</v>
      </c>
    </row>
    <row r="676" spans="2:14" ht="15" customHeight="1" x14ac:dyDescent="0.2">
      <c r="B676" s="38"/>
      <c r="C676" s="40" t="s">
        <v>893</v>
      </c>
      <c r="D676" s="40"/>
      <c r="E676" s="40"/>
      <c r="F676" s="40"/>
      <c r="G676" s="40"/>
      <c r="H676" s="40"/>
      <c r="I676" s="40"/>
      <c r="J676" s="40"/>
      <c r="K676" s="41"/>
      <c r="N676" s="12" t="s">
        <v>909</v>
      </c>
    </row>
    <row r="677" spans="2:14" ht="30" customHeight="1" x14ac:dyDescent="0.2">
      <c r="B677" s="38"/>
      <c r="C677" s="399"/>
      <c r="D677" s="400"/>
      <c r="E677" s="400"/>
      <c r="F677" s="400"/>
      <c r="G677" s="400"/>
      <c r="H677" s="400"/>
      <c r="I677" s="400"/>
      <c r="J677" s="401"/>
      <c r="K677" s="41"/>
    </row>
    <row r="678" spans="2:14" x14ac:dyDescent="0.2">
      <c r="B678" s="38"/>
      <c r="C678" s="40"/>
      <c r="D678" s="40"/>
      <c r="E678" s="40"/>
      <c r="F678" s="40"/>
      <c r="G678" s="40"/>
      <c r="H678" s="40"/>
      <c r="I678" s="40"/>
      <c r="J678" s="40"/>
      <c r="K678" s="41"/>
    </row>
    <row r="679" spans="2:14" x14ac:dyDescent="0.2">
      <c r="B679" s="38"/>
      <c r="C679" s="179" t="s">
        <v>331</v>
      </c>
      <c r="D679" s="40"/>
      <c r="E679" s="40"/>
      <c r="F679" s="40"/>
      <c r="G679" s="40"/>
      <c r="H679" s="40"/>
      <c r="I679" s="40"/>
      <c r="J679" s="245" t="str">
        <f>IF(J673="N/A",IF(OR(J666="Not Calculated",J675="Not Calculated")=TRUE,"Not Calculated",AVERAGE(J666,J675)),AVERAGE(J673,J675))</f>
        <v>Not Calculated</v>
      </c>
      <c r="K679" s="41"/>
    </row>
    <row r="680" spans="2:14" x14ac:dyDescent="0.2">
      <c r="B680" s="38"/>
      <c r="C680" s="40"/>
      <c r="D680" s="40"/>
      <c r="E680" s="40"/>
      <c r="F680" s="40"/>
      <c r="G680" s="40"/>
      <c r="H680" s="40"/>
      <c r="I680" s="40"/>
      <c r="J680" s="40"/>
      <c r="K680" s="41"/>
    </row>
    <row r="681" spans="2:14" ht="18" x14ac:dyDescent="0.2">
      <c r="B681" s="38"/>
      <c r="C681" s="180" t="s">
        <v>332</v>
      </c>
      <c r="D681" s="40"/>
      <c r="E681" s="40"/>
      <c r="F681" s="40"/>
      <c r="G681" s="40"/>
      <c r="H681" s="40"/>
      <c r="I681" s="40"/>
      <c r="J681" s="244" t="str">
        <f>IF(OR(J562="Not Calculated",J585="Not Calculated",J601="Not Calculated",J615="Not Calculated",J635="Not Calculated",J657="Not Calculated",J679="Not Calculated")=TRUE,"Not Calculated",AVERAGE(J562,J585,J601,J615,J635,J657,J679))</f>
        <v>Not Calculated</v>
      </c>
      <c r="K681" s="41"/>
    </row>
    <row r="682" spans="2:14" ht="16" thickBot="1" x14ac:dyDescent="0.25">
      <c r="B682" s="46"/>
      <c r="C682" s="47"/>
      <c r="D682" s="47"/>
      <c r="E682" s="47"/>
      <c r="F682" s="47"/>
      <c r="G682" s="47"/>
      <c r="H682" s="47"/>
      <c r="I682" s="47"/>
      <c r="J682" s="47"/>
      <c r="K682" s="49"/>
    </row>
    <row r="683" spans="2:14" ht="16" thickBot="1" x14ac:dyDescent="0.25"/>
    <row r="684" spans="2:14" x14ac:dyDescent="0.2">
      <c r="B684" s="33"/>
      <c r="C684" s="34"/>
      <c r="D684" s="34"/>
      <c r="E684" s="34"/>
      <c r="F684" s="34"/>
      <c r="G684" s="34"/>
      <c r="H684" s="34"/>
      <c r="I684" s="34"/>
      <c r="J684" s="34"/>
      <c r="K684" s="37"/>
    </row>
    <row r="685" spans="2:14" ht="21" x14ac:dyDescent="0.25">
      <c r="B685" s="38"/>
      <c r="C685" s="40"/>
      <c r="D685" s="40"/>
      <c r="E685" s="40"/>
      <c r="F685" s="40"/>
      <c r="G685" s="172" t="s">
        <v>346</v>
      </c>
      <c r="H685" s="40"/>
      <c r="I685" s="40"/>
      <c r="J685" s="40"/>
      <c r="K685" s="41"/>
    </row>
    <row r="686" spans="2:14" x14ac:dyDescent="0.2">
      <c r="B686" s="38"/>
      <c r="C686" s="40"/>
      <c r="D686" s="40"/>
      <c r="E686" s="40"/>
      <c r="F686" s="40"/>
      <c r="G686" s="40"/>
      <c r="H686" s="40"/>
      <c r="I686" s="40"/>
      <c r="J686" s="40"/>
      <c r="K686" s="41"/>
    </row>
    <row r="687" spans="2:14" ht="16" x14ac:dyDescent="0.2">
      <c r="B687" s="38"/>
      <c r="C687" s="182" t="s">
        <v>986</v>
      </c>
      <c r="D687" s="40"/>
      <c r="E687" s="40"/>
      <c r="F687" s="40"/>
      <c r="G687" s="40"/>
      <c r="H687" s="40"/>
      <c r="I687" s="40"/>
      <c r="J687" s="257" t="str">
        <f>IF(OR($J$133="Not Calculated",$J$261="Not Calculated",$J$421="Not Calculated",$J$539="Not Calculated",$J$681="Not Calculated")=TRUE,"Not Calculated",AVERAGE($J$133,$J$261,$J$421,$J$539,$J$681))</f>
        <v>Not Calculated</v>
      </c>
      <c r="K687" s="41"/>
    </row>
    <row r="688" spans="2:14" x14ac:dyDescent="0.2">
      <c r="B688" s="38"/>
      <c r="C688" s="40"/>
      <c r="D688" s="40" t="s">
        <v>343</v>
      </c>
      <c r="E688" s="40"/>
      <c r="F688" s="40"/>
      <c r="G688" s="40"/>
      <c r="H688" s="40"/>
      <c r="I688" s="40"/>
      <c r="J688" s="40"/>
      <c r="K688" s="41"/>
    </row>
    <row r="689" spans="2:11" ht="15" customHeight="1" x14ac:dyDescent="0.2">
      <c r="B689" s="38"/>
      <c r="C689" s="40"/>
      <c r="D689" s="40"/>
      <c r="E689" s="40"/>
      <c r="F689" s="40"/>
      <c r="G689" s="40"/>
      <c r="H689" s="40"/>
      <c r="I689" s="40"/>
      <c r="J689" s="40"/>
      <c r="K689" s="41"/>
    </row>
    <row r="690" spans="2:11" ht="16" x14ac:dyDescent="0.2">
      <c r="B690" s="38"/>
      <c r="C690" s="182" t="s">
        <v>987</v>
      </c>
      <c r="D690" s="40"/>
      <c r="E690" s="40"/>
      <c r="F690" s="40"/>
      <c r="G690" s="40"/>
      <c r="H690" s="40"/>
      <c r="I690" s="40"/>
      <c r="J690" s="257" t="str">
        <f>IF(OR($J$133="Not Calculated",$J$261="Not Calculated",$J$539="Not Calculated",$J$681="Not Calculated")=TRUE,"Not Calculated",AVERAGE($J$133,$J$261,$J$539,$J$681))</f>
        <v>Not Calculated</v>
      </c>
      <c r="K690" s="41"/>
    </row>
    <row r="691" spans="2:11" ht="15" customHeight="1" x14ac:dyDescent="0.2">
      <c r="B691" s="38"/>
      <c r="C691" s="40"/>
      <c r="D691" s="40" t="s">
        <v>344</v>
      </c>
      <c r="E691" s="40"/>
      <c r="F691" s="40"/>
      <c r="G691" s="40"/>
      <c r="H691" s="40"/>
      <c r="I691" s="40"/>
      <c r="J691" s="40"/>
      <c r="K691" s="41"/>
    </row>
    <row r="692" spans="2:11" x14ac:dyDescent="0.2">
      <c r="B692" s="38"/>
      <c r="C692" s="40"/>
      <c r="D692" s="40"/>
      <c r="E692" s="40"/>
      <c r="F692" s="40"/>
      <c r="G692" s="40"/>
      <c r="H692" s="40"/>
      <c r="I692" s="40"/>
      <c r="J692" s="40"/>
      <c r="K692" s="41"/>
    </row>
    <row r="693" spans="2:11" ht="16" x14ac:dyDescent="0.2">
      <c r="B693" s="38"/>
      <c r="C693" s="182" t="s">
        <v>988</v>
      </c>
      <c r="D693" s="40"/>
      <c r="E693" s="40"/>
      <c r="F693" s="40"/>
      <c r="G693" s="40"/>
      <c r="H693" s="40"/>
      <c r="I693" s="40"/>
      <c r="J693" s="257" t="str">
        <f>IF(OR($J$133="Not Calculated",$J$261="Not Calculated",$J$421="Not Calculated")=TRUE,"Not Calculated",AVERAGE($J$133,$J$261,$J$421))</f>
        <v>Not Calculated</v>
      </c>
      <c r="K693" s="41"/>
    </row>
    <row r="694" spans="2:11" x14ac:dyDescent="0.2">
      <c r="B694" s="38"/>
      <c r="C694" s="40"/>
      <c r="D694" s="40" t="s">
        <v>345</v>
      </c>
      <c r="E694" s="40"/>
      <c r="F694" s="40"/>
      <c r="G694" s="40"/>
      <c r="H694" s="40"/>
      <c r="I694" s="40"/>
      <c r="J694" s="40"/>
      <c r="K694" s="41"/>
    </row>
    <row r="695" spans="2:11" ht="16" thickBot="1" x14ac:dyDescent="0.25">
      <c r="B695" s="46"/>
      <c r="C695" s="47"/>
      <c r="D695" s="47"/>
      <c r="E695" s="47"/>
      <c r="F695" s="47"/>
      <c r="G695" s="47"/>
      <c r="H695" s="47"/>
      <c r="I695" s="47"/>
      <c r="J695" s="47"/>
      <c r="K695" s="49"/>
    </row>
    <row r="696" spans="2:11" ht="16" thickBot="1" x14ac:dyDescent="0.25"/>
    <row r="697" spans="2:11" x14ac:dyDescent="0.2">
      <c r="B697" s="183"/>
      <c r="C697" s="184"/>
      <c r="D697" s="184"/>
      <c r="E697" s="184"/>
      <c r="F697" s="184"/>
      <c r="G697" s="184"/>
      <c r="H697" s="184"/>
      <c r="I697" s="184"/>
      <c r="J697" s="184"/>
      <c r="K697" s="185"/>
    </row>
    <row r="698" spans="2:11" ht="21" x14ac:dyDescent="0.25">
      <c r="B698" s="186"/>
      <c r="C698" s="187"/>
      <c r="D698" s="187"/>
      <c r="E698" s="187"/>
      <c r="F698" s="187"/>
      <c r="G698" s="188" t="s">
        <v>231</v>
      </c>
      <c r="H698" s="187"/>
      <c r="I698" s="187"/>
      <c r="J698" s="187"/>
      <c r="K698" s="189"/>
    </row>
    <row r="699" spans="2:11" x14ac:dyDescent="0.2">
      <c r="B699" s="186"/>
      <c r="C699" s="187"/>
      <c r="D699" s="187"/>
      <c r="E699" s="187"/>
      <c r="F699" s="187"/>
      <c r="G699" s="187"/>
      <c r="H699" s="187"/>
      <c r="I699" s="187"/>
      <c r="J699" s="187"/>
      <c r="K699" s="189"/>
    </row>
    <row r="700" spans="2:11" ht="16" x14ac:dyDescent="0.2">
      <c r="B700" s="186"/>
      <c r="C700" s="190" t="s">
        <v>989</v>
      </c>
      <c r="D700" s="187"/>
      <c r="E700" s="187"/>
      <c r="F700" s="187"/>
      <c r="G700" s="187"/>
      <c r="H700" s="187"/>
      <c r="I700" s="187"/>
      <c r="J700" s="256" t="str">
        <f>IF(OR(J687="Not Calculated",$E$17="Not Calculated")=TRUE,"Not Calculated",(J687*$E$17*100/16))</f>
        <v>Not Calculated</v>
      </c>
      <c r="K700" s="189"/>
    </row>
    <row r="701" spans="2:11" x14ac:dyDescent="0.2">
      <c r="B701" s="186"/>
      <c r="C701" s="187"/>
      <c r="D701" s="187" t="s">
        <v>377</v>
      </c>
      <c r="E701" s="187"/>
      <c r="F701" s="187"/>
      <c r="G701" s="187"/>
      <c r="H701" s="187"/>
      <c r="I701" s="187"/>
      <c r="J701" s="187"/>
      <c r="K701" s="189"/>
    </row>
    <row r="702" spans="2:11" x14ac:dyDescent="0.2">
      <c r="B702" s="186"/>
      <c r="C702" s="187"/>
      <c r="D702" s="187"/>
      <c r="E702" s="187"/>
      <c r="F702" s="187"/>
      <c r="G702" s="187"/>
      <c r="H702" s="187"/>
      <c r="I702" s="187"/>
      <c r="J702" s="187"/>
      <c r="K702" s="189"/>
    </row>
    <row r="703" spans="2:11" ht="16" x14ac:dyDescent="0.2">
      <c r="B703" s="186"/>
      <c r="C703" s="190" t="s">
        <v>990</v>
      </c>
      <c r="D703" s="187"/>
      <c r="E703" s="187"/>
      <c r="F703" s="187"/>
      <c r="G703" s="187"/>
      <c r="H703" s="187"/>
      <c r="I703" s="187"/>
      <c r="J703" s="256" t="str">
        <f>IF(OR(J690="Not Calculated",$E$17="Not Calculated")=TRUE,"Not Calculated",(J690*$E$17*100/16))</f>
        <v>Not Calculated</v>
      </c>
      <c r="K703" s="189"/>
    </row>
    <row r="704" spans="2:11" x14ac:dyDescent="0.2">
      <c r="B704" s="186"/>
      <c r="C704" s="187"/>
      <c r="D704" s="187" t="s">
        <v>378</v>
      </c>
      <c r="E704" s="187"/>
      <c r="F704" s="187"/>
      <c r="G704" s="187"/>
      <c r="H704" s="187"/>
      <c r="I704" s="187"/>
      <c r="J704" s="187"/>
      <c r="K704" s="189"/>
    </row>
    <row r="705" spans="2:11" x14ac:dyDescent="0.2">
      <c r="B705" s="186"/>
      <c r="C705" s="187"/>
      <c r="D705" s="187"/>
      <c r="E705" s="187"/>
      <c r="F705" s="187"/>
      <c r="G705" s="187"/>
      <c r="H705" s="187"/>
      <c r="I705" s="187"/>
      <c r="J705" s="187"/>
      <c r="K705" s="189"/>
    </row>
    <row r="706" spans="2:11" ht="16" x14ac:dyDescent="0.2">
      <c r="B706" s="186"/>
      <c r="C706" s="190" t="s">
        <v>991</v>
      </c>
      <c r="D706" s="187"/>
      <c r="E706" s="187"/>
      <c r="F706" s="187"/>
      <c r="G706" s="187"/>
      <c r="H706" s="187"/>
      <c r="I706" s="187"/>
      <c r="J706" s="256" t="str">
        <f>IF(OR(J693="Not Calculated",$E$17="Not Calculated")=TRUE,"Not Calculated",(J693*$E$17*100/16))</f>
        <v>Not Calculated</v>
      </c>
      <c r="K706" s="189"/>
    </row>
    <row r="707" spans="2:11" x14ac:dyDescent="0.2">
      <c r="B707" s="186"/>
      <c r="C707" s="187"/>
      <c r="D707" s="187" t="s">
        <v>379</v>
      </c>
      <c r="E707" s="187"/>
      <c r="F707" s="187"/>
      <c r="G707" s="187"/>
      <c r="H707" s="187"/>
      <c r="I707" s="187"/>
      <c r="J707" s="187"/>
      <c r="K707" s="189"/>
    </row>
    <row r="708" spans="2:11" ht="16" thickBot="1" x14ac:dyDescent="0.25">
      <c r="B708" s="191"/>
      <c r="C708" s="192"/>
      <c r="D708" s="192"/>
      <c r="E708" s="192"/>
      <c r="F708" s="192"/>
      <c r="G708" s="192"/>
      <c r="H708" s="192"/>
      <c r="I708" s="192"/>
      <c r="J708" s="192"/>
      <c r="K708" s="193"/>
    </row>
    <row r="709" spans="2:11" ht="16" thickBot="1" x14ac:dyDescent="0.25"/>
    <row r="710" spans="2:11" x14ac:dyDescent="0.2">
      <c r="B710" s="53"/>
      <c r="C710" s="54"/>
      <c r="D710" s="54"/>
      <c r="E710" s="54"/>
      <c r="F710" s="54"/>
      <c r="G710" s="54"/>
      <c r="H710" s="54"/>
      <c r="I710" s="54"/>
      <c r="J710" s="54"/>
      <c r="K710" s="56"/>
    </row>
    <row r="711" spans="2:11" ht="21" x14ac:dyDescent="0.25">
      <c r="B711" s="57"/>
      <c r="C711" s="59"/>
      <c r="D711" s="59"/>
      <c r="E711" s="59"/>
      <c r="F711" s="59"/>
      <c r="G711" s="194" t="s">
        <v>232</v>
      </c>
      <c r="H711" s="59"/>
      <c r="I711" s="59"/>
      <c r="J711" s="59"/>
      <c r="K711" s="61"/>
    </row>
    <row r="712" spans="2:11" x14ac:dyDescent="0.2">
      <c r="B712" s="57"/>
      <c r="C712" s="59"/>
      <c r="D712" s="59"/>
      <c r="E712" s="59"/>
      <c r="F712" s="59"/>
      <c r="G712" s="59"/>
      <c r="H712" s="59"/>
      <c r="I712" s="59"/>
      <c r="J712" s="59"/>
      <c r="K712" s="61"/>
    </row>
    <row r="713" spans="2:11" ht="16" x14ac:dyDescent="0.2">
      <c r="B713" s="57"/>
      <c r="C713" s="195" t="s">
        <v>363</v>
      </c>
      <c r="D713" s="59"/>
      <c r="E713" s="59"/>
      <c r="F713" s="59"/>
      <c r="G713" s="59"/>
      <c r="H713" s="59"/>
      <c r="I713" s="59"/>
      <c r="J713" s="59"/>
      <c r="K713" s="61"/>
    </row>
    <row r="714" spans="2:11" ht="15" customHeight="1" x14ac:dyDescent="0.2">
      <c r="B714" s="57"/>
      <c r="C714" s="411" t="s">
        <v>364</v>
      </c>
      <c r="D714" s="411"/>
      <c r="E714" s="411"/>
      <c r="F714" s="411"/>
      <c r="G714" s="411"/>
      <c r="H714" s="411"/>
      <c r="I714" s="411"/>
      <c r="J714" s="411"/>
      <c r="K714" s="61"/>
    </row>
    <row r="715" spans="2:11" x14ac:dyDescent="0.2">
      <c r="B715" s="57"/>
      <c r="C715" s="411"/>
      <c r="D715" s="411"/>
      <c r="E715" s="411"/>
      <c r="F715" s="411"/>
      <c r="G715" s="411"/>
      <c r="H715" s="411"/>
      <c r="I715" s="411"/>
      <c r="J715" s="411"/>
      <c r="K715" s="61"/>
    </row>
    <row r="716" spans="2:11" x14ac:dyDescent="0.2">
      <c r="B716" s="57"/>
      <c r="C716" s="411"/>
      <c r="D716" s="411"/>
      <c r="E716" s="411"/>
      <c r="F716" s="411"/>
      <c r="G716" s="411"/>
      <c r="H716" s="411"/>
      <c r="I716" s="411"/>
      <c r="J716" s="411"/>
      <c r="K716" s="61"/>
    </row>
    <row r="717" spans="2:11" x14ac:dyDescent="0.2">
      <c r="B717" s="57"/>
      <c r="C717" s="196" t="s">
        <v>30</v>
      </c>
      <c r="D717" s="59"/>
      <c r="E717" s="59"/>
      <c r="F717" s="59"/>
      <c r="G717" s="431" t="s">
        <v>190</v>
      </c>
      <c r="H717" s="431"/>
      <c r="I717" s="59"/>
      <c r="J717" s="260">
        <f>IF(G717=$B$994,$A$994,IF(G717=$B$995,$A$995,"Not Calculated"))</f>
        <v>1</v>
      </c>
      <c r="K717" s="61"/>
    </row>
    <row r="718" spans="2:11" x14ac:dyDescent="0.2">
      <c r="B718" s="57"/>
      <c r="C718" s="196" t="s">
        <v>32</v>
      </c>
      <c r="D718" s="59"/>
      <c r="E718" s="59"/>
      <c r="F718" s="59"/>
      <c r="G718" s="431" t="s">
        <v>190</v>
      </c>
      <c r="H718" s="431"/>
      <c r="I718" s="59"/>
      <c r="J718" s="260">
        <f t="shared" ref="J718:J725" si="0">IF(G718=$B$994,$A$994,IF(G718=$B$995,$A$995,"Not Calculated"))</f>
        <v>1</v>
      </c>
      <c r="K718" s="61"/>
    </row>
    <row r="719" spans="2:11" x14ac:dyDescent="0.2">
      <c r="B719" s="57"/>
      <c r="C719" s="196" t="s">
        <v>34</v>
      </c>
      <c r="D719" s="59"/>
      <c r="E719" s="59"/>
      <c r="F719" s="59"/>
      <c r="G719" s="431" t="s">
        <v>190</v>
      </c>
      <c r="H719" s="431"/>
      <c r="I719" s="59"/>
      <c r="J719" s="260">
        <f t="shared" si="0"/>
        <v>1</v>
      </c>
      <c r="K719" s="61"/>
    </row>
    <row r="720" spans="2:11" x14ac:dyDescent="0.2">
      <c r="B720" s="57"/>
      <c r="C720" s="196" t="s">
        <v>35</v>
      </c>
      <c r="D720" s="59"/>
      <c r="E720" s="59"/>
      <c r="F720" s="59"/>
      <c r="G720" s="431" t="s">
        <v>190</v>
      </c>
      <c r="H720" s="431"/>
      <c r="I720" s="59"/>
      <c r="J720" s="260">
        <f t="shared" si="0"/>
        <v>1</v>
      </c>
      <c r="K720" s="61"/>
    </row>
    <row r="721" spans="2:11" x14ac:dyDescent="0.2">
      <c r="B721" s="57"/>
      <c r="C721" s="196" t="s">
        <v>37</v>
      </c>
      <c r="D721" s="59"/>
      <c r="E721" s="59"/>
      <c r="F721" s="59"/>
      <c r="G721" s="431" t="s">
        <v>190</v>
      </c>
      <c r="H721" s="431"/>
      <c r="I721" s="59"/>
      <c r="J721" s="260">
        <f t="shared" si="0"/>
        <v>1</v>
      </c>
      <c r="K721" s="61"/>
    </row>
    <row r="722" spans="2:11" x14ac:dyDescent="0.2">
      <c r="B722" s="57"/>
      <c r="C722" s="196" t="s">
        <v>38</v>
      </c>
      <c r="D722" s="59"/>
      <c r="E722" s="59"/>
      <c r="F722" s="59"/>
      <c r="G722" s="431" t="s">
        <v>190</v>
      </c>
      <c r="H722" s="431"/>
      <c r="I722" s="59"/>
      <c r="J722" s="260">
        <f t="shared" si="0"/>
        <v>1</v>
      </c>
      <c r="K722" s="61"/>
    </row>
    <row r="723" spans="2:11" x14ac:dyDescent="0.2">
      <c r="B723" s="57"/>
      <c r="C723" s="196" t="s">
        <v>40</v>
      </c>
      <c r="D723" s="59"/>
      <c r="E723" s="59"/>
      <c r="F723" s="59"/>
      <c r="G723" s="431" t="s">
        <v>190</v>
      </c>
      <c r="H723" s="431"/>
      <c r="I723" s="59"/>
      <c r="J723" s="260">
        <f t="shared" si="0"/>
        <v>1</v>
      </c>
      <c r="K723" s="61"/>
    </row>
    <row r="724" spans="2:11" x14ac:dyDescent="0.2">
      <c r="B724" s="57"/>
      <c r="C724" s="196" t="s">
        <v>41</v>
      </c>
      <c r="D724" s="59"/>
      <c r="E724" s="59"/>
      <c r="F724" s="59"/>
      <c r="G724" s="431" t="s">
        <v>190</v>
      </c>
      <c r="H724" s="431"/>
      <c r="I724" s="59"/>
      <c r="J724" s="260">
        <f t="shared" si="0"/>
        <v>1</v>
      </c>
      <c r="K724" s="61"/>
    </row>
    <row r="725" spans="2:11" x14ac:dyDescent="0.2">
      <c r="B725" s="57"/>
      <c r="C725" s="196" t="s">
        <v>43</v>
      </c>
      <c r="D725" s="59"/>
      <c r="E725" s="59"/>
      <c r="F725" s="59"/>
      <c r="G725" s="431" t="s">
        <v>190</v>
      </c>
      <c r="H725" s="431"/>
      <c r="I725" s="59"/>
      <c r="J725" s="260">
        <f t="shared" si="0"/>
        <v>1</v>
      </c>
      <c r="K725" s="61"/>
    </row>
    <row r="726" spans="2:11" x14ac:dyDescent="0.2">
      <c r="B726" s="57"/>
      <c r="C726" s="59"/>
      <c r="D726" s="59"/>
      <c r="E726" s="59"/>
      <c r="F726" s="59"/>
      <c r="G726" s="59"/>
      <c r="H726" s="59"/>
      <c r="I726" s="59"/>
      <c r="J726" s="59"/>
      <c r="K726" s="61"/>
    </row>
    <row r="727" spans="2:11" x14ac:dyDescent="0.2">
      <c r="B727" s="57"/>
      <c r="C727" s="59"/>
      <c r="D727" s="59"/>
      <c r="E727" s="59"/>
      <c r="F727" s="59"/>
      <c r="G727" s="59"/>
      <c r="H727" s="59"/>
      <c r="I727" s="59"/>
      <c r="J727" s="59"/>
      <c r="K727" s="61"/>
    </row>
    <row r="728" spans="2:11" ht="16" x14ac:dyDescent="0.2">
      <c r="B728" s="57"/>
      <c r="C728" s="195" t="s">
        <v>115</v>
      </c>
      <c r="D728" s="59"/>
      <c r="E728" s="59"/>
      <c r="F728" s="59"/>
      <c r="G728" s="59"/>
      <c r="H728" s="59"/>
      <c r="I728" s="59"/>
      <c r="J728" s="59"/>
      <c r="K728" s="61"/>
    </row>
    <row r="729" spans="2:11" ht="15" customHeight="1" x14ac:dyDescent="0.2">
      <c r="B729" s="57"/>
      <c r="C729" s="411" t="s">
        <v>365</v>
      </c>
      <c r="D729" s="411"/>
      <c r="E729" s="411"/>
      <c r="F729" s="411"/>
      <c r="G729" s="411"/>
      <c r="H729" s="411"/>
      <c r="I729" s="411"/>
      <c r="J729" s="411"/>
      <c r="K729" s="61"/>
    </row>
    <row r="730" spans="2:11" x14ac:dyDescent="0.2">
      <c r="B730" s="57"/>
      <c r="C730" s="411"/>
      <c r="D730" s="411"/>
      <c r="E730" s="411"/>
      <c r="F730" s="411"/>
      <c r="G730" s="411"/>
      <c r="H730" s="411"/>
      <c r="I730" s="411"/>
      <c r="J730" s="411"/>
      <c r="K730" s="61"/>
    </row>
    <row r="731" spans="2:11" x14ac:dyDescent="0.2">
      <c r="B731" s="57"/>
      <c r="C731" s="411"/>
      <c r="D731" s="411"/>
      <c r="E731" s="411"/>
      <c r="F731" s="411"/>
      <c r="G731" s="411"/>
      <c r="H731" s="411"/>
      <c r="I731" s="411"/>
      <c r="J731" s="411"/>
      <c r="K731" s="61"/>
    </row>
    <row r="732" spans="2:11" x14ac:dyDescent="0.2">
      <c r="B732" s="57"/>
      <c r="C732" s="196" t="s">
        <v>30</v>
      </c>
      <c r="D732" s="59"/>
      <c r="E732" s="59"/>
      <c r="F732" s="59"/>
      <c r="G732" s="431" t="s">
        <v>190</v>
      </c>
      <c r="H732" s="431"/>
      <c r="I732" s="59"/>
      <c r="J732" s="260">
        <f>IF(G732=$B$994,$A$994,IF(G732=$B$995,$A$995,"Not Calculated"))</f>
        <v>1</v>
      </c>
      <c r="K732" s="61"/>
    </row>
    <row r="733" spans="2:11" x14ac:dyDescent="0.2">
      <c r="B733" s="57"/>
      <c r="C733" s="196" t="s">
        <v>32</v>
      </c>
      <c r="D733" s="59"/>
      <c r="E733" s="59"/>
      <c r="F733" s="59"/>
      <c r="G733" s="431" t="s">
        <v>190</v>
      </c>
      <c r="H733" s="431"/>
      <c r="I733" s="59"/>
      <c r="J733" s="260">
        <f t="shared" ref="J733:J740" si="1">IF(G733=$B$994,$A$994,IF(G733=$B$995,$A$995,"Not Calculated"))</f>
        <v>1</v>
      </c>
      <c r="K733" s="61"/>
    </row>
    <row r="734" spans="2:11" ht="15" customHeight="1" x14ac:dyDescent="0.2">
      <c r="B734" s="57"/>
      <c r="C734" s="196" t="s">
        <v>34</v>
      </c>
      <c r="D734" s="59"/>
      <c r="E734" s="59"/>
      <c r="F734" s="59"/>
      <c r="G734" s="431" t="s">
        <v>190</v>
      </c>
      <c r="H734" s="431"/>
      <c r="I734" s="59"/>
      <c r="J734" s="260">
        <f t="shared" si="1"/>
        <v>1</v>
      </c>
      <c r="K734" s="61"/>
    </row>
    <row r="735" spans="2:11" x14ac:dyDescent="0.2">
      <c r="B735" s="57"/>
      <c r="C735" s="196" t="s">
        <v>35</v>
      </c>
      <c r="D735" s="59"/>
      <c r="E735" s="59"/>
      <c r="F735" s="59"/>
      <c r="G735" s="431" t="s">
        <v>190</v>
      </c>
      <c r="H735" s="431"/>
      <c r="I735" s="59"/>
      <c r="J735" s="260">
        <f t="shared" si="1"/>
        <v>1</v>
      </c>
      <c r="K735" s="61"/>
    </row>
    <row r="736" spans="2:11" x14ac:dyDescent="0.2">
      <c r="B736" s="57"/>
      <c r="C736" s="196" t="s">
        <v>37</v>
      </c>
      <c r="D736" s="59"/>
      <c r="E736" s="59"/>
      <c r="F736" s="59"/>
      <c r="G736" s="431" t="s">
        <v>190</v>
      </c>
      <c r="H736" s="431"/>
      <c r="I736" s="59"/>
      <c r="J736" s="260">
        <f t="shared" si="1"/>
        <v>1</v>
      </c>
      <c r="K736" s="61"/>
    </row>
    <row r="737" spans="2:11" x14ac:dyDescent="0.2">
      <c r="B737" s="57"/>
      <c r="C737" s="196" t="s">
        <v>38</v>
      </c>
      <c r="D737" s="59"/>
      <c r="E737" s="59"/>
      <c r="F737" s="59"/>
      <c r="G737" s="431" t="s">
        <v>202</v>
      </c>
      <c r="H737" s="431"/>
      <c r="I737" s="59"/>
      <c r="J737" s="260">
        <f t="shared" si="1"/>
        <v>0</v>
      </c>
      <c r="K737" s="61"/>
    </row>
    <row r="738" spans="2:11" x14ac:dyDescent="0.2">
      <c r="B738" s="57"/>
      <c r="C738" s="196" t="s">
        <v>40</v>
      </c>
      <c r="D738" s="59"/>
      <c r="E738" s="59"/>
      <c r="F738" s="59"/>
      <c r="G738" s="431" t="s">
        <v>190</v>
      </c>
      <c r="H738" s="431"/>
      <c r="I738" s="59"/>
      <c r="J738" s="260">
        <f t="shared" si="1"/>
        <v>1</v>
      </c>
      <c r="K738" s="61"/>
    </row>
    <row r="739" spans="2:11" x14ac:dyDescent="0.2">
      <c r="B739" s="57"/>
      <c r="C739" s="196" t="s">
        <v>41</v>
      </c>
      <c r="D739" s="59"/>
      <c r="E739" s="59"/>
      <c r="F739" s="59"/>
      <c r="G739" s="431" t="s">
        <v>190</v>
      </c>
      <c r="H739" s="431"/>
      <c r="I739" s="59"/>
      <c r="J739" s="260">
        <f t="shared" si="1"/>
        <v>1</v>
      </c>
      <c r="K739" s="61"/>
    </row>
    <row r="740" spans="2:11" x14ac:dyDescent="0.2">
      <c r="B740" s="57"/>
      <c r="C740" s="196" t="s">
        <v>43</v>
      </c>
      <c r="D740" s="59"/>
      <c r="E740" s="59"/>
      <c r="F740" s="59"/>
      <c r="G740" s="431" t="s">
        <v>190</v>
      </c>
      <c r="H740" s="431"/>
      <c r="I740" s="59"/>
      <c r="J740" s="260">
        <f t="shared" si="1"/>
        <v>1</v>
      </c>
      <c r="K740" s="61"/>
    </row>
    <row r="741" spans="2:11" x14ac:dyDescent="0.2">
      <c r="B741" s="57"/>
      <c r="C741" s="59"/>
      <c r="D741" s="59"/>
      <c r="E741" s="59"/>
      <c r="F741" s="59"/>
      <c r="G741" s="59"/>
      <c r="H741" s="59"/>
      <c r="I741" s="59"/>
      <c r="J741" s="59"/>
      <c r="K741" s="61"/>
    </row>
    <row r="742" spans="2:11" x14ac:dyDescent="0.2">
      <c r="B742" s="57"/>
      <c r="C742" s="59"/>
      <c r="D742" s="59"/>
      <c r="E742" s="59"/>
      <c r="F742" s="59"/>
      <c r="G742" s="59"/>
      <c r="H742" s="59"/>
      <c r="I742" s="59"/>
      <c r="J742" s="59"/>
      <c r="K742" s="61"/>
    </row>
    <row r="743" spans="2:11" ht="16" x14ac:dyDescent="0.2">
      <c r="B743" s="57"/>
      <c r="C743" s="195" t="s">
        <v>366</v>
      </c>
      <c r="D743" s="59"/>
      <c r="E743" s="59"/>
      <c r="F743" s="59"/>
      <c r="G743" s="59"/>
      <c r="H743" s="59"/>
      <c r="I743" s="59"/>
      <c r="J743" s="59"/>
      <c r="K743" s="61"/>
    </row>
    <row r="744" spans="2:11" ht="15" customHeight="1" x14ac:dyDescent="0.2">
      <c r="B744" s="57"/>
      <c r="C744" s="411" t="s">
        <v>367</v>
      </c>
      <c r="D744" s="411"/>
      <c r="E744" s="411"/>
      <c r="F744" s="411"/>
      <c r="G744" s="411"/>
      <c r="H744" s="411"/>
      <c r="I744" s="411"/>
      <c r="J744" s="411"/>
      <c r="K744" s="61"/>
    </row>
    <row r="745" spans="2:11" x14ac:dyDescent="0.2">
      <c r="B745" s="57"/>
      <c r="C745" s="411"/>
      <c r="D745" s="411"/>
      <c r="E745" s="411"/>
      <c r="F745" s="411"/>
      <c r="G745" s="411"/>
      <c r="H745" s="411"/>
      <c r="I745" s="411"/>
      <c r="J745" s="411"/>
      <c r="K745" s="61"/>
    </row>
    <row r="746" spans="2:11" x14ac:dyDescent="0.2">
      <c r="B746" s="57"/>
      <c r="C746" s="411"/>
      <c r="D746" s="411"/>
      <c r="E746" s="411"/>
      <c r="F746" s="411"/>
      <c r="G746" s="411"/>
      <c r="H746" s="411"/>
      <c r="I746" s="411"/>
      <c r="J746" s="411"/>
      <c r="K746" s="61"/>
    </row>
    <row r="747" spans="2:11" x14ac:dyDescent="0.2">
      <c r="B747" s="57"/>
      <c r="C747" s="196" t="s">
        <v>30</v>
      </c>
      <c r="D747" s="59"/>
      <c r="E747" s="59"/>
      <c r="F747" s="59"/>
      <c r="G747" s="431" t="s">
        <v>202</v>
      </c>
      <c r="H747" s="431"/>
      <c r="I747" s="59"/>
      <c r="J747" s="260">
        <f>IF(G747=$B$994,$A$994,IF(G747=$B$995,$A$995,"Not Calculated"))</f>
        <v>0</v>
      </c>
      <c r="K747" s="61"/>
    </row>
    <row r="748" spans="2:11" x14ac:dyDescent="0.2">
      <c r="B748" s="57"/>
      <c r="C748" s="196" t="s">
        <v>32</v>
      </c>
      <c r="D748" s="59"/>
      <c r="E748" s="59"/>
      <c r="F748" s="59"/>
      <c r="G748" s="431" t="s">
        <v>190</v>
      </c>
      <c r="H748" s="431"/>
      <c r="I748" s="59"/>
      <c r="J748" s="260">
        <f t="shared" ref="J748:J755" si="2">IF(G748=$B$994,$A$994,IF(G748=$B$995,$A$995,"Not Calculated"))</f>
        <v>1</v>
      </c>
      <c r="K748" s="61"/>
    </row>
    <row r="749" spans="2:11" ht="15" customHeight="1" x14ac:dyDescent="0.2">
      <c r="B749" s="57"/>
      <c r="C749" s="196" t="s">
        <v>34</v>
      </c>
      <c r="D749" s="59"/>
      <c r="E749" s="59"/>
      <c r="F749" s="59"/>
      <c r="G749" s="431" t="s">
        <v>190</v>
      </c>
      <c r="H749" s="431"/>
      <c r="I749" s="59"/>
      <c r="J749" s="260">
        <f t="shared" si="2"/>
        <v>1</v>
      </c>
      <c r="K749" s="61"/>
    </row>
    <row r="750" spans="2:11" x14ac:dyDescent="0.2">
      <c r="B750" s="57"/>
      <c r="C750" s="196" t="s">
        <v>35</v>
      </c>
      <c r="D750" s="59"/>
      <c r="E750" s="59"/>
      <c r="F750" s="59"/>
      <c r="G750" s="431" t="s">
        <v>190</v>
      </c>
      <c r="H750" s="431"/>
      <c r="I750" s="59"/>
      <c r="J750" s="260">
        <f t="shared" si="2"/>
        <v>1</v>
      </c>
      <c r="K750" s="61"/>
    </row>
    <row r="751" spans="2:11" x14ac:dyDescent="0.2">
      <c r="B751" s="57"/>
      <c r="C751" s="196" t="s">
        <v>37</v>
      </c>
      <c r="D751" s="59"/>
      <c r="E751" s="59"/>
      <c r="F751" s="59"/>
      <c r="G751" s="431" t="s">
        <v>202</v>
      </c>
      <c r="H751" s="431"/>
      <c r="I751" s="59"/>
      <c r="J751" s="260">
        <f t="shared" si="2"/>
        <v>0</v>
      </c>
      <c r="K751" s="61"/>
    </row>
    <row r="752" spans="2:11" x14ac:dyDescent="0.2">
      <c r="B752" s="57"/>
      <c r="C752" s="196" t="s">
        <v>38</v>
      </c>
      <c r="D752" s="59"/>
      <c r="E752" s="59"/>
      <c r="F752" s="59"/>
      <c r="G752" s="431" t="s">
        <v>190</v>
      </c>
      <c r="H752" s="431"/>
      <c r="I752" s="59"/>
      <c r="J752" s="260">
        <f t="shared" si="2"/>
        <v>1</v>
      </c>
      <c r="K752" s="61"/>
    </row>
    <row r="753" spans="2:11" x14ac:dyDescent="0.2">
      <c r="B753" s="57"/>
      <c r="C753" s="196" t="s">
        <v>40</v>
      </c>
      <c r="D753" s="59"/>
      <c r="E753" s="59"/>
      <c r="F753" s="59"/>
      <c r="G753" s="431" t="s">
        <v>190</v>
      </c>
      <c r="H753" s="431"/>
      <c r="I753" s="59"/>
      <c r="J753" s="260">
        <f t="shared" si="2"/>
        <v>1</v>
      </c>
      <c r="K753" s="61"/>
    </row>
    <row r="754" spans="2:11" x14ac:dyDescent="0.2">
      <c r="B754" s="57"/>
      <c r="C754" s="196" t="s">
        <v>41</v>
      </c>
      <c r="D754" s="59"/>
      <c r="E754" s="59"/>
      <c r="F754" s="59"/>
      <c r="G754" s="431" t="s">
        <v>190</v>
      </c>
      <c r="H754" s="431"/>
      <c r="I754" s="59"/>
      <c r="J754" s="260">
        <f t="shared" si="2"/>
        <v>1</v>
      </c>
      <c r="K754" s="61"/>
    </row>
    <row r="755" spans="2:11" x14ac:dyDescent="0.2">
      <c r="B755" s="57"/>
      <c r="C755" s="196" t="s">
        <v>43</v>
      </c>
      <c r="D755" s="59"/>
      <c r="E755" s="59"/>
      <c r="F755" s="59"/>
      <c r="G755" s="431" t="s">
        <v>190</v>
      </c>
      <c r="H755" s="431"/>
      <c r="I755" s="59"/>
      <c r="J755" s="260">
        <f t="shared" si="2"/>
        <v>1</v>
      </c>
      <c r="K755" s="61"/>
    </row>
    <row r="756" spans="2:11" x14ac:dyDescent="0.2">
      <c r="B756" s="57"/>
      <c r="C756" s="59"/>
      <c r="D756" s="59"/>
      <c r="E756" s="59"/>
      <c r="F756" s="59"/>
      <c r="G756" s="59"/>
      <c r="H756" s="59"/>
      <c r="I756" s="59"/>
      <c r="J756" s="59"/>
      <c r="K756" s="61"/>
    </row>
    <row r="757" spans="2:11" x14ac:dyDescent="0.2">
      <c r="B757" s="57"/>
      <c r="C757" s="59"/>
      <c r="D757" s="59"/>
      <c r="E757" s="59"/>
      <c r="F757" s="59"/>
      <c r="G757" s="59"/>
      <c r="H757" s="59"/>
      <c r="I757" s="59"/>
      <c r="J757" s="59"/>
      <c r="K757" s="61"/>
    </row>
    <row r="758" spans="2:11" ht="16" x14ac:dyDescent="0.2">
      <c r="B758" s="57"/>
      <c r="C758" s="195" t="s">
        <v>368</v>
      </c>
      <c r="D758" s="59"/>
      <c r="E758" s="59"/>
      <c r="F758" s="59"/>
      <c r="G758" s="59"/>
      <c r="H758" s="59"/>
      <c r="I758" s="59"/>
      <c r="J758" s="59"/>
      <c r="K758" s="61"/>
    </row>
    <row r="759" spans="2:11" ht="15" customHeight="1" x14ac:dyDescent="0.2">
      <c r="B759" s="57"/>
      <c r="C759" s="411" t="s">
        <v>369</v>
      </c>
      <c r="D759" s="411"/>
      <c r="E759" s="411"/>
      <c r="F759" s="411"/>
      <c r="G759" s="411"/>
      <c r="H759" s="411"/>
      <c r="I759" s="411"/>
      <c r="J759" s="411"/>
      <c r="K759" s="61"/>
    </row>
    <row r="760" spans="2:11" x14ac:dyDescent="0.2">
      <c r="B760" s="57"/>
      <c r="C760" s="411"/>
      <c r="D760" s="411"/>
      <c r="E760" s="411"/>
      <c r="F760" s="411"/>
      <c r="G760" s="411"/>
      <c r="H760" s="411"/>
      <c r="I760" s="411"/>
      <c r="J760" s="411"/>
      <c r="K760" s="61"/>
    </row>
    <row r="761" spans="2:11" x14ac:dyDescent="0.2">
      <c r="B761" s="57"/>
      <c r="C761" s="411"/>
      <c r="D761" s="411"/>
      <c r="E761" s="411"/>
      <c r="F761" s="411"/>
      <c r="G761" s="411"/>
      <c r="H761" s="411"/>
      <c r="I761" s="411"/>
      <c r="J761" s="411"/>
      <c r="K761" s="61"/>
    </row>
    <row r="762" spans="2:11" x14ac:dyDescent="0.2">
      <c r="B762" s="57"/>
      <c r="C762" s="196" t="s">
        <v>30</v>
      </c>
      <c r="D762" s="59"/>
      <c r="E762" s="59"/>
      <c r="F762" s="59"/>
      <c r="G762" s="431" t="s">
        <v>190</v>
      </c>
      <c r="H762" s="431"/>
      <c r="I762" s="59"/>
      <c r="J762" s="260">
        <f>IF(G762=$B$994,$A$994,IF(G762=$B$995,$A$995,"Not Calculated"))</f>
        <v>1</v>
      </c>
      <c r="K762" s="61"/>
    </row>
    <row r="763" spans="2:11" x14ac:dyDescent="0.2">
      <c r="B763" s="57"/>
      <c r="C763" s="196" t="s">
        <v>32</v>
      </c>
      <c r="D763" s="59"/>
      <c r="E763" s="59"/>
      <c r="F763" s="59"/>
      <c r="G763" s="431" t="s">
        <v>190</v>
      </c>
      <c r="H763" s="431"/>
      <c r="I763" s="59"/>
      <c r="J763" s="260">
        <f t="shared" ref="J763:J770" si="3">IF(G763=$B$994,$A$994,IF(G763=$B$995,$A$995,"Not Calculated"))</f>
        <v>1</v>
      </c>
      <c r="K763" s="61"/>
    </row>
    <row r="764" spans="2:11" ht="15" customHeight="1" x14ac:dyDescent="0.2">
      <c r="B764" s="57"/>
      <c r="C764" s="196" t="s">
        <v>34</v>
      </c>
      <c r="D764" s="59"/>
      <c r="E764" s="59"/>
      <c r="F764" s="59"/>
      <c r="G764" s="431" t="s">
        <v>190</v>
      </c>
      <c r="H764" s="431"/>
      <c r="I764" s="59"/>
      <c r="J764" s="260">
        <f t="shared" si="3"/>
        <v>1</v>
      </c>
      <c r="K764" s="61"/>
    </row>
    <row r="765" spans="2:11" x14ac:dyDescent="0.2">
      <c r="B765" s="57"/>
      <c r="C765" s="196" t="s">
        <v>35</v>
      </c>
      <c r="D765" s="59"/>
      <c r="E765" s="59"/>
      <c r="F765" s="59"/>
      <c r="G765" s="431" t="s">
        <v>190</v>
      </c>
      <c r="H765" s="431"/>
      <c r="I765" s="59"/>
      <c r="J765" s="260">
        <f t="shared" si="3"/>
        <v>1</v>
      </c>
      <c r="K765" s="61"/>
    </row>
    <row r="766" spans="2:11" x14ac:dyDescent="0.2">
      <c r="B766" s="57"/>
      <c r="C766" s="196" t="s">
        <v>37</v>
      </c>
      <c r="D766" s="59"/>
      <c r="E766" s="59"/>
      <c r="F766" s="59"/>
      <c r="G766" s="431" t="s">
        <v>190</v>
      </c>
      <c r="H766" s="431"/>
      <c r="I766" s="59"/>
      <c r="J766" s="260">
        <f t="shared" si="3"/>
        <v>1</v>
      </c>
      <c r="K766" s="61"/>
    </row>
    <row r="767" spans="2:11" x14ac:dyDescent="0.2">
      <c r="B767" s="57"/>
      <c r="C767" s="196" t="s">
        <v>38</v>
      </c>
      <c r="D767" s="59"/>
      <c r="E767" s="59"/>
      <c r="F767" s="59"/>
      <c r="G767" s="431" t="s">
        <v>190</v>
      </c>
      <c r="H767" s="431"/>
      <c r="I767" s="59"/>
      <c r="J767" s="260">
        <f t="shared" si="3"/>
        <v>1</v>
      </c>
      <c r="K767" s="61"/>
    </row>
    <row r="768" spans="2:11" x14ac:dyDescent="0.2">
      <c r="B768" s="57"/>
      <c r="C768" s="196" t="s">
        <v>40</v>
      </c>
      <c r="D768" s="59"/>
      <c r="E768" s="59"/>
      <c r="F768" s="59"/>
      <c r="G768" s="431" t="s">
        <v>190</v>
      </c>
      <c r="H768" s="431"/>
      <c r="I768" s="59"/>
      <c r="J768" s="260">
        <f t="shared" si="3"/>
        <v>1</v>
      </c>
      <c r="K768" s="61"/>
    </row>
    <row r="769" spans="2:11" x14ac:dyDescent="0.2">
      <c r="B769" s="57"/>
      <c r="C769" s="196" t="s">
        <v>41</v>
      </c>
      <c r="D769" s="59"/>
      <c r="E769" s="59"/>
      <c r="F769" s="59"/>
      <c r="G769" s="431" t="s">
        <v>190</v>
      </c>
      <c r="H769" s="431"/>
      <c r="I769" s="59"/>
      <c r="J769" s="260">
        <f t="shared" si="3"/>
        <v>1</v>
      </c>
      <c r="K769" s="61"/>
    </row>
    <row r="770" spans="2:11" x14ac:dyDescent="0.2">
      <c r="B770" s="57"/>
      <c r="C770" s="196" t="s">
        <v>43</v>
      </c>
      <c r="D770" s="59"/>
      <c r="E770" s="59"/>
      <c r="F770" s="59"/>
      <c r="G770" s="431" t="s">
        <v>190</v>
      </c>
      <c r="H770" s="431"/>
      <c r="I770" s="59"/>
      <c r="J770" s="260">
        <f t="shared" si="3"/>
        <v>1</v>
      </c>
      <c r="K770" s="61"/>
    </row>
    <row r="771" spans="2:11" x14ac:dyDescent="0.2">
      <c r="B771" s="57"/>
      <c r="C771" s="59"/>
      <c r="D771" s="59"/>
      <c r="E771" s="59"/>
      <c r="F771" s="59"/>
      <c r="G771" s="59"/>
      <c r="H771" s="59"/>
      <c r="I771" s="59"/>
      <c r="J771" s="59"/>
      <c r="K771" s="61"/>
    </row>
    <row r="772" spans="2:11" x14ac:dyDescent="0.2">
      <c r="B772" s="57"/>
      <c r="C772" s="59"/>
      <c r="D772" s="59"/>
      <c r="E772" s="59"/>
      <c r="F772" s="59"/>
      <c r="G772" s="59"/>
      <c r="H772" s="59"/>
      <c r="I772" s="59"/>
      <c r="J772" s="59"/>
      <c r="K772" s="61"/>
    </row>
    <row r="773" spans="2:11" ht="16" x14ac:dyDescent="0.2">
      <c r="B773" s="57"/>
      <c r="C773" s="197" t="s">
        <v>30</v>
      </c>
      <c r="D773" s="59"/>
      <c r="E773" s="59"/>
      <c r="F773" s="59"/>
      <c r="G773" s="59"/>
      <c r="H773" s="59"/>
      <c r="I773" s="59"/>
      <c r="J773" s="59"/>
      <c r="K773" s="61"/>
    </row>
    <row r="774" spans="2:11" x14ac:dyDescent="0.2">
      <c r="B774" s="57"/>
      <c r="C774" s="59"/>
      <c r="D774" s="59" t="s">
        <v>370</v>
      </c>
      <c r="E774" s="59"/>
      <c r="F774" s="59"/>
      <c r="G774" s="59"/>
      <c r="H774" s="59"/>
      <c r="I774" s="59"/>
      <c r="J774" s="60">
        <f>'Baseline At-Risk Pops'!H8</f>
        <v>0</v>
      </c>
      <c r="K774" s="61"/>
    </row>
    <row r="775" spans="2:11" x14ac:dyDescent="0.2">
      <c r="B775" s="57"/>
      <c r="C775" s="59"/>
      <c r="D775" s="59" t="s">
        <v>371</v>
      </c>
      <c r="E775" s="59"/>
      <c r="F775" s="59"/>
      <c r="G775" s="59"/>
      <c r="H775" s="59"/>
      <c r="I775" s="59"/>
      <c r="J775" s="60">
        <f>SUM(J717,J732,J747,J762)</f>
        <v>3</v>
      </c>
      <c r="K775" s="61"/>
    </row>
    <row r="776" spans="2:11" x14ac:dyDescent="0.2">
      <c r="B776" s="57"/>
      <c r="C776" s="59"/>
      <c r="D776" s="196" t="s">
        <v>372</v>
      </c>
      <c r="E776" s="59"/>
      <c r="F776" s="59"/>
      <c r="G776" s="59"/>
      <c r="H776" s="59"/>
      <c r="I776" s="59"/>
      <c r="J776" s="60">
        <f>AVERAGE(J774,J775)</f>
        <v>1.5</v>
      </c>
      <c r="K776" s="61"/>
    </row>
    <row r="777" spans="2:11" ht="16" x14ac:dyDescent="0.2">
      <c r="B777" s="57"/>
      <c r="C777" s="197" t="s">
        <v>32</v>
      </c>
      <c r="D777" s="59"/>
      <c r="E777" s="59"/>
      <c r="F777" s="59"/>
      <c r="G777" s="59"/>
      <c r="H777" s="59"/>
      <c r="I777" s="59"/>
      <c r="J777" s="60"/>
      <c r="K777" s="61"/>
    </row>
    <row r="778" spans="2:11" x14ac:dyDescent="0.2">
      <c r="B778" s="57"/>
      <c r="C778" s="59"/>
      <c r="D778" s="59" t="s">
        <v>370</v>
      </c>
      <c r="E778" s="59"/>
      <c r="F778" s="59"/>
      <c r="G778" s="59"/>
      <c r="H778" s="59"/>
      <c r="I778" s="59"/>
      <c r="J778" s="60">
        <f>'Baseline At-Risk Pops'!H14</f>
        <v>0</v>
      </c>
      <c r="K778" s="61"/>
    </row>
    <row r="779" spans="2:11" ht="15" customHeight="1" x14ac:dyDescent="0.2">
      <c r="B779" s="57"/>
      <c r="C779" s="59"/>
      <c r="D779" s="59" t="s">
        <v>371</v>
      </c>
      <c r="E779" s="59"/>
      <c r="F779" s="59"/>
      <c r="G779" s="59"/>
      <c r="H779" s="59"/>
      <c r="I779" s="59"/>
      <c r="J779" s="60">
        <f>SUM(J718,J733,J748,J763)</f>
        <v>4</v>
      </c>
      <c r="K779" s="61"/>
    </row>
    <row r="780" spans="2:11" x14ac:dyDescent="0.2">
      <c r="B780" s="57"/>
      <c r="C780" s="59"/>
      <c r="D780" s="196" t="s">
        <v>372</v>
      </c>
      <c r="E780" s="59"/>
      <c r="F780" s="59"/>
      <c r="G780" s="59"/>
      <c r="H780" s="59"/>
      <c r="I780" s="59"/>
      <c r="J780" s="60">
        <f>AVERAGE(J778,J779)</f>
        <v>2</v>
      </c>
      <c r="K780" s="61"/>
    </row>
    <row r="781" spans="2:11" ht="16" x14ac:dyDescent="0.2">
      <c r="B781" s="57"/>
      <c r="C781" s="197" t="s">
        <v>34</v>
      </c>
      <c r="D781" s="59"/>
      <c r="E781" s="59"/>
      <c r="F781" s="59"/>
      <c r="G781" s="59"/>
      <c r="H781" s="59"/>
      <c r="I781" s="59"/>
      <c r="J781" s="60"/>
      <c r="K781" s="61"/>
    </row>
    <row r="782" spans="2:11" ht="16" x14ac:dyDescent="0.2">
      <c r="B782" s="57"/>
      <c r="C782" s="197"/>
      <c r="D782" s="59" t="s">
        <v>370</v>
      </c>
      <c r="E782" s="59"/>
      <c r="F782" s="59"/>
      <c r="G782" s="59"/>
      <c r="H782" s="59"/>
      <c r="I782" s="59"/>
      <c r="J782" s="60">
        <f>'Baseline At-Risk Pops'!H21</f>
        <v>0</v>
      </c>
      <c r="K782" s="61"/>
    </row>
    <row r="783" spans="2:11" x14ac:dyDescent="0.2">
      <c r="B783" s="57"/>
      <c r="C783" s="59"/>
      <c r="D783" s="59" t="s">
        <v>371</v>
      </c>
      <c r="E783" s="59"/>
      <c r="F783" s="59"/>
      <c r="G783" s="59"/>
      <c r="H783" s="59"/>
      <c r="I783" s="59"/>
      <c r="J783" s="60">
        <f>SUM(J719,J734,J749,J764)</f>
        <v>4</v>
      </c>
      <c r="K783" s="61"/>
    </row>
    <row r="784" spans="2:11" x14ac:dyDescent="0.2">
      <c r="B784" s="57"/>
      <c r="C784" s="59"/>
      <c r="D784" s="196" t="s">
        <v>372</v>
      </c>
      <c r="E784" s="59"/>
      <c r="F784" s="59"/>
      <c r="G784" s="59"/>
      <c r="H784" s="59"/>
      <c r="I784" s="59"/>
      <c r="J784" s="60">
        <f>AVERAGE(J782,J783)</f>
        <v>2</v>
      </c>
      <c r="K784" s="61"/>
    </row>
    <row r="785" spans="2:11" ht="16" x14ac:dyDescent="0.2">
      <c r="B785" s="57"/>
      <c r="C785" s="197" t="s">
        <v>35</v>
      </c>
      <c r="D785" s="59"/>
      <c r="E785" s="59"/>
      <c r="F785" s="59"/>
      <c r="G785" s="59"/>
      <c r="H785" s="59"/>
      <c r="I785" s="59"/>
      <c r="J785" s="60"/>
      <c r="K785" s="61"/>
    </row>
    <row r="786" spans="2:11" x14ac:dyDescent="0.2">
      <c r="B786" s="57"/>
      <c r="C786" s="59"/>
      <c r="D786" s="59" t="s">
        <v>370</v>
      </c>
      <c r="E786" s="59"/>
      <c r="F786" s="59"/>
      <c r="G786" s="59"/>
      <c r="H786" s="59"/>
      <c r="I786" s="59"/>
      <c r="J786" s="60">
        <f>'Baseline At-Risk Pops'!H27</f>
        <v>0</v>
      </c>
      <c r="K786" s="61"/>
    </row>
    <row r="787" spans="2:11" x14ac:dyDescent="0.2">
      <c r="B787" s="57"/>
      <c r="C787" s="59"/>
      <c r="D787" s="59" t="s">
        <v>371</v>
      </c>
      <c r="E787" s="59"/>
      <c r="F787" s="59"/>
      <c r="G787" s="59"/>
      <c r="H787" s="59"/>
      <c r="I787" s="59"/>
      <c r="J787" s="60">
        <f>SUM(J720,J735,J750,J765)</f>
        <v>4</v>
      </c>
      <c r="K787" s="61"/>
    </row>
    <row r="788" spans="2:11" x14ac:dyDescent="0.2">
      <c r="B788" s="57"/>
      <c r="C788" s="59"/>
      <c r="D788" s="196" t="s">
        <v>372</v>
      </c>
      <c r="E788" s="59"/>
      <c r="F788" s="59"/>
      <c r="G788" s="59"/>
      <c r="H788" s="59"/>
      <c r="I788" s="59"/>
      <c r="J788" s="60">
        <f>AVERAGE(J786,J787)</f>
        <v>2</v>
      </c>
      <c r="K788" s="61"/>
    </row>
    <row r="789" spans="2:11" ht="16" x14ac:dyDescent="0.2">
      <c r="B789" s="57"/>
      <c r="C789" s="197" t="s">
        <v>37</v>
      </c>
      <c r="D789" s="59"/>
      <c r="E789" s="59"/>
      <c r="F789" s="59"/>
      <c r="G789" s="59"/>
      <c r="H789" s="59"/>
      <c r="I789" s="59"/>
      <c r="J789" s="60"/>
      <c r="K789" s="61"/>
    </row>
    <row r="790" spans="2:11" x14ac:dyDescent="0.2">
      <c r="B790" s="57"/>
      <c r="C790" s="59"/>
      <c r="D790" s="59" t="s">
        <v>370</v>
      </c>
      <c r="E790" s="59"/>
      <c r="F790" s="59"/>
      <c r="G790" s="59"/>
      <c r="H790" s="59"/>
      <c r="I790" s="59"/>
      <c r="J790" s="60">
        <f>'Baseline At-Risk Pops'!H34</f>
        <v>0</v>
      </c>
      <c r="K790" s="61"/>
    </row>
    <row r="791" spans="2:11" x14ac:dyDescent="0.2">
      <c r="B791" s="57"/>
      <c r="C791" s="59"/>
      <c r="D791" s="59" t="s">
        <v>371</v>
      </c>
      <c r="E791" s="59"/>
      <c r="F791" s="59"/>
      <c r="G791" s="59"/>
      <c r="H791" s="59"/>
      <c r="I791" s="59"/>
      <c r="J791" s="60">
        <f>SUM(J721,J736,J751,J766)</f>
        <v>3</v>
      </c>
      <c r="K791" s="61"/>
    </row>
    <row r="792" spans="2:11" x14ac:dyDescent="0.2">
      <c r="B792" s="57"/>
      <c r="C792" s="59"/>
      <c r="D792" s="196" t="s">
        <v>372</v>
      </c>
      <c r="E792" s="59"/>
      <c r="F792" s="59"/>
      <c r="G792" s="59"/>
      <c r="H792" s="59"/>
      <c r="I792" s="59"/>
      <c r="J792" s="60">
        <f>AVERAGE(J790,J791)</f>
        <v>1.5</v>
      </c>
      <c r="K792" s="61"/>
    </row>
    <row r="793" spans="2:11" ht="16" x14ac:dyDescent="0.2">
      <c r="B793" s="57"/>
      <c r="C793" s="197" t="s">
        <v>38</v>
      </c>
      <c r="D793" s="59"/>
      <c r="E793" s="59"/>
      <c r="F793" s="59"/>
      <c r="G793" s="59"/>
      <c r="H793" s="59"/>
      <c r="I793" s="59"/>
      <c r="J793" s="60"/>
      <c r="K793" s="61"/>
    </row>
    <row r="794" spans="2:11" x14ac:dyDescent="0.2">
      <c r="B794" s="57"/>
      <c r="C794" s="59"/>
      <c r="D794" s="59" t="s">
        <v>370</v>
      </c>
      <c r="E794" s="59"/>
      <c r="F794" s="59"/>
      <c r="G794" s="59"/>
      <c r="H794" s="59"/>
      <c r="I794" s="59"/>
      <c r="J794" s="60">
        <f>'Baseline At-Risk Pops'!H40</f>
        <v>0</v>
      </c>
      <c r="K794" s="61"/>
    </row>
    <row r="795" spans="2:11" x14ac:dyDescent="0.2">
      <c r="B795" s="57"/>
      <c r="C795" s="59"/>
      <c r="D795" s="59" t="s">
        <v>371</v>
      </c>
      <c r="E795" s="59"/>
      <c r="F795" s="59"/>
      <c r="G795" s="59"/>
      <c r="H795" s="59"/>
      <c r="I795" s="59"/>
      <c r="J795" s="60">
        <f>SUM(J722,J737,J752,J767)</f>
        <v>3</v>
      </c>
      <c r="K795" s="61"/>
    </row>
    <row r="796" spans="2:11" x14ac:dyDescent="0.2">
      <c r="B796" s="57"/>
      <c r="C796" s="59"/>
      <c r="D796" s="196" t="s">
        <v>372</v>
      </c>
      <c r="E796" s="59"/>
      <c r="F796" s="59"/>
      <c r="G796" s="59"/>
      <c r="H796" s="59"/>
      <c r="I796" s="59"/>
      <c r="J796" s="60">
        <f>AVERAGE(J794,J795)</f>
        <v>1.5</v>
      </c>
      <c r="K796" s="61"/>
    </row>
    <row r="797" spans="2:11" ht="16" x14ac:dyDescent="0.2">
      <c r="B797" s="57"/>
      <c r="C797" s="197" t="s">
        <v>40</v>
      </c>
      <c r="D797" s="59"/>
      <c r="E797" s="59"/>
      <c r="F797" s="59"/>
      <c r="G797" s="59"/>
      <c r="H797" s="59"/>
      <c r="I797" s="59"/>
      <c r="J797" s="60"/>
      <c r="K797" s="61"/>
    </row>
    <row r="798" spans="2:11" x14ac:dyDescent="0.2">
      <c r="B798" s="57"/>
      <c r="C798" s="59"/>
      <c r="D798" s="59" t="s">
        <v>370</v>
      </c>
      <c r="E798" s="59"/>
      <c r="F798" s="59"/>
      <c r="G798" s="59"/>
      <c r="H798" s="59"/>
      <c r="I798" s="59"/>
      <c r="J798" s="60">
        <f>'Baseline At-Risk Pops'!H46</f>
        <v>0</v>
      </c>
      <c r="K798" s="61"/>
    </row>
    <row r="799" spans="2:11" x14ac:dyDescent="0.2">
      <c r="B799" s="57"/>
      <c r="C799" s="59"/>
      <c r="D799" s="59" t="s">
        <v>371</v>
      </c>
      <c r="E799" s="59"/>
      <c r="F799" s="59"/>
      <c r="G799" s="59"/>
      <c r="H799" s="59"/>
      <c r="I799" s="59"/>
      <c r="J799" s="60">
        <f>SUM(J723,J738,J753,J768)</f>
        <v>4</v>
      </c>
      <c r="K799" s="61"/>
    </row>
    <row r="800" spans="2:11" x14ac:dyDescent="0.2">
      <c r="B800" s="57"/>
      <c r="C800" s="59"/>
      <c r="D800" s="196" t="s">
        <v>372</v>
      </c>
      <c r="E800" s="59"/>
      <c r="F800" s="59"/>
      <c r="G800" s="59"/>
      <c r="H800" s="59"/>
      <c r="I800" s="59"/>
      <c r="J800" s="60">
        <f>AVERAGE(J798,J799)</f>
        <v>2</v>
      </c>
      <c r="K800" s="61"/>
    </row>
    <row r="801" spans="2:11" ht="16" x14ac:dyDescent="0.2">
      <c r="B801" s="57"/>
      <c r="C801" s="197" t="s">
        <v>41</v>
      </c>
      <c r="D801" s="59"/>
      <c r="E801" s="59"/>
      <c r="F801" s="59"/>
      <c r="G801" s="59"/>
      <c r="H801" s="59"/>
      <c r="I801" s="59"/>
      <c r="J801" s="60"/>
      <c r="K801" s="61"/>
    </row>
    <row r="802" spans="2:11" ht="16" x14ac:dyDescent="0.2">
      <c r="B802" s="57"/>
      <c r="C802" s="197"/>
      <c r="D802" s="59" t="s">
        <v>370</v>
      </c>
      <c r="E802" s="59"/>
      <c r="F802" s="59"/>
      <c r="G802" s="59"/>
      <c r="H802" s="59"/>
      <c r="I802" s="59"/>
      <c r="J802" s="60">
        <f>'Baseline At-Risk Pops'!H52</f>
        <v>0</v>
      </c>
      <c r="K802" s="61"/>
    </row>
    <row r="803" spans="2:11" x14ac:dyDescent="0.2">
      <c r="B803" s="57"/>
      <c r="C803" s="59"/>
      <c r="D803" s="59" t="s">
        <v>371</v>
      </c>
      <c r="E803" s="59"/>
      <c r="F803" s="59"/>
      <c r="G803" s="59"/>
      <c r="H803" s="59"/>
      <c r="I803" s="59"/>
      <c r="J803" s="60">
        <f>SUM(J724,J739,J754,J769)</f>
        <v>4</v>
      </c>
      <c r="K803" s="61"/>
    </row>
    <row r="804" spans="2:11" x14ac:dyDescent="0.2">
      <c r="B804" s="57"/>
      <c r="C804" s="59"/>
      <c r="D804" s="196" t="s">
        <v>372</v>
      </c>
      <c r="E804" s="59"/>
      <c r="F804" s="59"/>
      <c r="G804" s="59"/>
      <c r="H804" s="59"/>
      <c r="I804" s="59"/>
      <c r="J804" s="60">
        <f>AVERAGE(J802,J803)</f>
        <v>2</v>
      </c>
      <c r="K804" s="61"/>
    </row>
    <row r="805" spans="2:11" ht="16" x14ac:dyDescent="0.2">
      <c r="B805" s="57"/>
      <c r="C805" s="197" t="s">
        <v>43</v>
      </c>
      <c r="D805" s="59"/>
      <c r="E805" s="59"/>
      <c r="F805" s="59"/>
      <c r="G805" s="59"/>
      <c r="H805" s="59"/>
      <c r="I805" s="59"/>
      <c r="J805" s="60"/>
      <c r="K805" s="61"/>
    </row>
    <row r="806" spans="2:11" x14ac:dyDescent="0.2">
      <c r="B806" s="57"/>
      <c r="C806" s="59"/>
      <c r="D806" s="59" t="s">
        <v>370</v>
      </c>
      <c r="E806" s="59"/>
      <c r="F806" s="59"/>
      <c r="G806" s="59"/>
      <c r="H806" s="59"/>
      <c r="I806" s="59"/>
      <c r="J806" s="60">
        <f>'Baseline At-Risk Pops'!H58</f>
        <v>0</v>
      </c>
      <c r="K806" s="61"/>
    </row>
    <row r="807" spans="2:11" x14ac:dyDescent="0.2">
      <c r="B807" s="57"/>
      <c r="C807" s="59"/>
      <c r="D807" s="59" t="s">
        <v>371</v>
      </c>
      <c r="E807" s="59"/>
      <c r="F807" s="59"/>
      <c r="G807" s="59"/>
      <c r="H807" s="59"/>
      <c r="I807" s="59"/>
      <c r="J807" s="60">
        <f>SUM(J725,J740,J755,J770)</f>
        <v>4</v>
      </c>
      <c r="K807" s="61"/>
    </row>
    <row r="808" spans="2:11" x14ac:dyDescent="0.2">
      <c r="B808" s="57"/>
      <c r="C808" s="59"/>
      <c r="D808" s="196" t="s">
        <v>372</v>
      </c>
      <c r="E808" s="59"/>
      <c r="F808" s="59"/>
      <c r="G808" s="59"/>
      <c r="H808" s="59"/>
      <c r="I808" s="59"/>
      <c r="J808" s="60">
        <f>AVERAGE(J806,J807)</f>
        <v>2</v>
      </c>
      <c r="K808" s="61"/>
    </row>
    <row r="809" spans="2:11" x14ac:dyDescent="0.2">
      <c r="B809" s="57"/>
      <c r="C809" s="59"/>
      <c r="D809" s="59"/>
      <c r="E809" s="59"/>
      <c r="F809" s="59"/>
      <c r="G809" s="59"/>
      <c r="H809" s="59"/>
      <c r="I809" s="59"/>
      <c r="J809" s="59"/>
      <c r="K809" s="61"/>
    </row>
    <row r="810" spans="2:11" x14ac:dyDescent="0.2">
      <c r="B810" s="57"/>
      <c r="C810" s="59"/>
      <c r="D810" s="59"/>
      <c r="E810" s="59"/>
      <c r="F810" s="59"/>
      <c r="G810" s="59"/>
      <c r="H810" s="59"/>
      <c r="I810" s="59"/>
      <c r="J810" s="59"/>
      <c r="K810" s="61"/>
    </row>
    <row r="811" spans="2:11" ht="16" x14ac:dyDescent="0.2">
      <c r="B811" s="57"/>
      <c r="C811" s="198" t="s">
        <v>373</v>
      </c>
      <c r="D811" s="59"/>
      <c r="E811" s="59"/>
      <c r="F811" s="59"/>
      <c r="G811" s="59"/>
      <c r="H811" s="59"/>
      <c r="I811" s="59"/>
      <c r="J811" s="261">
        <f>AVERAGE(J776,J780,J784,J788,J792,J796,J800,J804,J808)</f>
        <v>1.8333333333333333</v>
      </c>
      <c r="K811" s="61"/>
    </row>
    <row r="812" spans="2:11" ht="16" thickBot="1" x14ac:dyDescent="0.25">
      <c r="B812" s="73"/>
      <c r="C812" s="74"/>
      <c r="D812" s="74"/>
      <c r="E812" s="74"/>
      <c r="F812" s="74"/>
      <c r="G812" s="74"/>
      <c r="H812" s="74"/>
      <c r="I812" s="74"/>
      <c r="J812" s="74"/>
      <c r="K812" s="76"/>
    </row>
    <row r="813" spans="2:11" ht="16" thickBot="1" x14ac:dyDescent="0.25"/>
    <row r="814" spans="2:11" x14ac:dyDescent="0.2">
      <c r="B814" s="199"/>
      <c r="C814" s="200"/>
      <c r="D814" s="200"/>
      <c r="E814" s="200"/>
      <c r="F814" s="200"/>
      <c r="G814" s="200"/>
      <c r="H814" s="200"/>
      <c r="I814" s="200"/>
      <c r="J814" s="200"/>
      <c r="K814" s="201"/>
    </row>
    <row r="815" spans="2:11" ht="21" x14ac:dyDescent="0.25">
      <c r="B815" s="202"/>
      <c r="C815" s="203"/>
      <c r="D815" s="203"/>
      <c r="E815" s="203"/>
      <c r="F815" s="203"/>
      <c r="G815" s="204" t="s">
        <v>233</v>
      </c>
      <c r="H815" s="203"/>
      <c r="I815" s="203"/>
      <c r="J815" s="203"/>
      <c r="K815" s="205"/>
    </row>
    <row r="816" spans="2:11" x14ac:dyDescent="0.2">
      <c r="B816" s="202"/>
      <c r="C816" s="203"/>
      <c r="D816" s="203"/>
      <c r="E816" s="203"/>
      <c r="F816" s="203"/>
      <c r="G816" s="203"/>
      <c r="H816" s="203"/>
      <c r="I816" s="203"/>
      <c r="J816" s="203"/>
      <c r="K816" s="205"/>
    </row>
    <row r="817" spans="2:11" ht="16" x14ac:dyDescent="0.2">
      <c r="B817" s="202"/>
      <c r="C817" s="206" t="s">
        <v>992</v>
      </c>
      <c r="D817" s="203"/>
      <c r="E817" s="203"/>
      <c r="F817" s="203"/>
      <c r="G817" s="203"/>
      <c r="H817" s="203"/>
      <c r="I817" s="203"/>
      <c r="J817" s="262" t="str">
        <f>IF(J700="Not Calculated","Not Calculated",J700*(($J$811/4)+1))</f>
        <v>Not Calculated</v>
      </c>
      <c r="K817" s="205"/>
    </row>
    <row r="818" spans="2:11" x14ac:dyDescent="0.2">
      <c r="B818" s="202"/>
      <c r="C818" s="203"/>
      <c r="D818" s="203" t="s">
        <v>1119</v>
      </c>
      <c r="E818" s="203"/>
      <c r="F818" s="203"/>
      <c r="G818" s="203"/>
      <c r="H818" s="203"/>
      <c r="I818" s="203"/>
      <c r="J818" s="203"/>
      <c r="K818" s="205"/>
    </row>
    <row r="819" spans="2:11" x14ac:dyDescent="0.2">
      <c r="B819" s="202"/>
      <c r="C819" s="203"/>
      <c r="D819" s="203"/>
      <c r="E819" s="203"/>
      <c r="F819" s="203"/>
      <c r="G819" s="203"/>
      <c r="H819" s="203"/>
      <c r="I819" s="203"/>
      <c r="J819" s="203"/>
      <c r="K819" s="205"/>
    </row>
    <row r="820" spans="2:11" ht="16" x14ac:dyDescent="0.2">
      <c r="B820" s="202"/>
      <c r="C820" s="206" t="s">
        <v>993</v>
      </c>
      <c r="D820" s="203"/>
      <c r="E820" s="203"/>
      <c r="F820" s="203"/>
      <c r="G820" s="203"/>
      <c r="H820" s="203"/>
      <c r="I820" s="203"/>
      <c r="J820" s="262" t="str">
        <f>IF(J703="Not Calculated","Not Calculated",J703*(($J$811/4)+1))</f>
        <v>Not Calculated</v>
      </c>
      <c r="K820" s="205"/>
    </row>
    <row r="821" spans="2:11" x14ac:dyDescent="0.2">
      <c r="B821" s="202"/>
      <c r="C821" s="203"/>
      <c r="D821" s="203" t="s">
        <v>1120</v>
      </c>
      <c r="E821" s="203"/>
      <c r="F821" s="203"/>
      <c r="G821" s="203"/>
      <c r="H821" s="203"/>
      <c r="I821" s="203"/>
      <c r="J821" s="203"/>
      <c r="K821" s="205"/>
    </row>
    <row r="822" spans="2:11" x14ac:dyDescent="0.2">
      <c r="B822" s="202"/>
      <c r="C822" s="203"/>
      <c r="D822" s="203"/>
      <c r="E822" s="203"/>
      <c r="F822" s="203"/>
      <c r="G822" s="203"/>
      <c r="H822" s="203"/>
      <c r="I822" s="203"/>
      <c r="J822" s="203"/>
      <c r="K822" s="205"/>
    </row>
    <row r="823" spans="2:11" ht="16" x14ac:dyDescent="0.2">
      <c r="B823" s="202"/>
      <c r="C823" s="206" t="s">
        <v>994</v>
      </c>
      <c r="D823" s="203"/>
      <c r="E823" s="203"/>
      <c r="F823" s="203"/>
      <c r="G823" s="203"/>
      <c r="H823" s="203"/>
      <c r="I823" s="203"/>
      <c r="J823" s="262" t="str">
        <f>IF(J706="Not Calculated","Not Calculated",J706*(($J$811/4)+1))</f>
        <v>Not Calculated</v>
      </c>
      <c r="K823" s="205"/>
    </row>
    <row r="824" spans="2:11" x14ac:dyDescent="0.2">
      <c r="B824" s="202"/>
      <c r="C824" s="203"/>
      <c r="D824" s="203" t="s">
        <v>1121</v>
      </c>
      <c r="E824" s="203"/>
      <c r="F824" s="203"/>
      <c r="G824" s="203"/>
      <c r="H824" s="203"/>
      <c r="I824" s="203"/>
      <c r="J824" s="203"/>
      <c r="K824" s="205"/>
    </row>
    <row r="825" spans="2:11" ht="16" thickBot="1" x14ac:dyDescent="0.25">
      <c r="B825" s="207"/>
      <c r="C825" s="208"/>
      <c r="D825" s="208"/>
      <c r="E825" s="208"/>
      <c r="F825" s="208"/>
      <c r="G825" s="208"/>
      <c r="H825" s="208"/>
      <c r="I825" s="208"/>
      <c r="J825" s="208"/>
      <c r="K825" s="209"/>
    </row>
    <row r="826" spans="2:11" ht="16" thickBot="1" x14ac:dyDescent="0.25"/>
    <row r="827" spans="2:11" x14ac:dyDescent="0.2">
      <c r="B827" s="77"/>
      <c r="C827" s="78"/>
      <c r="D827" s="78"/>
      <c r="E827" s="78"/>
      <c r="F827" s="78"/>
      <c r="G827" s="78"/>
      <c r="H827" s="78"/>
      <c r="I827" s="78"/>
      <c r="J827" s="78"/>
      <c r="K827" s="80"/>
    </row>
    <row r="828" spans="2:11" ht="21" x14ac:dyDescent="0.25">
      <c r="B828" s="81"/>
      <c r="C828" s="85"/>
      <c r="D828" s="85"/>
      <c r="E828" s="85"/>
      <c r="F828" s="85"/>
      <c r="G828" s="210" t="s">
        <v>806</v>
      </c>
      <c r="H828" s="85"/>
      <c r="I828" s="85"/>
      <c r="J828" s="85"/>
      <c r="K828" s="87"/>
    </row>
    <row r="829" spans="2:11" x14ac:dyDescent="0.2">
      <c r="B829" s="81"/>
      <c r="C829" s="85"/>
      <c r="D829" s="85"/>
      <c r="E829" s="85"/>
      <c r="F829" s="85"/>
      <c r="G829" s="85"/>
      <c r="H829" s="85"/>
      <c r="I829" s="85"/>
      <c r="J829" s="85"/>
      <c r="K829" s="87"/>
    </row>
    <row r="830" spans="2:11" ht="15" customHeight="1" x14ac:dyDescent="0.2">
      <c r="B830" s="81"/>
      <c r="C830" s="424" t="s">
        <v>808</v>
      </c>
      <c r="D830" s="424"/>
      <c r="E830" s="424"/>
      <c r="F830" s="424"/>
      <c r="G830" s="424"/>
      <c r="H830" s="424"/>
      <c r="I830" s="424"/>
      <c r="J830" s="424"/>
      <c r="K830" s="87"/>
    </row>
    <row r="831" spans="2:11" x14ac:dyDescent="0.2">
      <c r="B831" s="81"/>
      <c r="C831" s="424"/>
      <c r="D831" s="424"/>
      <c r="E831" s="424"/>
      <c r="F831" s="424"/>
      <c r="G831" s="424"/>
      <c r="H831" s="424"/>
      <c r="I831" s="424"/>
      <c r="J831" s="424"/>
      <c r="K831" s="87"/>
    </row>
    <row r="832" spans="2:11" x14ac:dyDescent="0.2">
      <c r="B832" s="81"/>
      <c r="C832" s="85"/>
      <c r="D832" s="85"/>
      <c r="E832" s="85"/>
      <c r="F832" s="85"/>
      <c r="G832" s="85"/>
      <c r="H832" s="85"/>
      <c r="I832" s="85"/>
      <c r="J832" s="85"/>
      <c r="K832" s="87"/>
    </row>
    <row r="833" spans="2:11" ht="16" x14ac:dyDescent="0.2">
      <c r="B833" s="81"/>
      <c r="C833" s="211" t="s">
        <v>654</v>
      </c>
      <c r="D833" s="85"/>
      <c r="E833" s="85"/>
      <c r="F833" s="85"/>
      <c r="G833" s="85"/>
      <c r="H833" s="85"/>
      <c r="I833" s="85"/>
      <c r="J833" s="85"/>
      <c r="K833" s="87"/>
    </row>
    <row r="834" spans="2:11" x14ac:dyDescent="0.2">
      <c r="B834" s="81"/>
      <c r="C834" s="85" t="s">
        <v>380</v>
      </c>
      <c r="D834" s="85"/>
      <c r="E834" s="85"/>
      <c r="F834" s="85"/>
      <c r="G834" s="406" t="s">
        <v>234</v>
      </c>
      <c r="H834" s="407"/>
      <c r="I834" s="85"/>
      <c r="J834" s="83">
        <f>IF(G834=$B$998,$A$998,IF(G834=$B$999,$A$999,IF(G834=$B$1000,$A$1000,IF(G834=$B$1001,$A$1001,IF(G834=$B$1002,$A$1002,"Not Calculated")))))</f>
        <v>4</v>
      </c>
      <c r="K834" s="87"/>
    </row>
    <row r="835" spans="2:11" x14ac:dyDescent="0.2">
      <c r="B835" s="81"/>
      <c r="C835" s="85" t="s">
        <v>134</v>
      </c>
      <c r="D835" s="85"/>
      <c r="E835" s="85"/>
      <c r="F835" s="85"/>
      <c r="G835" s="85"/>
      <c r="H835" s="85"/>
      <c r="I835" s="85"/>
      <c r="J835" s="240">
        <f>'Baseline PHP'!J16</f>
        <v>0</v>
      </c>
      <c r="K835" s="87"/>
    </row>
    <row r="836" spans="2:11" x14ac:dyDescent="0.2">
      <c r="B836" s="81"/>
      <c r="C836" s="85"/>
      <c r="D836" s="85"/>
      <c r="E836" s="85"/>
      <c r="F836" s="85"/>
      <c r="G836" s="85"/>
      <c r="H836" s="85"/>
      <c r="I836" s="85"/>
      <c r="J836" s="85"/>
      <c r="K836" s="87"/>
    </row>
    <row r="837" spans="2:11" ht="16" x14ac:dyDescent="0.2">
      <c r="B837" s="81"/>
      <c r="C837" s="211" t="s">
        <v>655</v>
      </c>
      <c r="D837" s="85"/>
      <c r="E837" s="85"/>
      <c r="F837" s="85"/>
      <c r="G837" s="85"/>
      <c r="H837" s="85"/>
      <c r="I837" s="85"/>
      <c r="J837" s="85"/>
      <c r="K837" s="87"/>
    </row>
    <row r="838" spans="2:11" x14ac:dyDescent="0.2">
      <c r="B838" s="81"/>
      <c r="C838" s="85" t="s">
        <v>380</v>
      </c>
      <c r="D838" s="85"/>
      <c r="E838" s="85"/>
      <c r="F838" s="85"/>
      <c r="G838" s="406" t="s">
        <v>234</v>
      </c>
      <c r="H838" s="407"/>
      <c r="I838" s="85"/>
      <c r="J838" s="83">
        <f>IF(G838=$B$998,$A$998,IF(G838=$B$999,$A$999,IF(G838=$B$1000,$A$1000,IF(G838=$B$1001,$A$1001,IF(G838=$B$1002,$A$1002,"Not Calculated")))))</f>
        <v>4</v>
      </c>
      <c r="K838" s="87"/>
    </row>
    <row r="839" spans="2:11" x14ac:dyDescent="0.2">
      <c r="B839" s="81"/>
      <c r="C839" s="85" t="s">
        <v>134</v>
      </c>
      <c r="D839" s="85"/>
      <c r="E839" s="85"/>
      <c r="F839" s="85"/>
      <c r="G839" s="85"/>
      <c r="H839" s="85"/>
      <c r="I839" s="85"/>
      <c r="J839" s="240">
        <f>'Baseline PHP'!J28</f>
        <v>0</v>
      </c>
      <c r="K839" s="87"/>
    </row>
    <row r="840" spans="2:11" x14ac:dyDescent="0.2">
      <c r="B840" s="81"/>
      <c r="C840" s="85"/>
      <c r="D840" s="85"/>
      <c r="E840" s="85"/>
      <c r="F840" s="85"/>
      <c r="G840" s="85"/>
      <c r="H840" s="85"/>
      <c r="I840" s="85"/>
      <c r="J840" s="85"/>
      <c r="K840" s="87"/>
    </row>
    <row r="841" spans="2:11" ht="16" x14ac:dyDescent="0.2">
      <c r="B841" s="81"/>
      <c r="C841" s="211" t="s">
        <v>645</v>
      </c>
      <c r="D841" s="85"/>
      <c r="E841" s="85"/>
      <c r="F841" s="85"/>
      <c r="G841" s="85"/>
      <c r="H841" s="85"/>
      <c r="I841" s="85"/>
      <c r="J841" s="85"/>
      <c r="K841" s="87"/>
    </row>
    <row r="842" spans="2:11" x14ac:dyDescent="0.2">
      <c r="B842" s="81"/>
      <c r="C842" s="85" t="s">
        <v>380</v>
      </c>
      <c r="D842" s="85"/>
      <c r="E842" s="85"/>
      <c r="F842" s="85"/>
      <c r="G842" s="406" t="s">
        <v>234</v>
      </c>
      <c r="H842" s="407"/>
      <c r="I842" s="85"/>
      <c r="J842" s="83">
        <f>IF(G842=$B$998,$A$998,IF(G842=$B$999,$A$999,IF(G842=$B$1000,$A$1000,IF(G842=$B$1001,$A$1001,IF(G842=$B$1002,$A$1002,"Not Calculated")))))</f>
        <v>4</v>
      </c>
      <c r="K842" s="87"/>
    </row>
    <row r="843" spans="2:11" x14ac:dyDescent="0.2">
      <c r="B843" s="81"/>
      <c r="C843" s="85" t="s">
        <v>134</v>
      </c>
      <c r="D843" s="85"/>
      <c r="E843" s="85"/>
      <c r="F843" s="85"/>
      <c r="G843" s="85"/>
      <c r="H843" s="85"/>
      <c r="I843" s="85"/>
      <c r="J843" s="240">
        <f>'Baseline PHP'!J44</f>
        <v>0</v>
      </c>
      <c r="K843" s="87"/>
    </row>
    <row r="844" spans="2:11" x14ac:dyDescent="0.2">
      <c r="B844" s="81"/>
      <c r="C844" s="85"/>
      <c r="D844" s="85"/>
      <c r="E844" s="85"/>
      <c r="F844" s="85"/>
      <c r="G844" s="85"/>
      <c r="H844" s="85"/>
      <c r="I844" s="85"/>
      <c r="J844" s="85"/>
      <c r="K844" s="87"/>
    </row>
    <row r="845" spans="2:11" ht="16" x14ac:dyDescent="0.2">
      <c r="B845" s="81"/>
      <c r="C845" s="211" t="s">
        <v>646</v>
      </c>
      <c r="D845" s="85"/>
      <c r="E845" s="85"/>
      <c r="F845" s="85"/>
      <c r="G845" s="85"/>
      <c r="H845" s="85"/>
      <c r="I845" s="85"/>
      <c r="J845" s="85"/>
      <c r="K845" s="87"/>
    </row>
    <row r="846" spans="2:11" x14ac:dyDescent="0.2">
      <c r="B846" s="81"/>
      <c r="C846" s="85" t="s">
        <v>380</v>
      </c>
      <c r="D846" s="85"/>
      <c r="E846" s="85"/>
      <c r="F846" s="85"/>
      <c r="G846" s="406" t="s">
        <v>234</v>
      </c>
      <c r="H846" s="407"/>
      <c r="I846" s="85"/>
      <c r="J846" s="83">
        <f>IF(G846=$B$998,$A$998,IF(G846=$B$999,$A$999,IF(G846=$B$1000,$A$1000,IF(G846=$B$1001,$A$1001,IF(G846=$B$1002,$A$1002,"Not Calculated")))))</f>
        <v>4</v>
      </c>
      <c r="K846" s="87"/>
    </row>
    <row r="847" spans="2:11" x14ac:dyDescent="0.2">
      <c r="B847" s="81"/>
      <c r="C847" s="85" t="s">
        <v>134</v>
      </c>
      <c r="D847" s="85"/>
      <c r="E847" s="85"/>
      <c r="F847" s="85"/>
      <c r="G847" s="85"/>
      <c r="H847" s="85"/>
      <c r="I847" s="85"/>
      <c r="J847" s="240">
        <f>'Baseline PHP'!J60</f>
        <v>0</v>
      </c>
      <c r="K847" s="87"/>
    </row>
    <row r="848" spans="2:11" x14ac:dyDescent="0.2">
      <c r="B848" s="81"/>
      <c r="C848" s="85"/>
      <c r="D848" s="85"/>
      <c r="E848" s="85"/>
      <c r="F848" s="85"/>
      <c r="G848" s="85"/>
      <c r="H848" s="85"/>
      <c r="I848" s="85"/>
      <c r="J848" s="85"/>
      <c r="K848" s="87"/>
    </row>
    <row r="849" spans="2:11" ht="16" x14ac:dyDescent="0.2">
      <c r="B849" s="81"/>
      <c r="C849" s="211" t="s">
        <v>648</v>
      </c>
      <c r="D849" s="85"/>
      <c r="E849" s="85"/>
      <c r="F849" s="85"/>
      <c r="G849" s="85"/>
      <c r="H849" s="85"/>
      <c r="I849" s="85"/>
      <c r="J849" s="85"/>
      <c r="K849" s="87"/>
    </row>
    <row r="850" spans="2:11" ht="15" customHeight="1" x14ac:dyDescent="0.2">
      <c r="B850" s="81"/>
      <c r="C850" s="85" t="s">
        <v>380</v>
      </c>
      <c r="D850" s="85"/>
      <c r="E850" s="85"/>
      <c r="F850" s="85"/>
      <c r="G850" s="406" t="s">
        <v>234</v>
      </c>
      <c r="H850" s="407"/>
      <c r="I850" s="85"/>
      <c r="J850" s="83">
        <f>IF(G850=$B$998,$A$998,IF(G850=$B$999,$A$999,IF(G850=$B$1000,$A$1000,IF(G850=$B$1001,$A$1001,IF(G850=$B$1002,$A$1002,"Not Calculated")))))</f>
        <v>4</v>
      </c>
      <c r="K850" s="87"/>
    </row>
    <row r="851" spans="2:11" x14ac:dyDescent="0.2">
      <c r="B851" s="81"/>
      <c r="C851" s="85" t="s">
        <v>134</v>
      </c>
      <c r="D851" s="85"/>
      <c r="E851" s="85"/>
      <c r="F851" s="85"/>
      <c r="G851" s="85"/>
      <c r="H851" s="85"/>
      <c r="I851" s="85"/>
      <c r="J851" s="240">
        <f>'Baseline PHP'!J76</f>
        <v>0</v>
      </c>
      <c r="K851" s="87"/>
    </row>
    <row r="852" spans="2:11" x14ac:dyDescent="0.2">
      <c r="B852" s="81"/>
      <c r="C852" s="85"/>
      <c r="D852" s="85"/>
      <c r="E852" s="85"/>
      <c r="F852" s="85"/>
      <c r="G852" s="85"/>
      <c r="H852" s="85"/>
      <c r="I852" s="85"/>
      <c r="J852" s="85"/>
      <c r="K852" s="87"/>
    </row>
    <row r="853" spans="2:11" ht="16" x14ac:dyDescent="0.2">
      <c r="B853" s="81"/>
      <c r="C853" s="211" t="s">
        <v>647</v>
      </c>
      <c r="D853" s="85"/>
      <c r="E853" s="85"/>
      <c r="F853" s="85"/>
      <c r="G853" s="85"/>
      <c r="H853" s="85"/>
      <c r="I853" s="85"/>
      <c r="J853" s="85"/>
      <c r="K853" s="87"/>
    </row>
    <row r="854" spans="2:11" x14ac:dyDescent="0.2">
      <c r="B854" s="81"/>
      <c r="C854" s="85" t="s">
        <v>380</v>
      </c>
      <c r="D854" s="85"/>
      <c r="E854" s="85"/>
      <c r="F854" s="85"/>
      <c r="G854" s="406" t="s">
        <v>234</v>
      </c>
      <c r="H854" s="407"/>
      <c r="I854" s="85"/>
      <c r="J854" s="83">
        <f>IF(G854=$B$998,$A$998,IF(G854=$B$999,$A$999,IF(G854=$B$1000,$A$1000,IF(G854=$B$1001,$A$1001,IF(G854=$B$1002,$A$1002,"Not Calculated")))))</f>
        <v>4</v>
      </c>
      <c r="K854" s="87"/>
    </row>
    <row r="855" spans="2:11" x14ac:dyDescent="0.2">
      <c r="B855" s="81"/>
      <c r="C855" s="85" t="s">
        <v>134</v>
      </c>
      <c r="D855" s="85"/>
      <c r="E855" s="85"/>
      <c r="F855" s="85"/>
      <c r="G855" s="85"/>
      <c r="H855" s="85"/>
      <c r="I855" s="85"/>
      <c r="J855" s="240">
        <f>'Baseline PHP'!J88</f>
        <v>0</v>
      </c>
      <c r="K855" s="87"/>
    </row>
    <row r="856" spans="2:11" x14ac:dyDescent="0.2">
      <c r="B856" s="81"/>
      <c r="C856" s="85"/>
      <c r="D856" s="85"/>
      <c r="E856" s="85"/>
      <c r="F856" s="85"/>
      <c r="G856" s="85"/>
      <c r="H856" s="85"/>
      <c r="I856" s="85"/>
      <c r="J856" s="85"/>
      <c r="K856" s="87"/>
    </row>
    <row r="857" spans="2:11" ht="16" x14ac:dyDescent="0.2">
      <c r="B857" s="81"/>
      <c r="C857" s="211" t="s">
        <v>115</v>
      </c>
      <c r="D857" s="85"/>
      <c r="E857" s="85"/>
      <c r="F857" s="85"/>
      <c r="G857" s="85"/>
      <c r="H857" s="85"/>
      <c r="I857" s="85"/>
      <c r="J857" s="85"/>
      <c r="K857" s="87"/>
    </row>
    <row r="858" spans="2:11" x14ac:dyDescent="0.2">
      <c r="B858" s="81"/>
      <c r="C858" s="85" t="s">
        <v>380</v>
      </c>
      <c r="D858" s="85"/>
      <c r="E858" s="85"/>
      <c r="F858" s="85"/>
      <c r="G858" s="406" t="s">
        <v>238</v>
      </c>
      <c r="H858" s="407"/>
      <c r="I858" s="85"/>
      <c r="J858" s="83">
        <f>IF(G858=$B$998,$A$998,IF(G858=$B$999,$A$999,IF(G858=$B$1000,$A$1000,IF(G858=$B$1001,$A$1001,IF(G858=$B$1002,$A$1002,"Not Calculated")))))</f>
        <v>3</v>
      </c>
      <c r="K858" s="87"/>
    </row>
    <row r="859" spans="2:11" x14ac:dyDescent="0.2">
      <c r="B859" s="81"/>
      <c r="C859" s="85" t="s">
        <v>134</v>
      </c>
      <c r="D859" s="85"/>
      <c r="E859" s="85"/>
      <c r="F859" s="85"/>
      <c r="G859" s="85"/>
      <c r="H859" s="85"/>
      <c r="I859" s="85"/>
      <c r="J859" s="240">
        <f>'Baseline PHP'!J102</f>
        <v>0</v>
      </c>
      <c r="K859" s="87"/>
    </row>
    <row r="860" spans="2:11" x14ac:dyDescent="0.2">
      <c r="B860" s="81"/>
      <c r="C860" s="85"/>
      <c r="D860" s="85"/>
      <c r="E860" s="85"/>
      <c r="F860" s="85"/>
      <c r="G860" s="85"/>
      <c r="H860" s="85"/>
      <c r="I860" s="85"/>
      <c r="J860" s="85"/>
      <c r="K860" s="87"/>
    </row>
    <row r="861" spans="2:11" ht="16" x14ac:dyDescent="0.2">
      <c r="B861" s="81"/>
      <c r="C861" s="211" t="s">
        <v>649</v>
      </c>
      <c r="D861" s="85"/>
      <c r="E861" s="85"/>
      <c r="F861" s="85"/>
      <c r="G861" s="85"/>
      <c r="H861" s="85"/>
      <c r="I861" s="85"/>
      <c r="J861" s="85"/>
      <c r="K861" s="87"/>
    </row>
    <row r="862" spans="2:11" x14ac:dyDescent="0.2">
      <c r="B862" s="81"/>
      <c r="C862" s="85" t="s">
        <v>380</v>
      </c>
      <c r="D862" s="85"/>
      <c r="E862" s="85"/>
      <c r="F862" s="85"/>
      <c r="G862" s="406" t="s">
        <v>234</v>
      </c>
      <c r="H862" s="407"/>
      <c r="I862" s="85"/>
      <c r="J862" s="83">
        <f>IF(G862=$B$998,$A$998,IF(G862=$B$999,$A$999,IF(G862=$B$1000,$A$1000,IF(G862=$B$1001,$A$1001,IF(G862=$B$1002,$A$1002,"Not Calculated")))))</f>
        <v>4</v>
      </c>
      <c r="K862" s="87"/>
    </row>
    <row r="863" spans="2:11" x14ac:dyDescent="0.2">
      <c r="B863" s="81"/>
      <c r="C863" s="85" t="s">
        <v>134</v>
      </c>
      <c r="D863" s="85"/>
      <c r="E863" s="85"/>
      <c r="F863" s="85"/>
      <c r="G863" s="85"/>
      <c r="H863" s="85"/>
      <c r="I863" s="85"/>
      <c r="J863" s="240">
        <f>'Baseline PHP'!J118</f>
        <v>0</v>
      </c>
      <c r="K863" s="87"/>
    </row>
    <row r="864" spans="2:11" x14ac:dyDescent="0.2">
      <c r="B864" s="81"/>
      <c r="C864" s="85"/>
      <c r="D864" s="85"/>
      <c r="E864" s="85"/>
      <c r="F864" s="85"/>
      <c r="G864" s="85"/>
      <c r="H864" s="85"/>
      <c r="I864" s="85"/>
      <c r="J864" s="85"/>
      <c r="K864" s="87"/>
    </row>
    <row r="865" spans="2:11" ht="16" x14ac:dyDescent="0.2">
      <c r="B865" s="81"/>
      <c r="C865" s="211" t="s">
        <v>656</v>
      </c>
      <c r="D865" s="85"/>
      <c r="E865" s="85"/>
      <c r="F865" s="85"/>
      <c r="G865" s="85"/>
      <c r="H865" s="85"/>
      <c r="I865" s="85"/>
      <c r="J865" s="85"/>
      <c r="K865" s="87"/>
    </row>
    <row r="866" spans="2:11" x14ac:dyDescent="0.2">
      <c r="B866" s="81"/>
      <c r="C866" s="85" t="s">
        <v>380</v>
      </c>
      <c r="D866" s="85"/>
      <c r="E866" s="85"/>
      <c r="F866" s="85"/>
      <c r="G866" s="406" t="s">
        <v>234</v>
      </c>
      <c r="H866" s="407"/>
      <c r="I866" s="85"/>
      <c r="J866" s="83">
        <f>IF(G866=$B$998,$A$998,IF(G866=$B$999,$A$999,IF(G866=$B$1000,$A$1000,IF(G866=$B$1001,$A$1001,IF(G866=$B$1002,$A$1002,"Not Calculated")))))</f>
        <v>4</v>
      </c>
      <c r="K866" s="87"/>
    </row>
    <row r="867" spans="2:11" x14ac:dyDescent="0.2">
      <c r="B867" s="81"/>
      <c r="C867" s="85" t="s">
        <v>134</v>
      </c>
      <c r="D867" s="85"/>
      <c r="E867" s="85"/>
      <c r="F867" s="85"/>
      <c r="G867" s="85"/>
      <c r="H867" s="85"/>
      <c r="I867" s="85"/>
      <c r="J867" s="240">
        <f>'Baseline PHP'!J136</f>
        <v>0</v>
      </c>
      <c r="K867" s="87"/>
    </row>
    <row r="868" spans="2:11" x14ac:dyDescent="0.2">
      <c r="B868" s="81"/>
      <c r="C868" s="85"/>
      <c r="D868" s="85"/>
      <c r="E868" s="85"/>
      <c r="F868" s="85"/>
      <c r="G868" s="85"/>
      <c r="H868" s="85"/>
      <c r="I868" s="85"/>
      <c r="J868" s="85"/>
      <c r="K868" s="87"/>
    </row>
    <row r="869" spans="2:11" ht="16" x14ac:dyDescent="0.2">
      <c r="B869" s="81"/>
      <c r="C869" s="211" t="s">
        <v>121</v>
      </c>
      <c r="D869" s="85"/>
      <c r="E869" s="85"/>
      <c r="F869" s="85"/>
      <c r="G869" s="85"/>
      <c r="H869" s="85"/>
      <c r="I869" s="85"/>
      <c r="J869" s="85"/>
      <c r="K869" s="87"/>
    </row>
    <row r="870" spans="2:11" x14ac:dyDescent="0.2">
      <c r="B870" s="81"/>
      <c r="C870" s="85" t="s">
        <v>380</v>
      </c>
      <c r="D870" s="85"/>
      <c r="E870" s="85"/>
      <c r="F870" s="85"/>
      <c r="G870" s="406" t="s">
        <v>234</v>
      </c>
      <c r="H870" s="407"/>
      <c r="I870" s="85"/>
      <c r="J870" s="83">
        <f>IF(G870=$B$998,$A$998,IF(G870=$B$999,$A$999,IF(G870=$B$1000,$A$1000,IF(G870=$B$1001,$A$1001,IF(G870=$B$1002,$A$1002,"Not Calculated")))))</f>
        <v>4</v>
      </c>
      <c r="K870" s="87"/>
    </row>
    <row r="871" spans="2:11" x14ac:dyDescent="0.2">
      <c r="B871" s="81"/>
      <c r="C871" s="85" t="s">
        <v>134</v>
      </c>
      <c r="D871" s="85"/>
      <c r="E871" s="85"/>
      <c r="F871" s="85"/>
      <c r="G871" s="85"/>
      <c r="H871" s="85"/>
      <c r="I871" s="85"/>
      <c r="J871" s="240">
        <f>'Baseline PHP'!J150</f>
        <v>0</v>
      </c>
      <c r="K871" s="87"/>
    </row>
    <row r="872" spans="2:11" x14ac:dyDescent="0.2">
      <c r="B872" s="81"/>
      <c r="C872" s="85"/>
      <c r="D872" s="85"/>
      <c r="E872" s="85"/>
      <c r="F872" s="85"/>
      <c r="G872" s="85"/>
      <c r="H872" s="85"/>
      <c r="I872" s="85"/>
      <c r="J872" s="85"/>
      <c r="K872" s="87"/>
    </row>
    <row r="873" spans="2:11" ht="16" x14ac:dyDescent="0.2">
      <c r="B873" s="81"/>
      <c r="C873" s="211" t="s">
        <v>657</v>
      </c>
      <c r="D873" s="85"/>
      <c r="E873" s="85"/>
      <c r="F873" s="85"/>
      <c r="G873" s="85"/>
      <c r="H873" s="85"/>
      <c r="I873" s="85"/>
      <c r="J873" s="85"/>
      <c r="K873" s="87"/>
    </row>
    <row r="874" spans="2:11" x14ac:dyDescent="0.2">
      <c r="B874" s="81"/>
      <c r="C874" s="85" t="s">
        <v>380</v>
      </c>
      <c r="D874" s="85"/>
      <c r="E874" s="85"/>
      <c r="F874" s="85"/>
      <c r="G874" s="406" t="s">
        <v>234</v>
      </c>
      <c r="H874" s="407"/>
      <c r="I874" s="85"/>
      <c r="J874" s="83">
        <f>IF(G874=$B$998,$A$998,IF(G874=$B$999,$A$999,IF(G874=$B$1000,$A$1000,IF(G874=$B$1001,$A$1001,IF(G874=$B$1002,$A$1002,"Not Calculated")))))</f>
        <v>4</v>
      </c>
      <c r="K874" s="87"/>
    </row>
    <row r="875" spans="2:11" x14ac:dyDescent="0.2">
      <c r="B875" s="81"/>
      <c r="C875" s="85" t="s">
        <v>134</v>
      </c>
      <c r="D875" s="85"/>
      <c r="E875" s="85"/>
      <c r="F875" s="85"/>
      <c r="G875" s="85"/>
      <c r="H875" s="85"/>
      <c r="I875" s="85"/>
      <c r="J875" s="240">
        <f>'Baseline PHP'!J164</f>
        <v>0</v>
      </c>
      <c r="K875" s="87"/>
    </row>
    <row r="876" spans="2:11" x14ac:dyDescent="0.2">
      <c r="B876" s="81"/>
      <c r="C876" s="85"/>
      <c r="D876" s="85"/>
      <c r="E876" s="85"/>
      <c r="F876" s="85"/>
      <c r="G876" s="85"/>
      <c r="H876" s="85"/>
      <c r="I876" s="85"/>
      <c r="J876" s="85"/>
      <c r="K876" s="87"/>
    </row>
    <row r="877" spans="2:11" ht="16" x14ac:dyDescent="0.2">
      <c r="B877" s="81"/>
      <c r="C877" s="211" t="s">
        <v>650</v>
      </c>
      <c r="D877" s="85"/>
      <c r="E877" s="85"/>
      <c r="F877" s="85"/>
      <c r="G877" s="85"/>
      <c r="H877" s="85"/>
      <c r="I877" s="85"/>
      <c r="J877" s="85"/>
      <c r="K877" s="87"/>
    </row>
    <row r="878" spans="2:11" x14ac:dyDescent="0.2">
      <c r="B878" s="81"/>
      <c r="C878" s="85" t="s">
        <v>380</v>
      </c>
      <c r="D878" s="85"/>
      <c r="E878" s="85"/>
      <c r="F878" s="85"/>
      <c r="G878" s="406" t="s">
        <v>234</v>
      </c>
      <c r="H878" s="407"/>
      <c r="I878" s="85"/>
      <c r="J878" s="83">
        <f>IF(G878=$B$998,$A$998,IF(G878=$B$999,$A$999,IF(G878=$B$1000,$A$1000,IF(G878=$B$1001,$A$1001,IF(G878=$B$1002,$A$1002,"Not Calculated")))))</f>
        <v>4</v>
      </c>
      <c r="K878" s="87"/>
    </row>
    <row r="879" spans="2:11" x14ac:dyDescent="0.2">
      <c r="B879" s="81"/>
      <c r="C879" s="85" t="s">
        <v>134</v>
      </c>
      <c r="D879" s="85"/>
      <c r="E879" s="85"/>
      <c r="F879" s="85"/>
      <c r="G879" s="85"/>
      <c r="H879" s="85"/>
      <c r="I879" s="85"/>
      <c r="J879" s="240">
        <f>'Baseline PHP'!J180</f>
        <v>0</v>
      </c>
      <c r="K879" s="87"/>
    </row>
    <row r="880" spans="2:11" x14ac:dyDescent="0.2">
      <c r="B880" s="81"/>
      <c r="C880" s="85"/>
      <c r="D880" s="85"/>
      <c r="E880" s="85"/>
      <c r="F880" s="85"/>
      <c r="G880" s="85"/>
      <c r="H880" s="85"/>
      <c r="I880" s="85"/>
      <c r="J880" s="85"/>
      <c r="K880" s="87"/>
    </row>
    <row r="881" spans="2:11" ht="16" x14ac:dyDescent="0.2">
      <c r="B881" s="81"/>
      <c r="C881" s="211" t="s">
        <v>651</v>
      </c>
      <c r="D881" s="85"/>
      <c r="E881" s="85"/>
      <c r="F881" s="85"/>
      <c r="G881" s="85"/>
      <c r="H881" s="85"/>
      <c r="I881" s="85"/>
      <c r="J881" s="85"/>
      <c r="K881" s="87"/>
    </row>
    <row r="882" spans="2:11" x14ac:dyDescent="0.2">
      <c r="B882" s="81"/>
      <c r="C882" s="85" t="s">
        <v>380</v>
      </c>
      <c r="D882" s="85"/>
      <c r="E882" s="85"/>
      <c r="F882" s="85"/>
      <c r="G882" s="406" t="s">
        <v>234</v>
      </c>
      <c r="H882" s="407"/>
      <c r="I882" s="85"/>
      <c r="J882" s="83">
        <f>IF(G882=$B$998,$A$998,IF(G882=$B$999,$A$999,IF(G882=$B$1000,$A$1000,IF(G882=$B$1001,$A$1001,IF(G882=$B$1002,$A$1002,"Not Calculated")))))</f>
        <v>4</v>
      </c>
      <c r="K882" s="87"/>
    </row>
    <row r="883" spans="2:11" x14ac:dyDescent="0.2">
      <c r="B883" s="81"/>
      <c r="C883" s="85" t="s">
        <v>134</v>
      </c>
      <c r="D883" s="85"/>
      <c r="E883" s="85"/>
      <c r="F883" s="85"/>
      <c r="G883" s="85"/>
      <c r="H883" s="85"/>
      <c r="I883" s="85"/>
      <c r="J883" s="240">
        <f>'Baseline PHP'!J194</f>
        <v>0</v>
      </c>
      <c r="K883" s="87"/>
    </row>
    <row r="884" spans="2:11" x14ac:dyDescent="0.2">
      <c r="B884" s="81"/>
      <c r="C884" s="85"/>
      <c r="D884" s="85"/>
      <c r="E884" s="85"/>
      <c r="F884" s="85"/>
      <c r="G884" s="85"/>
      <c r="H884" s="85"/>
      <c r="I884" s="85"/>
      <c r="J884" s="85"/>
      <c r="K884" s="87"/>
    </row>
    <row r="885" spans="2:11" ht="16" x14ac:dyDescent="0.2">
      <c r="B885" s="81"/>
      <c r="C885" s="211" t="s">
        <v>652</v>
      </c>
      <c r="D885" s="85"/>
      <c r="E885" s="85"/>
      <c r="F885" s="85"/>
      <c r="G885" s="85"/>
      <c r="H885" s="85"/>
      <c r="I885" s="85"/>
      <c r="J885" s="85"/>
      <c r="K885" s="87"/>
    </row>
    <row r="886" spans="2:11" x14ac:dyDescent="0.2">
      <c r="B886" s="81"/>
      <c r="C886" s="85" t="s">
        <v>380</v>
      </c>
      <c r="D886" s="85"/>
      <c r="E886" s="85"/>
      <c r="F886" s="85"/>
      <c r="G886" s="406" t="s">
        <v>234</v>
      </c>
      <c r="H886" s="407"/>
      <c r="I886" s="85"/>
      <c r="J886" s="83">
        <f>IF(G886=$B$998,$A$998,IF(G886=$B$999,$A$999,IF(G886=$B$1000,$A$1000,IF(G886=$B$1001,$A$1001,IF(G886=$B$1002,$A$1002,"Not Calculated")))))</f>
        <v>4</v>
      </c>
      <c r="K886" s="87"/>
    </row>
    <row r="887" spans="2:11" x14ac:dyDescent="0.2">
      <c r="B887" s="81"/>
      <c r="C887" s="85" t="s">
        <v>134</v>
      </c>
      <c r="D887" s="85"/>
      <c r="E887" s="85"/>
      <c r="F887" s="85"/>
      <c r="G887" s="85"/>
      <c r="H887" s="85"/>
      <c r="I887" s="85"/>
      <c r="J887" s="240">
        <f>'Baseline PHP'!J208</f>
        <v>0</v>
      </c>
      <c r="K887" s="87"/>
    </row>
    <row r="888" spans="2:11" x14ac:dyDescent="0.2">
      <c r="B888" s="81"/>
      <c r="C888" s="85"/>
      <c r="D888" s="85"/>
      <c r="E888" s="85"/>
      <c r="F888" s="85"/>
      <c r="G888" s="85"/>
      <c r="H888" s="85"/>
      <c r="I888" s="85"/>
      <c r="J888" s="85"/>
      <c r="K888" s="87"/>
    </row>
    <row r="889" spans="2:11" ht="16" x14ac:dyDescent="0.2">
      <c r="B889" s="81"/>
      <c r="C889" s="211" t="s">
        <v>653</v>
      </c>
      <c r="D889" s="85"/>
      <c r="E889" s="85"/>
      <c r="F889" s="85"/>
      <c r="G889" s="85"/>
      <c r="H889" s="85"/>
      <c r="I889" s="85"/>
      <c r="J889" s="85"/>
      <c r="K889" s="87"/>
    </row>
    <row r="890" spans="2:11" x14ac:dyDescent="0.2">
      <c r="B890" s="81"/>
      <c r="C890" s="85" t="s">
        <v>380</v>
      </c>
      <c r="D890" s="85"/>
      <c r="E890" s="85"/>
      <c r="F890" s="85"/>
      <c r="G890" s="406" t="s">
        <v>234</v>
      </c>
      <c r="H890" s="407"/>
      <c r="I890" s="85"/>
      <c r="J890" s="83">
        <f>IF(G890=$B$998,$A$998,IF(G890=$B$999,$A$999,IF(G890=$B$1000,$A$1000,IF(G890=$B$1001,$A$1001,IF(G890=$B$1002,$A$1002,"Not Calculated")))))</f>
        <v>4</v>
      </c>
      <c r="K890" s="87"/>
    </row>
    <row r="891" spans="2:11" x14ac:dyDescent="0.2">
      <c r="B891" s="81"/>
      <c r="C891" s="85" t="s">
        <v>134</v>
      </c>
      <c r="D891" s="85"/>
      <c r="E891" s="85"/>
      <c r="F891" s="85"/>
      <c r="G891" s="85"/>
      <c r="H891" s="85"/>
      <c r="I891" s="85"/>
      <c r="J891" s="240">
        <f>'Baseline PHP'!J222</f>
        <v>0</v>
      </c>
      <c r="K891" s="87"/>
    </row>
    <row r="892" spans="2:11" x14ac:dyDescent="0.2">
      <c r="B892" s="81"/>
      <c r="C892" s="85"/>
      <c r="D892" s="85"/>
      <c r="E892" s="85"/>
      <c r="F892" s="85"/>
      <c r="G892" s="85"/>
      <c r="H892" s="85"/>
      <c r="I892" s="85"/>
      <c r="J892" s="85"/>
      <c r="K892" s="87"/>
    </row>
    <row r="893" spans="2:11" x14ac:dyDescent="0.2">
      <c r="B893" s="81"/>
      <c r="C893" s="85"/>
      <c r="D893" s="85"/>
      <c r="E893" s="85"/>
      <c r="F893" s="85"/>
      <c r="G893" s="85"/>
      <c r="H893" s="85"/>
      <c r="I893" s="85"/>
      <c r="J893" s="85"/>
      <c r="K893" s="87"/>
    </row>
    <row r="894" spans="2:11" ht="16" x14ac:dyDescent="0.2">
      <c r="B894" s="81"/>
      <c r="C894" s="212" t="s">
        <v>813</v>
      </c>
      <c r="D894" s="85"/>
      <c r="E894" s="85"/>
      <c r="F894" s="85"/>
      <c r="G894" s="85"/>
      <c r="H894" s="85"/>
      <c r="I894" s="85"/>
      <c r="J894" s="241">
        <f>IF(OR(J854="Not Calculated",J858="Not Calculated",J862="Not Calculated",J866="Not Calculated",J870="Not Calculated",J874="Not Calculated",J878="Not Calculated",J882="Not Calculated",J886="Not Calculated",J890="Not Calculated",J834="Not Calculated",J838="Not Calculated",J842="Not Calculated",J846="Not Calculated",J850="Not Calculated",J855="Not Calculated",J859="Not Calculated",J863="Not Calculated",J867="Not Calculated",J871="Not Calculated",J875="Not Calculated",J879="Not Calculated",J883="Not Calculated",J887="Not Calculated",J891="Not Calculated",J835="Not Calculated",J839="Not Calculated",J843="Not Calculated",J847="Not Calculated",J851="Not Calculated")=TRUE,"Not Calculated",((J834*J835)+(J838*J839)+(J842*J843)+(J846*J847)+(J850*J851)+(J854*J855)+(J858*J859)+(J862*J863)+(J866*J867)+(J870*J871)+(J874*J875)+(J878*J879)+(J882*J883)+(J886*J887)+(J890*J891))/(J834+J838+J842+J846+J850+J854+J858+J862+J866+J870+J874+J878+J882+J886+J890))</f>
        <v>0</v>
      </c>
      <c r="K894" s="87"/>
    </row>
    <row r="895" spans="2:11" ht="16" thickBot="1" x14ac:dyDescent="0.25">
      <c r="B895" s="213"/>
      <c r="C895" s="94"/>
      <c r="D895" s="94"/>
      <c r="E895" s="94"/>
      <c r="F895" s="94"/>
      <c r="G895" s="94"/>
      <c r="H895" s="94"/>
      <c r="I895" s="94"/>
      <c r="J895" s="94"/>
      <c r="K895" s="96"/>
    </row>
    <row r="896" spans="2:11" ht="16" thickBot="1" x14ac:dyDescent="0.25"/>
    <row r="897" spans="2:11" x14ac:dyDescent="0.2">
      <c r="B897" s="77"/>
      <c r="C897" s="78"/>
      <c r="D897" s="78"/>
      <c r="E897" s="78"/>
      <c r="F897" s="78"/>
      <c r="G897" s="78"/>
      <c r="H897" s="78"/>
      <c r="I897" s="78"/>
      <c r="J897" s="78"/>
      <c r="K897" s="80"/>
    </row>
    <row r="898" spans="2:11" ht="21" x14ac:dyDescent="0.25">
      <c r="B898" s="81"/>
      <c r="C898" s="85"/>
      <c r="D898" s="85"/>
      <c r="E898" s="85"/>
      <c r="F898" s="85"/>
      <c r="G898" s="210" t="s">
        <v>807</v>
      </c>
      <c r="H898" s="85"/>
      <c r="I898" s="85"/>
      <c r="J898" s="85"/>
      <c r="K898" s="87"/>
    </row>
    <row r="899" spans="2:11" x14ac:dyDescent="0.2">
      <c r="B899" s="81"/>
      <c r="C899" s="85"/>
      <c r="D899" s="85"/>
      <c r="E899" s="85"/>
      <c r="F899" s="85"/>
      <c r="G899" s="85"/>
      <c r="H899" s="85"/>
      <c r="I899" s="85"/>
      <c r="J899" s="85"/>
      <c r="K899" s="87"/>
    </row>
    <row r="900" spans="2:11" ht="15" customHeight="1" x14ac:dyDescent="0.2">
      <c r="B900" s="81"/>
      <c r="C900" s="424" t="s">
        <v>809</v>
      </c>
      <c r="D900" s="424"/>
      <c r="E900" s="424"/>
      <c r="F900" s="424"/>
      <c r="G900" s="424"/>
      <c r="H900" s="424"/>
      <c r="I900" s="424"/>
      <c r="J900" s="424"/>
      <c r="K900" s="87"/>
    </row>
    <row r="901" spans="2:11" x14ac:dyDescent="0.2">
      <c r="B901" s="81"/>
      <c r="C901" s="424"/>
      <c r="D901" s="424"/>
      <c r="E901" s="424"/>
      <c r="F901" s="424"/>
      <c r="G901" s="424"/>
      <c r="H901" s="424"/>
      <c r="I901" s="424"/>
      <c r="J901" s="424"/>
      <c r="K901" s="87"/>
    </row>
    <row r="902" spans="2:11" x14ac:dyDescent="0.2">
      <c r="B902" s="81"/>
      <c r="C902" s="85"/>
      <c r="D902" s="85"/>
      <c r="E902" s="85"/>
      <c r="F902" s="85"/>
      <c r="G902" s="85"/>
      <c r="H902" s="85"/>
      <c r="I902" s="85"/>
      <c r="J902" s="85"/>
      <c r="K902" s="87"/>
    </row>
    <row r="903" spans="2:11" ht="16" x14ac:dyDescent="0.2">
      <c r="B903" s="81"/>
      <c r="C903" s="211" t="s">
        <v>810</v>
      </c>
      <c r="D903" s="85"/>
      <c r="E903" s="85"/>
      <c r="F903" s="85"/>
      <c r="G903" s="85"/>
      <c r="H903" s="85"/>
      <c r="I903" s="85"/>
      <c r="J903" s="85"/>
      <c r="K903" s="87"/>
    </row>
    <row r="904" spans="2:11" x14ac:dyDescent="0.2">
      <c r="B904" s="81"/>
      <c r="C904" s="85" t="s">
        <v>380</v>
      </c>
      <c r="D904" s="85"/>
      <c r="E904" s="85"/>
      <c r="F904" s="85"/>
      <c r="G904" s="406" t="s">
        <v>234</v>
      </c>
      <c r="H904" s="407"/>
      <c r="I904" s="85"/>
      <c r="J904" s="83">
        <f>IF(G904=$B$998,$A$998,IF(G904=$B$999,$A$999,IF(G904=$B$1000,$A$1000,IF(G904=$B$1001,$A$1001,IF(G904=$B$1002,$A$1002,"Not Calculated")))))</f>
        <v>4</v>
      </c>
      <c r="K904" s="87"/>
    </row>
    <row r="905" spans="2:11" x14ac:dyDescent="0.2">
      <c r="B905" s="81"/>
      <c r="C905" s="85" t="s">
        <v>134</v>
      </c>
      <c r="D905" s="85"/>
      <c r="E905" s="85"/>
      <c r="F905" s="85"/>
      <c r="G905" s="85"/>
      <c r="H905" s="85"/>
      <c r="I905" s="85"/>
      <c r="J905" s="240">
        <f>'Baseline HP'!J22</f>
        <v>0</v>
      </c>
      <c r="K905" s="87"/>
    </row>
    <row r="906" spans="2:11" x14ac:dyDescent="0.2">
      <c r="B906" s="81"/>
      <c r="C906" s="85"/>
      <c r="D906" s="85"/>
      <c r="E906" s="85"/>
      <c r="F906" s="85"/>
      <c r="G906" s="85"/>
      <c r="H906" s="85"/>
      <c r="I906" s="85"/>
      <c r="J906" s="85"/>
      <c r="K906" s="87"/>
    </row>
    <row r="907" spans="2:11" ht="16" x14ac:dyDescent="0.2">
      <c r="B907" s="81"/>
      <c r="C907" s="211" t="s">
        <v>811</v>
      </c>
      <c r="D907" s="85"/>
      <c r="E907" s="85"/>
      <c r="F907" s="85"/>
      <c r="G907" s="85"/>
      <c r="H907" s="85"/>
      <c r="I907" s="85"/>
      <c r="J907" s="85"/>
      <c r="K907" s="87"/>
    </row>
    <row r="908" spans="2:11" x14ac:dyDescent="0.2">
      <c r="B908" s="81"/>
      <c r="C908" s="85" t="s">
        <v>380</v>
      </c>
      <c r="D908" s="85"/>
      <c r="E908" s="85"/>
      <c r="F908" s="85"/>
      <c r="G908" s="406" t="s">
        <v>234</v>
      </c>
      <c r="H908" s="407"/>
      <c r="I908" s="85"/>
      <c r="J908" s="83">
        <f>IF(G908=$B$998,$A$998,IF(G908=$B$999,$A$999,IF(G908=$B$1000,$A$1000,IF(G908=$B$1001,$A$1001,IF(G908=$B$1002,$A$1002,"Not Calculated")))))</f>
        <v>4</v>
      </c>
      <c r="K908" s="87"/>
    </row>
    <row r="909" spans="2:11" x14ac:dyDescent="0.2">
      <c r="B909" s="81"/>
      <c r="C909" s="85" t="s">
        <v>134</v>
      </c>
      <c r="D909" s="85"/>
      <c r="E909" s="85"/>
      <c r="F909" s="85"/>
      <c r="G909" s="85"/>
      <c r="H909" s="85"/>
      <c r="I909" s="85"/>
      <c r="J909" s="240">
        <f>'Baseline HP'!J32</f>
        <v>0</v>
      </c>
      <c r="K909" s="87"/>
    </row>
    <row r="910" spans="2:11" x14ac:dyDescent="0.2">
      <c r="B910" s="81"/>
      <c r="C910" s="85"/>
      <c r="D910" s="85"/>
      <c r="E910" s="85"/>
      <c r="F910" s="85"/>
      <c r="G910" s="85"/>
      <c r="H910" s="85"/>
      <c r="I910" s="85"/>
      <c r="J910" s="85"/>
      <c r="K910" s="87"/>
    </row>
    <row r="911" spans="2:11" ht="16" x14ac:dyDescent="0.2">
      <c r="B911" s="81"/>
      <c r="C911" s="211" t="s">
        <v>645</v>
      </c>
      <c r="D911" s="85"/>
      <c r="E911" s="85"/>
      <c r="F911" s="85"/>
      <c r="G911" s="85"/>
      <c r="H911" s="85"/>
      <c r="I911" s="85"/>
      <c r="J911" s="85"/>
      <c r="K911" s="87"/>
    </row>
    <row r="912" spans="2:11" x14ac:dyDescent="0.2">
      <c r="B912" s="81"/>
      <c r="C912" s="85" t="s">
        <v>380</v>
      </c>
      <c r="D912" s="85"/>
      <c r="E912" s="85"/>
      <c r="F912" s="85"/>
      <c r="G912" s="406" t="s">
        <v>234</v>
      </c>
      <c r="H912" s="407"/>
      <c r="I912" s="85"/>
      <c r="J912" s="83">
        <f>IF(G912=$B$998,$A$998,IF(G912=$B$999,$A$999,IF(G912=$B$1000,$A$1000,IF(G912=$B$1001,$A$1001,IF(G912=$B$1002,$A$1002,"Not Calculated")))))</f>
        <v>4</v>
      </c>
      <c r="K912" s="87"/>
    </row>
    <row r="913" spans="2:11" x14ac:dyDescent="0.2">
      <c r="B913" s="81"/>
      <c r="C913" s="85" t="s">
        <v>134</v>
      </c>
      <c r="D913" s="85"/>
      <c r="E913" s="85"/>
      <c r="F913" s="85"/>
      <c r="G913" s="85"/>
      <c r="H913" s="85"/>
      <c r="I913" s="85"/>
      <c r="J913" s="240">
        <f>'Baseline HP'!J46</f>
        <v>0</v>
      </c>
      <c r="K913" s="87"/>
    </row>
    <row r="914" spans="2:11" x14ac:dyDescent="0.2">
      <c r="B914" s="81"/>
      <c r="C914" s="85"/>
      <c r="D914" s="85"/>
      <c r="E914" s="85"/>
      <c r="F914" s="85"/>
      <c r="G914" s="85"/>
      <c r="H914" s="85"/>
      <c r="I914" s="85"/>
      <c r="J914" s="85"/>
      <c r="K914" s="87"/>
    </row>
    <row r="915" spans="2:11" ht="16" x14ac:dyDescent="0.2">
      <c r="B915" s="81"/>
      <c r="C915" s="211" t="s">
        <v>648</v>
      </c>
      <c r="D915" s="85"/>
      <c r="E915" s="85"/>
      <c r="F915" s="85"/>
      <c r="G915" s="85"/>
      <c r="H915" s="85"/>
      <c r="I915" s="85"/>
      <c r="J915" s="85"/>
      <c r="K915" s="87"/>
    </row>
    <row r="916" spans="2:11" ht="15" customHeight="1" x14ac:dyDescent="0.2">
      <c r="B916" s="81"/>
      <c r="C916" s="85" t="s">
        <v>380</v>
      </c>
      <c r="D916" s="85"/>
      <c r="E916" s="85"/>
      <c r="F916" s="85"/>
      <c r="G916" s="406" t="s">
        <v>234</v>
      </c>
      <c r="H916" s="407"/>
      <c r="I916" s="85"/>
      <c r="J916" s="83">
        <f>IF(G916=$B$998,$A$998,IF(G916=$B$999,$A$999,IF(G916=$B$1000,$A$1000,IF(G916=$B$1001,$A$1001,IF(G916=$B$1002,$A$1002,"Not Calculated")))))</f>
        <v>4</v>
      </c>
      <c r="K916" s="87"/>
    </row>
    <row r="917" spans="2:11" x14ac:dyDescent="0.2">
      <c r="B917" s="81"/>
      <c r="C917" s="85" t="s">
        <v>134</v>
      </c>
      <c r="D917" s="85"/>
      <c r="E917" s="85"/>
      <c r="F917" s="85"/>
      <c r="G917" s="85"/>
      <c r="H917" s="85"/>
      <c r="I917" s="85"/>
      <c r="J917" s="240">
        <f>'Baseline HP'!J58</f>
        <v>0</v>
      </c>
      <c r="K917" s="87"/>
    </row>
    <row r="918" spans="2:11" x14ac:dyDescent="0.2">
      <c r="B918" s="81"/>
      <c r="C918" s="85"/>
      <c r="D918" s="85"/>
      <c r="E918" s="85"/>
      <c r="F918" s="85"/>
      <c r="G918" s="85"/>
      <c r="H918" s="85"/>
      <c r="I918" s="85"/>
      <c r="J918" s="85"/>
      <c r="K918" s="87"/>
    </row>
    <row r="919" spans="2:11" ht="16" x14ac:dyDescent="0.2">
      <c r="B919" s="81"/>
      <c r="C919" s="211" t="s">
        <v>647</v>
      </c>
      <c r="D919" s="85"/>
      <c r="E919" s="85"/>
      <c r="F919" s="85"/>
      <c r="G919" s="85"/>
      <c r="H919" s="85"/>
      <c r="I919" s="85"/>
      <c r="J919" s="85"/>
      <c r="K919" s="87"/>
    </row>
    <row r="920" spans="2:11" x14ac:dyDescent="0.2">
      <c r="B920" s="81"/>
      <c r="C920" s="85" t="s">
        <v>380</v>
      </c>
      <c r="D920" s="85"/>
      <c r="E920" s="85"/>
      <c r="F920" s="85"/>
      <c r="G920" s="406" t="s">
        <v>234</v>
      </c>
      <c r="H920" s="407"/>
      <c r="I920" s="85"/>
      <c r="J920" s="83">
        <f>IF(G920=$B$998,$A$998,IF(G920=$B$999,$A$999,IF(G920=$B$1000,$A$1000,IF(G920=$B$1001,$A$1001,IF(G920=$B$1002,$A$1002,"Not Calculated")))))</f>
        <v>4</v>
      </c>
      <c r="K920" s="87"/>
    </row>
    <row r="921" spans="2:11" x14ac:dyDescent="0.2">
      <c r="B921" s="81"/>
      <c r="C921" s="85" t="s">
        <v>134</v>
      </c>
      <c r="D921" s="85"/>
      <c r="E921" s="85"/>
      <c r="F921" s="85"/>
      <c r="G921" s="85"/>
      <c r="H921" s="85"/>
      <c r="I921" s="85"/>
      <c r="J921" s="240">
        <f>'Baseline HP'!J68</f>
        <v>0</v>
      </c>
      <c r="K921" s="87"/>
    </row>
    <row r="922" spans="2:11" x14ac:dyDescent="0.2">
      <c r="B922" s="81"/>
      <c r="C922" s="85"/>
      <c r="D922" s="85"/>
      <c r="E922" s="85"/>
      <c r="F922" s="85"/>
      <c r="G922" s="85"/>
      <c r="H922" s="85"/>
      <c r="I922" s="85"/>
      <c r="J922" s="85"/>
      <c r="K922" s="87"/>
    </row>
    <row r="923" spans="2:11" ht="16" x14ac:dyDescent="0.2">
      <c r="B923" s="81"/>
      <c r="C923" s="211" t="s">
        <v>121</v>
      </c>
      <c r="D923" s="85"/>
      <c r="E923" s="85"/>
      <c r="F923" s="85"/>
      <c r="G923" s="85"/>
      <c r="H923" s="85"/>
      <c r="I923" s="85"/>
      <c r="J923" s="85"/>
      <c r="K923" s="87"/>
    </row>
    <row r="924" spans="2:11" x14ac:dyDescent="0.2">
      <c r="B924" s="81"/>
      <c r="C924" s="85" t="s">
        <v>380</v>
      </c>
      <c r="D924" s="85"/>
      <c r="E924" s="85"/>
      <c r="F924" s="85"/>
      <c r="G924" s="406" t="s">
        <v>234</v>
      </c>
      <c r="H924" s="407"/>
      <c r="I924" s="85"/>
      <c r="J924" s="83">
        <f>IF(G924=$B$998,$A$998,IF(G924=$B$999,$A$999,IF(G924=$B$1000,$A$1000,IF(G924=$B$1001,$A$1001,IF(G924=$B$1002,$A$1002,"Not Calculated")))))</f>
        <v>4</v>
      </c>
      <c r="K924" s="87"/>
    </row>
    <row r="925" spans="2:11" x14ac:dyDescent="0.2">
      <c r="B925" s="81"/>
      <c r="C925" s="85" t="s">
        <v>134</v>
      </c>
      <c r="D925" s="85"/>
      <c r="E925" s="85"/>
      <c r="F925" s="85"/>
      <c r="G925" s="85"/>
      <c r="H925" s="85"/>
      <c r="I925" s="85"/>
      <c r="J925" s="240">
        <f>'Baseline HP'!J84</f>
        <v>0</v>
      </c>
      <c r="K925" s="87"/>
    </row>
    <row r="926" spans="2:11" x14ac:dyDescent="0.2">
      <c r="B926" s="81"/>
      <c r="C926" s="85"/>
      <c r="D926" s="85"/>
      <c r="E926" s="85"/>
      <c r="F926" s="85"/>
      <c r="G926" s="85"/>
      <c r="H926" s="85"/>
      <c r="I926" s="85"/>
      <c r="J926" s="85"/>
      <c r="K926" s="87"/>
    </row>
    <row r="927" spans="2:11" ht="16" x14ac:dyDescent="0.2">
      <c r="B927" s="81"/>
      <c r="C927" s="211" t="s">
        <v>652</v>
      </c>
      <c r="D927" s="85"/>
      <c r="E927" s="85"/>
      <c r="F927" s="85"/>
      <c r="G927" s="85"/>
      <c r="H927" s="85"/>
      <c r="I927" s="85"/>
      <c r="J927" s="85"/>
      <c r="K927" s="87"/>
    </row>
    <row r="928" spans="2:11" x14ac:dyDescent="0.2">
      <c r="B928" s="81"/>
      <c r="C928" s="85" t="s">
        <v>380</v>
      </c>
      <c r="D928" s="85"/>
      <c r="E928" s="85"/>
      <c r="F928" s="85"/>
      <c r="G928" s="406" t="s">
        <v>234</v>
      </c>
      <c r="H928" s="407"/>
      <c r="I928" s="85"/>
      <c r="J928" s="83">
        <f>IF(G928=$B$998,$A$998,IF(G928=$B$999,$A$999,IF(G928=$B$1000,$A$1000,IF(G928=$B$1001,$A$1001,IF(G928=$B$1002,$A$1002,"Not Calculated")))))</f>
        <v>4</v>
      </c>
      <c r="K928" s="87"/>
    </row>
    <row r="929" spans="2:11" x14ac:dyDescent="0.2">
      <c r="B929" s="81"/>
      <c r="C929" s="85" t="s">
        <v>134</v>
      </c>
      <c r="D929" s="85"/>
      <c r="E929" s="85"/>
      <c r="F929" s="85"/>
      <c r="G929" s="85"/>
      <c r="H929" s="85"/>
      <c r="I929" s="85"/>
      <c r="J929" s="240">
        <f>'Baseline HP'!J94</f>
        <v>0</v>
      </c>
      <c r="K929" s="87"/>
    </row>
    <row r="930" spans="2:11" x14ac:dyDescent="0.2">
      <c r="B930" s="81"/>
      <c r="C930" s="85"/>
      <c r="D930" s="85"/>
      <c r="E930" s="85"/>
      <c r="F930" s="85"/>
      <c r="G930" s="85"/>
      <c r="H930" s="85"/>
      <c r="I930" s="85"/>
      <c r="J930" s="85"/>
      <c r="K930" s="87"/>
    </row>
    <row r="931" spans="2:11" ht="16" x14ac:dyDescent="0.2">
      <c r="B931" s="81"/>
      <c r="C931" s="211" t="s">
        <v>653</v>
      </c>
      <c r="D931" s="85"/>
      <c r="E931" s="85"/>
      <c r="F931" s="85"/>
      <c r="G931" s="85"/>
      <c r="H931" s="85"/>
      <c r="I931" s="85"/>
      <c r="J931" s="85"/>
      <c r="K931" s="87"/>
    </row>
    <row r="932" spans="2:11" x14ac:dyDescent="0.2">
      <c r="B932" s="81"/>
      <c r="C932" s="85" t="s">
        <v>380</v>
      </c>
      <c r="D932" s="85"/>
      <c r="E932" s="85"/>
      <c r="F932" s="85"/>
      <c r="G932" s="406" t="s">
        <v>234</v>
      </c>
      <c r="H932" s="407"/>
      <c r="I932" s="85"/>
      <c r="J932" s="83">
        <f>IF(G932=$B$998,$A$998,IF(G932=$B$999,$A$999,IF(G932=$B$1000,$A$1000,IF(G932=$B$1001,$A$1001,IF(G932=$B$1002,$A$1002,"Not Calculated")))))</f>
        <v>4</v>
      </c>
      <c r="K932" s="87"/>
    </row>
    <row r="933" spans="2:11" x14ac:dyDescent="0.2">
      <c r="B933" s="81"/>
      <c r="C933" s="85" t="s">
        <v>134</v>
      </c>
      <c r="D933" s="85"/>
      <c r="E933" s="85"/>
      <c r="F933" s="85"/>
      <c r="G933" s="85"/>
      <c r="H933" s="85"/>
      <c r="I933" s="85"/>
      <c r="J933" s="240">
        <f>'Baseline HP'!J108</f>
        <v>0</v>
      </c>
      <c r="K933" s="87"/>
    </row>
    <row r="934" spans="2:11" x14ac:dyDescent="0.2">
      <c r="B934" s="81"/>
      <c r="C934" s="85"/>
      <c r="D934" s="85"/>
      <c r="E934" s="85"/>
      <c r="F934" s="85"/>
      <c r="G934" s="85"/>
      <c r="H934" s="85"/>
      <c r="I934" s="85"/>
      <c r="J934" s="85"/>
      <c r="K934" s="87"/>
    </row>
    <row r="935" spans="2:11" x14ac:dyDescent="0.2">
      <c r="B935" s="81"/>
      <c r="C935" s="85"/>
      <c r="D935" s="85"/>
      <c r="E935" s="85"/>
      <c r="F935" s="85"/>
      <c r="G935" s="85"/>
      <c r="H935" s="85"/>
      <c r="I935" s="85"/>
      <c r="J935" s="85"/>
      <c r="K935" s="87"/>
    </row>
    <row r="936" spans="2:11" ht="16" x14ac:dyDescent="0.2">
      <c r="B936" s="81"/>
      <c r="C936" s="212" t="s">
        <v>812</v>
      </c>
      <c r="D936" s="85"/>
      <c r="E936" s="85"/>
      <c r="F936" s="85"/>
      <c r="G936" s="85"/>
      <c r="H936" s="85"/>
      <c r="I936" s="85"/>
      <c r="J936" s="241">
        <f>IF(OR(J920="Not Calculated",J924="Not Calculated",J928="Not Calculated",J932="Not Calculated",J904="Not Calculated",J908="Not Calculated",J912="Not Calculated",J916="Not Calculated",J921="Not Calculated",J925="Not Calculated",J929="Not Calculated",J933="Not Calculated",J905="Not Calculated",J909="Not Calculated",J913="Not Calculated",J917="Not Calculated")=TRUE,"Not Calculated",((J904*J905)+(J908*J909)+(J912*J913)+(J916*J917)+(J920*J921)+(J924*J925)+(J928*J929)+(J932*J933))/(J904+J908+J912+J916+J920+J924+J928+J932))</f>
        <v>0</v>
      </c>
      <c r="K936" s="87"/>
    </row>
    <row r="937" spans="2:11" ht="16" thickBot="1" x14ac:dyDescent="0.25">
      <c r="B937" s="213"/>
      <c r="C937" s="94"/>
      <c r="D937" s="94"/>
      <c r="E937" s="94"/>
      <c r="F937" s="94"/>
      <c r="G937" s="94"/>
      <c r="H937" s="94"/>
      <c r="I937" s="94"/>
      <c r="J937" s="94"/>
      <c r="K937" s="96"/>
    </row>
    <row r="938" spans="2:11" ht="16" thickBot="1" x14ac:dyDescent="0.25"/>
    <row r="939" spans="2:11" x14ac:dyDescent="0.2">
      <c r="B939" s="77"/>
      <c r="C939" s="78"/>
      <c r="D939" s="78"/>
      <c r="E939" s="78"/>
      <c r="F939" s="78"/>
      <c r="G939" s="78"/>
      <c r="H939" s="78"/>
      <c r="I939" s="78"/>
      <c r="J939" s="78"/>
      <c r="K939" s="80"/>
    </row>
    <row r="940" spans="2:11" ht="21" x14ac:dyDescent="0.25">
      <c r="B940" s="81"/>
      <c r="C940" s="85"/>
      <c r="D940" s="85"/>
      <c r="E940" s="85"/>
      <c r="F940" s="85"/>
      <c r="G940" s="210" t="s">
        <v>815</v>
      </c>
      <c r="H940" s="85"/>
      <c r="I940" s="85"/>
      <c r="J940" s="85"/>
      <c r="K940" s="87"/>
    </row>
    <row r="941" spans="2:11" ht="21" x14ac:dyDescent="0.25">
      <c r="B941" s="81"/>
      <c r="C941" s="85"/>
      <c r="D941" s="85"/>
      <c r="E941" s="85"/>
      <c r="F941" s="85"/>
      <c r="G941" s="210"/>
      <c r="H941" s="85"/>
      <c r="I941" s="85"/>
      <c r="J941" s="85"/>
      <c r="K941" s="87"/>
    </row>
    <row r="942" spans="2:11" ht="16" x14ac:dyDescent="0.2">
      <c r="B942" s="81"/>
      <c r="C942" s="212" t="s">
        <v>995</v>
      </c>
      <c r="D942" s="85"/>
      <c r="E942" s="85"/>
      <c r="F942" s="85"/>
      <c r="G942" s="85"/>
      <c r="H942" s="85"/>
      <c r="I942" s="85"/>
      <c r="J942" s="241">
        <f>IF(OR(J936="Not Calculated",J894="Not Calculated")=TRUE,"Not Calculated",AVERAGE(J936,J894))</f>
        <v>0</v>
      </c>
      <c r="K942" s="87"/>
    </row>
    <row r="943" spans="2:11" ht="16" x14ac:dyDescent="0.2">
      <c r="B943" s="81"/>
      <c r="C943" s="212"/>
      <c r="D943" s="85" t="s">
        <v>814</v>
      </c>
      <c r="E943" s="85"/>
      <c r="F943" s="85"/>
      <c r="G943" s="85"/>
      <c r="H943" s="85"/>
      <c r="I943" s="85"/>
      <c r="J943" s="241"/>
      <c r="K943" s="87"/>
    </row>
    <row r="944" spans="2:11" ht="17" thickBot="1" x14ac:dyDescent="0.25">
      <c r="B944" s="213"/>
      <c r="C944" s="227"/>
      <c r="D944" s="94"/>
      <c r="E944" s="94"/>
      <c r="F944" s="94"/>
      <c r="G944" s="94"/>
      <c r="H944" s="94"/>
      <c r="I944" s="94"/>
      <c r="J944" s="228"/>
      <c r="K944" s="96"/>
    </row>
    <row r="945" spans="2:11" ht="16" thickBot="1" x14ac:dyDescent="0.25"/>
    <row r="946" spans="2:11" x14ac:dyDescent="0.2">
      <c r="B946" s="214"/>
      <c r="C946" s="215"/>
      <c r="D946" s="215"/>
      <c r="E946" s="215"/>
      <c r="F946" s="215"/>
      <c r="G946" s="215"/>
      <c r="H946" s="215"/>
      <c r="I946" s="215"/>
      <c r="J946" s="215"/>
      <c r="K946" s="216"/>
    </row>
    <row r="947" spans="2:11" ht="21" x14ac:dyDescent="0.25">
      <c r="B947" s="217"/>
      <c r="C947" s="218"/>
      <c r="D947" s="218"/>
      <c r="E947" s="218"/>
      <c r="F947" s="218"/>
      <c r="G947" s="219" t="s">
        <v>239</v>
      </c>
      <c r="H947" s="218"/>
      <c r="I947" s="218"/>
      <c r="J947" s="218"/>
      <c r="K947" s="220"/>
    </row>
    <row r="948" spans="2:11" x14ac:dyDescent="0.2">
      <c r="B948" s="217"/>
      <c r="C948" s="218"/>
      <c r="D948" s="218"/>
      <c r="E948" s="218"/>
      <c r="F948" s="218"/>
      <c r="G948" s="218"/>
      <c r="H948" s="218"/>
      <c r="I948" s="218"/>
      <c r="J948" s="218"/>
      <c r="K948" s="220"/>
    </row>
    <row r="949" spans="2:11" ht="16" x14ac:dyDescent="0.2">
      <c r="B949" s="217"/>
      <c r="C949" s="221" t="s">
        <v>393</v>
      </c>
      <c r="D949" s="218"/>
      <c r="E949" s="218"/>
      <c r="F949" s="218"/>
      <c r="G949" s="218"/>
      <c r="H949" s="218"/>
      <c r="I949" s="218"/>
      <c r="J949" s="242" t="str">
        <f>IF(OR(J817="Not Calculated",J942="Not Calculated")=TRUE,"Not Calculated",J817/J942)</f>
        <v>Not Calculated</v>
      </c>
      <c r="K949" s="220"/>
    </row>
    <row r="950" spans="2:11" x14ac:dyDescent="0.2">
      <c r="B950" s="217"/>
      <c r="C950" s="218"/>
      <c r="D950" s="218" t="s">
        <v>816</v>
      </c>
      <c r="E950" s="218"/>
      <c r="F950" s="218"/>
      <c r="G950" s="218"/>
      <c r="H950" s="218"/>
      <c r="I950" s="218"/>
      <c r="J950" s="218"/>
      <c r="K950" s="220"/>
    </row>
    <row r="951" spans="2:11" x14ac:dyDescent="0.2">
      <c r="B951" s="217"/>
      <c r="C951" s="218"/>
      <c r="D951" s="218"/>
      <c r="E951" s="218"/>
      <c r="F951" s="218"/>
      <c r="G951" s="218"/>
      <c r="H951" s="218"/>
      <c r="I951" s="218"/>
      <c r="J951" s="218"/>
      <c r="K951" s="220"/>
    </row>
    <row r="952" spans="2:11" ht="16" x14ac:dyDescent="0.2">
      <c r="B952" s="217"/>
      <c r="C952" s="221" t="s">
        <v>996</v>
      </c>
      <c r="D952" s="218"/>
      <c r="E952" s="218"/>
      <c r="F952" s="218"/>
      <c r="G952" s="218"/>
      <c r="H952" s="218"/>
      <c r="I952" s="218"/>
      <c r="J952" s="242" t="str">
        <f>IF(OR(J820="Not Calculated",J894="Not Calculated")=TRUE,"Not Calculated",J820/J894)</f>
        <v>Not Calculated</v>
      </c>
      <c r="K952" s="220"/>
    </row>
    <row r="953" spans="2:11" x14ac:dyDescent="0.2">
      <c r="B953" s="217"/>
      <c r="C953" s="218"/>
      <c r="D953" s="218" t="s">
        <v>817</v>
      </c>
      <c r="E953" s="218"/>
      <c r="F953" s="218"/>
      <c r="G953" s="218"/>
      <c r="H953" s="218"/>
      <c r="I953" s="218"/>
      <c r="J953" s="218"/>
      <c r="K953" s="220"/>
    </row>
    <row r="954" spans="2:11" x14ac:dyDescent="0.2">
      <c r="B954" s="217"/>
      <c r="C954" s="218"/>
      <c r="D954" s="218"/>
      <c r="E954" s="218"/>
      <c r="F954" s="218"/>
      <c r="G954" s="218"/>
      <c r="H954" s="218"/>
      <c r="I954" s="218"/>
      <c r="J954" s="218"/>
      <c r="K954" s="220"/>
    </row>
    <row r="955" spans="2:11" ht="16" x14ac:dyDescent="0.2">
      <c r="B955" s="217"/>
      <c r="C955" s="221" t="s">
        <v>997</v>
      </c>
      <c r="D955" s="218"/>
      <c r="E955" s="218"/>
      <c r="F955" s="218"/>
      <c r="G955" s="218"/>
      <c r="H955" s="218"/>
      <c r="I955" s="218"/>
      <c r="J955" s="242" t="str">
        <f>IF(OR(J936="Not Calculated",J823="Not Calculated")=TRUE,"Not Calculated",J823/J936)</f>
        <v>Not Calculated</v>
      </c>
      <c r="K955" s="220"/>
    </row>
    <row r="956" spans="2:11" x14ac:dyDescent="0.2">
      <c r="B956" s="217"/>
      <c r="C956" s="218"/>
      <c r="D956" s="218" t="s">
        <v>818</v>
      </c>
      <c r="E956" s="218"/>
      <c r="F956" s="218"/>
      <c r="G956" s="218"/>
      <c r="H956" s="218"/>
      <c r="I956" s="218"/>
      <c r="J956" s="218"/>
      <c r="K956" s="220"/>
    </row>
    <row r="957" spans="2:11" ht="16" thickBot="1" x14ac:dyDescent="0.25">
      <c r="B957" s="222"/>
      <c r="C957" s="223"/>
      <c r="D957" s="223"/>
      <c r="E957" s="223"/>
      <c r="F957" s="223"/>
      <c r="G957" s="223"/>
      <c r="H957" s="223"/>
      <c r="I957" s="223"/>
      <c r="J957" s="223"/>
      <c r="K957" s="224"/>
    </row>
    <row r="959" spans="2:11" ht="15" customHeight="1" x14ac:dyDescent="0.2">
      <c r="F959" s="405"/>
      <c r="G959" s="405"/>
      <c r="H959" s="405"/>
    </row>
    <row r="960" spans="2:11" x14ac:dyDescent="0.2">
      <c r="F960" s="405"/>
      <c r="G960" s="405"/>
      <c r="H960" s="405"/>
    </row>
    <row r="965" spans="1:3" ht="15" hidden="1" customHeight="1" x14ac:dyDescent="0.2">
      <c r="A965" s="12" t="s">
        <v>228</v>
      </c>
    </row>
    <row r="966" spans="1:3" ht="15" hidden="1" customHeight="1" x14ac:dyDescent="0.2">
      <c r="A966" s="12">
        <v>0</v>
      </c>
      <c r="B966" s="12" t="s">
        <v>250</v>
      </c>
      <c r="C966" s="12" t="s">
        <v>240</v>
      </c>
    </row>
    <row r="967" spans="1:3" ht="15" hidden="1" customHeight="1" x14ac:dyDescent="0.2">
      <c r="A967" s="12">
        <v>1</v>
      </c>
      <c r="B967" s="12" t="s">
        <v>251</v>
      </c>
      <c r="C967" s="12" t="s">
        <v>241</v>
      </c>
    </row>
    <row r="968" spans="1:3" ht="15" hidden="1" customHeight="1" x14ac:dyDescent="0.2">
      <c r="A968" s="12">
        <v>2</v>
      </c>
      <c r="B968" s="12" t="s">
        <v>252</v>
      </c>
      <c r="C968" s="12" t="s">
        <v>242</v>
      </c>
    </row>
    <row r="969" spans="1:3" ht="15" hidden="1" customHeight="1" x14ac:dyDescent="0.2">
      <c r="A969" s="12">
        <v>3</v>
      </c>
      <c r="B969" s="12" t="s">
        <v>253</v>
      </c>
      <c r="C969" s="12" t="s">
        <v>227</v>
      </c>
    </row>
    <row r="970" spans="1:3" ht="15" hidden="1" customHeight="1" x14ac:dyDescent="0.2">
      <c r="A970" s="12">
        <v>4</v>
      </c>
      <c r="B970" s="12" t="s">
        <v>254</v>
      </c>
      <c r="C970" s="12" t="s">
        <v>243</v>
      </c>
    </row>
    <row r="971" spans="1:3" ht="15" hidden="1" customHeight="1" x14ac:dyDescent="0.2"/>
    <row r="972" spans="1:3" ht="15" hidden="1" customHeight="1" x14ac:dyDescent="0.2">
      <c r="A972" s="12" t="s">
        <v>259</v>
      </c>
    </row>
    <row r="973" spans="1:3" ht="15" hidden="1" customHeight="1" x14ac:dyDescent="0.2">
      <c r="A973" s="12">
        <v>0</v>
      </c>
      <c r="B973" s="225" t="s">
        <v>870</v>
      </c>
    </row>
    <row r="974" spans="1:3" ht="15" hidden="1" customHeight="1" x14ac:dyDescent="0.2">
      <c r="A974" s="12">
        <v>1</v>
      </c>
      <c r="B974" s="12" t="s">
        <v>880</v>
      </c>
    </row>
    <row r="975" spans="1:3" ht="15" hidden="1" customHeight="1" x14ac:dyDescent="0.2">
      <c r="A975" s="12">
        <v>2</v>
      </c>
      <c r="B975" s="12" t="s">
        <v>872</v>
      </c>
    </row>
    <row r="976" spans="1:3" ht="15" hidden="1" customHeight="1" x14ac:dyDescent="0.2">
      <c r="A976" s="12">
        <v>3</v>
      </c>
      <c r="B976" s="12" t="s">
        <v>873</v>
      </c>
    </row>
    <row r="977" spans="1:2" ht="15" hidden="1" customHeight="1" x14ac:dyDescent="0.2">
      <c r="A977" s="12">
        <v>4</v>
      </c>
      <c r="B977" s="12" t="s">
        <v>874</v>
      </c>
    </row>
    <row r="978" spans="1:2" ht="15" hidden="1" customHeight="1" x14ac:dyDescent="0.2"/>
    <row r="979" spans="1:2" ht="15" hidden="1" customHeight="1" x14ac:dyDescent="0.2">
      <c r="A979" s="12" t="s">
        <v>294</v>
      </c>
    </row>
    <row r="980" spans="1:2" ht="15" hidden="1" customHeight="1" x14ac:dyDescent="0.2">
      <c r="A980" s="12">
        <v>0</v>
      </c>
      <c r="B980" s="225" t="s">
        <v>870</v>
      </c>
    </row>
    <row r="981" spans="1:2" ht="15" hidden="1" customHeight="1" x14ac:dyDescent="0.2">
      <c r="A981" s="12">
        <v>1</v>
      </c>
      <c r="B981" s="12" t="s">
        <v>875</v>
      </c>
    </row>
    <row r="982" spans="1:2" ht="15" hidden="1" customHeight="1" x14ac:dyDescent="0.2">
      <c r="A982" s="12">
        <v>2</v>
      </c>
      <c r="B982" s="12" t="s">
        <v>876</v>
      </c>
    </row>
    <row r="983" spans="1:2" ht="15" hidden="1" customHeight="1" x14ac:dyDescent="0.2">
      <c r="A983" s="12">
        <v>3</v>
      </c>
      <c r="B983" s="12" t="s">
        <v>877</v>
      </c>
    </row>
    <row r="984" spans="1:2" ht="15" hidden="1" customHeight="1" x14ac:dyDescent="0.2">
      <c r="A984" s="12">
        <v>4</v>
      </c>
      <c r="B984" s="12" t="s">
        <v>878</v>
      </c>
    </row>
    <row r="985" spans="1:2" ht="15" hidden="1" customHeight="1" x14ac:dyDescent="0.2"/>
    <row r="986" spans="1:2" ht="15" hidden="1" customHeight="1" x14ac:dyDescent="0.2">
      <c r="A986" s="12" t="s">
        <v>244</v>
      </c>
    </row>
    <row r="987" spans="1:2" ht="15" hidden="1" customHeight="1" x14ac:dyDescent="0.2">
      <c r="A987" s="12">
        <v>0</v>
      </c>
      <c r="B987" s="12" t="s">
        <v>245</v>
      </c>
    </row>
    <row r="988" spans="1:2" ht="15" hidden="1" customHeight="1" x14ac:dyDescent="0.2">
      <c r="A988" s="12">
        <v>1</v>
      </c>
      <c r="B988" s="12" t="s">
        <v>246</v>
      </c>
    </row>
    <row r="989" spans="1:2" ht="15" hidden="1" customHeight="1" x14ac:dyDescent="0.2">
      <c r="A989" s="12">
        <v>2</v>
      </c>
      <c r="B989" s="12" t="s">
        <v>247</v>
      </c>
    </row>
    <row r="990" spans="1:2" ht="15" hidden="1" customHeight="1" x14ac:dyDescent="0.2">
      <c r="A990" s="12">
        <v>3</v>
      </c>
      <c r="B990" s="12" t="s">
        <v>229</v>
      </c>
    </row>
    <row r="991" spans="1:2" ht="15" hidden="1" customHeight="1" x14ac:dyDescent="0.2">
      <c r="A991" s="12">
        <v>4</v>
      </c>
      <c r="B991" s="12" t="s">
        <v>248</v>
      </c>
    </row>
    <row r="992" spans="1:2" ht="15" hidden="1" customHeight="1" x14ac:dyDescent="0.2"/>
    <row r="993" spans="1:11" ht="15" hidden="1" customHeight="1" x14ac:dyDescent="0.2">
      <c r="A993" s="12" t="s">
        <v>381</v>
      </c>
    </row>
    <row r="994" spans="1:11" ht="15" hidden="1" customHeight="1" x14ac:dyDescent="0.2">
      <c r="A994" s="12">
        <v>0</v>
      </c>
      <c r="B994" s="12" t="s">
        <v>202</v>
      </c>
    </row>
    <row r="995" spans="1:11" ht="15" hidden="1" customHeight="1" x14ac:dyDescent="0.2">
      <c r="A995" s="12">
        <v>1</v>
      </c>
      <c r="B995" s="12" t="s">
        <v>190</v>
      </c>
    </row>
    <row r="996" spans="1:11" ht="15" hidden="1" customHeight="1" x14ac:dyDescent="0.2"/>
    <row r="997" spans="1:11" ht="15" hidden="1" customHeight="1" x14ac:dyDescent="0.2">
      <c r="A997" s="12" t="s">
        <v>249</v>
      </c>
    </row>
    <row r="998" spans="1:11" ht="15" hidden="1" customHeight="1" x14ac:dyDescent="0.2">
      <c r="A998" s="12">
        <v>0</v>
      </c>
      <c r="B998" s="12" t="s">
        <v>236</v>
      </c>
    </row>
    <row r="999" spans="1:11" ht="15" hidden="1" customHeight="1" x14ac:dyDescent="0.2">
      <c r="A999" s="12">
        <v>1</v>
      </c>
      <c r="B999" s="12" t="s">
        <v>237</v>
      </c>
    </row>
    <row r="1000" spans="1:11" ht="15" hidden="1" customHeight="1" x14ac:dyDescent="0.2">
      <c r="A1000" s="12">
        <v>2</v>
      </c>
      <c r="B1000" s="12" t="s">
        <v>235</v>
      </c>
    </row>
    <row r="1001" spans="1:11" ht="15" hidden="1" customHeight="1" x14ac:dyDescent="0.2">
      <c r="A1001" s="12">
        <v>3</v>
      </c>
      <c r="B1001" s="12" t="s">
        <v>238</v>
      </c>
    </row>
    <row r="1002" spans="1:11" ht="15" hidden="1" customHeight="1" x14ac:dyDescent="0.2">
      <c r="A1002" s="12">
        <v>4</v>
      </c>
      <c r="B1002" s="12" t="s">
        <v>234</v>
      </c>
    </row>
    <row r="1003" spans="1:11" ht="15" customHeight="1" x14ac:dyDescent="0.2">
      <c r="B1003" s="12" t="s">
        <v>685</v>
      </c>
    </row>
    <row r="1004" spans="1:11" ht="15" customHeight="1" x14ac:dyDescent="0.2">
      <c r="B1004" s="465" t="s">
        <v>692</v>
      </c>
      <c r="C1004" s="466"/>
      <c r="D1004" s="466"/>
      <c r="E1004" s="466"/>
      <c r="F1004" s="466"/>
      <c r="G1004" s="466"/>
      <c r="H1004" s="466"/>
      <c r="I1004" s="466"/>
      <c r="J1004" s="466"/>
      <c r="K1004" s="467"/>
    </row>
    <row r="1005" spans="1:11" ht="15" customHeight="1" x14ac:dyDescent="0.2">
      <c r="B1005" s="468"/>
      <c r="C1005" s="469"/>
      <c r="D1005" s="469"/>
      <c r="E1005" s="469"/>
      <c r="F1005" s="469"/>
      <c r="G1005" s="469"/>
      <c r="H1005" s="469"/>
      <c r="I1005" s="469"/>
      <c r="J1005" s="469"/>
      <c r="K1005" s="470"/>
    </row>
    <row r="1006" spans="1:11" ht="15" customHeight="1" x14ac:dyDescent="0.2">
      <c r="B1006" s="468" t="s">
        <v>695</v>
      </c>
      <c r="C1006" s="469"/>
      <c r="D1006" s="469"/>
      <c r="E1006" s="469"/>
      <c r="F1006" s="469"/>
      <c r="G1006" s="469"/>
      <c r="H1006" s="469"/>
      <c r="I1006" s="469"/>
      <c r="J1006" s="469"/>
      <c r="K1006" s="470"/>
    </row>
    <row r="1007" spans="1:11" ht="15" customHeight="1" x14ac:dyDescent="0.2">
      <c r="B1007" s="468"/>
      <c r="C1007" s="469"/>
      <c r="D1007" s="469"/>
      <c r="E1007" s="469"/>
      <c r="F1007" s="469"/>
      <c r="G1007" s="469"/>
      <c r="H1007" s="469"/>
      <c r="I1007" s="469"/>
      <c r="J1007" s="469"/>
      <c r="K1007" s="470"/>
    </row>
    <row r="1008" spans="1:11" ht="30" customHeight="1" x14ac:dyDescent="0.2">
      <c r="B1008" s="468" t="s">
        <v>730</v>
      </c>
      <c r="C1008" s="469"/>
      <c r="D1008" s="469"/>
      <c r="E1008" s="469"/>
      <c r="F1008" s="469"/>
      <c r="G1008" s="469"/>
      <c r="H1008" s="469"/>
      <c r="I1008" s="469"/>
      <c r="J1008" s="469"/>
      <c r="K1008" s="470"/>
    </row>
    <row r="1009" spans="2:11" ht="15" customHeight="1" x14ac:dyDescent="0.2">
      <c r="B1009" s="468"/>
      <c r="C1009" s="469"/>
      <c r="D1009" s="469"/>
      <c r="E1009" s="469"/>
      <c r="F1009" s="469"/>
      <c r="G1009" s="469"/>
      <c r="H1009" s="469"/>
      <c r="I1009" s="469"/>
      <c r="J1009" s="469"/>
      <c r="K1009" s="470"/>
    </row>
    <row r="1010" spans="2:11" ht="45" customHeight="1" x14ac:dyDescent="0.2">
      <c r="B1010" s="468" t="s">
        <v>731</v>
      </c>
      <c r="C1010" s="469"/>
      <c r="D1010" s="469"/>
      <c r="E1010" s="469"/>
      <c r="F1010" s="469"/>
      <c r="G1010" s="469"/>
      <c r="H1010" s="469"/>
      <c r="I1010" s="469"/>
      <c r="J1010" s="469"/>
      <c r="K1010" s="470"/>
    </row>
    <row r="1011" spans="2:11" ht="15" customHeight="1" x14ac:dyDescent="0.2">
      <c r="B1011" s="468"/>
      <c r="C1011" s="469"/>
      <c r="D1011" s="469"/>
      <c r="E1011" s="469"/>
      <c r="F1011" s="469"/>
      <c r="G1011" s="469"/>
      <c r="H1011" s="469"/>
      <c r="I1011" s="469"/>
      <c r="J1011" s="469"/>
      <c r="K1011" s="470"/>
    </row>
    <row r="1012" spans="2:11" ht="30" customHeight="1" x14ac:dyDescent="0.2">
      <c r="B1012" s="468" t="s">
        <v>689</v>
      </c>
      <c r="C1012" s="469"/>
      <c r="D1012" s="469"/>
      <c r="E1012" s="469"/>
      <c r="F1012" s="469"/>
      <c r="G1012" s="469"/>
      <c r="H1012" s="469"/>
      <c r="I1012" s="469"/>
      <c r="J1012" s="469"/>
      <c r="K1012" s="470"/>
    </row>
    <row r="1013" spans="2:11" ht="15" customHeight="1" x14ac:dyDescent="0.2">
      <c r="B1013" s="468"/>
      <c r="C1013" s="469"/>
      <c r="D1013" s="469"/>
      <c r="E1013" s="469"/>
      <c r="F1013" s="469"/>
      <c r="G1013" s="469"/>
      <c r="H1013" s="469"/>
      <c r="I1013" s="469"/>
      <c r="J1013" s="469"/>
      <c r="K1013" s="470"/>
    </row>
    <row r="1014" spans="2:11" ht="30" customHeight="1" x14ac:dyDescent="0.2">
      <c r="B1014" s="468" t="s">
        <v>1026</v>
      </c>
      <c r="C1014" s="469"/>
      <c r="D1014" s="469"/>
      <c r="E1014" s="469"/>
      <c r="F1014" s="469"/>
      <c r="G1014" s="469"/>
      <c r="H1014" s="469"/>
      <c r="I1014" s="469"/>
      <c r="J1014" s="469"/>
      <c r="K1014" s="470"/>
    </row>
    <row r="1015" spans="2:11" ht="15" customHeight="1" x14ac:dyDescent="0.2">
      <c r="B1015" s="468"/>
      <c r="C1015" s="469"/>
      <c r="D1015" s="469"/>
      <c r="E1015" s="469"/>
      <c r="F1015" s="469"/>
      <c r="G1015" s="469"/>
      <c r="H1015" s="469"/>
      <c r="I1015" s="469"/>
      <c r="J1015" s="469"/>
      <c r="K1015" s="470"/>
    </row>
    <row r="1016" spans="2:11" ht="30" customHeight="1" x14ac:dyDescent="0.2">
      <c r="B1016" s="468" t="s">
        <v>1027</v>
      </c>
      <c r="C1016" s="469"/>
      <c r="D1016" s="469"/>
      <c r="E1016" s="469"/>
      <c r="F1016" s="469"/>
      <c r="G1016" s="469"/>
      <c r="H1016" s="469"/>
      <c r="I1016" s="469"/>
      <c r="J1016" s="469"/>
      <c r="K1016" s="470"/>
    </row>
    <row r="1017" spans="2:11" ht="15" customHeight="1" x14ac:dyDescent="0.2">
      <c r="B1017" s="468"/>
      <c r="C1017" s="469"/>
      <c r="D1017" s="469"/>
      <c r="E1017" s="469"/>
      <c r="F1017" s="469"/>
      <c r="G1017" s="469"/>
      <c r="H1017" s="469"/>
      <c r="I1017" s="469"/>
      <c r="J1017" s="469"/>
      <c r="K1017" s="470"/>
    </row>
    <row r="1018" spans="2:11" ht="45" customHeight="1" x14ac:dyDescent="0.2">
      <c r="B1018" s="468" t="s">
        <v>1028</v>
      </c>
      <c r="C1018" s="469"/>
      <c r="D1018" s="469"/>
      <c r="E1018" s="469"/>
      <c r="F1018" s="469"/>
      <c r="G1018" s="469"/>
      <c r="H1018" s="469"/>
      <c r="I1018" s="469"/>
      <c r="J1018" s="469"/>
      <c r="K1018" s="470"/>
    </row>
    <row r="1019" spans="2:11" ht="15" customHeight="1" x14ac:dyDescent="0.2">
      <c r="B1019" s="468"/>
      <c r="C1019" s="469"/>
      <c r="D1019" s="469"/>
      <c r="E1019" s="469"/>
      <c r="F1019" s="469"/>
      <c r="G1019" s="469"/>
      <c r="H1019" s="469"/>
      <c r="I1019" s="469"/>
      <c r="J1019" s="469"/>
      <c r="K1019" s="470"/>
    </row>
    <row r="1020" spans="2:11" ht="45" customHeight="1" x14ac:dyDescent="0.2">
      <c r="B1020" s="468" t="s">
        <v>732</v>
      </c>
      <c r="C1020" s="469"/>
      <c r="D1020" s="469"/>
      <c r="E1020" s="469"/>
      <c r="F1020" s="469"/>
      <c r="G1020" s="469"/>
      <c r="H1020" s="469"/>
      <c r="I1020" s="469"/>
      <c r="J1020" s="469"/>
      <c r="K1020" s="470"/>
    </row>
    <row r="1021" spans="2:11" ht="15" customHeight="1" x14ac:dyDescent="0.2">
      <c r="B1021" s="468"/>
      <c r="C1021" s="469"/>
      <c r="D1021" s="469"/>
      <c r="E1021" s="469"/>
      <c r="F1021" s="469"/>
      <c r="G1021" s="469"/>
      <c r="H1021" s="469"/>
      <c r="I1021" s="469"/>
      <c r="J1021" s="469"/>
      <c r="K1021" s="470"/>
    </row>
    <row r="1022" spans="2:11" ht="30" customHeight="1" x14ac:dyDescent="0.2">
      <c r="B1022" s="468" t="s">
        <v>1029</v>
      </c>
      <c r="C1022" s="469"/>
      <c r="D1022" s="469"/>
      <c r="E1022" s="469"/>
      <c r="F1022" s="469"/>
      <c r="G1022" s="469"/>
      <c r="H1022" s="469"/>
      <c r="I1022" s="469"/>
      <c r="J1022" s="469"/>
      <c r="K1022" s="470"/>
    </row>
    <row r="1023" spans="2:11" ht="15" customHeight="1" x14ac:dyDescent="0.2">
      <c r="B1023" s="468"/>
      <c r="C1023" s="469"/>
      <c r="D1023" s="469"/>
      <c r="E1023" s="469"/>
      <c r="F1023" s="469"/>
      <c r="G1023" s="469"/>
      <c r="H1023" s="469"/>
      <c r="I1023" s="469"/>
      <c r="J1023" s="469"/>
      <c r="K1023" s="470"/>
    </row>
    <row r="1024" spans="2:11" ht="15" customHeight="1" x14ac:dyDescent="0.2">
      <c r="B1024" s="468" t="s">
        <v>1030</v>
      </c>
      <c r="C1024" s="469"/>
      <c r="D1024" s="469"/>
      <c r="E1024" s="469"/>
      <c r="F1024" s="469"/>
      <c r="G1024" s="469"/>
      <c r="H1024" s="469"/>
      <c r="I1024" s="469"/>
      <c r="J1024" s="469"/>
      <c r="K1024" s="470"/>
    </row>
    <row r="1025" spans="2:11" ht="15" customHeight="1" x14ac:dyDescent="0.2">
      <c r="B1025" s="468"/>
      <c r="C1025" s="469"/>
      <c r="D1025" s="469"/>
      <c r="E1025" s="469"/>
      <c r="F1025" s="469"/>
      <c r="G1025" s="469"/>
      <c r="H1025" s="469"/>
      <c r="I1025" s="469"/>
      <c r="J1025" s="469"/>
      <c r="K1025" s="470"/>
    </row>
    <row r="1026" spans="2:11" ht="15" customHeight="1" x14ac:dyDescent="0.2">
      <c r="B1026" s="468"/>
      <c r="C1026" s="469"/>
      <c r="D1026" s="469"/>
      <c r="E1026" s="469"/>
      <c r="F1026" s="469"/>
      <c r="G1026" s="469"/>
      <c r="H1026" s="469"/>
      <c r="I1026" s="469"/>
      <c r="J1026" s="469"/>
      <c r="K1026" s="470"/>
    </row>
    <row r="1027" spans="2:11" ht="15" customHeight="1" x14ac:dyDescent="0.2">
      <c r="B1027" s="468"/>
      <c r="C1027" s="469"/>
      <c r="D1027" s="469"/>
      <c r="E1027" s="469"/>
      <c r="F1027" s="469"/>
      <c r="G1027" s="469"/>
      <c r="H1027" s="469"/>
      <c r="I1027" s="469"/>
      <c r="J1027" s="469"/>
      <c r="K1027" s="470"/>
    </row>
    <row r="1028" spans="2:11" ht="15" customHeight="1" x14ac:dyDescent="0.2">
      <c r="B1028" s="468"/>
      <c r="C1028" s="469"/>
      <c r="D1028" s="469"/>
      <c r="E1028" s="469"/>
      <c r="F1028" s="469"/>
      <c r="G1028" s="469"/>
      <c r="H1028" s="469"/>
      <c r="I1028" s="469"/>
      <c r="J1028" s="469"/>
      <c r="K1028" s="470"/>
    </row>
    <row r="1029" spans="2:11" ht="15" customHeight="1" x14ac:dyDescent="0.2">
      <c r="B1029" s="471"/>
      <c r="C1029" s="472"/>
      <c r="D1029" s="472"/>
      <c r="E1029" s="472"/>
      <c r="F1029" s="472"/>
      <c r="G1029" s="472"/>
      <c r="H1029" s="472"/>
      <c r="I1029" s="472"/>
      <c r="J1029" s="472"/>
      <c r="K1029" s="473"/>
    </row>
  </sheetData>
  <sheetProtection formatCells="0" formatColumns="0" formatRows="0" selectLockedCells="1"/>
  <mergeCells count="152">
    <mergeCell ref="C95:J95"/>
    <mergeCell ref="C114:J114"/>
    <mergeCell ref="E15:J15"/>
    <mergeCell ref="C38:J38"/>
    <mergeCell ref="C57:J57"/>
    <mergeCell ref="C76:J76"/>
    <mergeCell ref="C385:J385"/>
    <mergeCell ref="C324:J324"/>
    <mergeCell ref="B5:K5"/>
    <mergeCell ref="B6:K6"/>
    <mergeCell ref="B7:K7"/>
    <mergeCell ref="B8:K8"/>
    <mergeCell ref="B9:K9"/>
    <mergeCell ref="B10:K10"/>
    <mergeCell ref="C292:I293"/>
    <mergeCell ref="C311:I312"/>
    <mergeCell ref="C340:I341"/>
    <mergeCell ref="C305:J305"/>
    <mergeCell ref="C257:J257"/>
    <mergeCell ref="C237:J237"/>
    <mergeCell ref="C216:J216"/>
    <mergeCell ref="C176:J176"/>
    <mergeCell ref="C196:J196"/>
    <mergeCell ref="C155:J155"/>
    <mergeCell ref="C120:J122"/>
    <mergeCell ref="C123:J124"/>
    <mergeCell ref="C129:J129"/>
    <mergeCell ref="C455:J455"/>
    <mergeCell ref="C402:J402"/>
    <mergeCell ref="C416:J416"/>
    <mergeCell ref="C438:J438"/>
    <mergeCell ref="C444:I445"/>
    <mergeCell ref="C420:I421"/>
    <mergeCell ref="C365:J365"/>
    <mergeCell ref="C371:I372"/>
    <mergeCell ref="C330:I331"/>
    <mergeCell ref="C347:J347"/>
    <mergeCell ref="D343:I344"/>
    <mergeCell ref="C391:I392"/>
    <mergeCell ref="C286:J286"/>
    <mergeCell ref="C613:J613"/>
    <mergeCell ref="C560:J560"/>
    <mergeCell ref="C566:I568"/>
    <mergeCell ref="C569:I571"/>
    <mergeCell ref="C583:J583"/>
    <mergeCell ref="C524:I525"/>
    <mergeCell ref="C535:J535"/>
    <mergeCell ref="C518:J518"/>
    <mergeCell ref="C471:J471"/>
    <mergeCell ref="C477:I478"/>
    <mergeCell ref="C486:J486"/>
    <mergeCell ref="C502:J502"/>
    <mergeCell ref="C599:J599"/>
    <mergeCell ref="G717:H717"/>
    <mergeCell ref="G718:H718"/>
    <mergeCell ref="C729:J731"/>
    <mergeCell ref="G732:H732"/>
    <mergeCell ref="G733:H733"/>
    <mergeCell ref="C620:I621"/>
    <mergeCell ref="C633:J633"/>
    <mergeCell ref="C639:I640"/>
    <mergeCell ref="C641:I643"/>
    <mergeCell ref="C714:J716"/>
    <mergeCell ref="C655:J655"/>
    <mergeCell ref="D664:I665"/>
    <mergeCell ref="C677:J677"/>
    <mergeCell ref="G737:H737"/>
    <mergeCell ref="G738:H738"/>
    <mergeCell ref="G734:H734"/>
    <mergeCell ref="G735:H735"/>
    <mergeCell ref="G724:H724"/>
    <mergeCell ref="G725:H725"/>
    <mergeCell ref="G719:H719"/>
    <mergeCell ref="G720:H720"/>
    <mergeCell ref="G721:H721"/>
    <mergeCell ref="G846:H846"/>
    <mergeCell ref="C830:J831"/>
    <mergeCell ref="G834:H834"/>
    <mergeCell ref="G838:H838"/>
    <mergeCell ref="G842:H842"/>
    <mergeCell ref="G769:H769"/>
    <mergeCell ref="G770:H770"/>
    <mergeCell ref="G767:H767"/>
    <mergeCell ref="G768:H768"/>
    <mergeCell ref="G766:H766"/>
    <mergeCell ref="G754:H754"/>
    <mergeCell ref="G755:H755"/>
    <mergeCell ref="G752:H752"/>
    <mergeCell ref="G753:H753"/>
    <mergeCell ref="C759:J761"/>
    <mergeCell ref="G762:H762"/>
    <mergeCell ref="G763:H763"/>
    <mergeCell ref="G764:H764"/>
    <mergeCell ref="G878:H878"/>
    <mergeCell ref="G722:H722"/>
    <mergeCell ref="G723:H723"/>
    <mergeCell ref="G850:H850"/>
    <mergeCell ref="G862:H862"/>
    <mergeCell ref="G866:H866"/>
    <mergeCell ref="G854:H854"/>
    <mergeCell ref="G858:H858"/>
    <mergeCell ref="F959:H960"/>
    <mergeCell ref="G736:H736"/>
    <mergeCell ref="C744:J746"/>
    <mergeCell ref="G747:H747"/>
    <mergeCell ref="G748:H748"/>
    <mergeCell ref="G749:H749"/>
    <mergeCell ref="G886:H886"/>
    <mergeCell ref="G890:H890"/>
    <mergeCell ref="G882:H882"/>
    <mergeCell ref="G870:H870"/>
    <mergeCell ref="G874:H874"/>
    <mergeCell ref="G765:H765"/>
    <mergeCell ref="G750:H750"/>
    <mergeCell ref="G751:H751"/>
    <mergeCell ref="G739:H739"/>
    <mergeCell ref="G740:H740"/>
    <mergeCell ref="B1004:K1004"/>
    <mergeCell ref="B1005:K1005"/>
    <mergeCell ref="B1006:K1006"/>
    <mergeCell ref="B1007:K1007"/>
    <mergeCell ref="B1008:K1008"/>
    <mergeCell ref="B1009:K1009"/>
    <mergeCell ref="B1010:K1010"/>
    <mergeCell ref="B1011:K1011"/>
    <mergeCell ref="B1012:K1012"/>
    <mergeCell ref="B1022:K1022"/>
    <mergeCell ref="B1023:K1023"/>
    <mergeCell ref="B1024:K1024"/>
    <mergeCell ref="B1025:K1025"/>
    <mergeCell ref="B1026:K1026"/>
    <mergeCell ref="B1027:K1027"/>
    <mergeCell ref="B1028:K1028"/>
    <mergeCell ref="B1029:K1029"/>
    <mergeCell ref="B1013:K1013"/>
    <mergeCell ref="B1014:K1014"/>
    <mergeCell ref="B1015:K1015"/>
    <mergeCell ref="B1016:K1016"/>
    <mergeCell ref="B1017:K1017"/>
    <mergeCell ref="B1018:K1018"/>
    <mergeCell ref="B1019:K1019"/>
    <mergeCell ref="B1020:K1020"/>
    <mergeCell ref="B1021:K1021"/>
    <mergeCell ref="G928:H928"/>
    <mergeCell ref="G932:H932"/>
    <mergeCell ref="G924:H924"/>
    <mergeCell ref="G916:H916"/>
    <mergeCell ref="G920:H920"/>
    <mergeCell ref="C900:J901"/>
    <mergeCell ref="G904:H904"/>
    <mergeCell ref="G908:H908"/>
    <mergeCell ref="G912:H912"/>
  </mergeCells>
  <dataValidations count="23">
    <dataValidation type="list" allowBlank="1" showInputMessage="1" showErrorMessage="1" sqref="E15:J15" xr:uid="{00000000-0002-0000-1700-000000000000}">
      <formula1>$C$966:$C$970</formula1>
    </dataValidation>
    <dataValidation type="list" allowBlank="1" showInputMessage="1" showErrorMessage="1" sqref="G834:H834 G932:H932 G908:H908 G916:H916 G920:H920 G912:H912 G924:H924 G928:H928 G904:H904 G890:H890 G838:H838 G846:H846 G850:H850 G854:H854 G858:H858 G842:H842 G862:H862 G870:H870 G866:H866 G874:H874 G878:H878 G882:H882 G886:H886" xr:uid="{00000000-0002-0000-1700-000001000000}">
      <formula1>$B$998:$B$1002</formula1>
    </dataValidation>
    <dataValidation type="list" allowBlank="1" showInputMessage="1" showErrorMessage="1" sqref="G732:H740 G747:H755 G717:H725 G762:H770" xr:uid="{00000000-0002-0000-1700-000002000000}">
      <formula1>$B$994:$B$995</formula1>
    </dataValidation>
    <dataValidation type="list" allowBlank="1" showInputMessage="1" showErrorMessage="1" sqref="J302 J362" xr:uid="{00000000-0002-0000-1700-000003000000}">
      <formula1>$B$980:$B$984</formula1>
    </dataValidation>
    <dataValidation type="list" allowBlank="1" showInputMessage="1" showErrorMessage="1" sqref="C123:J124" xr:uid="{00000000-0002-0000-1700-000004000000}">
      <formula1>$B$987:$B$991</formula1>
    </dataValidation>
    <dataValidation type="list" allowBlank="1" showInputMessage="1" showErrorMessage="1" sqref="J35 J234 J630 J674 J596 J580 J557 J532 J515 J499 J468 J452 J435 J254 J73 J92 J111 J126 J152 J173 J193 J54 J213 J652 J283" xr:uid="{00000000-0002-0000-1700-000005000000}">
      <formula1>$B$973:$B$977</formula1>
    </dataValidation>
    <dataValidation type="list" allowBlank="1" showInputMessage="1" showErrorMessage="1" sqref="J33" xr:uid="{00000000-0002-0000-1700-000006000000}">
      <formula1>$N$32:$N$37</formula1>
    </dataValidation>
    <dataValidation type="list" allowBlank="1" showInputMessage="1" showErrorMessage="1" sqref="J52" xr:uid="{00000000-0002-0000-1700-000007000000}">
      <formula1>$N$51:$N$56</formula1>
    </dataValidation>
    <dataValidation type="list" allowBlank="1" showInputMessage="1" showErrorMessage="1" sqref="J71" xr:uid="{00000000-0002-0000-1700-000008000000}">
      <formula1>$N$70:$N$75</formula1>
    </dataValidation>
    <dataValidation type="list" allowBlank="1" showInputMessage="1" showErrorMessage="1" sqref="J90" xr:uid="{00000000-0002-0000-1700-000009000000}">
      <formula1>$N$89:$N$94</formula1>
    </dataValidation>
    <dataValidation type="list" allowBlank="1" showInputMessage="1" showErrorMessage="1" sqref="J109" xr:uid="{00000000-0002-0000-1700-00000A000000}">
      <formula1>$N$108:$N$113</formula1>
    </dataValidation>
    <dataValidation type="list" allowBlank="1" showInputMessage="1" showErrorMessage="1" sqref="J150" xr:uid="{00000000-0002-0000-1700-00000B000000}">
      <formula1>$N$149:$N$154</formula1>
    </dataValidation>
    <dataValidation type="list" allowBlank="1" showInputMessage="1" showErrorMessage="1" sqref="J171" xr:uid="{00000000-0002-0000-1700-00000C000000}">
      <formula1>$N$170:$N$175</formula1>
    </dataValidation>
    <dataValidation type="list" allowBlank="1" showInputMessage="1" showErrorMessage="1" sqref="J191" xr:uid="{00000000-0002-0000-1700-00000D000000}">
      <formula1>$N$190:$N$195</formula1>
    </dataValidation>
    <dataValidation type="list" allowBlank="1" showInputMessage="1" showErrorMessage="1" sqref="J211" xr:uid="{00000000-0002-0000-1700-00000E000000}">
      <formula1>$N$210:$N$215</formula1>
    </dataValidation>
    <dataValidation type="list" allowBlank="1" showInputMessage="1" showErrorMessage="1" sqref="J232" xr:uid="{00000000-0002-0000-1700-00000F000000}">
      <formula1>$N$231:$N$236</formula1>
    </dataValidation>
    <dataValidation type="list" allowBlank="1" showInputMessage="1" showErrorMessage="1" sqref="J252" xr:uid="{00000000-0002-0000-1700-000010000000}">
      <formula1>$N$251:$N$256</formula1>
    </dataValidation>
    <dataValidation type="list" allowBlank="1" showInputMessage="1" showErrorMessage="1" sqref="J281" xr:uid="{00000000-0002-0000-1700-000011000000}">
      <formula1>$N$280:$N$285</formula1>
    </dataValidation>
    <dataValidation type="list" allowBlank="1" showInputMessage="1" showErrorMessage="1" sqref="J555" xr:uid="{00000000-0002-0000-1700-000012000000}">
      <formula1>$N$554:$N$559</formula1>
    </dataValidation>
    <dataValidation type="list" allowBlank="1" showInputMessage="1" showErrorMessage="1" sqref="J578" xr:uid="{00000000-0002-0000-1700-000013000000}">
      <formula1>$N$577:$N$582</formula1>
    </dataValidation>
    <dataValidation type="list" allowBlank="1" showInputMessage="1" showErrorMessage="1" sqref="J628" xr:uid="{00000000-0002-0000-1700-000014000000}">
      <formula1>$N$627:$N$632</formula1>
    </dataValidation>
    <dataValidation type="list" allowBlank="1" showInputMessage="1" showErrorMessage="1" sqref="J650" xr:uid="{00000000-0002-0000-1700-000015000000}">
      <formula1>$N$649:$N$654</formula1>
    </dataValidation>
    <dataValidation type="list" allowBlank="1" showInputMessage="1" showErrorMessage="1" sqref="J672" xr:uid="{00000000-0002-0000-1700-000016000000}">
      <formula1>$N$671:$N$676</formula1>
    </dataValidation>
  </dataValidations>
  <pageMargins left="0.7" right="0.7" top="0.75" bottom="0.75" header="0.3" footer="0.3"/>
  <pageSetup scale="70"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2"/>
  <dimension ref="A1:N1029"/>
  <sheetViews>
    <sheetView showGridLines="0" showRowColHeaders="0" zoomScaleNormal="100" workbookViewId="0">
      <selection activeCell="C677" activeCellId="12" sqref="C438:J438 C455:J455 C471:J471 C486:J486 C502:J502 C518:J518 C535:J535 C560:J560 C583:J583 C599:J599 C613:J613 C633:J633 C677:J677"/>
    </sheetView>
  </sheetViews>
  <sheetFormatPr baseColWidth="10" defaultColWidth="9.1640625" defaultRowHeight="15" x14ac:dyDescent="0.2"/>
  <cols>
    <col min="1" max="1" width="9.1640625" style="12"/>
    <col min="2" max="3" width="9.1640625" style="12" customWidth="1"/>
    <col min="4" max="4" width="9.1640625" style="12"/>
    <col min="5" max="5" width="9.1640625" style="12" customWidth="1"/>
    <col min="6" max="9" width="9.1640625" style="12"/>
    <col min="10" max="10" width="25.6640625" style="12" customWidth="1"/>
    <col min="11" max="12" width="9.1640625" style="12"/>
    <col min="13" max="13" width="9.1640625" style="12" customWidth="1"/>
    <col min="14" max="14" width="9.1640625" style="12" hidden="1" customWidth="1"/>
    <col min="15" max="16384" width="9.1640625" style="12"/>
  </cols>
  <sheetData>
    <row r="1" spans="2:13" x14ac:dyDescent="0.2">
      <c r="I1" s="29"/>
    </row>
    <row r="2" spans="2:13" ht="33" x14ac:dyDescent="0.2">
      <c r="G2" s="16" t="s">
        <v>1038</v>
      </c>
      <c r="I2" s="29"/>
    </row>
    <row r="3" spans="2:13" ht="23" x14ac:dyDescent="0.25">
      <c r="G3" s="30" t="s">
        <v>6</v>
      </c>
      <c r="I3" s="29"/>
      <c r="L3" s="157"/>
      <c r="M3" s="157"/>
    </row>
    <row r="4" spans="2:13" x14ac:dyDescent="0.2">
      <c r="G4" s="98"/>
      <c r="I4" s="29"/>
      <c r="L4" s="158"/>
      <c r="M4" s="157"/>
    </row>
    <row r="5" spans="2:13" ht="105" customHeight="1" x14ac:dyDescent="0.2">
      <c r="B5" s="426" t="s">
        <v>676</v>
      </c>
      <c r="C5" s="427"/>
      <c r="D5" s="427"/>
      <c r="E5" s="427"/>
      <c r="F5" s="427"/>
      <c r="G5" s="427"/>
      <c r="H5" s="427"/>
      <c r="I5" s="427"/>
      <c r="J5" s="427"/>
      <c r="K5" s="427"/>
      <c r="L5" s="158"/>
      <c r="M5" s="157"/>
    </row>
    <row r="6" spans="2:13" x14ac:dyDescent="0.2">
      <c r="B6" s="426"/>
      <c r="C6" s="426"/>
      <c r="D6" s="426"/>
      <c r="E6" s="426"/>
      <c r="F6" s="426"/>
      <c r="G6" s="426"/>
      <c r="H6" s="426"/>
      <c r="I6" s="426"/>
      <c r="J6" s="426"/>
      <c r="K6" s="426"/>
      <c r="L6" s="158"/>
    </row>
    <row r="7" spans="2:13" ht="60" customHeight="1" x14ac:dyDescent="0.2">
      <c r="B7" s="425" t="s">
        <v>664</v>
      </c>
      <c r="C7" s="341"/>
      <c r="D7" s="341"/>
      <c r="E7" s="341"/>
      <c r="F7" s="341"/>
      <c r="G7" s="341"/>
      <c r="H7" s="341"/>
      <c r="I7" s="341"/>
      <c r="J7" s="341"/>
      <c r="K7" s="341"/>
    </row>
    <row r="8" spans="2:13" x14ac:dyDescent="0.2">
      <c r="B8" s="426"/>
      <c r="C8" s="426"/>
      <c r="D8" s="426"/>
      <c r="E8" s="426"/>
      <c r="F8" s="426"/>
      <c r="G8" s="426"/>
      <c r="H8" s="426"/>
      <c r="I8" s="426"/>
      <c r="J8" s="426"/>
      <c r="K8" s="426"/>
    </row>
    <row r="9" spans="2:13" ht="30" customHeight="1" x14ac:dyDescent="0.2">
      <c r="B9" s="445" t="s">
        <v>665</v>
      </c>
      <c r="C9" s="446"/>
      <c r="D9" s="446"/>
      <c r="E9" s="446"/>
      <c r="F9" s="446"/>
      <c r="G9" s="446"/>
      <c r="H9" s="446"/>
      <c r="I9" s="446"/>
      <c r="J9" s="446"/>
      <c r="K9" s="446"/>
    </row>
    <row r="10" spans="2:13" ht="45" customHeight="1" x14ac:dyDescent="0.2">
      <c r="B10" s="447" t="s">
        <v>1076</v>
      </c>
      <c r="C10" s="448"/>
      <c r="D10" s="448"/>
      <c r="E10" s="448"/>
      <c r="F10" s="448"/>
      <c r="G10" s="448"/>
      <c r="H10" s="448"/>
      <c r="I10" s="448"/>
      <c r="J10" s="448"/>
      <c r="K10" s="449"/>
    </row>
    <row r="11" spans="2:13" ht="16" thickBot="1" x14ac:dyDescent="0.25"/>
    <row r="12" spans="2:13" x14ac:dyDescent="0.2">
      <c r="B12" s="159"/>
      <c r="C12" s="160"/>
      <c r="D12" s="160"/>
      <c r="E12" s="160"/>
      <c r="F12" s="160"/>
      <c r="G12" s="160"/>
      <c r="H12" s="160"/>
      <c r="I12" s="160"/>
      <c r="J12" s="160"/>
      <c r="K12" s="161"/>
    </row>
    <row r="13" spans="2:13" ht="21" x14ac:dyDescent="0.25">
      <c r="B13" s="162"/>
      <c r="C13" s="163"/>
      <c r="D13" s="163"/>
      <c r="E13" s="163"/>
      <c r="F13" s="163"/>
      <c r="G13" s="164" t="s">
        <v>226</v>
      </c>
      <c r="H13" s="163"/>
      <c r="I13" s="163"/>
      <c r="J13" s="163"/>
      <c r="K13" s="165"/>
    </row>
    <row r="14" spans="2:13" ht="21" x14ac:dyDescent="0.25">
      <c r="B14" s="162"/>
      <c r="C14" s="163"/>
      <c r="D14" s="163"/>
      <c r="E14" s="163"/>
      <c r="F14" s="163"/>
      <c r="G14" s="164"/>
      <c r="H14" s="163"/>
      <c r="I14" s="163"/>
      <c r="J14" s="163"/>
      <c r="K14" s="165"/>
    </row>
    <row r="15" spans="2:13" ht="26.25" customHeight="1" x14ac:dyDescent="0.2">
      <c r="B15" s="162"/>
      <c r="C15" s="163" t="s">
        <v>255</v>
      </c>
      <c r="D15" s="163"/>
      <c r="E15" s="412" t="s">
        <v>227</v>
      </c>
      <c r="F15" s="437"/>
      <c r="G15" s="437"/>
      <c r="H15" s="437"/>
      <c r="I15" s="437"/>
      <c r="J15" s="438"/>
      <c r="K15" s="165"/>
    </row>
    <row r="16" spans="2:13" x14ac:dyDescent="0.2">
      <c r="B16" s="162"/>
      <c r="C16" s="163"/>
      <c r="D16" s="163"/>
      <c r="E16" s="163"/>
      <c r="F16" s="163"/>
      <c r="G16" s="163"/>
      <c r="H16" s="163"/>
      <c r="I16" s="163"/>
      <c r="J16" s="163"/>
      <c r="K16" s="165"/>
    </row>
    <row r="17" spans="2:14" x14ac:dyDescent="0.2">
      <c r="B17" s="162"/>
      <c r="C17" s="166" t="s">
        <v>256</v>
      </c>
      <c r="D17" s="163"/>
      <c r="E17" s="167">
        <f>IF(E15=$C$966,$A$966,IF(E15=$C$967,$A$967,IF(E15=$C$968,$A$968,IF(E15=$C$969,$A$969,IF(E15=$C$970,$A$970,"Not Calculated")))))</f>
        <v>3</v>
      </c>
      <c r="F17" s="163"/>
      <c r="G17" s="163"/>
      <c r="H17" s="163"/>
      <c r="I17" s="163"/>
      <c r="J17" s="163"/>
      <c r="K17" s="165"/>
    </row>
    <row r="18" spans="2:14" x14ac:dyDescent="0.2">
      <c r="B18" s="162"/>
      <c r="C18" s="163"/>
      <c r="D18" s="163"/>
      <c r="E18" s="167" t="str">
        <f>IF(E15=$C$966,$B$966,IF(E15=$C$967,$B$967,IF(E15=$C$968,$B$968,IF(E15=$C$969,$B$969,IF(E15=$C$970,$B$970,"Not Calculated")))))</f>
        <v>Probable</v>
      </c>
      <c r="F18" s="163"/>
      <c r="G18" s="163"/>
      <c r="H18" s="163"/>
      <c r="I18" s="163"/>
      <c r="J18" s="163"/>
      <c r="K18" s="165"/>
    </row>
    <row r="19" spans="2:14" ht="16" thickBot="1" x14ac:dyDescent="0.25">
      <c r="B19" s="168"/>
      <c r="C19" s="169"/>
      <c r="D19" s="169"/>
      <c r="E19" s="169"/>
      <c r="F19" s="169"/>
      <c r="G19" s="169"/>
      <c r="H19" s="169"/>
      <c r="I19" s="169"/>
      <c r="J19" s="169"/>
      <c r="K19" s="170"/>
    </row>
    <row r="20" spans="2:14" ht="16" thickBot="1" x14ac:dyDescent="0.25"/>
    <row r="21" spans="2:14" x14ac:dyDescent="0.2">
      <c r="B21" s="33"/>
      <c r="C21" s="34"/>
      <c r="D21" s="34"/>
      <c r="E21" s="34"/>
      <c r="F21" s="34"/>
      <c r="G21" s="34"/>
      <c r="H21" s="34"/>
      <c r="I21" s="34"/>
      <c r="J21" s="34"/>
      <c r="K21" s="37"/>
    </row>
    <row r="22" spans="2:14" ht="21" x14ac:dyDescent="0.25">
      <c r="B22" s="38"/>
      <c r="C22" s="171"/>
      <c r="D22" s="40"/>
      <c r="E22" s="40"/>
      <c r="F22" s="40"/>
      <c r="G22" s="172" t="s">
        <v>26</v>
      </c>
      <c r="H22" s="40"/>
      <c r="I22" s="40"/>
      <c r="J22" s="40"/>
      <c r="K22" s="41"/>
    </row>
    <row r="23" spans="2:14" x14ac:dyDescent="0.2">
      <c r="B23" s="38"/>
      <c r="C23" s="40"/>
      <c r="D23" s="40"/>
      <c r="E23" s="40"/>
      <c r="F23" s="40"/>
      <c r="G23" s="40"/>
      <c r="H23" s="40"/>
      <c r="I23" s="40"/>
      <c r="J23" s="40"/>
      <c r="K23" s="41"/>
    </row>
    <row r="24" spans="2:14" ht="16" x14ac:dyDescent="0.2">
      <c r="B24" s="38"/>
      <c r="C24" s="45" t="s">
        <v>61</v>
      </c>
      <c r="D24" s="40"/>
      <c r="E24" s="40"/>
      <c r="F24" s="40"/>
      <c r="G24" s="40"/>
      <c r="H24" s="40"/>
      <c r="I24" s="40"/>
      <c r="J24" s="40"/>
      <c r="K24" s="41"/>
    </row>
    <row r="25" spans="2:14" x14ac:dyDescent="0.2">
      <c r="B25" s="38"/>
      <c r="C25" s="40" t="s">
        <v>434</v>
      </c>
      <c r="D25" s="40"/>
      <c r="E25" s="40"/>
      <c r="F25" s="40"/>
      <c r="G25" s="40"/>
      <c r="H25" s="40"/>
      <c r="I25" s="40"/>
      <c r="J25" s="252">
        <f>'Baseline Health'!G11</f>
        <v>0</v>
      </c>
      <c r="K25" s="41"/>
    </row>
    <row r="26" spans="2:14" x14ac:dyDescent="0.2">
      <c r="B26" s="38"/>
      <c r="C26" s="40" t="s">
        <v>1193</v>
      </c>
      <c r="D26" s="40"/>
      <c r="E26" s="40"/>
      <c r="F26" s="40"/>
      <c r="G26" s="40"/>
      <c r="H26" s="40"/>
      <c r="I26" s="40"/>
      <c r="J26" s="264">
        <f>J25*0.85</f>
        <v>0</v>
      </c>
      <c r="K26" s="41"/>
    </row>
    <row r="27" spans="2:14" x14ac:dyDescent="0.2">
      <c r="B27" s="38"/>
      <c r="C27" s="40" t="s">
        <v>260</v>
      </c>
      <c r="D27" s="40"/>
      <c r="E27" s="40"/>
      <c r="F27" s="40"/>
      <c r="G27" s="40"/>
      <c r="H27" s="40"/>
      <c r="I27" s="40"/>
      <c r="J27" s="248" t="str">
        <f>IF(OR(J25=0,J25="Not Calculated")=TRUE,"Not Calculated",(IF(((J26+J25)/J25)&lt;=1,0,IF(((J26+J25)/J25)&lt;=1.05,1,IF(((J26+J25)/J25)&lt;=1.5, 2,IF(((J26+J25)/J25)&lt;=2,3,4))))))</f>
        <v>Not Calculated</v>
      </c>
      <c r="K27" s="41"/>
    </row>
    <row r="28" spans="2:14" ht="9.75" customHeight="1" x14ac:dyDescent="0.2">
      <c r="B28" s="38"/>
      <c r="C28" s="279" t="str">
        <f>"0:"</f>
        <v>0:</v>
      </c>
      <c r="D28" s="281" t="s">
        <v>918</v>
      </c>
      <c r="E28" s="40"/>
      <c r="F28" s="40"/>
      <c r="G28" s="40"/>
      <c r="H28" s="40"/>
      <c r="I28" s="40"/>
      <c r="J28" s="40"/>
      <c r="K28" s="41"/>
    </row>
    <row r="29" spans="2:14" ht="9.75" customHeight="1" x14ac:dyDescent="0.2">
      <c r="B29" s="38"/>
      <c r="C29" s="280" t="str">
        <f>"1:"</f>
        <v>1:</v>
      </c>
      <c r="D29" s="281" t="s">
        <v>919</v>
      </c>
      <c r="E29" s="40"/>
      <c r="F29" s="40"/>
      <c r="G29" s="40"/>
      <c r="H29" s="40"/>
      <c r="I29" s="40"/>
      <c r="J29" s="40"/>
      <c r="K29" s="41"/>
    </row>
    <row r="30" spans="2:14" ht="9.75" customHeight="1" x14ac:dyDescent="0.2">
      <c r="B30" s="38"/>
      <c r="C30" s="280" t="str">
        <f>"2:"</f>
        <v>2:</v>
      </c>
      <c r="D30" s="281" t="s">
        <v>920</v>
      </c>
      <c r="E30" s="40"/>
      <c r="F30" s="40"/>
      <c r="G30" s="40"/>
      <c r="H30" s="40"/>
      <c r="I30" s="40"/>
      <c r="J30" s="40"/>
      <c r="K30" s="41"/>
    </row>
    <row r="31" spans="2:14" ht="9.75" customHeight="1" x14ac:dyDescent="0.2">
      <c r="B31" s="38"/>
      <c r="C31" s="280" t="str">
        <f>"3:"</f>
        <v>3:</v>
      </c>
      <c r="D31" s="281" t="s">
        <v>921</v>
      </c>
      <c r="E31" s="40"/>
      <c r="F31" s="40"/>
      <c r="G31" s="40"/>
      <c r="H31" s="40"/>
      <c r="I31" s="40"/>
      <c r="J31" s="40"/>
      <c r="K31" s="41"/>
    </row>
    <row r="32" spans="2:14" ht="9.75" customHeight="1" x14ac:dyDescent="0.2">
      <c r="B32" s="38"/>
      <c r="C32" s="280" t="str">
        <f>"4:"</f>
        <v>4:</v>
      </c>
      <c r="D32" s="281" t="s">
        <v>922</v>
      </c>
      <c r="E32" s="40"/>
      <c r="F32" s="40"/>
      <c r="G32" s="40"/>
      <c r="H32" s="40"/>
      <c r="I32" s="40"/>
      <c r="J32" s="40"/>
      <c r="K32" s="41"/>
      <c r="N32" s="12" t="s">
        <v>661</v>
      </c>
    </row>
    <row r="33" spans="2:14" x14ac:dyDescent="0.2">
      <c r="B33" s="38"/>
      <c r="C33" s="174" t="s">
        <v>662</v>
      </c>
      <c r="D33" s="40"/>
      <c r="E33" s="40"/>
      <c r="F33" s="40"/>
      <c r="G33" s="40"/>
      <c r="H33" s="40"/>
      <c r="I33" s="40"/>
      <c r="J33" s="265" t="s">
        <v>661</v>
      </c>
      <c r="K33" s="41"/>
      <c r="N33" s="12" t="s">
        <v>894</v>
      </c>
    </row>
    <row r="34" spans="2:14" x14ac:dyDescent="0.2">
      <c r="B34" s="38"/>
      <c r="C34" s="174" t="s">
        <v>660</v>
      </c>
      <c r="D34" s="40"/>
      <c r="E34" s="40"/>
      <c r="F34" s="40"/>
      <c r="G34" s="40"/>
      <c r="H34" s="40"/>
      <c r="I34" s="40"/>
      <c r="J34" s="246" t="str">
        <f>IF(J33=N32,"N/A",IF(J33=N33,0,IF(J33=N34,1,IF(J33=N35,2,IF(J33=N36,3,IF(J33=N37,4,"N/A"))))))</f>
        <v>N/A</v>
      </c>
      <c r="K34" s="41"/>
      <c r="N34" s="12" t="s">
        <v>895</v>
      </c>
    </row>
    <row r="35" spans="2:14" x14ac:dyDescent="0.2">
      <c r="B35" s="38"/>
      <c r="C35" s="40" t="s">
        <v>257</v>
      </c>
      <c r="D35" s="40"/>
      <c r="E35" s="40"/>
      <c r="F35" s="40"/>
      <c r="G35" s="40"/>
      <c r="H35" s="40"/>
      <c r="I35" s="40"/>
      <c r="J35" s="266" t="s">
        <v>872</v>
      </c>
      <c r="K35" s="41"/>
      <c r="N35" s="12" t="s">
        <v>896</v>
      </c>
    </row>
    <row r="36" spans="2:14" x14ac:dyDescent="0.2">
      <c r="B36" s="38"/>
      <c r="C36" s="40" t="s">
        <v>261</v>
      </c>
      <c r="D36" s="40"/>
      <c r="E36" s="40"/>
      <c r="F36" s="40"/>
      <c r="G36" s="40"/>
      <c r="H36" s="40"/>
      <c r="I36" s="40"/>
      <c r="J36" s="245">
        <f>IF(J35=$B$973,$A$973,IF(J35=$B$974,$A$974,IF(J35=$B$975,$A$975,IF(J35=$B$976,$A$976,IF(J35=$B$977,$A$977,"Not Calculated")))))</f>
        <v>2</v>
      </c>
      <c r="K36" s="41"/>
      <c r="N36" s="12" t="s">
        <v>897</v>
      </c>
    </row>
    <row r="37" spans="2:14" x14ac:dyDescent="0.2">
      <c r="B37" s="38"/>
      <c r="C37" s="40" t="s">
        <v>893</v>
      </c>
      <c r="D37" s="40"/>
      <c r="E37" s="40"/>
      <c r="F37" s="40"/>
      <c r="G37" s="40"/>
      <c r="H37" s="40"/>
      <c r="I37" s="40"/>
      <c r="J37" s="175"/>
      <c r="K37" s="41"/>
      <c r="N37" s="12" t="s">
        <v>898</v>
      </c>
    </row>
    <row r="38" spans="2:14" s="178" customFormat="1" ht="30" customHeight="1" x14ac:dyDescent="0.2">
      <c r="B38" s="176"/>
      <c r="C38" s="415" t="s">
        <v>554</v>
      </c>
      <c r="D38" s="400"/>
      <c r="E38" s="400"/>
      <c r="F38" s="400"/>
      <c r="G38" s="400"/>
      <c r="H38" s="400"/>
      <c r="I38" s="400"/>
      <c r="J38" s="401"/>
      <c r="K38" s="177"/>
    </row>
    <row r="39" spans="2:14" x14ac:dyDescent="0.2">
      <c r="B39" s="38"/>
      <c r="C39" s="40"/>
      <c r="D39" s="40"/>
      <c r="E39" s="40"/>
      <c r="F39" s="40"/>
      <c r="G39" s="40"/>
      <c r="H39" s="40"/>
      <c r="I39" s="40"/>
      <c r="J39" s="40"/>
      <c r="K39" s="41"/>
    </row>
    <row r="40" spans="2:14" x14ac:dyDescent="0.2">
      <c r="B40" s="38"/>
      <c r="C40" s="179" t="s">
        <v>258</v>
      </c>
      <c r="D40" s="40"/>
      <c r="E40" s="40"/>
      <c r="F40" s="40"/>
      <c r="G40" s="40"/>
      <c r="H40" s="40"/>
      <c r="I40" s="40"/>
      <c r="J40" s="245" t="str">
        <f>IF(J34="N/A",IF(OR(J27="Not Calculated",J36="Not Calculated")=TRUE,"Not Calculated",AVERAGE(J27,J36)),AVERAGE(J34,J36))</f>
        <v>Not Calculated</v>
      </c>
      <c r="K40" s="41"/>
    </row>
    <row r="41" spans="2:14" x14ac:dyDescent="0.2">
      <c r="B41" s="38"/>
      <c r="C41" s="179"/>
      <c r="D41" s="40"/>
      <c r="E41" s="40"/>
      <c r="F41" s="40"/>
      <c r="G41" s="40"/>
      <c r="H41" s="40"/>
      <c r="I41" s="40"/>
      <c r="J41" s="245"/>
      <c r="K41" s="41"/>
    </row>
    <row r="42" spans="2:14" x14ac:dyDescent="0.2">
      <c r="B42" s="38"/>
      <c r="C42" s="40"/>
      <c r="D42" s="40"/>
      <c r="E42" s="40"/>
      <c r="F42" s="40"/>
      <c r="G42" s="40"/>
      <c r="H42" s="40"/>
      <c r="I42" s="40"/>
      <c r="J42" s="40"/>
      <c r="K42" s="41"/>
    </row>
    <row r="43" spans="2:14" ht="16" x14ac:dyDescent="0.2">
      <c r="B43" s="38"/>
      <c r="C43" s="45" t="s">
        <v>51</v>
      </c>
      <c r="D43" s="40"/>
      <c r="E43" s="40"/>
      <c r="F43" s="40"/>
      <c r="G43" s="40"/>
      <c r="H43" s="40"/>
      <c r="I43" s="40"/>
      <c r="J43" s="40"/>
      <c r="K43" s="41"/>
    </row>
    <row r="44" spans="2:14" x14ac:dyDescent="0.2">
      <c r="B44" s="38"/>
      <c r="C44" s="40" t="s">
        <v>435</v>
      </c>
      <c r="D44" s="40"/>
      <c r="E44" s="40"/>
      <c r="F44" s="40"/>
      <c r="G44" s="40"/>
      <c r="H44" s="40"/>
      <c r="I44" s="40"/>
      <c r="J44" s="252">
        <f>'Baseline Health'!G17</f>
        <v>0</v>
      </c>
      <c r="K44" s="41"/>
    </row>
    <row r="45" spans="2:14" x14ac:dyDescent="0.2">
      <c r="B45" s="38"/>
      <c r="C45" s="40" t="s">
        <v>287</v>
      </c>
      <c r="D45" s="40"/>
      <c r="E45" s="40"/>
      <c r="F45" s="40"/>
      <c r="G45" s="40"/>
      <c r="H45" s="40"/>
      <c r="I45" s="40"/>
      <c r="J45" s="264">
        <f>J44*0.67</f>
        <v>0</v>
      </c>
      <c r="K45" s="41"/>
    </row>
    <row r="46" spans="2:14" x14ac:dyDescent="0.2">
      <c r="B46" s="38"/>
      <c r="C46" s="40" t="s">
        <v>260</v>
      </c>
      <c r="D46" s="40"/>
      <c r="E46" s="40"/>
      <c r="F46" s="40"/>
      <c r="G46" s="40"/>
      <c r="H46" s="40"/>
      <c r="I46" s="40"/>
      <c r="J46" s="248" t="str">
        <f>IF(OR(J44=0,J44="Not Calculated")=TRUE,"Not Calculated",(IF(((J45+J44)/J44)&lt;=1,0,IF(((J45+J44)/J44)&lt;=1.05,1,IF(((J45+J44)/J44)&lt;=1.5, 2,IF(((J45+J44)/J44)&lt;=2,3,4))))))</f>
        <v>Not Calculated</v>
      </c>
      <c r="K46" s="41"/>
    </row>
    <row r="47" spans="2:14" ht="9.75" customHeight="1" x14ac:dyDescent="0.2">
      <c r="B47" s="38"/>
      <c r="C47" s="279" t="str">
        <f>"0:"</f>
        <v>0:</v>
      </c>
      <c r="D47" s="281" t="s">
        <v>918</v>
      </c>
      <c r="E47" s="40"/>
      <c r="F47" s="40"/>
      <c r="G47" s="40"/>
      <c r="H47" s="40"/>
      <c r="I47" s="40"/>
      <c r="J47" s="40"/>
      <c r="K47" s="41"/>
    </row>
    <row r="48" spans="2:14" ht="9.75" customHeight="1" x14ac:dyDescent="0.2">
      <c r="B48" s="38"/>
      <c r="C48" s="280" t="str">
        <f>"1:"</f>
        <v>1:</v>
      </c>
      <c r="D48" s="281" t="s">
        <v>919</v>
      </c>
      <c r="E48" s="40"/>
      <c r="F48" s="40"/>
      <c r="G48" s="40"/>
      <c r="H48" s="40"/>
      <c r="I48" s="40"/>
      <c r="J48" s="40"/>
      <c r="K48" s="41"/>
    </row>
    <row r="49" spans="2:14" ht="9.75" customHeight="1" x14ac:dyDescent="0.2">
      <c r="B49" s="38"/>
      <c r="C49" s="280" t="str">
        <f>"2:"</f>
        <v>2:</v>
      </c>
      <c r="D49" s="281" t="s">
        <v>920</v>
      </c>
      <c r="E49" s="40"/>
      <c r="F49" s="40"/>
      <c r="G49" s="40"/>
      <c r="H49" s="40"/>
      <c r="I49" s="40"/>
      <c r="J49" s="40"/>
      <c r="K49" s="41"/>
    </row>
    <row r="50" spans="2:14" ht="9.75" customHeight="1" x14ac:dyDescent="0.2">
      <c r="B50" s="38"/>
      <c r="C50" s="280" t="str">
        <f>"3:"</f>
        <v>3:</v>
      </c>
      <c r="D50" s="281" t="s">
        <v>921</v>
      </c>
      <c r="E50" s="40"/>
      <c r="F50" s="40"/>
      <c r="G50" s="40"/>
      <c r="H50" s="40"/>
      <c r="I50" s="40"/>
      <c r="J50" s="40"/>
      <c r="K50" s="41"/>
    </row>
    <row r="51" spans="2:14" ht="9.75" customHeight="1" x14ac:dyDescent="0.2">
      <c r="B51" s="38"/>
      <c r="C51" s="280" t="str">
        <f>"4:"</f>
        <v>4:</v>
      </c>
      <c r="D51" s="281" t="s">
        <v>922</v>
      </c>
      <c r="E51" s="40"/>
      <c r="F51" s="40"/>
      <c r="G51" s="40"/>
      <c r="H51" s="40"/>
      <c r="I51" s="40"/>
      <c r="J51" s="40"/>
      <c r="K51" s="41"/>
      <c r="N51" s="12" t="s">
        <v>661</v>
      </c>
    </row>
    <row r="52" spans="2:14" x14ac:dyDescent="0.2">
      <c r="B52" s="38"/>
      <c r="C52" s="174" t="s">
        <v>662</v>
      </c>
      <c r="D52" s="40"/>
      <c r="E52" s="40"/>
      <c r="F52" s="40"/>
      <c r="G52" s="40"/>
      <c r="H52" s="40"/>
      <c r="I52" s="40"/>
      <c r="J52" s="265" t="s">
        <v>661</v>
      </c>
      <c r="K52" s="41"/>
      <c r="N52" s="12" t="s">
        <v>894</v>
      </c>
    </row>
    <row r="53" spans="2:14" x14ac:dyDescent="0.2">
      <c r="B53" s="38"/>
      <c r="C53" s="174" t="s">
        <v>660</v>
      </c>
      <c r="D53" s="40"/>
      <c r="E53" s="40"/>
      <c r="F53" s="40"/>
      <c r="G53" s="40"/>
      <c r="H53" s="40"/>
      <c r="I53" s="40"/>
      <c r="J53" s="246" t="str">
        <f>IF(J52=N51,"N/A",IF(J52=N52,0,IF(J52=N53,1,IF(J52=N54,2,IF(J52=N55,3,IF(J52=N56,4,"N/A"))))))</f>
        <v>N/A</v>
      </c>
      <c r="K53" s="41"/>
      <c r="N53" s="12" t="s">
        <v>895</v>
      </c>
    </row>
    <row r="54" spans="2:14" x14ac:dyDescent="0.2">
      <c r="B54" s="38"/>
      <c r="C54" s="40" t="s">
        <v>257</v>
      </c>
      <c r="D54" s="40"/>
      <c r="E54" s="40"/>
      <c r="F54" s="40"/>
      <c r="G54" s="40"/>
      <c r="H54" s="40"/>
      <c r="I54" s="40"/>
      <c r="J54" s="266" t="s">
        <v>872</v>
      </c>
      <c r="K54" s="41"/>
      <c r="N54" s="12" t="s">
        <v>896</v>
      </c>
    </row>
    <row r="55" spans="2:14" x14ac:dyDescent="0.2">
      <c r="B55" s="38"/>
      <c r="C55" s="40" t="s">
        <v>261</v>
      </c>
      <c r="D55" s="40"/>
      <c r="E55" s="40"/>
      <c r="F55" s="40"/>
      <c r="G55" s="40"/>
      <c r="H55" s="40"/>
      <c r="I55" s="40"/>
      <c r="J55" s="245">
        <f>IF(J54=$B$973,$A$973,IF(J54=$B$974,$A$974,IF(J54=$B$975,$A$975,IF(J54=$B$976,$A$976,IF(J54=$B$977,$A$977,"Not Calculated")))))</f>
        <v>2</v>
      </c>
      <c r="K55" s="41"/>
      <c r="N55" s="12" t="s">
        <v>897</v>
      </c>
    </row>
    <row r="56" spans="2:14" x14ac:dyDescent="0.2">
      <c r="B56" s="38"/>
      <c r="C56" s="40" t="s">
        <v>893</v>
      </c>
      <c r="D56" s="40"/>
      <c r="E56" s="40"/>
      <c r="F56" s="40"/>
      <c r="G56" s="40"/>
      <c r="H56" s="40"/>
      <c r="I56" s="40"/>
      <c r="J56" s="175"/>
      <c r="K56" s="41"/>
      <c r="N56" s="12" t="s">
        <v>898</v>
      </c>
    </row>
    <row r="57" spans="2:14" s="178" customFormat="1" ht="30" customHeight="1" x14ac:dyDescent="0.2">
      <c r="B57" s="176"/>
      <c r="C57" s="415" t="s">
        <v>555</v>
      </c>
      <c r="D57" s="400"/>
      <c r="E57" s="400"/>
      <c r="F57" s="400"/>
      <c r="G57" s="400"/>
      <c r="H57" s="400"/>
      <c r="I57" s="400"/>
      <c r="J57" s="401"/>
      <c r="K57" s="177"/>
    </row>
    <row r="58" spans="2:14" x14ac:dyDescent="0.2">
      <c r="B58" s="38"/>
      <c r="C58" s="40"/>
      <c r="D58" s="40"/>
      <c r="E58" s="40"/>
      <c r="F58" s="40"/>
      <c r="G58" s="40"/>
      <c r="H58" s="40"/>
      <c r="I58" s="40"/>
      <c r="J58" s="40"/>
      <c r="K58" s="41"/>
    </row>
    <row r="59" spans="2:14" x14ac:dyDescent="0.2">
      <c r="B59" s="38"/>
      <c r="C59" s="179" t="s">
        <v>263</v>
      </c>
      <c r="D59" s="40"/>
      <c r="E59" s="40"/>
      <c r="F59" s="40"/>
      <c r="G59" s="40"/>
      <c r="H59" s="40"/>
      <c r="I59" s="40"/>
      <c r="J59" s="245" t="str">
        <f>IF(J53="N/A",IF(OR(J46="Not Calculated",J55="Not Calculated")=TRUE,"Not Calculated",AVERAGE(J46,J55)),AVERAGE(J53,J55))</f>
        <v>Not Calculated</v>
      </c>
      <c r="K59" s="41"/>
    </row>
    <row r="60" spans="2:14" x14ac:dyDescent="0.2">
      <c r="B60" s="38"/>
      <c r="C60" s="40"/>
      <c r="D60" s="40"/>
      <c r="E60" s="40"/>
      <c r="F60" s="40"/>
      <c r="G60" s="40"/>
      <c r="H60" s="40"/>
      <c r="I60" s="40"/>
      <c r="J60" s="40"/>
      <c r="K60" s="41"/>
    </row>
    <row r="61" spans="2:14" x14ac:dyDescent="0.2">
      <c r="B61" s="38"/>
      <c r="C61" s="40"/>
      <c r="D61" s="40"/>
      <c r="E61" s="40"/>
      <c r="F61" s="40"/>
      <c r="G61" s="40"/>
      <c r="H61" s="40"/>
      <c r="I61" s="40"/>
      <c r="J61" s="40"/>
      <c r="K61" s="41"/>
    </row>
    <row r="62" spans="2:14" ht="16" x14ac:dyDescent="0.2">
      <c r="B62" s="38"/>
      <c r="C62" s="45" t="s">
        <v>54</v>
      </c>
      <c r="D62" s="40"/>
      <c r="E62" s="40"/>
      <c r="F62" s="40"/>
      <c r="G62" s="40"/>
      <c r="H62" s="40"/>
      <c r="I62" s="40"/>
      <c r="J62" s="40"/>
      <c r="K62" s="41"/>
    </row>
    <row r="63" spans="2:14" x14ac:dyDescent="0.2">
      <c r="B63" s="38"/>
      <c r="C63" s="40" t="s">
        <v>436</v>
      </c>
      <c r="D63" s="40"/>
      <c r="E63" s="40"/>
      <c r="F63" s="40"/>
      <c r="G63" s="40"/>
      <c r="H63" s="40"/>
      <c r="I63" s="40"/>
      <c r="J63" s="252">
        <f>'Baseline Health'!G23</f>
        <v>0</v>
      </c>
      <c r="K63" s="41"/>
    </row>
    <row r="64" spans="2:14" x14ac:dyDescent="0.2">
      <c r="B64" s="38"/>
      <c r="C64" s="40" t="s">
        <v>289</v>
      </c>
      <c r="D64" s="40"/>
      <c r="E64" s="40"/>
      <c r="F64" s="40"/>
      <c r="G64" s="40"/>
      <c r="H64" s="40"/>
      <c r="I64" s="40"/>
      <c r="J64" s="264">
        <f>'Baseline Health'!G6*0.00122</f>
        <v>0</v>
      </c>
      <c r="K64" s="41"/>
    </row>
    <row r="65" spans="2:14" x14ac:dyDescent="0.2">
      <c r="B65" s="38"/>
      <c r="C65" s="40" t="s">
        <v>260</v>
      </c>
      <c r="D65" s="40"/>
      <c r="E65" s="40"/>
      <c r="F65" s="40"/>
      <c r="G65" s="40"/>
      <c r="H65" s="40"/>
      <c r="I65" s="40"/>
      <c r="J65" s="248" t="str">
        <f>IF(OR(J63=0,J63="Not Calculated")=TRUE,"Not Calculated",(IF(((J64+J63)/J63)&lt;=1,0,IF(((J64+J63)/J63)&lt;=1.05,1,IF(((J64+J63)/J63)&lt;=1.5, 2,IF(((J64+J63)/J63)&lt;=2,3,4))))))</f>
        <v>Not Calculated</v>
      </c>
      <c r="K65" s="41"/>
    </row>
    <row r="66" spans="2:14" ht="9.75" customHeight="1" x14ac:dyDescent="0.2">
      <c r="B66" s="38"/>
      <c r="C66" s="279" t="str">
        <f>"0:"</f>
        <v>0:</v>
      </c>
      <c r="D66" s="281" t="s">
        <v>918</v>
      </c>
      <c r="E66" s="40"/>
      <c r="F66" s="40"/>
      <c r="G66" s="40"/>
      <c r="H66" s="40"/>
      <c r="I66" s="40"/>
      <c r="J66" s="40"/>
      <c r="K66" s="41"/>
    </row>
    <row r="67" spans="2:14" ht="9.75" customHeight="1" x14ac:dyDescent="0.2">
      <c r="B67" s="38"/>
      <c r="C67" s="280" t="str">
        <f>"1:"</f>
        <v>1:</v>
      </c>
      <c r="D67" s="281" t="s">
        <v>919</v>
      </c>
      <c r="E67" s="40"/>
      <c r="F67" s="40"/>
      <c r="G67" s="40"/>
      <c r="H67" s="40"/>
      <c r="I67" s="40"/>
      <c r="J67" s="40"/>
      <c r="K67" s="41"/>
    </row>
    <row r="68" spans="2:14" ht="9.75" customHeight="1" x14ac:dyDescent="0.2">
      <c r="B68" s="38"/>
      <c r="C68" s="280" t="str">
        <f>"2:"</f>
        <v>2:</v>
      </c>
      <c r="D68" s="281" t="s">
        <v>920</v>
      </c>
      <c r="E68" s="40"/>
      <c r="F68" s="40"/>
      <c r="G68" s="40"/>
      <c r="H68" s="40"/>
      <c r="I68" s="40"/>
      <c r="J68" s="40"/>
      <c r="K68" s="41"/>
    </row>
    <row r="69" spans="2:14" ht="9.75" customHeight="1" x14ac:dyDescent="0.2">
      <c r="B69" s="38"/>
      <c r="C69" s="280" t="str">
        <f>"3:"</f>
        <v>3:</v>
      </c>
      <c r="D69" s="281" t="s">
        <v>921</v>
      </c>
      <c r="E69" s="40"/>
      <c r="F69" s="40"/>
      <c r="G69" s="40"/>
      <c r="H69" s="40"/>
      <c r="I69" s="40"/>
      <c r="J69" s="40"/>
      <c r="K69" s="41"/>
    </row>
    <row r="70" spans="2:14" ht="9.75" customHeight="1" x14ac:dyDescent="0.2">
      <c r="B70" s="38"/>
      <c r="C70" s="280" t="str">
        <f>"4:"</f>
        <v>4:</v>
      </c>
      <c r="D70" s="281" t="s">
        <v>922</v>
      </c>
      <c r="E70" s="40"/>
      <c r="F70" s="40"/>
      <c r="G70" s="40"/>
      <c r="H70" s="40"/>
      <c r="I70" s="40"/>
      <c r="J70" s="40"/>
      <c r="K70" s="41"/>
      <c r="N70" s="12" t="s">
        <v>661</v>
      </c>
    </row>
    <row r="71" spans="2:14" x14ac:dyDescent="0.2">
      <c r="B71" s="38"/>
      <c r="C71" s="174" t="s">
        <v>662</v>
      </c>
      <c r="D71" s="40"/>
      <c r="E71" s="40"/>
      <c r="F71" s="40"/>
      <c r="G71" s="40"/>
      <c r="H71" s="40"/>
      <c r="I71" s="40"/>
      <c r="J71" s="265" t="s">
        <v>661</v>
      </c>
      <c r="K71" s="41"/>
      <c r="N71" s="12" t="s">
        <v>894</v>
      </c>
    </row>
    <row r="72" spans="2:14" x14ac:dyDescent="0.2">
      <c r="B72" s="38"/>
      <c r="C72" s="174" t="s">
        <v>660</v>
      </c>
      <c r="D72" s="40"/>
      <c r="E72" s="40"/>
      <c r="F72" s="40"/>
      <c r="G72" s="40"/>
      <c r="H72" s="40"/>
      <c r="I72" s="40"/>
      <c r="J72" s="246" t="str">
        <f>IF(J71=N70,"N/A",IF(J71=N71,0,IF(J71=N72,1,IF(J71=N73,2,IF(J71=N74,3,IF(J71=N75,4,"N/A"))))))</f>
        <v>N/A</v>
      </c>
      <c r="K72" s="41"/>
      <c r="N72" s="12" t="s">
        <v>895</v>
      </c>
    </row>
    <row r="73" spans="2:14" x14ac:dyDescent="0.2">
      <c r="B73" s="38"/>
      <c r="C73" s="40" t="s">
        <v>257</v>
      </c>
      <c r="D73" s="40"/>
      <c r="E73" s="40"/>
      <c r="F73" s="40"/>
      <c r="G73" s="40"/>
      <c r="H73" s="40"/>
      <c r="I73" s="40"/>
      <c r="J73" s="266" t="s">
        <v>872</v>
      </c>
      <c r="K73" s="41"/>
      <c r="N73" s="12" t="s">
        <v>896</v>
      </c>
    </row>
    <row r="74" spans="2:14" x14ac:dyDescent="0.2">
      <c r="B74" s="38"/>
      <c r="C74" s="40" t="s">
        <v>261</v>
      </c>
      <c r="D74" s="40"/>
      <c r="E74" s="40"/>
      <c r="F74" s="40"/>
      <c r="G74" s="40"/>
      <c r="H74" s="40"/>
      <c r="I74" s="40"/>
      <c r="J74" s="245">
        <f>IF(J73=$B$973,$A$973,IF(J73=$B$974,$A$974,IF(J73=$B$975,$A$975,IF(J73=$B$976,$A$976,IF(J73=$B$977,$A$977,"Not Calculated")))))</f>
        <v>2</v>
      </c>
      <c r="K74" s="41"/>
      <c r="N74" s="12" t="s">
        <v>897</v>
      </c>
    </row>
    <row r="75" spans="2:14" x14ac:dyDescent="0.2">
      <c r="B75" s="38"/>
      <c r="C75" s="40" t="s">
        <v>893</v>
      </c>
      <c r="D75" s="40"/>
      <c r="E75" s="40"/>
      <c r="F75" s="40"/>
      <c r="G75" s="40"/>
      <c r="H75" s="40"/>
      <c r="I75" s="40"/>
      <c r="J75" s="175"/>
      <c r="K75" s="41"/>
      <c r="N75" s="12" t="s">
        <v>898</v>
      </c>
    </row>
    <row r="76" spans="2:14" s="178" customFormat="1" ht="45" customHeight="1" x14ac:dyDescent="0.2">
      <c r="B76" s="176"/>
      <c r="C76" s="415" t="s">
        <v>556</v>
      </c>
      <c r="D76" s="400"/>
      <c r="E76" s="400"/>
      <c r="F76" s="400"/>
      <c r="G76" s="400"/>
      <c r="H76" s="400"/>
      <c r="I76" s="400"/>
      <c r="J76" s="401"/>
      <c r="K76" s="177"/>
    </row>
    <row r="77" spans="2:14" x14ac:dyDescent="0.2">
      <c r="B77" s="38"/>
      <c r="C77" s="40"/>
      <c r="D77" s="40"/>
      <c r="E77" s="40"/>
      <c r="F77" s="40"/>
      <c r="G77" s="40"/>
      <c r="H77" s="40"/>
      <c r="I77" s="40"/>
      <c r="J77" s="40"/>
      <c r="K77" s="41"/>
    </row>
    <row r="78" spans="2:14" x14ac:dyDescent="0.2">
      <c r="B78" s="38"/>
      <c r="C78" s="179" t="s">
        <v>264</v>
      </c>
      <c r="D78" s="40"/>
      <c r="E78" s="40"/>
      <c r="F78" s="40"/>
      <c r="G78" s="40"/>
      <c r="H78" s="40"/>
      <c r="I78" s="40"/>
      <c r="J78" s="245" t="str">
        <f>IF(J72="N/A",IF(OR(J65="Not Calculated",J74="Not Calculated")=TRUE,"Not Calculated",AVERAGE(J65,J74)),AVERAGE(J72,J74))</f>
        <v>Not Calculated</v>
      </c>
      <c r="K78" s="41"/>
    </row>
    <row r="79" spans="2:14" x14ac:dyDescent="0.2">
      <c r="B79" s="38"/>
      <c r="C79" s="40"/>
      <c r="D79" s="40"/>
      <c r="E79" s="40"/>
      <c r="F79" s="40"/>
      <c r="G79" s="40"/>
      <c r="H79" s="40"/>
      <c r="I79" s="40"/>
      <c r="J79" s="40"/>
      <c r="K79" s="41"/>
    </row>
    <row r="80" spans="2:14" x14ac:dyDescent="0.2">
      <c r="B80" s="38"/>
      <c r="C80" s="40"/>
      <c r="D80" s="40"/>
      <c r="E80" s="40"/>
      <c r="F80" s="40"/>
      <c r="G80" s="40"/>
      <c r="H80" s="40"/>
      <c r="I80" s="40"/>
      <c r="J80" s="40"/>
      <c r="K80" s="41"/>
    </row>
    <row r="81" spans="2:14" ht="16" x14ac:dyDescent="0.2">
      <c r="B81" s="38"/>
      <c r="C81" s="45" t="s">
        <v>57</v>
      </c>
      <c r="D81" s="40"/>
      <c r="E81" s="40"/>
      <c r="F81" s="40"/>
      <c r="G81" s="40"/>
      <c r="H81" s="40"/>
      <c r="I81" s="40"/>
      <c r="J81" s="40"/>
      <c r="K81" s="41"/>
    </row>
    <row r="82" spans="2:14" x14ac:dyDescent="0.2">
      <c r="B82" s="38"/>
      <c r="C82" s="40" t="s">
        <v>437</v>
      </c>
      <c r="D82" s="40"/>
      <c r="E82" s="40"/>
      <c r="F82" s="40"/>
      <c r="G82" s="40"/>
      <c r="H82" s="40"/>
      <c r="I82" s="40"/>
      <c r="J82" s="252">
        <f>'Baseline Health'!G29</f>
        <v>0</v>
      </c>
      <c r="K82" s="41"/>
    </row>
    <row r="83" spans="2:14" x14ac:dyDescent="0.2">
      <c r="B83" s="38"/>
      <c r="C83" s="40" t="s">
        <v>290</v>
      </c>
      <c r="D83" s="40"/>
      <c r="E83" s="40"/>
      <c r="F83" s="40"/>
      <c r="G83" s="40"/>
      <c r="H83" s="40"/>
      <c r="I83" s="40"/>
      <c r="J83" s="264">
        <v>0</v>
      </c>
      <c r="K83" s="41"/>
    </row>
    <row r="84" spans="2:14" x14ac:dyDescent="0.2">
      <c r="B84" s="38"/>
      <c r="C84" s="40" t="s">
        <v>260</v>
      </c>
      <c r="D84" s="40"/>
      <c r="E84" s="40"/>
      <c r="F84" s="40"/>
      <c r="G84" s="40"/>
      <c r="H84" s="40"/>
      <c r="I84" s="40"/>
      <c r="J84" s="248" t="str">
        <f>IF(OR(J82=0,J82="Not Calculated")=TRUE,"Not Calculated",(IF(((J83+J82)/J82)&lt;=1,0,IF(((J83+J82)/J82)&lt;=1.05,1,IF(((J83+J82)/J82)&lt;=1.5, 2,IF(((J83+J82)/J82)&lt;=2,3,4))))))</f>
        <v>Not Calculated</v>
      </c>
      <c r="K84" s="41"/>
    </row>
    <row r="85" spans="2:14" ht="9.75" customHeight="1" x14ac:dyDescent="0.2">
      <c r="B85" s="38"/>
      <c r="C85" s="279" t="str">
        <f>"0:"</f>
        <v>0:</v>
      </c>
      <c r="D85" s="281" t="s">
        <v>918</v>
      </c>
      <c r="E85" s="40"/>
      <c r="F85" s="40"/>
      <c r="G85" s="40"/>
      <c r="H85" s="40"/>
      <c r="I85" s="40"/>
      <c r="J85" s="40"/>
      <c r="K85" s="41"/>
    </row>
    <row r="86" spans="2:14" ht="9.75" customHeight="1" x14ac:dyDescent="0.2">
      <c r="B86" s="38"/>
      <c r="C86" s="280" t="str">
        <f>"1:"</f>
        <v>1:</v>
      </c>
      <c r="D86" s="281" t="s">
        <v>919</v>
      </c>
      <c r="E86" s="40"/>
      <c r="F86" s="40"/>
      <c r="G86" s="40"/>
      <c r="H86" s="40"/>
      <c r="I86" s="40"/>
      <c r="J86" s="40"/>
      <c r="K86" s="41"/>
    </row>
    <row r="87" spans="2:14" ht="9.75" customHeight="1" x14ac:dyDescent="0.2">
      <c r="B87" s="38"/>
      <c r="C87" s="280" t="str">
        <f>"2:"</f>
        <v>2:</v>
      </c>
      <c r="D87" s="281" t="s">
        <v>920</v>
      </c>
      <c r="E87" s="40"/>
      <c r="F87" s="40"/>
      <c r="G87" s="40"/>
      <c r="H87" s="40"/>
      <c r="I87" s="40"/>
      <c r="J87" s="40"/>
      <c r="K87" s="41"/>
    </row>
    <row r="88" spans="2:14" ht="9.75" customHeight="1" x14ac:dyDescent="0.2">
      <c r="B88" s="38"/>
      <c r="C88" s="280" t="str">
        <f>"3:"</f>
        <v>3:</v>
      </c>
      <c r="D88" s="281" t="s">
        <v>921</v>
      </c>
      <c r="E88" s="40"/>
      <c r="F88" s="40"/>
      <c r="G88" s="40"/>
      <c r="H88" s="40"/>
      <c r="I88" s="40"/>
      <c r="J88" s="40"/>
      <c r="K88" s="41"/>
    </row>
    <row r="89" spans="2:14" ht="9.75" customHeight="1" x14ac:dyDescent="0.2">
      <c r="B89" s="38"/>
      <c r="C89" s="280" t="str">
        <f>"4:"</f>
        <v>4:</v>
      </c>
      <c r="D89" s="281" t="s">
        <v>922</v>
      </c>
      <c r="E89" s="40"/>
      <c r="F89" s="40"/>
      <c r="G89" s="40"/>
      <c r="H89" s="40"/>
      <c r="I89" s="40"/>
      <c r="J89" s="40"/>
      <c r="K89" s="41"/>
      <c r="N89" s="12" t="s">
        <v>661</v>
      </c>
    </row>
    <row r="90" spans="2:14" x14ac:dyDescent="0.2">
      <c r="B90" s="38"/>
      <c r="C90" s="174" t="s">
        <v>662</v>
      </c>
      <c r="D90" s="40"/>
      <c r="E90" s="40"/>
      <c r="F90" s="40"/>
      <c r="G90" s="40"/>
      <c r="H90" s="40"/>
      <c r="I90" s="40"/>
      <c r="J90" s="265" t="s">
        <v>661</v>
      </c>
      <c r="K90" s="41"/>
      <c r="N90" s="12" t="s">
        <v>894</v>
      </c>
    </row>
    <row r="91" spans="2:14" x14ac:dyDescent="0.2">
      <c r="B91" s="38"/>
      <c r="C91" s="174" t="s">
        <v>660</v>
      </c>
      <c r="D91" s="40"/>
      <c r="E91" s="40"/>
      <c r="F91" s="40"/>
      <c r="G91" s="40"/>
      <c r="H91" s="40"/>
      <c r="I91" s="40"/>
      <c r="J91" s="246" t="str">
        <f>IF(J90=N89,"N/A",IF(J90=N90,0,IF(J90=N91,1,IF(J90=N92,2,IF(J90=N93,3,IF(J90=N94,4,"N/A"))))))</f>
        <v>N/A</v>
      </c>
      <c r="K91" s="41"/>
      <c r="N91" s="12" t="s">
        <v>895</v>
      </c>
    </row>
    <row r="92" spans="2:14" x14ac:dyDescent="0.2">
      <c r="B92" s="38"/>
      <c r="C92" s="40" t="s">
        <v>257</v>
      </c>
      <c r="D92" s="40"/>
      <c r="E92" s="40"/>
      <c r="F92" s="40"/>
      <c r="G92" s="40"/>
      <c r="H92" s="40"/>
      <c r="I92" s="40"/>
      <c r="J92" s="266" t="s">
        <v>870</v>
      </c>
      <c r="K92" s="41"/>
      <c r="N92" s="12" t="s">
        <v>896</v>
      </c>
    </row>
    <row r="93" spans="2:14" x14ac:dyDescent="0.2">
      <c r="B93" s="38"/>
      <c r="C93" s="40" t="s">
        <v>261</v>
      </c>
      <c r="D93" s="40"/>
      <c r="E93" s="40"/>
      <c r="F93" s="40"/>
      <c r="G93" s="40"/>
      <c r="H93" s="40"/>
      <c r="I93" s="40"/>
      <c r="J93" s="245">
        <f>IF(J92=$B$973,$A$973,IF(J92=$B$974,$A$974,IF(J92=$B$975,$A$975,IF(J92=$B$976,$A$976,IF(J92=$B$977,$A$977,"Not Calculated")))))</f>
        <v>0</v>
      </c>
      <c r="K93" s="41"/>
      <c r="N93" s="12" t="s">
        <v>897</v>
      </c>
    </row>
    <row r="94" spans="2:14" x14ac:dyDescent="0.2">
      <c r="B94" s="38"/>
      <c r="C94" s="40" t="s">
        <v>893</v>
      </c>
      <c r="D94" s="40"/>
      <c r="E94" s="40"/>
      <c r="F94" s="40"/>
      <c r="G94" s="40"/>
      <c r="H94" s="40"/>
      <c r="I94" s="40"/>
      <c r="J94" s="175"/>
      <c r="K94" s="41"/>
      <c r="N94" s="12" t="s">
        <v>898</v>
      </c>
    </row>
    <row r="95" spans="2:14" s="178" customFormat="1" ht="30" customHeight="1" x14ac:dyDescent="0.2">
      <c r="B95" s="176"/>
      <c r="C95" s="415"/>
      <c r="D95" s="400"/>
      <c r="E95" s="400"/>
      <c r="F95" s="400"/>
      <c r="G95" s="400"/>
      <c r="H95" s="400"/>
      <c r="I95" s="400"/>
      <c r="J95" s="401"/>
      <c r="K95" s="177"/>
    </row>
    <row r="96" spans="2:14" x14ac:dyDescent="0.2">
      <c r="B96" s="38"/>
      <c r="C96" s="40"/>
      <c r="D96" s="40"/>
      <c r="E96" s="40"/>
      <c r="F96" s="40"/>
      <c r="G96" s="40"/>
      <c r="H96" s="40"/>
      <c r="I96" s="40"/>
      <c r="J96" s="40"/>
      <c r="K96" s="41"/>
    </row>
    <row r="97" spans="2:14" x14ac:dyDescent="0.2">
      <c r="B97" s="38"/>
      <c r="C97" s="179" t="s">
        <v>265</v>
      </c>
      <c r="D97" s="40"/>
      <c r="E97" s="40"/>
      <c r="F97" s="40"/>
      <c r="G97" s="40"/>
      <c r="H97" s="40"/>
      <c r="I97" s="40"/>
      <c r="J97" s="245" t="str">
        <f>IF(J91="N/A",IF(OR(J84="Not Calculated",J93="Not Calculated")=TRUE,"Not Calculated",AVERAGE(J84,J93)),AVERAGE(J91,J93))</f>
        <v>Not Calculated</v>
      </c>
      <c r="K97" s="41"/>
    </row>
    <row r="98" spans="2:14" x14ac:dyDescent="0.2">
      <c r="B98" s="38"/>
      <c r="C98" s="40"/>
      <c r="D98" s="40"/>
      <c r="E98" s="40"/>
      <c r="F98" s="40"/>
      <c r="G98" s="40"/>
      <c r="H98" s="40"/>
      <c r="I98" s="40"/>
      <c r="J98" s="40"/>
      <c r="K98" s="41"/>
    </row>
    <row r="99" spans="2:14" x14ac:dyDescent="0.2">
      <c r="B99" s="38"/>
      <c r="C99" s="40"/>
      <c r="D99" s="40"/>
      <c r="E99" s="40"/>
      <c r="F99" s="40"/>
      <c r="G99" s="40"/>
      <c r="H99" s="40"/>
      <c r="I99" s="40"/>
      <c r="J99" s="40"/>
      <c r="K99" s="41"/>
    </row>
    <row r="100" spans="2:14" ht="16" x14ac:dyDescent="0.2">
      <c r="B100" s="38"/>
      <c r="C100" s="45" t="s">
        <v>60</v>
      </c>
      <c r="D100" s="40"/>
      <c r="E100" s="40"/>
      <c r="F100" s="40"/>
      <c r="G100" s="40"/>
      <c r="H100" s="40"/>
      <c r="I100" s="40"/>
      <c r="J100" s="40"/>
      <c r="K100" s="41"/>
    </row>
    <row r="101" spans="2:14" x14ac:dyDescent="0.2">
      <c r="B101" s="38"/>
      <c r="C101" s="40" t="s">
        <v>438</v>
      </c>
      <c r="D101" s="40"/>
      <c r="E101" s="40"/>
      <c r="F101" s="40"/>
      <c r="G101" s="40"/>
      <c r="H101" s="40"/>
      <c r="I101" s="40"/>
      <c r="J101" s="252">
        <f>'Baseline Health'!G35</f>
        <v>0</v>
      </c>
      <c r="K101" s="41"/>
    </row>
    <row r="102" spans="2:14" x14ac:dyDescent="0.2">
      <c r="B102" s="38"/>
      <c r="C102" s="40" t="s">
        <v>291</v>
      </c>
      <c r="D102" s="40"/>
      <c r="E102" s="40"/>
      <c r="F102" s="40"/>
      <c r="G102" s="40"/>
      <c r="H102" s="40"/>
      <c r="I102" s="40"/>
      <c r="J102" s="264">
        <v>0</v>
      </c>
      <c r="K102" s="41"/>
    </row>
    <row r="103" spans="2:14" x14ac:dyDescent="0.2">
      <c r="B103" s="38"/>
      <c r="C103" s="40" t="s">
        <v>260</v>
      </c>
      <c r="D103" s="40"/>
      <c r="E103" s="40"/>
      <c r="F103" s="40"/>
      <c r="G103" s="40"/>
      <c r="H103" s="40"/>
      <c r="I103" s="40"/>
      <c r="J103" s="248" t="str">
        <f>IF(OR(J101=0,J101="Not Calculated")=TRUE,"Not Calculated",(IF(((J102+J101)/J101)&lt;=1,0,IF(((J102+J101)/J101)&lt;=1.05,1,IF(((J102+J101)/J101)&lt;=1.5, 2,IF(((J102+J101)/J101)&lt;=2,3,4))))))</f>
        <v>Not Calculated</v>
      </c>
      <c r="K103" s="41"/>
    </row>
    <row r="104" spans="2:14" ht="9.75" customHeight="1" x14ac:dyDescent="0.2">
      <c r="B104" s="38"/>
      <c r="C104" s="279" t="str">
        <f>"0:"</f>
        <v>0:</v>
      </c>
      <c r="D104" s="281" t="s">
        <v>918</v>
      </c>
      <c r="E104" s="40"/>
      <c r="F104" s="40"/>
      <c r="G104" s="40"/>
      <c r="H104" s="40"/>
      <c r="I104" s="40"/>
      <c r="J104" s="40"/>
      <c r="K104" s="41"/>
    </row>
    <row r="105" spans="2:14" ht="9.75" customHeight="1" x14ac:dyDescent="0.2">
      <c r="B105" s="38"/>
      <c r="C105" s="280" t="str">
        <f>"1:"</f>
        <v>1:</v>
      </c>
      <c r="D105" s="281" t="s">
        <v>919</v>
      </c>
      <c r="E105" s="40"/>
      <c r="F105" s="40"/>
      <c r="G105" s="40"/>
      <c r="H105" s="40"/>
      <c r="I105" s="40"/>
      <c r="J105" s="40"/>
      <c r="K105" s="41"/>
    </row>
    <row r="106" spans="2:14" ht="9.75" customHeight="1" x14ac:dyDescent="0.2">
      <c r="B106" s="38"/>
      <c r="C106" s="280" t="str">
        <f>"2:"</f>
        <v>2:</v>
      </c>
      <c r="D106" s="281" t="s">
        <v>920</v>
      </c>
      <c r="E106" s="40"/>
      <c r="F106" s="40"/>
      <c r="G106" s="40"/>
      <c r="H106" s="40"/>
      <c r="I106" s="40"/>
      <c r="J106" s="40"/>
      <c r="K106" s="41"/>
    </row>
    <row r="107" spans="2:14" ht="9.75" customHeight="1" x14ac:dyDescent="0.2">
      <c r="B107" s="38"/>
      <c r="C107" s="280" t="str">
        <f>"3:"</f>
        <v>3:</v>
      </c>
      <c r="D107" s="281" t="s">
        <v>921</v>
      </c>
      <c r="E107" s="40"/>
      <c r="F107" s="40"/>
      <c r="G107" s="40"/>
      <c r="H107" s="40"/>
      <c r="I107" s="40"/>
      <c r="J107" s="40"/>
      <c r="K107" s="41"/>
    </row>
    <row r="108" spans="2:14" ht="9.75" customHeight="1" x14ac:dyDescent="0.2">
      <c r="B108" s="38"/>
      <c r="C108" s="280" t="str">
        <f>"4:"</f>
        <v>4:</v>
      </c>
      <c r="D108" s="281" t="s">
        <v>922</v>
      </c>
      <c r="E108" s="40"/>
      <c r="F108" s="40"/>
      <c r="G108" s="40"/>
      <c r="H108" s="40"/>
      <c r="I108" s="40"/>
      <c r="J108" s="40"/>
      <c r="K108" s="41"/>
      <c r="N108" s="12" t="s">
        <v>661</v>
      </c>
    </row>
    <row r="109" spans="2:14" x14ac:dyDescent="0.2">
      <c r="B109" s="38"/>
      <c r="C109" s="174" t="s">
        <v>662</v>
      </c>
      <c r="D109" s="40"/>
      <c r="E109" s="40"/>
      <c r="F109" s="40"/>
      <c r="G109" s="40"/>
      <c r="H109" s="40"/>
      <c r="I109" s="40"/>
      <c r="J109" s="265" t="s">
        <v>661</v>
      </c>
      <c r="K109" s="41"/>
      <c r="N109" s="12" t="s">
        <v>894</v>
      </c>
    </row>
    <row r="110" spans="2:14" x14ac:dyDescent="0.2">
      <c r="B110" s="38"/>
      <c r="C110" s="174" t="s">
        <v>660</v>
      </c>
      <c r="D110" s="40"/>
      <c r="E110" s="40"/>
      <c r="F110" s="40"/>
      <c r="G110" s="40"/>
      <c r="H110" s="40"/>
      <c r="I110" s="40"/>
      <c r="J110" s="246" t="str">
        <f>IF(J109=N108,"N/A",IF(J109=N109,0,IF(J109=N110,1,IF(J109=N111,2,IF(J109=N112,3,IF(J109=N113,4,"N/A"))))))</f>
        <v>N/A</v>
      </c>
      <c r="K110" s="41"/>
      <c r="N110" s="12" t="s">
        <v>895</v>
      </c>
    </row>
    <row r="111" spans="2:14" x14ac:dyDescent="0.2">
      <c r="B111" s="38"/>
      <c r="C111" s="40" t="s">
        <v>257</v>
      </c>
      <c r="D111" s="40"/>
      <c r="E111" s="40"/>
      <c r="F111" s="40"/>
      <c r="G111" s="40"/>
      <c r="H111" s="40"/>
      <c r="I111" s="40"/>
      <c r="J111" s="266" t="s">
        <v>870</v>
      </c>
      <c r="K111" s="41"/>
      <c r="N111" s="12" t="s">
        <v>896</v>
      </c>
    </row>
    <row r="112" spans="2:14" x14ac:dyDescent="0.2">
      <c r="B112" s="38"/>
      <c r="C112" s="40" t="s">
        <v>261</v>
      </c>
      <c r="D112" s="40"/>
      <c r="E112" s="40"/>
      <c r="F112" s="40"/>
      <c r="G112" s="40"/>
      <c r="H112" s="40"/>
      <c r="I112" s="40"/>
      <c r="J112" s="245">
        <f>IF(J111=$B$973,$A$973,IF(J111=$B$974,$A$974,IF(J111=$B$975,$A$975,IF(J111=$B$976,$A$976,IF(J111=$B$977,$A$977,"Not Calculated")))))</f>
        <v>0</v>
      </c>
      <c r="K112" s="41"/>
      <c r="N112" s="12" t="s">
        <v>897</v>
      </c>
    </row>
    <row r="113" spans="2:14" x14ac:dyDescent="0.2">
      <c r="B113" s="38"/>
      <c r="C113" s="40" t="s">
        <v>893</v>
      </c>
      <c r="D113" s="40"/>
      <c r="E113" s="40"/>
      <c r="F113" s="40"/>
      <c r="G113" s="40"/>
      <c r="H113" s="40"/>
      <c r="I113" s="40"/>
      <c r="J113" s="175"/>
      <c r="K113" s="41"/>
      <c r="N113" s="12" t="s">
        <v>898</v>
      </c>
    </row>
    <row r="114" spans="2:14" s="178" customFormat="1" ht="30" customHeight="1" x14ac:dyDescent="0.2">
      <c r="B114" s="176"/>
      <c r="C114" s="415"/>
      <c r="D114" s="400"/>
      <c r="E114" s="400"/>
      <c r="F114" s="400"/>
      <c r="G114" s="400"/>
      <c r="H114" s="400"/>
      <c r="I114" s="400"/>
      <c r="J114" s="400"/>
      <c r="K114" s="177"/>
    </row>
    <row r="115" spans="2:14" x14ac:dyDescent="0.2">
      <c r="B115" s="38"/>
      <c r="C115" s="40"/>
      <c r="D115" s="40"/>
      <c r="E115" s="40"/>
      <c r="F115" s="40"/>
      <c r="G115" s="40"/>
      <c r="H115" s="40"/>
      <c r="I115" s="40"/>
      <c r="J115" s="40"/>
      <c r="K115" s="41"/>
    </row>
    <row r="116" spans="2:14" x14ac:dyDescent="0.2">
      <c r="B116" s="38"/>
      <c r="C116" s="179" t="s">
        <v>266</v>
      </c>
      <c r="D116" s="40"/>
      <c r="E116" s="40"/>
      <c r="F116" s="40"/>
      <c r="G116" s="40"/>
      <c r="H116" s="40"/>
      <c r="I116" s="40"/>
      <c r="J116" s="245" t="str">
        <f>IF(J110="N/A",IF(OR(J103="Not Calculated",J112="Not Calculated")=TRUE,"Not Calculated",AVERAGE(J103,J112)),AVERAGE(J110,J112))</f>
        <v>Not Calculated</v>
      </c>
      <c r="K116" s="41"/>
    </row>
    <row r="117" spans="2:14" x14ac:dyDescent="0.2">
      <c r="B117" s="38"/>
      <c r="C117" s="40"/>
      <c r="D117" s="40"/>
      <c r="E117" s="40"/>
      <c r="F117" s="40"/>
      <c r="G117" s="40"/>
      <c r="H117" s="40"/>
      <c r="I117" s="40"/>
      <c r="J117" s="40"/>
      <c r="K117" s="41"/>
    </row>
    <row r="118" spans="2:14" x14ac:dyDescent="0.2">
      <c r="B118" s="38"/>
      <c r="C118" s="40"/>
      <c r="D118" s="40"/>
      <c r="E118" s="40"/>
      <c r="F118" s="40"/>
      <c r="G118" s="40"/>
      <c r="H118" s="40"/>
      <c r="I118" s="40"/>
      <c r="J118" s="40"/>
      <c r="K118" s="41"/>
    </row>
    <row r="119" spans="2:14" ht="16" x14ac:dyDescent="0.2">
      <c r="B119" s="38"/>
      <c r="C119" s="45" t="s">
        <v>262</v>
      </c>
      <c r="D119" s="40"/>
      <c r="E119" s="40"/>
      <c r="F119" s="40"/>
      <c r="G119" s="40"/>
      <c r="H119" s="40"/>
      <c r="I119" s="40"/>
      <c r="J119" s="40"/>
      <c r="K119" s="41"/>
    </row>
    <row r="120" spans="2:14" ht="15" customHeight="1" x14ac:dyDescent="0.2">
      <c r="B120" s="38"/>
      <c r="C120" s="422" t="s">
        <v>268</v>
      </c>
      <c r="D120" s="422"/>
      <c r="E120" s="422"/>
      <c r="F120" s="422"/>
      <c r="G120" s="422"/>
      <c r="H120" s="422"/>
      <c r="I120" s="422"/>
      <c r="J120" s="422"/>
      <c r="K120" s="41"/>
    </row>
    <row r="121" spans="2:14" x14ac:dyDescent="0.2">
      <c r="B121" s="38"/>
      <c r="C121" s="422"/>
      <c r="D121" s="422"/>
      <c r="E121" s="422"/>
      <c r="F121" s="422"/>
      <c r="G121" s="422"/>
      <c r="H121" s="422"/>
      <c r="I121" s="422"/>
      <c r="J121" s="422"/>
      <c r="K121" s="41"/>
    </row>
    <row r="122" spans="2:14" x14ac:dyDescent="0.2">
      <c r="B122" s="38"/>
      <c r="C122" s="423"/>
      <c r="D122" s="423"/>
      <c r="E122" s="423"/>
      <c r="F122" s="423"/>
      <c r="G122" s="423"/>
      <c r="H122" s="423"/>
      <c r="I122" s="423"/>
      <c r="J122" s="423"/>
      <c r="K122" s="41"/>
    </row>
    <row r="123" spans="2:14" ht="15" customHeight="1" x14ac:dyDescent="0.2">
      <c r="B123" s="38"/>
      <c r="C123" s="416" t="s">
        <v>245</v>
      </c>
      <c r="D123" s="417"/>
      <c r="E123" s="417"/>
      <c r="F123" s="417"/>
      <c r="G123" s="417"/>
      <c r="H123" s="417"/>
      <c r="I123" s="417"/>
      <c r="J123" s="418"/>
      <c r="K123" s="41"/>
    </row>
    <row r="124" spans="2:14" x14ac:dyDescent="0.2">
      <c r="B124" s="38"/>
      <c r="C124" s="419"/>
      <c r="D124" s="420"/>
      <c r="E124" s="420"/>
      <c r="F124" s="420"/>
      <c r="G124" s="420"/>
      <c r="H124" s="420"/>
      <c r="I124" s="420"/>
      <c r="J124" s="421"/>
      <c r="K124" s="41"/>
    </row>
    <row r="125" spans="2:14" ht="15" customHeight="1" x14ac:dyDescent="0.2">
      <c r="B125" s="38"/>
      <c r="C125" s="40" t="s">
        <v>260</v>
      </c>
      <c r="D125" s="40"/>
      <c r="E125" s="40"/>
      <c r="F125" s="40"/>
      <c r="G125" s="40"/>
      <c r="H125" s="40"/>
      <c r="I125" s="40"/>
      <c r="J125" s="247">
        <f>IF(C123=B987,A987,IF(C123=B988,A988,IF(C123=B989,A989,IF(C123=B990,A990,IF(C123=B991,A991,"Not Calculated")))))</f>
        <v>0</v>
      </c>
      <c r="K125" s="41"/>
    </row>
    <row r="126" spans="2:14" ht="15" customHeight="1" x14ac:dyDescent="0.2">
      <c r="B126" s="38"/>
      <c r="C126" s="40" t="s">
        <v>257</v>
      </c>
      <c r="D126" s="40"/>
      <c r="E126" s="40"/>
      <c r="F126" s="40"/>
      <c r="G126" s="40"/>
      <c r="H126" s="40"/>
      <c r="I126" s="40"/>
      <c r="J126" s="266" t="s">
        <v>870</v>
      </c>
      <c r="K126" s="41"/>
    </row>
    <row r="127" spans="2:14" x14ac:dyDescent="0.2">
      <c r="B127" s="38"/>
      <c r="C127" s="40" t="s">
        <v>261</v>
      </c>
      <c r="D127" s="40"/>
      <c r="E127" s="40"/>
      <c r="F127" s="40"/>
      <c r="G127" s="40"/>
      <c r="H127" s="40"/>
      <c r="I127" s="40"/>
      <c r="J127" s="245">
        <f>IF(J126=$B$973,$A$973,IF(J126=$B$974,$A$974,IF(J126=$B$975,$A$975,IF(J126=$B$976,$A$976,IF(J126=$B$977,$A$977,"Not Calculated")))))</f>
        <v>0</v>
      </c>
      <c r="K127" s="41"/>
    </row>
    <row r="128" spans="2:14" ht="15" customHeight="1" x14ac:dyDescent="0.2">
      <c r="B128" s="38"/>
      <c r="C128" s="40" t="s">
        <v>893</v>
      </c>
      <c r="D128" s="40"/>
      <c r="E128" s="40"/>
      <c r="F128" s="40"/>
      <c r="G128" s="40"/>
      <c r="H128" s="40"/>
      <c r="I128" s="40"/>
      <c r="J128" s="175"/>
      <c r="K128" s="41"/>
    </row>
    <row r="129" spans="2:11" s="178" customFormat="1" ht="30" customHeight="1" x14ac:dyDescent="0.2">
      <c r="B129" s="176"/>
      <c r="C129" s="415"/>
      <c r="D129" s="400"/>
      <c r="E129" s="400"/>
      <c r="F129" s="400"/>
      <c r="G129" s="400"/>
      <c r="H129" s="400"/>
      <c r="I129" s="400"/>
      <c r="J129" s="401"/>
      <c r="K129" s="177"/>
    </row>
    <row r="130" spans="2:11" x14ac:dyDescent="0.2">
      <c r="B130" s="38"/>
      <c r="C130" s="40"/>
      <c r="D130" s="40"/>
      <c r="E130" s="40"/>
      <c r="F130" s="40"/>
      <c r="G130" s="40"/>
      <c r="H130" s="40"/>
      <c r="I130" s="40"/>
      <c r="J130" s="40"/>
      <c r="K130" s="41"/>
    </row>
    <row r="131" spans="2:11" x14ac:dyDescent="0.2">
      <c r="B131" s="38"/>
      <c r="C131" s="179" t="s">
        <v>267</v>
      </c>
      <c r="D131" s="40"/>
      <c r="E131" s="40"/>
      <c r="F131" s="40"/>
      <c r="G131" s="40"/>
      <c r="H131" s="40"/>
      <c r="I131" s="40"/>
      <c r="J131" s="245">
        <f>IF(OR(J125="Not Calculated",J127="Not Calculated")=TRUE,"Not Calculated",AVERAGE(J125,J127))</f>
        <v>0</v>
      </c>
      <c r="K131" s="41"/>
    </row>
    <row r="132" spans="2:11" x14ac:dyDescent="0.2">
      <c r="B132" s="38"/>
      <c r="C132" s="179"/>
      <c r="D132" s="40"/>
      <c r="E132" s="40"/>
      <c r="F132" s="40"/>
      <c r="G132" s="40"/>
      <c r="H132" s="40"/>
      <c r="I132" s="40"/>
      <c r="J132" s="245"/>
      <c r="K132" s="41"/>
    </row>
    <row r="133" spans="2:11" ht="18" x14ac:dyDescent="0.2">
      <c r="B133" s="38"/>
      <c r="C133" s="180" t="s">
        <v>269</v>
      </c>
      <c r="D133" s="40"/>
      <c r="E133" s="40"/>
      <c r="F133" s="40"/>
      <c r="G133" s="40"/>
      <c r="H133" s="40"/>
      <c r="I133" s="40"/>
      <c r="J133" s="244" t="str">
        <f>IF(OR(J40="Not Calculated",J59="Not Calculated",J78="Not Calculated",J97="Not Calculated",J116="Not Calculated",J131="Not Calculated",)=TRUE,"Not Calculated",AVERAGE(J40,J59,J78,J97,J116,J131))</f>
        <v>Not Calculated</v>
      </c>
      <c r="K133" s="41"/>
    </row>
    <row r="134" spans="2:11" ht="16" thickBot="1" x14ac:dyDescent="0.25">
      <c r="B134" s="46"/>
      <c r="C134" s="47"/>
      <c r="D134" s="47"/>
      <c r="E134" s="47"/>
      <c r="F134" s="47"/>
      <c r="G134" s="47"/>
      <c r="H134" s="47"/>
      <c r="I134" s="47"/>
      <c r="J134" s="47"/>
      <c r="K134" s="49"/>
    </row>
    <row r="135" spans="2:11" ht="16" thickBot="1" x14ac:dyDescent="0.25"/>
    <row r="136" spans="2:11" x14ac:dyDescent="0.2">
      <c r="B136" s="33"/>
      <c r="C136" s="34"/>
      <c r="D136" s="34"/>
      <c r="E136" s="34"/>
      <c r="F136" s="34"/>
      <c r="G136" s="34"/>
      <c r="H136" s="34"/>
      <c r="I136" s="34"/>
      <c r="J136" s="34"/>
      <c r="K136" s="37"/>
    </row>
    <row r="137" spans="2:11" ht="21" x14ac:dyDescent="0.25">
      <c r="B137" s="38"/>
      <c r="C137" s="171"/>
      <c r="D137" s="40"/>
      <c r="E137" s="40"/>
      <c r="F137" s="40"/>
      <c r="G137" s="172" t="s">
        <v>27</v>
      </c>
      <c r="H137" s="40"/>
      <c r="I137" s="40"/>
      <c r="J137" s="40"/>
      <c r="K137" s="41"/>
    </row>
    <row r="138" spans="2:11" x14ac:dyDescent="0.2">
      <c r="B138" s="38"/>
      <c r="C138" s="40"/>
      <c r="D138" s="40"/>
      <c r="E138" s="40"/>
      <c r="F138" s="40"/>
      <c r="G138" s="40"/>
      <c r="H138" s="40"/>
      <c r="I138" s="40"/>
      <c r="J138" s="40"/>
      <c r="K138" s="41"/>
    </row>
    <row r="139" spans="2:11" ht="16" x14ac:dyDescent="0.2">
      <c r="B139" s="38"/>
      <c r="C139" s="45" t="s">
        <v>72</v>
      </c>
      <c r="D139" s="40"/>
      <c r="E139" s="40"/>
      <c r="F139" s="40"/>
      <c r="G139" s="40"/>
      <c r="H139" s="40"/>
      <c r="I139" s="40"/>
      <c r="J139" s="40"/>
      <c r="K139" s="41"/>
    </row>
    <row r="140" spans="2:11" x14ac:dyDescent="0.2">
      <c r="B140" s="38"/>
      <c r="C140" s="40" t="s">
        <v>440</v>
      </c>
      <c r="D140" s="40"/>
      <c r="E140" s="40"/>
      <c r="F140" s="40"/>
      <c r="G140" s="40"/>
      <c r="H140" s="40"/>
      <c r="I140" s="40"/>
      <c r="J140" s="252">
        <f>'Baseline Health'!G45</f>
        <v>0</v>
      </c>
      <c r="K140" s="41"/>
    </row>
    <row r="141" spans="2:11" x14ac:dyDescent="0.2">
      <c r="B141" s="38"/>
      <c r="C141" s="40" t="s">
        <v>270</v>
      </c>
      <c r="D141" s="40"/>
      <c r="E141" s="40"/>
      <c r="F141" s="40"/>
      <c r="G141" s="40"/>
      <c r="H141" s="40"/>
      <c r="I141" s="40"/>
      <c r="J141" s="264">
        <v>0</v>
      </c>
      <c r="K141" s="41"/>
    </row>
    <row r="142" spans="2:11" x14ac:dyDescent="0.2">
      <c r="B142" s="38"/>
      <c r="C142" s="40" t="s">
        <v>439</v>
      </c>
      <c r="D142" s="40"/>
      <c r="E142" s="40"/>
      <c r="F142" s="40"/>
      <c r="G142" s="40"/>
      <c r="H142" s="40"/>
      <c r="I142" s="40"/>
      <c r="J142" s="251">
        <f>J83/20</f>
        <v>0</v>
      </c>
      <c r="K142" s="41"/>
    </row>
    <row r="143" spans="2:11" x14ac:dyDescent="0.2">
      <c r="B143" s="38"/>
      <c r="C143" s="40"/>
      <c r="D143" s="40" t="s">
        <v>351</v>
      </c>
      <c r="E143" s="40"/>
      <c r="F143" s="40"/>
      <c r="G143" s="40"/>
      <c r="H143" s="40"/>
      <c r="I143" s="40"/>
      <c r="J143" s="40"/>
      <c r="K143" s="41"/>
    </row>
    <row r="144" spans="2:11" x14ac:dyDescent="0.2">
      <c r="B144" s="38"/>
      <c r="C144" s="40" t="s">
        <v>260</v>
      </c>
      <c r="D144" s="40"/>
      <c r="E144" s="40"/>
      <c r="F144" s="40"/>
      <c r="G144" s="40"/>
      <c r="H144" s="40"/>
      <c r="I144" s="40"/>
      <c r="J144" s="245" t="str">
        <f>IF(OR(J140=0,J140="Not Calculated")=TRUE,"Not Calculated",IF((J140-J141)&lt;=0,4,IF(((J140+J142)/(J140-J141))&lt;=1,0,IF(((J140+J142)/(J140-J141))&lt;=1.05,1,IF(((J140+J142)/(J140-J141))&lt;=1.5, 2,IF(((J140+J142)/(J140-J141))&lt;=2,3,4))))))</f>
        <v>Not Calculated</v>
      </c>
      <c r="K144" s="41"/>
    </row>
    <row r="145" spans="2:14" ht="9.75" customHeight="1" x14ac:dyDescent="0.2">
      <c r="B145" s="38"/>
      <c r="C145" s="279" t="str">
        <f>"0:"</f>
        <v>0:</v>
      </c>
      <c r="D145" s="278" t="s">
        <v>918</v>
      </c>
      <c r="E145" s="40"/>
      <c r="F145" s="40"/>
      <c r="G145" s="40"/>
      <c r="H145" s="40"/>
      <c r="I145" s="40"/>
      <c r="J145" s="40"/>
      <c r="K145" s="41"/>
    </row>
    <row r="146" spans="2:14" ht="9.75" customHeight="1" x14ac:dyDescent="0.2">
      <c r="B146" s="38"/>
      <c r="C146" s="280" t="str">
        <f>"1:"</f>
        <v>1:</v>
      </c>
      <c r="D146" s="278" t="s">
        <v>923</v>
      </c>
      <c r="E146" s="40"/>
      <c r="F146" s="40"/>
      <c r="G146" s="40"/>
      <c r="H146" s="40"/>
      <c r="I146" s="40"/>
      <c r="J146" s="40"/>
      <c r="K146" s="41"/>
    </row>
    <row r="147" spans="2:14" ht="9.75" customHeight="1" x14ac:dyDescent="0.2">
      <c r="B147" s="38"/>
      <c r="C147" s="280" t="str">
        <f>"2:"</f>
        <v>2:</v>
      </c>
      <c r="D147" s="278" t="s">
        <v>924</v>
      </c>
      <c r="E147" s="40"/>
      <c r="F147" s="40"/>
      <c r="G147" s="40"/>
      <c r="H147" s="40"/>
      <c r="I147" s="40"/>
      <c r="J147" s="40"/>
      <c r="K147" s="41"/>
    </row>
    <row r="148" spans="2:14" ht="9.75" customHeight="1" x14ac:dyDescent="0.2">
      <c r="B148" s="38"/>
      <c r="C148" s="280" t="str">
        <f>"3:"</f>
        <v>3:</v>
      </c>
      <c r="D148" s="278" t="s">
        <v>925</v>
      </c>
      <c r="E148" s="40"/>
      <c r="F148" s="40"/>
      <c r="G148" s="40"/>
      <c r="H148" s="40"/>
      <c r="I148" s="40"/>
      <c r="J148" s="40"/>
      <c r="K148" s="41"/>
    </row>
    <row r="149" spans="2:14" ht="9.75" customHeight="1" x14ac:dyDescent="0.2">
      <c r="B149" s="38"/>
      <c r="C149" s="280" t="str">
        <f>"4:"</f>
        <v>4:</v>
      </c>
      <c r="D149" s="278" t="s">
        <v>926</v>
      </c>
      <c r="E149" s="40"/>
      <c r="F149" s="40"/>
      <c r="G149" s="40"/>
      <c r="H149" s="40"/>
      <c r="I149" s="40"/>
      <c r="J149" s="40"/>
      <c r="K149" s="41"/>
      <c r="N149" s="12" t="s">
        <v>661</v>
      </c>
    </row>
    <row r="150" spans="2:14" x14ac:dyDescent="0.2">
      <c r="B150" s="38"/>
      <c r="C150" s="174" t="s">
        <v>662</v>
      </c>
      <c r="D150" s="40"/>
      <c r="E150" s="40"/>
      <c r="F150" s="40"/>
      <c r="G150" s="40"/>
      <c r="H150" s="40"/>
      <c r="I150" s="40"/>
      <c r="J150" s="265" t="s">
        <v>661</v>
      </c>
      <c r="K150" s="41"/>
      <c r="N150" s="12" t="s">
        <v>894</v>
      </c>
    </row>
    <row r="151" spans="2:14" x14ac:dyDescent="0.2">
      <c r="B151" s="38"/>
      <c r="C151" s="174" t="s">
        <v>660</v>
      </c>
      <c r="D151" s="40"/>
      <c r="E151" s="40"/>
      <c r="F151" s="40"/>
      <c r="G151" s="40"/>
      <c r="H151" s="40"/>
      <c r="I151" s="40"/>
      <c r="J151" s="246" t="str">
        <f>IF(J150=N149,"N/A",IF(J150=N150,0,IF(J150=N151,1,IF(J150=N152,2,IF(J150=N153,3,IF(J150=N154,4,"N/A"))))))</f>
        <v>N/A</v>
      </c>
      <c r="K151" s="41"/>
      <c r="N151" s="12" t="s">
        <v>899</v>
      </c>
    </row>
    <row r="152" spans="2:14" x14ac:dyDescent="0.2">
      <c r="B152" s="38"/>
      <c r="C152" s="40" t="s">
        <v>257</v>
      </c>
      <c r="D152" s="40"/>
      <c r="E152" s="40"/>
      <c r="F152" s="40"/>
      <c r="G152" s="40"/>
      <c r="H152" s="40"/>
      <c r="I152" s="40"/>
      <c r="J152" s="266" t="s">
        <v>870</v>
      </c>
      <c r="K152" s="41"/>
      <c r="N152" s="12" t="s">
        <v>900</v>
      </c>
    </row>
    <row r="153" spans="2:14" x14ac:dyDescent="0.2">
      <c r="B153" s="38"/>
      <c r="C153" s="40" t="s">
        <v>261</v>
      </c>
      <c r="D153" s="40"/>
      <c r="E153" s="40"/>
      <c r="F153" s="40"/>
      <c r="G153" s="40"/>
      <c r="H153" s="40"/>
      <c r="I153" s="40"/>
      <c r="J153" s="245">
        <f>IF(J152=$B$973,$A$973,IF(J152=$B$974,$A$974,IF(J152=$B$975,$A$975,IF(J152=$B$976,$A$976,IF(J152=$B$977,$A$977,"Not Calculated")))))</f>
        <v>0</v>
      </c>
      <c r="K153" s="41"/>
      <c r="N153" s="12" t="s">
        <v>901</v>
      </c>
    </row>
    <row r="154" spans="2:14" x14ac:dyDescent="0.2">
      <c r="B154" s="38"/>
      <c r="C154" s="40" t="s">
        <v>893</v>
      </c>
      <c r="D154" s="40"/>
      <c r="E154" s="40"/>
      <c r="F154" s="40"/>
      <c r="G154" s="40"/>
      <c r="H154" s="40"/>
      <c r="I154" s="40"/>
      <c r="J154" s="40"/>
      <c r="K154" s="41"/>
      <c r="N154" s="12" t="s">
        <v>902</v>
      </c>
    </row>
    <row r="155" spans="2:14" ht="30" customHeight="1" x14ac:dyDescent="0.2">
      <c r="B155" s="38"/>
      <c r="C155" s="399"/>
      <c r="D155" s="400"/>
      <c r="E155" s="400"/>
      <c r="F155" s="400"/>
      <c r="G155" s="400"/>
      <c r="H155" s="400"/>
      <c r="I155" s="400"/>
      <c r="J155" s="401"/>
      <c r="K155" s="41"/>
    </row>
    <row r="156" spans="2:14" x14ac:dyDescent="0.2">
      <c r="B156" s="38"/>
      <c r="C156" s="40"/>
      <c r="D156" s="40"/>
      <c r="E156" s="40"/>
      <c r="F156" s="40"/>
      <c r="G156" s="40"/>
      <c r="H156" s="40"/>
      <c r="I156" s="40"/>
      <c r="J156" s="40"/>
      <c r="K156" s="41"/>
    </row>
    <row r="157" spans="2:14" x14ac:dyDescent="0.2">
      <c r="B157" s="38"/>
      <c r="C157" s="179" t="s">
        <v>271</v>
      </c>
      <c r="D157" s="40"/>
      <c r="E157" s="40"/>
      <c r="F157" s="40"/>
      <c r="G157" s="40"/>
      <c r="H157" s="40"/>
      <c r="I157" s="40"/>
      <c r="J157" s="245" t="str">
        <f>IF(J151="N/A",IF(OR(J144="Not Calculated",J153="Not Calculated")=TRUE,"Not Calculated",AVERAGE(J144,J153)),AVERAGE(J151,J153))</f>
        <v>Not Calculated</v>
      </c>
      <c r="K157" s="41"/>
    </row>
    <row r="158" spans="2:14" x14ac:dyDescent="0.2">
      <c r="B158" s="38"/>
      <c r="C158" s="40"/>
      <c r="D158" s="40"/>
      <c r="E158" s="40"/>
      <c r="F158" s="40"/>
      <c r="G158" s="40"/>
      <c r="H158" s="40"/>
      <c r="I158" s="40"/>
      <c r="J158" s="40"/>
      <c r="K158" s="41"/>
    </row>
    <row r="159" spans="2:14" x14ac:dyDescent="0.2">
      <c r="B159" s="38"/>
      <c r="C159" s="40"/>
      <c r="D159" s="40"/>
      <c r="E159" s="40"/>
      <c r="F159" s="40"/>
      <c r="G159" s="40"/>
      <c r="H159" s="40"/>
      <c r="I159" s="40"/>
      <c r="J159" s="40"/>
      <c r="K159" s="41"/>
    </row>
    <row r="160" spans="2:14" ht="16" x14ac:dyDescent="0.2">
      <c r="B160" s="38"/>
      <c r="C160" s="45" t="s">
        <v>273</v>
      </c>
      <c r="D160" s="40"/>
      <c r="E160" s="40"/>
      <c r="F160" s="40"/>
      <c r="G160" s="40"/>
      <c r="H160" s="40"/>
      <c r="I160" s="40"/>
      <c r="J160" s="40"/>
      <c r="K160" s="41"/>
    </row>
    <row r="161" spans="2:14" x14ac:dyDescent="0.2">
      <c r="B161" s="38"/>
      <c r="C161" s="40" t="s">
        <v>441</v>
      </c>
      <c r="D161" s="40"/>
      <c r="E161" s="40"/>
      <c r="F161" s="40"/>
      <c r="G161" s="40"/>
      <c r="H161" s="40"/>
      <c r="I161" s="40"/>
      <c r="J161" s="252">
        <f>'Baseline Health'!G51</f>
        <v>0</v>
      </c>
      <c r="K161" s="41"/>
    </row>
    <row r="162" spans="2:14" x14ac:dyDescent="0.2">
      <c r="B162" s="38"/>
      <c r="C162" s="40" t="s">
        <v>280</v>
      </c>
      <c r="D162" s="40"/>
      <c r="E162" s="40"/>
      <c r="F162" s="40"/>
      <c r="G162" s="40"/>
      <c r="H162" s="40"/>
      <c r="I162" s="40"/>
      <c r="J162" s="264">
        <v>0</v>
      </c>
      <c r="K162" s="41"/>
    </row>
    <row r="163" spans="2:14" x14ac:dyDescent="0.2">
      <c r="B163" s="38"/>
      <c r="C163" s="40" t="s">
        <v>442</v>
      </c>
      <c r="D163" s="40"/>
      <c r="E163" s="40"/>
      <c r="F163" s="40"/>
      <c r="G163" s="40"/>
      <c r="H163" s="40"/>
      <c r="I163" s="40"/>
      <c r="J163" s="251">
        <f>(J64)/4.5</f>
        <v>0</v>
      </c>
      <c r="K163" s="41"/>
    </row>
    <row r="164" spans="2:14" x14ac:dyDescent="0.2">
      <c r="B164" s="38"/>
      <c r="C164" s="40"/>
      <c r="D164" s="40" t="s">
        <v>353</v>
      </c>
      <c r="E164" s="40"/>
      <c r="F164" s="40"/>
      <c r="G164" s="40"/>
      <c r="H164" s="40"/>
      <c r="I164" s="40"/>
      <c r="J164" s="40"/>
      <c r="K164" s="41"/>
    </row>
    <row r="165" spans="2:14" x14ac:dyDescent="0.2">
      <c r="B165" s="38"/>
      <c r="C165" s="40" t="s">
        <v>260</v>
      </c>
      <c r="D165" s="40"/>
      <c r="E165" s="40"/>
      <c r="F165" s="40"/>
      <c r="G165" s="40"/>
      <c r="H165" s="40"/>
      <c r="I165" s="40"/>
      <c r="J165" s="245" t="str">
        <f>IF(OR(J161=0,J161="Not Calculated")=TRUE,"Not Calculated",IF((J161-J162)&lt;=0,4,IF(((J161+J163)/(J161-J162))&lt;=1,0,IF(((J161+J163)/(J161-J162))&lt;=1.05,1,IF(((J161+J163)/(J161-J162))&lt;=1.5, 2,IF(((J161+J163)/(J161-J162))&lt;=2,3,4))))))</f>
        <v>Not Calculated</v>
      </c>
      <c r="K165" s="41"/>
    </row>
    <row r="166" spans="2:14" ht="9.75" customHeight="1" x14ac:dyDescent="0.2">
      <c r="B166" s="38"/>
      <c r="C166" s="279" t="str">
        <f>"0:"</f>
        <v>0:</v>
      </c>
      <c r="D166" s="278" t="s">
        <v>918</v>
      </c>
      <c r="E166" s="40"/>
      <c r="F166" s="40"/>
      <c r="G166" s="40"/>
      <c r="H166" s="40"/>
      <c r="I166" s="40"/>
      <c r="J166" s="40"/>
      <c r="K166" s="41"/>
    </row>
    <row r="167" spans="2:14" ht="9.75" customHeight="1" x14ac:dyDescent="0.2">
      <c r="B167" s="38"/>
      <c r="C167" s="280" t="str">
        <f>"1:"</f>
        <v>1:</v>
      </c>
      <c r="D167" s="278" t="s">
        <v>923</v>
      </c>
      <c r="E167" s="40"/>
      <c r="F167" s="40"/>
      <c r="G167" s="40"/>
      <c r="H167" s="40"/>
      <c r="I167" s="40"/>
      <c r="J167" s="40"/>
      <c r="K167" s="41"/>
    </row>
    <row r="168" spans="2:14" ht="9.75" customHeight="1" x14ac:dyDescent="0.2">
      <c r="B168" s="38"/>
      <c r="C168" s="280" t="str">
        <f>"2:"</f>
        <v>2:</v>
      </c>
      <c r="D168" s="278" t="s">
        <v>924</v>
      </c>
      <c r="E168" s="40"/>
      <c r="F168" s="40"/>
      <c r="G168" s="40"/>
      <c r="H168" s="40"/>
      <c r="I168" s="40"/>
      <c r="J168" s="40"/>
      <c r="K168" s="41"/>
    </row>
    <row r="169" spans="2:14" ht="9.75" customHeight="1" x14ac:dyDescent="0.2">
      <c r="B169" s="38"/>
      <c r="C169" s="280" t="str">
        <f>"3:"</f>
        <v>3:</v>
      </c>
      <c r="D169" s="278" t="s">
        <v>925</v>
      </c>
      <c r="E169" s="40"/>
      <c r="F169" s="40"/>
      <c r="G169" s="40"/>
      <c r="H169" s="40"/>
      <c r="I169" s="40"/>
      <c r="J169" s="40"/>
      <c r="K169" s="41"/>
    </row>
    <row r="170" spans="2:14" ht="9.75" customHeight="1" x14ac:dyDescent="0.2">
      <c r="B170" s="38"/>
      <c r="C170" s="280" t="str">
        <f>"4:"</f>
        <v>4:</v>
      </c>
      <c r="D170" s="278" t="s">
        <v>926</v>
      </c>
      <c r="E170" s="40"/>
      <c r="F170" s="40"/>
      <c r="G170" s="40"/>
      <c r="H170" s="40"/>
      <c r="I170" s="40"/>
      <c r="J170" s="40"/>
      <c r="K170" s="41"/>
      <c r="N170" s="12" t="s">
        <v>661</v>
      </c>
    </row>
    <row r="171" spans="2:14" x14ac:dyDescent="0.2">
      <c r="B171" s="38"/>
      <c r="C171" s="174" t="s">
        <v>662</v>
      </c>
      <c r="D171" s="40"/>
      <c r="E171" s="40"/>
      <c r="F171" s="40"/>
      <c r="G171" s="40"/>
      <c r="H171" s="40"/>
      <c r="I171" s="40"/>
      <c r="J171" s="265" t="s">
        <v>661</v>
      </c>
      <c r="K171" s="41"/>
      <c r="N171" s="12" t="s">
        <v>894</v>
      </c>
    </row>
    <row r="172" spans="2:14" x14ac:dyDescent="0.2">
      <c r="B172" s="38"/>
      <c r="C172" s="174" t="s">
        <v>660</v>
      </c>
      <c r="D172" s="40"/>
      <c r="E172" s="40"/>
      <c r="F172" s="40"/>
      <c r="G172" s="40"/>
      <c r="H172" s="40"/>
      <c r="I172" s="40"/>
      <c r="J172" s="246" t="str">
        <f>IF(J171=N170,"N/A",IF(J171=N171,0,IF(J171=N172,1,IF(J171=N173,2,IF(J171=N174,3,IF(J171=N175,4,"N/A"))))))</f>
        <v>N/A</v>
      </c>
      <c r="K172" s="41"/>
      <c r="N172" s="12" t="s">
        <v>899</v>
      </c>
    </row>
    <row r="173" spans="2:14" x14ac:dyDescent="0.2">
      <c r="B173" s="38"/>
      <c r="C173" s="40" t="s">
        <v>257</v>
      </c>
      <c r="D173" s="40"/>
      <c r="E173" s="40"/>
      <c r="F173" s="40"/>
      <c r="G173" s="40"/>
      <c r="H173" s="40"/>
      <c r="I173" s="40"/>
      <c r="J173" s="266" t="s">
        <v>882</v>
      </c>
      <c r="K173" s="41"/>
      <c r="N173" s="12" t="s">
        <v>900</v>
      </c>
    </row>
    <row r="174" spans="2:14" x14ac:dyDescent="0.2">
      <c r="B174" s="38"/>
      <c r="C174" s="40" t="s">
        <v>261</v>
      </c>
      <c r="D174" s="40"/>
      <c r="E174" s="40"/>
      <c r="F174" s="40"/>
      <c r="G174" s="40"/>
      <c r="H174" s="40"/>
      <c r="I174" s="40"/>
      <c r="J174" s="245">
        <f>IF(J173=$B$973,$A$973,IF(J173=$B$974,$A$974,IF(J173=$B$975,$A$975,IF(J173=$B$976,$A$976,IF(J173=$B$977,$A$977,"Not Calculated")))))</f>
        <v>1</v>
      </c>
      <c r="K174" s="41"/>
      <c r="N174" s="12" t="s">
        <v>901</v>
      </c>
    </row>
    <row r="175" spans="2:14" x14ac:dyDescent="0.2">
      <c r="B175" s="38"/>
      <c r="C175" s="40" t="s">
        <v>893</v>
      </c>
      <c r="D175" s="40"/>
      <c r="E175" s="40"/>
      <c r="F175" s="40"/>
      <c r="G175" s="40"/>
      <c r="H175" s="40"/>
      <c r="I175" s="40"/>
      <c r="J175" s="40"/>
      <c r="K175" s="41"/>
      <c r="N175" s="12" t="s">
        <v>902</v>
      </c>
    </row>
    <row r="176" spans="2:14" ht="30" customHeight="1" x14ac:dyDescent="0.2">
      <c r="B176" s="38"/>
      <c r="C176" s="399"/>
      <c r="D176" s="400"/>
      <c r="E176" s="400"/>
      <c r="F176" s="400"/>
      <c r="G176" s="400"/>
      <c r="H176" s="400"/>
      <c r="I176" s="400"/>
      <c r="J176" s="401"/>
      <c r="K176" s="41"/>
    </row>
    <row r="177" spans="2:14" x14ac:dyDescent="0.2">
      <c r="B177" s="38"/>
      <c r="C177" s="40"/>
      <c r="D177" s="40"/>
      <c r="E177" s="40"/>
      <c r="F177" s="40"/>
      <c r="G177" s="40"/>
      <c r="H177" s="40"/>
      <c r="I177" s="40"/>
      <c r="J177" s="40"/>
      <c r="K177" s="41"/>
    </row>
    <row r="178" spans="2:14" x14ac:dyDescent="0.2">
      <c r="B178" s="38"/>
      <c r="C178" s="179" t="s">
        <v>274</v>
      </c>
      <c r="D178" s="40"/>
      <c r="E178" s="40"/>
      <c r="F178" s="40"/>
      <c r="G178" s="40"/>
      <c r="H178" s="40"/>
      <c r="I178" s="40"/>
      <c r="J178" s="245" t="str">
        <f>IF(J172="N/A",IF(OR(J165="Not Calculated",J174="Not Calculated")=TRUE,"Not Calculated",AVERAGE(J165,J174)),AVERAGE(J172,J174))</f>
        <v>Not Calculated</v>
      </c>
      <c r="K178" s="41"/>
    </row>
    <row r="179" spans="2:14" x14ac:dyDescent="0.2">
      <c r="B179" s="38"/>
      <c r="C179" s="40"/>
      <c r="D179" s="40"/>
      <c r="E179" s="40"/>
      <c r="F179" s="40"/>
      <c r="G179" s="40"/>
      <c r="H179" s="40"/>
      <c r="I179" s="40"/>
      <c r="J179" s="40"/>
      <c r="K179" s="41"/>
    </row>
    <row r="180" spans="2:14" x14ac:dyDescent="0.2">
      <c r="B180" s="38"/>
      <c r="C180" s="40"/>
      <c r="D180" s="40"/>
      <c r="E180" s="40"/>
      <c r="F180" s="40"/>
      <c r="G180" s="40"/>
      <c r="H180" s="40"/>
      <c r="I180" s="40"/>
      <c r="J180" s="40"/>
      <c r="K180" s="41"/>
    </row>
    <row r="181" spans="2:14" ht="16" x14ac:dyDescent="0.2">
      <c r="B181" s="38"/>
      <c r="C181" s="45" t="s">
        <v>74</v>
      </c>
      <c r="D181" s="40"/>
      <c r="E181" s="40"/>
      <c r="F181" s="40"/>
      <c r="G181" s="40"/>
      <c r="H181" s="40"/>
      <c r="I181" s="40"/>
      <c r="J181" s="40"/>
      <c r="K181" s="41"/>
    </row>
    <row r="182" spans="2:14" x14ac:dyDescent="0.2">
      <c r="B182" s="38"/>
      <c r="C182" s="40" t="s">
        <v>443</v>
      </c>
      <c r="D182" s="40"/>
      <c r="E182" s="40"/>
      <c r="F182" s="40"/>
      <c r="G182" s="40"/>
      <c r="H182" s="40"/>
      <c r="I182" s="40"/>
      <c r="J182" s="252">
        <f>'Baseline Health'!G59</f>
        <v>0</v>
      </c>
      <c r="K182" s="41"/>
    </row>
    <row r="183" spans="2:14" x14ac:dyDescent="0.2">
      <c r="B183" s="38"/>
      <c r="C183" s="40" t="s">
        <v>281</v>
      </c>
      <c r="D183" s="40"/>
      <c r="E183" s="40"/>
      <c r="F183" s="40"/>
      <c r="G183" s="40"/>
      <c r="H183" s="40"/>
      <c r="I183" s="40"/>
      <c r="J183" s="264">
        <v>0</v>
      </c>
      <c r="K183" s="41"/>
    </row>
    <row r="184" spans="2:14" x14ac:dyDescent="0.2">
      <c r="B184" s="38"/>
      <c r="C184" s="40" t="s">
        <v>354</v>
      </c>
      <c r="D184" s="40"/>
      <c r="E184" s="40"/>
      <c r="F184" s="40"/>
      <c r="G184" s="40"/>
      <c r="H184" s="40"/>
      <c r="I184" s="40"/>
      <c r="J184" s="264">
        <f>J182*0.034</f>
        <v>0</v>
      </c>
      <c r="K184" s="41"/>
    </row>
    <row r="185" spans="2:14" x14ac:dyDescent="0.2">
      <c r="B185" s="38"/>
      <c r="C185" s="40" t="s">
        <v>260</v>
      </c>
      <c r="D185" s="40"/>
      <c r="E185" s="40"/>
      <c r="F185" s="40"/>
      <c r="G185" s="40"/>
      <c r="H185" s="40"/>
      <c r="I185" s="40"/>
      <c r="J185" s="245" t="str">
        <f>IF(OR(J182=0,J182="Not Calculated")=TRUE,"Not Calculated",IF(J182-J183=0,4,IF(((J182+J184)/(J182-J183))&lt;=1,0,IF(((J182+J184)/(J182-J183))&lt;=1.05,1,IF(((J182+J184)/(J182-J183))&lt;=1.5, 2,IF(((J182+J184)/(J182-J183))&lt;=2,3,4))))))</f>
        <v>Not Calculated</v>
      </c>
      <c r="K185" s="41"/>
    </row>
    <row r="186" spans="2:14" ht="9.75" customHeight="1" x14ac:dyDescent="0.2">
      <c r="B186" s="38"/>
      <c r="C186" s="279" t="str">
        <f>"0:"</f>
        <v>0:</v>
      </c>
      <c r="D186" s="278" t="s">
        <v>918</v>
      </c>
      <c r="E186" s="40"/>
      <c r="F186" s="40"/>
      <c r="G186" s="40"/>
      <c r="H186" s="40"/>
      <c r="I186" s="40"/>
      <c r="J186" s="40"/>
      <c r="K186" s="41"/>
    </row>
    <row r="187" spans="2:14" ht="9.75" customHeight="1" x14ac:dyDescent="0.2">
      <c r="B187" s="38"/>
      <c r="C187" s="280" t="str">
        <f>"1:"</f>
        <v>1:</v>
      </c>
      <c r="D187" s="278" t="s">
        <v>923</v>
      </c>
      <c r="E187" s="40"/>
      <c r="F187" s="40"/>
      <c r="G187" s="40"/>
      <c r="H187" s="40"/>
      <c r="I187" s="40"/>
      <c r="J187" s="40"/>
      <c r="K187" s="41"/>
    </row>
    <row r="188" spans="2:14" ht="9.75" customHeight="1" x14ac:dyDescent="0.2">
      <c r="B188" s="38"/>
      <c r="C188" s="280" t="str">
        <f>"2:"</f>
        <v>2:</v>
      </c>
      <c r="D188" s="278" t="s">
        <v>924</v>
      </c>
      <c r="E188" s="40"/>
      <c r="F188" s="40"/>
      <c r="G188" s="40"/>
      <c r="H188" s="40"/>
      <c r="I188" s="40"/>
      <c r="J188" s="40"/>
      <c r="K188" s="41"/>
    </row>
    <row r="189" spans="2:14" ht="9.75" customHeight="1" x14ac:dyDescent="0.2">
      <c r="B189" s="38"/>
      <c r="C189" s="280" t="str">
        <f>"3:"</f>
        <v>3:</v>
      </c>
      <c r="D189" s="278" t="s">
        <v>925</v>
      </c>
      <c r="E189" s="40"/>
      <c r="F189" s="40"/>
      <c r="G189" s="40"/>
      <c r="H189" s="40"/>
      <c r="I189" s="40"/>
      <c r="J189" s="40"/>
      <c r="K189" s="41"/>
    </row>
    <row r="190" spans="2:14" ht="9.75" customHeight="1" x14ac:dyDescent="0.2">
      <c r="B190" s="38"/>
      <c r="C190" s="280" t="str">
        <f>"4:"</f>
        <v>4:</v>
      </c>
      <c r="D190" s="278" t="s">
        <v>926</v>
      </c>
      <c r="E190" s="40"/>
      <c r="F190" s="40"/>
      <c r="G190" s="40"/>
      <c r="H190" s="40"/>
      <c r="I190" s="40"/>
      <c r="J190" s="40"/>
      <c r="K190" s="41"/>
      <c r="N190" s="12" t="s">
        <v>661</v>
      </c>
    </row>
    <row r="191" spans="2:14" x14ac:dyDescent="0.2">
      <c r="B191" s="38"/>
      <c r="C191" s="174" t="s">
        <v>662</v>
      </c>
      <c r="D191" s="40"/>
      <c r="E191" s="40"/>
      <c r="F191" s="40"/>
      <c r="G191" s="40"/>
      <c r="H191" s="40"/>
      <c r="I191" s="40"/>
      <c r="J191" s="265" t="s">
        <v>661</v>
      </c>
      <c r="K191" s="41"/>
      <c r="N191" s="12" t="s">
        <v>894</v>
      </c>
    </row>
    <row r="192" spans="2:14" x14ac:dyDescent="0.2">
      <c r="B192" s="38"/>
      <c r="C192" s="174" t="s">
        <v>660</v>
      </c>
      <c r="D192" s="40"/>
      <c r="E192" s="40"/>
      <c r="F192" s="40"/>
      <c r="G192" s="40"/>
      <c r="H192" s="40"/>
      <c r="I192" s="40"/>
      <c r="J192" s="246" t="str">
        <f>IF(J191=N190,"N/A",IF(J191=N191,0,IF(J191=N192,1,IF(J191=N193,2,IF(J191=N194,3,IF(J191=N195,4,"N/A"))))))</f>
        <v>N/A</v>
      </c>
      <c r="K192" s="41"/>
      <c r="N192" s="12" t="s">
        <v>899</v>
      </c>
    </row>
    <row r="193" spans="2:14" x14ac:dyDescent="0.2">
      <c r="B193" s="38"/>
      <c r="C193" s="40" t="s">
        <v>257</v>
      </c>
      <c r="D193" s="40"/>
      <c r="E193" s="40"/>
      <c r="F193" s="40"/>
      <c r="G193" s="40"/>
      <c r="H193" s="40"/>
      <c r="I193" s="40"/>
      <c r="J193" s="266" t="s">
        <v>874</v>
      </c>
      <c r="K193" s="41"/>
      <c r="N193" s="12" t="s">
        <v>900</v>
      </c>
    </row>
    <row r="194" spans="2:14" x14ac:dyDescent="0.2">
      <c r="B194" s="38"/>
      <c r="C194" s="40" t="s">
        <v>261</v>
      </c>
      <c r="D194" s="40"/>
      <c r="E194" s="40"/>
      <c r="F194" s="40"/>
      <c r="G194" s="40"/>
      <c r="H194" s="40"/>
      <c r="I194" s="40"/>
      <c r="J194" s="245">
        <f>IF(J193=$B$973,$A$973,IF(J193=$B$974,$A$974,IF(J193=$B$975,$A$975,IF(J193=$B$976,$A$976,IF(J193=$B$977,$A$977,"Not Calculated")))))</f>
        <v>4</v>
      </c>
      <c r="K194" s="41"/>
      <c r="N194" s="12" t="s">
        <v>901</v>
      </c>
    </row>
    <row r="195" spans="2:14" x14ac:dyDescent="0.2">
      <c r="B195" s="38"/>
      <c r="C195" s="40" t="s">
        <v>893</v>
      </c>
      <c r="D195" s="40"/>
      <c r="E195" s="40"/>
      <c r="F195" s="40"/>
      <c r="G195" s="40"/>
      <c r="H195" s="40"/>
      <c r="I195" s="40"/>
      <c r="J195" s="40"/>
      <c r="K195" s="41"/>
      <c r="N195" s="12" t="s">
        <v>902</v>
      </c>
    </row>
    <row r="196" spans="2:14" ht="30" customHeight="1" x14ac:dyDescent="0.2">
      <c r="B196" s="38"/>
      <c r="C196" s="399" t="s">
        <v>557</v>
      </c>
      <c r="D196" s="400"/>
      <c r="E196" s="400"/>
      <c r="F196" s="400"/>
      <c r="G196" s="400"/>
      <c r="H196" s="400"/>
      <c r="I196" s="400"/>
      <c r="J196" s="401"/>
      <c r="K196" s="41"/>
    </row>
    <row r="197" spans="2:14" x14ac:dyDescent="0.2">
      <c r="B197" s="38"/>
      <c r="C197" s="40"/>
      <c r="D197" s="40"/>
      <c r="E197" s="40"/>
      <c r="F197" s="40"/>
      <c r="G197" s="40"/>
      <c r="H197" s="40"/>
      <c r="I197" s="40"/>
      <c r="J197" s="40"/>
      <c r="K197" s="41"/>
    </row>
    <row r="198" spans="2:14" x14ac:dyDescent="0.2">
      <c r="B198" s="38"/>
      <c r="C198" s="179" t="s">
        <v>275</v>
      </c>
      <c r="D198" s="40"/>
      <c r="E198" s="40"/>
      <c r="F198" s="40"/>
      <c r="G198" s="40"/>
      <c r="H198" s="40"/>
      <c r="I198" s="40"/>
      <c r="J198" s="245" t="str">
        <f>IF(J192="N/A",IF(OR(J185="Not Calculated",J194="Not Calculated")=TRUE,"Not Calculated",AVERAGE(J185,J194)),AVERAGE(J192,J194))</f>
        <v>Not Calculated</v>
      </c>
      <c r="K198" s="41"/>
    </row>
    <row r="199" spans="2:14" x14ac:dyDescent="0.2">
      <c r="B199" s="38"/>
      <c r="C199" s="40"/>
      <c r="D199" s="40"/>
      <c r="E199" s="40"/>
      <c r="F199" s="40"/>
      <c r="G199" s="40"/>
      <c r="H199" s="40"/>
      <c r="I199" s="40"/>
      <c r="J199" s="40"/>
      <c r="K199" s="41"/>
    </row>
    <row r="200" spans="2:14" x14ac:dyDescent="0.2">
      <c r="B200" s="38"/>
      <c r="C200" s="40"/>
      <c r="D200" s="40"/>
      <c r="E200" s="40"/>
      <c r="F200" s="40"/>
      <c r="G200" s="40"/>
      <c r="H200" s="40"/>
      <c r="I200" s="40"/>
      <c r="J200" s="40"/>
      <c r="K200" s="41"/>
    </row>
    <row r="201" spans="2:14" ht="16" x14ac:dyDescent="0.2">
      <c r="B201" s="38"/>
      <c r="C201" s="45" t="s">
        <v>75</v>
      </c>
      <c r="D201" s="40"/>
      <c r="E201" s="40"/>
      <c r="F201" s="40"/>
      <c r="G201" s="40"/>
      <c r="H201" s="40"/>
      <c r="I201" s="40"/>
      <c r="J201" s="40"/>
      <c r="K201" s="41"/>
    </row>
    <row r="202" spans="2:14" x14ac:dyDescent="0.2">
      <c r="B202" s="38"/>
      <c r="C202" s="40" t="s">
        <v>444</v>
      </c>
      <c r="D202" s="40"/>
      <c r="E202" s="40"/>
      <c r="F202" s="40"/>
      <c r="G202" s="40"/>
      <c r="H202" s="40"/>
      <c r="I202" s="40"/>
      <c r="J202" s="252">
        <f>'Baseline Health'!G65</f>
        <v>0</v>
      </c>
      <c r="K202" s="41"/>
    </row>
    <row r="203" spans="2:14" x14ac:dyDescent="0.2">
      <c r="B203" s="38"/>
      <c r="C203" s="40" t="s">
        <v>282</v>
      </c>
      <c r="D203" s="40"/>
      <c r="E203" s="40"/>
      <c r="F203" s="40"/>
      <c r="G203" s="40"/>
      <c r="H203" s="40"/>
      <c r="I203" s="40"/>
      <c r="J203" s="264">
        <v>0</v>
      </c>
      <c r="K203" s="41"/>
    </row>
    <row r="204" spans="2:14" x14ac:dyDescent="0.2">
      <c r="B204" s="38"/>
      <c r="C204" s="40" t="s">
        <v>355</v>
      </c>
      <c r="D204" s="40"/>
      <c r="E204" s="40"/>
      <c r="F204" s="40"/>
      <c r="G204" s="40"/>
      <c r="H204" s="40"/>
      <c r="I204" s="40"/>
      <c r="J204" s="264">
        <v>0</v>
      </c>
      <c r="K204" s="41"/>
    </row>
    <row r="205" spans="2:14" x14ac:dyDescent="0.2">
      <c r="B205" s="38"/>
      <c r="C205" s="40" t="s">
        <v>260</v>
      </c>
      <c r="D205" s="40"/>
      <c r="E205" s="40"/>
      <c r="F205" s="40"/>
      <c r="G205" s="40"/>
      <c r="H205" s="40"/>
      <c r="I205" s="40"/>
      <c r="J205" s="245" t="str">
        <f>IF(OR(J202=0,J202="Not Calculated")=TRUE,"Not Calculated",IF(J202-J203=0,4,IF(((J202+J204)/(J202-J203))&lt;=1,0,IF(((J202+J204)/(J202-J203))&lt;=1.05,1,IF(((J202+J204)/(J202-J203))&lt;=1.5, 2,IF(((J202+J204)/(J202-J203))&lt;=2,3,4))))))</f>
        <v>Not Calculated</v>
      </c>
      <c r="K205" s="41"/>
    </row>
    <row r="206" spans="2:14" ht="9.75" customHeight="1" x14ac:dyDescent="0.2">
      <c r="B206" s="38"/>
      <c r="C206" s="279" t="str">
        <f>"0:"</f>
        <v>0:</v>
      </c>
      <c r="D206" s="278" t="s">
        <v>918</v>
      </c>
      <c r="E206" s="40"/>
      <c r="F206" s="40"/>
      <c r="G206" s="40"/>
      <c r="H206" s="40"/>
      <c r="I206" s="40"/>
      <c r="J206" s="40"/>
      <c r="K206" s="41"/>
    </row>
    <row r="207" spans="2:14" ht="9.75" customHeight="1" x14ac:dyDescent="0.2">
      <c r="B207" s="38"/>
      <c r="C207" s="280" t="str">
        <f>"1:"</f>
        <v>1:</v>
      </c>
      <c r="D207" s="278" t="s">
        <v>923</v>
      </c>
      <c r="E207" s="40"/>
      <c r="F207" s="40"/>
      <c r="G207" s="40"/>
      <c r="H207" s="40"/>
      <c r="I207" s="40"/>
      <c r="J207" s="40"/>
      <c r="K207" s="41"/>
    </row>
    <row r="208" spans="2:14" ht="9.75" customHeight="1" x14ac:dyDescent="0.2">
      <c r="B208" s="38"/>
      <c r="C208" s="280" t="str">
        <f>"2:"</f>
        <v>2:</v>
      </c>
      <c r="D208" s="278" t="s">
        <v>924</v>
      </c>
      <c r="E208" s="40"/>
      <c r="F208" s="40"/>
      <c r="G208" s="40"/>
      <c r="H208" s="40"/>
      <c r="I208" s="40"/>
      <c r="J208" s="40"/>
      <c r="K208" s="41"/>
    </row>
    <row r="209" spans="2:14" ht="9.75" customHeight="1" x14ac:dyDescent="0.2">
      <c r="B209" s="38"/>
      <c r="C209" s="280" t="str">
        <f>"3:"</f>
        <v>3:</v>
      </c>
      <c r="D209" s="278" t="s">
        <v>925</v>
      </c>
      <c r="E209" s="40"/>
      <c r="F209" s="40"/>
      <c r="G209" s="40"/>
      <c r="H209" s="40"/>
      <c r="I209" s="40"/>
      <c r="J209" s="40"/>
      <c r="K209" s="41"/>
    </row>
    <row r="210" spans="2:14" ht="9.75" customHeight="1" x14ac:dyDescent="0.2">
      <c r="B210" s="38"/>
      <c r="C210" s="280" t="str">
        <f>"4:"</f>
        <v>4:</v>
      </c>
      <c r="D210" s="278" t="s">
        <v>926</v>
      </c>
      <c r="E210" s="40"/>
      <c r="F210" s="40"/>
      <c r="G210" s="40"/>
      <c r="H210" s="40"/>
      <c r="I210" s="40"/>
      <c r="J210" s="40"/>
      <c r="K210" s="41"/>
      <c r="N210" s="12" t="s">
        <v>661</v>
      </c>
    </row>
    <row r="211" spans="2:14" x14ac:dyDescent="0.2">
      <c r="B211" s="38"/>
      <c r="C211" s="174" t="s">
        <v>662</v>
      </c>
      <c r="D211" s="40"/>
      <c r="E211" s="40"/>
      <c r="F211" s="40"/>
      <c r="G211" s="40"/>
      <c r="H211" s="40"/>
      <c r="I211" s="40"/>
      <c r="J211" s="265" t="s">
        <v>661</v>
      </c>
      <c r="K211" s="41"/>
      <c r="N211" s="12" t="s">
        <v>894</v>
      </c>
    </row>
    <row r="212" spans="2:14" x14ac:dyDescent="0.2">
      <c r="B212" s="38"/>
      <c r="C212" s="174" t="s">
        <v>660</v>
      </c>
      <c r="D212" s="40"/>
      <c r="E212" s="40"/>
      <c r="F212" s="40"/>
      <c r="G212" s="40"/>
      <c r="H212" s="40"/>
      <c r="I212" s="40"/>
      <c r="J212" s="246" t="str">
        <f>IF(J211=N210,"N/A",IF(J211=N211,0,IF(J211=N212,1,IF(J211=N213,2,IF(J211=N214,3,IF(J211=N215,4,"N/A"))))))</f>
        <v>N/A</v>
      </c>
      <c r="K212" s="41"/>
      <c r="N212" s="12" t="s">
        <v>899</v>
      </c>
    </row>
    <row r="213" spans="2:14" x14ac:dyDescent="0.2">
      <c r="B213" s="38"/>
      <c r="C213" s="40" t="s">
        <v>257</v>
      </c>
      <c r="D213" s="40"/>
      <c r="E213" s="40"/>
      <c r="F213" s="40"/>
      <c r="G213" s="40"/>
      <c r="H213" s="40"/>
      <c r="I213" s="40"/>
      <c r="J213" s="266" t="s">
        <v>870</v>
      </c>
      <c r="K213" s="41"/>
      <c r="N213" s="12" t="s">
        <v>900</v>
      </c>
    </row>
    <row r="214" spans="2:14" x14ac:dyDescent="0.2">
      <c r="B214" s="38"/>
      <c r="C214" s="40" t="s">
        <v>261</v>
      </c>
      <c r="D214" s="40"/>
      <c r="E214" s="40"/>
      <c r="F214" s="40"/>
      <c r="G214" s="40"/>
      <c r="H214" s="40"/>
      <c r="I214" s="40"/>
      <c r="J214" s="245">
        <f>IF(J213=$B$973,$A$973,IF(J213=$B$974,$A$974,IF(J213=$B$975,$A$975,IF(J213=$B$976,$A$976,IF(J213=$B$977,$A$977,"Not Calculated")))))</f>
        <v>0</v>
      </c>
      <c r="K214" s="41"/>
      <c r="N214" s="12" t="s">
        <v>901</v>
      </c>
    </row>
    <row r="215" spans="2:14" x14ac:dyDescent="0.2">
      <c r="B215" s="38"/>
      <c r="C215" s="40" t="s">
        <v>893</v>
      </c>
      <c r="D215" s="40"/>
      <c r="E215" s="40"/>
      <c r="F215" s="40"/>
      <c r="G215" s="40"/>
      <c r="H215" s="40"/>
      <c r="I215" s="40"/>
      <c r="J215" s="40"/>
      <c r="K215" s="41"/>
      <c r="N215" s="12" t="s">
        <v>902</v>
      </c>
    </row>
    <row r="216" spans="2:14" ht="30" customHeight="1" x14ac:dyDescent="0.2">
      <c r="B216" s="38"/>
      <c r="C216" s="399"/>
      <c r="D216" s="400"/>
      <c r="E216" s="400"/>
      <c r="F216" s="400"/>
      <c r="G216" s="400"/>
      <c r="H216" s="400"/>
      <c r="I216" s="400"/>
      <c r="J216" s="401"/>
      <c r="K216" s="41"/>
    </row>
    <row r="217" spans="2:14" ht="15" customHeight="1" x14ac:dyDescent="0.2">
      <c r="B217" s="38"/>
      <c r="C217" s="40"/>
      <c r="D217" s="40"/>
      <c r="E217" s="40"/>
      <c r="F217" s="40"/>
      <c r="G217" s="40"/>
      <c r="H217" s="40"/>
      <c r="I217" s="40"/>
      <c r="J217" s="40"/>
      <c r="K217" s="41"/>
    </row>
    <row r="218" spans="2:14" x14ac:dyDescent="0.2">
      <c r="B218" s="38"/>
      <c r="C218" s="179" t="s">
        <v>276</v>
      </c>
      <c r="D218" s="40"/>
      <c r="E218" s="40"/>
      <c r="F218" s="40"/>
      <c r="G218" s="40"/>
      <c r="H218" s="40"/>
      <c r="I218" s="40"/>
      <c r="J218" s="245" t="str">
        <f>IF(J212="N/A",IF(OR(J205="Not Calculated",J214="Not Calculated")=TRUE,"Not Calculated",AVERAGE(J205,J214)),AVERAGE(J212,J214))</f>
        <v>Not Calculated</v>
      </c>
      <c r="K218" s="41"/>
    </row>
    <row r="219" spans="2:14" ht="30" customHeight="1" x14ac:dyDescent="0.2">
      <c r="B219" s="38"/>
      <c r="C219" s="40"/>
      <c r="D219" s="40"/>
      <c r="E219" s="40"/>
      <c r="F219" s="40"/>
      <c r="G219" s="40"/>
      <c r="H219" s="40"/>
      <c r="I219" s="40"/>
      <c r="J219" s="40"/>
      <c r="K219" s="41"/>
    </row>
    <row r="220" spans="2:14" x14ac:dyDescent="0.2">
      <c r="B220" s="38"/>
      <c r="C220" s="40"/>
      <c r="D220" s="40"/>
      <c r="E220" s="40"/>
      <c r="F220" s="40"/>
      <c r="G220" s="40"/>
      <c r="H220" s="40"/>
      <c r="I220" s="40"/>
      <c r="J220" s="40"/>
      <c r="K220" s="41"/>
    </row>
    <row r="221" spans="2:14" ht="16" x14ac:dyDescent="0.2">
      <c r="B221" s="38"/>
      <c r="C221" s="45" t="s">
        <v>76</v>
      </c>
      <c r="D221" s="40"/>
      <c r="E221" s="40"/>
      <c r="F221" s="40"/>
      <c r="G221" s="40"/>
      <c r="H221" s="40"/>
      <c r="I221" s="40"/>
      <c r="J221" s="40"/>
      <c r="K221" s="41"/>
    </row>
    <row r="222" spans="2:14" ht="15" customHeight="1" x14ac:dyDescent="0.2">
      <c r="B222" s="38"/>
      <c r="C222" s="40" t="s">
        <v>356</v>
      </c>
      <c r="D222" s="40"/>
      <c r="E222" s="40"/>
      <c r="F222" s="40"/>
      <c r="G222" s="40"/>
      <c r="H222" s="40"/>
      <c r="I222" s="40"/>
      <c r="J222" s="252">
        <f>'Baseline Health'!G71</f>
        <v>0</v>
      </c>
      <c r="K222" s="41"/>
    </row>
    <row r="223" spans="2:14" x14ac:dyDescent="0.2">
      <c r="B223" s="38"/>
      <c r="C223" s="40" t="s">
        <v>357</v>
      </c>
      <c r="D223" s="40"/>
      <c r="E223" s="40"/>
      <c r="F223" s="40"/>
      <c r="G223" s="40"/>
      <c r="H223" s="40"/>
      <c r="I223" s="40"/>
      <c r="J223" s="264">
        <v>0</v>
      </c>
      <c r="K223" s="41"/>
    </row>
    <row r="224" spans="2:14" x14ac:dyDescent="0.2">
      <c r="B224" s="38"/>
      <c r="C224" s="40" t="s">
        <v>445</v>
      </c>
      <c r="D224" s="40"/>
      <c r="E224" s="40"/>
      <c r="F224" s="40"/>
      <c r="G224" s="40"/>
      <c r="H224" s="40"/>
      <c r="I224" s="40"/>
      <c r="J224" s="251">
        <f>J102</f>
        <v>0</v>
      </c>
      <c r="K224" s="41"/>
    </row>
    <row r="225" spans="2:14" x14ac:dyDescent="0.2">
      <c r="B225" s="38"/>
      <c r="C225" s="40"/>
      <c r="D225" s="40" t="s">
        <v>446</v>
      </c>
      <c r="E225" s="40"/>
      <c r="F225" s="40"/>
      <c r="G225" s="40"/>
      <c r="H225" s="40"/>
      <c r="I225" s="40"/>
      <c r="J225" s="40"/>
      <c r="K225" s="41"/>
    </row>
    <row r="226" spans="2:14" x14ac:dyDescent="0.2">
      <c r="B226" s="38"/>
      <c r="C226" s="40" t="s">
        <v>260</v>
      </c>
      <c r="D226" s="40"/>
      <c r="E226" s="40"/>
      <c r="F226" s="40"/>
      <c r="G226" s="40"/>
      <c r="H226" s="40"/>
      <c r="I226" s="40"/>
      <c r="J226" s="245" t="str">
        <f>IF(OR(J222=0,J222="Not Calculated")=TRUE,"Not Calculated",IF(J222-J223=0,4,IF(((J222+J224)/(J222-J223))&lt;=1,0,IF(((J222+J224)/(J222-J223))&lt;=1.05,1,IF(((J222+J224)/(J222-J223))&lt;=1.5, 2,IF(((J222+J224)/(J222-J223))&lt;=2,3,4))))))</f>
        <v>Not Calculated</v>
      </c>
      <c r="K226" s="41"/>
    </row>
    <row r="227" spans="2:14" ht="9.75" customHeight="1" x14ac:dyDescent="0.2">
      <c r="B227" s="38"/>
      <c r="C227" s="279" t="str">
        <f>"0:"</f>
        <v>0:</v>
      </c>
      <c r="D227" s="278" t="s">
        <v>918</v>
      </c>
      <c r="E227" s="40"/>
      <c r="F227" s="40"/>
      <c r="G227" s="40"/>
      <c r="H227" s="40"/>
      <c r="I227" s="40"/>
      <c r="J227" s="40"/>
      <c r="K227" s="41"/>
    </row>
    <row r="228" spans="2:14" ht="9.75" customHeight="1" x14ac:dyDescent="0.2">
      <c r="B228" s="38"/>
      <c r="C228" s="280" t="str">
        <f>"1:"</f>
        <v>1:</v>
      </c>
      <c r="D228" s="278" t="s">
        <v>923</v>
      </c>
      <c r="E228" s="40"/>
      <c r="F228" s="40"/>
      <c r="G228" s="40"/>
      <c r="H228" s="40"/>
      <c r="I228" s="40"/>
      <c r="J228" s="40"/>
      <c r="K228" s="41"/>
    </row>
    <row r="229" spans="2:14" ht="9.75" customHeight="1" x14ac:dyDescent="0.2">
      <c r="B229" s="38"/>
      <c r="C229" s="280" t="str">
        <f>"2:"</f>
        <v>2:</v>
      </c>
      <c r="D229" s="278" t="s">
        <v>924</v>
      </c>
      <c r="E229" s="40"/>
      <c r="F229" s="40"/>
      <c r="G229" s="40"/>
      <c r="H229" s="40"/>
      <c r="I229" s="40"/>
      <c r="J229" s="40"/>
      <c r="K229" s="41"/>
    </row>
    <row r="230" spans="2:14" ht="9.75" customHeight="1" x14ac:dyDescent="0.2">
      <c r="B230" s="38"/>
      <c r="C230" s="280" t="str">
        <f>"3:"</f>
        <v>3:</v>
      </c>
      <c r="D230" s="278" t="s">
        <v>925</v>
      </c>
      <c r="E230" s="40"/>
      <c r="F230" s="40"/>
      <c r="G230" s="40"/>
      <c r="H230" s="40"/>
      <c r="I230" s="40"/>
      <c r="J230" s="40"/>
      <c r="K230" s="41"/>
    </row>
    <row r="231" spans="2:14" ht="9.75" customHeight="1" x14ac:dyDescent="0.2">
      <c r="B231" s="38"/>
      <c r="C231" s="280" t="str">
        <f>"4:"</f>
        <v>4:</v>
      </c>
      <c r="D231" s="278" t="s">
        <v>926</v>
      </c>
      <c r="E231" s="40"/>
      <c r="F231" s="40"/>
      <c r="G231" s="40"/>
      <c r="H231" s="40"/>
      <c r="I231" s="40"/>
      <c r="J231" s="40"/>
      <c r="K231" s="41"/>
      <c r="N231" s="12" t="s">
        <v>661</v>
      </c>
    </row>
    <row r="232" spans="2:14" x14ac:dyDescent="0.2">
      <c r="B232" s="38"/>
      <c r="C232" s="174" t="s">
        <v>662</v>
      </c>
      <c r="D232" s="40"/>
      <c r="E232" s="40"/>
      <c r="F232" s="40"/>
      <c r="G232" s="40"/>
      <c r="H232" s="40"/>
      <c r="I232" s="40"/>
      <c r="J232" s="265" t="s">
        <v>661</v>
      </c>
      <c r="K232" s="41"/>
      <c r="N232" s="12" t="s">
        <v>894</v>
      </c>
    </row>
    <row r="233" spans="2:14" x14ac:dyDescent="0.2">
      <c r="B233" s="38"/>
      <c r="C233" s="174" t="s">
        <v>660</v>
      </c>
      <c r="D233" s="40"/>
      <c r="E233" s="40"/>
      <c r="F233" s="40"/>
      <c r="G233" s="40"/>
      <c r="H233" s="40"/>
      <c r="I233" s="40"/>
      <c r="J233" s="246" t="str">
        <f>IF(J232=N231,"N/A",IF(J232=N232,0,IF(J232=N233,1,IF(J232=N234,2,IF(J232=N235,3,IF(J232=N236,4,"N/A"))))))</f>
        <v>N/A</v>
      </c>
      <c r="K233" s="41"/>
      <c r="N233" s="12" t="s">
        <v>899</v>
      </c>
    </row>
    <row r="234" spans="2:14" x14ac:dyDescent="0.2">
      <c r="B234" s="38"/>
      <c r="C234" s="40" t="s">
        <v>257</v>
      </c>
      <c r="D234" s="40"/>
      <c r="E234" s="40"/>
      <c r="F234" s="40"/>
      <c r="G234" s="40"/>
      <c r="H234" s="40"/>
      <c r="I234" s="40"/>
      <c r="J234" s="266" t="s">
        <v>870</v>
      </c>
      <c r="K234" s="41"/>
      <c r="N234" s="12" t="s">
        <v>900</v>
      </c>
    </row>
    <row r="235" spans="2:14" x14ac:dyDescent="0.2">
      <c r="B235" s="38"/>
      <c r="C235" s="40" t="s">
        <v>261</v>
      </c>
      <c r="D235" s="40"/>
      <c r="E235" s="40"/>
      <c r="F235" s="40"/>
      <c r="G235" s="40"/>
      <c r="H235" s="40"/>
      <c r="I235" s="40"/>
      <c r="J235" s="245">
        <f>IF(J234=$B$973,$A$973,IF(J234=$B$974,$A$974,IF(J234=$B$975,$A$975,IF(J234=$B$976,$A$976,IF(J234=$B$977,$A$977,"Not Calculated")))))</f>
        <v>0</v>
      </c>
      <c r="K235" s="41"/>
      <c r="N235" s="12" t="s">
        <v>901</v>
      </c>
    </row>
    <row r="236" spans="2:14" x14ac:dyDescent="0.2">
      <c r="B236" s="38"/>
      <c r="C236" s="40" t="s">
        <v>893</v>
      </c>
      <c r="D236" s="40"/>
      <c r="E236" s="40"/>
      <c r="F236" s="40"/>
      <c r="G236" s="40"/>
      <c r="H236" s="40"/>
      <c r="I236" s="40"/>
      <c r="J236" s="40"/>
      <c r="K236" s="41"/>
      <c r="N236" s="12" t="s">
        <v>902</v>
      </c>
    </row>
    <row r="237" spans="2:14" ht="30" customHeight="1" x14ac:dyDescent="0.2">
      <c r="B237" s="38"/>
      <c r="C237" s="399"/>
      <c r="D237" s="400"/>
      <c r="E237" s="400"/>
      <c r="F237" s="400"/>
      <c r="G237" s="400"/>
      <c r="H237" s="400"/>
      <c r="I237" s="400"/>
      <c r="J237" s="401"/>
      <c r="K237" s="41"/>
    </row>
    <row r="238" spans="2:14" x14ac:dyDescent="0.2">
      <c r="B238" s="38"/>
      <c r="C238" s="40"/>
      <c r="D238" s="40"/>
      <c r="E238" s="40"/>
      <c r="F238" s="40"/>
      <c r="G238" s="40"/>
      <c r="H238" s="40"/>
      <c r="I238" s="40"/>
      <c r="J238" s="40"/>
      <c r="K238" s="41"/>
    </row>
    <row r="239" spans="2:14" x14ac:dyDescent="0.2">
      <c r="B239" s="38"/>
      <c r="C239" s="179" t="s">
        <v>277</v>
      </c>
      <c r="D239" s="40"/>
      <c r="E239" s="40"/>
      <c r="F239" s="40"/>
      <c r="G239" s="40"/>
      <c r="H239" s="40"/>
      <c r="I239" s="40"/>
      <c r="J239" s="245" t="str">
        <f>IF(J233="N/A",IF(OR(J226="Not Calculated",J235="Not Calculated")=TRUE,"Not Calculated",AVERAGE(J226,J235)),AVERAGE(J233,J235))</f>
        <v>Not Calculated</v>
      </c>
      <c r="K239" s="41"/>
    </row>
    <row r="240" spans="2:14" x14ac:dyDescent="0.2">
      <c r="B240" s="38"/>
      <c r="C240" s="40"/>
      <c r="D240" s="40"/>
      <c r="E240" s="40"/>
      <c r="F240" s="40"/>
      <c r="G240" s="40"/>
      <c r="H240" s="40"/>
      <c r="I240" s="40"/>
      <c r="J240" s="40"/>
      <c r="K240" s="41"/>
    </row>
    <row r="241" spans="2:14" x14ac:dyDescent="0.2">
      <c r="B241" s="38"/>
      <c r="C241" s="40"/>
      <c r="D241" s="40"/>
      <c r="E241" s="40"/>
      <c r="F241" s="40"/>
      <c r="G241" s="40"/>
      <c r="H241" s="40"/>
      <c r="I241" s="40"/>
      <c r="J241" s="40"/>
      <c r="K241" s="41"/>
    </row>
    <row r="242" spans="2:14" ht="16" x14ac:dyDescent="0.2">
      <c r="B242" s="38"/>
      <c r="C242" s="45" t="s">
        <v>278</v>
      </c>
      <c r="D242" s="40"/>
      <c r="E242" s="40"/>
      <c r="F242" s="40"/>
      <c r="G242" s="40"/>
      <c r="H242" s="40"/>
      <c r="I242" s="40"/>
      <c r="J242" s="40"/>
      <c r="K242" s="41"/>
    </row>
    <row r="243" spans="2:14" ht="15" customHeight="1" x14ac:dyDescent="0.2">
      <c r="B243" s="38"/>
      <c r="C243" s="40" t="s">
        <v>447</v>
      </c>
      <c r="D243" s="40"/>
      <c r="E243" s="40"/>
      <c r="F243" s="40"/>
      <c r="G243" s="40"/>
      <c r="H243" s="40"/>
      <c r="I243" s="40"/>
      <c r="J243" s="254">
        <f>'Baseline Health'!G77</f>
        <v>0</v>
      </c>
      <c r="K243" s="41"/>
    </row>
    <row r="244" spans="2:14" x14ac:dyDescent="0.2">
      <c r="B244" s="38"/>
      <c r="C244" s="40" t="s">
        <v>358</v>
      </c>
      <c r="D244" s="40"/>
      <c r="E244" s="40"/>
      <c r="F244" s="40"/>
      <c r="G244" s="40"/>
      <c r="H244" s="40"/>
      <c r="I244" s="40"/>
      <c r="J244" s="264">
        <v>0</v>
      </c>
      <c r="K244" s="41"/>
    </row>
    <row r="245" spans="2:14" x14ac:dyDescent="0.2">
      <c r="B245" s="38"/>
      <c r="C245" s="40" t="s">
        <v>360</v>
      </c>
      <c r="D245" s="291"/>
      <c r="E245" s="291"/>
      <c r="F245" s="291"/>
      <c r="G245" s="291"/>
      <c r="H245" s="291"/>
      <c r="I245" s="291"/>
      <c r="J245" s="264">
        <v>0</v>
      </c>
      <c r="K245" s="41"/>
    </row>
    <row r="246" spans="2:14" x14ac:dyDescent="0.2">
      <c r="B246" s="38"/>
      <c r="C246" s="40" t="s">
        <v>260</v>
      </c>
      <c r="D246" s="40"/>
      <c r="E246" s="40"/>
      <c r="F246" s="40"/>
      <c r="G246" s="40"/>
      <c r="H246" s="40"/>
      <c r="I246" s="40"/>
      <c r="J246" s="245" t="str">
        <f>IF(OR(J243=0,J243="Not Calculated")=TRUE,"Not Calculated",IF(J243-J244=0,4,(IF(((J243+J245)/(J243-J244))&lt;=1,0,IF(((J243+J245)/(J243-J244))&lt;=1.05,1,IF(((J243+J245)/(J243-J244))&lt;=1.5,2,IF(((J243+J245)/(J243-J244))&lt;=2,3,4)))))))</f>
        <v>Not Calculated</v>
      </c>
      <c r="K246" s="41"/>
    </row>
    <row r="247" spans="2:14" ht="9.75" customHeight="1" x14ac:dyDescent="0.2">
      <c r="B247" s="38"/>
      <c r="C247" s="279" t="str">
        <f>"0:"</f>
        <v>0:</v>
      </c>
      <c r="D247" s="278" t="s">
        <v>918</v>
      </c>
      <c r="E247" s="40"/>
      <c r="F247" s="40"/>
      <c r="G247" s="40"/>
      <c r="H247" s="40"/>
      <c r="I247" s="40"/>
      <c r="J247" s="40"/>
      <c r="K247" s="41"/>
    </row>
    <row r="248" spans="2:14" ht="9.75" customHeight="1" x14ac:dyDescent="0.2">
      <c r="B248" s="38"/>
      <c r="C248" s="280" t="str">
        <f>"1:"</f>
        <v>1:</v>
      </c>
      <c r="D248" s="278" t="s">
        <v>923</v>
      </c>
      <c r="E248" s="40"/>
      <c r="F248" s="40"/>
      <c r="G248" s="40"/>
      <c r="H248" s="40"/>
      <c r="I248" s="40"/>
      <c r="J248" s="40"/>
      <c r="K248" s="41"/>
    </row>
    <row r="249" spans="2:14" ht="9.75" customHeight="1" x14ac:dyDescent="0.2">
      <c r="B249" s="38"/>
      <c r="C249" s="280" t="str">
        <f>"2:"</f>
        <v>2:</v>
      </c>
      <c r="D249" s="278" t="s">
        <v>924</v>
      </c>
      <c r="E249" s="40"/>
      <c r="F249" s="40"/>
      <c r="G249" s="40"/>
      <c r="H249" s="40"/>
      <c r="I249" s="40"/>
      <c r="J249" s="40"/>
      <c r="K249" s="41"/>
    </row>
    <row r="250" spans="2:14" ht="9.75" customHeight="1" x14ac:dyDescent="0.2">
      <c r="B250" s="38"/>
      <c r="C250" s="280" t="str">
        <f>"3:"</f>
        <v>3:</v>
      </c>
      <c r="D250" s="278" t="s">
        <v>925</v>
      </c>
      <c r="E250" s="40"/>
      <c r="F250" s="40"/>
      <c r="G250" s="40"/>
      <c r="H250" s="40"/>
      <c r="I250" s="40"/>
      <c r="J250" s="40"/>
      <c r="K250" s="41"/>
    </row>
    <row r="251" spans="2:14" ht="9.75" customHeight="1" x14ac:dyDescent="0.2">
      <c r="B251" s="38"/>
      <c r="C251" s="280" t="str">
        <f>"4:"</f>
        <v>4:</v>
      </c>
      <c r="D251" s="278" t="s">
        <v>926</v>
      </c>
      <c r="E251" s="40"/>
      <c r="F251" s="40"/>
      <c r="G251" s="40"/>
      <c r="H251" s="40"/>
      <c r="I251" s="40"/>
      <c r="J251" s="40"/>
      <c r="K251" s="41"/>
      <c r="N251" s="12" t="s">
        <v>661</v>
      </c>
    </row>
    <row r="252" spans="2:14" x14ac:dyDescent="0.2">
      <c r="B252" s="38"/>
      <c r="C252" s="174" t="s">
        <v>662</v>
      </c>
      <c r="D252" s="40"/>
      <c r="E252" s="40"/>
      <c r="F252" s="40"/>
      <c r="G252" s="40"/>
      <c r="H252" s="40"/>
      <c r="I252" s="40"/>
      <c r="J252" s="265" t="s">
        <v>661</v>
      </c>
      <c r="K252" s="41"/>
      <c r="N252" s="12" t="s">
        <v>894</v>
      </c>
    </row>
    <row r="253" spans="2:14" x14ac:dyDescent="0.2">
      <c r="B253" s="38"/>
      <c r="C253" s="174" t="s">
        <v>660</v>
      </c>
      <c r="D253" s="40"/>
      <c r="E253" s="40"/>
      <c r="F253" s="40"/>
      <c r="G253" s="40"/>
      <c r="H253" s="40"/>
      <c r="I253" s="40"/>
      <c r="J253" s="246" t="str">
        <f>IF(J252=N251,"N/A",IF(J252=N252,0,IF(J252=N253,1,IF(J252=N254,2,IF(J252=N255,3,IF(J252=N256,4,"N/A"))))))</f>
        <v>N/A</v>
      </c>
      <c r="K253" s="41"/>
      <c r="N253" s="12" t="s">
        <v>899</v>
      </c>
    </row>
    <row r="254" spans="2:14" x14ac:dyDescent="0.2">
      <c r="B254" s="38"/>
      <c r="C254" s="40" t="s">
        <v>257</v>
      </c>
      <c r="D254" s="40"/>
      <c r="E254" s="40"/>
      <c r="F254" s="40"/>
      <c r="G254" s="40"/>
      <c r="H254" s="40"/>
      <c r="I254" s="40"/>
      <c r="J254" s="266" t="s">
        <v>870</v>
      </c>
      <c r="K254" s="41"/>
      <c r="N254" s="12" t="s">
        <v>900</v>
      </c>
    </row>
    <row r="255" spans="2:14" x14ac:dyDescent="0.2">
      <c r="B255" s="38"/>
      <c r="C255" s="40" t="s">
        <v>261</v>
      </c>
      <c r="D255" s="40"/>
      <c r="E255" s="40"/>
      <c r="F255" s="40"/>
      <c r="G255" s="40"/>
      <c r="H255" s="40"/>
      <c r="I255" s="40"/>
      <c r="J255" s="245">
        <f>IF(J254=$B$973,$A$973,IF(J254=$B$974,$A$974,IF(J254=$B$975,$A$975,IF(J254=$B$976,$A$976,IF(J254=$B$977,$A$977,"Not Calculated")))))</f>
        <v>0</v>
      </c>
      <c r="K255" s="41"/>
      <c r="N255" s="12" t="s">
        <v>901</v>
      </c>
    </row>
    <row r="256" spans="2:14" x14ac:dyDescent="0.2">
      <c r="B256" s="38"/>
      <c r="C256" s="40" t="s">
        <v>893</v>
      </c>
      <c r="D256" s="40"/>
      <c r="E256" s="40"/>
      <c r="F256" s="40"/>
      <c r="G256" s="40"/>
      <c r="H256" s="40"/>
      <c r="I256" s="40"/>
      <c r="J256" s="40"/>
      <c r="K256" s="41"/>
      <c r="N256" s="12" t="s">
        <v>902</v>
      </c>
    </row>
    <row r="257" spans="2:11" ht="30" customHeight="1" x14ac:dyDescent="0.2">
      <c r="B257" s="38"/>
      <c r="C257" s="399"/>
      <c r="D257" s="400"/>
      <c r="E257" s="400"/>
      <c r="F257" s="400"/>
      <c r="G257" s="400"/>
      <c r="H257" s="400"/>
      <c r="I257" s="400"/>
      <c r="J257" s="401"/>
      <c r="K257" s="41"/>
    </row>
    <row r="258" spans="2:11" x14ac:dyDescent="0.2">
      <c r="B258" s="38"/>
      <c r="C258" s="40"/>
      <c r="D258" s="40"/>
      <c r="E258" s="40"/>
      <c r="F258" s="40"/>
      <c r="G258" s="40"/>
      <c r="H258" s="40"/>
      <c r="I258" s="40"/>
      <c r="J258" s="40"/>
      <c r="K258" s="41"/>
    </row>
    <row r="259" spans="2:11" x14ac:dyDescent="0.2">
      <c r="B259" s="38"/>
      <c r="C259" s="179" t="s">
        <v>279</v>
      </c>
      <c r="D259" s="40"/>
      <c r="E259" s="40"/>
      <c r="F259" s="40"/>
      <c r="G259" s="40"/>
      <c r="H259" s="40"/>
      <c r="I259" s="40"/>
      <c r="J259" s="245" t="str">
        <f>IF(J253="N/A",IF(OR(J246="Not Calculated",J255="Not Calculated")=TRUE,"Not Calculated",AVERAGE(J246,J255)),AVERAGE(J253,J255))</f>
        <v>Not Calculated</v>
      </c>
      <c r="K259" s="41"/>
    </row>
    <row r="260" spans="2:11" x14ac:dyDescent="0.2">
      <c r="B260" s="38"/>
      <c r="C260" s="40"/>
      <c r="D260" s="40"/>
      <c r="E260" s="40"/>
      <c r="F260" s="40"/>
      <c r="G260" s="40"/>
      <c r="H260" s="40"/>
      <c r="I260" s="40"/>
      <c r="J260" s="40"/>
      <c r="K260" s="41"/>
    </row>
    <row r="261" spans="2:11" ht="18" x14ac:dyDescent="0.2">
      <c r="B261" s="38"/>
      <c r="C261" s="180" t="s">
        <v>272</v>
      </c>
      <c r="D261" s="40"/>
      <c r="E261" s="40"/>
      <c r="F261" s="40"/>
      <c r="G261" s="40"/>
      <c r="H261" s="40"/>
      <c r="I261" s="40"/>
      <c r="J261" s="244" t="str">
        <f>IF(OR(J157="Not Calculated",J178="Not Calculated",J198="Not Calculated",J218="Not Calculated",J239="Not Calculated",J259="Not Calculated",)=TRUE,"Not Calculated",AVERAGE(J157,J178,J198,J218,J239,J259))</f>
        <v>Not Calculated</v>
      </c>
      <c r="K261" s="41"/>
    </row>
    <row r="262" spans="2:11" ht="16" thickBot="1" x14ac:dyDescent="0.25">
      <c r="B262" s="46"/>
      <c r="C262" s="47"/>
      <c r="D262" s="47"/>
      <c r="E262" s="47"/>
      <c r="F262" s="47"/>
      <c r="G262" s="47"/>
      <c r="H262" s="47"/>
      <c r="I262" s="47"/>
      <c r="J262" s="47"/>
      <c r="K262" s="49"/>
    </row>
    <row r="263" spans="2:11" ht="16" thickBot="1" x14ac:dyDescent="0.25"/>
    <row r="264" spans="2:11" x14ac:dyDescent="0.2">
      <c r="B264" s="33"/>
      <c r="C264" s="34"/>
      <c r="D264" s="34"/>
      <c r="E264" s="34"/>
      <c r="F264" s="34"/>
      <c r="G264" s="34"/>
      <c r="H264" s="34"/>
      <c r="I264" s="34"/>
      <c r="J264" s="34"/>
      <c r="K264" s="37"/>
    </row>
    <row r="265" spans="2:11" ht="21" x14ac:dyDescent="0.25">
      <c r="B265" s="38"/>
      <c r="C265" s="40"/>
      <c r="D265" s="40"/>
      <c r="E265" s="40"/>
      <c r="F265" s="40"/>
      <c r="G265" s="172" t="s">
        <v>864</v>
      </c>
      <c r="H265" s="40"/>
      <c r="I265" s="40"/>
      <c r="J265" s="40"/>
      <c r="K265" s="41"/>
    </row>
    <row r="266" spans="2:11" ht="15" customHeight="1" x14ac:dyDescent="0.2">
      <c r="B266" s="38"/>
      <c r="C266" s="40"/>
      <c r="D266" s="40"/>
      <c r="E266" s="40"/>
      <c r="F266" s="40"/>
      <c r="G266" s="40"/>
      <c r="H266" s="40"/>
      <c r="I266" s="40"/>
      <c r="J266" s="40"/>
      <c r="K266" s="41"/>
    </row>
    <row r="267" spans="2:11" ht="16" x14ac:dyDescent="0.2">
      <c r="B267" s="38"/>
      <c r="C267" s="45" t="s">
        <v>80</v>
      </c>
      <c r="D267" s="40"/>
      <c r="E267" s="40"/>
      <c r="F267" s="40"/>
      <c r="G267" s="40"/>
      <c r="H267" s="40"/>
      <c r="I267" s="40"/>
      <c r="J267" s="40"/>
      <c r="K267" s="41"/>
    </row>
    <row r="268" spans="2:11" x14ac:dyDescent="0.2">
      <c r="B268" s="38"/>
      <c r="C268" s="40" t="s">
        <v>283</v>
      </c>
      <c r="D268" s="40"/>
      <c r="E268" s="40"/>
      <c r="F268" s="40"/>
      <c r="G268" s="40"/>
      <c r="H268" s="40"/>
      <c r="I268" s="40"/>
      <c r="J268" s="250">
        <f>'Baseline Health'!G88</f>
        <v>0</v>
      </c>
      <c r="K268" s="41"/>
    </row>
    <row r="269" spans="2:11" x14ac:dyDescent="0.2">
      <c r="B269" s="38"/>
      <c r="C269" s="40" t="s">
        <v>284</v>
      </c>
      <c r="D269" s="40"/>
      <c r="E269" s="40"/>
      <c r="F269" s="40"/>
      <c r="G269" s="40"/>
      <c r="H269" s="40"/>
      <c r="I269" s="40"/>
      <c r="J269" s="264">
        <v>0</v>
      </c>
      <c r="K269" s="41"/>
    </row>
    <row r="270" spans="2:11" x14ac:dyDescent="0.2">
      <c r="B270" s="38"/>
      <c r="C270" s="40" t="s">
        <v>285</v>
      </c>
      <c r="D270" s="40"/>
      <c r="E270" s="40"/>
      <c r="F270" s="40"/>
      <c r="G270" s="40"/>
      <c r="H270" s="40"/>
      <c r="I270" s="40"/>
      <c r="J270" s="259">
        <f>'Baseline Health'!G93</f>
        <v>0</v>
      </c>
      <c r="K270" s="41"/>
    </row>
    <row r="271" spans="2:11" x14ac:dyDescent="0.2">
      <c r="B271" s="38"/>
      <c r="C271" s="40" t="s">
        <v>286</v>
      </c>
      <c r="D271" s="40"/>
      <c r="E271" s="40"/>
      <c r="F271" s="40"/>
      <c r="G271" s="40"/>
      <c r="H271" s="40"/>
      <c r="I271" s="40"/>
      <c r="J271" s="250">
        <f>J184</f>
        <v>0</v>
      </c>
      <c r="K271" s="41"/>
    </row>
    <row r="272" spans="2:11" x14ac:dyDescent="0.2">
      <c r="B272" s="38"/>
      <c r="C272" s="40"/>
      <c r="D272" s="40" t="s">
        <v>432</v>
      </c>
      <c r="E272" s="40"/>
      <c r="F272" s="40"/>
      <c r="G272" s="40"/>
      <c r="H272" s="40"/>
      <c r="I272" s="40"/>
      <c r="J272" s="40"/>
      <c r="K272" s="41"/>
    </row>
    <row r="273" spans="2:14" x14ac:dyDescent="0.2">
      <c r="B273" s="38"/>
      <c r="C273" s="40" t="s">
        <v>292</v>
      </c>
      <c r="D273" s="40"/>
      <c r="E273" s="40"/>
      <c r="F273" s="40"/>
      <c r="G273" s="40"/>
      <c r="H273" s="40"/>
      <c r="I273" s="40"/>
      <c r="J273" s="258" t="str">
        <f>'Baseline Health'!G97</f>
        <v>N/A</v>
      </c>
      <c r="K273" s="41"/>
    </row>
    <row r="274" spans="2:14" x14ac:dyDescent="0.2">
      <c r="B274" s="38"/>
      <c r="C274" s="40" t="s">
        <v>293</v>
      </c>
      <c r="D274" s="40"/>
      <c r="E274" s="40"/>
      <c r="F274" s="40"/>
      <c r="G274" s="40"/>
      <c r="H274" s="40"/>
      <c r="I274" s="40"/>
      <c r="J274" s="258" t="str">
        <f>IF(J273="N/A","N/A",IF(J268-J269=0,"No Nurses",((J270+J271)/(J268-J269))))</f>
        <v>N/A</v>
      </c>
      <c r="K274" s="41"/>
    </row>
    <row r="275" spans="2:14" x14ac:dyDescent="0.2">
      <c r="B275" s="38"/>
      <c r="C275" s="40" t="s">
        <v>260</v>
      </c>
      <c r="D275" s="40"/>
      <c r="E275" s="40"/>
      <c r="F275" s="40"/>
      <c r="G275" s="40"/>
      <c r="H275" s="40"/>
      <c r="I275" s="40"/>
      <c r="J275" s="245">
        <f>IF(J273=0,"Not Calculated",IF(J274="N/A",0,IF(J274="No Nurses",4,IF((J274/J273)&lt;=1,0,IF((J274/J273)&lt;=1.1,1,IF((J274/J273)&lt;=1=1.25,2,IF((J274/J273)&lt;=1.5,3,4)))))))</f>
        <v>0</v>
      </c>
      <c r="K275" s="41"/>
    </row>
    <row r="276" spans="2:14" ht="9.75" customHeight="1" x14ac:dyDescent="0.2">
      <c r="B276" s="38"/>
      <c r="C276" s="279" t="str">
        <f>"0:"</f>
        <v>0:</v>
      </c>
      <c r="D276" s="278" t="s">
        <v>927</v>
      </c>
      <c r="E276" s="40"/>
      <c r="F276" s="40"/>
      <c r="G276" s="40"/>
      <c r="H276" s="40"/>
      <c r="I276" s="40"/>
      <c r="J276" s="258"/>
      <c r="K276" s="41"/>
    </row>
    <row r="277" spans="2:14" ht="9.75" customHeight="1" x14ac:dyDescent="0.2">
      <c r="B277" s="38"/>
      <c r="C277" s="280" t="str">
        <f>"1:"</f>
        <v>1:</v>
      </c>
      <c r="D277" s="278" t="s">
        <v>928</v>
      </c>
      <c r="E277" s="40"/>
      <c r="F277" s="40"/>
      <c r="G277" s="40"/>
      <c r="H277" s="40"/>
      <c r="I277" s="40"/>
      <c r="J277" s="258"/>
      <c r="K277" s="41"/>
    </row>
    <row r="278" spans="2:14" ht="9.75" customHeight="1" x14ac:dyDescent="0.2">
      <c r="B278" s="38"/>
      <c r="C278" s="280" t="str">
        <f>"2:"</f>
        <v>2:</v>
      </c>
      <c r="D278" s="278" t="s">
        <v>929</v>
      </c>
      <c r="E278" s="40"/>
      <c r="F278" s="40"/>
      <c r="G278" s="40"/>
      <c r="H278" s="40"/>
      <c r="I278" s="40"/>
      <c r="J278" s="258"/>
      <c r="K278" s="41"/>
    </row>
    <row r="279" spans="2:14" ht="9.75" customHeight="1" x14ac:dyDescent="0.2">
      <c r="B279" s="38"/>
      <c r="C279" s="280" t="str">
        <f>"3:"</f>
        <v>3:</v>
      </c>
      <c r="D279" s="278" t="s">
        <v>930</v>
      </c>
      <c r="E279" s="40"/>
      <c r="F279" s="40"/>
      <c r="G279" s="40"/>
      <c r="H279" s="40"/>
      <c r="I279" s="40"/>
      <c r="J279" s="258"/>
      <c r="K279" s="41"/>
    </row>
    <row r="280" spans="2:14" ht="9.75" customHeight="1" x14ac:dyDescent="0.2">
      <c r="B280" s="38"/>
      <c r="C280" s="280" t="str">
        <f>"4:"</f>
        <v>4:</v>
      </c>
      <c r="D280" s="278" t="s">
        <v>931</v>
      </c>
      <c r="E280" s="40"/>
      <c r="F280" s="40"/>
      <c r="G280" s="40"/>
      <c r="H280" s="40"/>
      <c r="I280" s="40"/>
      <c r="J280" s="40"/>
      <c r="K280" s="41"/>
      <c r="N280" s="12" t="s">
        <v>661</v>
      </c>
    </row>
    <row r="281" spans="2:14" x14ac:dyDescent="0.2">
      <c r="B281" s="38"/>
      <c r="C281" s="174" t="s">
        <v>662</v>
      </c>
      <c r="D281" s="40"/>
      <c r="E281" s="40"/>
      <c r="F281" s="40"/>
      <c r="G281" s="40"/>
      <c r="H281" s="40"/>
      <c r="I281" s="40"/>
      <c r="J281" s="265" t="s">
        <v>661</v>
      </c>
      <c r="K281" s="41"/>
      <c r="N281" s="12" t="s">
        <v>903</v>
      </c>
    </row>
    <row r="282" spans="2:14" x14ac:dyDescent="0.2">
      <c r="B282" s="38"/>
      <c r="C282" s="174" t="s">
        <v>660</v>
      </c>
      <c r="D282" s="40"/>
      <c r="E282" s="40"/>
      <c r="F282" s="40"/>
      <c r="G282" s="40"/>
      <c r="H282" s="40"/>
      <c r="I282" s="40"/>
      <c r="J282" s="246" t="str">
        <f>IF(J281=N280,"N/A",IF(J281=N281,0,IF(J281=N282,1,IF(J281=N283,2,IF(J281=N284,3,IF(J281=N285,4,"N/A"))))))</f>
        <v>N/A</v>
      </c>
      <c r="K282" s="41"/>
      <c r="N282" s="12" t="s">
        <v>904</v>
      </c>
    </row>
    <row r="283" spans="2:14" x14ac:dyDescent="0.2">
      <c r="B283" s="38"/>
      <c r="C283" s="40" t="s">
        <v>257</v>
      </c>
      <c r="D283" s="40"/>
      <c r="E283" s="40"/>
      <c r="F283" s="40"/>
      <c r="G283" s="40"/>
      <c r="H283" s="40"/>
      <c r="I283" s="40"/>
      <c r="J283" s="266" t="s">
        <v>874</v>
      </c>
      <c r="K283" s="41"/>
      <c r="N283" s="12" t="s">
        <v>905</v>
      </c>
    </row>
    <row r="284" spans="2:14" x14ac:dyDescent="0.2">
      <c r="B284" s="38"/>
      <c r="C284" s="40" t="s">
        <v>261</v>
      </c>
      <c r="D284" s="40"/>
      <c r="E284" s="40"/>
      <c r="F284" s="40"/>
      <c r="G284" s="40"/>
      <c r="H284" s="40"/>
      <c r="I284" s="40"/>
      <c r="J284" s="248">
        <f>IF(J283=$B$973,$A$973,IF(J283=$B$974,$A$974,IF(J283=$B$975,$A$975,IF(J283=$B$976,$A$976,IF(J283=$B$977,$A$977,"Not Calculated")))))</f>
        <v>4</v>
      </c>
      <c r="K284" s="41"/>
      <c r="N284" s="12" t="s">
        <v>906</v>
      </c>
    </row>
    <row r="285" spans="2:14" x14ac:dyDescent="0.2">
      <c r="B285" s="38"/>
      <c r="C285" s="40" t="s">
        <v>893</v>
      </c>
      <c r="D285" s="40"/>
      <c r="E285" s="40"/>
      <c r="F285" s="40"/>
      <c r="G285" s="40"/>
      <c r="H285" s="40"/>
      <c r="I285" s="40"/>
      <c r="J285" s="40"/>
      <c r="K285" s="41"/>
      <c r="N285" s="12" t="s">
        <v>907</v>
      </c>
    </row>
    <row r="286" spans="2:14" ht="30" customHeight="1" x14ac:dyDescent="0.2">
      <c r="B286" s="38"/>
      <c r="C286" s="399"/>
      <c r="D286" s="400"/>
      <c r="E286" s="400"/>
      <c r="F286" s="400"/>
      <c r="G286" s="400"/>
      <c r="H286" s="400"/>
      <c r="I286" s="400"/>
      <c r="J286" s="401"/>
      <c r="K286" s="41"/>
    </row>
    <row r="287" spans="2:14" x14ac:dyDescent="0.2">
      <c r="B287" s="38"/>
      <c r="C287" s="40"/>
      <c r="D287" s="40"/>
      <c r="E287" s="40"/>
      <c r="F287" s="40"/>
      <c r="G287" s="40"/>
      <c r="H287" s="40"/>
      <c r="I287" s="40"/>
      <c r="J287" s="40"/>
      <c r="K287" s="41"/>
    </row>
    <row r="288" spans="2:14" x14ac:dyDescent="0.2">
      <c r="B288" s="38"/>
      <c r="C288" s="179" t="s">
        <v>295</v>
      </c>
      <c r="D288" s="40"/>
      <c r="E288" s="40"/>
      <c r="F288" s="40"/>
      <c r="G288" s="40"/>
      <c r="H288" s="40"/>
      <c r="I288" s="40"/>
      <c r="J288" s="245">
        <f>IF(J282="N/A",IF(OR(J275="Not Calculated",J284="Not Calculated")=TRUE,"Not Calculated",AVERAGE(J275,J284)),AVERAGE(J282,J284))</f>
        <v>2</v>
      </c>
      <c r="K288" s="41"/>
    </row>
    <row r="289" spans="2:11" x14ac:dyDescent="0.2">
      <c r="B289" s="38"/>
      <c r="C289" s="40"/>
      <c r="D289" s="40"/>
      <c r="E289" s="40"/>
      <c r="F289" s="40"/>
      <c r="G289" s="40"/>
      <c r="H289" s="40"/>
      <c r="I289" s="40"/>
      <c r="J289" s="245"/>
      <c r="K289" s="41"/>
    </row>
    <row r="290" spans="2:11" x14ac:dyDescent="0.2">
      <c r="B290" s="38"/>
      <c r="C290" s="40"/>
      <c r="D290" s="40"/>
      <c r="E290" s="40"/>
      <c r="F290" s="40"/>
      <c r="G290" s="40"/>
      <c r="H290" s="40"/>
      <c r="I290" s="40"/>
      <c r="J290" s="40"/>
      <c r="K290" s="41"/>
    </row>
    <row r="291" spans="2:11" ht="16" x14ac:dyDescent="0.2">
      <c r="B291" s="38"/>
      <c r="C291" s="45" t="s">
        <v>856</v>
      </c>
      <c r="D291" s="40"/>
      <c r="E291" s="40"/>
      <c r="F291" s="40"/>
      <c r="G291" s="40"/>
      <c r="H291" s="40"/>
      <c r="I291" s="40"/>
      <c r="J291" s="40"/>
      <c r="K291" s="41"/>
    </row>
    <row r="292" spans="2:11" x14ac:dyDescent="0.2">
      <c r="B292" s="38"/>
      <c r="C292" s="380" t="s">
        <v>855</v>
      </c>
      <c r="D292" s="380"/>
      <c r="E292" s="380"/>
      <c r="F292" s="380"/>
      <c r="G292" s="380"/>
      <c r="H292" s="380"/>
      <c r="I292" s="380"/>
      <c r="J292" s="40"/>
      <c r="K292" s="41"/>
    </row>
    <row r="293" spans="2:11" x14ac:dyDescent="0.2">
      <c r="B293" s="38"/>
      <c r="C293" s="380"/>
      <c r="D293" s="380"/>
      <c r="E293" s="380"/>
      <c r="F293" s="380"/>
      <c r="G293" s="380"/>
      <c r="H293" s="380"/>
      <c r="I293" s="380"/>
      <c r="J293" s="264">
        <v>0</v>
      </c>
      <c r="K293" s="41"/>
    </row>
    <row r="294" spans="2:11" x14ac:dyDescent="0.2">
      <c r="B294" s="38"/>
      <c r="C294" s="40" t="s">
        <v>853</v>
      </c>
      <c r="D294" s="291"/>
      <c r="E294" s="291"/>
      <c r="F294" s="291"/>
      <c r="G294" s="291"/>
      <c r="H294" s="291"/>
      <c r="I294" s="291"/>
      <c r="J294" s="255">
        <f>'Baseline Health'!$G$102</f>
        <v>0</v>
      </c>
      <c r="K294" s="41"/>
    </row>
    <row r="295" spans="2:11" x14ac:dyDescent="0.2">
      <c r="B295" s="38"/>
      <c r="C295" s="40" t="s">
        <v>842</v>
      </c>
      <c r="D295" s="40"/>
      <c r="E295" s="40"/>
      <c r="F295" s="40"/>
      <c r="G295" s="40"/>
      <c r="H295" s="40"/>
      <c r="I295" s="40"/>
      <c r="J295" s="244" t="str">
        <f>IF('Baseline Health'!$G$102=0,"Not Calculated",100*J293/'Baseline Health'!$G$102)</f>
        <v>Not Calculated</v>
      </c>
      <c r="K295" s="41"/>
    </row>
    <row r="296" spans="2:11" x14ac:dyDescent="0.2">
      <c r="B296" s="38"/>
      <c r="C296" s="40" t="s">
        <v>260</v>
      </c>
      <c r="D296" s="40"/>
      <c r="E296" s="40"/>
      <c r="F296" s="40"/>
      <c r="G296" s="40"/>
      <c r="H296" s="40"/>
      <c r="I296" s="40"/>
      <c r="J296" s="245">
        <f>IF(J295&lt;=0,0,IF(J295&lt;=1,1,IF(J295&lt;=5,2,IF(J295&lt;=10,3,4))))</f>
        <v>4</v>
      </c>
      <c r="K296" s="41"/>
    </row>
    <row r="297" spans="2:11" ht="9.75" customHeight="1" x14ac:dyDescent="0.2">
      <c r="B297" s="38"/>
      <c r="C297" s="279" t="str">
        <f>"0:"</f>
        <v>0:</v>
      </c>
      <c r="D297" s="278" t="s">
        <v>932</v>
      </c>
      <c r="E297" s="40"/>
      <c r="F297" s="40"/>
      <c r="G297" s="40"/>
      <c r="H297" s="40"/>
      <c r="I297" s="40"/>
      <c r="J297" s="244"/>
      <c r="K297" s="41"/>
    </row>
    <row r="298" spans="2:11" ht="9.75" customHeight="1" x14ac:dyDescent="0.2">
      <c r="B298" s="38"/>
      <c r="C298" s="280" t="str">
        <f>"1:"</f>
        <v>1:</v>
      </c>
      <c r="D298" s="278" t="s">
        <v>934</v>
      </c>
      <c r="E298" s="40"/>
      <c r="F298" s="40"/>
      <c r="G298" s="40"/>
      <c r="H298" s="40"/>
      <c r="I298" s="40"/>
      <c r="J298" s="244"/>
      <c r="K298" s="41"/>
    </row>
    <row r="299" spans="2:11" ht="9.75" customHeight="1" x14ac:dyDescent="0.2">
      <c r="B299" s="38"/>
      <c r="C299" s="280" t="str">
        <f>"2:"</f>
        <v>2:</v>
      </c>
      <c r="D299" s="278" t="s">
        <v>933</v>
      </c>
      <c r="E299" s="40"/>
      <c r="F299" s="40"/>
      <c r="G299" s="40"/>
      <c r="H299" s="40"/>
      <c r="I299" s="40"/>
      <c r="J299" s="244"/>
      <c r="K299" s="41"/>
    </row>
    <row r="300" spans="2:11" ht="9.75" customHeight="1" x14ac:dyDescent="0.2">
      <c r="B300" s="38"/>
      <c r="C300" s="280" t="str">
        <f>"3:"</f>
        <v>3:</v>
      </c>
      <c r="D300" s="278" t="s">
        <v>935</v>
      </c>
      <c r="E300" s="40"/>
      <c r="F300" s="40"/>
      <c r="G300" s="40"/>
      <c r="H300" s="40"/>
      <c r="I300" s="40"/>
      <c r="J300" s="244"/>
      <c r="K300" s="41"/>
    </row>
    <row r="301" spans="2:11" ht="9.75" customHeight="1" x14ac:dyDescent="0.2">
      <c r="B301" s="38"/>
      <c r="C301" s="280" t="str">
        <f>"4:"</f>
        <v>4:</v>
      </c>
      <c r="D301" s="278" t="s">
        <v>936</v>
      </c>
      <c r="E301" s="40"/>
      <c r="F301" s="40"/>
      <c r="G301" s="40"/>
      <c r="H301" s="40"/>
      <c r="I301" s="40"/>
      <c r="J301" s="40"/>
      <c r="K301" s="41"/>
    </row>
    <row r="302" spans="2:11" x14ac:dyDescent="0.2">
      <c r="B302" s="38"/>
      <c r="C302" s="40" t="s">
        <v>257</v>
      </c>
      <c r="D302" s="40"/>
      <c r="E302" s="40"/>
      <c r="F302" s="40"/>
      <c r="G302" s="40"/>
      <c r="H302" s="40"/>
      <c r="I302" s="40"/>
      <c r="J302" s="266" t="s">
        <v>870</v>
      </c>
      <c r="K302" s="41"/>
    </row>
    <row r="303" spans="2:11" x14ac:dyDescent="0.2">
      <c r="B303" s="38"/>
      <c r="C303" s="40" t="s">
        <v>261</v>
      </c>
      <c r="D303" s="40"/>
      <c r="E303" s="40"/>
      <c r="F303" s="40"/>
      <c r="G303" s="40"/>
      <c r="H303" s="40"/>
      <c r="I303" s="40"/>
      <c r="J303" s="245">
        <f>IF(J302=$B$980,$A$980,IF(J302=$B$981,$A$981,IF(J302=$B$982,$A$982,IF(J302=$B$983,$A$983,IF(J302=$B$984,$A$984,"Not Calculated")))))</f>
        <v>0</v>
      </c>
      <c r="K303" s="41"/>
    </row>
    <row r="304" spans="2:11" x14ac:dyDescent="0.2">
      <c r="B304" s="38"/>
      <c r="C304" s="40" t="s">
        <v>893</v>
      </c>
      <c r="D304" s="40"/>
      <c r="E304" s="40"/>
      <c r="F304" s="40"/>
      <c r="G304" s="40"/>
      <c r="H304" s="40"/>
      <c r="I304" s="40"/>
      <c r="J304" s="40"/>
      <c r="K304" s="41"/>
    </row>
    <row r="305" spans="2:11" ht="30" customHeight="1" x14ac:dyDescent="0.2">
      <c r="B305" s="38"/>
      <c r="C305" s="399"/>
      <c r="D305" s="400"/>
      <c r="E305" s="400"/>
      <c r="F305" s="400"/>
      <c r="G305" s="400"/>
      <c r="H305" s="400"/>
      <c r="I305" s="400"/>
      <c r="J305" s="401"/>
      <c r="K305" s="41"/>
    </row>
    <row r="306" spans="2:11" x14ac:dyDescent="0.2">
      <c r="B306" s="38"/>
      <c r="C306" s="40"/>
      <c r="D306" s="40"/>
      <c r="E306" s="40"/>
      <c r="F306" s="40"/>
      <c r="G306" s="40"/>
      <c r="H306" s="40"/>
      <c r="I306" s="40"/>
      <c r="J306" s="40"/>
      <c r="K306" s="41"/>
    </row>
    <row r="307" spans="2:11" x14ac:dyDescent="0.2">
      <c r="B307" s="38"/>
      <c r="C307" s="179" t="s">
        <v>885</v>
      </c>
      <c r="D307" s="40"/>
      <c r="E307" s="40"/>
      <c r="F307" s="40"/>
      <c r="G307" s="40"/>
      <c r="H307" s="40"/>
      <c r="I307" s="40"/>
      <c r="J307" s="245">
        <f>IF(OR(J296="Not Calculated",J303="Not Calculated")=TRUE,"Not Calculated",AVERAGE(J296,J303))</f>
        <v>2</v>
      </c>
      <c r="K307" s="41"/>
    </row>
    <row r="308" spans="2:11" x14ac:dyDescent="0.2">
      <c r="B308" s="38"/>
      <c r="C308" s="40"/>
      <c r="D308" s="40"/>
      <c r="E308" s="40"/>
      <c r="F308" s="40"/>
      <c r="G308" s="40"/>
      <c r="H308" s="40"/>
      <c r="I308" s="40"/>
      <c r="J308" s="40"/>
      <c r="K308" s="41"/>
    </row>
    <row r="309" spans="2:11" x14ac:dyDescent="0.2">
      <c r="B309" s="38"/>
      <c r="C309" s="40"/>
      <c r="D309" s="40"/>
      <c r="E309" s="40"/>
      <c r="F309" s="40"/>
      <c r="G309" s="40"/>
      <c r="H309" s="40"/>
      <c r="I309" s="40"/>
      <c r="J309" s="40"/>
      <c r="K309" s="41"/>
    </row>
    <row r="310" spans="2:11" ht="16" x14ac:dyDescent="0.2">
      <c r="B310" s="38"/>
      <c r="C310" s="45" t="s">
        <v>857</v>
      </c>
      <c r="D310" s="40"/>
      <c r="E310" s="40"/>
      <c r="F310" s="40"/>
      <c r="G310" s="40"/>
      <c r="H310" s="40"/>
      <c r="I310" s="40"/>
      <c r="J310" s="40"/>
      <c r="K310" s="41"/>
    </row>
    <row r="311" spans="2:11" x14ac:dyDescent="0.2">
      <c r="B311" s="38"/>
      <c r="C311" s="380" t="s">
        <v>843</v>
      </c>
      <c r="D311" s="380"/>
      <c r="E311" s="380"/>
      <c r="F311" s="380"/>
      <c r="G311" s="380"/>
      <c r="H311" s="380"/>
      <c r="I311" s="380"/>
      <c r="J311" s="40"/>
      <c r="K311" s="41"/>
    </row>
    <row r="312" spans="2:11" x14ac:dyDescent="0.2">
      <c r="B312" s="38"/>
      <c r="C312" s="380"/>
      <c r="D312" s="380"/>
      <c r="E312" s="380"/>
      <c r="F312" s="380"/>
      <c r="G312" s="380"/>
      <c r="H312" s="380"/>
      <c r="I312" s="380"/>
      <c r="J312" s="264">
        <v>0</v>
      </c>
      <c r="K312" s="41"/>
    </row>
    <row r="313" spans="2:11" x14ac:dyDescent="0.2">
      <c r="B313" s="38"/>
      <c r="C313" s="40" t="s">
        <v>853</v>
      </c>
      <c r="D313" s="291"/>
      <c r="E313" s="291"/>
      <c r="F313" s="291"/>
      <c r="G313" s="291"/>
      <c r="H313" s="291"/>
      <c r="I313" s="291"/>
      <c r="J313" s="255">
        <f>'Baseline Health'!$G$102</f>
        <v>0</v>
      </c>
      <c r="K313" s="41"/>
    </row>
    <row r="314" spans="2:11" x14ac:dyDescent="0.2">
      <c r="B314" s="38"/>
      <c r="C314" s="40" t="s">
        <v>842</v>
      </c>
      <c r="D314" s="40"/>
      <c r="E314" s="40"/>
      <c r="F314" s="40"/>
      <c r="G314" s="40"/>
      <c r="H314" s="40"/>
      <c r="I314" s="40"/>
      <c r="J314" s="244" t="str">
        <f>IF('Baseline Health'!$G$102=0,"Not Calculated",100*J312/'Baseline Health'!$G$102)</f>
        <v>Not Calculated</v>
      </c>
      <c r="K314" s="41"/>
    </row>
    <row r="315" spans="2:11" x14ac:dyDescent="0.2">
      <c r="B315" s="38"/>
      <c r="C315" s="40" t="s">
        <v>260</v>
      </c>
      <c r="D315" s="40"/>
      <c r="E315" s="40"/>
      <c r="F315" s="40"/>
      <c r="G315" s="40"/>
      <c r="H315" s="40"/>
      <c r="I315" s="40"/>
      <c r="J315" s="245">
        <f>IF(J314&lt;=0,0,IF(J314&lt;=1,1,IF(J314&lt;=5,2,IF(J314&lt;=10,3,4))))</f>
        <v>4</v>
      </c>
      <c r="K315" s="41"/>
    </row>
    <row r="316" spans="2:11" ht="9.75" customHeight="1" x14ac:dyDescent="0.2">
      <c r="B316" s="38"/>
      <c r="C316" s="279" t="str">
        <f>"0:"</f>
        <v>0:</v>
      </c>
      <c r="D316" s="278" t="s">
        <v>932</v>
      </c>
      <c r="E316" s="40"/>
      <c r="F316" s="40"/>
      <c r="G316" s="40"/>
      <c r="H316" s="40"/>
      <c r="I316" s="40"/>
      <c r="J316" s="244"/>
      <c r="K316" s="41"/>
    </row>
    <row r="317" spans="2:11" ht="9.75" customHeight="1" x14ac:dyDescent="0.2">
      <c r="B317" s="38"/>
      <c r="C317" s="280" t="str">
        <f>"1:"</f>
        <v>1:</v>
      </c>
      <c r="D317" s="278" t="s">
        <v>934</v>
      </c>
      <c r="E317" s="40"/>
      <c r="F317" s="40"/>
      <c r="G317" s="40"/>
      <c r="H317" s="40"/>
      <c r="I317" s="40"/>
      <c r="J317" s="244"/>
      <c r="K317" s="41"/>
    </row>
    <row r="318" spans="2:11" ht="9.75" customHeight="1" x14ac:dyDescent="0.2">
      <c r="B318" s="38"/>
      <c r="C318" s="280" t="str">
        <f>"2:"</f>
        <v>2:</v>
      </c>
      <c r="D318" s="278" t="s">
        <v>933</v>
      </c>
      <c r="E318" s="40"/>
      <c r="F318" s="40"/>
      <c r="G318" s="40"/>
      <c r="H318" s="40"/>
      <c r="I318" s="40"/>
      <c r="J318" s="244"/>
      <c r="K318" s="41"/>
    </row>
    <row r="319" spans="2:11" ht="9.75" customHeight="1" x14ac:dyDescent="0.2">
      <c r="B319" s="38"/>
      <c r="C319" s="280" t="str">
        <f>"3:"</f>
        <v>3:</v>
      </c>
      <c r="D319" s="278" t="s">
        <v>935</v>
      </c>
      <c r="E319" s="40"/>
      <c r="F319" s="40"/>
      <c r="G319" s="40"/>
      <c r="H319" s="40"/>
      <c r="I319" s="40"/>
      <c r="J319" s="244"/>
      <c r="K319" s="41"/>
    </row>
    <row r="320" spans="2:11" ht="9.75" customHeight="1" x14ac:dyDescent="0.2">
      <c r="B320" s="38"/>
      <c r="C320" s="280" t="str">
        <f>"4:"</f>
        <v>4:</v>
      </c>
      <c r="D320" s="278" t="s">
        <v>936</v>
      </c>
      <c r="E320" s="40"/>
      <c r="F320" s="40"/>
      <c r="G320" s="40"/>
      <c r="H320" s="40"/>
      <c r="I320" s="40"/>
      <c r="J320" s="40"/>
      <c r="K320" s="41"/>
    </row>
    <row r="321" spans="2:11" x14ac:dyDescent="0.2">
      <c r="B321" s="38"/>
      <c r="C321" s="40" t="s">
        <v>296</v>
      </c>
      <c r="D321" s="40"/>
      <c r="E321" s="40"/>
      <c r="F321" s="40"/>
      <c r="G321" s="40"/>
      <c r="H321" s="40"/>
      <c r="I321" s="40"/>
      <c r="J321" s="266">
        <v>0</v>
      </c>
      <c r="K321" s="41"/>
    </row>
    <row r="322" spans="2:11" x14ac:dyDescent="0.2">
      <c r="B322" s="38"/>
      <c r="C322" s="40" t="s">
        <v>261</v>
      </c>
      <c r="D322" s="40"/>
      <c r="E322" s="40"/>
      <c r="F322" s="40"/>
      <c r="G322" s="40"/>
      <c r="H322" s="40"/>
      <c r="I322" s="40"/>
      <c r="J322" s="245">
        <f>IF(J321&lt;=0,0,IF(J321&lt;=2,1,IF(J321&lt;=6,2,IF(J321&lt;=12,3,4))))</f>
        <v>0</v>
      </c>
      <c r="K322" s="41"/>
    </row>
    <row r="323" spans="2:11" x14ac:dyDescent="0.2">
      <c r="B323" s="38"/>
      <c r="C323" s="40" t="s">
        <v>893</v>
      </c>
      <c r="D323" s="40"/>
      <c r="E323" s="40"/>
      <c r="F323" s="40"/>
      <c r="G323" s="40"/>
      <c r="H323" s="40"/>
      <c r="I323" s="40"/>
      <c r="J323" s="40"/>
      <c r="K323" s="41"/>
    </row>
    <row r="324" spans="2:11" ht="30" customHeight="1" x14ac:dyDescent="0.2">
      <c r="B324" s="38"/>
      <c r="C324" s="399"/>
      <c r="D324" s="400"/>
      <c r="E324" s="400"/>
      <c r="F324" s="400"/>
      <c r="G324" s="400"/>
      <c r="H324" s="400"/>
      <c r="I324" s="400"/>
      <c r="J324" s="401"/>
      <c r="K324" s="41"/>
    </row>
    <row r="325" spans="2:11" x14ac:dyDescent="0.2">
      <c r="B325" s="38"/>
      <c r="C325" s="40"/>
      <c r="D325" s="40"/>
      <c r="E325" s="40"/>
      <c r="F325" s="40"/>
      <c r="G325" s="40"/>
      <c r="H325" s="40"/>
      <c r="I325" s="40"/>
      <c r="J325" s="40"/>
      <c r="K325" s="41"/>
    </row>
    <row r="326" spans="2:11" x14ac:dyDescent="0.2">
      <c r="B326" s="38"/>
      <c r="C326" s="179" t="s">
        <v>886</v>
      </c>
      <c r="D326" s="40"/>
      <c r="E326" s="40"/>
      <c r="F326" s="40"/>
      <c r="G326" s="40"/>
      <c r="H326" s="40"/>
      <c r="I326" s="40"/>
      <c r="J326" s="245">
        <f>IF(OR(J315="Not Calculated",J322="Not Calculated")=TRUE,"Not Calculated",AVERAGE(J315,J322))</f>
        <v>2</v>
      </c>
      <c r="K326" s="41"/>
    </row>
    <row r="327" spans="2:11" x14ac:dyDescent="0.2">
      <c r="B327" s="38"/>
      <c r="C327" s="40"/>
      <c r="D327" s="40"/>
      <c r="E327" s="40"/>
      <c r="F327" s="40"/>
      <c r="G327" s="40"/>
      <c r="H327" s="40"/>
      <c r="I327" s="40"/>
      <c r="J327" s="40"/>
      <c r="K327" s="41"/>
    </row>
    <row r="328" spans="2:11" x14ac:dyDescent="0.2">
      <c r="B328" s="38"/>
      <c r="C328" s="40"/>
      <c r="D328" s="40"/>
      <c r="E328" s="40"/>
      <c r="F328" s="40"/>
      <c r="G328" s="40"/>
      <c r="H328" s="40"/>
      <c r="I328" s="40"/>
      <c r="J328" s="40"/>
      <c r="K328" s="41"/>
    </row>
    <row r="329" spans="2:11" ht="16" x14ac:dyDescent="0.2">
      <c r="B329" s="38"/>
      <c r="C329" s="45" t="s">
        <v>858</v>
      </c>
      <c r="D329" s="40"/>
      <c r="E329" s="40"/>
      <c r="F329" s="40"/>
      <c r="G329" s="40"/>
      <c r="H329" s="40"/>
      <c r="I329" s="40"/>
      <c r="J329" s="40"/>
      <c r="K329" s="41"/>
    </row>
    <row r="330" spans="2:11" ht="15" customHeight="1" x14ac:dyDescent="0.2">
      <c r="B330" s="38"/>
      <c r="C330" s="380" t="s">
        <v>844</v>
      </c>
      <c r="D330" s="380"/>
      <c r="E330" s="380"/>
      <c r="F330" s="380"/>
      <c r="G330" s="380"/>
      <c r="H330" s="380"/>
      <c r="I330" s="380"/>
      <c r="J330" s="40"/>
      <c r="K330" s="41"/>
    </row>
    <row r="331" spans="2:11" x14ac:dyDescent="0.2">
      <c r="B331" s="38"/>
      <c r="C331" s="380"/>
      <c r="D331" s="380"/>
      <c r="E331" s="380"/>
      <c r="F331" s="380"/>
      <c r="G331" s="380"/>
      <c r="H331" s="380"/>
      <c r="I331" s="380"/>
      <c r="J331" s="264">
        <v>0</v>
      </c>
      <c r="K331" s="41"/>
    </row>
    <row r="332" spans="2:11" x14ac:dyDescent="0.2">
      <c r="B332" s="38"/>
      <c r="C332" s="40" t="s">
        <v>853</v>
      </c>
      <c r="D332" s="291"/>
      <c r="E332" s="291"/>
      <c r="F332" s="291"/>
      <c r="G332" s="291"/>
      <c r="H332" s="291"/>
      <c r="I332" s="291"/>
      <c r="J332" s="255">
        <f>'Baseline Health'!$G$102</f>
        <v>0</v>
      </c>
      <c r="K332" s="41"/>
    </row>
    <row r="333" spans="2:11" x14ac:dyDescent="0.2">
      <c r="B333" s="38"/>
      <c r="C333" s="40" t="s">
        <v>845</v>
      </c>
      <c r="D333" s="40"/>
      <c r="E333" s="40"/>
      <c r="F333" s="40"/>
      <c r="G333" s="40"/>
      <c r="H333" s="40"/>
      <c r="I333" s="40"/>
      <c r="J333" s="244" t="str">
        <f>IF('Baseline Health'!$G$102=0,"Not Calculated",100*J331/'Baseline Health'!$G$102)</f>
        <v>Not Calculated</v>
      </c>
      <c r="K333" s="41"/>
    </row>
    <row r="334" spans="2:11" x14ac:dyDescent="0.2">
      <c r="B334" s="38"/>
      <c r="C334" s="40" t="s">
        <v>260</v>
      </c>
      <c r="D334" s="40"/>
      <c r="E334" s="40"/>
      <c r="F334" s="40"/>
      <c r="G334" s="40"/>
      <c r="H334" s="40"/>
      <c r="I334" s="40"/>
      <c r="J334" s="245">
        <f>IF(J333&lt;=0,0,IF(J333&lt;=1,1,IF(J333&lt;=5,2,IF(J333&lt;=10,3,4))))</f>
        <v>4</v>
      </c>
      <c r="K334" s="41"/>
    </row>
    <row r="335" spans="2:11" ht="9.75" customHeight="1" x14ac:dyDescent="0.2">
      <c r="B335" s="38"/>
      <c r="C335" s="279" t="str">
        <f>"0:"</f>
        <v>0:</v>
      </c>
      <c r="D335" s="278" t="s">
        <v>932</v>
      </c>
      <c r="E335" s="40"/>
      <c r="F335" s="40"/>
      <c r="G335" s="40"/>
      <c r="H335" s="40"/>
      <c r="I335" s="40"/>
      <c r="J335" s="244"/>
      <c r="K335" s="41"/>
    </row>
    <row r="336" spans="2:11" ht="9.75" customHeight="1" x14ac:dyDescent="0.2">
      <c r="B336" s="38"/>
      <c r="C336" s="280" t="str">
        <f>"1:"</f>
        <v>1:</v>
      </c>
      <c r="D336" s="278" t="s">
        <v>934</v>
      </c>
      <c r="E336" s="40"/>
      <c r="F336" s="40"/>
      <c r="G336" s="40"/>
      <c r="H336" s="40"/>
      <c r="I336" s="40"/>
      <c r="J336" s="244"/>
      <c r="K336" s="41"/>
    </row>
    <row r="337" spans="2:11" ht="9.75" customHeight="1" x14ac:dyDescent="0.2">
      <c r="B337" s="38"/>
      <c r="C337" s="280" t="str">
        <f>"2:"</f>
        <v>2:</v>
      </c>
      <c r="D337" s="278" t="s">
        <v>933</v>
      </c>
      <c r="E337" s="40"/>
      <c r="F337" s="40"/>
      <c r="G337" s="40"/>
      <c r="H337" s="40"/>
      <c r="I337" s="40"/>
      <c r="J337" s="244"/>
      <c r="K337" s="41"/>
    </row>
    <row r="338" spans="2:11" ht="9.75" customHeight="1" x14ac:dyDescent="0.2">
      <c r="B338" s="38"/>
      <c r="C338" s="280" t="str">
        <f>"3:"</f>
        <v>3:</v>
      </c>
      <c r="D338" s="278" t="s">
        <v>935</v>
      </c>
      <c r="E338" s="40"/>
      <c r="F338" s="40"/>
      <c r="G338" s="40"/>
      <c r="H338" s="40"/>
      <c r="I338" s="40"/>
      <c r="J338" s="244"/>
      <c r="K338" s="41"/>
    </row>
    <row r="339" spans="2:11" ht="9.75" customHeight="1" x14ac:dyDescent="0.2">
      <c r="B339" s="38"/>
      <c r="C339" s="280" t="str">
        <f>"4:"</f>
        <v>4:</v>
      </c>
      <c r="D339" s="278" t="s">
        <v>936</v>
      </c>
      <c r="E339" s="40"/>
      <c r="F339" s="40"/>
      <c r="G339" s="40"/>
      <c r="H339" s="40"/>
      <c r="I339" s="40"/>
      <c r="J339" s="40"/>
      <c r="K339" s="41"/>
    </row>
    <row r="340" spans="2:11" x14ac:dyDescent="0.2">
      <c r="B340" s="38"/>
      <c r="C340" s="380" t="s">
        <v>84</v>
      </c>
      <c r="D340" s="380"/>
      <c r="E340" s="380"/>
      <c r="F340" s="380"/>
      <c r="G340" s="380"/>
      <c r="H340" s="380"/>
      <c r="I340" s="380"/>
      <c r="J340" s="245"/>
      <c r="K340" s="41"/>
    </row>
    <row r="341" spans="2:11" x14ac:dyDescent="0.2">
      <c r="B341" s="38"/>
      <c r="C341" s="380"/>
      <c r="D341" s="380"/>
      <c r="E341" s="380"/>
      <c r="F341" s="380"/>
      <c r="G341" s="380"/>
      <c r="H341" s="380"/>
      <c r="I341" s="380"/>
      <c r="J341" s="251">
        <f>'Baseline Health'!G108</f>
        <v>40</v>
      </c>
      <c r="K341" s="41"/>
    </row>
    <row r="342" spans="2:11" ht="15" customHeight="1" x14ac:dyDescent="0.2">
      <c r="B342" s="38"/>
      <c r="C342" s="40" t="s">
        <v>833</v>
      </c>
      <c r="D342" s="40"/>
      <c r="E342" s="40"/>
      <c r="F342" s="40"/>
      <c r="G342" s="40"/>
      <c r="H342" s="40"/>
      <c r="I342" s="40"/>
      <c r="J342" s="245">
        <f>IF(J341&gt;J321,0,J321-J341)</f>
        <v>0</v>
      </c>
      <c r="K342" s="41"/>
    </row>
    <row r="343" spans="2:11" x14ac:dyDescent="0.2">
      <c r="B343" s="38"/>
      <c r="C343" s="40"/>
      <c r="D343" s="380" t="s">
        <v>834</v>
      </c>
      <c r="E343" s="380"/>
      <c r="F343" s="380"/>
      <c r="G343" s="380"/>
      <c r="H343" s="380"/>
      <c r="I343" s="380"/>
      <c r="J343" s="40"/>
      <c r="K343" s="41"/>
    </row>
    <row r="344" spans="2:11" x14ac:dyDescent="0.2">
      <c r="B344" s="38"/>
      <c r="C344" s="40"/>
      <c r="D344" s="380"/>
      <c r="E344" s="380"/>
      <c r="F344" s="380"/>
      <c r="G344" s="380"/>
      <c r="H344" s="380"/>
      <c r="I344" s="380"/>
      <c r="J344" s="40"/>
      <c r="K344" s="41"/>
    </row>
    <row r="345" spans="2:11" x14ac:dyDescent="0.2">
      <c r="B345" s="38"/>
      <c r="C345" s="40" t="s">
        <v>261</v>
      </c>
      <c r="D345" s="40"/>
      <c r="E345" s="40"/>
      <c r="F345" s="40"/>
      <c r="G345" s="40"/>
      <c r="H345" s="40"/>
      <c r="I345" s="40"/>
      <c r="J345" s="245">
        <f>IF(J342&lt;=0,0,IF(J342&lt;=2,1,IF(J342&lt;=6,2,IF(J342&lt;=12,3,4))))</f>
        <v>0</v>
      </c>
      <c r="K345" s="41"/>
    </row>
    <row r="346" spans="2:11" x14ac:dyDescent="0.2">
      <c r="B346" s="38"/>
      <c r="C346" s="40" t="s">
        <v>893</v>
      </c>
      <c r="D346" s="40"/>
      <c r="E346" s="40"/>
      <c r="F346" s="40"/>
      <c r="G346" s="40"/>
      <c r="H346" s="40"/>
      <c r="I346" s="40"/>
      <c r="J346" s="40"/>
      <c r="K346" s="41"/>
    </row>
    <row r="347" spans="2:11" ht="30" customHeight="1" x14ac:dyDescent="0.2">
      <c r="B347" s="38"/>
      <c r="C347" s="399"/>
      <c r="D347" s="400"/>
      <c r="E347" s="400"/>
      <c r="F347" s="400"/>
      <c r="G347" s="400"/>
      <c r="H347" s="400"/>
      <c r="I347" s="400"/>
      <c r="J347" s="401"/>
      <c r="K347" s="41"/>
    </row>
    <row r="348" spans="2:11" x14ac:dyDescent="0.2">
      <c r="B348" s="38"/>
      <c r="C348" s="40"/>
      <c r="D348" s="40"/>
      <c r="E348" s="40"/>
      <c r="F348" s="40"/>
      <c r="G348" s="40"/>
      <c r="H348" s="40"/>
      <c r="I348" s="40"/>
      <c r="J348" s="40"/>
      <c r="K348" s="41"/>
    </row>
    <row r="349" spans="2:11" x14ac:dyDescent="0.2">
      <c r="B349" s="38"/>
      <c r="C349" s="179" t="s">
        <v>887</v>
      </c>
      <c r="D349" s="40"/>
      <c r="E349" s="40"/>
      <c r="F349" s="40"/>
      <c r="G349" s="40"/>
      <c r="H349" s="40"/>
      <c r="I349" s="40"/>
      <c r="J349" s="245">
        <f>IF(OR(J334="Not Calculated",J345="Not Calculated")=TRUE,"Not Calculated",AVERAGE(J334,J345))</f>
        <v>2</v>
      </c>
      <c r="K349" s="41"/>
    </row>
    <row r="350" spans="2:11" x14ac:dyDescent="0.2">
      <c r="B350" s="38"/>
      <c r="C350" s="40"/>
      <c r="D350" s="40"/>
      <c r="E350" s="40"/>
      <c r="F350" s="40"/>
      <c r="G350" s="40"/>
      <c r="H350" s="40"/>
      <c r="I350" s="40"/>
      <c r="J350" s="40"/>
      <c r="K350" s="41"/>
    </row>
    <row r="351" spans="2:11" x14ac:dyDescent="0.2">
      <c r="B351" s="38"/>
      <c r="C351" s="40"/>
      <c r="D351" s="40"/>
      <c r="E351" s="40"/>
      <c r="F351" s="40"/>
      <c r="G351" s="40"/>
      <c r="H351" s="40"/>
      <c r="I351" s="40"/>
      <c r="J351" s="40"/>
      <c r="K351" s="41"/>
    </row>
    <row r="352" spans="2:11" ht="15" customHeight="1" x14ac:dyDescent="0.2">
      <c r="B352" s="38"/>
      <c r="C352" s="45" t="s">
        <v>859</v>
      </c>
      <c r="D352" s="40"/>
      <c r="E352" s="40"/>
      <c r="F352" s="40"/>
      <c r="G352" s="40"/>
      <c r="H352" s="40"/>
      <c r="I352" s="40"/>
      <c r="J352" s="40"/>
      <c r="K352" s="41"/>
    </row>
    <row r="353" spans="2:11" x14ac:dyDescent="0.2">
      <c r="B353" s="38"/>
      <c r="C353" s="40" t="s">
        <v>846</v>
      </c>
      <c r="D353" s="40"/>
      <c r="E353" s="40"/>
      <c r="F353" s="40"/>
      <c r="G353" s="40"/>
      <c r="H353" s="40"/>
      <c r="I353" s="40"/>
      <c r="J353" s="264">
        <v>0</v>
      </c>
      <c r="K353" s="41"/>
    </row>
    <row r="354" spans="2:11" x14ac:dyDescent="0.2">
      <c r="B354" s="38"/>
      <c r="C354" s="40" t="s">
        <v>854</v>
      </c>
      <c r="D354" s="40"/>
      <c r="E354" s="40"/>
      <c r="F354" s="40"/>
      <c r="G354" s="40"/>
      <c r="H354" s="40"/>
      <c r="I354" s="40"/>
      <c r="J354" s="255">
        <f>'Baseline Health'!$G$59</f>
        <v>0</v>
      </c>
      <c r="K354" s="41"/>
    </row>
    <row r="355" spans="2:11" x14ac:dyDescent="0.2">
      <c r="B355" s="38"/>
      <c r="C355" s="40" t="s">
        <v>847</v>
      </c>
      <c r="D355" s="40"/>
      <c r="E355" s="40"/>
      <c r="F355" s="40"/>
      <c r="G355" s="40"/>
      <c r="H355" s="40"/>
      <c r="I355" s="40"/>
      <c r="J355" s="244">
        <f>IF(J353=0,0,IF('Baseline Health'!G$59=0,"Not Calculated",100*J353/'Baseline Health'!$G$59))</f>
        <v>0</v>
      </c>
      <c r="K355" s="41"/>
    </row>
    <row r="356" spans="2:11" x14ac:dyDescent="0.2">
      <c r="B356" s="38"/>
      <c r="C356" s="40" t="s">
        <v>260</v>
      </c>
      <c r="D356" s="40"/>
      <c r="E356" s="40"/>
      <c r="F356" s="40"/>
      <c r="G356" s="40"/>
      <c r="H356" s="40"/>
      <c r="I356" s="40"/>
      <c r="J356" s="245">
        <f>IF(J355&lt;=0,0,IF(J355&lt;=5,1,IF(J355&lt;=10,2,IF(J355&lt;=25,3,4))))</f>
        <v>0</v>
      </c>
      <c r="K356" s="41"/>
    </row>
    <row r="357" spans="2:11" ht="9.75" customHeight="1" x14ac:dyDescent="0.2">
      <c r="B357" s="38"/>
      <c r="C357" s="279" t="str">
        <f>"0:"</f>
        <v>0:</v>
      </c>
      <c r="D357" s="278" t="s">
        <v>932</v>
      </c>
      <c r="E357" s="40"/>
      <c r="F357" s="40"/>
      <c r="G357" s="40"/>
      <c r="H357" s="40"/>
      <c r="I357" s="40"/>
      <c r="J357" s="244"/>
      <c r="K357" s="41"/>
    </row>
    <row r="358" spans="2:11" ht="9.75" customHeight="1" x14ac:dyDescent="0.2">
      <c r="B358" s="38"/>
      <c r="C358" s="280" t="str">
        <f>"1:"</f>
        <v>1:</v>
      </c>
      <c r="D358" s="278" t="s">
        <v>933</v>
      </c>
      <c r="E358" s="40"/>
      <c r="F358" s="40"/>
      <c r="G358" s="40"/>
      <c r="H358" s="40"/>
      <c r="I358" s="40"/>
      <c r="J358" s="244"/>
      <c r="K358" s="41"/>
    </row>
    <row r="359" spans="2:11" ht="9.75" customHeight="1" x14ac:dyDescent="0.2">
      <c r="B359" s="38"/>
      <c r="C359" s="280" t="str">
        <f>"2:"</f>
        <v>2:</v>
      </c>
      <c r="D359" s="278" t="s">
        <v>935</v>
      </c>
      <c r="E359" s="40"/>
      <c r="F359" s="40"/>
      <c r="G359" s="40"/>
      <c r="H359" s="40"/>
      <c r="I359" s="40"/>
      <c r="J359" s="244"/>
      <c r="K359" s="41"/>
    </row>
    <row r="360" spans="2:11" ht="9.75" customHeight="1" x14ac:dyDescent="0.2">
      <c r="B360" s="38"/>
      <c r="C360" s="280" t="str">
        <f>"3:"</f>
        <v>3:</v>
      </c>
      <c r="D360" s="278" t="s">
        <v>937</v>
      </c>
      <c r="E360" s="40"/>
      <c r="F360" s="40"/>
      <c r="G360" s="40"/>
      <c r="H360" s="40"/>
      <c r="I360" s="40"/>
      <c r="J360" s="244"/>
      <c r="K360" s="41"/>
    </row>
    <row r="361" spans="2:11" ht="9.75" customHeight="1" x14ac:dyDescent="0.2">
      <c r="B361" s="38"/>
      <c r="C361" s="280" t="str">
        <f>"4:"</f>
        <v>4:</v>
      </c>
      <c r="D361" s="278" t="s">
        <v>938</v>
      </c>
      <c r="E361" s="40"/>
      <c r="F361" s="40"/>
      <c r="G361" s="40"/>
      <c r="H361" s="40"/>
      <c r="I361" s="40"/>
      <c r="J361" s="40"/>
      <c r="K361" s="41"/>
    </row>
    <row r="362" spans="2:11" x14ac:dyDescent="0.2">
      <c r="B362" s="38"/>
      <c r="C362" s="40" t="s">
        <v>257</v>
      </c>
      <c r="D362" s="40"/>
      <c r="E362" s="40"/>
      <c r="F362" s="40"/>
      <c r="G362" s="40"/>
      <c r="H362" s="40"/>
      <c r="I362" s="40"/>
      <c r="J362" s="266" t="s">
        <v>870</v>
      </c>
      <c r="K362" s="41"/>
    </row>
    <row r="363" spans="2:11" x14ac:dyDescent="0.2">
      <c r="B363" s="38"/>
      <c r="C363" s="40" t="s">
        <v>261</v>
      </c>
      <c r="D363" s="40"/>
      <c r="E363" s="40"/>
      <c r="F363" s="40"/>
      <c r="G363" s="40"/>
      <c r="H363" s="40"/>
      <c r="I363" s="40"/>
      <c r="J363" s="245">
        <f>IF(J362=$B$980,$A$980,IF(J362=$B$981,$A$981,IF(J362=$B$982,$A$982,IF(J362=$B$983,$A$983,IF(J362=$B$984,$A$984,"Not Calculated")))))</f>
        <v>0</v>
      </c>
      <c r="K363" s="41"/>
    </row>
    <row r="364" spans="2:11" x14ac:dyDescent="0.2">
      <c r="B364" s="38"/>
      <c r="C364" s="40" t="s">
        <v>893</v>
      </c>
      <c r="D364" s="40"/>
      <c r="E364" s="40"/>
      <c r="F364" s="40"/>
      <c r="G364" s="40"/>
      <c r="H364" s="40"/>
      <c r="I364" s="40"/>
      <c r="J364" s="40"/>
      <c r="K364" s="41"/>
    </row>
    <row r="365" spans="2:11" ht="30" customHeight="1" x14ac:dyDescent="0.2">
      <c r="B365" s="38"/>
      <c r="C365" s="399"/>
      <c r="D365" s="400"/>
      <c r="E365" s="400"/>
      <c r="F365" s="400"/>
      <c r="G365" s="400"/>
      <c r="H365" s="400"/>
      <c r="I365" s="400"/>
      <c r="J365" s="401"/>
      <c r="K365" s="41"/>
    </row>
    <row r="366" spans="2:11" x14ac:dyDescent="0.2">
      <c r="B366" s="38"/>
      <c r="C366" s="40"/>
      <c r="D366" s="40"/>
      <c r="E366" s="40"/>
      <c r="F366" s="40"/>
      <c r="G366" s="40"/>
      <c r="H366" s="40"/>
      <c r="I366" s="40"/>
      <c r="J366" s="40"/>
      <c r="K366" s="41"/>
    </row>
    <row r="367" spans="2:11" x14ac:dyDescent="0.2">
      <c r="B367" s="38"/>
      <c r="C367" s="179" t="s">
        <v>888</v>
      </c>
      <c r="D367" s="40"/>
      <c r="E367" s="40"/>
      <c r="F367" s="40"/>
      <c r="G367" s="40"/>
      <c r="H367" s="40"/>
      <c r="I367" s="40"/>
      <c r="J367" s="245">
        <f>IF(OR(J356="Not Calculated",J363="Not Calculated")=TRUE,"Not Calculated",AVERAGE(J356,J363))</f>
        <v>0</v>
      </c>
      <c r="K367" s="41"/>
    </row>
    <row r="368" spans="2:11" x14ac:dyDescent="0.2">
      <c r="B368" s="38"/>
      <c r="C368" s="40"/>
      <c r="D368" s="40"/>
      <c r="E368" s="40"/>
      <c r="F368" s="40"/>
      <c r="G368" s="40"/>
      <c r="H368" s="40"/>
      <c r="I368" s="40"/>
      <c r="J368" s="40"/>
      <c r="K368" s="41"/>
    </row>
    <row r="369" spans="2:11" x14ac:dyDescent="0.2">
      <c r="B369" s="38"/>
      <c r="C369" s="40"/>
      <c r="D369" s="40"/>
      <c r="E369" s="40"/>
      <c r="F369" s="40"/>
      <c r="G369" s="40"/>
      <c r="H369" s="40"/>
      <c r="I369" s="40"/>
      <c r="J369" s="40"/>
      <c r="K369" s="41"/>
    </row>
    <row r="370" spans="2:11" ht="16" x14ac:dyDescent="0.2">
      <c r="B370" s="38"/>
      <c r="C370" s="45" t="s">
        <v>863</v>
      </c>
      <c r="D370" s="40"/>
      <c r="E370" s="40"/>
      <c r="F370" s="40"/>
      <c r="G370" s="40"/>
      <c r="H370" s="40"/>
      <c r="I370" s="40"/>
      <c r="J370" s="40"/>
      <c r="K370" s="41"/>
    </row>
    <row r="371" spans="2:11" ht="15" customHeight="1" x14ac:dyDescent="0.2">
      <c r="B371" s="38"/>
      <c r="C371" s="380" t="s">
        <v>848</v>
      </c>
      <c r="D371" s="380"/>
      <c r="E371" s="380"/>
      <c r="F371" s="380"/>
      <c r="G371" s="380"/>
      <c r="H371" s="380"/>
      <c r="I371" s="380"/>
      <c r="J371" s="181"/>
      <c r="K371" s="41"/>
    </row>
    <row r="372" spans="2:11" x14ac:dyDescent="0.2">
      <c r="B372" s="38"/>
      <c r="C372" s="380"/>
      <c r="D372" s="380"/>
      <c r="E372" s="380"/>
      <c r="F372" s="380"/>
      <c r="G372" s="380"/>
      <c r="H372" s="380"/>
      <c r="I372" s="380"/>
      <c r="J372" s="264">
        <v>0</v>
      </c>
      <c r="K372" s="41"/>
    </row>
    <row r="373" spans="2:11" x14ac:dyDescent="0.2">
      <c r="B373" s="38"/>
      <c r="C373" s="40" t="s">
        <v>853</v>
      </c>
      <c r="D373" s="291"/>
      <c r="E373" s="291"/>
      <c r="F373" s="291"/>
      <c r="G373" s="291"/>
      <c r="H373" s="291"/>
      <c r="I373" s="291"/>
      <c r="J373" s="255">
        <f>'Baseline Health'!$G$102</f>
        <v>0</v>
      </c>
      <c r="K373" s="41"/>
    </row>
    <row r="374" spans="2:11" x14ac:dyDescent="0.2">
      <c r="B374" s="38"/>
      <c r="C374" s="40" t="s">
        <v>842</v>
      </c>
      <c r="D374" s="291"/>
      <c r="E374" s="291"/>
      <c r="F374" s="291"/>
      <c r="G374" s="291"/>
      <c r="H374" s="291"/>
      <c r="I374" s="291"/>
      <c r="J374" s="244" t="str">
        <f>IF('Baseline Health'!$G$102=0,"Not Calculated",100*J372/'Baseline Health'!$G$102)</f>
        <v>Not Calculated</v>
      </c>
      <c r="K374" s="41"/>
    </row>
    <row r="375" spans="2:11" x14ac:dyDescent="0.2">
      <c r="B375" s="38"/>
      <c r="C375" s="40" t="s">
        <v>260</v>
      </c>
      <c r="D375" s="40"/>
      <c r="E375" s="40"/>
      <c r="F375" s="40"/>
      <c r="G375" s="40"/>
      <c r="H375" s="40"/>
      <c r="I375" s="40"/>
      <c r="J375" s="251">
        <f>IF(J374&lt;=0,0,IF(J374&lt;=1,1,IF(J374&lt;=5,2,IF(J374&lt;=10,3,4))))</f>
        <v>4</v>
      </c>
      <c r="K375" s="41"/>
    </row>
    <row r="376" spans="2:11" ht="9.75" customHeight="1" x14ac:dyDescent="0.2">
      <c r="B376" s="38"/>
      <c r="C376" s="279" t="str">
        <f>"0:"</f>
        <v>0:</v>
      </c>
      <c r="D376" s="278" t="s">
        <v>932</v>
      </c>
      <c r="E376" s="291"/>
      <c r="F376" s="291"/>
      <c r="G376" s="291"/>
      <c r="H376" s="291"/>
      <c r="I376" s="291"/>
      <c r="J376" s="244"/>
      <c r="K376" s="41"/>
    </row>
    <row r="377" spans="2:11" ht="9.75" customHeight="1" x14ac:dyDescent="0.2">
      <c r="B377" s="38"/>
      <c r="C377" s="280" t="str">
        <f>"1:"</f>
        <v>1:</v>
      </c>
      <c r="D377" s="278" t="s">
        <v>934</v>
      </c>
      <c r="E377" s="291"/>
      <c r="F377" s="291"/>
      <c r="G377" s="291"/>
      <c r="H377" s="291"/>
      <c r="I377" s="291"/>
      <c r="J377" s="244"/>
      <c r="K377" s="41"/>
    </row>
    <row r="378" spans="2:11" ht="9.75" customHeight="1" x14ac:dyDescent="0.2">
      <c r="B378" s="38"/>
      <c r="C378" s="280" t="str">
        <f>"2:"</f>
        <v>2:</v>
      </c>
      <c r="D378" s="278" t="s">
        <v>933</v>
      </c>
      <c r="E378" s="291"/>
      <c r="F378" s="291"/>
      <c r="G378" s="291"/>
      <c r="H378" s="291"/>
      <c r="I378" s="291"/>
      <c r="J378" s="244"/>
      <c r="K378" s="41"/>
    </row>
    <row r="379" spans="2:11" ht="9.75" customHeight="1" x14ac:dyDescent="0.2">
      <c r="B379" s="38"/>
      <c r="C379" s="280" t="str">
        <f>"3:"</f>
        <v>3:</v>
      </c>
      <c r="D379" s="278" t="s">
        <v>935</v>
      </c>
      <c r="E379" s="291"/>
      <c r="F379" s="291"/>
      <c r="G379" s="291"/>
      <c r="H379" s="291"/>
      <c r="I379" s="291"/>
      <c r="J379" s="244"/>
      <c r="K379" s="41"/>
    </row>
    <row r="380" spans="2:11" ht="9.75" customHeight="1" x14ac:dyDescent="0.2">
      <c r="B380" s="38"/>
      <c r="C380" s="280" t="str">
        <f>"4:"</f>
        <v>4:</v>
      </c>
      <c r="D380" s="278" t="s">
        <v>936</v>
      </c>
      <c r="E380" s="40"/>
      <c r="F380" s="40"/>
      <c r="G380" s="40"/>
      <c r="H380" s="40"/>
      <c r="I380" s="40"/>
      <c r="J380" s="40"/>
      <c r="K380" s="41"/>
    </row>
    <row r="381" spans="2:11" x14ac:dyDescent="0.2">
      <c r="B381" s="38"/>
      <c r="C381" s="40" t="s">
        <v>85</v>
      </c>
      <c r="D381" s="40"/>
      <c r="E381" s="40"/>
      <c r="F381" s="40"/>
      <c r="G381" s="40"/>
      <c r="H381" s="40"/>
      <c r="I381" s="40"/>
      <c r="J381" s="252">
        <f>'Baseline Health'!G114</f>
        <v>7</v>
      </c>
      <c r="K381" s="41"/>
    </row>
    <row r="382" spans="2:11" x14ac:dyDescent="0.2">
      <c r="B382" s="38"/>
      <c r="C382" s="40" t="s">
        <v>297</v>
      </c>
      <c r="D382" s="40"/>
      <c r="E382" s="40"/>
      <c r="F382" s="40"/>
      <c r="G382" s="40"/>
      <c r="H382" s="40"/>
      <c r="I382" s="40"/>
      <c r="J382" s="266">
        <v>0</v>
      </c>
      <c r="K382" s="41"/>
    </row>
    <row r="383" spans="2:11" x14ac:dyDescent="0.2">
      <c r="B383" s="38"/>
      <c r="C383" s="40" t="s">
        <v>261</v>
      </c>
      <c r="D383" s="40"/>
      <c r="E383" s="40"/>
      <c r="F383" s="40"/>
      <c r="G383" s="40"/>
      <c r="H383" s="40"/>
      <c r="I383" s="40"/>
      <c r="J383" s="248">
        <f>IF((J382-J381)&lt;1,0,IF((J382-J381)&lt;3,1,IF((J382-J381)&lt;5,2,IF((J382-J381)&lt;7,3,4))))</f>
        <v>0</v>
      </c>
      <c r="K383" s="41"/>
    </row>
    <row r="384" spans="2:11" x14ac:dyDescent="0.2">
      <c r="B384" s="38"/>
      <c r="C384" s="40" t="s">
        <v>893</v>
      </c>
      <c r="D384" s="40"/>
      <c r="E384" s="40"/>
      <c r="F384" s="40"/>
      <c r="G384" s="40"/>
      <c r="H384" s="40"/>
      <c r="I384" s="40"/>
      <c r="J384" s="40"/>
      <c r="K384" s="41"/>
    </row>
    <row r="385" spans="2:11" ht="30" customHeight="1" x14ac:dyDescent="0.2">
      <c r="B385" s="38"/>
      <c r="C385" s="399"/>
      <c r="D385" s="400"/>
      <c r="E385" s="400"/>
      <c r="F385" s="400"/>
      <c r="G385" s="400"/>
      <c r="H385" s="400"/>
      <c r="I385" s="400"/>
      <c r="J385" s="401"/>
      <c r="K385" s="41"/>
    </row>
    <row r="386" spans="2:11" x14ac:dyDescent="0.2">
      <c r="B386" s="38"/>
      <c r="C386" s="40"/>
      <c r="D386" s="40"/>
      <c r="E386" s="40"/>
      <c r="F386" s="40"/>
      <c r="G386" s="40"/>
      <c r="H386" s="40"/>
      <c r="I386" s="40"/>
      <c r="J386" s="40"/>
      <c r="K386" s="41"/>
    </row>
    <row r="387" spans="2:11" x14ac:dyDescent="0.2">
      <c r="B387" s="38"/>
      <c r="C387" s="179" t="s">
        <v>889</v>
      </c>
      <c r="D387" s="40"/>
      <c r="E387" s="40"/>
      <c r="F387" s="40"/>
      <c r="G387" s="40"/>
      <c r="H387" s="40"/>
      <c r="I387" s="40"/>
      <c r="J387" s="245">
        <f>IF(OR(J375="Not Calculated",J383="Not Calculated")=TRUE,"Not Calculated",AVERAGE(J375,J383))</f>
        <v>2</v>
      </c>
      <c r="K387" s="41"/>
    </row>
    <row r="388" spans="2:11" x14ac:dyDescent="0.2">
      <c r="B388" s="38"/>
      <c r="C388" s="40"/>
      <c r="D388" s="40"/>
      <c r="E388" s="40"/>
      <c r="F388" s="40"/>
      <c r="G388" s="40"/>
      <c r="H388" s="40"/>
      <c r="I388" s="40"/>
      <c r="J388" s="40"/>
      <c r="K388" s="41"/>
    </row>
    <row r="389" spans="2:11" x14ac:dyDescent="0.2">
      <c r="B389" s="38"/>
      <c r="C389" s="40"/>
      <c r="D389" s="40"/>
      <c r="E389" s="40"/>
      <c r="F389" s="40"/>
      <c r="G389" s="40"/>
      <c r="H389" s="40"/>
      <c r="I389" s="40"/>
      <c r="J389" s="40"/>
      <c r="K389" s="41"/>
    </row>
    <row r="390" spans="2:11" ht="16" x14ac:dyDescent="0.2">
      <c r="B390" s="38"/>
      <c r="C390" s="45" t="s">
        <v>860</v>
      </c>
      <c r="D390" s="40"/>
      <c r="E390" s="40"/>
      <c r="F390" s="40"/>
      <c r="G390" s="40"/>
      <c r="H390" s="40"/>
      <c r="I390" s="40"/>
      <c r="J390" s="40"/>
      <c r="K390" s="41"/>
    </row>
    <row r="391" spans="2:11" x14ac:dyDescent="0.2">
      <c r="B391" s="38"/>
      <c r="C391" s="380" t="s">
        <v>849</v>
      </c>
      <c r="D391" s="380"/>
      <c r="E391" s="380"/>
      <c r="F391" s="380"/>
      <c r="G391" s="380"/>
      <c r="H391" s="380"/>
      <c r="I391" s="380"/>
      <c r="J391" s="181"/>
      <c r="K391" s="41"/>
    </row>
    <row r="392" spans="2:11" x14ac:dyDescent="0.2">
      <c r="B392" s="38"/>
      <c r="C392" s="380"/>
      <c r="D392" s="380"/>
      <c r="E392" s="380"/>
      <c r="F392" s="380"/>
      <c r="G392" s="380"/>
      <c r="H392" s="380"/>
      <c r="I392" s="380"/>
      <c r="J392" s="264">
        <v>0</v>
      </c>
      <c r="K392" s="41"/>
    </row>
    <row r="393" spans="2:11" x14ac:dyDescent="0.2">
      <c r="B393" s="38"/>
      <c r="C393" s="40" t="s">
        <v>853</v>
      </c>
      <c r="D393" s="291"/>
      <c r="E393" s="291"/>
      <c r="F393" s="291"/>
      <c r="G393" s="291"/>
      <c r="H393" s="291"/>
      <c r="I393" s="291"/>
      <c r="J393" s="255">
        <f>'Baseline Health'!$G$102</f>
        <v>0</v>
      </c>
      <c r="K393" s="41"/>
    </row>
    <row r="394" spans="2:11" ht="15" customHeight="1" x14ac:dyDescent="0.2">
      <c r="B394" s="38"/>
      <c r="C394" s="40" t="s">
        <v>850</v>
      </c>
      <c r="D394" s="291"/>
      <c r="E394" s="291"/>
      <c r="F394" s="291"/>
      <c r="G394" s="291"/>
      <c r="H394" s="291"/>
      <c r="I394" s="291"/>
      <c r="J394" s="244" t="str">
        <f>IF('Baseline Health'!$G$102=0,"Not Calculated",100*J392/'Baseline Health'!$G$102)</f>
        <v>Not Calculated</v>
      </c>
      <c r="K394" s="41"/>
    </row>
    <row r="395" spans="2:11" ht="15" customHeight="1" x14ac:dyDescent="0.2">
      <c r="B395" s="38"/>
      <c r="C395" s="40" t="s">
        <v>260</v>
      </c>
      <c r="D395" s="40"/>
      <c r="E395" s="40"/>
      <c r="F395" s="40"/>
      <c r="G395" s="40"/>
      <c r="H395" s="40"/>
      <c r="I395" s="40"/>
      <c r="J395" s="43">
        <f>IF(J394&lt;=0,0,IF(J394&lt;=1,1,IF(J394&lt;=5,2,IF(J394&lt;=10,3,4))))</f>
        <v>4</v>
      </c>
      <c r="K395" s="41"/>
    </row>
    <row r="396" spans="2:11" ht="9.75" customHeight="1" x14ac:dyDescent="0.2">
      <c r="B396" s="38"/>
      <c r="C396" s="279" t="str">
        <f>"0:"</f>
        <v>0:</v>
      </c>
      <c r="D396" s="278" t="s">
        <v>932</v>
      </c>
      <c r="E396" s="291"/>
      <c r="F396" s="291"/>
      <c r="G396" s="291"/>
      <c r="H396" s="291"/>
      <c r="I396" s="291"/>
      <c r="J396" s="244"/>
      <c r="K396" s="41"/>
    </row>
    <row r="397" spans="2:11" ht="9.75" customHeight="1" x14ac:dyDescent="0.2">
      <c r="B397" s="38"/>
      <c r="C397" s="280" t="str">
        <f>"1:"</f>
        <v>1:</v>
      </c>
      <c r="D397" s="278" t="s">
        <v>934</v>
      </c>
      <c r="E397" s="291"/>
      <c r="F397" s="291"/>
      <c r="G397" s="291"/>
      <c r="H397" s="291"/>
      <c r="I397" s="291"/>
      <c r="J397" s="244"/>
      <c r="K397" s="41"/>
    </row>
    <row r="398" spans="2:11" ht="9.75" customHeight="1" x14ac:dyDescent="0.2">
      <c r="B398" s="38"/>
      <c r="C398" s="280" t="str">
        <f>"2:"</f>
        <v>2:</v>
      </c>
      <c r="D398" s="278" t="s">
        <v>933</v>
      </c>
      <c r="E398" s="291"/>
      <c r="F398" s="291"/>
      <c r="G398" s="291"/>
      <c r="H398" s="291"/>
      <c r="I398" s="291"/>
      <c r="J398" s="244"/>
      <c r="K398" s="41"/>
    </row>
    <row r="399" spans="2:11" ht="9.75" customHeight="1" x14ac:dyDescent="0.2">
      <c r="B399" s="38"/>
      <c r="C399" s="280" t="str">
        <f>"3:"</f>
        <v>3:</v>
      </c>
      <c r="D399" s="278" t="s">
        <v>935</v>
      </c>
      <c r="E399" s="291"/>
      <c r="F399" s="291"/>
      <c r="G399" s="291"/>
      <c r="H399" s="291"/>
      <c r="I399" s="291"/>
      <c r="J399" s="244"/>
      <c r="K399" s="41"/>
    </row>
    <row r="400" spans="2:11" ht="9.75" customHeight="1" x14ac:dyDescent="0.2">
      <c r="B400" s="38"/>
      <c r="C400" s="280" t="str">
        <f>"4:"</f>
        <v>4:</v>
      </c>
      <c r="D400" s="278" t="s">
        <v>936</v>
      </c>
      <c r="E400" s="40"/>
      <c r="F400" s="40"/>
      <c r="G400" s="40"/>
      <c r="H400" s="40"/>
      <c r="I400" s="40"/>
      <c r="J400" s="40"/>
      <c r="K400" s="41"/>
    </row>
    <row r="401" spans="2:11" x14ac:dyDescent="0.2">
      <c r="B401" s="38"/>
      <c r="C401" s="40" t="s">
        <v>893</v>
      </c>
      <c r="D401" s="40"/>
      <c r="E401" s="40"/>
      <c r="F401" s="40"/>
      <c r="G401" s="40"/>
      <c r="H401" s="40"/>
      <c r="I401" s="40"/>
      <c r="J401" s="40"/>
      <c r="K401" s="41"/>
    </row>
    <row r="402" spans="2:11" ht="30" customHeight="1" x14ac:dyDescent="0.2">
      <c r="B402" s="38"/>
      <c r="C402" s="399"/>
      <c r="D402" s="400"/>
      <c r="E402" s="400"/>
      <c r="F402" s="400"/>
      <c r="G402" s="400"/>
      <c r="H402" s="400"/>
      <c r="I402" s="400"/>
      <c r="J402" s="401"/>
      <c r="K402" s="41"/>
    </row>
    <row r="403" spans="2:11" x14ac:dyDescent="0.2">
      <c r="B403" s="38"/>
      <c r="C403" s="40"/>
      <c r="D403" s="40"/>
      <c r="E403" s="40"/>
      <c r="F403" s="40"/>
      <c r="G403" s="40"/>
      <c r="H403" s="40"/>
      <c r="I403" s="40"/>
      <c r="J403" s="40"/>
      <c r="K403" s="41"/>
    </row>
    <row r="404" spans="2:11" x14ac:dyDescent="0.2">
      <c r="B404" s="38"/>
      <c r="C404" s="179" t="s">
        <v>890</v>
      </c>
      <c r="D404" s="40"/>
      <c r="E404" s="40"/>
      <c r="F404" s="40"/>
      <c r="G404" s="40"/>
      <c r="H404" s="40"/>
      <c r="I404" s="40"/>
      <c r="J404" s="245">
        <f>J395</f>
        <v>4</v>
      </c>
      <c r="K404" s="41"/>
    </row>
    <row r="405" spans="2:11" x14ac:dyDescent="0.2">
      <c r="B405" s="38"/>
      <c r="C405" s="40"/>
      <c r="D405" s="40"/>
      <c r="E405" s="40"/>
      <c r="F405" s="40"/>
      <c r="G405" s="40"/>
      <c r="H405" s="40"/>
      <c r="I405" s="40"/>
      <c r="J405" s="40"/>
      <c r="K405" s="41"/>
    </row>
    <row r="406" spans="2:11" x14ac:dyDescent="0.2">
      <c r="B406" s="38"/>
      <c r="C406" s="40"/>
      <c r="D406" s="40"/>
      <c r="E406" s="40"/>
      <c r="F406" s="40"/>
      <c r="G406" s="40"/>
      <c r="H406" s="40"/>
      <c r="I406" s="40"/>
      <c r="J406" s="40"/>
      <c r="K406" s="41"/>
    </row>
    <row r="407" spans="2:11" ht="16" x14ac:dyDescent="0.2">
      <c r="B407" s="38"/>
      <c r="C407" s="45" t="s">
        <v>861</v>
      </c>
      <c r="D407" s="40"/>
      <c r="E407" s="40"/>
      <c r="F407" s="40"/>
      <c r="G407" s="40"/>
      <c r="H407" s="40"/>
      <c r="I407" s="40"/>
      <c r="J407" s="40"/>
      <c r="K407" s="41"/>
    </row>
    <row r="408" spans="2:11" x14ac:dyDescent="0.2">
      <c r="B408" s="38"/>
      <c r="C408" s="40" t="s">
        <v>298</v>
      </c>
      <c r="D408" s="40"/>
      <c r="E408" s="40"/>
      <c r="F408" s="40"/>
      <c r="G408" s="40"/>
      <c r="H408" s="40"/>
      <c r="I408" s="40"/>
      <c r="J408" s="269">
        <v>0</v>
      </c>
      <c r="K408" s="41"/>
    </row>
    <row r="409" spans="2:11" x14ac:dyDescent="0.2">
      <c r="B409" s="38"/>
      <c r="C409" s="40" t="s">
        <v>260</v>
      </c>
      <c r="D409" s="40"/>
      <c r="E409" s="40"/>
      <c r="F409" s="40"/>
      <c r="G409" s="40"/>
      <c r="H409" s="40"/>
      <c r="I409" s="40"/>
      <c r="J409" s="253">
        <f>IF(J408&lt;=0,0,IF(J408&lt;=(J161*0.01),1,IF(J408&lt;=(J161*0.05),2,IF(J408&lt;=(J161*0.1),3,4))))</f>
        <v>0</v>
      </c>
      <c r="K409" s="41"/>
    </row>
    <row r="410" spans="2:11" ht="9.75" customHeight="1" x14ac:dyDescent="0.2">
      <c r="B410" s="38"/>
      <c r="C410" s="279" t="str">
        <f>"0:"</f>
        <v>0:</v>
      </c>
      <c r="D410" s="278" t="s">
        <v>939</v>
      </c>
      <c r="E410" s="40"/>
      <c r="F410" s="40"/>
      <c r="G410" s="40"/>
      <c r="H410" s="40"/>
      <c r="I410" s="40"/>
      <c r="J410" s="282"/>
      <c r="K410" s="41"/>
    </row>
    <row r="411" spans="2:11" ht="9.75" customHeight="1" x14ac:dyDescent="0.2">
      <c r="B411" s="38"/>
      <c r="C411" s="280" t="str">
        <f>"1:"</f>
        <v>1:</v>
      </c>
      <c r="D411" s="278" t="s">
        <v>940</v>
      </c>
      <c r="E411" s="40"/>
      <c r="F411" s="40"/>
      <c r="G411" s="40"/>
      <c r="H411" s="40"/>
      <c r="I411" s="40"/>
      <c r="J411" s="282"/>
      <c r="K411" s="41"/>
    </row>
    <row r="412" spans="2:11" ht="9.75" customHeight="1" x14ac:dyDescent="0.2">
      <c r="B412" s="38"/>
      <c r="C412" s="280" t="str">
        <f>"2:"</f>
        <v>2:</v>
      </c>
      <c r="D412" s="278" t="s">
        <v>941</v>
      </c>
      <c r="E412" s="40"/>
      <c r="F412" s="40"/>
      <c r="G412" s="40"/>
      <c r="H412" s="40"/>
      <c r="I412" s="40"/>
      <c r="J412" s="282"/>
      <c r="K412" s="41"/>
    </row>
    <row r="413" spans="2:11" ht="9.75" customHeight="1" x14ac:dyDescent="0.2">
      <c r="B413" s="38"/>
      <c r="C413" s="280" t="str">
        <f>"3:"</f>
        <v>3:</v>
      </c>
      <c r="D413" s="278" t="s">
        <v>942</v>
      </c>
      <c r="E413" s="40"/>
      <c r="F413" s="40"/>
      <c r="G413" s="40"/>
      <c r="H413" s="40"/>
      <c r="I413" s="40"/>
      <c r="J413" s="282"/>
      <c r="K413" s="41"/>
    </row>
    <row r="414" spans="2:11" ht="9.75" customHeight="1" x14ac:dyDescent="0.2">
      <c r="B414" s="38"/>
      <c r="C414" s="280" t="str">
        <f>"4:"</f>
        <v>4:</v>
      </c>
      <c r="D414" s="278" t="s">
        <v>943</v>
      </c>
      <c r="E414" s="40"/>
      <c r="F414" s="40"/>
      <c r="G414" s="40"/>
      <c r="H414" s="40"/>
      <c r="I414" s="40"/>
      <c r="J414" s="40"/>
      <c r="K414" s="41"/>
    </row>
    <row r="415" spans="2:11" x14ac:dyDescent="0.2">
      <c r="B415" s="38"/>
      <c r="C415" s="40" t="s">
        <v>893</v>
      </c>
      <c r="D415" s="40"/>
      <c r="E415" s="40"/>
      <c r="F415" s="40"/>
      <c r="G415" s="40"/>
      <c r="H415" s="40"/>
      <c r="I415" s="40"/>
      <c r="J415" s="40"/>
      <c r="K415" s="41"/>
    </row>
    <row r="416" spans="2:11" ht="30" customHeight="1" x14ac:dyDescent="0.2">
      <c r="B416" s="38"/>
      <c r="C416" s="399"/>
      <c r="D416" s="400"/>
      <c r="E416" s="400"/>
      <c r="F416" s="400"/>
      <c r="G416" s="400"/>
      <c r="H416" s="400"/>
      <c r="I416" s="400"/>
      <c r="J416" s="401"/>
      <c r="K416" s="41"/>
    </row>
    <row r="417" spans="2:11" x14ac:dyDescent="0.2">
      <c r="B417" s="38"/>
      <c r="C417" s="40"/>
      <c r="D417" s="40"/>
      <c r="E417" s="40"/>
      <c r="F417" s="40"/>
      <c r="G417" s="40"/>
      <c r="H417" s="40"/>
      <c r="I417" s="40"/>
      <c r="J417" s="40"/>
      <c r="K417" s="41"/>
    </row>
    <row r="418" spans="2:11" x14ac:dyDescent="0.2">
      <c r="B418" s="38"/>
      <c r="C418" s="179" t="s">
        <v>891</v>
      </c>
      <c r="D418" s="40"/>
      <c r="E418" s="40"/>
      <c r="F418" s="40"/>
      <c r="G418" s="40"/>
      <c r="H418" s="40"/>
      <c r="I418" s="40"/>
      <c r="J418" s="245">
        <f>J409</f>
        <v>0</v>
      </c>
      <c r="K418" s="41"/>
    </row>
    <row r="419" spans="2:11" x14ac:dyDescent="0.2">
      <c r="B419" s="38"/>
      <c r="C419" s="40"/>
      <c r="D419" s="40"/>
      <c r="E419" s="40"/>
      <c r="F419" s="40"/>
      <c r="G419" s="40"/>
      <c r="H419" s="40"/>
      <c r="I419" s="40"/>
      <c r="J419" s="40"/>
      <c r="K419" s="41"/>
    </row>
    <row r="420" spans="2:11" ht="20" customHeight="1" x14ac:dyDescent="0.2">
      <c r="B420" s="38"/>
      <c r="C420" s="410" t="s">
        <v>881</v>
      </c>
      <c r="D420" s="410"/>
      <c r="E420" s="410"/>
      <c r="F420" s="410"/>
      <c r="G420" s="410"/>
      <c r="H420" s="410"/>
      <c r="I420" s="410"/>
      <c r="J420" s="40"/>
      <c r="K420" s="41"/>
    </row>
    <row r="421" spans="2:11" ht="20" customHeight="1" x14ac:dyDescent="0.2">
      <c r="B421" s="38"/>
      <c r="C421" s="410"/>
      <c r="D421" s="410"/>
      <c r="E421" s="410"/>
      <c r="F421" s="410"/>
      <c r="G421" s="410"/>
      <c r="H421" s="410"/>
      <c r="I421" s="410"/>
      <c r="J421" s="244">
        <f>IF(OR(J288="Not Calculated",J307="Not Calculated",J326="Not Calculated",J349="Not Calculated",J367="Not Calculated",J387="Not Calculated",J404="Not Calculated",J418="Not Calculated")=TRUE,"Not Calculated",AVERAGE(J288,J307,J326,J349,J367,J387,J404,J418))</f>
        <v>1.75</v>
      </c>
      <c r="K421" s="41"/>
    </row>
    <row r="422" spans="2:11" ht="16" thickBot="1" x14ac:dyDescent="0.25">
      <c r="B422" s="46"/>
      <c r="C422" s="47"/>
      <c r="D422" s="47"/>
      <c r="E422" s="47"/>
      <c r="F422" s="47"/>
      <c r="G422" s="47"/>
      <c r="H422" s="47"/>
      <c r="I422" s="47"/>
      <c r="J422" s="47"/>
      <c r="K422" s="49"/>
    </row>
    <row r="423" spans="2:11" ht="16" thickBot="1" x14ac:dyDescent="0.25"/>
    <row r="424" spans="2:11" x14ac:dyDescent="0.2">
      <c r="B424" s="33"/>
      <c r="C424" s="34"/>
      <c r="D424" s="34"/>
      <c r="E424" s="34"/>
      <c r="F424" s="34"/>
      <c r="G424" s="34"/>
      <c r="H424" s="34"/>
      <c r="I424" s="34"/>
      <c r="J424" s="34"/>
      <c r="K424" s="37"/>
    </row>
    <row r="425" spans="2:11" ht="21" x14ac:dyDescent="0.25">
      <c r="B425" s="38"/>
      <c r="C425" s="40"/>
      <c r="D425" s="40"/>
      <c r="E425" s="40"/>
      <c r="F425" s="40"/>
      <c r="G425" s="172" t="s">
        <v>230</v>
      </c>
      <c r="H425" s="40"/>
      <c r="I425" s="40"/>
      <c r="J425" s="40"/>
      <c r="K425" s="41"/>
    </row>
    <row r="426" spans="2:11" x14ac:dyDescent="0.2">
      <c r="B426" s="38"/>
      <c r="C426" s="40"/>
      <c r="D426" s="40"/>
      <c r="E426" s="40"/>
      <c r="F426" s="40"/>
      <c r="G426" s="40"/>
      <c r="H426" s="40"/>
      <c r="I426" s="40"/>
      <c r="J426" s="40"/>
      <c r="K426" s="41"/>
    </row>
    <row r="427" spans="2:11" ht="16" x14ac:dyDescent="0.2">
      <c r="B427" s="38"/>
      <c r="C427" s="45" t="s">
        <v>299</v>
      </c>
      <c r="D427" s="40"/>
      <c r="E427" s="40"/>
      <c r="F427" s="40"/>
      <c r="G427" s="40"/>
      <c r="H427" s="40"/>
      <c r="I427" s="40"/>
      <c r="J427" s="40"/>
      <c r="K427" s="41"/>
    </row>
    <row r="428" spans="2:11" x14ac:dyDescent="0.2">
      <c r="B428" s="38"/>
      <c r="C428" s="40" t="s">
        <v>300</v>
      </c>
      <c r="D428" s="40"/>
      <c r="E428" s="40"/>
      <c r="F428" s="40"/>
      <c r="G428" s="40"/>
      <c r="H428" s="40"/>
      <c r="I428" s="40"/>
      <c r="J428" s="270">
        <v>1</v>
      </c>
      <c r="K428" s="41"/>
    </row>
    <row r="429" spans="2:11" x14ac:dyDescent="0.2">
      <c r="B429" s="38"/>
      <c r="C429" s="40" t="s">
        <v>260</v>
      </c>
      <c r="D429" s="40"/>
      <c r="E429" s="40"/>
      <c r="F429" s="40"/>
      <c r="G429" s="40"/>
      <c r="H429" s="40"/>
      <c r="I429" s="40"/>
      <c r="J429" s="248">
        <f>IF(J428&lt;=0,0,IF(J428&lt;=1,1,IF(J428&lt;=5,2,IF(J428&lt;=10,3,4))))</f>
        <v>1</v>
      </c>
      <c r="K429" s="41"/>
    </row>
    <row r="430" spans="2:11" s="98" customFormat="1" ht="9.75" customHeight="1" x14ac:dyDescent="0.2">
      <c r="B430" s="288"/>
      <c r="C430" s="279" t="str">
        <f>"0:"</f>
        <v>0:</v>
      </c>
      <c r="D430" s="290" t="s">
        <v>944</v>
      </c>
      <c r="E430" s="245"/>
      <c r="F430" s="245"/>
      <c r="G430" s="245"/>
      <c r="H430" s="245"/>
      <c r="I430" s="245"/>
      <c r="J430" s="245"/>
      <c r="K430" s="289"/>
    </row>
    <row r="431" spans="2:11" s="98" customFormat="1" ht="9.75" customHeight="1" x14ac:dyDescent="0.2">
      <c r="B431" s="288"/>
      <c r="C431" s="280" t="str">
        <f>"1:"</f>
        <v>1:</v>
      </c>
      <c r="D431" s="290" t="s">
        <v>945</v>
      </c>
      <c r="E431" s="245"/>
      <c r="F431" s="245"/>
      <c r="G431" s="245"/>
      <c r="H431" s="245"/>
      <c r="I431" s="245"/>
      <c r="J431" s="245"/>
      <c r="K431" s="289"/>
    </row>
    <row r="432" spans="2:11" s="98" customFormat="1" ht="9.75" customHeight="1" x14ac:dyDescent="0.2">
      <c r="B432" s="288"/>
      <c r="C432" s="280" t="str">
        <f>"2:"</f>
        <v>2:</v>
      </c>
      <c r="D432" s="290" t="s">
        <v>946</v>
      </c>
      <c r="E432" s="245"/>
      <c r="F432" s="245"/>
      <c r="G432" s="245"/>
      <c r="H432" s="245"/>
      <c r="I432" s="245"/>
      <c r="J432" s="245"/>
      <c r="K432" s="289"/>
    </row>
    <row r="433" spans="2:11" s="98" customFormat="1" ht="9.75" customHeight="1" x14ac:dyDescent="0.2">
      <c r="B433" s="288"/>
      <c r="C433" s="280" t="str">
        <f>"3:"</f>
        <v>3:</v>
      </c>
      <c r="D433" s="290" t="s">
        <v>947</v>
      </c>
      <c r="E433" s="245"/>
      <c r="F433" s="245"/>
      <c r="G433" s="245"/>
      <c r="H433" s="245"/>
      <c r="I433" s="245"/>
      <c r="J433" s="245"/>
      <c r="K433" s="289"/>
    </row>
    <row r="434" spans="2:11" s="98" customFormat="1" ht="9.75" customHeight="1" x14ac:dyDescent="0.2">
      <c r="B434" s="288"/>
      <c r="C434" s="280" t="str">
        <f>"4:"</f>
        <v>4:</v>
      </c>
      <c r="D434" s="290" t="s">
        <v>948</v>
      </c>
      <c r="E434" s="245"/>
      <c r="F434" s="245"/>
      <c r="G434" s="245"/>
      <c r="H434" s="245"/>
      <c r="I434" s="245"/>
      <c r="J434" s="247"/>
      <c r="K434" s="289"/>
    </row>
    <row r="435" spans="2:11" x14ac:dyDescent="0.2">
      <c r="B435" s="38"/>
      <c r="C435" s="40" t="s">
        <v>257</v>
      </c>
      <c r="D435" s="40"/>
      <c r="E435" s="40"/>
      <c r="F435" s="40"/>
      <c r="G435" s="40"/>
      <c r="H435" s="40"/>
      <c r="I435" s="40"/>
      <c r="J435" s="266" t="s">
        <v>882</v>
      </c>
      <c r="K435" s="41"/>
    </row>
    <row r="436" spans="2:11" x14ac:dyDescent="0.2">
      <c r="B436" s="38"/>
      <c r="C436" s="40" t="s">
        <v>261</v>
      </c>
      <c r="D436" s="40"/>
      <c r="E436" s="40"/>
      <c r="F436" s="40"/>
      <c r="G436" s="40"/>
      <c r="H436" s="40"/>
      <c r="I436" s="40"/>
      <c r="J436" s="245">
        <f>IF(J435=$B$973,$A$973,IF(J435=$B$974,$A$974,IF(J435=$B$975,$A$975,IF(J435=$B$976,$A$976,IF(J435=$B$977,$A$977,"Not Calculated")))))</f>
        <v>1</v>
      </c>
      <c r="K436" s="41"/>
    </row>
    <row r="437" spans="2:11" x14ac:dyDescent="0.2">
      <c r="B437" s="38"/>
      <c r="C437" s="40" t="s">
        <v>893</v>
      </c>
      <c r="D437" s="40"/>
      <c r="E437" s="40"/>
      <c r="F437" s="40"/>
      <c r="G437" s="40"/>
      <c r="H437" s="40"/>
      <c r="I437" s="40"/>
      <c r="J437" s="40"/>
      <c r="K437" s="41"/>
    </row>
    <row r="438" spans="2:11" ht="30" customHeight="1" x14ac:dyDescent="0.2">
      <c r="B438" s="38"/>
      <c r="C438" s="399" t="s">
        <v>558</v>
      </c>
      <c r="D438" s="400"/>
      <c r="E438" s="400"/>
      <c r="F438" s="400"/>
      <c r="G438" s="400"/>
      <c r="H438" s="400"/>
      <c r="I438" s="400"/>
      <c r="J438" s="401"/>
      <c r="K438" s="41"/>
    </row>
    <row r="439" spans="2:11" x14ac:dyDescent="0.2">
      <c r="B439" s="38"/>
      <c r="C439" s="40"/>
      <c r="D439" s="40"/>
      <c r="E439" s="40"/>
      <c r="F439" s="40"/>
      <c r="G439" s="40"/>
      <c r="H439" s="40"/>
      <c r="I439" s="40"/>
      <c r="J439" s="40"/>
      <c r="K439" s="41"/>
    </row>
    <row r="440" spans="2:11" x14ac:dyDescent="0.2">
      <c r="B440" s="38"/>
      <c r="C440" s="179" t="s">
        <v>301</v>
      </c>
      <c r="D440" s="40"/>
      <c r="E440" s="40"/>
      <c r="F440" s="40"/>
      <c r="G440" s="40"/>
      <c r="H440" s="40"/>
      <c r="I440" s="40"/>
      <c r="J440" s="245">
        <f>IF(OR(J429="Not Calculated",J436="Not Calculated")=TRUE,"Not Calculated",AVERAGE(J429,J436))</f>
        <v>1</v>
      </c>
      <c r="K440" s="41"/>
    </row>
    <row r="441" spans="2:11" x14ac:dyDescent="0.2">
      <c r="B441" s="38"/>
      <c r="C441" s="40"/>
      <c r="D441" s="40"/>
      <c r="E441" s="40"/>
      <c r="F441" s="40"/>
      <c r="G441" s="40"/>
      <c r="H441" s="40"/>
      <c r="I441" s="40"/>
      <c r="J441" s="40"/>
      <c r="K441" s="41"/>
    </row>
    <row r="442" spans="2:11" x14ac:dyDescent="0.2">
      <c r="B442" s="38"/>
      <c r="C442" s="40"/>
      <c r="D442" s="40"/>
      <c r="E442" s="40"/>
      <c r="F442" s="40"/>
      <c r="G442" s="40"/>
      <c r="H442" s="40"/>
      <c r="I442" s="40"/>
      <c r="J442" s="40"/>
      <c r="K442" s="41"/>
    </row>
    <row r="443" spans="2:11" ht="16" x14ac:dyDescent="0.2">
      <c r="B443" s="38"/>
      <c r="C443" s="45" t="s">
        <v>303</v>
      </c>
      <c r="D443" s="40"/>
      <c r="E443" s="40"/>
      <c r="F443" s="40"/>
      <c r="G443" s="40"/>
      <c r="H443" s="40"/>
      <c r="I443" s="40"/>
      <c r="J443" s="40"/>
      <c r="K443" s="41"/>
    </row>
    <row r="444" spans="2:11" ht="15" customHeight="1" x14ac:dyDescent="0.2">
      <c r="B444" s="38"/>
      <c r="C444" s="380" t="s">
        <v>305</v>
      </c>
      <c r="D444" s="380"/>
      <c r="E444" s="380"/>
      <c r="F444" s="380"/>
      <c r="G444" s="380"/>
      <c r="H444" s="380"/>
      <c r="I444" s="380"/>
      <c r="J444" s="40"/>
      <c r="K444" s="41"/>
    </row>
    <row r="445" spans="2:11" x14ac:dyDescent="0.2">
      <c r="B445" s="38"/>
      <c r="C445" s="380"/>
      <c r="D445" s="380"/>
      <c r="E445" s="380"/>
      <c r="F445" s="380"/>
      <c r="G445" s="380"/>
      <c r="H445" s="380"/>
      <c r="I445" s="380"/>
      <c r="J445" s="270">
        <v>0</v>
      </c>
      <c r="K445" s="41"/>
    </row>
    <row r="446" spans="2:11" x14ac:dyDescent="0.2">
      <c r="B446" s="38"/>
      <c r="C446" s="40" t="s">
        <v>260</v>
      </c>
      <c r="D446" s="40"/>
      <c r="E446" s="40"/>
      <c r="F446" s="40"/>
      <c r="G446" s="40"/>
      <c r="H446" s="40"/>
      <c r="I446" s="40"/>
      <c r="J446" s="248">
        <f>IF(J445&lt;=0,0,IF(J445&lt;=1,1,IF(J445&lt;=5,2,IF(J445&lt;=10,3,4))))</f>
        <v>0</v>
      </c>
      <c r="K446" s="41"/>
    </row>
    <row r="447" spans="2:11" ht="9.75" customHeight="1" x14ac:dyDescent="0.2">
      <c r="B447" s="38"/>
      <c r="C447" s="279" t="str">
        <f>"0:"</f>
        <v>0:</v>
      </c>
      <c r="D447" s="278" t="s">
        <v>944</v>
      </c>
      <c r="E447" s="40"/>
      <c r="F447" s="40"/>
      <c r="G447" s="40"/>
      <c r="H447" s="40"/>
      <c r="I447" s="40"/>
      <c r="J447" s="245"/>
      <c r="K447" s="41"/>
    </row>
    <row r="448" spans="2:11" ht="9.75" customHeight="1" x14ac:dyDescent="0.2">
      <c r="B448" s="38"/>
      <c r="C448" s="280" t="str">
        <f>"1:"</f>
        <v>1:</v>
      </c>
      <c r="D448" s="278" t="s">
        <v>945</v>
      </c>
      <c r="E448" s="40"/>
      <c r="F448" s="40"/>
      <c r="G448" s="40"/>
      <c r="H448" s="40"/>
      <c r="I448" s="40"/>
      <c r="J448" s="245"/>
      <c r="K448" s="41"/>
    </row>
    <row r="449" spans="2:11" ht="9.75" customHeight="1" x14ac:dyDescent="0.2">
      <c r="B449" s="38"/>
      <c r="C449" s="280" t="str">
        <f>"2:"</f>
        <v>2:</v>
      </c>
      <c r="D449" s="278" t="s">
        <v>946</v>
      </c>
      <c r="E449" s="40"/>
      <c r="F449" s="40"/>
      <c r="G449" s="40"/>
      <c r="H449" s="40"/>
      <c r="I449" s="40"/>
      <c r="J449" s="245"/>
      <c r="K449" s="41"/>
    </row>
    <row r="450" spans="2:11" ht="9.75" customHeight="1" x14ac:dyDescent="0.2">
      <c r="B450" s="38"/>
      <c r="C450" s="280" t="str">
        <f>"3:"</f>
        <v>3:</v>
      </c>
      <c r="D450" s="278" t="s">
        <v>947</v>
      </c>
      <c r="E450" s="40"/>
      <c r="F450" s="40"/>
      <c r="G450" s="40"/>
      <c r="H450" s="40"/>
      <c r="I450" s="40"/>
      <c r="J450" s="245"/>
      <c r="K450" s="41"/>
    </row>
    <row r="451" spans="2:11" ht="9.75" customHeight="1" x14ac:dyDescent="0.2">
      <c r="B451" s="38"/>
      <c r="C451" s="280" t="str">
        <f>"4:"</f>
        <v>4:</v>
      </c>
      <c r="D451" s="278" t="s">
        <v>948</v>
      </c>
      <c r="E451" s="40"/>
      <c r="F451" s="40"/>
      <c r="G451" s="40"/>
      <c r="H451" s="40"/>
      <c r="I451" s="40"/>
      <c r="J451" s="247"/>
      <c r="K451" s="41"/>
    </row>
    <row r="452" spans="2:11" x14ac:dyDescent="0.2">
      <c r="B452" s="38"/>
      <c r="C452" s="40" t="s">
        <v>257</v>
      </c>
      <c r="D452" s="40"/>
      <c r="E452" s="40"/>
      <c r="F452" s="40"/>
      <c r="G452" s="40"/>
      <c r="H452" s="40"/>
      <c r="I452" s="40"/>
      <c r="J452" s="266" t="s">
        <v>870</v>
      </c>
      <c r="K452" s="41"/>
    </row>
    <row r="453" spans="2:11" x14ac:dyDescent="0.2">
      <c r="B453" s="38"/>
      <c r="C453" s="40" t="s">
        <v>261</v>
      </c>
      <c r="D453" s="40"/>
      <c r="E453" s="40"/>
      <c r="F453" s="40"/>
      <c r="G453" s="40"/>
      <c r="H453" s="40"/>
      <c r="I453" s="40"/>
      <c r="J453" s="245">
        <f>IF(J452=$B$973,$A$973,IF(J452=$B$974,$A$974,IF(J452=$B$975,$A$975,IF(J452=$B$976,$A$976,IF(J452=$B$977,$A$977,"Not Calculated")))))</f>
        <v>0</v>
      </c>
      <c r="K453" s="41"/>
    </row>
    <row r="454" spans="2:11" x14ac:dyDescent="0.2">
      <c r="B454" s="38"/>
      <c r="C454" s="40" t="s">
        <v>893</v>
      </c>
      <c r="D454" s="40"/>
      <c r="E454" s="40"/>
      <c r="F454" s="40"/>
      <c r="G454" s="40"/>
      <c r="H454" s="40"/>
      <c r="I454" s="40"/>
      <c r="J454" s="40"/>
      <c r="K454" s="41"/>
    </row>
    <row r="455" spans="2:11" ht="30" customHeight="1" x14ac:dyDescent="0.2">
      <c r="B455" s="38"/>
      <c r="C455" s="399"/>
      <c r="D455" s="400"/>
      <c r="E455" s="400"/>
      <c r="F455" s="400"/>
      <c r="G455" s="400"/>
      <c r="H455" s="400"/>
      <c r="I455" s="400"/>
      <c r="J455" s="401"/>
      <c r="K455" s="41"/>
    </row>
    <row r="456" spans="2:11" x14ac:dyDescent="0.2">
      <c r="B456" s="38"/>
      <c r="C456" s="40"/>
      <c r="D456" s="40"/>
      <c r="E456" s="40"/>
      <c r="F456" s="40"/>
      <c r="G456" s="40"/>
      <c r="H456" s="40"/>
      <c r="I456" s="40"/>
      <c r="J456" s="40"/>
      <c r="K456" s="41"/>
    </row>
    <row r="457" spans="2:11" x14ac:dyDescent="0.2">
      <c r="B457" s="38"/>
      <c r="C457" s="179" t="s">
        <v>304</v>
      </c>
      <c r="D457" s="40"/>
      <c r="E457" s="40"/>
      <c r="F457" s="40"/>
      <c r="G457" s="40"/>
      <c r="H457" s="40"/>
      <c r="I457" s="40"/>
      <c r="J457" s="245">
        <f>IF(OR(J446="Not Calculated",J453="Not Calculated")=TRUE,"Not Calculated",AVERAGE(J446,J453))</f>
        <v>0</v>
      </c>
      <c r="K457" s="41"/>
    </row>
    <row r="458" spans="2:11" x14ac:dyDescent="0.2">
      <c r="B458" s="38"/>
      <c r="C458" s="40"/>
      <c r="D458" s="40"/>
      <c r="E458" s="40"/>
      <c r="F458" s="40"/>
      <c r="G458" s="40"/>
      <c r="H458" s="40"/>
      <c r="I458" s="40"/>
      <c r="J458" s="40"/>
      <c r="K458" s="41"/>
    </row>
    <row r="459" spans="2:11" x14ac:dyDescent="0.2">
      <c r="B459" s="38"/>
      <c r="C459" s="40"/>
      <c r="D459" s="40"/>
      <c r="E459" s="40"/>
      <c r="F459" s="40"/>
      <c r="G459" s="40"/>
      <c r="H459" s="40"/>
      <c r="I459" s="40"/>
      <c r="J459" s="40"/>
      <c r="K459" s="41"/>
    </row>
    <row r="460" spans="2:11" ht="16" x14ac:dyDescent="0.2">
      <c r="B460" s="38"/>
      <c r="C460" s="45" t="s">
        <v>306</v>
      </c>
      <c r="D460" s="40"/>
      <c r="E460" s="40"/>
      <c r="F460" s="40"/>
      <c r="G460" s="40"/>
      <c r="H460" s="40"/>
      <c r="I460" s="40"/>
      <c r="J460" s="40"/>
      <c r="K460" s="41"/>
    </row>
    <row r="461" spans="2:11" x14ac:dyDescent="0.2">
      <c r="B461" s="38"/>
      <c r="C461" s="40" t="s">
        <v>949</v>
      </c>
      <c r="D461" s="40"/>
      <c r="E461" s="40"/>
      <c r="F461" s="40"/>
      <c r="G461" s="40"/>
      <c r="H461" s="40"/>
      <c r="I461" s="40"/>
      <c r="J461" s="270">
        <v>1.5</v>
      </c>
      <c r="K461" s="41"/>
    </row>
    <row r="462" spans="2:11" x14ac:dyDescent="0.2">
      <c r="B462" s="38"/>
      <c r="C462" s="40" t="s">
        <v>260</v>
      </c>
      <c r="D462" s="40"/>
      <c r="E462" s="40"/>
      <c r="F462" s="40"/>
      <c r="G462" s="40"/>
      <c r="H462" s="40"/>
      <c r="I462" s="40"/>
      <c r="J462" s="248">
        <f>IF(J461&lt;=0,0,IF(J461&lt;=1,1,IF(J461&lt;=5,2,IF(J461&lt;=10,3,4))))</f>
        <v>2</v>
      </c>
      <c r="K462" s="41"/>
    </row>
    <row r="463" spans="2:11" ht="9.75" customHeight="1" x14ac:dyDescent="0.2">
      <c r="B463" s="38"/>
      <c r="C463" s="279" t="str">
        <f>"0:"</f>
        <v>0:</v>
      </c>
      <c r="D463" s="290" t="s">
        <v>944</v>
      </c>
      <c r="E463" s="40"/>
      <c r="F463" s="40"/>
      <c r="G463" s="40"/>
      <c r="H463" s="40"/>
      <c r="I463" s="40"/>
      <c r="J463" s="245"/>
      <c r="K463" s="41"/>
    </row>
    <row r="464" spans="2:11" ht="9.75" customHeight="1" x14ac:dyDescent="0.2">
      <c r="B464" s="38"/>
      <c r="C464" s="280" t="str">
        <f>"1:"</f>
        <v>1:</v>
      </c>
      <c r="D464" s="290" t="s">
        <v>945</v>
      </c>
      <c r="E464" s="40"/>
      <c r="F464" s="40"/>
      <c r="G464" s="40"/>
      <c r="H464" s="40"/>
      <c r="I464" s="40"/>
      <c r="J464" s="245"/>
      <c r="K464" s="41"/>
    </row>
    <row r="465" spans="2:11" ht="9.75" customHeight="1" x14ac:dyDescent="0.2">
      <c r="B465" s="38"/>
      <c r="C465" s="280" t="str">
        <f>"2:"</f>
        <v>2:</v>
      </c>
      <c r="D465" s="290" t="s">
        <v>946</v>
      </c>
      <c r="E465" s="40"/>
      <c r="F465" s="40"/>
      <c r="G465" s="40"/>
      <c r="H465" s="40"/>
      <c r="I465" s="40"/>
      <c r="J465" s="245"/>
      <c r="K465" s="41"/>
    </row>
    <row r="466" spans="2:11" ht="9.75" customHeight="1" x14ac:dyDescent="0.2">
      <c r="B466" s="38"/>
      <c r="C466" s="280" t="str">
        <f>"3:"</f>
        <v>3:</v>
      </c>
      <c r="D466" s="290" t="s">
        <v>947</v>
      </c>
      <c r="E466" s="40"/>
      <c r="F466" s="40"/>
      <c r="G466" s="40"/>
      <c r="H466" s="40"/>
      <c r="I466" s="40"/>
      <c r="J466" s="245"/>
      <c r="K466" s="41"/>
    </row>
    <row r="467" spans="2:11" ht="9.75" customHeight="1" x14ac:dyDescent="0.2">
      <c r="B467" s="38"/>
      <c r="C467" s="280" t="str">
        <f>"4:"</f>
        <v>4:</v>
      </c>
      <c r="D467" s="290" t="s">
        <v>948</v>
      </c>
      <c r="E467" s="40"/>
      <c r="F467" s="40"/>
      <c r="G467" s="40"/>
      <c r="H467" s="40"/>
      <c r="I467" s="40"/>
      <c r="J467" s="247"/>
      <c r="K467" s="41"/>
    </row>
    <row r="468" spans="2:11" x14ac:dyDescent="0.2">
      <c r="B468" s="38"/>
      <c r="C468" s="40" t="s">
        <v>257</v>
      </c>
      <c r="D468" s="40"/>
      <c r="E468" s="40"/>
      <c r="F468" s="40"/>
      <c r="G468" s="40"/>
      <c r="H468" s="40"/>
      <c r="I468" s="40"/>
      <c r="J468" s="266" t="s">
        <v>882</v>
      </c>
      <c r="K468" s="41"/>
    </row>
    <row r="469" spans="2:11" ht="15" customHeight="1" x14ac:dyDescent="0.2">
      <c r="B469" s="38"/>
      <c r="C469" s="40" t="s">
        <v>261</v>
      </c>
      <c r="D469" s="40"/>
      <c r="E469" s="40"/>
      <c r="F469" s="40"/>
      <c r="G469" s="40"/>
      <c r="H469" s="40"/>
      <c r="I469" s="40"/>
      <c r="J469" s="245">
        <f>IF(J468=$B$973,$A$973,IF(J468=$B$974,$A$974,IF(J468=$B$975,$A$975,IF(J468=$B$976,$A$976,IF(J468=$B$977,$A$977,"Not Calculated")))))</f>
        <v>1</v>
      </c>
      <c r="K469" s="41"/>
    </row>
    <row r="470" spans="2:11" x14ac:dyDescent="0.2">
      <c r="B470" s="38"/>
      <c r="C470" s="40" t="s">
        <v>893</v>
      </c>
      <c r="D470" s="40"/>
      <c r="E470" s="40"/>
      <c r="F470" s="40"/>
      <c r="G470" s="40"/>
      <c r="H470" s="40"/>
      <c r="I470" s="40"/>
      <c r="J470" s="40"/>
      <c r="K470" s="41"/>
    </row>
    <row r="471" spans="2:11" ht="30" customHeight="1" x14ac:dyDescent="0.2">
      <c r="B471" s="38"/>
      <c r="C471" s="399" t="s">
        <v>559</v>
      </c>
      <c r="D471" s="400"/>
      <c r="E471" s="400"/>
      <c r="F471" s="400"/>
      <c r="G471" s="400"/>
      <c r="H471" s="400"/>
      <c r="I471" s="400"/>
      <c r="J471" s="401"/>
      <c r="K471" s="41"/>
    </row>
    <row r="472" spans="2:11" x14ac:dyDescent="0.2">
      <c r="B472" s="38"/>
      <c r="C472" s="40"/>
      <c r="D472" s="40"/>
      <c r="E472" s="40"/>
      <c r="F472" s="40"/>
      <c r="G472" s="40"/>
      <c r="H472" s="40"/>
      <c r="I472" s="40"/>
      <c r="J472" s="40"/>
      <c r="K472" s="41"/>
    </row>
    <row r="473" spans="2:11" x14ac:dyDescent="0.2">
      <c r="B473" s="38"/>
      <c r="C473" s="179" t="s">
        <v>307</v>
      </c>
      <c r="D473" s="40"/>
      <c r="E473" s="40"/>
      <c r="F473" s="40"/>
      <c r="G473" s="40"/>
      <c r="H473" s="40"/>
      <c r="I473" s="40"/>
      <c r="J473" s="245">
        <f>IF(OR(J462="Not Calculated",J469="Not Calculated")=TRUE,"Not Calculated",AVERAGE(J462,J469))</f>
        <v>1.5</v>
      </c>
      <c r="K473" s="41"/>
    </row>
    <row r="474" spans="2:11" x14ac:dyDescent="0.2">
      <c r="B474" s="38"/>
      <c r="C474" s="40"/>
      <c r="D474" s="40"/>
      <c r="E474" s="40"/>
      <c r="F474" s="40"/>
      <c r="G474" s="40"/>
      <c r="H474" s="40"/>
      <c r="I474" s="40"/>
      <c r="J474" s="40"/>
      <c r="K474" s="41"/>
    </row>
    <row r="475" spans="2:11" x14ac:dyDescent="0.2">
      <c r="B475" s="38"/>
      <c r="C475" s="40"/>
      <c r="D475" s="40"/>
      <c r="E475" s="40"/>
      <c r="F475" s="40"/>
      <c r="G475" s="40"/>
      <c r="H475" s="40"/>
      <c r="I475" s="40"/>
      <c r="J475" s="40"/>
      <c r="K475" s="41"/>
    </row>
    <row r="476" spans="2:11" ht="16" x14ac:dyDescent="0.2">
      <c r="B476" s="38"/>
      <c r="C476" s="45" t="s">
        <v>308</v>
      </c>
      <c r="D476" s="40"/>
      <c r="E476" s="40"/>
      <c r="F476" s="40"/>
      <c r="G476" s="40"/>
      <c r="H476" s="40"/>
      <c r="I476" s="40"/>
      <c r="J476" s="40"/>
      <c r="K476" s="41"/>
    </row>
    <row r="477" spans="2:11" ht="15" customHeight="1" x14ac:dyDescent="0.2">
      <c r="B477" s="38"/>
      <c r="C477" s="380" t="s">
        <v>310</v>
      </c>
      <c r="D477" s="380"/>
      <c r="E477" s="380"/>
      <c r="F477" s="380"/>
      <c r="G477" s="380"/>
      <c r="H477" s="380"/>
      <c r="I477" s="380"/>
      <c r="J477" s="40"/>
      <c r="K477" s="41"/>
    </row>
    <row r="478" spans="2:11" x14ac:dyDescent="0.2">
      <c r="B478" s="38"/>
      <c r="C478" s="380"/>
      <c r="D478" s="380"/>
      <c r="E478" s="380"/>
      <c r="F478" s="380"/>
      <c r="G478" s="380"/>
      <c r="H478" s="380"/>
      <c r="I478" s="380"/>
      <c r="J478" s="131">
        <v>1</v>
      </c>
      <c r="K478" s="41"/>
    </row>
    <row r="479" spans="2:11" x14ac:dyDescent="0.2">
      <c r="B479" s="38"/>
      <c r="C479" s="40" t="s">
        <v>261</v>
      </c>
      <c r="D479" s="40"/>
      <c r="E479" s="40"/>
      <c r="F479" s="40"/>
      <c r="G479" s="40"/>
      <c r="H479" s="40"/>
      <c r="I479" s="40"/>
      <c r="J479" s="245">
        <f>IF(J478&lt;=0,0,IF(J478&lt;=1,1,IF(J478&lt;=7,2,IF(J478&lt;=14,3,4))))</f>
        <v>1</v>
      </c>
      <c r="K479" s="41"/>
    </row>
    <row r="480" spans="2:11" s="51" customFormat="1" ht="9.75" customHeight="1" x14ac:dyDescent="0.2">
      <c r="B480" s="283"/>
      <c r="C480" s="279" t="str">
        <f>"0:"</f>
        <v>0:</v>
      </c>
      <c r="D480" s="284" t="s">
        <v>950</v>
      </c>
      <c r="E480" s="285"/>
      <c r="F480" s="285"/>
      <c r="G480" s="285"/>
      <c r="H480" s="285"/>
      <c r="I480" s="285"/>
      <c r="J480" s="43"/>
      <c r="K480" s="286"/>
    </row>
    <row r="481" spans="2:11" s="51" customFormat="1" ht="9.75" customHeight="1" x14ac:dyDescent="0.2">
      <c r="B481" s="283"/>
      <c r="C481" s="280" t="str">
        <f>"1:"</f>
        <v>1:</v>
      </c>
      <c r="D481" s="284" t="s">
        <v>951</v>
      </c>
      <c r="E481" s="285"/>
      <c r="F481" s="285"/>
      <c r="G481" s="285"/>
      <c r="H481" s="285"/>
      <c r="I481" s="285"/>
      <c r="J481" s="43"/>
      <c r="K481" s="286"/>
    </row>
    <row r="482" spans="2:11" s="51" customFormat="1" ht="9.75" customHeight="1" x14ac:dyDescent="0.2">
      <c r="B482" s="283"/>
      <c r="C482" s="280" t="str">
        <f>"2:"</f>
        <v>2:</v>
      </c>
      <c r="D482" s="284" t="s">
        <v>952</v>
      </c>
      <c r="E482" s="285"/>
      <c r="F482" s="285"/>
      <c r="G482" s="285"/>
      <c r="H482" s="285"/>
      <c r="I482" s="285"/>
      <c r="J482" s="43"/>
      <c r="K482" s="286"/>
    </row>
    <row r="483" spans="2:11" s="51" customFormat="1" ht="9.75" customHeight="1" x14ac:dyDescent="0.2">
      <c r="B483" s="283"/>
      <c r="C483" s="280" t="str">
        <f>"3:"</f>
        <v>3:</v>
      </c>
      <c r="D483" s="284" t="s">
        <v>953</v>
      </c>
      <c r="E483" s="285"/>
      <c r="F483" s="285"/>
      <c r="G483" s="285"/>
      <c r="H483" s="285"/>
      <c r="I483" s="285"/>
      <c r="J483" s="43"/>
      <c r="K483" s="286"/>
    </row>
    <row r="484" spans="2:11" s="51" customFormat="1" ht="9.75" customHeight="1" x14ac:dyDescent="0.2">
      <c r="B484" s="283"/>
      <c r="C484" s="280" t="str">
        <f>"4:"</f>
        <v>4:</v>
      </c>
      <c r="D484" s="284" t="s">
        <v>954</v>
      </c>
      <c r="E484" s="285"/>
      <c r="F484" s="285"/>
      <c r="G484" s="285"/>
      <c r="H484" s="285"/>
      <c r="I484" s="285"/>
      <c r="J484" s="43"/>
      <c r="K484" s="286"/>
    </row>
    <row r="485" spans="2:11" x14ac:dyDescent="0.2">
      <c r="B485" s="38"/>
      <c r="C485" s="40" t="s">
        <v>893</v>
      </c>
      <c r="D485" s="40"/>
      <c r="E485" s="40"/>
      <c r="F485" s="40"/>
      <c r="G485" s="40"/>
      <c r="H485" s="40"/>
      <c r="I485" s="40"/>
      <c r="J485" s="40"/>
      <c r="K485" s="41"/>
    </row>
    <row r="486" spans="2:11" ht="30" customHeight="1" x14ac:dyDescent="0.2">
      <c r="B486" s="38"/>
      <c r="C486" s="399" t="s">
        <v>560</v>
      </c>
      <c r="D486" s="400"/>
      <c r="E486" s="400"/>
      <c r="F486" s="400"/>
      <c r="G486" s="400"/>
      <c r="H486" s="400"/>
      <c r="I486" s="400"/>
      <c r="J486" s="401"/>
      <c r="K486" s="41"/>
    </row>
    <row r="487" spans="2:11" x14ac:dyDescent="0.2">
      <c r="B487" s="38"/>
      <c r="C487" s="40"/>
      <c r="D487" s="40"/>
      <c r="E487" s="40"/>
      <c r="F487" s="40"/>
      <c r="G487" s="40"/>
      <c r="H487" s="40"/>
      <c r="I487" s="40"/>
      <c r="J487" s="40"/>
      <c r="K487" s="41"/>
    </row>
    <row r="488" spans="2:11" x14ac:dyDescent="0.2">
      <c r="B488" s="38"/>
      <c r="C488" s="179" t="s">
        <v>309</v>
      </c>
      <c r="D488" s="40"/>
      <c r="E488" s="40"/>
      <c r="F488" s="40"/>
      <c r="G488" s="40"/>
      <c r="H488" s="40"/>
      <c r="I488" s="40"/>
      <c r="J488" s="245">
        <f>J479</f>
        <v>1</v>
      </c>
      <c r="K488" s="41"/>
    </row>
    <row r="489" spans="2:11" x14ac:dyDescent="0.2">
      <c r="B489" s="38"/>
      <c r="C489" s="40"/>
      <c r="D489" s="40"/>
      <c r="E489" s="40"/>
      <c r="F489" s="40"/>
      <c r="G489" s="40"/>
      <c r="H489" s="40"/>
      <c r="I489" s="40"/>
      <c r="J489" s="40"/>
      <c r="K489" s="41"/>
    </row>
    <row r="490" spans="2:11" x14ac:dyDescent="0.2">
      <c r="B490" s="38"/>
      <c r="C490" s="40"/>
      <c r="D490" s="40"/>
      <c r="E490" s="40"/>
      <c r="F490" s="40"/>
      <c r="G490" s="40"/>
      <c r="H490" s="40"/>
      <c r="I490" s="40"/>
      <c r="J490" s="40"/>
      <c r="K490" s="41"/>
    </row>
    <row r="491" spans="2:11" ht="16" x14ac:dyDescent="0.2">
      <c r="B491" s="38"/>
      <c r="C491" s="45" t="s">
        <v>311</v>
      </c>
      <c r="D491" s="40"/>
      <c r="E491" s="40"/>
      <c r="F491" s="40"/>
      <c r="G491" s="40"/>
      <c r="H491" s="40"/>
      <c r="I491" s="40"/>
      <c r="J491" s="40"/>
      <c r="K491" s="41"/>
    </row>
    <row r="492" spans="2:11" x14ac:dyDescent="0.2">
      <c r="B492" s="38"/>
      <c r="C492" s="40" t="s">
        <v>312</v>
      </c>
      <c r="D492" s="40"/>
      <c r="E492" s="40"/>
      <c r="F492" s="40"/>
      <c r="G492" s="40"/>
      <c r="H492" s="40"/>
      <c r="I492" s="40"/>
      <c r="J492" s="270">
        <v>1</v>
      </c>
      <c r="K492" s="41"/>
    </row>
    <row r="493" spans="2:11" x14ac:dyDescent="0.2">
      <c r="B493" s="38"/>
      <c r="C493" s="40" t="s">
        <v>260</v>
      </c>
      <c r="D493" s="40"/>
      <c r="E493" s="40"/>
      <c r="F493" s="40"/>
      <c r="G493" s="40"/>
      <c r="H493" s="40"/>
      <c r="I493" s="40"/>
      <c r="J493" s="248">
        <f>IF(J492&lt;=0,0,IF(J492&lt;=1,1,IF(J492&lt;=5,2,IF(J492&lt;=10,3,4))))</f>
        <v>1</v>
      </c>
      <c r="K493" s="41"/>
    </row>
    <row r="494" spans="2:11" ht="9.75" customHeight="1" x14ac:dyDescent="0.2">
      <c r="B494" s="38"/>
      <c r="C494" s="279" t="str">
        <f>"0:"</f>
        <v>0:</v>
      </c>
      <c r="D494" s="290" t="s">
        <v>955</v>
      </c>
      <c r="E494" s="40"/>
      <c r="F494" s="40"/>
      <c r="G494" s="40"/>
      <c r="H494" s="40"/>
      <c r="I494" s="40"/>
      <c r="J494" s="245"/>
      <c r="K494" s="41"/>
    </row>
    <row r="495" spans="2:11" ht="9.75" customHeight="1" x14ac:dyDescent="0.2">
      <c r="B495" s="38"/>
      <c r="C495" s="280" t="str">
        <f>"1:"</f>
        <v>1:</v>
      </c>
      <c r="D495" s="290" t="s">
        <v>956</v>
      </c>
      <c r="E495" s="40"/>
      <c r="F495" s="40"/>
      <c r="G495" s="40"/>
      <c r="H495" s="40"/>
      <c r="I495" s="40"/>
      <c r="J495" s="245"/>
      <c r="K495" s="41"/>
    </row>
    <row r="496" spans="2:11" ht="9.75" customHeight="1" x14ac:dyDescent="0.2">
      <c r="B496" s="38"/>
      <c r="C496" s="280" t="str">
        <f>"2:"</f>
        <v>2:</v>
      </c>
      <c r="D496" s="290" t="s">
        <v>957</v>
      </c>
      <c r="E496" s="40"/>
      <c r="F496" s="40"/>
      <c r="G496" s="40"/>
      <c r="H496" s="40"/>
      <c r="I496" s="40"/>
      <c r="J496" s="245"/>
      <c r="K496" s="41"/>
    </row>
    <row r="497" spans="2:11" ht="9.75" customHeight="1" x14ac:dyDescent="0.2">
      <c r="B497" s="38"/>
      <c r="C497" s="280" t="str">
        <f>"3:"</f>
        <v>3:</v>
      </c>
      <c r="D497" s="290" t="s">
        <v>958</v>
      </c>
      <c r="E497" s="40"/>
      <c r="F497" s="40"/>
      <c r="G497" s="40"/>
      <c r="H497" s="40"/>
      <c r="I497" s="40"/>
      <c r="J497" s="245"/>
      <c r="K497" s="41"/>
    </row>
    <row r="498" spans="2:11" ht="9.75" customHeight="1" x14ac:dyDescent="0.2">
      <c r="B498" s="38"/>
      <c r="C498" s="280" t="str">
        <f>"4:"</f>
        <v>4:</v>
      </c>
      <c r="D498" s="290" t="s">
        <v>959</v>
      </c>
      <c r="E498" s="40"/>
      <c r="F498" s="40"/>
      <c r="G498" s="40"/>
      <c r="H498" s="40"/>
      <c r="I498" s="40"/>
      <c r="J498" s="247"/>
      <c r="K498" s="41"/>
    </row>
    <row r="499" spans="2:11" x14ac:dyDescent="0.2">
      <c r="B499" s="38"/>
      <c r="C499" s="40" t="s">
        <v>313</v>
      </c>
      <c r="D499" s="40"/>
      <c r="E499" s="40"/>
      <c r="F499" s="40"/>
      <c r="G499" s="40"/>
      <c r="H499" s="40"/>
      <c r="I499" s="40"/>
      <c r="J499" s="266" t="s">
        <v>872</v>
      </c>
      <c r="K499" s="41"/>
    </row>
    <row r="500" spans="2:11" x14ac:dyDescent="0.2">
      <c r="B500" s="38"/>
      <c r="C500" s="40" t="s">
        <v>261</v>
      </c>
      <c r="D500" s="40"/>
      <c r="E500" s="40"/>
      <c r="F500" s="40"/>
      <c r="G500" s="40"/>
      <c r="H500" s="40"/>
      <c r="I500" s="40"/>
      <c r="J500" s="245">
        <f>IF(J499=$B$973,$A$973,IF(J499=$B$974,$A$974,IF(J499=$B$975,$A$975,IF(J499=$B$976,$A$976,IF(J499=$B$977,$A$977,"Not Calculated")))))</f>
        <v>2</v>
      </c>
      <c r="K500" s="41"/>
    </row>
    <row r="501" spans="2:11" x14ac:dyDescent="0.2">
      <c r="B501" s="38"/>
      <c r="C501" s="40" t="s">
        <v>893</v>
      </c>
      <c r="D501" s="40"/>
      <c r="E501" s="40"/>
      <c r="F501" s="40"/>
      <c r="G501" s="40"/>
      <c r="H501" s="40"/>
      <c r="I501" s="40"/>
      <c r="J501" s="40"/>
      <c r="K501" s="41"/>
    </row>
    <row r="502" spans="2:11" ht="30" customHeight="1" x14ac:dyDescent="0.2">
      <c r="B502" s="38"/>
      <c r="C502" s="399" t="s">
        <v>561</v>
      </c>
      <c r="D502" s="400"/>
      <c r="E502" s="400"/>
      <c r="F502" s="400"/>
      <c r="G502" s="400"/>
      <c r="H502" s="400"/>
      <c r="I502" s="400"/>
      <c r="J502" s="401"/>
      <c r="K502" s="41"/>
    </row>
    <row r="503" spans="2:11" x14ac:dyDescent="0.2">
      <c r="B503" s="38"/>
      <c r="C503" s="40"/>
      <c r="D503" s="40"/>
      <c r="E503" s="40"/>
      <c r="F503" s="40"/>
      <c r="G503" s="40"/>
      <c r="H503" s="40"/>
      <c r="I503" s="40"/>
      <c r="J503" s="40"/>
      <c r="K503" s="41"/>
    </row>
    <row r="504" spans="2:11" x14ac:dyDescent="0.2">
      <c r="B504" s="38"/>
      <c r="C504" s="179" t="s">
        <v>321</v>
      </c>
      <c r="D504" s="40"/>
      <c r="E504" s="40"/>
      <c r="F504" s="40"/>
      <c r="G504" s="40"/>
      <c r="H504" s="40"/>
      <c r="I504" s="40"/>
      <c r="J504" s="245">
        <f>IF(OR(J493="Not Calculated",J500="Not Calculated")=TRUE,"Not Calculated",AVERAGE(J493,J500))</f>
        <v>1.5</v>
      </c>
      <c r="K504" s="41"/>
    </row>
    <row r="505" spans="2:11" x14ac:dyDescent="0.2">
      <c r="B505" s="38"/>
      <c r="C505" s="40"/>
      <c r="D505" s="40"/>
      <c r="E505" s="40"/>
      <c r="F505" s="40"/>
      <c r="G505" s="40"/>
      <c r="H505" s="40"/>
      <c r="I505" s="40"/>
      <c r="J505" s="40"/>
      <c r="K505" s="41"/>
    </row>
    <row r="506" spans="2:11" x14ac:dyDescent="0.2">
      <c r="B506" s="38"/>
      <c r="C506" s="40"/>
      <c r="D506" s="40"/>
      <c r="E506" s="40"/>
      <c r="F506" s="40"/>
      <c r="G506" s="40"/>
      <c r="H506" s="40"/>
      <c r="I506" s="40"/>
      <c r="J506" s="40"/>
      <c r="K506" s="41"/>
    </row>
    <row r="507" spans="2:11" ht="16" x14ac:dyDescent="0.2">
      <c r="B507" s="38"/>
      <c r="C507" s="45" t="s">
        <v>314</v>
      </c>
      <c r="D507" s="40"/>
      <c r="E507" s="40"/>
      <c r="F507" s="40"/>
      <c r="G507" s="40"/>
      <c r="H507" s="40"/>
      <c r="I507" s="40"/>
      <c r="J507" s="40"/>
      <c r="K507" s="41"/>
    </row>
    <row r="508" spans="2:11" x14ac:dyDescent="0.2">
      <c r="B508" s="38"/>
      <c r="C508" s="40" t="s">
        <v>316</v>
      </c>
      <c r="D508" s="40"/>
      <c r="E508" s="40"/>
      <c r="F508" s="40"/>
      <c r="G508" s="40"/>
      <c r="H508" s="40"/>
      <c r="I508" s="40"/>
      <c r="J508" s="269">
        <v>0</v>
      </c>
      <c r="K508" s="41"/>
    </row>
    <row r="509" spans="2:11" x14ac:dyDescent="0.2">
      <c r="B509" s="38"/>
      <c r="C509" s="40" t="s">
        <v>260</v>
      </c>
      <c r="D509" s="40"/>
      <c r="E509" s="40"/>
      <c r="F509" s="40"/>
      <c r="G509" s="40"/>
      <c r="H509" s="40"/>
      <c r="I509" s="40"/>
      <c r="J509" s="248">
        <f>IF(J508&lt;=0,0,IF(J508&lt;=1000,1,IF(J508&lt;=5000,2,IF(J508&lt;=25000,3,4))))</f>
        <v>0</v>
      </c>
      <c r="K509" s="41"/>
    </row>
    <row r="510" spans="2:11" s="51" customFormat="1" ht="9.75" customHeight="1" x14ac:dyDescent="0.2">
      <c r="B510" s="283"/>
      <c r="C510" s="279" t="str">
        <f>"0:"</f>
        <v>0:</v>
      </c>
      <c r="D510" s="284" t="s">
        <v>960</v>
      </c>
      <c r="E510" s="285"/>
      <c r="F510" s="285"/>
      <c r="G510" s="285"/>
      <c r="H510" s="285"/>
      <c r="I510" s="285"/>
      <c r="J510" s="43"/>
      <c r="K510" s="286"/>
    </row>
    <row r="511" spans="2:11" s="51" customFormat="1" ht="9.75" customHeight="1" x14ac:dyDescent="0.2">
      <c r="B511" s="283"/>
      <c r="C511" s="280" t="str">
        <f>"1:"</f>
        <v>1:</v>
      </c>
      <c r="D511" s="284" t="s">
        <v>961</v>
      </c>
      <c r="E511" s="285"/>
      <c r="F511" s="285"/>
      <c r="G511" s="285"/>
      <c r="H511" s="285"/>
      <c r="I511" s="285"/>
      <c r="J511" s="43"/>
      <c r="K511" s="286"/>
    </row>
    <row r="512" spans="2:11" s="51" customFormat="1" ht="9.75" customHeight="1" x14ac:dyDescent="0.2">
      <c r="B512" s="283"/>
      <c r="C512" s="280" t="str">
        <f>"2:"</f>
        <v>2:</v>
      </c>
      <c r="D512" s="284" t="s">
        <v>962</v>
      </c>
      <c r="E512" s="285"/>
      <c r="F512" s="285"/>
      <c r="G512" s="285"/>
      <c r="H512" s="285"/>
      <c r="I512" s="285"/>
      <c r="J512" s="43"/>
      <c r="K512" s="286"/>
    </row>
    <row r="513" spans="2:11" s="51" customFormat="1" ht="9.75" customHeight="1" x14ac:dyDescent="0.2">
      <c r="B513" s="283"/>
      <c r="C513" s="280" t="str">
        <f>"3:"</f>
        <v>3:</v>
      </c>
      <c r="D513" s="284" t="s">
        <v>963</v>
      </c>
      <c r="E513" s="285"/>
      <c r="F513" s="285"/>
      <c r="G513" s="285"/>
      <c r="H513" s="285"/>
      <c r="I513" s="285"/>
      <c r="J513" s="43"/>
      <c r="K513" s="286"/>
    </row>
    <row r="514" spans="2:11" s="51" customFormat="1" ht="9.75" customHeight="1" x14ac:dyDescent="0.2">
      <c r="B514" s="283"/>
      <c r="C514" s="280" t="str">
        <f>"4:"</f>
        <v>4:</v>
      </c>
      <c r="D514" s="284" t="s">
        <v>964</v>
      </c>
      <c r="E514" s="285"/>
      <c r="F514" s="285"/>
      <c r="G514" s="285"/>
      <c r="H514" s="285"/>
      <c r="I514" s="285"/>
      <c r="J514" s="287"/>
      <c r="K514" s="286"/>
    </row>
    <row r="515" spans="2:11" x14ac:dyDescent="0.2">
      <c r="B515" s="38"/>
      <c r="C515" s="40" t="s">
        <v>315</v>
      </c>
      <c r="D515" s="40"/>
      <c r="E515" s="40"/>
      <c r="F515" s="40"/>
      <c r="G515" s="40"/>
      <c r="H515" s="40"/>
      <c r="I515" s="40"/>
      <c r="J515" s="266" t="s">
        <v>870</v>
      </c>
      <c r="K515" s="41"/>
    </row>
    <row r="516" spans="2:11" x14ac:dyDescent="0.2">
      <c r="B516" s="38"/>
      <c r="C516" s="40" t="s">
        <v>261</v>
      </c>
      <c r="D516" s="40"/>
      <c r="E516" s="40"/>
      <c r="F516" s="40"/>
      <c r="G516" s="40"/>
      <c r="H516" s="40"/>
      <c r="I516" s="40"/>
      <c r="J516" s="245">
        <f>IF(J515=$B$973,$A$973,IF(J515=$B$974,$A$974,IF(J515=$B$975,$A$975,IF(J515=$B$976,$A$976,IF(J515=$B$977,$A$977,"Not Calculated")))))</f>
        <v>0</v>
      </c>
      <c r="K516" s="41"/>
    </row>
    <row r="517" spans="2:11" x14ac:dyDescent="0.2">
      <c r="B517" s="38"/>
      <c r="C517" s="40" t="s">
        <v>893</v>
      </c>
      <c r="D517" s="40"/>
      <c r="E517" s="40"/>
      <c r="F517" s="40"/>
      <c r="G517" s="40"/>
      <c r="H517" s="40"/>
      <c r="I517" s="40"/>
      <c r="J517" s="40"/>
      <c r="K517" s="41"/>
    </row>
    <row r="518" spans="2:11" ht="30" customHeight="1" x14ac:dyDescent="0.2">
      <c r="B518" s="38"/>
      <c r="C518" s="399"/>
      <c r="D518" s="400"/>
      <c r="E518" s="400"/>
      <c r="F518" s="400"/>
      <c r="G518" s="400"/>
      <c r="H518" s="400"/>
      <c r="I518" s="400"/>
      <c r="J518" s="401"/>
      <c r="K518" s="41"/>
    </row>
    <row r="519" spans="2:11" x14ac:dyDescent="0.2">
      <c r="B519" s="38"/>
      <c r="C519" s="40"/>
      <c r="D519" s="40"/>
      <c r="E519" s="40"/>
      <c r="F519" s="40"/>
      <c r="G519" s="40"/>
      <c r="H519" s="40"/>
      <c r="I519" s="40"/>
      <c r="J519" s="40"/>
      <c r="K519" s="41"/>
    </row>
    <row r="520" spans="2:11" x14ac:dyDescent="0.2">
      <c r="B520" s="38"/>
      <c r="C520" s="179" t="s">
        <v>320</v>
      </c>
      <c r="D520" s="40"/>
      <c r="E520" s="40"/>
      <c r="F520" s="40"/>
      <c r="G520" s="40"/>
      <c r="H520" s="40"/>
      <c r="I520" s="40"/>
      <c r="J520" s="245">
        <f>IF(OR(J509="Not Calculated",J516="Not Calculated")=TRUE,"Not Calculated",AVERAGE(J509,J516))</f>
        <v>0</v>
      </c>
      <c r="K520" s="41"/>
    </row>
    <row r="521" spans="2:11" x14ac:dyDescent="0.2">
      <c r="B521" s="38"/>
      <c r="C521" s="40"/>
      <c r="D521" s="40"/>
      <c r="E521" s="40"/>
      <c r="F521" s="40"/>
      <c r="G521" s="40"/>
      <c r="H521" s="40"/>
      <c r="I521" s="40"/>
      <c r="J521" s="40"/>
      <c r="K521" s="41"/>
    </row>
    <row r="522" spans="2:11" x14ac:dyDescent="0.2">
      <c r="B522" s="38"/>
      <c r="C522" s="40"/>
      <c r="D522" s="40"/>
      <c r="E522" s="40"/>
      <c r="F522" s="40"/>
      <c r="G522" s="40"/>
      <c r="H522" s="40"/>
      <c r="I522" s="40"/>
      <c r="J522" s="40"/>
      <c r="K522" s="41"/>
    </row>
    <row r="523" spans="2:11" ht="16" x14ac:dyDescent="0.2">
      <c r="B523" s="38"/>
      <c r="C523" s="45" t="s">
        <v>317</v>
      </c>
      <c r="D523" s="40"/>
      <c r="E523" s="40"/>
      <c r="F523" s="40"/>
      <c r="G523" s="40"/>
      <c r="H523" s="40"/>
      <c r="I523" s="40"/>
      <c r="J523" s="40"/>
      <c r="K523" s="41"/>
    </row>
    <row r="524" spans="2:11" ht="15" customHeight="1" x14ac:dyDescent="0.2">
      <c r="B524" s="38"/>
      <c r="C524" s="380" t="s">
        <v>318</v>
      </c>
      <c r="D524" s="380"/>
      <c r="E524" s="380"/>
      <c r="F524" s="380"/>
      <c r="G524" s="380"/>
      <c r="H524" s="380"/>
      <c r="I524" s="380"/>
      <c r="J524" s="40"/>
      <c r="K524" s="41"/>
    </row>
    <row r="525" spans="2:11" x14ac:dyDescent="0.2">
      <c r="B525" s="38"/>
      <c r="C525" s="380"/>
      <c r="D525" s="380"/>
      <c r="E525" s="380"/>
      <c r="F525" s="380"/>
      <c r="G525" s="380"/>
      <c r="H525" s="380"/>
      <c r="I525" s="380"/>
      <c r="J525" s="274">
        <v>0</v>
      </c>
      <c r="K525" s="41"/>
    </row>
    <row r="526" spans="2:11" x14ac:dyDescent="0.2">
      <c r="B526" s="38"/>
      <c r="C526" s="40" t="s">
        <v>260</v>
      </c>
      <c r="D526" s="40"/>
      <c r="E526" s="40"/>
      <c r="F526" s="40"/>
      <c r="G526" s="40"/>
      <c r="H526" s="40"/>
      <c r="I526" s="40"/>
      <c r="J526" s="248">
        <f>IF(J525&lt;=0,0,IF(J525&lt;=1,1,IF(J525&lt;=5,2,IF(J525&lt;=10,3,4))))</f>
        <v>0</v>
      </c>
      <c r="K526" s="41"/>
    </row>
    <row r="527" spans="2:11" s="51" customFormat="1" ht="9.75" customHeight="1" x14ac:dyDescent="0.2">
      <c r="B527" s="283"/>
      <c r="C527" s="279" t="str">
        <f>"0:"</f>
        <v>0:</v>
      </c>
      <c r="D527" s="284" t="s">
        <v>965</v>
      </c>
      <c r="E527" s="285"/>
      <c r="F527" s="285"/>
      <c r="G527" s="285"/>
      <c r="H527" s="285"/>
      <c r="I527" s="285"/>
      <c r="J527" s="43"/>
      <c r="K527" s="286"/>
    </row>
    <row r="528" spans="2:11" s="51" customFormat="1" ht="9.75" customHeight="1" x14ac:dyDescent="0.2">
      <c r="B528" s="283"/>
      <c r="C528" s="280" t="str">
        <f>"1:"</f>
        <v>1:</v>
      </c>
      <c r="D528" s="284" t="s">
        <v>966</v>
      </c>
      <c r="E528" s="285"/>
      <c r="F528" s="285"/>
      <c r="G528" s="285"/>
      <c r="H528" s="285"/>
      <c r="I528" s="285"/>
      <c r="J528" s="43"/>
      <c r="K528" s="286"/>
    </row>
    <row r="529" spans="2:11" s="51" customFormat="1" ht="9.75" customHeight="1" x14ac:dyDescent="0.2">
      <c r="B529" s="283"/>
      <c r="C529" s="280" t="str">
        <f>"2:"</f>
        <v>2:</v>
      </c>
      <c r="D529" s="284" t="s">
        <v>967</v>
      </c>
      <c r="E529" s="285"/>
      <c r="F529" s="285"/>
      <c r="G529" s="285"/>
      <c r="H529" s="285"/>
      <c r="I529" s="285"/>
      <c r="J529" s="43"/>
      <c r="K529" s="286"/>
    </row>
    <row r="530" spans="2:11" s="51" customFormat="1" ht="9.75" customHeight="1" x14ac:dyDescent="0.2">
      <c r="B530" s="283"/>
      <c r="C530" s="280" t="str">
        <f>"3:"</f>
        <v>3:</v>
      </c>
      <c r="D530" s="284" t="s">
        <v>968</v>
      </c>
      <c r="E530" s="285"/>
      <c r="F530" s="285"/>
      <c r="G530" s="285"/>
      <c r="H530" s="285"/>
      <c r="I530" s="285"/>
      <c r="J530" s="43"/>
      <c r="K530" s="286"/>
    </row>
    <row r="531" spans="2:11" s="51" customFormat="1" ht="9.75" customHeight="1" x14ac:dyDescent="0.2">
      <c r="B531" s="283"/>
      <c r="C531" s="280" t="str">
        <f>"4:"</f>
        <v>4:</v>
      </c>
      <c r="D531" s="284" t="s">
        <v>969</v>
      </c>
      <c r="E531" s="285"/>
      <c r="F531" s="285"/>
      <c r="G531" s="285"/>
      <c r="H531" s="285"/>
      <c r="I531" s="285"/>
      <c r="J531" s="287"/>
      <c r="K531" s="286"/>
    </row>
    <row r="532" spans="2:11" x14ac:dyDescent="0.2">
      <c r="B532" s="38"/>
      <c r="C532" s="40" t="s">
        <v>257</v>
      </c>
      <c r="D532" s="40"/>
      <c r="E532" s="40"/>
      <c r="F532" s="40"/>
      <c r="G532" s="40"/>
      <c r="H532" s="40"/>
      <c r="I532" s="40"/>
      <c r="J532" s="266" t="s">
        <v>870</v>
      </c>
      <c r="K532" s="41"/>
    </row>
    <row r="533" spans="2:11" x14ac:dyDescent="0.2">
      <c r="B533" s="38"/>
      <c r="C533" s="40" t="s">
        <v>261</v>
      </c>
      <c r="D533" s="40"/>
      <c r="E533" s="40"/>
      <c r="F533" s="40"/>
      <c r="G533" s="40"/>
      <c r="H533" s="40"/>
      <c r="I533" s="40"/>
      <c r="J533" s="245">
        <f>IF(J532=$B$973,$A$973,IF(J532=$B$974,$A$974,IF(J532=$B$975,$A$975,IF(J532=$B$976,$A$976,IF(J532=$B$977,$A$977,"Not Calculated")))))</f>
        <v>0</v>
      </c>
      <c r="K533" s="41"/>
    </row>
    <row r="534" spans="2:11" x14ac:dyDescent="0.2">
      <c r="B534" s="38"/>
      <c r="C534" s="40" t="s">
        <v>893</v>
      </c>
      <c r="D534" s="40"/>
      <c r="E534" s="40"/>
      <c r="F534" s="40"/>
      <c r="G534" s="40"/>
      <c r="H534" s="40"/>
      <c r="I534" s="40"/>
      <c r="J534" s="40"/>
      <c r="K534" s="41"/>
    </row>
    <row r="535" spans="2:11" ht="30" customHeight="1" x14ac:dyDescent="0.2">
      <c r="B535" s="38"/>
      <c r="C535" s="399"/>
      <c r="D535" s="400"/>
      <c r="E535" s="400"/>
      <c r="F535" s="400"/>
      <c r="G535" s="400"/>
      <c r="H535" s="400"/>
      <c r="I535" s="400"/>
      <c r="J535" s="401"/>
      <c r="K535" s="41"/>
    </row>
    <row r="536" spans="2:11" x14ac:dyDescent="0.2">
      <c r="B536" s="38"/>
      <c r="C536" s="40"/>
      <c r="D536" s="40"/>
      <c r="E536" s="40"/>
      <c r="F536" s="40"/>
      <c r="G536" s="40"/>
      <c r="H536" s="40"/>
      <c r="I536" s="40"/>
      <c r="J536" s="40"/>
      <c r="K536" s="41"/>
    </row>
    <row r="537" spans="2:11" x14ac:dyDescent="0.2">
      <c r="B537" s="38"/>
      <c r="C537" s="179" t="s">
        <v>319</v>
      </c>
      <c r="D537" s="40"/>
      <c r="E537" s="40"/>
      <c r="F537" s="40"/>
      <c r="G537" s="40"/>
      <c r="H537" s="40"/>
      <c r="I537" s="40"/>
      <c r="J537" s="245">
        <f>IF(OR(J526="Not Calculated",J533="Not Calculated")=TRUE,"Not Calculated",AVERAGE(J526,J533))</f>
        <v>0</v>
      </c>
      <c r="K537" s="41"/>
    </row>
    <row r="538" spans="2:11" x14ac:dyDescent="0.2">
      <c r="B538" s="38"/>
      <c r="C538" s="40"/>
      <c r="D538" s="40"/>
      <c r="E538" s="40"/>
      <c r="F538" s="40"/>
      <c r="G538" s="40"/>
      <c r="H538" s="40"/>
      <c r="I538" s="40"/>
      <c r="J538" s="40"/>
      <c r="K538" s="41"/>
    </row>
    <row r="539" spans="2:11" ht="18" x14ac:dyDescent="0.2">
      <c r="B539" s="38"/>
      <c r="C539" s="180" t="s">
        <v>302</v>
      </c>
      <c r="D539" s="40"/>
      <c r="E539" s="40"/>
      <c r="F539" s="40"/>
      <c r="G539" s="40"/>
      <c r="H539" s="40"/>
      <c r="I539" s="40"/>
      <c r="J539" s="244">
        <f>IF(OR(J440="Not Calculated",J457="Not Calculated",J473="Not Calculated",J488="Not Calculated",J504="Not Calculated",J520="Not Calculated",J537="Not Calculated")=TRUE,"Not Calculated",AVERAGE(J440,J457,J473,J488,J504,J520,J537))</f>
        <v>0.7142857142857143</v>
      </c>
      <c r="K539" s="41"/>
    </row>
    <row r="540" spans="2:11" ht="16" thickBot="1" x14ac:dyDescent="0.25">
      <c r="B540" s="46"/>
      <c r="C540" s="47"/>
      <c r="D540" s="47"/>
      <c r="E540" s="47"/>
      <c r="F540" s="47"/>
      <c r="G540" s="47"/>
      <c r="H540" s="47"/>
      <c r="I540" s="47"/>
      <c r="J540" s="47"/>
      <c r="K540" s="49"/>
    </row>
    <row r="541" spans="2:11" ht="16" thickBot="1" x14ac:dyDescent="0.25"/>
    <row r="542" spans="2:11" x14ac:dyDescent="0.2">
      <c r="B542" s="33"/>
      <c r="C542" s="34"/>
      <c r="D542" s="34"/>
      <c r="E542" s="34"/>
      <c r="F542" s="34"/>
      <c r="G542" s="34"/>
      <c r="H542" s="34"/>
      <c r="I542" s="34"/>
      <c r="J542" s="34"/>
      <c r="K542" s="37"/>
    </row>
    <row r="543" spans="2:11" ht="21" x14ac:dyDescent="0.25">
      <c r="B543" s="38"/>
      <c r="C543" s="40"/>
      <c r="D543" s="40"/>
      <c r="E543" s="40"/>
      <c r="F543" s="40"/>
      <c r="G543" s="172" t="s">
        <v>29</v>
      </c>
      <c r="H543" s="40"/>
      <c r="I543" s="40"/>
      <c r="J543" s="40"/>
      <c r="K543" s="41"/>
    </row>
    <row r="544" spans="2:11" ht="15" customHeight="1" x14ac:dyDescent="0.2">
      <c r="B544" s="38"/>
      <c r="C544" s="40"/>
      <c r="D544" s="40"/>
      <c r="E544" s="40"/>
      <c r="F544" s="40"/>
      <c r="G544" s="40"/>
      <c r="H544" s="40"/>
      <c r="I544" s="40"/>
      <c r="J544" s="40"/>
      <c r="K544" s="41"/>
    </row>
    <row r="545" spans="2:14" ht="16" x14ac:dyDescent="0.2">
      <c r="B545" s="38"/>
      <c r="C545" s="45" t="s">
        <v>88</v>
      </c>
      <c r="D545" s="40"/>
      <c r="E545" s="40"/>
      <c r="F545" s="40"/>
      <c r="G545" s="40"/>
      <c r="H545" s="40"/>
      <c r="I545" s="40"/>
      <c r="J545" s="40"/>
      <c r="K545" s="41"/>
    </row>
    <row r="546" spans="2:14" x14ac:dyDescent="0.2">
      <c r="B546" s="38"/>
      <c r="C546" s="40" t="s">
        <v>448</v>
      </c>
      <c r="D546" s="40"/>
      <c r="E546" s="40"/>
      <c r="F546" s="40"/>
      <c r="G546" s="40"/>
      <c r="H546" s="40"/>
      <c r="I546" s="40"/>
      <c r="J546" s="251">
        <f>'Baseline Health'!G123</f>
        <v>0</v>
      </c>
      <c r="K546" s="41"/>
    </row>
    <row r="547" spans="2:14" x14ac:dyDescent="0.2">
      <c r="B547" s="38"/>
      <c r="C547" s="40" t="s">
        <v>322</v>
      </c>
      <c r="D547" s="40"/>
      <c r="E547" s="40"/>
      <c r="F547" s="40"/>
      <c r="G547" s="40"/>
      <c r="H547" s="40"/>
      <c r="I547" s="40"/>
      <c r="J547" s="264">
        <v>0</v>
      </c>
      <c r="K547" s="41"/>
    </row>
    <row r="548" spans="2:14" x14ac:dyDescent="0.2">
      <c r="B548" s="38"/>
      <c r="C548" s="40" t="s">
        <v>428</v>
      </c>
      <c r="D548" s="40"/>
      <c r="E548" s="40"/>
      <c r="F548" s="40"/>
      <c r="G548" s="40"/>
      <c r="H548" s="40"/>
      <c r="I548" s="40"/>
      <c r="J548" s="264">
        <v>0</v>
      </c>
      <c r="K548" s="41"/>
    </row>
    <row r="549" spans="2:14" x14ac:dyDescent="0.2">
      <c r="B549" s="38"/>
      <c r="C549" s="40" t="s">
        <v>260</v>
      </c>
      <c r="D549" s="40"/>
      <c r="E549" s="40"/>
      <c r="F549" s="40"/>
      <c r="G549" s="40"/>
      <c r="H549" s="40"/>
      <c r="I549" s="40"/>
      <c r="J549" s="245" t="str">
        <f>IF(OR(J546=0,J546="Not Calculated")=TRUE,"Not Calculated",IF(J546-J547=0,4,(IF(((J546+J548)/(J546-J547))&lt;=1,0,IF(((J546+J548)/(J546-J547))&lt;=1.05,1,IF(((J546+J548)/(J546-J547))&lt;=1.5, 2,IF(((J546+J548)/(J546-J547))&lt;=2,3,4)))))))</f>
        <v>Not Calculated</v>
      </c>
      <c r="K549" s="41"/>
    </row>
    <row r="550" spans="2:14" ht="9.75" customHeight="1" x14ac:dyDescent="0.2">
      <c r="B550" s="38"/>
      <c r="C550" s="279" t="str">
        <f>"0:"</f>
        <v>0:</v>
      </c>
      <c r="D550" s="278" t="s">
        <v>918</v>
      </c>
      <c r="E550" s="40"/>
      <c r="F550" s="40"/>
      <c r="G550" s="40"/>
      <c r="H550" s="40"/>
      <c r="I550" s="40"/>
      <c r="J550" s="251"/>
      <c r="K550" s="41"/>
    </row>
    <row r="551" spans="2:14" ht="9.75" customHeight="1" x14ac:dyDescent="0.2">
      <c r="B551" s="38"/>
      <c r="C551" s="280" t="str">
        <f>"1:"</f>
        <v>1:</v>
      </c>
      <c r="D551" s="278" t="s">
        <v>923</v>
      </c>
      <c r="E551" s="40"/>
      <c r="F551" s="40"/>
      <c r="G551" s="40"/>
      <c r="H551" s="40"/>
      <c r="I551" s="40"/>
      <c r="J551" s="251"/>
      <c r="K551" s="41"/>
    </row>
    <row r="552" spans="2:14" ht="9.75" customHeight="1" x14ac:dyDescent="0.2">
      <c r="B552" s="38"/>
      <c r="C552" s="280" t="str">
        <f>"2:"</f>
        <v>2:</v>
      </c>
      <c r="D552" s="278" t="s">
        <v>924</v>
      </c>
      <c r="E552" s="40"/>
      <c r="F552" s="40"/>
      <c r="G552" s="40"/>
      <c r="H552" s="40"/>
      <c r="I552" s="40"/>
      <c r="J552" s="251"/>
      <c r="K552" s="41"/>
    </row>
    <row r="553" spans="2:14" ht="9.75" customHeight="1" x14ac:dyDescent="0.2">
      <c r="B553" s="38"/>
      <c r="C553" s="280" t="str">
        <f>"3:"</f>
        <v>3:</v>
      </c>
      <c r="D553" s="278" t="s">
        <v>925</v>
      </c>
      <c r="E553" s="40"/>
      <c r="F553" s="40"/>
      <c r="G553" s="40"/>
      <c r="H553" s="40"/>
      <c r="I553" s="40"/>
      <c r="J553" s="251"/>
      <c r="K553" s="41"/>
    </row>
    <row r="554" spans="2:14" ht="9.75" customHeight="1" x14ac:dyDescent="0.2">
      <c r="B554" s="38"/>
      <c r="C554" s="280" t="str">
        <f>"4:"</f>
        <v>4:</v>
      </c>
      <c r="D554" s="278" t="s">
        <v>926</v>
      </c>
      <c r="E554" s="40"/>
      <c r="F554" s="40"/>
      <c r="G554" s="40"/>
      <c r="H554" s="40"/>
      <c r="I554" s="40"/>
      <c r="J554" s="40"/>
      <c r="K554" s="41"/>
      <c r="N554" s="12" t="s">
        <v>661</v>
      </c>
    </row>
    <row r="555" spans="2:14" x14ac:dyDescent="0.2">
      <c r="B555" s="38"/>
      <c r="C555" s="174" t="s">
        <v>662</v>
      </c>
      <c r="D555" s="40"/>
      <c r="E555" s="40"/>
      <c r="F555" s="40"/>
      <c r="G555" s="40"/>
      <c r="H555" s="40"/>
      <c r="I555" s="40"/>
      <c r="J555" s="265" t="s">
        <v>661</v>
      </c>
      <c r="K555" s="41"/>
      <c r="N555" s="12" t="s">
        <v>894</v>
      </c>
    </row>
    <row r="556" spans="2:14" x14ac:dyDescent="0.2">
      <c r="B556" s="38"/>
      <c r="C556" s="174" t="s">
        <v>660</v>
      </c>
      <c r="D556" s="40"/>
      <c r="E556" s="40"/>
      <c r="F556" s="40"/>
      <c r="G556" s="40"/>
      <c r="H556" s="40"/>
      <c r="I556" s="40"/>
      <c r="J556" s="247" t="str">
        <f>IF(J555=N554,"N/A",IF(J555=N555,0,IF(J555=N556,1,IF(J555=N557,2,IF(J555=N558,3,IF(J555=N559,4,"N/A"))))))</f>
        <v>N/A</v>
      </c>
      <c r="K556" s="41"/>
      <c r="N556" s="12" t="s">
        <v>899</v>
      </c>
    </row>
    <row r="557" spans="2:14" x14ac:dyDescent="0.2">
      <c r="B557" s="38"/>
      <c r="C557" s="40" t="s">
        <v>257</v>
      </c>
      <c r="D557" s="40"/>
      <c r="E557" s="40"/>
      <c r="F557" s="40"/>
      <c r="G557" s="40"/>
      <c r="H557" s="40"/>
      <c r="I557" s="40"/>
      <c r="J557" s="266" t="s">
        <v>870</v>
      </c>
      <c r="K557" s="41"/>
      <c r="N557" s="12" t="s">
        <v>900</v>
      </c>
    </row>
    <row r="558" spans="2:14" x14ac:dyDescent="0.2">
      <c r="B558" s="38"/>
      <c r="C558" s="40" t="s">
        <v>261</v>
      </c>
      <c r="D558" s="40"/>
      <c r="E558" s="40"/>
      <c r="F558" s="40"/>
      <c r="G558" s="40"/>
      <c r="H558" s="40"/>
      <c r="I558" s="40"/>
      <c r="J558" s="245">
        <f>IF(J557=$B$973,$A$973,IF(J557=$B$974,$A$974,IF(J557=$B$975,$A$975,IF(J557=$B$976,$A$976,IF(J557=$B$977,$A$977,"Not Calculated")))))</f>
        <v>0</v>
      </c>
      <c r="K558" s="41"/>
      <c r="N558" s="12" t="s">
        <v>901</v>
      </c>
    </row>
    <row r="559" spans="2:14" x14ac:dyDescent="0.2">
      <c r="B559" s="38"/>
      <c r="C559" s="40" t="s">
        <v>893</v>
      </c>
      <c r="D559" s="40"/>
      <c r="E559" s="40"/>
      <c r="F559" s="40"/>
      <c r="G559" s="40"/>
      <c r="H559" s="40"/>
      <c r="I559" s="40"/>
      <c r="J559" s="40"/>
      <c r="K559" s="41"/>
      <c r="N559" s="12" t="s">
        <v>902</v>
      </c>
    </row>
    <row r="560" spans="2:14" ht="30" customHeight="1" x14ac:dyDescent="0.2">
      <c r="B560" s="38"/>
      <c r="C560" s="399"/>
      <c r="D560" s="400"/>
      <c r="E560" s="400"/>
      <c r="F560" s="400"/>
      <c r="G560" s="400"/>
      <c r="H560" s="400"/>
      <c r="I560" s="400"/>
      <c r="J560" s="401"/>
      <c r="K560" s="41"/>
    </row>
    <row r="561" spans="2:11" x14ac:dyDescent="0.2">
      <c r="B561" s="38"/>
      <c r="C561" s="40"/>
      <c r="D561" s="40"/>
      <c r="E561" s="40"/>
      <c r="F561" s="40"/>
      <c r="G561" s="40"/>
      <c r="H561" s="40"/>
      <c r="I561" s="40"/>
      <c r="J561" s="40"/>
      <c r="K561" s="41"/>
    </row>
    <row r="562" spans="2:11" x14ac:dyDescent="0.2">
      <c r="B562" s="38"/>
      <c r="C562" s="179" t="s">
        <v>323</v>
      </c>
      <c r="D562" s="40"/>
      <c r="E562" s="40"/>
      <c r="F562" s="40"/>
      <c r="G562" s="40"/>
      <c r="H562" s="40"/>
      <c r="I562" s="40"/>
      <c r="J562" s="245" t="str">
        <f>IF(J556="N/A",IF(OR(J549="Not Calculated",J558="Not Calculated")=TRUE,"Not Calculated",AVERAGE(J549,J558)),AVERAGE(J556,J558))</f>
        <v>Not Calculated</v>
      </c>
      <c r="K562" s="41"/>
    </row>
    <row r="563" spans="2:11" x14ac:dyDescent="0.2">
      <c r="B563" s="38"/>
      <c r="C563" s="40"/>
      <c r="D563" s="40"/>
      <c r="E563" s="40"/>
      <c r="F563" s="40"/>
      <c r="G563" s="40"/>
      <c r="H563" s="40"/>
      <c r="I563" s="40"/>
      <c r="J563" s="40"/>
      <c r="K563" s="41"/>
    </row>
    <row r="564" spans="2:11" x14ac:dyDescent="0.2">
      <c r="B564" s="38"/>
      <c r="C564" s="40"/>
      <c r="D564" s="40"/>
      <c r="E564" s="40"/>
      <c r="F564" s="40"/>
      <c r="G564" s="40"/>
      <c r="H564" s="40"/>
      <c r="I564" s="40"/>
      <c r="J564" s="40"/>
      <c r="K564" s="41"/>
    </row>
    <row r="565" spans="2:11" ht="16" x14ac:dyDescent="0.2">
      <c r="B565" s="38"/>
      <c r="C565" s="45" t="s">
        <v>89</v>
      </c>
      <c r="D565" s="40"/>
      <c r="E565" s="40"/>
      <c r="F565" s="40"/>
      <c r="G565" s="40"/>
      <c r="H565" s="40"/>
      <c r="I565" s="40"/>
      <c r="J565" s="40"/>
      <c r="K565" s="41"/>
    </row>
    <row r="566" spans="2:11" ht="15" customHeight="1" x14ac:dyDescent="0.2">
      <c r="B566" s="38"/>
      <c r="C566" s="380" t="s">
        <v>333</v>
      </c>
      <c r="D566" s="380"/>
      <c r="E566" s="380"/>
      <c r="F566" s="380"/>
      <c r="G566" s="380"/>
      <c r="H566" s="380"/>
      <c r="I566" s="380"/>
      <c r="J566" s="40"/>
      <c r="K566" s="41"/>
    </row>
    <row r="567" spans="2:11" x14ac:dyDescent="0.2">
      <c r="B567" s="38"/>
      <c r="C567" s="380"/>
      <c r="D567" s="380"/>
      <c r="E567" s="380"/>
      <c r="F567" s="380"/>
      <c r="G567" s="380"/>
      <c r="H567" s="380"/>
      <c r="I567" s="380"/>
      <c r="J567" s="40"/>
      <c r="K567" s="41"/>
    </row>
    <row r="568" spans="2:11" x14ac:dyDescent="0.2">
      <c r="B568" s="38"/>
      <c r="C568" s="380"/>
      <c r="D568" s="380"/>
      <c r="E568" s="380"/>
      <c r="F568" s="380"/>
      <c r="G568" s="380"/>
      <c r="H568" s="380"/>
      <c r="I568" s="380"/>
      <c r="J568" s="251">
        <f>'Baseline Health'!G132</f>
        <v>0</v>
      </c>
      <c r="K568" s="41"/>
    </row>
    <row r="569" spans="2:11" ht="15" customHeight="1" x14ac:dyDescent="0.2">
      <c r="B569" s="38"/>
      <c r="C569" s="380" t="s">
        <v>334</v>
      </c>
      <c r="D569" s="380"/>
      <c r="E569" s="380"/>
      <c r="F569" s="380"/>
      <c r="G569" s="380"/>
      <c r="H569" s="380"/>
      <c r="I569" s="380"/>
      <c r="J569" s="245"/>
      <c r="K569" s="41"/>
    </row>
    <row r="570" spans="2:11" x14ac:dyDescent="0.2">
      <c r="B570" s="38"/>
      <c r="C570" s="380"/>
      <c r="D570" s="380"/>
      <c r="E570" s="380"/>
      <c r="F570" s="380"/>
      <c r="G570" s="380"/>
      <c r="H570" s="380"/>
      <c r="I570" s="380"/>
      <c r="J570" s="245"/>
      <c r="K570" s="41"/>
    </row>
    <row r="571" spans="2:11" x14ac:dyDescent="0.2">
      <c r="B571" s="38"/>
      <c r="C571" s="380"/>
      <c r="D571" s="380"/>
      <c r="E571" s="380"/>
      <c r="F571" s="380"/>
      <c r="G571" s="380"/>
      <c r="H571" s="380"/>
      <c r="I571" s="380"/>
      <c r="J571" s="264">
        <f>J568*0.5</f>
        <v>0</v>
      </c>
      <c r="K571" s="41"/>
    </row>
    <row r="572" spans="2:11" x14ac:dyDescent="0.2">
      <c r="B572" s="38"/>
      <c r="C572" s="40" t="s">
        <v>260</v>
      </c>
      <c r="D572" s="40"/>
      <c r="E572" s="40"/>
      <c r="F572" s="40"/>
      <c r="G572" s="40"/>
      <c r="H572" s="40"/>
      <c r="I572" s="40"/>
      <c r="J572" s="245" t="str">
        <f>IF(OR(J568=0,J568="Not Calculated")=TRUE,"Not Calculated",IF(((J568+J571)/J568)&lt;=1,0,IF(((J568+J571)/J568)&lt;=1.05,1,IF(((J568+J571)/J568)&lt;=1.5, 2,IF(((J568+J571)/J568)&lt;=2,3,4)))))</f>
        <v>Not Calculated</v>
      </c>
      <c r="K572" s="41"/>
    </row>
    <row r="573" spans="2:11" ht="9.75" customHeight="1" x14ac:dyDescent="0.2">
      <c r="B573" s="38"/>
      <c r="C573" s="279" t="str">
        <f>"0:"</f>
        <v>0:</v>
      </c>
      <c r="D573" s="281" t="s">
        <v>918</v>
      </c>
      <c r="E573" s="291"/>
      <c r="F573" s="291"/>
      <c r="G573" s="291"/>
      <c r="H573" s="291"/>
      <c r="I573" s="291"/>
      <c r="J573" s="251"/>
      <c r="K573" s="41"/>
    </row>
    <row r="574" spans="2:11" ht="9.75" customHeight="1" x14ac:dyDescent="0.2">
      <c r="B574" s="38"/>
      <c r="C574" s="280" t="str">
        <f>"1:"</f>
        <v>1:</v>
      </c>
      <c r="D574" s="281" t="s">
        <v>919</v>
      </c>
      <c r="E574" s="291"/>
      <c r="F574" s="291"/>
      <c r="G574" s="291"/>
      <c r="H574" s="291"/>
      <c r="I574" s="291"/>
      <c r="J574" s="251"/>
      <c r="K574" s="41"/>
    </row>
    <row r="575" spans="2:11" ht="9.75" customHeight="1" x14ac:dyDescent="0.2">
      <c r="B575" s="38"/>
      <c r="C575" s="280" t="str">
        <f>"2:"</f>
        <v>2:</v>
      </c>
      <c r="D575" s="281" t="s">
        <v>920</v>
      </c>
      <c r="E575" s="291"/>
      <c r="F575" s="291"/>
      <c r="G575" s="291"/>
      <c r="H575" s="291"/>
      <c r="I575" s="291"/>
      <c r="J575" s="251"/>
      <c r="K575" s="41"/>
    </row>
    <row r="576" spans="2:11" ht="9.75" customHeight="1" x14ac:dyDescent="0.2">
      <c r="B576" s="38"/>
      <c r="C576" s="280" t="str">
        <f>"3:"</f>
        <v>3:</v>
      </c>
      <c r="D576" s="281" t="s">
        <v>921</v>
      </c>
      <c r="E576" s="291"/>
      <c r="F576" s="291"/>
      <c r="G576" s="291"/>
      <c r="H576" s="291"/>
      <c r="I576" s="291"/>
      <c r="J576" s="251"/>
      <c r="K576" s="41"/>
    </row>
    <row r="577" spans="2:14" ht="9.75" customHeight="1" x14ac:dyDescent="0.2">
      <c r="B577" s="38"/>
      <c r="C577" s="280" t="str">
        <f>"4:"</f>
        <v>4:</v>
      </c>
      <c r="D577" s="281" t="s">
        <v>922</v>
      </c>
      <c r="E577" s="40"/>
      <c r="F577" s="40"/>
      <c r="G577" s="40"/>
      <c r="H577" s="40"/>
      <c r="I577" s="40"/>
      <c r="J577" s="40"/>
      <c r="K577" s="41"/>
      <c r="N577" s="12" t="s">
        <v>661</v>
      </c>
    </row>
    <row r="578" spans="2:14" ht="15" customHeight="1" x14ac:dyDescent="0.2">
      <c r="B578" s="38"/>
      <c r="C578" s="174" t="s">
        <v>662</v>
      </c>
      <c r="D578" s="40"/>
      <c r="E578" s="40"/>
      <c r="F578" s="40"/>
      <c r="G578" s="40"/>
      <c r="H578" s="40"/>
      <c r="I578" s="40"/>
      <c r="J578" s="265" t="s">
        <v>661</v>
      </c>
      <c r="K578" s="41"/>
      <c r="N578" s="12" t="s">
        <v>894</v>
      </c>
    </row>
    <row r="579" spans="2:14" ht="15" customHeight="1" x14ac:dyDescent="0.2">
      <c r="B579" s="38"/>
      <c r="C579" s="174" t="s">
        <v>660</v>
      </c>
      <c r="D579" s="40"/>
      <c r="E579" s="40"/>
      <c r="F579" s="40"/>
      <c r="G579" s="40"/>
      <c r="H579" s="40"/>
      <c r="I579" s="40"/>
      <c r="J579" s="247" t="str">
        <f>IF(J578=N577,"N/A",IF(J578=N578,0,IF(J578=N579,1,IF(J578=N580,2,IF(J578=N581,3,IF(J578=N582,4,"N/A"))))))</f>
        <v>N/A</v>
      </c>
      <c r="K579" s="41"/>
      <c r="N579" s="12" t="s">
        <v>895</v>
      </c>
    </row>
    <row r="580" spans="2:14" x14ac:dyDescent="0.2">
      <c r="B580" s="38"/>
      <c r="C580" s="40" t="s">
        <v>257</v>
      </c>
      <c r="D580" s="40"/>
      <c r="E580" s="40"/>
      <c r="F580" s="40"/>
      <c r="G580" s="40"/>
      <c r="H580" s="40"/>
      <c r="I580" s="40"/>
      <c r="J580" s="266" t="s">
        <v>873</v>
      </c>
      <c r="K580" s="41"/>
      <c r="N580" s="12" t="s">
        <v>896</v>
      </c>
    </row>
    <row r="581" spans="2:14" x14ac:dyDescent="0.2">
      <c r="B581" s="38"/>
      <c r="C581" s="40" t="s">
        <v>261</v>
      </c>
      <c r="D581" s="40"/>
      <c r="E581" s="40"/>
      <c r="F581" s="40"/>
      <c r="G581" s="40"/>
      <c r="H581" s="40"/>
      <c r="I581" s="40"/>
      <c r="J581" s="245">
        <f>IF(J580=$B$973,$A$973,IF(J580=$B$974,$A$974,IF(J580=$B$975,$A$975,IF(J580=$B$976,$A$976,IF(J580=$B$977,$A$977,"Not Calculated")))))</f>
        <v>3</v>
      </c>
      <c r="K581" s="41"/>
      <c r="N581" s="12" t="s">
        <v>897</v>
      </c>
    </row>
    <row r="582" spans="2:14" x14ac:dyDescent="0.2">
      <c r="B582" s="38"/>
      <c r="C582" s="40" t="s">
        <v>893</v>
      </c>
      <c r="D582" s="40"/>
      <c r="E582" s="40"/>
      <c r="F582" s="40"/>
      <c r="G582" s="40"/>
      <c r="H582" s="40"/>
      <c r="I582" s="40"/>
      <c r="J582" s="40"/>
      <c r="K582" s="41"/>
      <c r="N582" s="12" t="s">
        <v>898</v>
      </c>
    </row>
    <row r="583" spans="2:14" ht="30" customHeight="1" x14ac:dyDescent="0.2">
      <c r="B583" s="38"/>
      <c r="C583" s="399" t="s">
        <v>562</v>
      </c>
      <c r="D583" s="400"/>
      <c r="E583" s="400"/>
      <c r="F583" s="400"/>
      <c r="G583" s="400"/>
      <c r="H583" s="400"/>
      <c r="I583" s="400"/>
      <c r="J583" s="401"/>
      <c r="K583" s="41"/>
    </row>
    <row r="584" spans="2:14" x14ac:dyDescent="0.2">
      <c r="B584" s="38"/>
      <c r="C584" s="40"/>
      <c r="D584" s="40"/>
      <c r="E584" s="40"/>
      <c r="F584" s="40"/>
      <c r="G584" s="40"/>
      <c r="H584" s="40"/>
      <c r="I584" s="40"/>
      <c r="J584" s="40"/>
      <c r="K584" s="41"/>
    </row>
    <row r="585" spans="2:14" x14ac:dyDescent="0.2">
      <c r="B585" s="38"/>
      <c r="C585" s="179" t="s">
        <v>324</v>
      </c>
      <c r="D585" s="40"/>
      <c r="E585" s="40"/>
      <c r="F585" s="40"/>
      <c r="G585" s="40"/>
      <c r="H585" s="40"/>
      <c r="I585" s="40"/>
      <c r="J585" s="245" t="str">
        <f>IF(J579="N/A",IF(OR(J572="Not Calculated",J581="Not Calculated")=TRUE,"Not Calculated",AVERAGE(J572,J581)),AVERAGE(J579,J581))</f>
        <v>Not Calculated</v>
      </c>
      <c r="K585" s="41"/>
    </row>
    <row r="586" spans="2:14" x14ac:dyDescent="0.2">
      <c r="B586" s="38"/>
      <c r="C586" s="40"/>
      <c r="D586" s="40"/>
      <c r="E586" s="40"/>
      <c r="F586" s="40"/>
      <c r="G586" s="40"/>
      <c r="H586" s="40"/>
      <c r="I586" s="40"/>
      <c r="J586" s="40"/>
      <c r="K586" s="41"/>
    </row>
    <row r="587" spans="2:14" x14ac:dyDescent="0.2">
      <c r="B587" s="38"/>
      <c r="C587" s="40"/>
      <c r="D587" s="40"/>
      <c r="E587" s="40"/>
      <c r="F587" s="40"/>
      <c r="G587" s="40"/>
      <c r="H587" s="40"/>
      <c r="I587" s="40"/>
      <c r="J587" s="40"/>
      <c r="K587" s="41"/>
    </row>
    <row r="588" spans="2:14" ht="16" x14ac:dyDescent="0.2">
      <c r="B588" s="38"/>
      <c r="C588" s="45" t="s">
        <v>115</v>
      </c>
      <c r="D588" s="40"/>
      <c r="E588" s="40"/>
      <c r="F588" s="40"/>
      <c r="G588" s="40"/>
      <c r="H588" s="40"/>
      <c r="I588" s="40"/>
      <c r="J588" s="40"/>
      <c r="K588" s="41"/>
    </row>
    <row r="589" spans="2:14" x14ac:dyDescent="0.2">
      <c r="B589" s="38"/>
      <c r="C589" s="40" t="s">
        <v>335</v>
      </c>
      <c r="D589" s="40"/>
      <c r="E589" s="40"/>
      <c r="F589" s="40"/>
      <c r="G589" s="40"/>
      <c r="H589" s="40"/>
      <c r="I589" s="40"/>
      <c r="J589" s="264">
        <v>0</v>
      </c>
      <c r="K589" s="41"/>
    </row>
    <row r="590" spans="2:14" x14ac:dyDescent="0.2">
      <c r="B590" s="38"/>
      <c r="C590" s="40" t="s">
        <v>260</v>
      </c>
      <c r="D590" s="40"/>
      <c r="E590" s="40"/>
      <c r="F590" s="40"/>
      <c r="G590" s="40"/>
      <c r="H590" s="40"/>
      <c r="I590" s="40"/>
      <c r="J590" s="255">
        <f>IF(J589&lt;=0,0,IF(J589&lt;=1000,1,IF(J589&lt;=5000,2,IF(J589&lt;=25000,3,4))))</f>
        <v>0</v>
      </c>
      <c r="K590" s="41"/>
    </row>
    <row r="591" spans="2:14" ht="9.75" customHeight="1" x14ac:dyDescent="0.2">
      <c r="B591" s="38"/>
      <c r="C591" s="279" t="str">
        <f>"0:"</f>
        <v>0:</v>
      </c>
      <c r="D591" s="284" t="s">
        <v>970</v>
      </c>
      <c r="E591" s="40"/>
      <c r="F591" s="40"/>
      <c r="G591" s="40"/>
      <c r="H591" s="40"/>
      <c r="I591" s="40"/>
      <c r="J591" s="251"/>
      <c r="K591" s="41"/>
    </row>
    <row r="592" spans="2:14" ht="9.75" customHeight="1" x14ac:dyDescent="0.2">
      <c r="B592" s="38"/>
      <c r="C592" s="280" t="str">
        <f>"1:"</f>
        <v>1:</v>
      </c>
      <c r="D592" s="284" t="s">
        <v>961</v>
      </c>
      <c r="E592" s="40"/>
      <c r="F592" s="40"/>
      <c r="G592" s="40"/>
      <c r="H592" s="40"/>
      <c r="I592" s="40"/>
      <c r="J592" s="251"/>
      <c r="K592" s="41"/>
    </row>
    <row r="593" spans="2:11" ht="9.75" customHeight="1" x14ac:dyDescent="0.2">
      <c r="B593" s="38"/>
      <c r="C593" s="280" t="str">
        <f>"2:"</f>
        <v>2:</v>
      </c>
      <c r="D593" s="284" t="s">
        <v>971</v>
      </c>
      <c r="E593" s="40"/>
      <c r="F593" s="40"/>
      <c r="G593" s="40"/>
      <c r="H593" s="40"/>
      <c r="I593" s="40"/>
      <c r="J593" s="251"/>
      <c r="K593" s="41"/>
    </row>
    <row r="594" spans="2:11" ht="9.75" customHeight="1" x14ac:dyDescent="0.2">
      <c r="B594" s="38"/>
      <c r="C594" s="280" t="str">
        <f>"3:"</f>
        <v>3:</v>
      </c>
      <c r="D594" s="284" t="s">
        <v>963</v>
      </c>
      <c r="E594" s="40"/>
      <c r="F594" s="40"/>
      <c r="G594" s="40"/>
      <c r="H594" s="40"/>
      <c r="I594" s="40"/>
      <c r="J594" s="251"/>
      <c r="K594" s="41"/>
    </row>
    <row r="595" spans="2:11" ht="9.75" customHeight="1" x14ac:dyDescent="0.2">
      <c r="B595" s="38"/>
      <c r="C595" s="280" t="str">
        <f>"4:"</f>
        <v>4:</v>
      </c>
      <c r="D595" s="284" t="s">
        <v>964</v>
      </c>
      <c r="E595" s="40"/>
      <c r="F595" s="40"/>
      <c r="G595" s="40"/>
      <c r="H595" s="40"/>
      <c r="I595" s="40"/>
      <c r="J595" s="40"/>
      <c r="K595" s="41"/>
    </row>
    <row r="596" spans="2:11" ht="15" customHeight="1" x14ac:dyDescent="0.2">
      <c r="B596" s="38"/>
      <c r="C596" s="40" t="s">
        <v>257</v>
      </c>
      <c r="D596" s="40"/>
      <c r="E596" s="40"/>
      <c r="F596" s="40"/>
      <c r="G596" s="40"/>
      <c r="H596" s="40"/>
      <c r="I596" s="40"/>
      <c r="J596" s="266" t="s">
        <v>870</v>
      </c>
      <c r="K596" s="41"/>
    </row>
    <row r="597" spans="2:11" ht="15" customHeight="1" x14ac:dyDescent="0.2">
      <c r="B597" s="38"/>
      <c r="C597" s="40" t="s">
        <v>261</v>
      </c>
      <c r="D597" s="40"/>
      <c r="E597" s="40"/>
      <c r="F597" s="40"/>
      <c r="G597" s="40"/>
      <c r="H597" s="40"/>
      <c r="I597" s="40"/>
      <c r="J597" s="245">
        <f>IF(J596=$B$973,$A$973,IF(J596=$B$974,$A$974,IF(J596=$B$975,$A$975,IF(J596=$B$976,$A$976,IF(J596=$B$977,$A$977,"Not Calculated")))))</f>
        <v>0</v>
      </c>
      <c r="K597" s="41"/>
    </row>
    <row r="598" spans="2:11" x14ac:dyDescent="0.2">
      <c r="B598" s="38"/>
      <c r="C598" s="40" t="s">
        <v>893</v>
      </c>
      <c r="D598" s="40"/>
      <c r="E598" s="40"/>
      <c r="F598" s="40"/>
      <c r="G598" s="40"/>
      <c r="H598" s="40"/>
      <c r="I598" s="40"/>
      <c r="J598" s="40"/>
      <c r="K598" s="41"/>
    </row>
    <row r="599" spans="2:11" ht="30" customHeight="1" x14ac:dyDescent="0.2">
      <c r="B599" s="38"/>
      <c r="C599" s="399"/>
      <c r="D599" s="400"/>
      <c r="E599" s="400"/>
      <c r="F599" s="400"/>
      <c r="G599" s="400"/>
      <c r="H599" s="400"/>
      <c r="I599" s="400"/>
      <c r="J599" s="401"/>
      <c r="K599" s="41"/>
    </row>
    <row r="600" spans="2:11" x14ac:dyDescent="0.2">
      <c r="B600" s="38"/>
      <c r="C600" s="40"/>
      <c r="D600" s="40"/>
      <c r="E600" s="40"/>
      <c r="F600" s="40"/>
      <c r="G600" s="40"/>
      <c r="H600" s="40"/>
      <c r="I600" s="40"/>
      <c r="J600" s="40"/>
      <c r="K600" s="41"/>
    </row>
    <row r="601" spans="2:11" x14ac:dyDescent="0.2">
      <c r="B601" s="38"/>
      <c r="C601" s="179" t="s">
        <v>325</v>
      </c>
      <c r="D601" s="40"/>
      <c r="E601" s="40"/>
      <c r="F601" s="40"/>
      <c r="G601" s="40"/>
      <c r="H601" s="40"/>
      <c r="I601" s="40"/>
      <c r="J601" s="245">
        <f>IF(J590="Not Calculated","Not Calculated",AVERAGE(J590,J597))</f>
        <v>0</v>
      </c>
      <c r="K601" s="41"/>
    </row>
    <row r="602" spans="2:11" x14ac:dyDescent="0.2">
      <c r="B602" s="38"/>
      <c r="C602" s="40"/>
      <c r="D602" s="40"/>
      <c r="E602" s="40"/>
      <c r="F602" s="40"/>
      <c r="G602" s="40"/>
      <c r="H602" s="40"/>
      <c r="I602" s="40"/>
      <c r="J602" s="40"/>
      <c r="K602" s="41"/>
    </row>
    <row r="603" spans="2:11" x14ac:dyDescent="0.2">
      <c r="B603" s="38"/>
      <c r="C603" s="40"/>
      <c r="D603" s="40"/>
      <c r="E603" s="40"/>
      <c r="F603" s="40"/>
      <c r="G603" s="40"/>
      <c r="H603" s="40"/>
      <c r="I603" s="40"/>
      <c r="J603" s="40"/>
      <c r="K603" s="41"/>
    </row>
    <row r="604" spans="2:11" ht="16" x14ac:dyDescent="0.2">
      <c r="B604" s="38"/>
      <c r="C604" s="45" t="s">
        <v>326</v>
      </c>
      <c r="D604" s="40"/>
      <c r="E604" s="40"/>
      <c r="F604" s="40"/>
      <c r="G604" s="40"/>
      <c r="H604" s="40"/>
      <c r="I604" s="40"/>
      <c r="J604" s="40"/>
      <c r="K604" s="41"/>
    </row>
    <row r="605" spans="2:11" x14ac:dyDescent="0.2">
      <c r="B605" s="38"/>
      <c r="C605" s="40" t="s">
        <v>336</v>
      </c>
      <c r="D605" s="40"/>
      <c r="E605" s="40"/>
      <c r="F605" s="40"/>
      <c r="G605" s="40"/>
      <c r="H605" s="40"/>
      <c r="I605" s="40"/>
      <c r="J605" s="271">
        <v>0</v>
      </c>
      <c r="K605" s="41"/>
    </row>
    <row r="606" spans="2:11" x14ac:dyDescent="0.2">
      <c r="B606" s="38"/>
      <c r="C606" s="40" t="s">
        <v>260</v>
      </c>
      <c r="D606" s="40"/>
      <c r="E606" s="40"/>
      <c r="F606" s="40"/>
      <c r="G606" s="40"/>
      <c r="H606" s="40"/>
      <c r="I606" s="40"/>
      <c r="J606" s="248">
        <f>IF(J605&lt;=0,0,IF(J605&lt;=10,1,IF(J605&lt;=25,2,IF(J605&lt;=50,3,4))))</f>
        <v>0</v>
      </c>
      <c r="K606" s="41"/>
    </row>
    <row r="607" spans="2:11" ht="9.75" customHeight="1" x14ac:dyDescent="0.2">
      <c r="B607" s="38"/>
      <c r="C607" s="279" t="str">
        <f>"0:"</f>
        <v>0:</v>
      </c>
      <c r="D607" s="290" t="s">
        <v>944</v>
      </c>
      <c r="E607" s="40"/>
      <c r="F607" s="40"/>
      <c r="G607" s="40"/>
      <c r="H607" s="40"/>
      <c r="I607" s="40"/>
      <c r="J607" s="244"/>
      <c r="K607" s="41"/>
    </row>
    <row r="608" spans="2:11" ht="9.75" customHeight="1" x14ac:dyDescent="0.2">
      <c r="B608" s="38"/>
      <c r="C608" s="280" t="str">
        <f>"1:"</f>
        <v>1:</v>
      </c>
      <c r="D608" s="290" t="s">
        <v>947</v>
      </c>
      <c r="E608" s="40"/>
      <c r="F608" s="40"/>
      <c r="G608" s="40"/>
      <c r="H608" s="40"/>
      <c r="I608" s="40"/>
      <c r="J608" s="244"/>
      <c r="K608" s="41"/>
    </row>
    <row r="609" spans="2:11" ht="9.75" customHeight="1" x14ac:dyDescent="0.2">
      <c r="B609" s="38"/>
      <c r="C609" s="280" t="str">
        <f>"2:"</f>
        <v>2:</v>
      </c>
      <c r="D609" s="290" t="s">
        <v>972</v>
      </c>
      <c r="E609" s="40"/>
      <c r="F609" s="40"/>
      <c r="G609" s="40"/>
      <c r="H609" s="40"/>
      <c r="I609" s="40"/>
      <c r="J609" s="244"/>
      <c r="K609" s="41"/>
    </row>
    <row r="610" spans="2:11" ht="9.75" customHeight="1" x14ac:dyDescent="0.2">
      <c r="B610" s="38"/>
      <c r="C610" s="280" t="str">
        <f>"3:"</f>
        <v>3:</v>
      </c>
      <c r="D610" s="290" t="s">
        <v>973</v>
      </c>
      <c r="E610" s="40"/>
      <c r="F610" s="40"/>
      <c r="G610" s="40"/>
      <c r="H610" s="40"/>
      <c r="I610" s="40"/>
      <c r="J610" s="244"/>
      <c r="K610" s="41"/>
    </row>
    <row r="611" spans="2:11" ht="9.75" customHeight="1" x14ac:dyDescent="0.2">
      <c r="B611" s="38"/>
      <c r="C611" s="280" t="str">
        <f>"4:"</f>
        <v>4:</v>
      </c>
      <c r="D611" s="290" t="s">
        <v>974</v>
      </c>
      <c r="E611" s="40"/>
      <c r="F611" s="40"/>
      <c r="G611" s="40"/>
      <c r="H611" s="40"/>
      <c r="I611" s="40"/>
      <c r="J611" s="40"/>
      <c r="K611" s="41"/>
    </row>
    <row r="612" spans="2:11" x14ac:dyDescent="0.2">
      <c r="B612" s="38"/>
      <c r="C612" s="40" t="s">
        <v>893</v>
      </c>
      <c r="D612" s="40"/>
      <c r="E612" s="40"/>
      <c r="F612" s="40"/>
      <c r="G612" s="40"/>
      <c r="H612" s="40"/>
      <c r="I612" s="40"/>
      <c r="J612" s="40"/>
      <c r="K612" s="41"/>
    </row>
    <row r="613" spans="2:11" ht="30" customHeight="1" x14ac:dyDescent="0.2">
      <c r="B613" s="38"/>
      <c r="C613" s="399"/>
      <c r="D613" s="400"/>
      <c r="E613" s="400"/>
      <c r="F613" s="400"/>
      <c r="G613" s="400"/>
      <c r="H613" s="400"/>
      <c r="I613" s="400"/>
      <c r="J613" s="401"/>
      <c r="K613" s="41"/>
    </row>
    <row r="614" spans="2:11" x14ac:dyDescent="0.2">
      <c r="B614" s="38"/>
      <c r="C614" s="40"/>
      <c r="D614" s="40"/>
      <c r="E614" s="40"/>
      <c r="F614" s="40"/>
      <c r="G614" s="40"/>
      <c r="H614" s="40"/>
      <c r="I614" s="40"/>
      <c r="J614" s="40"/>
      <c r="K614" s="41"/>
    </row>
    <row r="615" spans="2:11" x14ac:dyDescent="0.2">
      <c r="B615" s="38"/>
      <c r="C615" s="179" t="s">
        <v>327</v>
      </c>
      <c r="D615" s="40"/>
      <c r="E615" s="40"/>
      <c r="F615" s="40"/>
      <c r="G615" s="40"/>
      <c r="H615" s="40"/>
      <c r="I615" s="40"/>
      <c r="J615" s="245">
        <f>J606</f>
        <v>0</v>
      </c>
      <c r="K615" s="41"/>
    </row>
    <row r="616" spans="2:11" x14ac:dyDescent="0.2">
      <c r="B616" s="38"/>
      <c r="C616" s="40"/>
      <c r="D616" s="40"/>
      <c r="E616" s="40"/>
      <c r="F616" s="40"/>
      <c r="G616" s="40"/>
      <c r="H616" s="40"/>
      <c r="I616" s="40"/>
      <c r="J616" s="40"/>
      <c r="K616" s="41"/>
    </row>
    <row r="617" spans="2:11" x14ac:dyDescent="0.2">
      <c r="B617" s="38"/>
      <c r="C617" s="40"/>
      <c r="D617" s="40"/>
      <c r="E617" s="40"/>
      <c r="F617" s="40"/>
      <c r="G617" s="40"/>
      <c r="H617" s="40"/>
      <c r="I617" s="40"/>
      <c r="J617" s="40"/>
      <c r="K617" s="41"/>
    </row>
    <row r="618" spans="2:11" ht="16" x14ac:dyDescent="0.2">
      <c r="B618" s="38"/>
      <c r="C618" s="45" t="s">
        <v>92</v>
      </c>
      <c r="D618" s="40"/>
      <c r="E618" s="40"/>
      <c r="F618" s="40"/>
      <c r="G618" s="40"/>
      <c r="H618" s="40"/>
      <c r="I618" s="40"/>
      <c r="J618" s="40"/>
      <c r="K618" s="41"/>
    </row>
    <row r="619" spans="2:11" x14ac:dyDescent="0.2">
      <c r="B619" s="38"/>
      <c r="C619" s="40" t="s">
        <v>337</v>
      </c>
      <c r="D619" s="40"/>
      <c r="E619" s="40"/>
      <c r="F619" s="40"/>
      <c r="G619" s="40"/>
      <c r="H619" s="40"/>
      <c r="I619" s="40"/>
      <c r="J619" s="251">
        <f>'Baseline Health'!G137</f>
        <v>1</v>
      </c>
      <c r="K619" s="41"/>
    </row>
    <row r="620" spans="2:11" ht="15" customHeight="1" x14ac:dyDescent="0.2">
      <c r="B620" s="38"/>
      <c r="C620" s="380" t="s">
        <v>338</v>
      </c>
      <c r="D620" s="380"/>
      <c r="E620" s="380"/>
      <c r="F620" s="380"/>
      <c r="G620" s="380"/>
      <c r="H620" s="380"/>
      <c r="I620" s="380"/>
      <c r="J620" s="251"/>
      <c r="K620" s="41"/>
    </row>
    <row r="621" spans="2:11" x14ac:dyDescent="0.2">
      <c r="B621" s="38"/>
      <c r="C621" s="380"/>
      <c r="D621" s="380"/>
      <c r="E621" s="380"/>
      <c r="F621" s="380"/>
      <c r="G621" s="380"/>
      <c r="H621" s="380"/>
      <c r="I621" s="380"/>
      <c r="J621" s="264">
        <v>0</v>
      </c>
      <c r="K621" s="41"/>
    </row>
    <row r="622" spans="2:11" x14ac:dyDescent="0.2">
      <c r="B622" s="38"/>
      <c r="C622" s="40" t="s">
        <v>260</v>
      </c>
      <c r="D622" s="40"/>
      <c r="E622" s="40"/>
      <c r="F622" s="40"/>
      <c r="G622" s="40"/>
      <c r="H622" s="40"/>
      <c r="I622" s="40"/>
      <c r="J622" s="245">
        <f>IF(OR(J619=0,J619="Not Calculated")=TRUE,"Not Calculated",IF(((J619+J621)/J619)&lt;=1,0,IF(((J619+J621)/J619)&lt;=1.05,1,IF(((J619+J621)/J619)&lt;=1.5, 2,IF(((J619+J621)/J619)&lt;=2,3,4)))))</f>
        <v>0</v>
      </c>
      <c r="K622" s="41"/>
    </row>
    <row r="623" spans="2:11" ht="9.75" customHeight="1" x14ac:dyDescent="0.2">
      <c r="B623" s="38"/>
      <c r="C623" s="279" t="str">
        <f>"0:"</f>
        <v>0:</v>
      </c>
      <c r="D623" s="281" t="s">
        <v>918</v>
      </c>
      <c r="E623" s="291"/>
      <c r="F623" s="291"/>
      <c r="G623" s="291"/>
      <c r="H623" s="291"/>
      <c r="I623" s="291"/>
      <c r="J623" s="251"/>
      <c r="K623" s="41"/>
    </row>
    <row r="624" spans="2:11" ht="9.75" customHeight="1" x14ac:dyDescent="0.2">
      <c r="B624" s="38"/>
      <c r="C624" s="280" t="str">
        <f>"1:"</f>
        <v>1:</v>
      </c>
      <c r="D624" s="281" t="s">
        <v>919</v>
      </c>
      <c r="E624" s="291"/>
      <c r="F624" s="291"/>
      <c r="G624" s="291"/>
      <c r="H624" s="291"/>
      <c r="I624" s="291"/>
      <c r="J624" s="251"/>
      <c r="K624" s="41"/>
    </row>
    <row r="625" spans="2:14" ht="9.75" customHeight="1" x14ac:dyDescent="0.2">
      <c r="B625" s="38"/>
      <c r="C625" s="280" t="str">
        <f>"2:"</f>
        <v>2:</v>
      </c>
      <c r="D625" s="281" t="s">
        <v>920</v>
      </c>
      <c r="E625" s="291"/>
      <c r="F625" s="291"/>
      <c r="G625" s="291"/>
      <c r="H625" s="291"/>
      <c r="I625" s="291"/>
      <c r="J625" s="251"/>
      <c r="K625" s="41"/>
    </row>
    <row r="626" spans="2:14" ht="9.75" customHeight="1" x14ac:dyDescent="0.2">
      <c r="B626" s="38"/>
      <c r="C626" s="280" t="str">
        <f>"3:"</f>
        <v>3:</v>
      </c>
      <c r="D626" s="281" t="s">
        <v>921</v>
      </c>
      <c r="E626" s="291"/>
      <c r="F626" s="291"/>
      <c r="G626" s="291"/>
      <c r="H626" s="291"/>
      <c r="I626" s="291"/>
      <c r="J626" s="251"/>
      <c r="K626" s="41"/>
    </row>
    <row r="627" spans="2:14" ht="9.75" customHeight="1" x14ac:dyDescent="0.2">
      <c r="B627" s="38"/>
      <c r="C627" s="280" t="str">
        <f>"4:"</f>
        <v>4:</v>
      </c>
      <c r="D627" s="281" t="s">
        <v>922</v>
      </c>
      <c r="E627" s="40"/>
      <c r="F627" s="40"/>
      <c r="G627" s="40"/>
      <c r="H627" s="40"/>
      <c r="I627" s="40"/>
      <c r="J627" s="40"/>
      <c r="K627" s="41"/>
      <c r="N627" s="12" t="s">
        <v>661</v>
      </c>
    </row>
    <row r="628" spans="2:14" x14ac:dyDescent="0.2">
      <c r="B628" s="38"/>
      <c r="C628" s="174" t="s">
        <v>662</v>
      </c>
      <c r="D628" s="40"/>
      <c r="E628" s="40"/>
      <c r="F628" s="40"/>
      <c r="G628" s="40"/>
      <c r="H628" s="40"/>
      <c r="I628" s="40"/>
      <c r="J628" s="265" t="s">
        <v>661</v>
      </c>
      <c r="K628" s="41"/>
      <c r="N628" s="12" t="s">
        <v>894</v>
      </c>
    </row>
    <row r="629" spans="2:14" x14ac:dyDescent="0.2">
      <c r="B629" s="38"/>
      <c r="C629" s="174" t="s">
        <v>660</v>
      </c>
      <c r="D629" s="40"/>
      <c r="E629" s="40"/>
      <c r="F629" s="40"/>
      <c r="G629" s="40"/>
      <c r="H629" s="40"/>
      <c r="I629" s="40"/>
      <c r="J629" s="247" t="str">
        <f>IF(J628=N627,"N/A",IF(J628=N628,0,IF(J628=N629,1,IF(J628=N630,2,IF(J628=N631,3,IF(J628=N632,4,"N/A"))))))</f>
        <v>N/A</v>
      </c>
      <c r="K629" s="41"/>
      <c r="N629" s="12" t="s">
        <v>895</v>
      </c>
    </row>
    <row r="630" spans="2:14" x14ac:dyDescent="0.2">
      <c r="B630" s="38"/>
      <c r="C630" s="40" t="s">
        <v>257</v>
      </c>
      <c r="D630" s="40"/>
      <c r="E630" s="40"/>
      <c r="F630" s="40"/>
      <c r="G630" s="40"/>
      <c r="H630" s="40"/>
      <c r="I630" s="40"/>
      <c r="J630" s="266" t="s">
        <v>870</v>
      </c>
      <c r="K630" s="41"/>
      <c r="N630" s="12" t="s">
        <v>896</v>
      </c>
    </row>
    <row r="631" spans="2:14" x14ac:dyDescent="0.2">
      <c r="B631" s="38"/>
      <c r="C631" s="40" t="s">
        <v>261</v>
      </c>
      <c r="D631" s="40"/>
      <c r="E631" s="40"/>
      <c r="F631" s="40"/>
      <c r="G631" s="40"/>
      <c r="H631" s="40"/>
      <c r="I631" s="40"/>
      <c r="J631" s="245">
        <f>IF(J630=$B$973,$A$973,IF(J630=$B$974,$A$974,IF(J630=$B$975,$A$975,IF(J630=$B$976,$A$976,IF(J630=$B$977,$A$977,"Not Calculated")))))</f>
        <v>0</v>
      </c>
      <c r="K631" s="41"/>
      <c r="N631" s="12" t="s">
        <v>897</v>
      </c>
    </row>
    <row r="632" spans="2:14" x14ac:dyDescent="0.2">
      <c r="B632" s="38"/>
      <c r="C632" s="40" t="s">
        <v>893</v>
      </c>
      <c r="D632" s="40"/>
      <c r="E632" s="40"/>
      <c r="F632" s="40"/>
      <c r="G632" s="40"/>
      <c r="H632" s="40"/>
      <c r="I632" s="40"/>
      <c r="J632" s="40"/>
      <c r="K632" s="41"/>
      <c r="N632" s="12" t="s">
        <v>898</v>
      </c>
    </row>
    <row r="633" spans="2:14" ht="30" customHeight="1" x14ac:dyDescent="0.2">
      <c r="B633" s="38"/>
      <c r="C633" s="399"/>
      <c r="D633" s="400"/>
      <c r="E633" s="400"/>
      <c r="F633" s="400"/>
      <c r="G633" s="400"/>
      <c r="H633" s="400"/>
      <c r="I633" s="400"/>
      <c r="J633" s="401"/>
      <c r="K633" s="41"/>
    </row>
    <row r="634" spans="2:14" x14ac:dyDescent="0.2">
      <c r="B634" s="38"/>
      <c r="C634" s="40"/>
      <c r="D634" s="40"/>
      <c r="E634" s="40"/>
      <c r="F634" s="40"/>
      <c r="G634" s="40"/>
      <c r="H634" s="40"/>
      <c r="I634" s="40"/>
      <c r="J634" s="40"/>
      <c r="K634" s="41"/>
    </row>
    <row r="635" spans="2:14" x14ac:dyDescent="0.2">
      <c r="B635" s="38"/>
      <c r="C635" s="179" t="s">
        <v>328</v>
      </c>
      <c r="D635" s="40"/>
      <c r="E635" s="40"/>
      <c r="F635" s="40"/>
      <c r="G635" s="40"/>
      <c r="H635" s="40"/>
      <c r="I635" s="40"/>
      <c r="J635" s="245">
        <f>IF(J629="N/A",IF(OR(J622="Not Calculated",J631="Not Calculated")=TRUE,"Not Calculated",AVERAGE(J622,J631)),AVERAGE(J629,J631))</f>
        <v>0</v>
      </c>
      <c r="K635" s="41"/>
    </row>
    <row r="636" spans="2:14" x14ac:dyDescent="0.2">
      <c r="B636" s="38"/>
      <c r="C636" s="40"/>
      <c r="D636" s="40"/>
      <c r="E636" s="40"/>
      <c r="F636" s="40"/>
      <c r="G636" s="40"/>
      <c r="H636" s="40"/>
      <c r="I636" s="40"/>
      <c r="J636" s="40"/>
      <c r="K636" s="41"/>
    </row>
    <row r="637" spans="2:14" x14ac:dyDescent="0.2">
      <c r="B637" s="38"/>
      <c r="C637" s="40"/>
      <c r="D637" s="40"/>
      <c r="E637" s="40"/>
      <c r="F637" s="40"/>
      <c r="G637" s="40"/>
      <c r="H637" s="40"/>
      <c r="I637" s="40"/>
      <c r="J637" s="40"/>
      <c r="K637" s="41"/>
    </row>
    <row r="638" spans="2:14" ht="16" x14ac:dyDescent="0.2">
      <c r="B638" s="38"/>
      <c r="C638" s="45" t="s">
        <v>329</v>
      </c>
      <c r="D638" s="40"/>
      <c r="E638" s="40"/>
      <c r="F638" s="40"/>
      <c r="G638" s="40"/>
      <c r="H638" s="40"/>
      <c r="I638" s="40"/>
      <c r="J638" s="40"/>
      <c r="K638" s="41"/>
    </row>
    <row r="639" spans="2:14" ht="15" customHeight="1" x14ac:dyDescent="0.2">
      <c r="B639" s="38"/>
      <c r="C639" s="380" t="s">
        <v>339</v>
      </c>
      <c r="D639" s="380"/>
      <c r="E639" s="380"/>
      <c r="F639" s="380"/>
      <c r="G639" s="380"/>
      <c r="H639" s="380"/>
      <c r="I639" s="380"/>
      <c r="J639" s="40"/>
      <c r="K639" s="41"/>
    </row>
    <row r="640" spans="2:14" x14ac:dyDescent="0.2">
      <c r="B640" s="38"/>
      <c r="C640" s="380"/>
      <c r="D640" s="380"/>
      <c r="E640" s="380"/>
      <c r="F640" s="380"/>
      <c r="G640" s="380"/>
      <c r="H640" s="380"/>
      <c r="I640" s="380"/>
      <c r="J640" s="250">
        <f>'Baseline Health'!G145</f>
        <v>0</v>
      </c>
      <c r="K640" s="41"/>
    </row>
    <row r="641" spans="2:14" ht="15" customHeight="1" x14ac:dyDescent="0.2">
      <c r="B641" s="38"/>
      <c r="C641" s="380" t="s">
        <v>340</v>
      </c>
      <c r="D641" s="380"/>
      <c r="E641" s="380"/>
      <c r="F641" s="380"/>
      <c r="G641" s="380"/>
      <c r="H641" s="380"/>
      <c r="I641" s="380"/>
      <c r="J641" s="245"/>
      <c r="K641" s="41"/>
    </row>
    <row r="642" spans="2:14" x14ac:dyDescent="0.2">
      <c r="B642" s="38"/>
      <c r="C642" s="380"/>
      <c r="D642" s="380"/>
      <c r="E642" s="380"/>
      <c r="F642" s="380"/>
      <c r="G642" s="380"/>
      <c r="H642" s="380"/>
      <c r="I642" s="380"/>
      <c r="J642" s="245"/>
      <c r="K642" s="41"/>
    </row>
    <row r="643" spans="2:14" x14ac:dyDescent="0.2">
      <c r="B643" s="38"/>
      <c r="C643" s="380"/>
      <c r="D643" s="380"/>
      <c r="E643" s="380"/>
      <c r="F643" s="380"/>
      <c r="G643" s="380"/>
      <c r="H643" s="380"/>
      <c r="I643" s="380"/>
      <c r="J643" s="272">
        <v>12</v>
      </c>
      <c r="K643" s="41"/>
    </row>
    <row r="644" spans="2:14" x14ac:dyDescent="0.2">
      <c r="B644" s="38"/>
      <c r="C644" s="40" t="s">
        <v>260</v>
      </c>
      <c r="D644" s="40"/>
      <c r="E644" s="40"/>
      <c r="F644" s="40"/>
      <c r="G644" s="40"/>
      <c r="H644" s="40"/>
      <c r="I644" s="40"/>
      <c r="J644" s="245" t="str">
        <f>IF(OR(J640=0,J640="Not Calculated")=TRUE,"Not Calculated",IF(((J640+J643)/J640)&lt;=1,0,IF(((J640+J643)/J640)&lt;=1.05,1,IF(((J640+J643)/J640)&lt;=1.5, 2,IF(((J640+J643)/J640)&lt;=2,3,4)))))</f>
        <v>Not Calculated</v>
      </c>
      <c r="K644" s="41"/>
    </row>
    <row r="645" spans="2:14" ht="9.75" customHeight="1" x14ac:dyDescent="0.2">
      <c r="B645" s="38"/>
      <c r="C645" s="279" t="str">
        <f>"0:"</f>
        <v>0:</v>
      </c>
      <c r="D645" s="281" t="s">
        <v>918</v>
      </c>
      <c r="E645" s="291"/>
      <c r="F645" s="291"/>
      <c r="G645" s="291"/>
      <c r="H645" s="291"/>
      <c r="I645" s="291"/>
      <c r="J645" s="250"/>
      <c r="K645" s="41"/>
    </row>
    <row r="646" spans="2:14" ht="9.75" customHeight="1" x14ac:dyDescent="0.2">
      <c r="B646" s="38"/>
      <c r="C646" s="280" t="str">
        <f>"1:"</f>
        <v>1:</v>
      </c>
      <c r="D646" s="281" t="s">
        <v>919</v>
      </c>
      <c r="E646" s="291"/>
      <c r="F646" s="291"/>
      <c r="G646" s="291"/>
      <c r="H646" s="291"/>
      <c r="I646" s="291"/>
      <c r="J646" s="250"/>
      <c r="K646" s="41"/>
    </row>
    <row r="647" spans="2:14" ht="9.75" customHeight="1" x14ac:dyDescent="0.2">
      <c r="B647" s="38"/>
      <c r="C647" s="280" t="str">
        <f>"2:"</f>
        <v>2:</v>
      </c>
      <c r="D647" s="281" t="s">
        <v>920</v>
      </c>
      <c r="E647" s="291"/>
      <c r="F647" s="291"/>
      <c r="G647" s="291"/>
      <c r="H647" s="291"/>
      <c r="I647" s="291"/>
      <c r="J647" s="250"/>
      <c r="K647" s="41"/>
    </row>
    <row r="648" spans="2:14" ht="9.75" customHeight="1" x14ac:dyDescent="0.2">
      <c r="B648" s="38"/>
      <c r="C648" s="280" t="str">
        <f>"3:"</f>
        <v>3:</v>
      </c>
      <c r="D648" s="281" t="s">
        <v>921</v>
      </c>
      <c r="E648" s="291"/>
      <c r="F648" s="291"/>
      <c r="G648" s="291"/>
      <c r="H648" s="291"/>
      <c r="I648" s="291"/>
      <c r="J648" s="250"/>
      <c r="K648" s="41"/>
    </row>
    <row r="649" spans="2:14" ht="9.75" customHeight="1" x14ac:dyDescent="0.2">
      <c r="B649" s="38"/>
      <c r="C649" s="280" t="str">
        <f>"4:"</f>
        <v>4:</v>
      </c>
      <c r="D649" s="281" t="s">
        <v>922</v>
      </c>
      <c r="E649" s="40"/>
      <c r="F649" s="40"/>
      <c r="G649" s="40"/>
      <c r="H649" s="40"/>
      <c r="I649" s="40"/>
      <c r="J649" s="40"/>
      <c r="K649" s="41"/>
      <c r="N649" s="12" t="s">
        <v>661</v>
      </c>
    </row>
    <row r="650" spans="2:14" x14ac:dyDescent="0.2">
      <c r="B650" s="38"/>
      <c r="C650" s="174" t="s">
        <v>662</v>
      </c>
      <c r="D650" s="40"/>
      <c r="E650" s="40"/>
      <c r="F650" s="40"/>
      <c r="G650" s="40"/>
      <c r="H650" s="40"/>
      <c r="I650" s="40"/>
      <c r="J650" s="265" t="s">
        <v>661</v>
      </c>
      <c r="K650" s="41"/>
      <c r="N650" s="12" t="s">
        <v>894</v>
      </c>
    </row>
    <row r="651" spans="2:14" x14ac:dyDescent="0.2">
      <c r="B651" s="38"/>
      <c r="C651" s="174" t="s">
        <v>660</v>
      </c>
      <c r="D651" s="40"/>
      <c r="E651" s="40"/>
      <c r="F651" s="40"/>
      <c r="G651" s="40"/>
      <c r="H651" s="40"/>
      <c r="I651" s="40"/>
      <c r="J651" s="247" t="str">
        <f>IF(J650=N649,"N/A",IF(J650=N650,0,IF(J650=N651,1,IF(J650=N652,2,IF(J650=N653,3,IF(J650=N654,4,"N/A"))))))</f>
        <v>N/A</v>
      </c>
      <c r="K651" s="41"/>
      <c r="N651" s="12" t="s">
        <v>895</v>
      </c>
    </row>
    <row r="652" spans="2:14" ht="15" customHeight="1" x14ac:dyDescent="0.2">
      <c r="B652" s="38"/>
      <c r="C652" s="40" t="s">
        <v>257</v>
      </c>
      <c r="D652" s="40"/>
      <c r="E652" s="40"/>
      <c r="F652" s="40"/>
      <c r="G652" s="40"/>
      <c r="H652" s="40"/>
      <c r="I652" s="40"/>
      <c r="J652" s="266" t="s">
        <v>872</v>
      </c>
      <c r="K652" s="41"/>
      <c r="N652" s="12" t="s">
        <v>896</v>
      </c>
    </row>
    <row r="653" spans="2:14" x14ac:dyDescent="0.2">
      <c r="B653" s="38"/>
      <c r="C653" s="40" t="s">
        <v>261</v>
      </c>
      <c r="D653" s="40"/>
      <c r="E653" s="40"/>
      <c r="F653" s="40"/>
      <c r="G653" s="40"/>
      <c r="H653" s="40"/>
      <c r="I653" s="40"/>
      <c r="J653" s="245">
        <f>IF(J652=$B$973,$A$973,IF(J652=$B$974,$A$974,IF(J652=$B$975,$A$975,IF(J652=$B$976,$A$976,IF(J652=$B$977,$A$977,"Not Calculated")))))</f>
        <v>2</v>
      </c>
      <c r="K653" s="41"/>
      <c r="N653" s="12" t="s">
        <v>897</v>
      </c>
    </row>
    <row r="654" spans="2:14" x14ac:dyDescent="0.2">
      <c r="B654" s="38"/>
      <c r="C654" s="40" t="s">
        <v>893</v>
      </c>
      <c r="D654" s="40"/>
      <c r="E654" s="40"/>
      <c r="F654" s="40"/>
      <c r="G654" s="40"/>
      <c r="H654" s="40"/>
      <c r="I654" s="40"/>
      <c r="J654" s="40"/>
      <c r="K654" s="41"/>
      <c r="N654" s="12" t="s">
        <v>898</v>
      </c>
    </row>
    <row r="655" spans="2:14" ht="45" customHeight="1" x14ac:dyDescent="0.2">
      <c r="B655" s="38"/>
      <c r="C655" s="399" t="s">
        <v>563</v>
      </c>
      <c r="D655" s="400"/>
      <c r="E655" s="400"/>
      <c r="F655" s="400"/>
      <c r="G655" s="400"/>
      <c r="H655" s="400"/>
      <c r="I655" s="400"/>
      <c r="J655" s="401"/>
      <c r="K655" s="41"/>
    </row>
    <row r="656" spans="2:14" x14ac:dyDescent="0.2">
      <c r="B656" s="38"/>
      <c r="C656" s="40"/>
      <c r="D656" s="40"/>
      <c r="E656" s="40"/>
      <c r="F656" s="40"/>
      <c r="G656" s="40"/>
      <c r="H656" s="40"/>
      <c r="I656" s="40"/>
      <c r="J656" s="40"/>
      <c r="K656" s="41"/>
    </row>
    <row r="657" spans="2:14" x14ac:dyDescent="0.2">
      <c r="B657" s="38"/>
      <c r="C657" s="179" t="s">
        <v>330</v>
      </c>
      <c r="D657" s="40"/>
      <c r="E657" s="40"/>
      <c r="F657" s="40"/>
      <c r="G657" s="40"/>
      <c r="H657" s="40"/>
      <c r="I657" s="40"/>
      <c r="J657" s="245" t="str">
        <f>IF(J651="N/A",IF(OR(J644="Not Calculated",J653="Not Calculated")=TRUE,"Not Calculated",AVERAGE(J644,J653)),AVERAGE(J651,J653))</f>
        <v>Not Calculated</v>
      </c>
      <c r="K657" s="41"/>
    </row>
    <row r="658" spans="2:14" x14ac:dyDescent="0.2">
      <c r="B658" s="38"/>
      <c r="C658" s="40"/>
      <c r="D658" s="40"/>
      <c r="E658" s="40"/>
      <c r="F658" s="40"/>
      <c r="G658" s="40"/>
      <c r="H658" s="40"/>
      <c r="I658" s="40"/>
      <c r="J658" s="40"/>
      <c r="K658" s="41"/>
    </row>
    <row r="659" spans="2:14" x14ac:dyDescent="0.2">
      <c r="B659" s="38"/>
      <c r="C659" s="40"/>
      <c r="D659" s="40"/>
      <c r="E659" s="40"/>
      <c r="F659" s="40"/>
      <c r="G659" s="40"/>
      <c r="H659" s="40"/>
      <c r="I659" s="40"/>
      <c r="J659" s="40"/>
      <c r="K659" s="41"/>
    </row>
    <row r="660" spans="2:14" ht="16" x14ac:dyDescent="0.2">
      <c r="B660" s="38"/>
      <c r="C660" s="45" t="s">
        <v>97</v>
      </c>
      <c r="D660" s="40"/>
      <c r="E660" s="40"/>
      <c r="F660" s="40"/>
      <c r="G660" s="40"/>
      <c r="H660" s="40"/>
      <c r="I660" s="40"/>
      <c r="J660" s="40"/>
      <c r="K660" s="41"/>
    </row>
    <row r="661" spans="2:14" x14ac:dyDescent="0.2">
      <c r="B661" s="38"/>
      <c r="C661" s="40" t="s">
        <v>449</v>
      </c>
      <c r="D661" s="40"/>
      <c r="E661" s="40"/>
      <c r="F661" s="40"/>
      <c r="G661" s="40"/>
      <c r="H661" s="40"/>
      <c r="I661" s="40"/>
      <c r="J661" s="263">
        <f>'Baseline Health'!G150</f>
        <v>0</v>
      </c>
      <c r="K661" s="41"/>
    </row>
    <row r="662" spans="2:14" x14ac:dyDescent="0.2">
      <c r="B662" s="38"/>
      <c r="C662" s="40" t="s">
        <v>341</v>
      </c>
      <c r="D662" s="40"/>
      <c r="E662" s="40"/>
      <c r="F662" s="40"/>
      <c r="G662" s="40"/>
      <c r="H662" s="40"/>
      <c r="I662" s="40"/>
      <c r="J662" s="273">
        <v>0</v>
      </c>
      <c r="K662" s="41"/>
    </row>
    <row r="663" spans="2:14" x14ac:dyDescent="0.2">
      <c r="B663" s="38"/>
      <c r="C663" s="40" t="s">
        <v>450</v>
      </c>
      <c r="D663" s="40"/>
      <c r="E663" s="40"/>
      <c r="F663" s="40"/>
      <c r="G663" s="40"/>
      <c r="H663" s="40"/>
      <c r="I663" s="40"/>
      <c r="J663" s="263">
        <f>J26</f>
        <v>0</v>
      </c>
      <c r="K663" s="41"/>
    </row>
    <row r="664" spans="2:14" ht="15" customHeight="1" x14ac:dyDescent="0.2">
      <c r="B664" s="38"/>
      <c r="C664" s="291"/>
      <c r="D664" s="380" t="s">
        <v>342</v>
      </c>
      <c r="E664" s="380"/>
      <c r="F664" s="380"/>
      <c r="G664" s="380"/>
      <c r="H664" s="380"/>
      <c r="I664" s="380"/>
      <c r="J664" s="245"/>
      <c r="K664" s="41"/>
    </row>
    <row r="665" spans="2:14" x14ac:dyDescent="0.2">
      <c r="B665" s="38"/>
      <c r="C665" s="291"/>
      <c r="D665" s="380"/>
      <c r="E665" s="380"/>
      <c r="F665" s="380"/>
      <c r="G665" s="380"/>
      <c r="H665" s="380"/>
      <c r="I665" s="380"/>
      <c r="J665" s="245"/>
      <c r="K665" s="41"/>
    </row>
    <row r="666" spans="2:14" x14ac:dyDescent="0.2">
      <c r="B666" s="38"/>
      <c r="C666" s="40" t="s">
        <v>260</v>
      </c>
      <c r="D666" s="40"/>
      <c r="E666" s="40"/>
      <c r="F666" s="40"/>
      <c r="G666" s="40"/>
      <c r="H666" s="40"/>
      <c r="I666" s="40"/>
      <c r="J666" s="245" t="str">
        <f>IF(OR(J661=0,J661="Not Calculated")=TRUE,"Not Calculated",IF(((J661+J663)/(J661-J662))&lt;=1,0,IF(((J661+J663)/(J661-J662))&lt;=1.1,1,IF(((J661+J663)/(J661-J662))&lt;=1.5, 2,IF(((J661+J663)/(J661-J662))&lt;=2,3,4)))))</f>
        <v>Not Calculated</v>
      </c>
      <c r="K666" s="41"/>
    </row>
    <row r="667" spans="2:14" ht="9.75" customHeight="1" x14ac:dyDescent="0.2">
      <c r="B667" s="38"/>
      <c r="C667" s="279" t="str">
        <f>"0:"</f>
        <v>0:</v>
      </c>
      <c r="D667" s="278" t="s">
        <v>918</v>
      </c>
      <c r="E667" s="291"/>
      <c r="F667" s="291"/>
      <c r="G667" s="291"/>
      <c r="H667" s="291"/>
      <c r="I667" s="291"/>
      <c r="J667" s="245"/>
      <c r="K667" s="41"/>
    </row>
    <row r="668" spans="2:14" ht="9.75" customHeight="1" x14ac:dyDescent="0.2">
      <c r="B668" s="38"/>
      <c r="C668" s="280" t="str">
        <f>"1:"</f>
        <v>1:</v>
      </c>
      <c r="D668" s="278" t="s">
        <v>923</v>
      </c>
      <c r="E668" s="291"/>
      <c r="F668" s="291"/>
      <c r="G668" s="291"/>
      <c r="H668" s="291"/>
      <c r="I668" s="291"/>
      <c r="J668" s="245"/>
      <c r="K668" s="41"/>
    </row>
    <row r="669" spans="2:14" ht="9.75" customHeight="1" x14ac:dyDescent="0.2">
      <c r="B669" s="38"/>
      <c r="C669" s="280" t="str">
        <f>"2:"</f>
        <v>2:</v>
      </c>
      <c r="D669" s="278" t="s">
        <v>924</v>
      </c>
      <c r="E669" s="291"/>
      <c r="F669" s="291"/>
      <c r="G669" s="291"/>
      <c r="H669" s="291"/>
      <c r="I669" s="291"/>
      <c r="J669" s="245"/>
      <c r="K669" s="41"/>
    </row>
    <row r="670" spans="2:14" ht="9.75" customHeight="1" x14ac:dyDescent="0.2">
      <c r="B670" s="38"/>
      <c r="C670" s="280" t="str">
        <f>"3:"</f>
        <v>3:</v>
      </c>
      <c r="D670" s="278" t="s">
        <v>925</v>
      </c>
      <c r="E670" s="291"/>
      <c r="F670" s="291"/>
      <c r="G670" s="291"/>
      <c r="H670" s="291"/>
      <c r="I670" s="291"/>
      <c r="J670" s="245"/>
      <c r="K670" s="41"/>
    </row>
    <row r="671" spans="2:14" ht="9.75" customHeight="1" x14ac:dyDescent="0.2">
      <c r="B671" s="38"/>
      <c r="C671" s="280" t="str">
        <f>"4:"</f>
        <v>4:</v>
      </c>
      <c r="D671" s="278" t="s">
        <v>926</v>
      </c>
      <c r="E671" s="40"/>
      <c r="F671" s="40"/>
      <c r="G671" s="40"/>
      <c r="H671" s="40"/>
      <c r="I671" s="40"/>
      <c r="J671" s="40"/>
      <c r="K671" s="41"/>
      <c r="N671" s="12" t="s">
        <v>661</v>
      </c>
    </row>
    <row r="672" spans="2:14" ht="15" customHeight="1" x14ac:dyDescent="0.2">
      <c r="B672" s="38"/>
      <c r="C672" s="174" t="s">
        <v>662</v>
      </c>
      <c r="D672" s="40"/>
      <c r="E672" s="40"/>
      <c r="F672" s="40"/>
      <c r="G672" s="40"/>
      <c r="H672" s="40"/>
      <c r="I672" s="40"/>
      <c r="J672" s="265" t="s">
        <v>661</v>
      </c>
      <c r="K672" s="41"/>
      <c r="N672" s="12" t="s">
        <v>894</v>
      </c>
    </row>
    <row r="673" spans="2:14" ht="15" customHeight="1" x14ac:dyDescent="0.2">
      <c r="B673" s="38"/>
      <c r="C673" s="174" t="s">
        <v>660</v>
      </c>
      <c r="D673" s="40"/>
      <c r="E673" s="40"/>
      <c r="F673" s="40"/>
      <c r="G673" s="40"/>
      <c r="H673" s="40"/>
      <c r="I673" s="40"/>
      <c r="J673" s="246" t="str">
        <f>IF(J672=N671,"N/A",IF(J672=N672,0,IF(J672=N673,1,IF(J672=N674,2,IF(J672=N675,3,IF(J672=N676,4,"N/A"))))))</f>
        <v>N/A</v>
      </c>
      <c r="K673" s="41"/>
      <c r="N673" s="12" t="s">
        <v>908</v>
      </c>
    </row>
    <row r="674" spans="2:14" ht="15" customHeight="1" x14ac:dyDescent="0.2">
      <c r="B674" s="38"/>
      <c r="C674" s="40" t="s">
        <v>257</v>
      </c>
      <c r="D674" s="40"/>
      <c r="E674" s="40"/>
      <c r="F674" s="40"/>
      <c r="G674" s="40"/>
      <c r="H674" s="40"/>
      <c r="I674" s="40"/>
      <c r="J674" s="266" t="s">
        <v>872</v>
      </c>
      <c r="K674" s="41"/>
      <c r="N674" s="12" t="s">
        <v>900</v>
      </c>
    </row>
    <row r="675" spans="2:14" x14ac:dyDescent="0.2">
      <c r="B675" s="38"/>
      <c r="C675" s="40" t="s">
        <v>261</v>
      </c>
      <c r="D675" s="40"/>
      <c r="E675" s="40"/>
      <c r="F675" s="40"/>
      <c r="G675" s="40"/>
      <c r="H675" s="40"/>
      <c r="I675" s="40"/>
      <c r="J675" s="245">
        <f>IF(J674=$B$973,$A$973,IF(J674=$B$974,$A$974,IF(J674=$B$975,$A$975,IF(J674=$B$976,$A$976,IF(J674=$B$977,$A$977,"Not Calculated")))))</f>
        <v>2</v>
      </c>
      <c r="K675" s="41"/>
      <c r="N675" s="12" t="s">
        <v>901</v>
      </c>
    </row>
    <row r="676" spans="2:14" ht="15" customHeight="1" x14ac:dyDescent="0.2">
      <c r="B676" s="38"/>
      <c r="C676" s="40" t="s">
        <v>893</v>
      </c>
      <c r="D676" s="40"/>
      <c r="E676" s="40"/>
      <c r="F676" s="40"/>
      <c r="G676" s="40"/>
      <c r="H676" s="40"/>
      <c r="I676" s="40"/>
      <c r="J676" s="40"/>
      <c r="K676" s="41"/>
      <c r="N676" s="12" t="s">
        <v>909</v>
      </c>
    </row>
    <row r="677" spans="2:14" ht="30" customHeight="1" x14ac:dyDescent="0.2">
      <c r="B677" s="38"/>
      <c r="C677" s="399"/>
      <c r="D677" s="400"/>
      <c r="E677" s="400"/>
      <c r="F677" s="400"/>
      <c r="G677" s="400"/>
      <c r="H677" s="400"/>
      <c r="I677" s="400"/>
      <c r="J677" s="401"/>
      <c r="K677" s="41"/>
    </row>
    <row r="678" spans="2:14" x14ac:dyDescent="0.2">
      <c r="B678" s="38"/>
      <c r="C678" s="40"/>
      <c r="D678" s="40"/>
      <c r="E678" s="40"/>
      <c r="F678" s="40"/>
      <c r="G678" s="40"/>
      <c r="H678" s="40"/>
      <c r="I678" s="40"/>
      <c r="J678" s="40"/>
      <c r="K678" s="41"/>
    </row>
    <row r="679" spans="2:14" x14ac:dyDescent="0.2">
      <c r="B679" s="38"/>
      <c r="C679" s="179" t="s">
        <v>331</v>
      </c>
      <c r="D679" s="40"/>
      <c r="E679" s="40"/>
      <c r="F679" s="40"/>
      <c r="G679" s="40"/>
      <c r="H679" s="40"/>
      <c r="I679" s="40"/>
      <c r="J679" s="245" t="str">
        <f>IF(J673="N/A",IF(OR(J666="Not Calculated",J675="Not Calculated")=TRUE,"Not Calculated",AVERAGE(J666,J675)),AVERAGE(J673,J675))</f>
        <v>Not Calculated</v>
      </c>
      <c r="K679" s="41"/>
    </row>
    <row r="680" spans="2:14" x14ac:dyDescent="0.2">
      <c r="B680" s="38"/>
      <c r="C680" s="40"/>
      <c r="D680" s="40"/>
      <c r="E680" s="40"/>
      <c r="F680" s="40"/>
      <c r="G680" s="40"/>
      <c r="H680" s="40"/>
      <c r="I680" s="40"/>
      <c r="J680" s="40"/>
      <c r="K680" s="41"/>
    </row>
    <row r="681" spans="2:14" ht="18" x14ac:dyDescent="0.2">
      <c r="B681" s="38"/>
      <c r="C681" s="180" t="s">
        <v>332</v>
      </c>
      <c r="D681" s="40"/>
      <c r="E681" s="40"/>
      <c r="F681" s="40"/>
      <c r="G681" s="40"/>
      <c r="H681" s="40"/>
      <c r="I681" s="40"/>
      <c r="J681" s="244" t="str">
        <f>IF(OR(J562="Not Calculated",J585="Not Calculated",J601="Not Calculated",J615="Not Calculated",J635="Not Calculated",J657="Not Calculated",J679="Not Calculated")=TRUE,"Not Calculated",AVERAGE(J562,J585,J601,J615,J635,J657,J679))</f>
        <v>Not Calculated</v>
      </c>
      <c r="K681" s="41"/>
    </row>
    <row r="682" spans="2:14" ht="16" thickBot="1" x14ac:dyDescent="0.25">
      <c r="B682" s="46"/>
      <c r="C682" s="47"/>
      <c r="D682" s="47"/>
      <c r="E682" s="47"/>
      <c r="F682" s="47"/>
      <c r="G682" s="47"/>
      <c r="H682" s="47"/>
      <c r="I682" s="47"/>
      <c r="J682" s="47"/>
      <c r="K682" s="49"/>
    </row>
    <row r="683" spans="2:14" ht="16" thickBot="1" x14ac:dyDescent="0.25"/>
    <row r="684" spans="2:14" x14ac:dyDescent="0.2">
      <c r="B684" s="33"/>
      <c r="C684" s="34"/>
      <c r="D684" s="34"/>
      <c r="E684" s="34"/>
      <c r="F684" s="34"/>
      <c r="G684" s="34"/>
      <c r="H684" s="34"/>
      <c r="I684" s="34"/>
      <c r="J684" s="34"/>
      <c r="K684" s="37"/>
    </row>
    <row r="685" spans="2:14" ht="21" x14ac:dyDescent="0.25">
      <c r="B685" s="38"/>
      <c r="C685" s="40"/>
      <c r="D685" s="40"/>
      <c r="E685" s="40"/>
      <c r="F685" s="40"/>
      <c r="G685" s="172" t="s">
        <v>346</v>
      </c>
      <c r="H685" s="40"/>
      <c r="I685" s="40"/>
      <c r="J685" s="40"/>
      <c r="K685" s="41"/>
    </row>
    <row r="686" spans="2:14" x14ac:dyDescent="0.2">
      <c r="B686" s="38"/>
      <c r="C686" s="40"/>
      <c r="D686" s="40"/>
      <c r="E686" s="40"/>
      <c r="F686" s="40"/>
      <c r="G686" s="40"/>
      <c r="H686" s="40"/>
      <c r="I686" s="40"/>
      <c r="J686" s="40"/>
      <c r="K686" s="41"/>
    </row>
    <row r="687" spans="2:14" ht="16" x14ac:dyDescent="0.2">
      <c r="B687" s="38"/>
      <c r="C687" s="182" t="s">
        <v>986</v>
      </c>
      <c r="D687" s="40"/>
      <c r="E687" s="40"/>
      <c r="F687" s="40"/>
      <c r="G687" s="40"/>
      <c r="H687" s="40"/>
      <c r="I687" s="40"/>
      <c r="J687" s="257" t="str">
        <f>IF(OR($J$133="Not Calculated",$J$261="Not Calculated",$J$421="Not Calculated",$J$539="Not Calculated",$J$681="Not Calculated")=TRUE,"Not Calculated",AVERAGE($J$133,$J$261,$J$421,$J$539,$J$681))</f>
        <v>Not Calculated</v>
      </c>
      <c r="K687" s="41"/>
    </row>
    <row r="688" spans="2:14" x14ac:dyDescent="0.2">
      <c r="B688" s="38"/>
      <c r="C688" s="40"/>
      <c r="D688" s="40" t="s">
        <v>343</v>
      </c>
      <c r="E688" s="40"/>
      <c r="F688" s="40"/>
      <c r="G688" s="40"/>
      <c r="H688" s="40"/>
      <c r="I688" s="40"/>
      <c r="J688" s="40"/>
      <c r="K688" s="41"/>
    </row>
    <row r="689" spans="2:11" ht="15" customHeight="1" x14ac:dyDescent="0.2">
      <c r="B689" s="38"/>
      <c r="C689" s="40"/>
      <c r="D689" s="40"/>
      <c r="E689" s="40"/>
      <c r="F689" s="40"/>
      <c r="G689" s="40"/>
      <c r="H689" s="40"/>
      <c r="I689" s="40"/>
      <c r="J689" s="40"/>
      <c r="K689" s="41"/>
    </row>
    <row r="690" spans="2:11" ht="16" x14ac:dyDescent="0.2">
      <c r="B690" s="38"/>
      <c r="C690" s="182" t="s">
        <v>987</v>
      </c>
      <c r="D690" s="40"/>
      <c r="E690" s="40"/>
      <c r="F690" s="40"/>
      <c r="G690" s="40"/>
      <c r="H690" s="40"/>
      <c r="I690" s="40"/>
      <c r="J690" s="257" t="str">
        <f>IF(OR($J$133="Not Calculated",$J$261="Not Calculated",$J$539="Not Calculated",$J$681="Not Calculated")=TRUE,"Not Calculated",AVERAGE($J$133,$J$261,$J$539,$J$681))</f>
        <v>Not Calculated</v>
      </c>
      <c r="K690" s="41"/>
    </row>
    <row r="691" spans="2:11" ht="15" customHeight="1" x14ac:dyDescent="0.2">
      <c r="B691" s="38"/>
      <c r="C691" s="40"/>
      <c r="D691" s="40" t="s">
        <v>344</v>
      </c>
      <c r="E691" s="40"/>
      <c r="F691" s="40"/>
      <c r="G691" s="40"/>
      <c r="H691" s="40"/>
      <c r="I691" s="40"/>
      <c r="J691" s="40"/>
      <c r="K691" s="41"/>
    </row>
    <row r="692" spans="2:11" x14ac:dyDescent="0.2">
      <c r="B692" s="38"/>
      <c r="C692" s="40"/>
      <c r="D692" s="40"/>
      <c r="E692" s="40"/>
      <c r="F692" s="40"/>
      <c r="G692" s="40"/>
      <c r="H692" s="40"/>
      <c r="I692" s="40"/>
      <c r="J692" s="40"/>
      <c r="K692" s="41"/>
    </row>
    <row r="693" spans="2:11" ht="16" x14ac:dyDescent="0.2">
      <c r="B693" s="38"/>
      <c r="C693" s="182" t="s">
        <v>988</v>
      </c>
      <c r="D693" s="40"/>
      <c r="E693" s="40"/>
      <c r="F693" s="40"/>
      <c r="G693" s="40"/>
      <c r="H693" s="40"/>
      <c r="I693" s="40"/>
      <c r="J693" s="257" t="str">
        <f>IF(OR($J$133="Not Calculated",$J$261="Not Calculated",$J$421="Not Calculated")=TRUE,"Not Calculated",AVERAGE($J$133,$J$261,$J$421))</f>
        <v>Not Calculated</v>
      </c>
      <c r="K693" s="41"/>
    </row>
    <row r="694" spans="2:11" x14ac:dyDescent="0.2">
      <c r="B694" s="38"/>
      <c r="C694" s="40"/>
      <c r="D694" s="40" t="s">
        <v>345</v>
      </c>
      <c r="E694" s="40"/>
      <c r="F694" s="40"/>
      <c r="G694" s="40"/>
      <c r="H694" s="40"/>
      <c r="I694" s="40"/>
      <c r="J694" s="40"/>
      <c r="K694" s="41"/>
    </row>
    <row r="695" spans="2:11" ht="16" thickBot="1" x14ac:dyDescent="0.25">
      <c r="B695" s="46"/>
      <c r="C695" s="47"/>
      <c r="D695" s="47"/>
      <c r="E695" s="47"/>
      <c r="F695" s="47"/>
      <c r="G695" s="47"/>
      <c r="H695" s="47"/>
      <c r="I695" s="47"/>
      <c r="J695" s="47"/>
      <c r="K695" s="49"/>
    </row>
    <row r="696" spans="2:11" ht="16" thickBot="1" x14ac:dyDescent="0.25"/>
    <row r="697" spans="2:11" x14ac:dyDescent="0.2">
      <c r="B697" s="183"/>
      <c r="C697" s="184"/>
      <c r="D697" s="184"/>
      <c r="E697" s="184"/>
      <c r="F697" s="184"/>
      <c r="G697" s="184"/>
      <c r="H697" s="184"/>
      <c r="I697" s="184"/>
      <c r="J697" s="184"/>
      <c r="K697" s="185"/>
    </row>
    <row r="698" spans="2:11" ht="21" x14ac:dyDescent="0.25">
      <c r="B698" s="186"/>
      <c r="C698" s="187"/>
      <c r="D698" s="187"/>
      <c r="E698" s="187"/>
      <c r="F698" s="187"/>
      <c r="G698" s="188" t="s">
        <v>231</v>
      </c>
      <c r="H698" s="187"/>
      <c r="I698" s="187"/>
      <c r="J698" s="187"/>
      <c r="K698" s="189"/>
    </row>
    <row r="699" spans="2:11" x14ac:dyDescent="0.2">
      <c r="B699" s="186"/>
      <c r="C699" s="187"/>
      <c r="D699" s="187"/>
      <c r="E699" s="187"/>
      <c r="F699" s="187"/>
      <c r="G699" s="187"/>
      <c r="H699" s="187"/>
      <c r="I699" s="187"/>
      <c r="J699" s="187"/>
      <c r="K699" s="189"/>
    </row>
    <row r="700" spans="2:11" ht="16" x14ac:dyDescent="0.2">
      <c r="B700" s="186"/>
      <c r="C700" s="190" t="s">
        <v>989</v>
      </c>
      <c r="D700" s="187"/>
      <c r="E700" s="187"/>
      <c r="F700" s="187"/>
      <c r="G700" s="187"/>
      <c r="H700" s="187"/>
      <c r="I700" s="187"/>
      <c r="J700" s="256" t="str">
        <f>IF(OR(J687="Not Calculated",$E$17="Not Calculated")=TRUE,"Not Calculated",(J687*$E$17*100/16))</f>
        <v>Not Calculated</v>
      </c>
      <c r="K700" s="189"/>
    </row>
    <row r="701" spans="2:11" x14ac:dyDescent="0.2">
      <c r="B701" s="186"/>
      <c r="C701" s="187"/>
      <c r="D701" s="187" t="s">
        <v>377</v>
      </c>
      <c r="E701" s="187"/>
      <c r="F701" s="187"/>
      <c r="G701" s="187"/>
      <c r="H701" s="187"/>
      <c r="I701" s="187"/>
      <c r="J701" s="187"/>
      <c r="K701" s="189"/>
    </row>
    <row r="702" spans="2:11" x14ac:dyDescent="0.2">
      <c r="B702" s="186"/>
      <c r="C702" s="187"/>
      <c r="D702" s="187"/>
      <c r="E702" s="187"/>
      <c r="F702" s="187"/>
      <c r="G702" s="187"/>
      <c r="H702" s="187"/>
      <c r="I702" s="187"/>
      <c r="J702" s="187"/>
      <c r="K702" s="189"/>
    </row>
    <row r="703" spans="2:11" ht="16" x14ac:dyDescent="0.2">
      <c r="B703" s="186"/>
      <c r="C703" s="190" t="s">
        <v>990</v>
      </c>
      <c r="D703" s="187"/>
      <c r="E703" s="187"/>
      <c r="F703" s="187"/>
      <c r="G703" s="187"/>
      <c r="H703" s="187"/>
      <c r="I703" s="187"/>
      <c r="J703" s="256" t="str">
        <f>IF(OR(J690="Not Calculated",$E$17="Not Calculated")=TRUE,"Not Calculated",(J690*$E$17*100/16))</f>
        <v>Not Calculated</v>
      </c>
      <c r="K703" s="189"/>
    </row>
    <row r="704" spans="2:11" x14ac:dyDescent="0.2">
      <c r="B704" s="186"/>
      <c r="C704" s="187"/>
      <c r="D704" s="187" t="s">
        <v>378</v>
      </c>
      <c r="E704" s="187"/>
      <c r="F704" s="187"/>
      <c r="G704" s="187"/>
      <c r="H704" s="187"/>
      <c r="I704" s="187"/>
      <c r="J704" s="187"/>
      <c r="K704" s="189"/>
    </row>
    <row r="705" spans="2:11" x14ac:dyDescent="0.2">
      <c r="B705" s="186"/>
      <c r="C705" s="187"/>
      <c r="D705" s="187"/>
      <c r="E705" s="187"/>
      <c r="F705" s="187"/>
      <c r="G705" s="187"/>
      <c r="H705" s="187"/>
      <c r="I705" s="187"/>
      <c r="J705" s="187"/>
      <c r="K705" s="189"/>
    </row>
    <row r="706" spans="2:11" ht="16" x14ac:dyDescent="0.2">
      <c r="B706" s="186"/>
      <c r="C706" s="190" t="s">
        <v>991</v>
      </c>
      <c r="D706" s="187"/>
      <c r="E706" s="187"/>
      <c r="F706" s="187"/>
      <c r="G706" s="187"/>
      <c r="H706" s="187"/>
      <c r="I706" s="187"/>
      <c r="J706" s="256" t="str">
        <f>IF(OR(J693="Not Calculated",$E$17="Not Calculated")=TRUE,"Not Calculated",(J693*$E$17*100/16))</f>
        <v>Not Calculated</v>
      </c>
      <c r="K706" s="189"/>
    </row>
    <row r="707" spans="2:11" x14ac:dyDescent="0.2">
      <c r="B707" s="186"/>
      <c r="C707" s="187"/>
      <c r="D707" s="187" t="s">
        <v>379</v>
      </c>
      <c r="E707" s="187"/>
      <c r="F707" s="187"/>
      <c r="G707" s="187"/>
      <c r="H707" s="187"/>
      <c r="I707" s="187"/>
      <c r="J707" s="187"/>
      <c r="K707" s="189"/>
    </row>
    <row r="708" spans="2:11" ht="16" thickBot="1" x14ac:dyDescent="0.25">
      <c r="B708" s="191"/>
      <c r="C708" s="192"/>
      <c r="D708" s="192"/>
      <c r="E708" s="192"/>
      <c r="F708" s="192"/>
      <c r="G708" s="192"/>
      <c r="H708" s="192"/>
      <c r="I708" s="192"/>
      <c r="J708" s="192"/>
      <c r="K708" s="193"/>
    </row>
    <row r="709" spans="2:11" ht="16" thickBot="1" x14ac:dyDescent="0.25"/>
    <row r="710" spans="2:11" x14ac:dyDescent="0.2">
      <c r="B710" s="53"/>
      <c r="C710" s="54"/>
      <c r="D710" s="54"/>
      <c r="E710" s="54"/>
      <c r="F710" s="54"/>
      <c r="G710" s="54"/>
      <c r="H710" s="54"/>
      <c r="I710" s="54"/>
      <c r="J710" s="54"/>
      <c r="K710" s="56"/>
    </row>
    <row r="711" spans="2:11" ht="21" x14ac:dyDescent="0.25">
      <c r="B711" s="57"/>
      <c r="C711" s="59"/>
      <c r="D711" s="59"/>
      <c r="E711" s="59"/>
      <c r="F711" s="59"/>
      <c r="G711" s="194" t="s">
        <v>232</v>
      </c>
      <c r="H711" s="59"/>
      <c r="I711" s="59"/>
      <c r="J711" s="59"/>
      <c r="K711" s="61"/>
    </row>
    <row r="712" spans="2:11" x14ac:dyDescent="0.2">
      <c r="B712" s="57"/>
      <c r="C712" s="59"/>
      <c r="D712" s="59"/>
      <c r="E712" s="59"/>
      <c r="F712" s="59"/>
      <c r="G712" s="59"/>
      <c r="H712" s="59"/>
      <c r="I712" s="59"/>
      <c r="J712" s="59"/>
      <c r="K712" s="61"/>
    </row>
    <row r="713" spans="2:11" ht="16" x14ac:dyDescent="0.2">
      <c r="B713" s="57"/>
      <c r="C713" s="195" t="s">
        <v>363</v>
      </c>
      <c r="D713" s="59"/>
      <c r="E713" s="59"/>
      <c r="F713" s="59"/>
      <c r="G713" s="59"/>
      <c r="H713" s="59"/>
      <c r="I713" s="59"/>
      <c r="J713" s="59"/>
      <c r="K713" s="61"/>
    </row>
    <row r="714" spans="2:11" ht="15" customHeight="1" x14ac:dyDescent="0.2">
      <c r="B714" s="57"/>
      <c r="C714" s="411" t="s">
        <v>364</v>
      </c>
      <c r="D714" s="411"/>
      <c r="E714" s="411"/>
      <c r="F714" s="411"/>
      <c r="G714" s="411"/>
      <c r="H714" s="411"/>
      <c r="I714" s="411"/>
      <c r="J714" s="411"/>
      <c r="K714" s="61"/>
    </row>
    <row r="715" spans="2:11" x14ac:dyDescent="0.2">
      <c r="B715" s="57"/>
      <c r="C715" s="411"/>
      <c r="D715" s="411"/>
      <c r="E715" s="411"/>
      <c r="F715" s="411"/>
      <c r="G715" s="411"/>
      <c r="H715" s="411"/>
      <c r="I715" s="411"/>
      <c r="J715" s="411"/>
      <c r="K715" s="61"/>
    </row>
    <row r="716" spans="2:11" x14ac:dyDescent="0.2">
      <c r="B716" s="57"/>
      <c r="C716" s="411"/>
      <c r="D716" s="411"/>
      <c r="E716" s="411"/>
      <c r="F716" s="411"/>
      <c r="G716" s="411"/>
      <c r="H716" s="411"/>
      <c r="I716" s="411"/>
      <c r="J716" s="411"/>
      <c r="K716" s="61"/>
    </row>
    <row r="717" spans="2:11" x14ac:dyDescent="0.2">
      <c r="B717" s="57"/>
      <c r="C717" s="196" t="s">
        <v>30</v>
      </c>
      <c r="D717" s="59"/>
      <c r="E717" s="59"/>
      <c r="F717" s="59"/>
      <c r="G717" s="431" t="s">
        <v>190</v>
      </c>
      <c r="H717" s="431"/>
      <c r="I717" s="59"/>
      <c r="J717" s="260">
        <f>IF(G717=$B$994,$A$994,IF(G717=$B$995,$A$995,"Not Calculated"))</f>
        <v>1</v>
      </c>
      <c r="K717" s="61"/>
    </row>
    <row r="718" spans="2:11" x14ac:dyDescent="0.2">
      <c r="B718" s="57"/>
      <c r="C718" s="196" t="s">
        <v>32</v>
      </c>
      <c r="D718" s="59"/>
      <c r="E718" s="59"/>
      <c r="F718" s="59"/>
      <c r="G718" s="431" t="s">
        <v>190</v>
      </c>
      <c r="H718" s="431"/>
      <c r="I718" s="59"/>
      <c r="J718" s="260">
        <f t="shared" ref="J718:J725" si="0">IF(G718=$B$994,$A$994,IF(G718=$B$995,$A$995,"Not Calculated"))</f>
        <v>1</v>
      </c>
      <c r="K718" s="61"/>
    </row>
    <row r="719" spans="2:11" x14ac:dyDescent="0.2">
      <c r="B719" s="57"/>
      <c r="C719" s="196" t="s">
        <v>34</v>
      </c>
      <c r="D719" s="59"/>
      <c r="E719" s="59"/>
      <c r="F719" s="59"/>
      <c r="G719" s="431" t="s">
        <v>202</v>
      </c>
      <c r="H719" s="431"/>
      <c r="I719" s="59"/>
      <c r="J719" s="260">
        <f t="shared" si="0"/>
        <v>0</v>
      </c>
      <c r="K719" s="61"/>
    </row>
    <row r="720" spans="2:11" x14ac:dyDescent="0.2">
      <c r="B720" s="57"/>
      <c r="C720" s="196" t="s">
        <v>35</v>
      </c>
      <c r="D720" s="59"/>
      <c r="E720" s="59"/>
      <c r="F720" s="59"/>
      <c r="G720" s="431" t="s">
        <v>190</v>
      </c>
      <c r="H720" s="431"/>
      <c r="I720" s="59"/>
      <c r="J720" s="260">
        <f t="shared" si="0"/>
        <v>1</v>
      </c>
      <c r="K720" s="61"/>
    </row>
    <row r="721" spans="2:11" x14ac:dyDescent="0.2">
      <c r="B721" s="57"/>
      <c r="C721" s="196" t="s">
        <v>37</v>
      </c>
      <c r="D721" s="59"/>
      <c r="E721" s="59"/>
      <c r="F721" s="59"/>
      <c r="G721" s="431" t="s">
        <v>190</v>
      </c>
      <c r="H721" s="431"/>
      <c r="I721" s="59"/>
      <c r="J721" s="260">
        <f t="shared" si="0"/>
        <v>1</v>
      </c>
      <c r="K721" s="61"/>
    </row>
    <row r="722" spans="2:11" x14ac:dyDescent="0.2">
      <c r="B722" s="57"/>
      <c r="C722" s="196" t="s">
        <v>38</v>
      </c>
      <c r="D722" s="59"/>
      <c r="E722" s="59"/>
      <c r="F722" s="59"/>
      <c r="G722" s="431" t="s">
        <v>190</v>
      </c>
      <c r="H722" s="431"/>
      <c r="I722" s="59"/>
      <c r="J722" s="260">
        <f t="shared" si="0"/>
        <v>1</v>
      </c>
      <c r="K722" s="61"/>
    </row>
    <row r="723" spans="2:11" x14ac:dyDescent="0.2">
      <c r="B723" s="57"/>
      <c r="C723" s="196" t="s">
        <v>40</v>
      </c>
      <c r="D723" s="59"/>
      <c r="E723" s="59"/>
      <c r="F723" s="59"/>
      <c r="G723" s="431" t="s">
        <v>190</v>
      </c>
      <c r="H723" s="431"/>
      <c r="I723" s="59"/>
      <c r="J723" s="260">
        <f t="shared" si="0"/>
        <v>1</v>
      </c>
      <c r="K723" s="61"/>
    </row>
    <row r="724" spans="2:11" x14ac:dyDescent="0.2">
      <c r="B724" s="57"/>
      <c r="C724" s="196" t="s">
        <v>41</v>
      </c>
      <c r="D724" s="59"/>
      <c r="E724" s="59"/>
      <c r="F724" s="59"/>
      <c r="G724" s="431" t="s">
        <v>190</v>
      </c>
      <c r="H724" s="431"/>
      <c r="I724" s="59"/>
      <c r="J724" s="260">
        <f t="shared" si="0"/>
        <v>1</v>
      </c>
      <c r="K724" s="61"/>
    </row>
    <row r="725" spans="2:11" x14ac:dyDescent="0.2">
      <c r="B725" s="57"/>
      <c r="C725" s="196" t="s">
        <v>43</v>
      </c>
      <c r="D725" s="59"/>
      <c r="E725" s="59"/>
      <c r="F725" s="59"/>
      <c r="G725" s="431" t="s">
        <v>190</v>
      </c>
      <c r="H725" s="431"/>
      <c r="I725" s="59"/>
      <c r="J725" s="260">
        <f t="shared" si="0"/>
        <v>1</v>
      </c>
      <c r="K725" s="61"/>
    </row>
    <row r="726" spans="2:11" x14ac:dyDescent="0.2">
      <c r="B726" s="57"/>
      <c r="C726" s="59"/>
      <c r="D726" s="59"/>
      <c r="E726" s="59"/>
      <c r="F726" s="59"/>
      <c r="G726" s="59"/>
      <c r="H726" s="59"/>
      <c r="I726" s="59"/>
      <c r="J726" s="59"/>
      <c r="K726" s="61"/>
    </row>
    <row r="727" spans="2:11" x14ac:dyDescent="0.2">
      <c r="B727" s="57"/>
      <c r="C727" s="59"/>
      <c r="D727" s="59"/>
      <c r="E727" s="59"/>
      <c r="F727" s="59"/>
      <c r="G727" s="59"/>
      <c r="H727" s="59"/>
      <c r="I727" s="59"/>
      <c r="J727" s="59"/>
      <c r="K727" s="61"/>
    </row>
    <row r="728" spans="2:11" ht="16" x14ac:dyDescent="0.2">
      <c r="B728" s="57"/>
      <c r="C728" s="195" t="s">
        <v>115</v>
      </c>
      <c r="D728" s="59"/>
      <c r="E728" s="59"/>
      <c r="F728" s="59"/>
      <c r="G728" s="59"/>
      <c r="H728" s="59"/>
      <c r="I728" s="59"/>
      <c r="J728" s="59"/>
      <c r="K728" s="61"/>
    </row>
    <row r="729" spans="2:11" ht="15" customHeight="1" x14ac:dyDescent="0.2">
      <c r="B729" s="57"/>
      <c r="C729" s="411" t="s">
        <v>365</v>
      </c>
      <c r="D729" s="411"/>
      <c r="E729" s="411"/>
      <c r="F729" s="411"/>
      <c r="G729" s="411"/>
      <c r="H729" s="411"/>
      <c r="I729" s="411"/>
      <c r="J729" s="411"/>
      <c r="K729" s="61"/>
    </row>
    <row r="730" spans="2:11" x14ac:dyDescent="0.2">
      <c r="B730" s="57"/>
      <c r="C730" s="411"/>
      <c r="D730" s="411"/>
      <c r="E730" s="411"/>
      <c r="F730" s="411"/>
      <c r="G730" s="411"/>
      <c r="H730" s="411"/>
      <c r="I730" s="411"/>
      <c r="J730" s="411"/>
      <c r="K730" s="61"/>
    </row>
    <row r="731" spans="2:11" x14ac:dyDescent="0.2">
      <c r="B731" s="57"/>
      <c r="C731" s="411"/>
      <c r="D731" s="411"/>
      <c r="E731" s="411"/>
      <c r="F731" s="411"/>
      <c r="G731" s="411"/>
      <c r="H731" s="411"/>
      <c r="I731" s="411"/>
      <c r="J731" s="411"/>
      <c r="K731" s="61"/>
    </row>
    <row r="732" spans="2:11" x14ac:dyDescent="0.2">
      <c r="B732" s="57"/>
      <c r="C732" s="196" t="s">
        <v>30</v>
      </c>
      <c r="D732" s="59"/>
      <c r="E732" s="59"/>
      <c r="F732" s="59"/>
      <c r="G732" s="431" t="s">
        <v>190</v>
      </c>
      <c r="H732" s="431"/>
      <c r="I732" s="59"/>
      <c r="J732" s="260">
        <f>IF(G732=$B$994,$A$994,IF(G732=$B$995,$A$995,"Not Calculated"))</f>
        <v>1</v>
      </c>
      <c r="K732" s="61"/>
    </row>
    <row r="733" spans="2:11" x14ac:dyDescent="0.2">
      <c r="B733" s="57"/>
      <c r="C733" s="196" t="s">
        <v>32</v>
      </c>
      <c r="D733" s="59"/>
      <c r="E733" s="59"/>
      <c r="F733" s="59"/>
      <c r="G733" s="431" t="s">
        <v>190</v>
      </c>
      <c r="H733" s="431"/>
      <c r="I733" s="59"/>
      <c r="J733" s="260">
        <f t="shared" ref="J733:J740" si="1">IF(G733=$B$994,$A$994,IF(G733=$B$995,$A$995,"Not Calculated"))</f>
        <v>1</v>
      </c>
      <c r="K733" s="61"/>
    </row>
    <row r="734" spans="2:11" ht="15" customHeight="1" x14ac:dyDescent="0.2">
      <c r="B734" s="57"/>
      <c r="C734" s="196" t="s">
        <v>34</v>
      </c>
      <c r="D734" s="59"/>
      <c r="E734" s="59"/>
      <c r="F734" s="59"/>
      <c r="G734" s="431" t="s">
        <v>190</v>
      </c>
      <c r="H734" s="431"/>
      <c r="I734" s="59"/>
      <c r="J734" s="260">
        <f t="shared" si="1"/>
        <v>1</v>
      </c>
      <c r="K734" s="61"/>
    </row>
    <row r="735" spans="2:11" x14ac:dyDescent="0.2">
      <c r="B735" s="57"/>
      <c r="C735" s="196" t="s">
        <v>35</v>
      </c>
      <c r="D735" s="59"/>
      <c r="E735" s="59"/>
      <c r="F735" s="59"/>
      <c r="G735" s="431" t="s">
        <v>190</v>
      </c>
      <c r="H735" s="431"/>
      <c r="I735" s="59"/>
      <c r="J735" s="260">
        <f t="shared" si="1"/>
        <v>1</v>
      </c>
      <c r="K735" s="61"/>
    </row>
    <row r="736" spans="2:11" x14ac:dyDescent="0.2">
      <c r="B736" s="57"/>
      <c r="C736" s="196" t="s">
        <v>37</v>
      </c>
      <c r="D736" s="59"/>
      <c r="E736" s="59"/>
      <c r="F736" s="59"/>
      <c r="G736" s="431" t="s">
        <v>190</v>
      </c>
      <c r="H736" s="431"/>
      <c r="I736" s="59"/>
      <c r="J736" s="260">
        <f t="shared" si="1"/>
        <v>1</v>
      </c>
      <c r="K736" s="61"/>
    </row>
    <row r="737" spans="2:11" x14ac:dyDescent="0.2">
      <c r="B737" s="57"/>
      <c r="C737" s="196" t="s">
        <v>38</v>
      </c>
      <c r="D737" s="59"/>
      <c r="E737" s="59"/>
      <c r="F737" s="59"/>
      <c r="G737" s="431" t="s">
        <v>202</v>
      </c>
      <c r="H737" s="431"/>
      <c r="I737" s="59"/>
      <c r="J737" s="260">
        <f t="shared" si="1"/>
        <v>0</v>
      </c>
      <c r="K737" s="61"/>
    </row>
    <row r="738" spans="2:11" x14ac:dyDescent="0.2">
      <c r="B738" s="57"/>
      <c r="C738" s="196" t="s">
        <v>40</v>
      </c>
      <c r="D738" s="59"/>
      <c r="E738" s="59"/>
      <c r="F738" s="59"/>
      <c r="G738" s="431" t="s">
        <v>190</v>
      </c>
      <c r="H738" s="431"/>
      <c r="I738" s="59"/>
      <c r="J738" s="260">
        <f t="shared" si="1"/>
        <v>1</v>
      </c>
      <c r="K738" s="61"/>
    </row>
    <row r="739" spans="2:11" x14ac:dyDescent="0.2">
      <c r="B739" s="57"/>
      <c r="C739" s="196" t="s">
        <v>41</v>
      </c>
      <c r="D739" s="59"/>
      <c r="E739" s="59"/>
      <c r="F739" s="59"/>
      <c r="G739" s="431" t="s">
        <v>190</v>
      </c>
      <c r="H739" s="431"/>
      <c r="I739" s="59"/>
      <c r="J739" s="260">
        <f t="shared" si="1"/>
        <v>1</v>
      </c>
      <c r="K739" s="61"/>
    </row>
    <row r="740" spans="2:11" x14ac:dyDescent="0.2">
      <c r="B740" s="57"/>
      <c r="C740" s="196" t="s">
        <v>43</v>
      </c>
      <c r="D740" s="59"/>
      <c r="E740" s="59"/>
      <c r="F740" s="59"/>
      <c r="G740" s="431" t="s">
        <v>190</v>
      </c>
      <c r="H740" s="431"/>
      <c r="I740" s="59"/>
      <c r="J740" s="260">
        <f t="shared" si="1"/>
        <v>1</v>
      </c>
      <c r="K740" s="61"/>
    </row>
    <row r="741" spans="2:11" x14ac:dyDescent="0.2">
      <c r="B741" s="57"/>
      <c r="C741" s="59"/>
      <c r="D741" s="59"/>
      <c r="E741" s="59"/>
      <c r="F741" s="59"/>
      <c r="G741" s="59"/>
      <c r="H741" s="59"/>
      <c r="I741" s="59"/>
      <c r="J741" s="59"/>
      <c r="K741" s="61"/>
    </row>
    <row r="742" spans="2:11" x14ac:dyDescent="0.2">
      <c r="B742" s="57"/>
      <c r="C742" s="59"/>
      <c r="D742" s="59"/>
      <c r="E742" s="59"/>
      <c r="F742" s="59"/>
      <c r="G742" s="59"/>
      <c r="H742" s="59"/>
      <c r="I742" s="59"/>
      <c r="J742" s="59"/>
      <c r="K742" s="61"/>
    </row>
    <row r="743" spans="2:11" ht="16" x14ac:dyDescent="0.2">
      <c r="B743" s="57"/>
      <c r="C743" s="195" t="s">
        <v>366</v>
      </c>
      <c r="D743" s="59"/>
      <c r="E743" s="59"/>
      <c r="F743" s="59"/>
      <c r="G743" s="59"/>
      <c r="H743" s="59"/>
      <c r="I743" s="59"/>
      <c r="J743" s="59"/>
      <c r="K743" s="61"/>
    </row>
    <row r="744" spans="2:11" ht="15" customHeight="1" x14ac:dyDescent="0.2">
      <c r="B744" s="57"/>
      <c r="C744" s="411" t="s">
        <v>367</v>
      </c>
      <c r="D744" s="411"/>
      <c r="E744" s="411"/>
      <c r="F744" s="411"/>
      <c r="G744" s="411"/>
      <c r="H744" s="411"/>
      <c r="I744" s="411"/>
      <c r="J744" s="411"/>
      <c r="K744" s="61"/>
    </row>
    <row r="745" spans="2:11" x14ac:dyDescent="0.2">
      <c r="B745" s="57"/>
      <c r="C745" s="411"/>
      <c r="D745" s="411"/>
      <c r="E745" s="411"/>
      <c r="F745" s="411"/>
      <c r="G745" s="411"/>
      <c r="H745" s="411"/>
      <c r="I745" s="411"/>
      <c r="J745" s="411"/>
      <c r="K745" s="61"/>
    </row>
    <row r="746" spans="2:11" x14ac:dyDescent="0.2">
      <c r="B746" s="57"/>
      <c r="C746" s="411"/>
      <c r="D746" s="411"/>
      <c r="E746" s="411"/>
      <c r="F746" s="411"/>
      <c r="G746" s="411"/>
      <c r="H746" s="411"/>
      <c r="I746" s="411"/>
      <c r="J746" s="411"/>
      <c r="K746" s="61"/>
    </row>
    <row r="747" spans="2:11" x14ac:dyDescent="0.2">
      <c r="B747" s="57"/>
      <c r="C747" s="196" t="s">
        <v>30</v>
      </c>
      <c r="D747" s="59"/>
      <c r="E747" s="59"/>
      <c r="F747" s="59"/>
      <c r="G747" s="431" t="s">
        <v>202</v>
      </c>
      <c r="H747" s="431"/>
      <c r="I747" s="59"/>
      <c r="J747" s="260">
        <f>IF(G747=$B$994,$A$994,IF(G747=$B$995,$A$995,"Not Calculated"))</f>
        <v>0</v>
      </c>
      <c r="K747" s="61"/>
    </row>
    <row r="748" spans="2:11" x14ac:dyDescent="0.2">
      <c r="B748" s="57"/>
      <c r="C748" s="196" t="s">
        <v>32</v>
      </c>
      <c r="D748" s="59"/>
      <c r="E748" s="59"/>
      <c r="F748" s="59"/>
      <c r="G748" s="431" t="s">
        <v>202</v>
      </c>
      <c r="H748" s="431"/>
      <c r="I748" s="59"/>
      <c r="J748" s="260">
        <f t="shared" ref="J748:J755" si="2">IF(G748=$B$994,$A$994,IF(G748=$B$995,$A$995,"Not Calculated"))</f>
        <v>0</v>
      </c>
      <c r="K748" s="61"/>
    </row>
    <row r="749" spans="2:11" ht="15" customHeight="1" x14ac:dyDescent="0.2">
      <c r="B749" s="57"/>
      <c r="C749" s="196" t="s">
        <v>34</v>
      </c>
      <c r="D749" s="59"/>
      <c r="E749" s="59"/>
      <c r="F749" s="59"/>
      <c r="G749" s="431" t="s">
        <v>202</v>
      </c>
      <c r="H749" s="431"/>
      <c r="I749" s="59"/>
      <c r="J749" s="260">
        <f t="shared" si="2"/>
        <v>0</v>
      </c>
      <c r="K749" s="61"/>
    </row>
    <row r="750" spans="2:11" x14ac:dyDescent="0.2">
      <c r="B750" s="57"/>
      <c r="C750" s="196" t="s">
        <v>35</v>
      </c>
      <c r="D750" s="59"/>
      <c r="E750" s="59"/>
      <c r="F750" s="59"/>
      <c r="G750" s="431" t="s">
        <v>202</v>
      </c>
      <c r="H750" s="431"/>
      <c r="I750" s="59"/>
      <c r="J750" s="260">
        <f t="shared" si="2"/>
        <v>0</v>
      </c>
      <c r="K750" s="61"/>
    </row>
    <row r="751" spans="2:11" x14ac:dyDescent="0.2">
      <c r="B751" s="57"/>
      <c r="C751" s="196" t="s">
        <v>37</v>
      </c>
      <c r="D751" s="59"/>
      <c r="E751" s="59"/>
      <c r="F751" s="59"/>
      <c r="G751" s="431" t="s">
        <v>202</v>
      </c>
      <c r="H751" s="431"/>
      <c r="I751" s="59"/>
      <c r="J751" s="260">
        <f t="shared" si="2"/>
        <v>0</v>
      </c>
      <c r="K751" s="61"/>
    </row>
    <row r="752" spans="2:11" x14ac:dyDescent="0.2">
      <c r="B752" s="57"/>
      <c r="C752" s="196" t="s">
        <v>38</v>
      </c>
      <c r="D752" s="59"/>
      <c r="E752" s="59"/>
      <c r="F752" s="59"/>
      <c r="G752" s="431" t="s">
        <v>202</v>
      </c>
      <c r="H752" s="431"/>
      <c r="I752" s="59"/>
      <c r="J752" s="260">
        <f t="shared" si="2"/>
        <v>0</v>
      </c>
      <c r="K752" s="61"/>
    </row>
    <row r="753" spans="2:11" x14ac:dyDescent="0.2">
      <c r="B753" s="57"/>
      <c r="C753" s="196" t="s">
        <v>40</v>
      </c>
      <c r="D753" s="59"/>
      <c r="E753" s="59"/>
      <c r="F753" s="59"/>
      <c r="G753" s="431" t="s">
        <v>202</v>
      </c>
      <c r="H753" s="431"/>
      <c r="I753" s="59"/>
      <c r="J753" s="260">
        <f t="shared" si="2"/>
        <v>0</v>
      </c>
      <c r="K753" s="61"/>
    </row>
    <row r="754" spans="2:11" x14ac:dyDescent="0.2">
      <c r="B754" s="57"/>
      <c r="C754" s="196" t="s">
        <v>41</v>
      </c>
      <c r="D754" s="59"/>
      <c r="E754" s="59"/>
      <c r="F754" s="59"/>
      <c r="G754" s="431" t="s">
        <v>202</v>
      </c>
      <c r="H754" s="431"/>
      <c r="I754" s="59"/>
      <c r="J754" s="260">
        <f t="shared" si="2"/>
        <v>0</v>
      </c>
      <c r="K754" s="61"/>
    </row>
    <row r="755" spans="2:11" x14ac:dyDescent="0.2">
      <c r="B755" s="57"/>
      <c r="C755" s="196" t="s">
        <v>43</v>
      </c>
      <c r="D755" s="59"/>
      <c r="E755" s="59"/>
      <c r="F755" s="59"/>
      <c r="G755" s="431" t="s">
        <v>202</v>
      </c>
      <c r="H755" s="431"/>
      <c r="I755" s="59"/>
      <c r="J755" s="260">
        <f t="shared" si="2"/>
        <v>0</v>
      </c>
      <c r="K755" s="61"/>
    </row>
    <row r="756" spans="2:11" x14ac:dyDescent="0.2">
      <c r="B756" s="57"/>
      <c r="C756" s="59"/>
      <c r="D756" s="59"/>
      <c r="E756" s="59"/>
      <c r="F756" s="59"/>
      <c r="G756" s="59"/>
      <c r="H756" s="59"/>
      <c r="I756" s="59"/>
      <c r="J756" s="59"/>
      <c r="K756" s="61"/>
    </row>
    <row r="757" spans="2:11" x14ac:dyDescent="0.2">
      <c r="B757" s="57"/>
      <c r="C757" s="59"/>
      <c r="D757" s="59"/>
      <c r="E757" s="59"/>
      <c r="F757" s="59"/>
      <c r="G757" s="59"/>
      <c r="H757" s="59"/>
      <c r="I757" s="59"/>
      <c r="J757" s="59"/>
      <c r="K757" s="61"/>
    </row>
    <row r="758" spans="2:11" ht="16" x14ac:dyDescent="0.2">
      <c r="B758" s="57"/>
      <c r="C758" s="195" t="s">
        <v>368</v>
      </c>
      <c r="D758" s="59"/>
      <c r="E758" s="59"/>
      <c r="F758" s="59"/>
      <c r="G758" s="59"/>
      <c r="H758" s="59"/>
      <c r="I758" s="59"/>
      <c r="J758" s="59"/>
      <c r="K758" s="61"/>
    </row>
    <row r="759" spans="2:11" ht="15" customHeight="1" x14ac:dyDescent="0.2">
      <c r="B759" s="57"/>
      <c r="C759" s="411" t="s">
        <v>369</v>
      </c>
      <c r="D759" s="411"/>
      <c r="E759" s="411"/>
      <c r="F759" s="411"/>
      <c r="G759" s="411"/>
      <c r="H759" s="411"/>
      <c r="I759" s="411"/>
      <c r="J759" s="411"/>
      <c r="K759" s="61"/>
    </row>
    <row r="760" spans="2:11" x14ac:dyDescent="0.2">
      <c r="B760" s="57"/>
      <c r="C760" s="411"/>
      <c r="D760" s="411"/>
      <c r="E760" s="411"/>
      <c r="F760" s="411"/>
      <c r="G760" s="411"/>
      <c r="H760" s="411"/>
      <c r="I760" s="411"/>
      <c r="J760" s="411"/>
      <c r="K760" s="61"/>
    </row>
    <row r="761" spans="2:11" x14ac:dyDescent="0.2">
      <c r="B761" s="57"/>
      <c r="C761" s="411"/>
      <c r="D761" s="411"/>
      <c r="E761" s="411"/>
      <c r="F761" s="411"/>
      <c r="G761" s="411"/>
      <c r="H761" s="411"/>
      <c r="I761" s="411"/>
      <c r="J761" s="411"/>
      <c r="K761" s="61"/>
    </row>
    <row r="762" spans="2:11" x14ac:dyDescent="0.2">
      <c r="B762" s="57"/>
      <c r="C762" s="196" t="s">
        <v>30</v>
      </c>
      <c r="D762" s="59"/>
      <c r="E762" s="59"/>
      <c r="F762" s="59"/>
      <c r="G762" s="431" t="s">
        <v>190</v>
      </c>
      <c r="H762" s="431"/>
      <c r="I762" s="59"/>
      <c r="J762" s="260">
        <f>IF(G762=$B$994,$A$994,IF(G762=$B$995,$A$995,"Not Calculated"))</f>
        <v>1</v>
      </c>
      <c r="K762" s="61"/>
    </row>
    <row r="763" spans="2:11" x14ac:dyDescent="0.2">
      <c r="B763" s="57"/>
      <c r="C763" s="196" t="s">
        <v>32</v>
      </c>
      <c r="D763" s="59"/>
      <c r="E763" s="59"/>
      <c r="F763" s="59"/>
      <c r="G763" s="431" t="s">
        <v>190</v>
      </c>
      <c r="H763" s="431"/>
      <c r="I763" s="59"/>
      <c r="J763" s="260">
        <f t="shared" ref="J763:J770" si="3">IF(G763=$B$994,$A$994,IF(G763=$B$995,$A$995,"Not Calculated"))</f>
        <v>1</v>
      </c>
      <c r="K763" s="61"/>
    </row>
    <row r="764" spans="2:11" ht="15" customHeight="1" x14ac:dyDescent="0.2">
      <c r="B764" s="57"/>
      <c r="C764" s="196" t="s">
        <v>34</v>
      </c>
      <c r="D764" s="59"/>
      <c r="E764" s="59"/>
      <c r="F764" s="59"/>
      <c r="G764" s="431" t="s">
        <v>190</v>
      </c>
      <c r="H764" s="431"/>
      <c r="I764" s="59"/>
      <c r="J764" s="260">
        <f t="shared" si="3"/>
        <v>1</v>
      </c>
      <c r="K764" s="61"/>
    </row>
    <row r="765" spans="2:11" x14ac:dyDescent="0.2">
      <c r="B765" s="57"/>
      <c r="C765" s="196" t="s">
        <v>35</v>
      </c>
      <c r="D765" s="59"/>
      <c r="E765" s="59"/>
      <c r="F765" s="59"/>
      <c r="G765" s="431" t="s">
        <v>190</v>
      </c>
      <c r="H765" s="431"/>
      <c r="I765" s="59"/>
      <c r="J765" s="260">
        <f t="shared" si="3"/>
        <v>1</v>
      </c>
      <c r="K765" s="61"/>
    </row>
    <row r="766" spans="2:11" x14ac:dyDescent="0.2">
      <c r="B766" s="57"/>
      <c r="C766" s="196" t="s">
        <v>37</v>
      </c>
      <c r="D766" s="59"/>
      <c r="E766" s="59"/>
      <c r="F766" s="59"/>
      <c r="G766" s="431" t="s">
        <v>190</v>
      </c>
      <c r="H766" s="431"/>
      <c r="I766" s="59"/>
      <c r="J766" s="260">
        <f t="shared" si="3"/>
        <v>1</v>
      </c>
      <c r="K766" s="61"/>
    </row>
    <row r="767" spans="2:11" x14ac:dyDescent="0.2">
      <c r="B767" s="57"/>
      <c r="C767" s="196" t="s">
        <v>38</v>
      </c>
      <c r="D767" s="59"/>
      <c r="E767" s="59"/>
      <c r="F767" s="59"/>
      <c r="G767" s="431" t="s">
        <v>190</v>
      </c>
      <c r="H767" s="431"/>
      <c r="I767" s="59"/>
      <c r="J767" s="260">
        <f t="shared" si="3"/>
        <v>1</v>
      </c>
      <c r="K767" s="61"/>
    </row>
    <row r="768" spans="2:11" x14ac:dyDescent="0.2">
      <c r="B768" s="57"/>
      <c r="C768" s="196" t="s">
        <v>40</v>
      </c>
      <c r="D768" s="59"/>
      <c r="E768" s="59"/>
      <c r="F768" s="59"/>
      <c r="G768" s="431" t="s">
        <v>190</v>
      </c>
      <c r="H768" s="431"/>
      <c r="I768" s="59"/>
      <c r="J768" s="260">
        <f t="shared" si="3"/>
        <v>1</v>
      </c>
      <c r="K768" s="61"/>
    </row>
    <row r="769" spans="2:11" x14ac:dyDescent="0.2">
      <c r="B769" s="57"/>
      <c r="C769" s="196" t="s">
        <v>41</v>
      </c>
      <c r="D769" s="59"/>
      <c r="E769" s="59"/>
      <c r="F769" s="59"/>
      <c r="G769" s="431" t="s">
        <v>190</v>
      </c>
      <c r="H769" s="431"/>
      <c r="I769" s="59"/>
      <c r="J769" s="260">
        <f t="shared" si="3"/>
        <v>1</v>
      </c>
      <c r="K769" s="61"/>
    </row>
    <row r="770" spans="2:11" x14ac:dyDescent="0.2">
      <c r="B770" s="57"/>
      <c r="C770" s="196" t="s">
        <v>43</v>
      </c>
      <c r="D770" s="59"/>
      <c r="E770" s="59"/>
      <c r="F770" s="59"/>
      <c r="G770" s="431" t="s">
        <v>190</v>
      </c>
      <c r="H770" s="431"/>
      <c r="I770" s="59"/>
      <c r="J770" s="260">
        <f t="shared" si="3"/>
        <v>1</v>
      </c>
      <c r="K770" s="61"/>
    </row>
    <row r="771" spans="2:11" x14ac:dyDescent="0.2">
      <c r="B771" s="57"/>
      <c r="C771" s="59"/>
      <c r="D771" s="59"/>
      <c r="E771" s="59"/>
      <c r="F771" s="59"/>
      <c r="G771" s="59"/>
      <c r="H771" s="59"/>
      <c r="I771" s="59"/>
      <c r="J771" s="59"/>
      <c r="K771" s="61"/>
    </row>
    <row r="772" spans="2:11" x14ac:dyDescent="0.2">
      <c r="B772" s="57"/>
      <c r="C772" s="59"/>
      <c r="D772" s="59"/>
      <c r="E772" s="59"/>
      <c r="F772" s="59"/>
      <c r="G772" s="59"/>
      <c r="H772" s="59"/>
      <c r="I772" s="59"/>
      <c r="J772" s="59"/>
      <c r="K772" s="61"/>
    </row>
    <row r="773" spans="2:11" ht="16" x14ac:dyDescent="0.2">
      <c r="B773" s="57"/>
      <c r="C773" s="197" t="s">
        <v>30</v>
      </c>
      <c r="D773" s="59"/>
      <c r="E773" s="59"/>
      <c r="F773" s="59"/>
      <c r="G773" s="59"/>
      <c r="H773" s="59"/>
      <c r="I773" s="59"/>
      <c r="J773" s="59"/>
      <c r="K773" s="61"/>
    </row>
    <row r="774" spans="2:11" x14ac:dyDescent="0.2">
      <c r="B774" s="57"/>
      <c r="C774" s="59"/>
      <c r="D774" s="59" t="s">
        <v>370</v>
      </c>
      <c r="E774" s="59"/>
      <c r="F774" s="59"/>
      <c r="G774" s="59"/>
      <c r="H774" s="59"/>
      <c r="I774" s="59"/>
      <c r="J774" s="60">
        <f>'Baseline At-Risk Pops'!H8</f>
        <v>0</v>
      </c>
      <c r="K774" s="61"/>
    </row>
    <row r="775" spans="2:11" x14ac:dyDescent="0.2">
      <c r="B775" s="57"/>
      <c r="C775" s="59"/>
      <c r="D775" s="59" t="s">
        <v>371</v>
      </c>
      <c r="E775" s="59"/>
      <c r="F775" s="59"/>
      <c r="G775" s="59"/>
      <c r="H775" s="59"/>
      <c r="I775" s="59"/>
      <c r="J775" s="60">
        <f>SUM(J717,J732,J747,J762)</f>
        <v>3</v>
      </c>
      <c r="K775" s="61"/>
    </row>
    <row r="776" spans="2:11" x14ac:dyDescent="0.2">
      <c r="B776" s="57"/>
      <c r="C776" s="59"/>
      <c r="D776" s="196" t="s">
        <v>372</v>
      </c>
      <c r="E776" s="59"/>
      <c r="F776" s="59"/>
      <c r="G776" s="59"/>
      <c r="H776" s="59"/>
      <c r="I776" s="59"/>
      <c r="J776" s="60">
        <f>AVERAGE(J774,J775)</f>
        <v>1.5</v>
      </c>
      <c r="K776" s="61"/>
    </row>
    <row r="777" spans="2:11" ht="16" x14ac:dyDescent="0.2">
      <c r="B777" s="57"/>
      <c r="C777" s="197" t="s">
        <v>32</v>
      </c>
      <c r="D777" s="59"/>
      <c r="E777" s="59"/>
      <c r="F777" s="59"/>
      <c r="G777" s="59"/>
      <c r="H777" s="59"/>
      <c r="I777" s="59"/>
      <c r="J777" s="60"/>
      <c r="K777" s="61"/>
    </row>
    <row r="778" spans="2:11" x14ac:dyDescent="0.2">
      <c r="B778" s="57"/>
      <c r="C778" s="59"/>
      <c r="D778" s="59" t="s">
        <v>370</v>
      </c>
      <c r="E778" s="59"/>
      <c r="F778" s="59"/>
      <c r="G778" s="59"/>
      <c r="H778" s="59"/>
      <c r="I778" s="59"/>
      <c r="J778" s="60">
        <f>'Baseline At-Risk Pops'!H14</f>
        <v>0</v>
      </c>
      <c r="K778" s="61"/>
    </row>
    <row r="779" spans="2:11" ht="15" customHeight="1" x14ac:dyDescent="0.2">
      <c r="B779" s="57"/>
      <c r="C779" s="59"/>
      <c r="D779" s="59" t="s">
        <v>371</v>
      </c>
      <c r="E779" s="59"/>
      <c r="F779" s="59"/>
      <c r="G779" s="59"/>
      <c r="H779" s="59"/>
      <c r="I779" s="59"/>
      <c r="J779" s="60">
        <f>SUM(J718,J733,J748,J763)</f>
        <v>3</v>
      </c>
      <c r="K779" s="61"/>
    </row>
    <row r="780" spans="2:11" x14ac:dyDescent="0.2">
      <c r="B780" s="57"/>
      <c r="C780" s="59"/>
      <c r="D780" s="196" t="s">
        <v>372</v>
      </c>
      <c r="E780" s="59"/>
      <c r="F780" s="59"/>
      <c r="G780" s="59"/>
      <c r="H780" s="59"/>
      <c r="I780" s="59"/>
      <c r="J780" s="60">
        <f>AVERAGE(J778,J779)</f>
        <v>1.5</v>
      </c>
      <c r="K780" s="61"/>
    </row>
    <row r="781" spans="2:11" ht="16" x14ac:dyDescent="0.2">
      <c r="B781" s="57"/>
      <c r="C781" s="197" t="s">
        <v>34</v>
      </c>
      <c r="D781" s="59"/>
      <c r="E781" s="59"/>
      <c r="F781" s="59"/>
      <c r="G781" s="59"/>
      <c r="H781" s="59"/>
      <c r="I781" s="59"/>
      <c r="J781" s="60"/>
      <c r="K781" s="61"/>
    </row>
    <row r="782" spans="2:11" ht="16" x14ac:dyDescent="0.2">
      <c r="B782" s="57"/>
      <c r="C782" s="197"/>
      <c r="D782" s="59" t="s">
        <v>370</v>
      </c>
      <c r="E782" s="59"/>
      <c r="F782" s="59"/>
      <c r="G782" s="59"/>
      <c r="H782" s="59"/>
      <c r="I782" s="59"/>
      <c r="J782" s="60">
        <f>'Baseline At-Risk Pops'!H21</f>
        <v>0</v>
      </c>
      <c r="K782" s="61"/>
    </row>
    <row r="783" spans="2:11" x14ac:dyDescent="0.2">
      <c r="B783" s="57"/>
      <c r="C783" s="59"/>
      <c r="D783" s="59" t="s">
        <v>371</v>
      </c>
      <c r="E783" s="59"/>
      <c r="F783" s="59"/>
      <c r="G783" s="59"/>
      <c r="H783" s="59"/>
      <c r="I783" s="59"/>
      <c r="J783" s="60">
        <f>SUM(J719,J734,J749,J764)</f>
        <v>2</v>
      </c>
      <c r="K783" s="61"/>
    </row>
    <row r="784" spans="2:11" x14ac:dyDescent="0.2">
      <c r="B784" s="57"/>
      <c r="C784" s="59"/>
      <c r="D784" s="196" t="s">
        <v>372</v>
      </c>
      <c r="E784" s="59"/>
      <c r="F784" s="59"/>
      <c r="G784" s="59"/>
      <c r="H784" s="59"/>
      <c r="I784" s="59"/>
      <c r="J784" s="60">
        <f>AVERAGE(J782,J783)</f>
        <v>1</v>
      </c>
      <c r="K784" s="61"/>
    </row>
    <row r="785" spans="2:11" ht="16" x14ac:dyDescent="0.2">
      <c r="B785" s="57"/>
      <c r="C785" s="197" t="s">
        <v>35</v>
      </c>
      <c r="D785" s="59"/>
      <c r="E785" s="59"/>
      <c r="F785" s="59"/>
      <c r="G785" s="59"/>
      <c r="H785" s="59"/>
      <c r="I785" s="59"/>
      <c r="J785" s="60"/>
      <c r="K785" s="61"/>
    </row>
    <row r="786" spans="2:11" x14ac:dyDescent="0.2">
      <c r="B786" s="57"/>
      <c r="C786" s="59"/>
      <c r="D786" s="59" t="s">
        <v>370</v>
      </c>
      <c r="E786" s="59"/>
      <c r="F786" s="59"/>
      <c r="G786" s="59"/>
      <c r="H786" s="59"/>
      <c r="I786" s="59"/>
      <c r="J786" s="60">
        <f>'Baseline At-Risk Pops'!H27</f>
        <v>0</v>
      </c>
      <c r="K786" s="61"/>
    </row>
    <row r="787" spans="2:11" x14ac:dyDescent="0.2">
      <c r="B787" s="57"/>
      <c r="C787" s="59"/>
      <c r="D787" s="59" t="s">
        <v>371</v>
      </c>
      <c r="E787" s="59"/>
      <c r="F787" s="59"/>
      <c r="G787" s="59"/>
      <c r="H787" s="59"/>
      <c r="I787" s="59"/>
      <c r="J787" s="60">
        <f>SUM(J720,J735,J750,J765)</f>
        <v>3</v>
      </c>
      <c r="K787" s="61"/>
    </row>
    <row r="788" spans="2:11" x14ac:dyDescent="0.2">
      <c r="B788" s="57"/>
      <c r="C788" s="59"/>
      <c r="D788" s="196" t="s">
        <v>372</v>
      </c>
      <c r="E788" s="59"/>
      <c r="F788" s="59"/>
      <c r="G788" s="59"/>
      <c r="H788" s="59"/>
      <c r="I788" s="59"/>
      <c r="J788" s="60">
        <f>AVERAGE(J786,J787)</f>
        <v>1.5</v>
      </c>
      <c r="K788" s="61"/>
    </row>
    <row r="789" spans="2:11" ht="16" x14ac:dyDescent="0.2">
      <c r="B789" s="57"/>
      <c r="C789" s="197" t="s">
        <v>37</v>
      </c>
      <c r="D789" s="59"/>
      <c r="E789" s="59"/>
      <c r="F789" s="59"/>
      <c r="G789" s="59"/>
      <c r="H789" s="59"/>
      <c r="I789" s="59"/>
      <c r="J789" s="60"/>
      <c r="K789" s="61"/>
    </row>
    <row r="790" spans="2:11" x14ac:dyDescent="0.2">
      <c r="B790" s="57"/>
      <c r="C790" s="59"/>
      <c r="D790" s="59" t="s">
        <v>370</v>
      </c>
      <c r="E790" s="59"/>
      <c r="F790" s="59"/>
      <c r="G790" s="59"/>
      <c r="H790" s="59"/>
      <c r="I790" s="59"/>
      <c r="J790" s="60">
        <f>'Baseline At-Risk Pops'!H34</f>
        <v>0</v>
      </c>
      <c r="K790" s="61"/>
    </row>
    <row r="791" spans="2:11" x14ac:dyDescent="0.2">
      <c r="B791" s="57"/>
      <c r="C791" s="59"/>
      <c r="D791" s="59" t="s">
        <v>371</v>
      </c>
      <c r="E791" s="59"/>
      <c r="F791" s="59"/>
      <c r="G791" s="59"/>
      <c r="H791" s="59"/>
      <c r="I791" s="59"/>
      <c r="J791" s="60">
        <f>SUM(J721,J736,J751,J766)</f>
        <v>3</v>
      </c>
      <c r="K791" s="61"/>
    </row>
    <row r="792" spans="2:11" x14ac:dyDescent="0.2">
      <c r="B792" s="57"/>
      <c r="C792" s="59"/>
      <c r="D792" s="196" t="s">
        <v>372</v>
      </c>
      <c r="E792" s="59"/>
      <c r="F792" s="59"/>
      <c r="G792" s="59"/>
      <c r="H792" s="59"/>
      <c r="I792" s="59"/>
      <c r="J792" s="60">
        <f>AVERAGE(J790,J791)</f>
        <v>1.5</v>
      </c>
      <c r="K792" s="61"/>
    </row>
    <row r="793" spans="2:11" ht="16" x14ac:dyDescent="0.2">
      <c r="B793" s="57"/>
      <c r="C793" s="197" t="s">
        <v>38</v>
      </c>
      <c r="D793" s="59"/>
      <c r="E793" s="59"/>
      <c r="F793" s="59"/>
      <c r="G793" s="59"/>
      <c r="H793" s="59"/>
      <c r="I793" s="59"/>
      <c r="J793" s="60"/>
      <c r="K793" s="61"/>
    </row>
    <row r="794" spans="2:11" x14ac:dyDescent="0.2">
      <c r="B794" s="57"/>
      <c r="C794" s="59"/>
      <c r="D794" s="59" t="s">
        <v>370</v>
      </c>
      <c r="E794" s="59"/>
      <c r="F794" s="59"/>
      <c r="G794" s="59"/>
      <c r="H794" s="59"/>
      <c r="I794" s="59"/>
      <c r="J794" s="60">
        <f>'Baseline At-Risk Pops'!H40</f>
        <v>0</v>
      </c>
      <c r="K794" s="61"/>
    </row>
    <row r="795" spans="2:11" x14ac:dyDescent="0.2">
      <c r="B795" s="57"/>
      <c r="C795" s="59"/>
      <c r="D795" s="59" t="s">
        <v>371</v>
      </c>
      <c r="E795" s="59"/>
      <c r="F795" s="59"/>
      <c r="G795" s="59"/>
      <c r="H795" s="59"/>
      <c r="I795" s="59"/>
      <c r="J795" s="60">
        <f>SUM(J722,J737,J752,J767)</f>
        <v>2</v>
      </c>
      <c r="K795" s="61"/>
    </row>
    <row r="796" spans="2:11" x14ac:dyDescent="0.2">
      <c r="B796" s="57"/>
      <c r="C796" s="59"/>
      <c r="D796" s="196" t="s">
        <v>372</v>
      </c>
      <c r="E796" s="59"/>
      <c r="F796" s="59"/>
      <c r="G796" s="59"/>
      <c r="H796" s="59"/>
      <c r="I796" s="59"/>
      <c r="J796" s="60">
        <f>AVERAGE(J794,J795)</f>
        <v>1</v>
      </c>
      <c r="K796" s="61"/>
    </row>
    <row r="797" spans="2:11" ht="16" x14ac:dyDescent="0.2">
      <c r="B797" s="57"/>
      <c r="C797" s="197" t="s">
        <v>40</v>
      </c>
      <c r="D797" s="59"/>
      <c r="E797" s="59"/>
      <c r="F797" s="59"/>
      <c r="G797" s="59"/>
      <c r="H797" s="59"/>
      <c r="I797" s="59"/>
      <c r="J797" s="60"/>
      <c r="K797" s="61"/>
    </row>
    <row r="798" spans="2:11" x14ac:dyDescent="0.2">
      <c r="B798" s="57"/>
      <c r="C798" s="59"/>
      <c r="D798" s="59" t="s">
        <v>370</v>
      </c>
      <c r="E798" s="59"/>
      <c r="F798" s="59"/>
      <c r="G798" s="59"/>
      <c r="H798" s="59"/>
      <c r="I798" s="59"/>
      <c r="J798" s="60">
        <f>'Baseline At-Risk Pops'!H46</f>
        <v>0</v>
      </c>
      <c r="K798" s="61"/>
    </row>
    <row r="799" spans="2:11" x14ac:dyDescent="0.2">
      <c r="B799" s="57"/>
      <c r="C799" s="59"/>
      <c r="D799" s="59" t="s">
        <v>371</v>
      </c>
      <c r="E799" s="59"/>
      <c r="F799" s="59"/>
      <c r="G799" s="59"/>
      <c r="H799" s="59"/>
      <c r="I799" s="59"/>
      <c r="J799" s="60">
        <f>SUM(J723,J738,J753,J768)</f>
        <v>3</v>
      </c>
      <c r="K799" s="61"/>
    </row>
    <row r="800" spans="2:11" x14ac:dyDescent="0.2">
      <c r="B800" s="57"/>
      <c r="C800" s="59"/>
      <c r="D800" s="196" t="s">
        <v>372</v>
      </c>
      <c r="E800" s="59"/>
      <c r="F800" s="59"/>
      <c r="G800" s="59"/>
      <c r="H800" s="59"/>
      <c r="I800" s="59"/>
      <c r="J800" s="60">
        <f>AVERAGE(J798,J799)</f>
        <v>1.5</v>
      </c>
      <c r="K800" s="61"/>
    </row>
    <row r="801" spans="2:11" ht="16" x14ac:dyDescent="0.2">
      <c r="B801" s="57"/>
      <c r="C801" s="197" t="s">
        <v>41</v>
      </c>
      <c r="D801" s="59"/>
      <c r="E801" s="59"/>
      <c r="F801" s="59"/>
      <c r="G801" s="59"/>
      <c r="H801" s="59"/>
      <c r="I801" s="59"/>
      <c r="J801" s="60"/>
      <c r="K801" s="61"/>
    </row>
    <row r="802" spans="2:11" ht="16" x14ac:dyDescent="0.2">
      <c r="B802" s="57"/>
      <c r="C802" s="197"/>
      <c r="D802" s="59" t="s">
        <v>370</v>
      </c>
      <c r="E802" s="59"/>
      <c r="F802" s="59"/>
      <c r="G802" s="59"/>
      <c r="H802" s="59"/>
      <c r="I802" s="59"/>
      <c r="J802" s="60">
        <f>'Baseline At-Risk Pops'!H52</f>
        <v>0</v>
      </c>
      <c r="K802" s="61"/>
    </row>
    <row r="803" spans="2:11" x14ac:dyDescent="0.2">
      <c r="B803" s="57"/>
      <c r="C803" s="59"/>
      <c r="D803" s="59" t="s">
        <v>371</v>
      </c>
      <c r="E803" s="59"/>
      <c r="F803" s="59"/>
      <c r="G803" s="59"/>
      <c r="H803" s="59"/>
      <c r="I803" s="59"/>
      <c r="J803" s="60">
        <f>SUM(J724,J739,J754,J769)</f>
        <v>3</v>
      </c>
      <c r="K803" s="61"/>
    </row>
    <row r="804" spans="2:11" x14ac:dyDescent="0.2">
      <c r="B804" s="57"/>
      <c r="C804" s="59"/>
      <c r="D804" s="196" t="s">
        <v>372</v>
      </c>
      <c r="E804" s="59"/>
      <c r="F804" s="59"/>
      <c r="G804" s="59"/>
      <c r="H804" s="59"/>
      <c r="I804" s="59"/>
      <c r="J804" s="60">
        <f>AVERAGE(J802,J803)</f>
        <v>1.5</v>
      </c>
      <c r="K804" s="61"/>
    </row>
    <row r="805" spans="2:11" ht="16" x14ac:dyDescent="0.2">
      <c r="B805" s="57"/>
      <c r="C805" s="197" t="s">
        <v>43</v>
      </c>
      <c r="D805" s="59"/>
      <c r="E805" s="59"/>
      <c r="F805" s="59"/>
      <c r="G805" s="59"/>
      <c r="H805" s="59"/>
      <c r="I805" s="59"/>
      <c r="J805" s="60"/>
      <c r="K805" s="61"/>
    </row>
    <row r="806" spans="2:11" x14ac:dyDescent="0.2">
      <c r="B806" s="57"/>
      <c r="C806" s="59"/>
      <c r="D806" s="59" t="s">
        <v>370</v>
      </c>
      <c r="E806" s="59"/>
      <c r="F806" s="59"/>
      <c r="G806" s="59"/>
      <c r="H806" s="59"/>
      <c r="I806" s="59"/>
      <c r="J806" s="60">
        <f>'Baseline At-Risk Pops'!H58</f>
        <v>0</v>
      </c>
      <c r="K806" s="61"/>
    </row>
    <row r="807" spans="2:11" x14ac:dyDescent="0.2">
      <c r="B807" s="57"/>
      <c r="C807" s="59"/>
      <c r="D807" s="59" t="s">
        <v>371</v>
      </c>
      <c r="E807" s="59"/>
      <c r="F807" s="59"/>
      <c r="G807" s="59"/>
      <c r="H807" s="59"/>
      <c r="I807" s="59"/>
      <c r="J807" s="60">
        <f>SUM(J725,J740,J755,J770)</f>
        <v>3</v>
      </c>
      <c r="K807" s="61"/>
    </row>
    <row r="808" spans="2:11" x14ac:dyDescent="0.2">
      <c r="B808" s="57"/>
      <c r="C808" s="59"/>
      <c r="D808" s="196" t="s">
        <v>372</v>
      </c>
      <c r="E808" s="59"/>
      <c r="F808" s="59"/>
      <c r="G808" s="59"/>
      <c r="H808" s="59"/>
      <c r="I808" s="59"/>
      <c r="J808" s="60">
        <f>AVERAGE(J806,J807)</f>
        <v>1.5</v>
      </c>
      <c r="K808" s="61"/>
    </row>
    <row r="809" spans="2:11" x14ac:dyDescent="0.2">
      <c r="B809" s="57"/>
      <c r="C809" s="59"/>
      <c r="D809" s="59"/>
      <c r="E809" s="59"/>
      <c r="F809" s="59"/>
      <c r="G809" s="59"/>
      <c r="H809" s="59"/>
      <c r="I809" s="59"/>
      <c r="J809" s="59"/>
      <c r="K809" s="61"/>
    </row>
    <row r="810" spans="2:11" x14ac:dyDescent="0.2">
      <c r="B810" s="57"/>
      <c r="C810" s="59"/>
      <c r="D810" s="59"/>
      <c r="E810" s="59"/>
      <c r="F810" s="59"/>
      <c r="G810" s="59"/>
      <c r="H810" s="59"/>
      <c r="I810" s="59"/>
      <c r="J810" s="59"/>
      <c r="K810" s="61"/>
    </row>
    <row r="811" spans="2:11" ht="16" x14ac:dyDescent="0.2">
      <c r="B811" s="57"/>
      <c r="C811" s="198" t="s">
        <v>373</v>
      </c>
      <c r="D811" s="59"/>
      <c r="E811" s="59"/>
      <c r="F811" s="59"/>
      <c r="G811" s="59"/>
      <c r="H811" s="59"/>
      <c r="I811" s="59"/>
      <c r="J811" s="261">
        <f>AVERAGE(J776,J780,J784,J788,J792,J796,J800,J804,J808)</f>
        <v>1.3888888888888888</v>
      </c>
      <c r="K811" s="61"/>
    </row>
    <row r="812" spans="2:11" ht="16" thickBot="1" x14ac:dyDescent="0.25">
      <c r="B812" s="73"/>
      <c r="C812" s="74"/>
      <c r="D812" s="74"/>
      <c r="E812" s="74"/>
      <c r="F812" s="74"/>
      <c r="G812" s="74"/>
      <c r="H812" s="74"/>
      <c r="I812" s="74"/>
      <c r="J812" s="74"/>
      <c r="K812" s="76"/>
    </row>
    <row r="813" spans="2:11" ht="16" thickBot="1" x14ac:dyDescent="0.25"/>
    <row r="814" spans="2:11" x14ac:dyDescent="0.2">
      <c r="B814" s="199"/>
      <c r="C814" s="200"/>
      <c r="D814" s="200"/>
      <c r="E814" s="200"/>
      <c r="F814" s="200"/>
      <c r="G814" s="200"/>
      <c r="H814" s="200"/>
      <c r="I814" s="200"/>
      <c r="J814" s="200"/>
      <c r="K814" s="201"/>
    </row>
    <row r="815" spans="2:11" ht="21" x14ac:dyDescent="0.25">
      <c r="B815" s="202"/>
      <c r="C815" s="203"/>
      <c r="D815" s="203"/>
      <c r="E815" s="203"/>
      <c r="F815" s="203"/>
      <c r="G815" s="204" t="s">
        <v>233</v>
      </c>
      <c r="H815" s="203"/>
      <c r="I815" s="203"/>
      <c r="J815" s="203"/>
      <c r="K815" s="205"/>
    </row>
    <row r="816" spans="2:11" x14ac:dyDescent="0.2">
      <c r="B816" s="202"/>
      <c r="C816" s="203"/>
      <c r="D816" s="203"/>
      <c r="E816" s="203"/>
      <c r="F816" s="203"/>
      <c r="G816" s="203"/>
      <c r="H816" s="203"/>
      <c r="I816" s="203"/>
      <c r="J816" s="203"/>
      <c r="K816" s="205"/>
    </row>
    <row r="817" spans="2:11" ht="16" x14ac:dyDescent="0.2">
      <c r="B817" s="202"/>
      <c r="C817" s="206" t="s">
        <v>992</v>
      </c>
      <c r="D817" s="203"/>
      <c r="E817" s="203"/>
      <c r="F817" s="203"/>
      <c r="G817" s="203"/>
      <c r="H817" s="203"/>
      <c r="I817" s="203"/>
      <c r="J817" s="262" t="str">
        <f>IF(J700="Not Calculated","Not Calculated",J700*(($J$811/4)+1))</f>
        <v>Not Calculated</v>
      </c>
      <c r="K817" s="205"/>
    </row>
    <row r="818" spans="2:11" x14ac:dyDescent="0.2">
      <c r="B818" s="202"/>
      <c r="C818" s="203"/>
      <c r="D818" s="203" t="s">
        <v>1119</v>
      </c>
      <c r="E818" s="203"/>
      <c r="F818" s="203"/>
      <c r="G818" s="203"/>
      <c r="H818" s="203"/>
      <c r="I818" s="203"/>
      <c r="J818" s="203"/>
      <c r="K818" s="205"/>
    </row>
    <row r="819" spans="2:11" x14ac:dyDescent="0.2">
      <c r="B819" s="202"/>
      <c r="C819" s="203"/>
      <c r="D819" s="203"/>
      <c r="E819" s="203"/>
      <c r="F819" s="203"/>
      <c r="G819" s="203"/>
      <c r="H819" s="203"/>
      <c r="I819" s="203"/>
      <c r="J819" s="203"/>
      <c r="K819" s="205"/>
    </row>
    <row r="820" spans="2:11" ht="16" x14ac:dyDescent="0.2">
      <c r="B820" s="202"/>
      <c r="C820" s="206" t="s">
        <v>993</v>
      </c>
      <c r="D820" s="203"/>
      <c r="E820" s="203"/>
      <c r="F820" s="203"/>
      <c r="G820" s="203"/>
      <c r="H820" s="203"/>
      <c r="I820" s="203"/>
      <c r="J820" s="262" t="str">
        <f>IF(J703="Not Calculated","Not Calculated",J703*(($J$811/4)+1))</f>
        <v>Not Calculated</v>
      </c>
      <c r="K820" s="205"/>
    </row>
    <row r="821" spans="2:11" x14ac:dyDescent="0.2">
      <c r="B821" s="202"/>
      <c r="C821" s="203"/>
      <c r="D821" s="203" t="s">
        <v>1120</v>
      </c>
      <c r="E821" s="203"/>
      <c r="F821" s="203"/>
      <c r="G821" s="203"/>
      <c r="H821" s="203"/>
      <c r="I821" s="203"/>
      <c r="J821" s="203"/>
      <c r="K821" s="205"/>
    </row>
    <row r="822" spans="2:11" x14ac:dyDescent="0.2">
      <c r="B822" s="202"/>
      <c r="C822" s="203"/>
      <c r="D822" s="203"/>
      <c r="E822" s="203"/>
      <c r="F822" s="203"/>
      <c r="G822" s="203"/>
      <c r="H822" s="203"/>
      <c r="I822" s="203"/>
      <c r="J822" s="203"/>
      <c r="K822" s="205"/>
    </row>
    <row r="823" spans="2:11" ht="16" x14ac:dyDescent="0.2">
      <c r="B823" s="202"/>
      <c r="C823" s="206" t="s">
        <v>994</v>
      </c>
      <c r="D823" s="203"/>
      <c r="E823" s="203"/>
      <c r="F823" s="203"/>
      <c r="G823" s="203"/>
      <c r="H823" s="203"/>
      <c r="I823" s="203"/>
      <c r="J823" s="262" t="str">
        <f>IF(J706="Not Calculated","Not Calculated",J706*(($J$811/4)+1))</f>
        <v>Not Calculated</v>
      </c>
      <c r="K823" s="205"/>
    </row>
    <row r="824" spans="2:11" x14ac:dyDescent="0.2">
      <c r="B824" s="202"/>
      <c r="C824" s="203"/>
      <c r="D824" s="203" t="s">
        <v>1121</v>
      </c>
      <c r="E824" s="203"/>
      <c r="F824" s="203"/>
      <c r="G824" s="203"/>
      <c r="H824" s="203"/>
      <c r="I824" s="203"/>
      <c r="J824" s="203"/>
      <c r="K824" s="205"/>
    </row>
    <row r="825" spans="2:11" ht="16" thickBot="1" x14ac:dyDescent="0.25">
      <c r="B825" s="207"/>
      <c r="C825" s="208"/>
      <c r="D825" s="208"/>
      <c r="E825" s="208"/>
      <c r="F825" s="208"/>
      <c r="G825" s="208"/>
      <c r="H825" s="208"/>
      <c r="I825" s="208"/>
      <c r="J825" s="208"/>
      <c r="K825" s="209"/>
    </row>
    <row r="826" spans="2:11" ht="16" thickBot="1" x14ac:dyDescent="0.25"/>
    <row r="827" spans="2:11" x14ac:dyDescent="0.2">
      <c r="B827" s="77"/>
      <c r="C827" s="78"/>
      <c r="D827" s="78"/>
      <c r="E827" s="78"/>
      <c r="F827" s="78"/>
      <c r="G827" s="78"/>
      <c r="H827" s="78"/>
      <c r="I827" s="78"/>
      <c r="J827" s="78"/>
      <c r="K827" s="80"/>
    </row>
    <row r="828" spans="2:11" ht="21" x14ac:dyDescent="0.25">
      <c r="B828" s="81"/>
      <c r="C828" s="85"/>
      <c r="D828" s="85"/>
      <c r="E828" s="85"/>
      <c r="F828" s="85"/>
      <c r="G828" s="210" t="s">
        <v>806</v>
      </c>
      <c r="H828" s="85"/>
      <c r="I828" s="85"/>
      <c r="J828" s="85"/>
      <c r="K828" s="87"/>
    </row>
    <row r="829" spans="2:11" x14ac:dyDescent="0.2">
      <c r="B829" s="81"/>
      <c r="C829" s="85"/>
      <c r="D829" s="85"/>
      <c r="E829" s="85"/>
      <c r="F829" s="85"/>
      <c r="G829" s="85"/>
      <c r="H829" s="85"/>
      <c r="I829" s="85"/>
      <c r="J829" s="85"/>
      <c r="K829" s="87"/>
    </row>
    <row r="830" spans="2:11" ht="15" customHeight="1" x14ac:dyDescent="0.2">
      <c r="B830" s="81"/>
      <c r="C830" s="424" t="s">
        <v>808</v>
      </c>
      <c r="D830" s="424"/>
      <c r="E830" s="424"/>
      <c r="F830" s="424"/>
      <c r="G830" s="424"/>
      <c r="H830" s="424"/>
      <c r="I830" s="424"/>
      <c r="J830" s="424"/>
      <c r="K830" s="87"/>
    </row>
    <row r="831" spans="2:11" x14ac:dyDescent="0.2">
      <c r="B831" s="81"/>
      <c r="C831" s="424"/>
      <c r="D831" s="424"/>
      <c r="E831" s="424"/>
      <c r="F831" s="424"/>
      <c r="G831" s="424"/>
      <c r="H831" s="424"/>
      <c r="I831" s="424"/>
      <c r="J831" s="424"/>
      <c r="K831" s="87"/>
    </row>
    <row r="832" spans="2:11" x14ac:dyDescent="0.2">
      <c r="B832" s="81"/>
      <c r="C832" s="85"/>
      <c r="D832" s="85"/>
      <c r="E832" s="85"/>
      <c r="F832" s="85"/>
      <c r="G832" s="85"/>
      <c r="H832" s="85"/>
      <c r="I832" s="85"/>
      <c r="J832" s="85"/>
      <c r="K832" s="87"/>
    </row>
    <row r="833" spans="2:11" ht="16" x14ac:dyDescent="0.2">
      <c r="B833" s="81"/>
      <c r="C833" s="211" t="s">
        <v>654</v>
      </c>
      <c r="D833" s="85"/>
      <c r="E833" s="85"/>
      <c r="F833" s="85"/>
      <c r="G833" s="85"/>
      <c r="H833" s="85"/>
      <c r="I833" s="85"/>
      <c r="J833" s="85"/>
      <c r="K833" s="87"/>
    </row>
    <row r="834" spans="2:11" x14ac:dyDescent="0.2">
      <c r="B834" s="81"/>
      <c r="C834" s="85" t="s">
        <v>380</v>
      </c>
      <c r="D834" s="85"/>
      <c r="E834" s="85"/>
      <c r="F834" s="85"/>
      <c r="G834" s="406" t="s">
        <v>234</v>
      </c>
      <c r="H834" s="407"/>
      <c r="I834" s="85"/>
      <c r="J834" s="83">
        <f>IF(G834=$B$998,$A$998,IF(G834=$B$999,$A$999,IF(G834=$B$1000,$A$1000,IF(G834=$B$1001,$A$1001,IF(G834=$B$1002,$A$1002,"Not Calculated")))))</f>
        <v>4</v>
      </c>
      <c r="K834" s="87"/>
    </row>
    <row r="835" spans="2:11" x14ac:dyDescent="0.2">
      <c r="B835" s="81"/>
      <c r="C835" s="85" t="s">
        <v>134</v>
      </c>
      <c r="D835" s="85"/>
      <c r="E835" s="85"/>
      <c r="F835" s="85"/>
      <c r="G835" s="85"/>
      <c r="H835" s="85"/>
      <c r="I835" s="85"/>
      <c r="J835" s="240">
        <f>'Baseline PHP'!J16</f>
        <v>0</v>
      </c>
      <c r="K835" s="87"/>
    </row>
    <row r="836" spans="2:11" x14ac:dyDescent="0.2">
      <c r="B836" s="81"/>
      <c r="C836" s="85"/>
      <c r="D836" s="85"/>
      <c r="E836" s="85"/>
      <c r="F836" s="85"/>
      <c r="G836" s="85"/>
      <c r="H836" s="85"/>
      <c r="I836" s="85"/>
      <c r="J836" s="85"/>
      <c r="K836" s="87"/>
    </row>
    <row r="837" spans="2:11" ht="16" x14ac:dyDescent="0.2">
      <c r="B837" s="81"/>
      <c r="C837" s="211" t="s">
        <v>655</v>
      </c>
      <c r="D837" s="85"/>
      <c r="E837" s="85"/>
      <c r="F837" s="85"/>
      <c r="G837" s="85"/>
      <c r="H837" s="85"/>
      <c r="I837" s="85"/>
      <c r="J837" s="85"/>
      <c r="K837" s="87"/>
    </row>
    <row r="838" spans="2:11" x14ac:dyDescent="0.2">
      <c r="B838" s="81"/>
      <c r="C838" s="85" t="s">
        <v>380</v>
      </c>
      <c r="D838" s="85"/>
      <c r="E838" s="85"/>
      <c r="F838" s="85"/>
      <c r="G838" s="406" t="s">
        <v>235</v>
      </c>
      <c r="H838" s="407"/>
      <c r="I838" s="85"/>
      <c r="J838" s="83">
        <f>IF(G838=$B$998,$A$998,IF(G838=$B$999,$A$999,IF(G838=$B$1000,$A$1000,IF(G838=$B$1001,$A$1001,IF(G838=$B$1002,$A$1002,"Not Calculated")))))</f>
        <v>2</v>
      </c>
      <c r="K838" s="87"/>
    </row>
    <row r="839" spans="2:11" x14ac:dyDescent="0.2">
      <c r="B839" s="81"/>
      <c r="C839" s="85" t="s">
        <v>134</v>
      </c>
      <c r="D839" s="85"/>
      <c r="E839" s="85"/>
      <c r="F839" s="85"/>
      <c r="G839" s="85"/>
      <c r="H839" s="85"/>
      <c r="I839" s="85"/>
      <c r="J839" s="240">
        <f>'Baseline PHP'!J28</f>
        <v>0</v>
      </c>
      <c r="K839" s="87"/>
    </row>
    <row r="840" spans="2:11" x14ac:dyDescent="0.2">
      <c r="B840" s="81"/>
      <c r="C840" s="85"/>
      <c r="D840" s="85"/>
      <c r="E840" s="85"/>
      <c r="F840" s="85"/>
      <c r="G840" s="85"/>
      <c r="H840" s="85"/>
      <c r="I840" s="85"/>
      <c r="J840" s="85"/>
      <c r="K840" s="87"/>
    </row>
    <row r="841" spans="2:11" ht="16" x14ac:dyDescent="0.2">
      <c r="B841" s="81"/>
      <c r="C841" s="211" t="s">
        <v>645</v>
      </c>
      <c r="D841" s="85"/>
      <c r="E841" s="85"/>
      <c r="F841" s="85"/>
      <c r="G841" s="85"/>
      <c r="H841" s="85"/>
      <c r="I841" s="85"/>
      <c r="J841" s="85"/>
      <c r="K841" s="87"/>
    </row>
    <row r="842" spans="2:11" x14ac:dyDescent="0.2">
      <c r="B842" s="81"/>
      <c r="C842" s="85" t="s">
        <v>380</v>
      </c>
      <c r="D842" s="85"/>
      <c r="E842" s="85"/>
      <c r="F842" s="85"/>
      <c r="G842" s="406" t="s">
        <v>234</v>
      </c>
      <c r="H842" s="407"/>
      <c r="I842" s="85"/>
      <c r="J842" s="83">
        <f>IF(G842=$B$998,$A$998,IF(G842=$B$999,$A$999,IF(G842=$B$1000,$A$1000,IF(G842=$B$1001,$A$1001,IF(G842=$B$1002,$A$1002,"Not Calculated")))))</f>
        <v>4</v>
      </c>
      <c r="K842" s="87"/>
    </row>
    <row r="843" spans="2:11" x14ac:dyDescent="0.2">
      <c r="B843" s="81"/>
      <c r="C843" s="85" t="s">
        <v>134</v>
      </c>
      <c r="D843" s="85"/>
      <c r="E843" s="85"/>
      <c r="F843" s="85"/>
      <c r="G843" s="85"/>
      <c r="H843" s="85"/>
      <c r="I843" s="85"/>
      <c r="J843" s="240">
        <f>'Baseline PHP'!J44</f>
        <v>0</v>
      </c>
      <c r="K843" s="87"/>
    </row>
    <row r="844" spans="2:11" x14ac:dyDescent="0.2">
      <c r="B844" s="81"/>
      <c r="C844" s="85"/>
      <c r="D844" s="85"/>
      <c r="E844" s="85"/>
      <c r="F844" s="85"/>
      <c r="G844" s="85"/>
      <c r="H844" s="85"/>
      <c r="I844" s="85"/>
      <c r="J844" s="85"/>
      <c r="K844" s="87"/>
    </row>
    <row r="845" spans="2:11" ht="16" x14ac:dyDescent="0.2">
      <c r="B845" s="81"/>
      <c r="C845" s="211" t="s">
        <v>646</v>
      </c>
      <c r="D845" s="85"/>
      <c r="E845" s="85"/>
      <c r="F845" s="85"/>
      <c r="G845" s="85"/>
      <c r="H845" s="85"/>
      <c r="I845" s="85"/>
      <c r="J845" s="85"/>
      <c r="K845" s="87"/>
    </row>
    <row r="846" spans="2:11" x14ac:dyDescent="0.2">
      <c r="B846" s="81"/>
      <c r="C846" s="85" t="s">
        <v>380</v>
      </c>
      <c r="D846" s="85"/>
      <c r="E846" s="85"/>
      <c r="F846" s="85"/>
      <c r="G846" s="406" t="s">
        <v>234</v>
      </c>
      <c r="H846" s="407"/>
      <c r="I846" s="85"/>
      <c r="J846" s="83">
        <f>IF(G846=$B$998,$A$998,IF(G846=$B$999,$A$999,IF(G846=$B$1000,$A$1000,IF(G846=$B$1001,$A$1001,IF(G846=$B$1002,$A$1002,"Not Calculated")))))</f>
        <v>4</v>
      </c>
      <c r="K846" s="87"/>
    </row>
    <row r="847" spans="2:11" x14ac:dyDescent="0.2">
      <c r="B847" s="81"/>
      <c r="C847" s="85" t="s">
        <v>134</v>
      </c>
      <c r="D847" s="85"/>
      <c r="E847" s="85"/>
      <c r="F847" s="85"/>
      <c r="G847" s="85"/>
      <c r="H847" s="85"/>
      <c r="I847" s="85"/>
      <c r="J847" s="240">
        <f>'Baseline PHP'!J60</f>
        <v>0</v>
      </c>
      <c r="K847" s="87"/>
    </row>
    <row r="848" spans="2:11" x14ac:dyDescent="0.2">
      <c r="B848" s="81"/>
      <c r="C848" s="85"/>
      <c r="D848" s="85"/>
      <c r="E848" s="85"/>
      <c r="F848" s="85"/>
      <c r="G848" s="85"/>
      <c r="H848" s="85"/>
      <c r="I848" s="85"/>
      <c r="J848" s="85"/>
      <c r="K848" s="87"/>
    </row>
    <row r="849" spans="2:11" ht="16" x14ac:dyDescent="0.2">
      <c r="B849" s="81"/>
      <c r="C849" s="211" t="s">
        <v>648</v>
      </c>
      <c r="D849" s="85"/>
      <c r="E849" s="85"/>
      <c r="F849" s="85"/>
      <c r="G849" s="85"/>
      <c r="H849" s="85"/>
      <c r="I849" s="85"/>
      <c r="J849" s="85"/>
      <c r="K849" s="87"/>
    </row>
    <row r="850" spans="2:11" ht="15" customHeight="1" x14ac:dyDescent="0.2">
      <c r="B850" s="81"/>
      <c r="C850" s="85" t="s">
        <v>380</v>
      </c>
      <c r="D850" s="85"/>
      <c r="E850" s="85"/>
      <c r="F850" s="85"/>
      <c r="G850" s="406" t="s">
        <v>238</v>
      </c>
      <c r="H850" s="407"/>
      <c r="I850" s="85"/>
      <c r="J850" s="83">
        <f>IF(G850=$B$998,$A$998,IF(G850=$B$999,$A$999,IF(G850=$B$1000,$A$1000,IF(G850=$B$1001,$A$1001,IF(G850=$B$1002,$A$1002,"Not Calculated")))))</f>
        <v>3</v>
      </c>
      <c r="K850" s="87"/>
    </row>
    <row r="851" spans="2:11" x14ac:dyDescent="0.2">
      <c r="B851" s="81"/>
      <c r="C851" s="85" t="s">
        <v>134</v>
      </c>
      <c r="D851" s="85"/>
      <c r="E851" s="85"/>
      <c r="F851" s="85"/>
      <c r="G851" s="85"/>
      <c r="H851" s="85"/>
      <c r="I851" s="85"/>
      <c r="J851" s="240">
        <f>'Baseline PHP'!J76</f>
        <v>0</v>
      </c>
      <c r="K851" s="87"/>
    </row>
    <row r="852" spans="2:11" x14ac:dyDescent="0.2">
      <c r="B852" s="81"/>
      <c r="C852" s="85"/>
      <c r="D852" s="85"/>
      <c r="E852" s="85"/>
      <c r="F852" s="85"/>
      <c r="G852" s="85"/>
      <c r="H852" s="85"/>
      <c r="I852" s="85"/>
      <c r="J852" s="85"/>
      <c r="K852" s="87"/>
    </row>
    <row r="853" spans="2:11" ht="16" x14ac:dyDescent="0.2">
      <c r="B853" s="81"/>
      <c r="C853" s="211" t="s">
        <v>647</v>
      </c>
      <c r="D853" s="85"/>
      <c r="E853" s="85"/>
      <c r="F853" s="85"/>
      <c r="G853" s="85"/>
      <c r="H853" s="85"/>
      <c r="I853" s="85"/>
      <c r="J853" s="85"/>
      <c r="K853" s="87"/>
    </row>
    <row r="854" spans="2:11" x14ac:dyDescent="0.2">
      <c r="B854" s="81"/>
      <c r="C854" s="85" t="s">
        <v>380</v>
      </c>
      <c r="D854" s="85"/>
      <c r="E854" s="85"/>
      <c r="F854" s="85"/>
      <c r="G854" s="406" t="s">
        <v>234</v>
      </c>
      <c r="H854" s="407"/>
      <c r="I854" s="85"/>
      <c r="J854" s="83">
        <f>IF(G854=$B$998,$A$998,IF(G854=$B$999,$A$999,IF(G854=$B$1000,$A$1000,IF(G854=$B$1001,$A$1001,IF(G854=$B$1002,$A$1002,"Not Calculated")))))</f>
        <v>4</v>
      </c>
      <c r="K854" s="87"/>
    </row>
    <row r="855" spans="2:11" x14ac:dyDescent="0.2">
      <c r="B855" s="81"/>
      <c r="C855" s="85" t="s">
        <v>134</v>
      </c>
      <c r="D855" s="85"/>
      <c r="E855" s="85"/>
      <c r="F855" s="85"/>
      <c r="G855" s="85"/>
      <c r="H855" s="85"/>
      <c r="I855" s="85"/>
      <c r="J855" s="240">
        <f>'Baseline PHP'!J88</f>
        <v>0</v>
      </c>
      <c r="K855" s="87"/>
    </row>
    <row r="856" spans="2:11" x14ac:dyDescent="0.2">
      <c r="B856" s="81"/>
      <c r="C856" s="85"/>
      <c r="D856" s="85"/>
      <c r="E856" s="85"/>
      <c r="F856" s="85"/>
      <c r="G856" s="85"/>
      <c r="H856" s="85"/>
      <c r="I856" s="85"/>
      <c r="J856" s="85"/>
      <c r="K856" s="87"/>
    </row>
    <row r="857" spans="2:11" ht="16" x14ac:dyDescent="0.2">
      <c r="B857" s="81"/>
      <c r="C857" s="211" t="s">
        <v>115</v>
      </c>
      <c r="D857" s="85"/>
      <c r="E857" s="85"/>
      <c r="F857" s="85"/>
      <c r="G857" s="85"/>
      <c r="H857" s="85"/>
      <c r="I857" s="85"/>
      <c r="J857" s="85"/>
      <c r="K857" s="87"/>
    </row>
    <row r="858" spans="2:11" x14ac:dyDescent="0.2">
      <c r="B858" s="81"/>
      <c r="C858" s="85" t="s">
        <v>380</v>
      </c>
      <c r="D858" s="85"/>
      <c r="E858" s="85"/>
      <c r="F858" s="85"/>
      <c r="G858" s="406" t="s">
        <v>235</v>
      </c>
      <c r="H858" s="407"/>
      <c r="I858" s="85"/>
      <c r="J858" s="83">
        <f>IF(G858=$B$998,$A$998,IF(G858=$B$999,$A$999,IF(G858=$B$1000,$A$1000,IF(G858=$B$1001,$A$1001,IF(G858=$B$1002,$A$1002,"Not Calculated")))))</f>
        <v>2</v>
      </c>
      <c r="K858" s="87"/>
    </row>
    <row r="859" spans="2:11" x14ac:dyDescent="0.2">
      <c r="B859" s="81"/>
      <c r="C859" s="85" t="s">
        <v>134</v>
      </c>
      <c r="D859" s="85"/>
      <c r="E859" s="85"/>
      <c r="F859" s="85"/>
      <c r="G859" s="85"/>
      <c r="H859" s="85"/>
      <c r="I859" s="85"/>
      <c r="J859" s="240">
        <f>'Baseline PHP'!J102</f>
        <v>0</v>
      </c>
      <c r="K859" s="87"/>
    </row>
    <row r="860" spans="2:11" x14ac:dyDescent="0.2">
      <c r="B860" s="81"/>
      <c r="C860" s="85"/>
      <c r="D860" s="85"/>
      <c r="E860" s="85"/>
      <c r="F860" s="85"/>
      <c r="G860" s="85"/>
      <c r="H860" s="85"/>
      <c r="I860" s="85"/>
      <c r="J860" s="85"/>
      <c r="K860" s="87"/>
    </row>
    <row r="861" spans="2:11" ht="16" x14ac:dyDescent="0.2">
      <c r="B861" s="81"/>
      <c r="C861" s="211" t="s">
        <v>649</v>
      </c>
      <c r="D861" s="85"/>
      <c r="E861" s="85"/>
      <c r="F861" s="85"/>
      <c r="G861" s="85"/>
      <c r="H861" s="85"/>
      <c r="I861" s="85"/>
      <c r="J861" s="85"/>
      <c r="K861" s="87"/>
    </row>
    <row r="862" spans="2:11" x14ac:dyDescent="0.2">
      <c r="B862" s="81"/>
      <c r="C862" s="85" t="s">
        <v>380</v>
      </c>
      <c r="D862" s="85"/>
      <c r="E862" s="85"/>
      <c r="F862" s="85"/>
      <c r="G862" s="406" t="s">
        <v>236</v>
      </c>
      <c r="H862" s="407"/>
      <c r="I862" s="85"/>
      <c r="J862" s="83">
        <f>IF(G862=$B$998,$A$998,IF(G862=$B$999,$A$999,IF(G862=$B$1000,$A$1000,IF(G862=$B$1001,$A$1001,IF(G862=$B$1002,$A$1002,"Not Calculated")))))</f>
        <v>0</v>
      </c>
      <c r="K862" s="87"/>
    </row>
    <row r="863" spans="2:11" x14ac:dyDescent="0.2">
      <c r="B863" s="81"/>
      <c r="C863" s="85" t="s">
        <v>134</v>
      </c>
      <c r="D863" s="85"/>
      <c r="E863" s="85"/>
      <c r="F863" s="85"/>
      <c r="G863" s="85"/>
      <c r="H863" s="85"/>
      <c r="I863" s="85"/>
      <c r="J863" s="240">
        <f>'Baseline PHP'!J118</f>
        <v>0</v>
      </c>
      <c r="K863" s="87"/>
    </row>
    <row r="864" spans="2:11" x14ac:dyDescent="0.2">
      <c r="B864" s="81"/>
      <c r="C864" s="85"/>
      <c r="D864" s="85"/>
      <c r="E864" s="85"/>
      <c r="F864" s="85"/>
      <c r="G864" s="85"/>
      <c r="H864" s="85"/>
      <c r="I864" s="85"/>
      <c r="J864" s="85"/>
      <c r="K864" s="87"/>
    </row>
    <row r="865" spans="2:11" ht="16" x14ac:dyDescent="0.2">
      <c r="B865" s="81"/>
      <c r="C865" s="211" t="s">
        <v>656</v>
      </c>
      <c r="D865" s="85"/>
      <c r="E865" s="85"/>
      <c r="F865" s="85"/>
      <c r="G865" s="85"/>
      <c r="H865" s="85"/>
      <c r="I865" s="85"/>
      <c r="J865" s="85"/>
      <c r="K865" s="87"/>
    </row>
    <row r="866" spans="2:11" x14ac:dyDescent="0.2">
      <c r="B866" s="81"/>
      <c r="C866" s="85" t="s">
        <v>380</v>
      </c>
      <c r="D866" s="85"/>
      <c r="E866" s="85"/>
      <c r="F866" s="85"/>
      <c r="G866" s="406" t="s">
        <v>237</v>
      </c>
      <c r="H866" s="407"/>
      <c r="I866" s="85"/>
      <c r="J866" s="83">
        <f>IF(G866=$B$998,$A$998,IF(G866=$B$999,$A$999,IF(G866=$B$1000,$A$1000,IF(G866=$B$1001,$A$1001,IF(G866=$B$1002,$A$1002,"Not Calculated")))))</f>
        <v>1</v>
      </c>
      <c r="K866" s="87"/>
    </row>
    <row r="867" spans="2:11" x14ac:dyDescent="0.2">
      <c r="B867" s="81"/>
      <c r="C867" s="85" t="s">
        <v>134</v>
      </c>
      <c r="D867" s="85"/>
      <c r="E867" s="85"/>
      <c r="F867" s="85"/>
      <c r="G867" s="85"/>
      <c r="H867" s="85"/>
      <c r="I867" s="85"/>
      <c r="J867" s="240">
        <f>'Baseline PHP'!J136</f>
        <v>0</v>
      </c>
      <c r="K867" s="87"/>
    </row>
    <row r="868" spans="2:11" x14ac:dyDescent="0.2">
      <c r="B868" s="81"/>
      <c r="C868" s="85"/>
      <c r="D868" s="85"/>
      <c r="E868" s="85"/>
      <c r="F868" s="85"/>
      <c r="G868" s="85"/>
      <c r="H868" s="85"/>
      <c r="I868" s="85"/>
      <c r="J868" s="85"/>
      <c r="K868" s="87"/>
    </row>
    <row r="869" spans="2:11" ht="16" x14ac:dyDescent="0.2">
      <c r="B869" s="81"/>
      <c r="C869" s="211" t="s">
        <v>121</v>
      </c>
      <c r="D869" s="85"/>
      <c r="E869" s="85"/>
      <c r="F869" s="85"/>
      <c r="G869" s="85"/>
      <c r="H869" s="85"/>
      <c r="I869" s="85"/>
      <c r="J869" s="85"/>
      <c r="K869" s="87"/>
    </row>
    <row r="870" spans="2:11" x14ac:dyDescent="0.2">
      <c r="B870" s="81"/>
      <c r="C870" s="85" t="s">
        <v>380</v>
      </c>
      <c r="D870" s="85"/>
      <c r="E870" s="85"/>
      <c r="F870" s="85"/>
      <c r="G870" s="406" t="s">
        <v>235</v>
      </c>
      <c r="H870" s="407"/>
      <c r="I870" s="85"/>
      <c r="J870" s="83">
        <f>IF(G870=$B$998,$A$998,IF(G870=$B$999,$A$999,IF(G870=$B$1000,$A$1000,IF(G870=$B$1001,$A$1001,IF(G870=$B$1002,$A$1002,"Not Calculated")))))</f>
        <v>2</v>
      </c>
      <c r="K870" s="87"/>
    </row>
    <row r="871" spans="2:11" x14ac:dyDescent="0.2">
      <c r="B871" s="81"/>
      <c r="C871" s="85" t="s">
        <v>134</v>
      </c>
      <c r="D871" s="85"/>
      <c r="E871" s="85"/>
      <c r="F871" s="85"/>
      <c r="G871" s="85"/>
      <c r="H871" s="85"/>
      <c r="I871" s="85"/>
      <c r="J871" s="240">
        <f>'Baseline PHP'!J150</f>
        <v>0</v>
      </c>
      <c r="K871" s="87"/>
    </row>
    <row r="872" spans="2:11" x14ac:dyDescent="0.2">
      <c r="B872" s="81"/>
      <c r="C872" s="85"/>
      <c r="D872" s="85"/>
      <c r="E872" s="85"/>
      <c r="F872" s="85"/>
      <c r="G872" s="85"/>
      <c r="H872" s="85"/>
      <c r="I872" s="85"/>
      <c r="J872" s="85"/>
      <c r="K872" s="87"/>
    </row>
    <row r="873" spans="2:11" ht="16" x14ac:dyDescent="0.2">
      <c r="B873" s="81"/>
      <c r="C873" s="211" t="s">
        <v>657</v>
      </c>
      <c r="D873" s="85"/>
      <c r="E873" s="85"/>
      <c r="F873" s="85"/>
      <c r="G873" s="85"/>
      <c r="H873" s="85"/>
      <c r="I873" s="85"/>
      <c r="J873" s="85"/>
      <c r="K873" s="87"/>
    </row>
    <row r="874" spans="2:11" x14ac:dyDescent="0.2">
      <c r="B874" s="81"/>
      <c r="C874" s="85" t="s">
        <v>380</v>
      </c>
      <c r="D874" s="85"/>
      <c r="E874" s="85"/>
      <c r="F874" s="85"/>
      <c r="G874" s="406" t="s">
        <v>236</v>
      </c>
      <c r="H874" s="407"/>
      <c r="I874" s="85"/>
      <c r="J874" s="83">
        <f>IF(G874=$B$998,$A$998,IF(G874=$B$999,$A$999,IF(G874=$B$1000,$A$1000,IF(G874=$B$1001,$A$1001,IF(G874=$B$1002,$A$1002,"Not Calculated")))))</f>
        <v>0</v>
      </c>
      <c r="K874" s="87"/>
    </row>
    <row r="875" spans="2:11" x14ac:dyDescent="0.2">
      <c r="B875" s="81"/>
      <c r="C875" s="85" t="s">
        <v>134</v>
      </c>
      <c r="D875" s="85"/>
      <c r="E875" s="85"/>
      <c r="F875" s="85"/>
      <c r="G875" s="85"/>
      <c r="H875" s="85"/>
      <c r="I875" s="85"/>
      <c r="J875" s="240">
        <f>'Baseline PHP'!J164</f>
        <v>0</v>
      </c>
      <c r="K875" s="87"/>
    </row>
    <row r="876" spans="2:11" x14ac:dyDescent="0.2">
      <c r="B876" s="81"/>
      <c r="C876" s="85"/>
      <c r="D876" s="85"/>
      <c r="E876" s="85"/>
      <c r="F876" s="85"/>
      <c r="G876" s="85"/>
      <c r="H876" s="85"/>
      <c r="I876" s="85"/>
      <c r="J876" s="85"/>
      <c r="K876" s="87"/>
    </row>
    <row r="877" spans="2:11" ht="16" x14ac:dyDescent="0.2">
      <c r="B877" s="81"/>
      <c r="C877" s="211" t="s">
        <v>650</v>
      </c>
      <c r="D877" s="85"/>
      <c r="E877" s="85"/>
      <c r="F877" s="85"/>
      <c r="G877" s="85"/>
      <c r="H877" s="85"/>
      <c r="I877" s="85"/>
      <c r="J877" s="85"/>
      <c r="K877" s="87"/>
    </row>
    <row r="878" spans="2:11" x14ac:dyDescent="0.2">
      <c r="B878" s="81"/>
      <c r="C878" s="85" t="s">
        <v>380</v>
      </c>
      <c r="D878" s="85"/>
      <c r="E878" s="85"/>
      <c r="F878" s="85"/>
      <c r="G878" s="406" t="s">
        <v>236</v>
      </c>
      <c r="H878" s="407"/>
      <c r="I878" s="85"/>
      <c r="J878" s="83">
        <f>IF(G878=$B$998,$A$998,IF(G878=$B$999,$A$999,IF(G878=$B$1000,$A$1000,IF(G878=$B$1001,$A$1001,IF(G878=$B$1002,$A$1002,"Not Calculated")))))</f>
        <v>0</v>
      </c>
      <c r="K878" s="87"/>
    </row>
    <row r="879" spans="2:11" x14ac:dyDescent="0.2">
      <c r="B879" s="81"/>
      <c r="C879" s="85" t="s">
        <v>134</v>
      </c>
      <c r="D879" s="85"/>
      <c r="E879" s="85"/>
      <c r="F879" s="85"/>
      <c r="G879" s="85"/>
      <c r="H879" s="85"/>
      <c r="I879" s="85"/>
      <c r="J879" s="240">
        <f>'Baseline PHP'!J180</f>
        <v>0</v>
      </c>
      <c r="K879" s="87"/>
    </row>
    <row r="880" spans="2:11" x14ac:dyDescent="0.2">
      <c r="B880" s="81"/>
      <c r="C880" s="85"/>
      <c r="D880" s="85"/>
      <c r="E880" s="85"/>
      <c r="F880" s="85"/>
      <c r="G880" s="85"/>
      <c r="H880" s="85"/>
      <c r="I880" s="85"/>
      <c r="J880" s="85"/>
      <c r="K880" s="87"/>
    </row>
    <row r="881" spans="2:11" ht="16" x14ac:dyDescent="0.2">
      <c r="B881" s="81"/>
      <c r="C881" s="211" t="s">
        <v>651</v>
      </c>
      <c r="D881" s="85"/>
      <c r="E881" s="85"/>
      <c r="F881" s="85"/>
      <c r="G881" s="85"/>
      <c r="H881" s="85"/>
      <c r="I881" s="85"/>
      <c r="J881" s="85"/>
      <c r="K881" s="87"/>
    </row>
    <row r="882" spans="2:11" x14ac:dyDescent="0.2">
      <c r="B882" s="81"/>
      <c r="C882" s="85" t="s">
        <v>380</v>
      </c>
      <c r="D882" s="85"/>
      <c r="E882" s="85"/>
      <c r="F882" s="85"/>
      <c r="G882" s="406" t="s">
        <v>235</v>
      </c>
      <c r="H882" s="407"/>
      <c r="I882" s="85"/>
      <c r="J882" s="83">
        <f>IF(G882=$B$998,$A$998,IF(G882=$B$999,$A$999,IF(G882=$B$1000,$A$1000,IF(G882=$B$1001,$A$1001,IF(G882=$B$1002,$A$1002,"Not Calculated")))))</f>
        <v>2</v>
      </c>
      <c r="K882" s="87"/>
    </row>
    <row r="883" spans="2:11" x14ac:dyDescent="0.2">
      <c r="B883" s="81"/>
      <c r="C883" s="85" t="s">
        <v>134</v>
      </c>
      <c r="D883" s="85"/>
      <c r="E883" s="85"/>
      <c r="F883" s="85"/>
      <c r="G883" s="85"/>
      <c r="H883" s="85"/>
      <c r="I883" s="85"/>
      <c r="J883" s="240">
        <f>'Baseline PHP'!J194</f>
        <v>0</v>
      </c>
      <c r="K883" s="87"/>
    </row>
    <row r="884" spans="2:11" x14ac:dyDescent="0.2">
      <c r="B884" s="81"/>
      <c r="C884" s="85"/>
      <c r="D884" s="85"/>
      <c r="E884" s="85"/>
      <c r="F884" s="85"/>
      <c r="G884" s="85"/>
      <c r="H884" s="85"/>
      <c r="I884" s="85"/>
      <c r="J884" s="85"/>
      <c r="K884" s="87"/>
    </row>
    <row r="885" spans="2:11" ht="16" x14ac:dyDescent="0.2">
      <c r="B885" s="81"/>
      <c r="C885" s="211" t="s">
        <v>652</v>
      </c>
      <c r="D885" s="85"/>
      <c r="E885" s="85"/>
      <c r="F885" s="85"/>
      <c r="G885" s="85"/>
      <c r="H885" s="85"/>
      <c r="I885" s="85"/>
      <c r="J885" s="85"/>
      <c r="K885" s="87"/>
    </row>
    <row r="886" spans="2:11" x14ac:dyDescent="0.2">
      <c r="B886" s="81"/>
      <c r="C886" s="85" t="s">
        <v>380</v>
      </c>
      <c r="D886" s="85"/>
      <c r="E886" s="85"/>
      <c r="F886" s="85"/>
      <c r="G886" s="406" t="s">
        <v>237</v>
      </c>
      <c r="H886" s="407"/>
      <c r="I886" s="85"/>
      <c r="J886" s="83">
        <f>IF(G886=$B$998,$A$998,IF(G886=$B$999,$A$999,IF(G886=$B$1000,$A$1000,IF(G886=$B$1001,$A$1001,IF(G886=$B$1002,$A$1002,"Not Calculated")))))</f>
        <v>1</v>
      </c>
      <c r="K886" s="87"/>
    </row>
    <row r="887" spans="2:11" x14ac:dyDescent="0.2">
      <c r="B887" s="81"/>
      <c r="C887" s="85" t="s">
        <v>134</v>
      </c>
      <c r="D887" s="85"/>
      <c r="E887" s="85"/>
      <c r="F887" s="85"/>
      <c r="G887" s="85"/>
      <c r="H887" s="85"/>
      <c r="I887" s="85"/>
      <c r="J887" s="240">
        <f>'Baseline PHP'!J208</f>
        <v>0</v>
      </c>
      <c r="K887" s="87"/>
    </row>
    <row r="888" spans="2:11" x14ac:dyDescent="0.2">
      <c r="B888" s="81"/>
      <c r="C888" s="85"/>
      <c r="D888" s="85"/>
      <c r="E888" s="85"/>
      <c r="F888" s="85"/>
      <c r="G888" s="85"/>
      <c r="H888" s="85"/>
      <c r="I888" s="85"/>
      <c r="J888" s="85"/>
      <c r="K888" s="87"/>
    </row>
    <row r="889" spans="2:11" ht="16" x14ac:dyDescent="0.2">
      <c r="B889" s="81"/>
      <c r="C889" s="211" t="s">
        <v>653</v>
      </c>
      <c r="D889" s="85"/>
      <c r="E889" s="85"/>
      <c r="F889" s="85"/>
      <c r="G889" s="85"/>
      <c r="H889" s="85"/>
      <c r="I889" s="85"/>
      <c r="J889" s="85"/>
      <c r="K889" s="87"/>
    </row>
    <row r="890" spans="2:11" x14ac:dyDescent="0.2">
      <c r="B890" s="81"/>
      <c r="C890" s="85" t="s">
        <v>380</v>
      </c>
      <c r="D890" s="85"/>
      <c r="E890" s="85"/>
      <c r="F890" s="85"/>
      <c r="G890" s="406" t="s">
        <v>235</v>
      </c>
      <c r="H890" s="407"/>
      <c r="I890" s="85"/>
      <c r="J890" s="83">
        <f>IF(G890=$B$998,$A$998,IF(G890=$B$999,$A$999,IF(G890=$B$1000,$A$1000,IF(G890=$B$1001,$A$1001,IF(G890=$B$1002,$A$1002,"Not Calculated")))))</f>
        <v>2</v>
      </c>
      <c r="K890" s="87"/>
    </row>
    <row r="891" spans="2:11" x14ac:dyDescent="0.2">
      <c r="B891" s="81"/>
      <c r="C891" s="85" t="s">
        <v>134</v>
      </c>
      <c r="D891" s="85"/>
      <c r="E891" s="85"/>
      <c r="F891" s="85"/>
      <c r="G891" s="85"/>
      <c r="H891" s="85"/>
      <c r="I891" s="85"/>
      <c r="J891" s="240">
        <f>'Baseline PHP'!J222</f>
        <v>0</v>
      </c>
      <c r="K891" s="87"/>
    </row>
    <row r="892" spans="2:11" x14ac:dyDescent="0.2">
      <c r="B892" s="81"/>
      <c r="C892" s="85"/>
      <c r="D892" s="85"/>
      <c r="E892" s="85"/>
      <c r="F892" s="85"/>
      <c r="G892" s="85"/>
      <c r="H892" s="85"/>
      <c r="I892" s="85"/>
      <c r="J892" s="85"/>
      <c r="K892" s="87"/>
    </row>
    <row r="893" spans="2:11" x14ac:dyDescent="0.2">
      <c r="B893" s="81"/>
      <c r="C893" s="85"/>
      <c r="D893" s="85"/>
      <c r="E893" s="85"/>
      <c r="F893" s="85"/>
      <c r="G893" s="85"/>
      <c r="H893" s="85"/>
      <c r="I893" s="85"/>
      <c r="J893" s="85"/>
      <c r="K893" s="87"/>
    </row>
    <row r="894" spans="2:11" ht="16" x14ac:dyDescent="0.2">
      <c r="B894" s="81"/>
      <c r="C894" s="212" t="s">
        <v>813</v>
      </c>
      <c r="D894" s="85"/>
      <c r="E894" s="85"/>
      <c r="F894" s="85"/>
      <c r="G894" s="85"/>
      <c r="H894" s="85"/>
      <c r="I894" s="85"/>
      <c r="J894" s="241">
        <f>IF(OR(J854="Not Calculated",J858="Not Calculated",J862="Not Calculated",J866="Not Calculated",J870="Not Calculated",J874="Not Calculated",J878="Not Calculated",J882="Not Calculated",J886="Not Calculated",J890="Not Calculated",J834="Not Calculated",J838="Not Calculated",J842="Not Calculated",J846="Not Calculated",J850="Not Calculated",J855="Not Calculated",J859="Not Calculated",J863="Not Calculated",J867="Not Calculated",J871="Not Calculated",J875="Not Calculated",J879="Not Calculated",J883="Not Calculated",J887="Not Calculated",J891="Not Calculated",J835="Not Calculated",J839="Not Calculated",J843="Not Calculated",J847="Not Calculated",J851="Not Calculated")=TRUE,"Not Calculated",((J834*J835)+(J838*J839)+(J842*J843)+(J846*J847)+(J850*J851)+(J854*J855)+(J858*J859)+(J862*J863)+(J866*J867)+(J870*J871)+(J874*J875)+(J878*J879)+(J882*J883)+(J886*J887)+(J890*J891))/(J834+J838+J842+J846+J850+J854+J858+J862+J866+J870+J874+J878+J882+J886+J890))</f>
        <v>0</v>
      </c>
      <c r="K894" s="87"/>
    </row>
    <row r="895" spans="2:11" ht="16" thickBot="1" x14ac:dyDescent="0.25">
      <c r="B895" s="213"/>
      <c r="C895" s="94"/>
      <c r="D895" s="94"/>
      <c r="E895" s="94"/>
      <c r="F895" s="94"/>
      <c r="G895" s="94"/>
      <c r="H895" s="94"/>
      <c r="I895" s="94"/>
      <c r="J895" s="94"/>
      <c r="K895" s="96"/>
    </row>
    <row r="896" spans="2:11" ht="16" thickBot="1" x14ac:dyDescent="0.25"/>
    <row r="897" spans="2:11" x14ac:dyDescent="0.2">
      <c r="B897" s="77"/>
      <c r="C897" s="78"/>
      <c r="D897" s="78"/>
      <c r="E897" s="78"/>
      <c r="F897" s="78"/>
      <c r="G897" s="78"/>
      <c r="H897" s="78"/>
      <c r="I897" s="78"/>
      <c r="J897" s="78"/>
      <c r="K897" s="80"/>
    </row>
    <row r="898" spans="2:11" ht="21" x14ac:dyDescent="0.25">
      <c r="B898" s="81"/>
      <c r="C898" s="85"/>
      <c r="D898" s="85"/>
      <c r="E898" s="85"/>
      <c r="F898" s="85"/>
      <c r="G898" s="210" t="s">
        <v>807</v>
      </c>
      <c r="H898" s="85"/>
      <c r="I898" s="85"/>
      <c r="J898" s="85"/>
      <c r="K898" s="87"/>
    </row>
    <row r="899" spans="2:11" x14ac:dyDescent="0.2">
      <c r="B899" s="81"/>
      <c r="C899" s="85"/>
      <c r="D899" s="85"/>
      <c r="E899" s="85"/>
      <c r="F899" s="85"/>
      <c r="G899" s="85"/>
      <c r="H899" s="85"/>
      <c r="I899" s="85"/>
      <c r="J899" s="85"/>
      <c r="K899" s="87"/>
    </row>
    <row r="900" spans="2:11" ht="15" customHeight="1" x14ac:dyDescent="0.2">
      <c r="B900" s="81"/>
      <c r="C900" s="424" t="s">
        <v>809</v>
      </c>
      <c r="D900" s="424"/>
      <c r="E900" s="424"/>
      <c r="F900" s="424"/>
      <c r="G900" s="424"/>
      <c r="H900" s="424"/>
      <c r="I900" s="424"/>
      <c r="J900" s="424"/>
      <c r="K900" s="87"/>
    </row>
    <row r="901" spans="2:11" x14ac:dyDescent="0.2">
      <c r="B901" s="81"/>
      <c r="C901" s="424"/>
      <c r="D901" s="424"/>
      <c r="E901" s="424"/>
      <c r="F901" s="424"/>
      <c r="G901" s="424"/>
      <c r="H901" s="424"/>
      <c r="I901" s="424"/>
      <c r="J901" s="424"/>
      <c r="K901" s="87"/>
    </row>
    <row r="902" spans="2:11" x14ac:dyDescent="0.2">
      <c r="B902" s="81"/>
      <c r="C902" s="85"/>
      <c r="D902" s="85"/>
      <c r="E902" s="85"/>
      <c r="F902" s="85"/>
      <c r="G902" s="85"/>
      <c r="H902" s="85"/>
      <c r="I902" s="85"/>
      <c r="J902" s="85"/>
      <c r="K902" s="87"/>
    </row>
    <row r="903" spans="2:11" ht="16" x14ac:dyDescent="0.2">
      <c r="B903" s="81"/>
      <c r="C903" s="211" t="s">
        <v>810</v>
      </c>
      <c r="D903" s="85"/>
      <c r="E903" s="85"/>
      <c r="F903" s="85"/>
      <c r="G903" s="85"/>
      <c r="H903" s="85"/>
      <c r="I903" s="85"/>
      <c r="J903" s="85"/>
      <c r="K903" s="87"/>
    </row>
    <row r="904" spans="2:11" x14ac:dyDescent="0.2">
      <c r="B904" s="81"/>
      <c r="C904" s="85" t="s">
        <v>380</v>
      </c>
      <c r="D904" s="85"/>
      <c r="E904" s="85"/>
      <c r="F904" s="85"/>
      <c r="G904" s="406" t="s">
        <v>234</v>
      </c>
      <c r="H904" s="407"/>
      <c r="I904" s="85"/>
      <c r="J904" s="83">
        <f>IF(G904=$B$998,$A$998,IF(G904=$B$999,$A$999,IF(G904=$B$1000,$A$1000,IF(G904=$B$1001,$A$1001,IF(G904=$B$1002,$A$1002,"Not Calculated")))))</f>
        <v>4</v>
      </c>
      <c r="K904" s="87"/>
    </row>
    <row r="905" spans="2:11" x14ac:dyDescent="0.2">
      <c r="B905" s="81"/>
      <c r="C905" s="85" t="s">
        <v>134</v>
      </c>
      <c r="D905" s="85"/>
      <c r="E905" s="85"/>
      <c r="F905" s="85"/>
      <c r="G905" s="85"/>
      <c r="H905" s="85"/>
      <c r="I905" s="85"/>
      <c r="J905" s="240">
        <f>'Baseline HP'!J22</f>
        <v>0</v>
      </c>
      <c r="K905" s="87"/>
    </row>
    <row r="906" spans="2:11" x14ac:dyDescent="0.2">
      <c r="B906" s="81"/>
      <c r="C906" s="85"/>
      <c r="D906" s="85"/>
      <c r="E906" s="85"/>
      <c r="F906" s="85"/>
      <c r="G906" s="85"/>
      <c r="H906" s="85"/>
      <c r="I906" s="85"/>
      <c r="J906" s="85"/>
      <c r="K906" s="87"/>
    </row>
    <row r="907" spans="2:11" ht="16" x14ac:dyDescent="0.2">
      <c r="B907" s="81"/>
      <c r="C907" s="211" t="s">
        <v>811</v>
      </c>
      <c r="D907" s="85"/>
      <c r="E907" s="85"/>
      <c r="F907" s="85"/>
      <c r="G907" s="85"/>
      <c r="H907" s="85"/>
      <c r="I907" s="85"/>
      <c r="J907" s="85"/>
      <c r="K907" s="87"/>
    </row>
    <row r="908" spans="2:11" x14ac:dyDescent="0.2">
      <c r="B908" s="81"/>
      <c r="C908" s="85" t="s">
        <v>380</v>
      </c>
      <c r="D908" s="85"/>
      <c r="E908" s="85"/>
      <c r="F908" s="85"/>
      <c r="G908" s="406" t="s">
        <v>235</v>
      </c>
      <c r="H908" s="407"/>
      <c r="I908" s="85"/>
      <c r="J908" s="83">
        <f>IF(G908=$B$998,$A$998,IF(G908=$B$999,$A$999,IF(G908=$B$1000,$A$1000,IF(G908=$B$1001,$A$1001,IF(G908=$B$1002,$A$1002,"Not Calculated")))))</f>
        <v>2</v>
      </c>
      <c r="K908" s="87"/>
    </row>
    <row r="909" spans="2:11" x14ac:dyDescent="0.2">
      <c r="B909" s="81"/>
      <c r="C909" s="85" t="s">
        <v>134</v>
      </c>
      <c r="D909" s="85"/>
      <c r="E909" s="85"/>
      <c r="F909" s="85"/>
      <c r="G909" s="85"/>
      <c r="H909" s="85"/>
      <c r="I909" s="85"/>
      <c r="J909" s="240">
        <f>'Baseline HP'!J32</f>
        <v>0</v>
      </c>
      <c r="K909" s="87"/>
    </row>
    <row r="910" spans="2:11" x14ac:dyDescent="0.2">
      <c r="B910" s="81"/>
      <c r="C910" s="85"/>
      <c r="D910" s="85"/>
      <c r="E910" s="85"/>
      <c r="F910" s="85"/>
      <c r="G910" s="85"/>
      <c r="H910" s="85"/>
      <c r="I910" s="85"/>
      <c r="J910" s="85"/>
      <c r="K910" s="87"/>
    </row>
    <row r="911" spans="2:11" ht="16" x14ac:dyDescent="0.2">
      <c r="B911" s="81"/>
      <c r="C911" s="211" t="s">
        <v>645</v>
      </c>
      <c r="D911" s="85"/>
      <c r="E911" s="85"/>
      <c r="F911" s="85"/>
      <c r="G911" s="85"/>
      <c r="H911" s="85"/>
      <c r="I911" s="85"/>
      <c r="J911" s="85"/>
      <c r="K911" s="87"/>
    </row>
    <row r="912" spans="2:11" x14ac:dyDescent="0.2">
      <c r="B912" s="81"/>
      <c r="C912" s="85" t="s">
        <v>380</v>
      </c>
      <c r="D912" s="85"/>
      <c r="E912" s="85"/>
      <c r="F912" s="85"/>
      <c r="G912" s="406" t="s">
        <v>234</v>
      </c>
      <c r="H912" s="407"/>
      <c r="I912" s="85"/>
      <c r="J912" s="83">
        <f>IF(G912=$B$998,$A$998,IF(G912=$B$999,$A$999,IF(G912=$B$1000,$A$1000,IF(G912=$B$1001,$A$1001,IF(G912=$B$1002,$A$1002,"Not Calculated")))))</f>
        <v>4</v>
      </c>
      <c r="K912" s="87"/>
    </row>
    <row r="913" spans="2:11" x14ac:dyDescent="0.2">
      <c r="B913" s="81"/>
      <c r="C913" s="85" t="s">
        <v>134</v>
      </c>
      <c r="D913" s="85"/>
      <c r="E913" s="85"/>
      <c r="F913" s="85"/>
      <c r="G913" s="85"/>
      <c r="H913" s="85"/>
      <c r="I913" s="85"/>
      <c r="J913" s="240">
        <f>'Baseline HP'!J46</f>
        <v>0</v>
      </c>
      <c r="K913" s="87"/>
    </row>
    <row r="914" spans="2:11" x14ac:dyDescent="0.2">
      <c r="B914" s="81"/>
      <c r="C914" s="85"/>
      <c r="D914" s="85"/>
      <c r="E914" s="85"/>
      <c r="F914" s="85"/>
      <c r="G914" s="85"/>
      <c r="H914" s="85"/>
      <c r="I914" s="85"/>
      <c r="J914" s="85"/>
      <c r="K914" s="87"/>
    </row>
    <row r="915" spans="2:11" ht="16" x14ac:dyDescent="0.2">
      <c r="B915" s="81"/>
      <c r="C915" s="211" t="s">
        <v>648</v>
      </c>
      <c r="D915" s="85"/>
      <c r="E915" s="85"/>
      <c r="F915" s="85"/>
      <c r="G915" s="85"/>
      <c r="H915" s="85"/>
      <c r="I915" s="85"/>
      <c r="J915" s="85"/>
      <c r="K915" s="87"/>
    </row>
    <row r="916" spans="2:11" ht="15" customHeight="1" x14ac:dyDescent="0.2">
      <c r="B916" s="81"/>
      <c r="C916" s="85" t="s">
        <v>380</v>
      </c>
      <c r="D916" s="85"/>
      <c r="E916" s="85"/>
      <c r="F916" s="85"/>
      <c r="G916" s="406" t="s">
        <v>238</v>
      </c>
      <c r="H916" s="407"/>
      <c r="I916" s="85"/>
      <c r="J916" s="83">
        <f>IF(G916=$B$998,$A$998,IF(G916=$B$999,$A$999,IF(G916=$B$1000,$A$1000,IF(G916=$B$1001,$A$1001,IF(G916=$B$1002,$A$1002,"Not Calculated")))))</f>
        <v>3</v>
      </c>
      <c r="K916" s="87"/>
    </row>
    <row r="917" spans="2:11" x14ac:dyDescent="0.2">
      <c r="B917" s="81"/>
      <c r="C917" s="85" t="s">
        <v>134</v>
      </c>
      <c r="D917" s="85"/>
      <c r="E917" s="85"/>
      <c r="F917" s="85"/>
      <c r="G917" s="85"/>
      <c r="H917" s="85"/>
      <c r="I917" s="85"/>
      <c r="J917" s="240">
        <f>'Baseline HP'!J58</f>
        <v>0</v>
      </c>
      <c r="K917" s="87"/>
    </row>
    <row r="918" spans="2:11" x14ac:dyDescent="0.2">
      <c r="B918" s="81"/>
      <c r="C918" s="85"/>
      <c r="D918" s="85"/>
      <c r="E918" s="85"/>
      <c r="F918" s="85"/>
      <c r="G918" s="85"/>
      <c r="H918" s="85"/>
      <c r="I918" s="85"/>
      <c r="J918" s="85"/>
      <c r="K918" s="87"/>
    </row>
    <row r="919" spans="2:11" ht="16" x14ac:dyDescent="0.2">
      <c r="B919" s="81"/>
      <c r="C919" s="211" t="s">
        <v>647</v>
      </c>
      <c r="D919" s="85"/>
      <c r="E919" s="85"/>
      <c r="F919" s="85"/>
      <c r="G919" s="85"/>
      <c r="H919" s="85"/>
      <c r="I919" s="85"/>
      <c r="J919" s="85"/>
      <c r="K919" s="87"/>
    </row>
    <row r="920" spans="2:11" x14ac:dyDescent="0.2">
      <c r="B920" s="81"/>
      <c r="C920" s="85" t="s">
        <v>380</v>
      </c>
      <c r="D920" s="85"/>
      <c r="E920" s="85"/>
      <c r="F920" s="85"/>
      <c r="G920" s="406" t="s">
        <v>234</v>
      </c>
      <c r="H920" s="407"/>
      <c r="I920" s="85"/>
      <c r="J920" s="83">
        <f>IF(G920=$B$998,$A$998,IF(G920=$B$999,$A$999,IF(G920=$B$1000,$A$1000,IF(G920=$B$1001,$A$1001,IF(G920=$B$1002,$A$1002,"Not Calculated")))))</f>
        <v>4</v>
      </c>
      <c r="K920" s="87"/>
    </row>
    <row r="921" spans="2:11" x14ac:dyDescent="0.2">
      <c r="B921" s="81"/>
      <c r="C921" s="85" t="s">
        <v>134</v>
      </c>
      <c r="D921" s="85"/>
      <c r="E921" s="85"/>
      <c r="F921" s="85"/>
      <c r="G921" s="85"/>
      <c r="H921" s="85"/>
      <c r="I921" s="85"/>
      <c r="J921" s="240">
        <f>'Baseline HP'!J68</f>
        <v>0</v>
      </c>
      <c r="K921" s="87"/>
    </row>
    <row r="922" spans="2:11" x14ac:dyDescent="0.2">
      <c r="B922" s="81"/>
      <c r="C922" s="85"/>
      <c r="D922" s="85"/>
      <c r="E922" s="85"/>
      <c r="F922" s="85"/>
      <c r="G922" s="85"/>
      <c r="H922" s="85"/>
      <c r="I922" s="85"/>
      <c r="J922" s="85"/>
      <c r="K922" s="87"/>
    </row>
    <row r="923" spans="2:11" ht="16" x14ac:dyDescent="0.2">
      <c r="B923" s="81"/>
      <c r="C923" s="211" t="s">
        <v>121</v>
      </c>
      <c r="D923" s="85"/>
      <c r="E923" s="85"/>
      <c r="F923" s="85"/>
      <c r="G923" s="85"/>
      <c r="H923" s="85"/>
      <c r="I923" s="85"/>
      <c r="J923" s="85"/>
      <c r="K923" s="87"/>
    </row>
    <row r="924" spans="2:11" x14ac:dyDescent="0.2">
      <c r="B924" s="81"/>
      <c r="C924" s="85" t="s">
        <v>380</v>
      </c>
      <c r="D924" s="85"/>
      <c r="E924" s="85"/>
      <c r="F924" s="85"/>
      <c r="G924" s="406" t="s">
        <v>235</v>
      </c>
      <c r="H924" s="407"/>
      <c r="I924" s="85"/>
      <c r="J924" s="83">
        <f>IF(G924=$B$998,$A$998,IF(G924=$B$999,$A$999,IF(G924=$B$1000,$A$1000,IF(G924=$B$1001,$A$1001,IF(G924=$B$1002,$A$1002,"Not Calculated")))))</f>
        <v>2</v>
      </c>
      <c r="K924" s="87"/>
    </row>
    <row r="925" spans="2:11" x14ac:dyDescent="0.2">
      <c r="B925" s="81"/>
      <c r="C925" s="85" t="s">
        <v>134</v>
      </c>
      <c r="D925" s="85"/>
      <c r="E925" s="85"/>
      <c r="F925" s="85"/>
      <c r="G925" s="85"/>
      <c r="H925" s="85"/>
      <c r="I925" s="85"/>
      <c r="J925" s="240">
        <f>'Baseline HP'!J84</f>
        <v>0</v>
      </c>
      <c r="K925" s="87"/>
    </row>
    <row r="926" spans="2:11" x14ac:dyDescent="0.2">
      <c r="B926" s="81"/>
      <c r="C926" s="85"/>
      <c r="D926" s="85"/>
      <c r="E926" s="85"/>
      <c r="F926" s="85"/>
      <c r="G926" s="85"/>
      <c r="H926" s="85"/>
      <c r="I926" s="85"/>
      <c r="J926" s="85"/>
      <c r="K926" s="87"/>
    </row>
    <row r="927" spans="2:11" ht="16" x14ac:dyDescent="0.2">
      <c r="B927" s="81"/>
      <c r="C927" s="211" t="s">
        <v>652</v>
      </c>
      <c r="D927" s="85"/>
      <c r="E927" s="85"/>
      <c r="F927" s="85"/>
      <c r="G927" s="85"/>
      <c r="H927" s="85"/>
      <c r="I927" s="85"/>
      <c r="J927" s="85"/>
      <c r="K927" s="87"/>
    </row>
    <row r="928" spans="2:11" x14ac:dyDescent="0.2">
      <c r="B928" s="81"/>
      <c r="C928" s="85" t="s">
        <v>380</v>
      </c>
      <c r="D928" s="85"/>
      <c r="E928" s="85"/>
      <c r="F928" s="85"/>
      <c r="G928" s="406" t="s">
        <v>237</v>
      </c>
      <c r="H928" s="407"/>
      <c r="I928" s="85"/>
      <c r="J928" s="83">
        <f>IF(G928=$B$998,$A$998,IF(G928=$B$999,$A$999,IF(G928=$B$1000,$A$1000,IF(G928=$B$1001,$A$1001,IF(G928=$B$1002,$A$1002,"Not Calculated")))))</f>
        <v>1</v>
      </c>
      <c r="K928" s="87"/>
    </row>
    <row r="929" spans="2:11" x14ac:dyDescent="0.2">
      <c r="B929" s="81"/>
      <c r="C929" s="85" t="s">
        <v>134</v>
      </c>
      <c r="D929" s="85"/>
      <c r="E929" s="85"/>
      <c r="F929" s="85"/>
      <c r="G929" s="85"/>
      <c r="H929" s="85"/>
      <c r="I929" s="85"/>
      <c r="J929" s="240">
        <f>'Baseline HP'!J94</f>
        <v>0</v>
      </c>
      <c r="K929" s="87"/>
    </row>
    <row r="930" spans="2:11" x14ac:dyDescent="0.2">
      <c r="B930" s="81"/>
      <c r="C930" s="85"/>
      <c r="D930" s="85"/>
      <c r="E930" s="85"/>
      <c r="F930" s="85"/>
      <c r="G930" s="85"/>
      <c r="H930" s="85"/>
      <c r="I930" s="85"/>
      <c r="J930" s="85"/>
      <c r="K930" s="87"/>
    </row>
    <row r="931" spans="2:11" ht="16" x14ac:dyDescent="0.2">
      <c r="B931" s="81"/>
      <c r="C931" s="211" t="s">
        <v>653</v>
      </c>
      <c r="D931" s="85"/>
      <c r="E931" s="85"/>
      <c r="F931" s="85"/>
      <c r="G931" s="85"/>
      <c r="H931" s="85"/>
      <c r="I931" s="85"/>
      <c r="J931" s="85"/>
      <c r="K931" s="87"/>
    </row>
    <row r="932" spans="2:11" x14ac:dyDescent="0.2">
      <c r="B932" s="81"/>
      <c r="C932" s="85" t="s">
        <v>380</v>
      </c>
      <c r="D932" s="85"/>
      <c r="E932" s="85"/>
      <c r="F932" s="85"/>
      <c r="G932" s="406" t="s">
        <v>235</v>
      </c>
      <c r="H932" s="407"/>
      <c r="I932" s="85"/>
      <c r="J932" s="83">
        <f>IF(G932=$B$998,$A$998,IF(G932=$B$999,$A$999,IF(G932=$B$1000,$A$1000,IF(G932=$B$1001,$A$1001,IF(G932=$B$1002,$A$1002,"Not Calculated")))))</f>
        <v>2</v>
      </c>
      <c r="K932" s="87"/>
    </row>
    <row r="933" spans="2:11" x14ac:dyDescent="0.2">
      <c r="B933" s="81"/>
      <c r="C933" s="85" t="s">
        <v>134</v>
      </c>
      <c r="D933" s="85"/>
      <c r="E933" s="85"/>
      <c r="F933" s="85"/>
      <c r="G933" s="85"/>
      <c r="H933" s="85"/>
      <c r="I933" s="85"/>
      <c r="J933" s="240">
        <f>'Baseline HP'!J108</f>
        <v>0</v>
      </c>
      <c r="K933" s="87"/>
    </row>
    <row r="934" spans="2:11" x14ac:dyDescent="0.2">
      <c r="B934" s="81"/>
      <c r="C934" s="85"/>
      <c r="D934" s="85"/>
      <c r="E934" s="85"/>
      <c r="F934" s="85"/>
      <c r="G934" s="85"/>
      <c r="H934" s="85"/>
      <c r="I934" s="85"/>
      <c r="J934" s="85"/>
      <c r="K934" s="87"/>
    </row>
    <row r="935" spans="2:11" x14ac:dyDescent="0.2">
      <c r="B935" s="81"/>
      <c r="C935" s="85"/>
      <c r="D935" s="85"/>
      <c r="E935" s="85"/>
      <c r="F935" s="85"/>
      <c r="G935" s="85"/>
      <c r="H935" s="85"/>
      <c r="I935" s="85"/>
      <c r="J935" s="85"/>
      <c r="K935" s="87"/>
    </row>
    <row r="936" spans="2:11" ht="16" x14ac:dyDescent="0.2">
      <c r="B936" s="81"/>
      <c r="C936" s="212" t="s">
        <v>812</v>
      </c>
      <c r="D936" s="85"/>
      <c r="E936" s="85"/>
      <c r="F936" s="85"/>
      <c r="G936" s="85"/>
      <c r="H936" s="85"/>
      <c r="I936" s="85"/>
      <c r="J936" s="241">
        <f>IF(OR(J920="Not Calculated",J924="Not Calculated",J928="Not Calculated",J932="Not Calculated",J904="Not Calculated",J908="Not Calculated",J912="Not Calculated",J916="Not Calculated",J921="Not Calculated",J925="Not Calculated",J929="Not Calculated",J933="Not Calculated",J905="Not Calculated",J909="Not Calculated",J913="Not Calculated",J917="Not Calculated")=TRUE,"Not Calculated",((J904*J905)+(J908*J909)+(J912*J913)+(J916*J917)+(J920*J921)+(J924*J925)+(J928*J929)+(J932*J933))/(J904+J908+J912+J916+J920+J924+J928+J932))</f>
        <v>0</v>
      </c>
      <c r="K936" s="87"/>
    </row>
    <row r="937" spans="2:11" ht="16" thickBot="1" x14ac:dyDescent="0.25">
      <c r="B937" s="213"/>
      <c r="C937" s="94"/>
      <c r="D937" s="94"/>
      <c r="E937" s="94"/>
      <c r="F937" s="94"/>
      <c r="G937" s="94"/>
      <c r="H937" s="94"/>
      <c r="I937" s="94"/>
      <c r="J937" s="94"/>
      <c r="K937" s="96"/>
    </row>
    <row r="938" spans="2:11" ht="16" thickBot="1" x14ac:dyDescent="0.25"/>
    <row r="939" spans="2:11" x14ac:dyDescent="0.2">
      <c r="B939" s="77"/>
      <c r="C939" s="78"/>
      <c r="D939" s="78"/>
      <c r="E939" s="78"/>
      <c r="F939" s="78"/>
      <c r="G939" s="78"/>
      <c r="H939" s="78"/>
      <c r="I939" s="78"/>
      <c r="J939" s="78"/>
      <c r="K939" s="80"/>
    </row>
    <row r="940" spans="2:11" ht="21" x14ac:dyDescent="0.25">
      <c r="B940" s="81"/>
      <c r="C940" s="85"/>
      <c r="D940" s="85"/>
      <c r="E940" s="85"/>
      <c r="F940" s="85"/>
      <c r="G940" s="210" t="s">
        <v>815</v>
      </c>
      <c r="H940" s="85"/>
      <c r="I940" s="85"/>
      <c r="J940" s="85"/>
      <c r="K940" s="87"/>
    </row>
    <row r="941" spans="2:11" ht="21" x14ac:dyDescent="0.25">
      <c r="B941" s="81"/>
      <c r="C941" s="85"/>
      <c r="D941" s="85"/>
      <c r="E941" s="85"/>
      <c r="F941" s="85"/>
      <c r="G941" s="210"/>
      <c r="H941" s="85"/>
      <c r="I941" s="85"/>
      <c r="J941" s="85"/>
      <c r="K941" s="87"/>
    </row>
    <row r="942" spans="2:11" ht="16" x14ac:dyDescent="0.2">
      <c r="B942" s="81"/>
      <c r="C942" s="212" t="s">
        <v>995</v>
      </c>
      <c r="D942" s="85"/>
      <c r="E942" s="85"/>
      <c r="F942" s="85"/>
      <c r="G942" s="85"/>
      <c r="H942" s="85"/>
      <c r="I942" s="85"/>
      <c r="J942" s="241">
        <f>IF(OR(J936="Not Calculated",J894="Not Calculated")=TRUE,"Not Calculated",AVERAGE(J936,J894))</f>
        <v>0</v>
      </c>
      <c r="K942" s="87"/>
    </row>
    <row r="943" spans="2:11" ht="16" x14ac:dyDescent="0.2">
      <c r="B943" s="81"/>
      <c r="C943" s="212"/>
      <c r="D943" s="85" t="s">
        <v>814</v>
      </c>
      <c r="E943" s="85"/>
      <c r="F943" s="85"/>
      <c r="G943" s="85"/>
      <c r="H943" s="85"/>
      <c r="I943" s="85"/>
      <c r="J943" s="241"/>
      <c r="K943" s="87"/>
    </row>
    <row r="944" spans="2:11" ht="17" thickBot="1" x14ac:dyDescent="0.25">
      <c r="B944" s="213"/>
      <c r="C944" s="227"/>
      <c r="D944" s="94"/>
      <c r="E944" s="94"/>
      <c r="F944" s="94"/>
      <c r="G944" s="94"/>
      <c r="H944" s="94"/>
      <c r="I944" s="94"/>
      <c r="J944" s="228"/>
      <c r="K944" s="96"/>
    </row>
    <row r="945" spans="2:11" ht="16" thickBot="1" x14ac:dyDescent="0.25"/>
    <row r="946" spans="2:11" x14ac:dyDescent="0.2">
      <c r="B946" s="214"/>
      <c r="C946" s="215"/>
      <c r="D946" s="215"/>
      <c r="E946" s="215"/>
      <c r="F946" s="215"/>
      <c r="G946" s="215"/>
      <c r="H946" s="215"/>
      <c r="I946" s="215"/>
      <c r="J946" s="215"/>
      <c r="K946" s="216"/>
    </row>
    <row r="947" spans="2:11" ht="21" x14ac:dyDescent="0.25">
      <c r="B947" s="217"/>
      <c r="C947" s="218"/>
      <c r="D947" s="218"/>
      <c r="E947" s="218"/>
      <c r="F947" s="218"/>
      <c r="G947" s="219" t="s">
        <v>239</v>
      </c>
      <c r="H947" s="218"/>
      <c r="I947" s="218"/>
      <c r="J947" s="218"/>
      <c r="K947" s="220"/>
    </row>
    <row r="948" spans="2:11" x14ac:dyDescent="0.2">
      <c r="B948" s="217"/>
      <c r="C948" s="218"/>
      <c r="D948" s="218"/>
      <c r="E948" s="218"/>
      <c r="F948" s="218"/>
      <c r="G948" s="218"/>
      <c r="H948" s="218"/>
      <c r="I948" s="218"/>
      <c r="J948" s="218"/>
      <c r="K948" s="220"/>
    </row>
    <row r="949" spans="2:11" ht="16" x14ac:dyDescent="0.2">
      <c r="B949" s="217"/>
      <c r="C949" s="221" t="s">
        <v>393</v>
      </c>
      <c r="D949" s="218"/>
      <c r="E949" s="218"/>
      <c r="F949" s="218"/>
      <c r="G949" s="218"/>
      <c r="H949" s="218"/>
      <c r="I949" s="218"/>
      <c r="J949" s="242" t="str">
        <f>IF(OR(J817="Not Calculated",J942="Not Calculated")=TRUE,"Not Calculated",J817/J942)</f>
        <v>Not Calculated</v>
      </c>
      <c r="K949" s="220"/>
    </row>
    <row r="950" spans="2:11" x14ac:dyDescent="0.2">
      <c r="B950" s="217"/>
      <c r="C950" s="218"/>
      <c r="D950" s="218" t="s">
        <v>816</v>
      </c>
      <c r="E950" s="218"/>
      <c r="F950" s="218"/>
      <c r="G950" s="218"/>
      <c r="H950" s="218"/>
      <c r="I950" s="218"/>
      <c r="J950" s="218"/>
      <c r="K950" s="220"/>
    </row>
    <row r="951" spans="2:11" x14ac:dyDescent="0.2">
      <c r="B951" s="217"/>
      <c r="C951" s="218"/>
      <c r="D951" s="218"/>
      <c r="E951" s="218"/>
      <c r="F951" s="218"/>
      <c r="G951" s="218"/>
      <c r="H951" s="218"/>
      <c r="I951" s="218"/>
      <c r="J951" s="218"/>
      <c r="K951" s="220"/>
    </row>
    <row r="952" spans="2:11" ht="16" x14ac:dyDescent="0.2">
      <c r="B952" s="217"/>
      <c r="C952" s="221" t="s">
        <v>996</v>
      </c>
      <c r="D952" s="218"/>
      <c r="E952" s="218"/>
      <c r="F952" s="218"/>
      <c r="G952" s="218"/>
      <c r="H952" s="218"/>
      <c r="I952" s="218"/>
      <c r="J952" s="242" t="str">
        <f>IF(OR(J820="Not Calculated",J894="Not Calculated")=TRUE,"Not Calculated",J820/J894)</f>
        <v>Not Calculated</v>
      </c>
      <c r="K952" s="220"/>
    </row>
    <row r="953" spans="2:11" x14ac:dyDescent="0.2">
      <c r="B953" s="217"/>
      <c r="C953" s="218"/>
      <c r="D953" s="218" t="s">
        <v>817</v>
      </c>
      <c r="E953" s="218"/>
      <c r="F953" s="218"/>
      <c r="G953" s="218"/>
      <c r="H953" s="218"/>
      <c r="I953" s="218"/>
      <c r="J953" s="218"/>
      <c r="K953" s="220"/>
    </row>
    <row r="954" spans="2:11" x14ac:dyDescent="0.2">
      <c r="B954" s="217"/>
      <c r="C954" s="218"/>
      <c r="D954" s="218"/>
      <c r="E954" s="218"/>
      <c r="F954" s="218"/>
      <c r="G954" s="218"/>
      <c r="H954" s="218"/>
      <c r="I954" s="218"/>
      <c r="J954" s="218"/>
      <c r="K954" s="220"/>
    </row>
    <row r="955" spans="2:11" ht="16" x14ac:dyDescent="0.2">
      <c r="B955" s="217"/>
      <c r="C955" s="221" t="s">
        <v>997</v>
      </c>
      <c r="D955" s="218"/>
      <c r="E955" s="218"/>
      <c r="F955" s="218"/>
      <c r="G955" s="218"/>
      <c r="H955" s="218"/>
      <c r="I955" s="218"/>
      <c r="J955" s="242" t="str">
        <f>IF(OR(J936="Not Calculated",J823="Not Calculated")=TRUE,"Not Calculated",J823/J936)</f>
        <v>Not Calculated</v>
      </c>
      <c r="K955" s="220"/>
    </row>
    <row r="956" spans="2:11" x14ac:dyDescent="0.2">
      <c r="B956" s="217"/>
      <c r="C956" s="218"/>
      <c r="D956" s="218" t="s">
        <v>818</v>
      </c>
      <c r="E956" s="218"/>
      <c r="F956" s="218"/>
      <c r="G956" s="218"/>
      <c r="H956" s="218"/>
      <c r="I956" s="218"/>
      <c r="J956" s="218"/>
      <c r="K956" s="220"/>
    </row>
    <row r="957" spans="2:11" ht="16" thickBot="1" x14ac:dyDescent="0.25">
      <c r="B957" s="222"/>
      <c r="C957" s="223"/>
      <c r="D957" s="223"/>
      <c r="E957" s="223"/>
      <c r="F957" s="223"/>
      <c r="G957" s="223"/>
      <c r="H957" s="223"/>
      <c r="I957" s="223"/>
      <c r="J957" s="223"/>
      <c r="K957" s="224"/>
    </row>
    <row r="959" spans="2:11" ht="15" customHeight="1" x14ac:dyDescent="0.2">
      <c r="F959" s="405"/>
      <c r="G959" s="405"/>
      <c r="H959" s="405"/>
    </row>
    <row r="960" spans="2:11" x14ac:dyDescent="0.2">
      <c r="F960" s="405"/>
      <c r="G960" s="405"/>
      <c r="H960" s="405"/>
    </row>
    <row r="965" spans="1:3" ht="15" hidden="1" customHeight="1" x14ac:dyDescent="0.2">
      <c r="A965" s="12" t="s">
        <v>228</v>
      </c>
    </row>
    <row r="966" spans="1:3" ht="15" hidden="1" customHeight="1" x14ac:dyDescent="0.2">
      <c r="A966" s="12">
        <v>0</v>
      </c>
      <c r="B966" s="12" t="s">
        <v>250</v>
      </c>
      <c r="C966" s="12" t="s">
        <v>240</v>
      </c>
    </row>
    <row r="967" spans="1:3" ht="15" hidden="1" customHeight="1" x14ac:dyDescent="0.2">
      <c r="A967" s="12">
        <v>1</v>
      </c>
      <c r="B967" s="12" t="s">
        <v>251</v>
      </c>
      <c r="C967" s="12" t="s">
        <v>241</v>
      </c>
    </row>
    <row r="968" spans="1:3" ht="15" hidden="1" customHeight="1" x14ac:dyDescent="0.2">
      <c r="A968" s="12">
        <v>2</v>
      </c>
      <c r="B968" s="12" t="s">
        <v>252</v>
      </c>
      <c r="C968" s="12" t="s">
        <v>242</v>
      </c>
    </row>
    <row r="969" spans="1:3" ht="15" hidden="1" customHeight="1" x14ac:dyDescent="0.2">
      <c r="A969" s="12">
        <v>3</v>
      </c>
      <c r="B969" s="12" t="s">
        <v>253</v>
      </c>
      <c r="C969" s="12" t="s">
        <v>227</v>
      </c>
    </row>
    <row r="970" spans="1:3" ht="15" hidden="1" customHeight="1" x14ac:dyDescent="0.2">
      <c r="A970" s="12">
        <v>4</v>
      </c>
      <c r="B970" s="12" t="s">
        <v>254</v>
      </c>
      <c r="C970" s="12" t="s">
        <v>243</v>
      </c>
    </row>
    <row r="971" spans="1:3" ht="15" hidden="1" customHeight="1" x14ac:dyDescent="0.2"/>
    <row r="972" spans="1:3" ht="15" hidden="1" customHeight="1" x14ac:dyDescent="0.2">
      <c r="A972" s="12" t="s">
        <v>259</v>
      </c>
    </row>
    <row r="973" spans="1:3" ht="15" hidden="1" customHeight="1" x14ac:dyDescent="0.2">
      <c r="A973" s="12">
        <v>0</v>
      </c>
      <c r="B973" s="225" t="s">
        <v>870</v>
      </c>
    </row>
    <row r="974" spans="1:3" ht="15" hidden="1" customHeight="1" x14ac:dyDescent="0.2">
      <c r="A974" s="12">
        <v>1</v>
      </c>
      <c r="B974" s="12" t="s">
        <v>880</v>
      </c>
    </row>
    <row r="975" spans="1:3" ht="15" hidden="1" customHeight="1" x14ac:dyDescent="0.2">
      <c r="A975" s="12">
        <v>2</v>
      </c>
      <c r="B975" s="12" t="s">
        <v>872</v>
      </c>
    </row>
    <row r="976" spans="1:3" ht="15" hidden="1" customHeight="1" x14ac:dyDescent="0.2">
      <c r="A976" s="12">
        <v>3</v>
      </c>
      <c r="B976" s="12" t="s">
        <v>873</v>
      </c>
    </row>
    <row r="977" spans="1:2" ht="15" hidden="1" customHeight="1" x14ac:dyDescent="0.2">
      <c r="A977" s="12">
        <v>4</v>
      </c>
      <c r="B977" s="12" t="s">
        <v>874</v>
      </c>
    </row>
    <row r="978" spans="1:2" ht="15" hidden="1" customHeight="1" x14ac:dyDescent="0.2"/>
    <row r="979" spans="1:2" ht="15" hidden="1" customHeight="1" x14ac:dyDescent="0.2">
      <c r="A979" s="12" t="s">
        <v>294</v>
      </c>
    </row>
    <row r="980" spans="1:2" ht="15" hidden="1" customHeight="1" x14ac:dyDescent="0.2">
      <c r="A980" s="12">
        <v>0</v>
      </c>
      <c r="B980" s="225" t="s">
        <v>870</v>
      </c>
    </row>
    <row r="981" spans="1:2" ht="15" hidden="1" customHeight="1" x14ac:dyDescent="0.2">
      <c r="A981" s="12">
        <v>1</v>
      </c>
      <c r="B981" s="12" t="s">
        <v>875</v>
      </c>
    </row>
    <row r="982" spans="1:2" ht="15" hidden="1" customHeight="1" x14ac:dyDescent="0.2">
      <c r="A982" s="12">
        <v>2</v>
      </c>
      <c r="B982" s="12" t="s">
        <v>876</v>
      </c>
    </row>
    <row r="983" spans="1:2" ht="15" hidden="1" customHeight="1" x14ac:dyDescent="0.2">
      <c r="A983" s="12">
        <v>3</v>
      </c>
      <c r="B983" s="12" t="s">
        <v>877</v>
      </c>
    </row>
    <row r="984" spans="1:2" ht="15" hidden="1" customHeight="1" x14ac:dyDescent="0.2">
      <c r="A984" s="12">
        <v>4</v>
      </c>
      <c r="B984" s="12" t="s">
        <v>878</v>
      </c>
    </row>
    <row r="985" spans="1:2" ht="15" hidden="1" customHeight="1" x14ac:dyDescent="0.2"/>
    <row r="986" spans="1:2" ht="15" hidden="1" customHeight="1" x14ac:dyDescent="0.2">
      <c r="A986" s="12" t="s">
        <v>244</v>
      </c>
    </row>
    <row r="987" spans="1:2" ht="15" hidden="1" customHeight="1" x14ac:dyDescent="0.2">
      <c r="A987" s="12">
        <v>0</v>
      </c>
      <c r="B987" s="12" t="s">
        <v>245</v>
      </c>
    </row>
    <row r="988" spans="1:2" ht="15" hidden="1" customHeight="1" x14ac:dyDescent="0.2">
      <c r="A988" s="12">
        <v>1</v>
      </c>
      <c r="B988" s="12" t="s">
        <v>246</v>
      </c>
    </row>
    <row r="989" spans="1:2" ht="15" hidden="1" customHeight="1" x14ac:dyDescent="0.2">
      <c r="A989" s="12">
        <v>2</v>
      </c>
      <c r="B989" s="12" t="s">
        <v>247</v>
      </c>
    </row>
    <row r="990" spans="1:2" ht="15" hidden="1" customHeight="1" x14ac:dyDescent="0.2">
      <c r="A990" s="12">
        <v>3</v>
      </c>
      <c r="B990" s="12" t="s">
        <v>229</v>
      </c>
    </row>
    <row r="991" spans="1:2" ht="15" hidden="1" customHeight="1" x14ac:dyDescent="0.2">
      <c r="A991" s="12">
        <v>4</v>
      </c>
      <c r="B991" s="12" t="s">
        <v>248</v>
      </c>
    </row>
    <row r="992" spans="1:2" ht="15" hidden="1" customHeight="1" x14ac:dyDescent="0.2"/>
    <row r="993" spans="1:11" ht="15" hidden="1" customHeight="1" x14ac:dyDescent="0.2">
      <c r="A993" s="12" t="s">
        <v>381</v>
      </c>
    </row>
    <row r="994" spans="1:11" ht="15" hidden="1" customHeight="1" x14ac:dyDescent="0.2">
      <c r="A994" s="12">
        <v>0</v>
      </c>
      <c r="B994" s="12" t="s">
        <v>202</v>
      </c>
    </row>
    <row r="995" spans="1:11" ht="15" hidden="1" customHeight="1" x14ac:dyDescent="0.2">
      <c r="A995" s="12">
        <v>1</v>
      </c>
      <c r="B995" s="12" t="s">
        <v>190</v>
      </c>
    </row>
    <row r="996" spans="1:11" ht="15" hidden="1" customHeight="1" x14ac:dyDescent="0.2"/>
    <row r="997" spans="1:11" ht="15" hidden="1" customHeight="1" x14ac:dyDescent="0.2">
      <c r="A997" s="12" t="s">
        <v>249</v>
      </c>
    </row>
    <row r="998" spans="1:11" ht="15" hidden="1" customHeight="1" x14ac:dyDescent="0.2">
      <c r="A998" s="12">
        <v>0</v>
      </c>
      <c r="B998" s="12" t="s">
        <v>236</v>
      </c>
    </row>
    <row r="999" spans="1:11" ht="15" hidden="1" customHeight="1" x14ac:dyDescent="0.2">
      <c r="A999" s="12">
        <v>1</v>
      </c>
      <c r="B999" s="12" t="s">
        <v>237</v>
      </c>
    </row>
    <row r="1000" spans="1:11" ht="15" hidden="1" customHeight="1" x14ac:dyDescent="0.2">
      <c r="A1000" s="12">
        <v>2</v>
      </c>
      <c r="B1000" s="12" t="s">
        <v>235</v>
      </c>
    </row>
    <row r="1001" spans="1:11" ht="15" hidden="1" customHeight="1" x14ac:dyDescent="0.2">
      <c r="A1001" s="12">
        <v>3</v>
      </c>
      <c r="B1001" s="12" t="s">
        <v>238</v>
      </c>
    </row>
    <row r="1002" spans="1:11" ht="15" hidden="1" customHeight="1" x14ac:dyDescent="0.2">
      <c r="A1002" s="12">
        <v>4</v>
      </c>
      <c r="B1002" s="12" t="s">
        <v>234</v>
      </c>
    </row>
    <row r="1003" spans="1:11" ht="15" customHeight="1" x14ac:dyDescent="0.2">
      <c r="B1003" s="12" t="s">
        <v>685</v>
      </c>
    </row>
    <row r="1004" spans="1:11" ht="15" customHeight="1" x14ac:dyDescent="0.2">
      <c r="B1004" s="402" t="s">
        <v>735</v>
      </c>
      <c r="C1004" s="403"/>
      <c r="D1004" s="403"/>
      <c r="E1004" s="403"/>
      <c r="F1004" s="403"/>
      <c r="G1004" s="403"/>
      <c r="H1004" s="403"/>
      <c r="I1004" s="403"/>
      <c r="J1004" s="403"/>
      <c r="K1004" s="404"/>
    </row>
    <row r="1005" spans="1:11" ht="15" customHeight="1" x14ac:dyDescent="0.2">
      <c r="B1005" s="396"/>
      <c r="C1005" s="397"/>
      <c r="D1005" s="397"/>
      <c r="E1005" s="397"/>
      <c r="F1005" s="397"/>
      <c r="G1005" s="397"/>
      <c r="H1005" s="397"/>
      <c r="I1005" s="397"/>
      <c r="J1005" s="397"/>
      <c r="K1005" s="398"/>
    </row>
    <row r="1006" spans="1:11" ht="30" customHeight="1" x14ac:dyDescent="0.2">
      <c r="B1006" s="396" t="s">
        <v>738</v>
      </c>
      <c r="C1006" s="397"/>
      <c r="D1006" s="397"/>
      <c r="E1006" s="397"/>
      <c r="F1006" s="397"/>
      <c r="G1006" s="397"/>
      <c r="H1006" s="397"/>
      <c r="I1006" s="397"/>
      <c r="J1006" s="397"/>
      <c r="K1006" s="398"/>
    </row>
    <row r="1007" spans="1:11" ht="15" customHeight="1" x14ac:dyDescent="0.2">
      <c r="B1007" s="396"/>
      <c r="C1007" s="397"/>
      <c r="D1007" s="397"/>
      <c r="E1007" s="397"/>
      <c r="F1007" s="397"/>
      <c r="G1007" s="397"/>
      <c r="H1007" s="397"/>
      <c r="I1007" s="397"/>
      <c r="J1007" s="397"/>
      <c r="K1007" s="398"/>
    </row>
    <row r="1008" spans="1:11" ht="15" customHeight="1" x14ac:dyDescent="0.2">
      <c r="B1008" s="396" t="s">
        <v>692</v>
      </c>
      <c r="C1008" s="397"/>
      <c r="D1008" s="397"/>
      <c r="E1008" s="397"/>
      <c r="F1008" s="397"/>
      <c r="G1008" s="397"/>
      <c r="H1008" s="397"/>
      <c r="I1008" s="397"/>
      <c r="J1008" s="397"/>
      <c r="K1008" s="398"/>
    </row>
    <row r="1009" spans="2:11" ht="15" customHeight="1" x14ac:dyDescent="0.2">
      <c r="B1009" s="396"/>
      <c r="C1009" s="397"/>
      <c r="D1009" s="397"/>
      <c r="E1009" s="397"/>
      <c r="F1009" s="397"/>
      <c r="G1009" s="397"/>
      <c r="H1009" s="397"/>
      <c r="I1009" s="397"/>
      <c r="J1009" s="397"/>
      <c r="K1009" s="398"/>
    </row>
    <row r="1010" spans="2:11" ht="45" customHeight="1" x14ac:dyDescent="0.2">
      <c r="B1010" s="396" t="s">
        <v>736</v>
      </c>
      <c r="C1010" s="397"/>
      <c r="D1010" s="397"/>
      <c r="E1010" s="397"/>
      <c r="F1010" s="397"/>
      <c r="G1010" s="397"/>
      <c r="H1010" s="397"/>
      <c r="I1010" s="397"/>
      <c r="J1010" s="397"/>
      <c r="K1010" s="398"/>
    </row>
    <row r="1011" spans="2:11" ht="15" customHeight="1" x14ac:dyDescent="0.2">
      <c r="B1011" s="396"/>
      <c r="C1011" s="397"/>
      <c r="D1011" s="397"/>
      <c r="E1011" s="397"/>
      <c r="F1011" s="397"/>
      <c r="G1011" s="397"/>
      <c r="H1011" s="397"/>
      <c r="I1011" s="397"/>
      <c r="J1011" s="397"/>
      <c r="K1011" s="398"/>
    </row>
    <row r="1012" spans="2:11" ht="30" customHeight="1" x14ac:dyDescent="0.2">
      <c r="B1012" s="396" t="s">
        <v>737</v>
      </c>
      <c r="C1012" s="397"/>
      <c r="D1012" s="397"/>
      <c r="E1012" s="397"/>
      <c r="F1012" s="397"/>
      <c r="G1012" s="397"/>
      <c r="H1012" s="397"/>
      <c r="I1012" s="397"/>
      <c r="J1012" s="397"/>
      <c r="K1012" s="398"/>
    </row>
    <row r="1013" spans="2:11" ht="15" customHeight="1" x14ac:dyDescent="0.2">
      <c r="B1013" s="396"/>
      <c r="C1013" s="397"/>
      <c r="D1013" s="397"/>
      <c r="E1013" s="397"/>
      <c r="F1013" s="397"/>
      <c r="G1013" s="397"/>
      <c r="H1013" s="397"/>
      <c r="I1013" s="397"/>
      <c r="J1013" s="397"/>
      <c r="K1013" s="398"/>
    </row>
    <row r="1014" spans="2:11" ht="15" customHeight="1" x14ac:dyDescent="0.2">
      <c r="B1014" s="396" t="s">
        <v>733</v>
      </c>
      <c r="C1014" s="397"/>
      <c r="D1014" s="397"/>
      <c r="E1014" s="397"/>
      <c r="F1014" s="397"/>
      <c r="G1014" s="397"/>
      <c r="H1014" s="397"/>
      <c r="I1014" s="397"/>
      <c r="J1014" s="397"/>
      <c r="K1014" s="398"/>
    </row>
    <row r="1015" spans="2:11" ht="15" customHeight="1" x14ac:dyDescent="0.2">
      <c r="B1015" s="396"/>
      <c r="C1015" s="397"/>
      <c r="D1015" s="397"/>
      <c r="E1015" s="397"/>
      <c r="F1015" s="397"/>
      <c r="G1015" s="397"/>
      <c r="H1015" s="397"/>
      <c r="I1015" s="397"/>
      <c r="J1015" s="397"/>
      <c r="K1015" s="398"/>
    </row>
    <row r="1016" spans="2:11" ht="30" customHeight="1" x14ac:dyDescent="0.2">
      <c r="B1016" s="396" t="s">
        <v>734</v>
      </c>
      <c r="C1016" s="397"/>
      <c r="D1016" s="397"/>
      <c r="E1016" s="397"/>
      <c r="F1016" s="397"/>
      <c r="G1016" s="397"/>
      <c r="H1016" s="397"/>
      <c r="I1016" s="397"/>
      <c r="J1016" s="397"/>
      <c r="K1016" s="398"/>
    </row>
    <row r="1017" spans="2:11" ht="15" customHeight="1" x14ac:dyDescent="0.2">
      <c r="B1017" s="396"/>
      <c r="C1017" s="397"/>
      <c r="D1017" s="397"/>
      <c r="E1017" s="397"/>
      <c r="F1017" s="397"/>
      <c r="G1017" s="397"/>
      <c r="H1017" s="397"/>
      <c r="I1017" s="397"/>
      <c r="J1017" s="397"/>
      <c r="K1017" s="398"/>
    </row>
    <row r="1018" spans="2:11" ht="15" customHeight="1" x14ac:dyDescent="0.2">
      <c r="B1018" s="396"/>
      <c r="C1018" s="397"/>
      <c r="D1018" s="397"/>
      <c r="E1018" s="397"/>
      <c r="F1018" s="397"/>
      <c r="G1018" s="397"/>
      <c r="H1018" s="397"/>
      <c r="I1018" s="397"/>
      <c r="J1018" s="397"/>
      <c r="K1018" s="398"/>
    </row>
    <row r="1019" spans="2:11" ht="15" customHeight="1" x14ac:dyDescent="0.2">
      <c r="B1019" s="396"/>
      <c r="C1019" s="397"/>
      <c r="D1019" s="397"/>
      <c r="E1019" s="397"/>
      <c r="F1019" s="397"/>
      <c r="G1019" s="397"/>
      <c r="H1019" s="397"/>
      <c r="I1019" s="397"/>
      <c r="J1019" s="397"/>
      <c r="K1019" s="398"/>
    </row>
    <row r="1020" spans="2:11" ht="15" customHeight="1" x14ac:dyDescent="0.2">
      <c r="B1020" s="396"/>
      <c r="C1020" s="397"/>
      <c r="D1020" s="397"/>
      <c r="E1020" s="397"/>
      <c r="F1020" s="397"/>
      <c r="G1020" s="397"/>
      <c r="H1020" s="397"/>
      <c r="I1020" s="397"/>
      <c r="J1020" s="397"/>
      <c r="K1020" s="398"/>
    </row>
    <row r="1021" spans="2:11" ht="15" customHeight="1" x14ac:dyDescent="0.2">
      <c r="B1021" s="396"/>
      <c r="C1021" s="397"/>
      <c r="D1021" s="397"/>
      <c r="E1021" s="397"/>
      <c r="F1021" s="397"/>
      <c r="G1021" s="397"/>
      <c r="H1021" s="397"/>
      <c r="I1021" s="397"/>
      <c r="J1021" s="397"/>
      <c r="K1021" s="398"/>
    </row>
    <row r="1022" spans="2:11" ht="15" customHeight="1" x14ac:dyDescent="0.2">
      <c r="B1022" s="396"/>
      <c r="C1022" s="397"/>
      <c r="D1022" s="397"/>
      <c r="E1022" s="397"/>
      <c r="F1022" s="397"/>
      <c r="G1022" s="397"/>
      <c r="H1022" s="397"/>
      <c r="I1022" s="397"/>
      <c r="J1022" s="397"/>
      <c r="K1022" s="398"/>
    </row>
    <row r="1023" spans="2:11" ht="15" customHeight="1" x14ac:dyDescent="0.2">
      <c r="B1023" s="396"/>
      <c r="C1023" s="397"/>
      <c r="D1023" s="397"/>
      <c r="E1023" s="397"/>
      <c r="F1023" s="397"/>
      <c r="G1023" s="397"/>
      <c r="H1023" s="397"/>
      <c r="I1023" s="397"/>
      <c r="J1023" s="397"/>
      <c r="K1023" s="398"/>
    </row>
    <row r="1024" spans="2:11" ht="15" customHeight="1" x14ac:dyDescent="0.2">
      <c r="B1024" s="396"/>
      <c r="C1024" s="397"/>
      <c r="D1024" s="397"/>
      <c r="E1024" s="397"/>
      <c r="F1024" s="397"/>
      <c r="G1024" s="397"/>
      <c r="H1024" s="397"/>
      <c r="I1024" s="397"/>
      <c r="J1024" s="397"/>
      <c r="K1024" s="398"/>
    </row>
    <row r="1025" spans="2:11" ht="15" customHeight="1" x14ac:dyDescent="0.2">
      <c r="B1025" s="396"/>
      <c r="C1025" s="397"/>
      <c r="D1025" s="397"/>
      <c r="E1025" s="397"/>
      <c r="F1025" s="397"/>
      <c r="G1025" s="397"/>
      <c r="H1025" s="397"/>
      <c r="I1025" s="397"/>
      <c r="J1025" s="397"/>
      <c r="K1025" s="398"/>
    </row>
    <row r="1026" spans="2:11" ht="15" customHeight="1" x14ac:dyDescent="0.2">
      <c r="B1026" s="396"/>
      <c r="C1026" s="397"/>
      <c r="D1026" s="397"/>
      <c r="E1026" s="397"/>
      <c r="F1026" s="397"/>
      <c r="G1026" s="397"/>
      <c r="H1026" s="397"/>
      <c r="I1026" s="397"/>
      <c r="J1026" s="397"/>
      <c r="K1026" s="398"/>
    </row>
    <row r="1027" spans="2:11" ht="15" customHeight="1" x14ac:dyDescent="0.2">
      <c r="B1027" s="396"/>
      <c r="C1027" s="397"/>
      <c r="D1027" s="397"/>
      <c r="E1027" s="397"/>
      <c r="F1027" s="397"/>
      <c r="G1027" s="397"/>
      <c r="H1027" s="397"/>
      <c r="I1027" s="397"/>
      <c r="J1027" s="397"/>
      <c r="K1027" s="398"/>
    </row>
    <row r="1028" spans="2:11" ht="15" customHeight="1" x14ac:dyDescent="0.2">
      <c r="B1028" s="396"/>
      <c r="C1028" s="397"/>
      <c r="D1028" s="397"/>
      <c r="E1028" s="397"/>
      <c r="F1028" s="397"/>
      <c r="G1028" s="397"/>
      <c r="H1028" s="397"/>
      <c r="I1028" s="397"/>
      <c r="J1028" s="397"/>
      <c r="K1028" s="398"/>
    </row>
    <row r="1029" spans="2:11" ht="15" customHeight="1" x14ac:dyDescent="0.2">
      <c r="B1029" s="393"/>
      <c r="C1029" s="394"/>
      <c r="D1029" s="394"/>
      <c r="E1029" s="394"/>
      <c r="F1029" s="394"/>
      <c r="G1029" s="394"/>
      <c r="H1029" s="394"/>
      <c r="I1029" s="394"/>
      <c r="J1029" s="394"/>
      <c r="K1029" s="395"/>
    </row>
  </sheetData>
  <sheetProtection formatCells="0" formatColumns="0" formatRows="0" selectLockedCells="1"/>
  <mergeCells count="152">
    <mergeCell ref="C95:J95"/>
    <mergeCell ref="C114:J114"/>
    <mergeCell ref="E15:J15"/>
    <mergeCell ref="C38:J38"/>
    <mergeCell ref="C57:J57"/>
    <mergeCell ref="C76:J76"/>
    <mergeCell ref="C385:J385"/>
    <mergeCell ref="C324:J324"/>
    <mergeCell ref="B5:K5"/>
    <mergeCell ref="B6:K6"/>
    <mergeCell ref="B7:K7"/>
    <mergeCell ref="B8:K8"/>
    <mergeCell ref="B9:K9"/>
    <mergeCell ref="B10:K10"/>
    <mergeCell ref="C292:I293"/>
    <mergeCell ref="C311:I312"/>
    <mergeCell ref="C340:I341"/>
    <mergeCell ref="C305:J305"/>
    <mergeCell ref="C257:J257"/>
    <mergeCell ref="C237:J237"/>
    <mergeCell ref="C216:J216"/>
    <mergeCell ref="C176:J176"/>
    <mergeCell ref="C196:J196"/>
    <mergeCell ref="C155:J155"/>
    <mergeCell ref="C120:J122"/>
    <mergeCell ref="C123:J124"/>
    <mergeCell ref="C129:J129"/>
    <mergeCell ref="C455:J455"/>
    <mergeCell ref="C402:J402"/>
    <mergeCell ref="C416:J416"/>
    <mergeCell ref="C438:J438"/>
    <mergeCell ref="C444:I445"/>
    <mergeCell ref="C420:I421"/>
    <mergeCell ref="C365:J365"/>
    <mergeCell ref="C371:I372"/>
    <mergeCell ref="C330:I331"/>
    <mergeCell ref="C347:J347"/>
    <mergeCell ref="D343:I344"/>
    <mergeCell ref="C391:I392"/>
    <mergeCell ref="C286:J286"/>
    <mergeCell ref="C613:J613"/>
    <mergeCell ref="C560:J560"/>
    <mergeCell ref="C566:I568"/>
    <mergeCell ref="C569:I571"/>
    <mergeCell ref="C583:J583"/>
    <mergeCell ref="C524:I525"/>
    <mergeCell ref="C535:J535"/>
    <mergeCell ref="C518:J518"/>
    <mergeCell ref="C471:J471"/>
    <mergeCell ref="C477:I478"/>
    <mergeCell ref="C486:J486"/>
    <mergeCell ref="C502:J502"/>
    <mergeCell ref="C599:J599"/>
    <mergeCell ref="G717:H717"/>
    <mergeCell ref="G718:H718"/>
    <mergeCell ref="C729:J731"/>
    <mergeCell ref="G732:H732"/>
    <mergeCell ref="G733:H733"/>
    <mergeCell ref="C620:I621"/>
    <mergeCell ref="C633:J633"/>
    <mergeCell ref="C639:I640"/>
    <mergeCell ref="C641:I643"/>
    <mergeCell ref="C714:J716"/>
    <mergeCell ref="C655:J655"/>
    <mergeCell ref="D664:I665"/>
    <mergeCell ref="C677:J677"/>
    <mergeCell ref="G737:H737"/>
    <mergeCell ref="G738:H738"/>
    <mergeCell ref="G734:H734"/>
    <mergeCell ref="G735:H735"/>
    <mergeCell ref="G724:H724"/>
    <mergeCell ref="G725:H725"/>
    <mergeCell ref="G719:H719"/>
    <mergeCell ref="G720:H720"/>
    <mergeCell ref="G721:H721"/>
    <mergeCell ref="G846:H846"/>
    <mergeCell ref="C830:J831"/>
    <mergeCell ref="G834:H834"/>
    <mergeCell ref="G838:H838"/>
    <mergeCell ref="G842:H842"/>
    <mergeCell ref="G769:H769"/>
    <mergeCell ref="G770:H770"/>
    <mergeCell ref="G767:H767"/>
    <mergeCell ref="G768:H768"/>
    <mergeCell ref="G766:H766"/>
    <mergeCell ref="G754:H754"/>
    <mergeCell ref="G755:H755"/>
    <mergeCell ref="G752:H752"/>
    <mergeCell ref="G753:H753"/>
    <mergeCell ref="C759:J761"/>
    <mergeCell ref="G762:H762"/>
    <mergeCell ref="G763:H763"/>
    <mergeCell ref="G764:H764"/>
    <mergeCell ref="G878:H878"/>
    <mergeCell ref="G722:H722"/>
    <mergeCell ref="G723:H723"/>
    <mergeCell ref="G850:H850"/>
    <mergeCell ref="G862:H862"/>
    <mergeCell ref="G866:H866"/>
    <mergeCell ref="G854:H854"/>
    <mergeCell ref="G858:H858"/>
    <mergeCell ref="F959:H960"/>
    <mergeCell ref="G736:H736"/>
    <mergeCell ref="C744:J746"/>
    <mergeCell ref="G747:H747"/>
    <mergeCell ref="G748:H748"/>
    <mergeCell ref="G749:H749"/>
    <mergeCell ref="G886:H886"/>
    <mergeCell ref="G890:H890"/>
    <mergeCell ref="G882:H882"/>
    <mergeCell ref="G870:H870"/>
    <mergeCell ref="G874:H874"/>
    <mergeCell ref="G765:H765"/>
    <mergeCell ref="G750:H750"/>
    <mergeCell ref="G751:H751"/>
    <mergeCell ref="G739:H739"/>
    <mergeCell ref="G740:H740"/>
    <mergeCell ref="B1004:K1004"/>
    <mergeCell ref="B1005:K1005"/>
    <mergeCell ref="B1006:K1006"/>
    <mergeCell ref="B1007:K1007"/>
    <mergeCell ref="B1008:K1008"/>
    <mergeCell ref="B1009:K1009"/>
    <mergeCell ref="B1010:K1010"/>
    <mergeCell ref="B1011:K1011"/>
    <mergeCell ref="B1012:K1012"/>
    <mergeCell ref="B1022:K1022"/>
    <mergeCell ref="B1023:K1023"/>
    <mergeCell ref="B1024:K1024"/>
    <mergeCell ref="B1025:K1025"/>
    <mergeCell ref="B1026:K1026"/>
    <mergeCell ref="B1027:K1027"/>
    <mergeCell ref="B1028:K1028"/>
    <mergeCell ref="B1029:K1029"/>
    <mergeCell ref="B1013:K1013"/>
    <mergeCell ref="B1014:K1014"/>
    <mergeCell ref="B1015:K1015"/>
    <mergeCell ref="B1016:K1016"/>
    <mergeCell ref="B1017:K1017"/>
    <mergeCell ref="B1018:K1018"/>
    <mergeCell ref="B1019:K1019"/>
    <mergeCell ref="B1020:K1020"/>
    <mergeCell ref="B1021:K1021"/>
    <mergeCell ref="G928:H928"/>
    <mergeCell ref="G932:H932"/>
    <mergeCell ref="G924:H924"/>
    <mergeCell ref="G916:H916"/>
    <mergeCell ref="G920:H920"/>
    <mergeCell ref="C900:J901"/>
    <mergeCell ref="G904:H904"/>
    <mergeCell ref="G908:H908"/>
    <mergeCell ref="G912:H912"/>
  </mergeCells>
  <dataValidations count="23">
    <dataValidation type="list" allowBlank="1" showInputMessage="1" showErrorMessage="1" sqref="E15:J15" xr:uid="{00000000-0002-0000-1800-000000000000}">
      <formula1>$C$966:$C$970</formula1>
    </dataValidation>
    <dataValidation type="list" allowBlank="1" showInputMessage="1" showErrorMessage="1" sqref="G834:H834 G890:H890 G886:H886 G882:H882 G878:H878 G874:H874 G870:H870 G866:H866 G862:H862 G858:H858 G854:H854 G850:H850 G846:H846 G842:H842 G838:H838 G904:H904 G932:H932 G928:H928 G924:H924 G920:H920 G916:H916 G912:H912 G908:H908" xr:uid="{00000000-0002-0000-1800-000001000000}">
      <formula1>$B$998:$B$1002</formula1>
    </dataValidation>
    <dataValidation type="list" allowBlank="1" showInputMessage="1" showErrorMessage="1" sqref="G717:H725 G762:H770 G747:H755 G732:H740" xr:uid="{00000000-0002-0000-1800-000002000000}">
      <formula1>$B$994:$B$995</formula1>
    </dataValidation>
    <dataValidation type="list" allowBlank="1" showInputMessage="1" showErrorMessage="1" sqref="J302 J362" xr:uid="{00000000-0002-0000-1800-000003000000}">
      <formula1>$B$980:$B$984</formula1>
    </dataValidation>
    <dataValidation type="list" allowBlank="1" showInputMessage="1" showErrorMessage="1" sqref="C123:J124" xr:uid="{00000000-0002-0000-1800-000004000000}">
      <formula1>$B$987:$B$991</formula1>
    </dataValidation>
    <dataValidation type="list" allowBlank="1" showInputMessage="1" showErrorMessage="1" sqref="J35 J213 J283 J652 J234 J54 J193 J173 J152 J126 J111 J92 J73 J254 J435 J452 J468 J499 J515 J532 J557 J580 J596 J674 J630" xr:uid="{00000000-0002-0000-1800-000005000000}">
      <formula1>$B$973:$B$977</formula1>
    </dataValidation>
    <dataValidation type="list" allowBlank="1" showInputMessage="1" showErrorMessage="1" sqref="J33" xr:uid="{00000000-0002-0000-1800-000006000000}">
      <formula1>$N$32:$N$37</formula1>
    </dataValidation>
    <dataValidation type="list" allowBlank="1" showInputMessage="1" showErrorMessage="1" sqref="J52" xr:uid="{00000000-0002-0000-1800-000007000000}">
      <formula1>$N$51:$N$56</formula1>
    </dataValidation>
    <dataValidation type="list" allowBlank="1" showInputMessage="1" showErrorMessage="1" sqref="J71" xr:uid="{00000000-0002-0000-1800-000008000000}">
      <formula1>$N$70:$N$75</formula1>
    </dataValidation>
    <dataValidation type="list" allowBlank="1" showInputMessage="1" showErrorMessage="1" sqref="J90" xr:uid="{00000000-0002-0000-1800-000009000000}">
      <formula1>$N$89:$N$94</formula1>
    </dataValidation>
    <dataValidation type="list" allowBlank="1" showInputMessage="1" showErrorMessage="1" sqref="J109" xr:uid="{00000000-0002-0000-1800-00000A000000}">
      <formula1>$N$108:$N$113</formula1>
    </dataValidation>
    <dataValidation type="list" allowBlank="1" showInputMessage="1" showErrorMessage="1" sqref="J150" xr:uid="{00000000-0002-0000-1800-00000B000000}">
      <formula1>$N$149:$N$154</formula1>
    </dataValidation>
    <dataValidation type="list" allowBlank="1" showInputMessage="1" showErrorMessage="1" sqref="J171" xr:uid="{00000000-0002-0000-1800-00000C000000}">
      <formula1>$N$170:$N$175</formula1>
    </dataValidation>
    <dataValidation type="list" allowBlank="1" showInputMessage="1" showErrorMessage="1" sqref="J191" xr:uid="{00000000-0002-0000-1800-00000D000000}">
      <formula1>$N$190:$N$195</formula1>
    </dataValidation>
    <dataValidation type="list" allowBlank="1" showInputMessage="1" showErrorMessage="1" sqref="J211" xr:uid="{00000000-0002-0000-1800-00000E000000}">
      <formula1>$N$210:$N$215</formula1>
    </dataValidation>
    <dataValidation type="list" allowBlank="1" showInputMessage="1" showErrorMessage="1" sqref="J232" xr:uid="{00000000-0002-0000-1800-00000F000000}">
      <formula1>$N$231:$N$236</formula1>
    </dataValidation>
    <dataValidation type="list" allowBlank="1" showInputMessage="1" showErrorMessage="1" sqref="J252" xr:uid="{00000000-0002-0000-1800-000010000000}">
      <formula1>$N$251:$N$256</formula1>
    </dataValidation>
    <dataValidation type="list" allowBlank="1" showInputMessage="1" showErrorMessage="1" sqref="J281" xr:uid="{00000000-0002-0000-1800-000011000000}">
      <formula1>$N$280:$N$285</formula1>
    </dataValidation>
    <dataValidation type="list" allowBlank="1" showInputMessage="1" showErrorMessage="1" sqref="J555" xr:uid="{00000000-0002-0000-1800-000012000000}">
      <formula1>$N$554:$N$559</formula1>
    </dataValidation>
    <dataValidation type="list" allowBlank="1" showInputMessage="1" showErrorMessage="1" sqref="J578" xr:uid="{00000000-0002-0000-1800-000013000000}">
      <formula1>$N$577:$N$582</formula1>
    </dataValidation>
    <dataValidation type="list" allowBlank="1" showInputMessage="1" showErrorMessage="1" sqref="J628" xr:uid="{00000000-0002-0000-1800-000014000000}">
      <formula1>$N$627:$N$632</formula1>
    </dataValidation>
    <dataValidation type="list" allowBlank="1" showInputMessage="1" showErrorMessage="1" sqref="J650" xr:uid="{00000000-0002-0000-1800-000015000000}">
      <formula1>$N$649:$N$654</formula1>
    </dataValidation>
    <dataValidation type="list" allowBlank="1" showInputMessage="1" showErrorMessage="1" sqref="J672" xr:uid="{00000000-0002-0000-1800-000016000000}">
      <formula1>$N$671:$N$676</formula1>
    </dataValidation>
  </dataValidations>
  <pageMargins left="0.7" right="0.7" top="0.75" bottom="0.75" header="0.3" footer="0.3"/>
  <pageSetup scale="70"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3"/>
  <dimension ref="A1:N1029"/>
  <sheetViews>
    <sheetView showGridLines="0" showRowColHeaders="0" zoomScaleNormal="100" workbookViewId="0">
      <selection activeCell="S658" sqref="S658"/>
    </sheetView>
  </sheetViews>
  <sheetFormatPr baseColWidth="10" defaultColWidth="9.1640625" defaultRowHeight="15" x14ac:dyDescent="0.2"/>
  <cols>
    <col min="1" max="1" width="9.1640625" style="12"/>
    <col min="2" max="3" width="9.1640625" style="12" customWidth="1"/>
    <col min="4" max="4" width="9.1640625" style="12"/>
    <col min="5" max="5" width="9.1640625" style="12" customWidth="1"/>
    <col min="6" max="9" width="9.1640625" style="12"/>
    <col min="10" max="10" width="25.6640625" style="12" customWidth="1"/>
    <col min="11" max="12" width="9.1640625" style="12"/>
    <col min="13" max="13" width="9" style="12" customWidth="1"/>
    <col min="14" max="14" width="9.1640625" style="12" hidden="1" customWidth="1"/>
    <col min="15" max="16384" width="9.1640625" style="12"/>
  </cols>
  <sheetData>
    <row r="1" spans="2:13" x14ac:dyDescent="0.2">
      <c r="I1" s="29"/>
    </row>
    <row r="2" spans="2:13" ht="33" x14ac:dyDescent="0.2">
      <c r="G2" s="16" t="s">
        <v>1038</v>
      </c>
      <c r="I2" s="29"/>
    </row>
    <row r="3" spans="2:13" ht="23" x14ac:dyDescent="0.25">
      <c r="G3" s="30" t="s">
        <v>7</v>
      </c>
      <c r="I3" s="29"/>
      <c r="L3" s="157"/>
      <c r="M3" s="157"/>
    </row>
    <row r="4" spans="2:13" x14ac:dyDescent="0.2">
      <c r="G4" s="98"/>
      <c r="I4" s="29"/>
      <c r="L4" s="158"/>
      <c r="M4" s="157"/>
    </row>
    <row r="5" spans="2:13" ht="45" customHeight="1" x14ac:dyDescent="0.2">
      <c r="B5" s="426" t="s">
        <v>677</v>
      </c>
      <c r="C5" s="427"/>
      <c r="D5" s="427"/>
      <c r="E5" s="427"/>
      <c r="F5" s="427"/>
      <c r="G5" s="427"/>
      <c r="H5" s="427"/>
      <c r="I5" s="427"/>
      <c r="J5" s="427"/>
      <c r="K5" s="427"/>
      <c r="L5" s="158"/>
      <c r="M5" s="157"/>
    </row>
    <row r="6" spans="2:13" x14ac:dyDescent="0.2">
      <c r="B6" s="426"/>
      <c r="C6" s="426"/>
      <c r="D6" s="426"/>
      <c r="E6" s="426"/>
      <c r="F6" s="426"/>
      <c r="G6" s="426"/>
      <c r="H6" s="426"/>
      <c r="I6" s="426"/>
      <c r="J6" s="426"/>
      <c r="K6" s="426"/>
      <c r="L6" s="158"/>
    </row>
    <row r="7" spans="2:13" ht="60" customHeight="1" x14ac:dyDescent="0.2">
      <c r="B7" s="425" t="s">
        <v>664</v>
      </c>
      <c r="C7" s="341"/>
      <c r="D7" s="341"/>
      <c r="E7" s="341"/>
      <c r="F7" s="341"/>
      <c r="G7" s="341"/>
      <c r="H7" s="341"/>
      <c r="I7" s="341"/>
      <c r="J7" s="341"/>
      <c r="K7" s="341"/>
    </row>
    <row r="8" spans="2:13" x14ac:dyDescent="0.2">
      <c r="B8" s="426"/>
      <c r="C8" s="426"/>
      <c r="D8" s="426"/>
      <c r="E8" s="426"/>
      <c r="F8" s="426"/>
      <c r="G8" s="426"/>
      <c r="H8" s="426"/>
      <c r="I8" s="426"/>
      <c r="J8" s="426"/>
      <c r="K8" s="426"/>
    </row>
    <row r="9" spans="2:13" ht="30" customHeight="1" x14ac:dyDescent="0.2">
      <c r="B9" s="445" t="s">
        <v>665</v>
      </c>
      <c r="C9" s="446"/>
      <c r="D9" s="446"/>
      <c r="E9" s="446"/>
      <c r="F9" s="446"/>
      <c r="G9" s="446"/>
      <c r="H9" s="446"/>
      <c r="I9" s="446"/>
      <c r="J9" s="446"/>
      <c r="K9" s="446"/>
    </row>
    <row r="10" spans="2:13" ht="75" customHeight="1" x14ac:dyDescent="0.2">
      <c r="B10" s="399" t="s">
        <v>1339</v>
      </c>
      <c r="C10" s="400"/>
      <c r="D10" s="400"/>
      <c r="E10" s="400"/>
      <c r="F10" s="400"/>
      <c r="G10" s="400"/>
      <c r="H10" s="400"/>
      <c r="I10" s="400"/>
      <c r="J10" s="400"/>
      <c r="K10" s="401"/>
      <c r="L10" s="328" t="s">
        <v>1214</v>
      </c>
    </row>
    <row r="11" spans="2:13" ht="16" thickBot="1" x14ac:dyDescent="0.25"/>
    <row r="12" spans="2:13" x14ac:dyDescent="0.2">
      <c r="B12" s="159"/>
      <c r="C12" s="160"/>
      <c r="D12" s="160"/>
      <c r="E12" s="160"/>
      <c r="F12" s="160"/>
      <c r="G12" s="160"/>
      <c r="H12" s="160"/>
      <c r="I12" s="160"/>
      <c r="J12" s="160"/>
      <c r="K12" s="161"/>
      <c r="L12" s="328" t="s">
        <v>1215</v>
      </c>
    </row>
    <row r="13" spans="2:13" ht="21" x14ac:dyDescent="0.25">
      <c r="B13" s="162"/>
      <c r="C13" s="163"/>
      <c r="D13" s="163"/>
      <c r="E13" s="163"/>
      <c r="F13" s="163"/>
      <c r="G13" s="164" t="s">
        <v>226</v>
      </c>
      <c r="H13" s="163"/>
      <c r="I13" s="163"/>
      <c r="J13" s="163"/>
      <c r="K13" s="165"/>
    </row>
    <row r="14" spans="2:13" ht="21" x14ac:dyDescent="0.25">
      <c r="B14" s="162"/>
      <c r="C14" s="163"/>
      <c r="D14" s="163"/>
      <c r="E14" s="163"/>
      <c r="F14" s="163"/>
      <c r="G14" s="164"/>
      <c r="H14" s="163"/>
      <c r="I14" s="163"/>
      <c r="J14" s="163"/>
      <c r="K14" s="165"/>
    </row>
    <row r="15" spans="2:13" ht="26.25" customHeight="1" x14ac:dyDescent="0.2">
      <c r="B15" s="162"/>
      <c r="C15" s="163" t="s">
        <v>255</v>
      </c>
      <c r="D15" s="163"/>
      <c r="E15" s="412" t="s">
        <v>242</v>
      </c>
      <c r="F15" s="437"/>
      <c r="G15" s="437"/>
      <c r="H15" s="437"/>
      <c r="I15" s="437"/>
      <c r="J15" s="438"/>
      <c r="K15" s="165"/>
    </row>
    <row r="16" spans="2:13" x14ac:dyDescent="0.2">
      <c r="B16" s="162"/>
      <c r="C16" s="163"/>
      <c r="D16" s="163"/>
      <c r="E16" s="163"/>
      <c r="F16" s="163"/>
      <c r="G16" s="163"/>
      <c r="H16" s="163"/>
      <c r="I16" s="163"/>
      <c r="J16" s="163"/>
      <c r="K16" s="165"/>
    </row>
    <row r="17" spans="2:14" x14ac:dyDescent="0.2">
      <c r="B17" s="162"/>
      <c r="C17" s="166" t="s">
        <v>256</v>
      </c>
      <c r="D17" s="163"/>
      <c r="E17" s="167">
        <f>IF(E15=$C$966,$A$966,IF(E15=$C$967,$A$967,IF(E15=$C$968,$A$968,IF(E15=$C$969,$A$969,IF(E15=$C$970,$A$970,"Not Calculated")))))</f>
        <v>2</v>
      </c>
      <c r="F17" s="163"/>
      <c r="G17" s="163"/>
      <c r="H17" s="163"/>
      <c r="I17" s="163"/>
      <c r="J17" s="163"/>
      <c r="K17" s="165"/>
    </row>
    <row r="18" spans="2:14" x14ac:dyDescent="0.2">
      <c r="B18" s="162"/>
      <c r="C18" s="163"/>
      <c r="D18" s="163"/>
      <c r="E18" s="167" t="str">
        <f>IF(E15=$C$966,$B$966,IF(E15=$C$967,$B$967,IF(E15=$C$968,$B$968,IF(E15=$C$969,$B$969,IF(E15=$C$970,$B$970,"Not Calculated")))))</f>
        <v>Occasional</v>
      </c>
      <c r="F18" s="163"/>
      <c r="G18" s="163"/>
      <c r="H18" s="163"/>
      <c r="I18" s="163"/>
      <c r="J18" s="163"/>
      <c r="K18" s="165"/>
    </row>
    <row r="19" spans="2:14" ht="16" thickBot="1" x14ac:dyDescent="0.25">
      <c r="B19" s="168"/>
      <c r="C19" s="169"/>
      <c r="D19" s="169"/>
      <c r="E19" s="169"/>
      <c r="F19" s="169"/>
      <c r="G19" s="169"/>
      <c r="H19" s="169"/>
      <c r="I19" s="169"/>
      <c r="J19" s="169"/>
      <c r="K19" s="170"/>
    </row>
    <row r="20" spans="2:14" ht="16" thickBot="1" x14ac:dyDescent="0.25"/>
    <row r="21" spans="2:14" x14ac:dyDescent="0.2">
      <c r="B21" s="33"/>
      <c r="C21" s="34"/>
      <c r="D21" s="34"/>
      <c r="E21" s="34"/>
      <c r="F21" s="34"/>
      <c r="G21" s="34"/>
      <c r="H21" s="34"/>
      <c r="I21" s="34"/>
      <c r="J21" s="34"/>
      <c r="K21" s="37"/>
    </row>
    <row r="22" spans="2:14" ht="21" x14ac:dyDescent="0.25">
      <c r="B22" s="38"/>
      <c r="C22" s="171"/>
      <c r="D22" s="40"/>
      <c r="E22" s="40"/>
      <c r="F22" s="40"/>
      <c r="G22" s="172" t="s">
        <v>26</v>
      </c>
      <c r="H22" s="40"/>
      <c r="I22" s="40"/>
      <c r="J22" s="40"/>
      <c r="K22" s="41"/>
    </row>
    <row r="23" spans="2:14" x14ac:dyDescent="0.2">
      <c r="B23" s="38"/>
      <c r="C23" s="40"/>
      <c r="D23" s="40"/>
      <c r="E23" s="40"/>
      <c r="F23" s="40"/>
      <c r="G23" s="40"/>
      <c r="H23" s="40"/>
      <c r="I23" s="40"/>
      <c r="J23" s="40"/>
      <c r="K23" s="41"/>
    </row>
    <row r="24" spans="2:14" ht="16" x14ac:dyDescent="0.2">
      <c r="B24" s="38"/>
      <c r="C24" s="45" t="s">
        <v>61</v>
      </c>
      <c r="D24" s="40"/>
      <c r="E24" s="40"/>
      <c r="F24" s="40"/>
      <c r="G24" s="40"/>
      <c r="H24" s="40"/>
      <c r="I24" s="40"/>
      <c r="J24" s="40"/>
      <c r="K24" s="41"/>
    </row>
    <row r="25" spans="2:14" x14ac:dyDescent="0.2">
      <c r="B25" s="38"/>
      <c r="C25" s="40" t="s">
        <v>434</v>
      </c>
      <c r="D25" s="40"/>
      <c r="E25" s="40"/>
      <c r="F25" s="40"/>
      <c r="G25" s="40"/>
      <c r="H25" s="40"/>
      <c r="I25" s="40"/>
      <c r="J25" s="252">
        <f>'Baseline Health'!G11</f>
        <v>0</v>
      </c>
      <c r="K25" s="41"/>
    </row>
    <row r="26" spans="2:14" x14ac:dyDescent="0.2">
      <c r="B26" s="38"/>
      <c r="C26" s="40" t="s">
        <v>288</v>
      </c>
      <c r="D26" s="40"/>
      <c r="E26" s="40"/>
      <c r="F26" s="40"/>
      <c r="G26" s="40"/>
      <c r="H26" s="40"/>
      <c r="I26" s="40"/>
      <c r="J26" s="264">
        <v>160</v>
      </c>
      <c r="K26" s="41"/>
    </row>
    <row r="27" spans="2:14" x14ac:dyDescent="0.2">
      <c r="B27" s="38"/>
      <c r="C27" s="40" t="s">
        <v>260</v>
      </c>
      <c r="D27" s="40"/>
      <c r="E27" s="40"/>
      <c r="F27" s="40"/>
      <c r="G27" s="40"/>
      <c r="H27" s="40"/>
      <c r="I27" s="40"/>
      <c r="J27" s="248" t="str">
        <f>IF(OR(J25=0,J25="Not Calculated")=TRUE,"Not Calculated",(IF(((J26+J25)/J25)&lt;=1,0,IF(((J26+J25)/J25)&lt;=1.05,1,IF(((J26+J25)/J25)&lt;=1.5, 2,IF(((J26+J25)/J25)&lt;=2,3,4))))))</f>
        <v>Not Calculated</v>
      </c>
      <c r="K27" s="41"/>
    </row>
    <row r="28" spans="2:14" ht="9.75" customHeight="1" x14ac:dyDescent="0.2">
      <c r="B28" s="38"/>
      <c r="C28" s="279" t="str">
        <f>"0:"</f>
        <v>0:</v>
      </c>
      <c r="D28" s="281" t="s">
        <v>918</v>
      </c>
      <c r="E28" s="40"/>
      <c r="F28" s="40"/>
      <c r="G28" s="40"/>
      <c r="H28" s="40"/>
      <c r="I28" s="40"/>
      <c r="J28" s="40"/>
      <c r="K28" s="41"/>
    </row>
    <row r="29" spans="2:14" ht="9.75" customHeight="1" x14ac:dyDescent="0.2">
      <c r="B29" s="38"/>
      <c r="C29" s="280" t="str">
        <f>"1:"</f>
        <v>1:</v>
      </c>
      <c r="D29" s="281" t="s">
        <v>919</v>
      </c>
      <c r="E29" s="40"/>
      <c r="F29" s="40"/>
      <c r="G29" s="40"/>
      <c r="H29" s="40"/>
      <c r="I29" s="40"/>
      <c r="J29" s="40"/>
      <c r="K29" s="41"/>
    </row>
    <row r="30" spans="2:14" ht="9.75" customHeight="1" x14ac:dyDescent="0.2">
      <c r="B30" s="38"/>
      <c r="C30" s="280" t="str">
        <f>"2:"</f>
        <v>2:</v>
      </c>
      <c r="D30" s="281" t="s">
        <v>920</v>
      </c>
      <c r="E30" s="40"/>
      <c r="F30" s="40"/>
      <c r="G30" s="40"/>
      <c r="H30" s="40"/>
      <c r="I30" s="40"/>
      <c r="J30" s="40"/>
      <c r="K30" s="41"/>
    </row>
    <row r="31" spans="2:14" ht="9.75" customHeight="1" x14ac:dyDescent="0.2">
      <c r="B31" s="38"/>
      <c r="C31" s="280" t="str">
        <f>"3:"</f>
        <v>3:</v>
      </c>
      <c r="D31" s="281" t="s">
        <v>921</v>
      </c>
      <c r="E31" s="40"/>
      <c r="F31" s="40"/>
      <c r="G31" s="40"/>
      <c r="H31" s="40"/>
      <c r="I31" s="40"/>
      <c r="J31" s="40"/>
      <c r="K31" s="41"/>
    </row>
    <row r="32" spans="2:14" ht="9.75" customHeight="1" x14ac:dyDescent="0.2">
      <c r="B32" s="38"/>
      <c r="C32" s="280" t="str">
        <f>"4:"</f>
        <v>4:</v>
      </c>
      <c r="D32" s="281" t="s">
        <v>922</v>
      </c>
      <c r="E32" s="40"/>
      <c r="F32" s="40"/>
      <c r="G32" s="40"/>
      <c r="H32" s="40"/>
      <c r="I32" s="40"/>
      <c r="J32" s="40"/>
      <c r="K32" s="41"/>
      <c r="N32" s="12" t="s">
        <v>661</v>
      </c>
    </row>
    <row r="33" spans="2:14" x14ac:dyDescent="0.2">
      <c r="B33" s="38"/>
      <c r="C33" s="174" t="s">
        <v>662</v>
      </c>
      <c r="D33" s="40"/>
      <c r="E33" s="40"/>
      <c r="F33" s="40"/>
      <c r="G33" s="40"/>
      <c r="H33" s="40"/>
      <c r="I33" s="40"/>
      <c r="J33" s="265" t="s">
        <v>661</v>
      </c>
      <c r="K33" s="41"/>
      <c r="N33" s="12" t="s">
        <v>894</v>
      </c>
    </row>
    <row r="34" spans="2:14" x14ac:dyDescent="0.2">
      <c r="B34" s="38"/>
      <c r="C34" s="174" t="s">
        <v>660</v>
      </c>
      <c r="D34" s="40"/>
      <c r="E34" s="40"/>
      <c r="F34" s="40"/>
      <c r="G34" s="40"/>
      <c r="H34" s="40"/>
      <c r="I34" s="40"/>
      <c r="J34" s="246" t="str">
        <f>IF(J33=N32,"N/A",IF(J33=N33,0,IF(J33=N34,1,IF(J33=N35,2,IF(J33=N36,3,IF(J33=N37,4,"N/A"))))))</f>
        <v>N/A</v>
      </c>
      <c r="K34" s="41"/>
      <c r="N34" s="12" t="s">
        <v>895</v>
      </c>
    </row>
    <row r="35" spans="2:14" x14ac:dyDescent="0.2">
      <c r="B35" s="38"/>
      <c r="C35" s="40" t="s">
        <v>257</v>
      </c>
      <c r="D35" s="40"/>
      <c r="E35" s="40"/>
      <c r="F35" s="40"/>
      <c r="G35" s="40"/>
      <c r="H35" s="40"/>
      <c r="I35" s="40"/>
      <c r="J35" s="266" t="s">
        <v>882</v>
      </c>
      <c r="K35" s="41"/>
      <c r="N35" s="12" t="s">
        <v>896</v>
      </c>
    </row>
    <row r="36" spans="2:14" x14ac:dyDescent="0.2">
      <c r="B36" s="38"/>
      <c r="C36" s="40" t="s">
        <v>261</v>
      </c>
      <c r="D36" s="40"/>
      <c r="E36" s="40"/>
      <c r="F36" s="40"/>
      <c r="G36" s="40"/>
      <c r="H36" s="40"/>
      <c r="I36" s="40"/>
      <c r="J36" s="245">
        <f>IF(J35=$B$973,$A$973,IF(J35=$B$974,$A$974,IF(J35=$B$975,$A$975,IF(J35=$B$976,$A$976,IF(J35=$B$977,$A$977,"Not Calculated")))))</f>
        <v>1</v>
      </c>
      <c r="K36" s="41"/>
      <c r="N36" s="12" t="s">
        <v>897</v>
      </c>
    </row>
    <row r="37" spans="2:14" x14ac:dyDescent="0.2">
      <c r="B37" s="38"/>
      <c r="C37" s="40" t="s">
        <v>893</v>
      </c>
      <c r="D37" s="40"/>
      <c r="E37" s="40"/>
      <c r="F37" s="40"/>
      <c r="G37" s="40"/>
      <c r="H37" s="40"/>
      <c r="I37" s="40"/>
      <c r="J37" s="175"/>
      <c r="K37" s="41"/>
      <c r="N37" s="12" t="s">
        <v>898</v>
      </c>
    </row>
    <row r="38" spans="2:14" s="178" customFormat="1" ht="30" customHeight="1" x14ac:dyDescent="0.2">
      <c r="B38" s="176"/>
      <c r="C38" s="415" t="s">
        <v>1218</v>
      </c>
      <c r="D38" s="400"/>
      <c r="E38" s="400"/>
      <c r="F38" s="400"/>
      <c r="G38" s="400"/>
      <c r="H38" s="400"/>
      <c r="I38" s="400"/>
      <c r="J38" s="401"/>
      <c r="K38" s="177"/>
    </row>
    <row r="39" spans="2:14" x14ac:dyDescent="0.2">
      <c r="B39" s="38"/>
      <c r="C39" s="40"/>
      <c r="D39" s="40"/>
      <c r="E39" s="40"/>
      <c r="F39" s="40"/>
      <c r="G39" s="40"/>
      <c r="H39" s="40"/>
      <c r="I39" s="40"/>
      <c r="J39" s="40"/>
      <c r="K39" s="41"/>
    </row>
    <row r="40" spans="2:14" x14ac:dyDescent="0.2">
      <c r="B40" s="38"/>
      <c r="C40" s="179" t="s">
        <v>258</v>
      </c>
      <c r="D40" s="40"/>
      <c r="E40" s="40"/>
      <c r="F40" s="40"/>
      <c r="G40" s="40"/>
      <c r="H40" s="40"/>
      <c r="I40" s="40"/>
      <c r="J40" s="245" t="str">
        <f>IF(J34="N/A",IF(OR(J27="Not Calculated",J36="Not Calculated")=TRUE,"Not Calculated",AVERAGE(J27,J36)),AVERAGE(J34,J36))</f>
        <v>Not Calculated</v>
      </c>
      <c r="K40" s="41"/>
    </row>
    <row r="41" spans="2:14" x14ac:dyDescent="0.2">
      <c r="B41" s="38"/>
      <c r="C41" s="179"/>
      <c r="D41" s="40"/>
      <c r="E41" s="40"/>
      <c r="F41" s="40"/>
      <c r="G41" s="40"/>
      <c r="H41" s="40"/>
      <c r="I41" s="40"/>
      <c r="J41" s="245"/>
      <c r="K41" s="41"/>
    </row>
    <row r="42" spans="2:14" x14ac:dyDescent="0.2">
      <c r="B42" s="38"/>
      <c r="C42" s="40"/>
      <c r="D42" s="40"/>
      <c r="E42" s="40"/>
      <c r="F42" s="40"/>
      <c r="G42" s="40"/>
      <c r="H42" s="40"/>
      <c r="I42" s="40"/>
      <c r="J42" s="40"/>
      <c r="K42" s="41"/>
    </row>
    <row r="43" spans="2:14" ht="16" x14ac:dyDescent="0.2">
      <c r="B43" s="38"/>
      <c r="C43" s="45" t="s">
        <v>51</v>
      </c>
      <c r="D43" s="40"/>
      <c r="E43" s="40"/>
      <c r="F43" s="40"/>
      <c r="G43" s="40"/>
      <c r="H43" s="40"/>
      <c r="I43" s="40"/>
      <c r="J43" s="40"/>
      <c r="K43" s="41"/>
    </row>
    <row r="44" spans="2:14" x14ac:dyDescent="0.2">
      <c r="B44" s="38"/>
      <c r="C44" s="40" t="s">
        <v>435</v>
      </c>
      <c r="D44" s="40"/>
      <c r="E44" s="40"/>
      <c r="F44" s="40"/>
      <c r="G44" s="40"/>
      <c r="H44" s="40"/>
      <c r="I44" s="40"/>
      <c r="J44" s="252">
        <f>'Baseline Health'!G17</f>
        <v>0</v>
      </c>
      <c r="K44" s="41"/>
    </row>
    <row r="45" spans="2:14" x14ac:dyDescent="0.2">
      <c r="B45" s="38"/>
      <c r="C45" s="40" t="s">
        <v>287</v>
      </c>
      <c r="D45" s="40"/>
      <c r="E45" s="40"/>
      <c r="F45" s="40"/>
      <c r="G45" s="40"/>
      <c r="H45" s="40"/>
      <c r="I45" s="40"/>
      <c r="J45" s="264">
        <v>1000</v>
      </c>
      <c r="K45" s="41"/>
    </row>
    <row r="46" spans="2:14" x14ac:dyDescent="0.2">
      <c r="B46" s="38"/>
      <c r="C46" s="40" t="s">
        <v>260</v>
      </c>
      <c r="D46" s="40"/>
      <c r="E46" s="40"/>
      <c r="F46" s="40"/>
      <c r="G46" s="40"/>
      <c r="H46" s="40"/>
      <c r="I46" s="40"/>
      <c r="J46" s="248" t="str">
        <f>IF(OR(J44=0,J44="Not Calculated")=TRUE,"Not Calculated",(IF(((J45+J44)/J44)&lt;=1,0,IF(((J45+J44)/J44)&lt;=1.05,1,IF(((J45+J44)/J44)&lt;=1.5, 2,IF(((J45+J44)/J44)&lt;=2,3,4))))))</f>
        <v>Not Calculated</v>
      </c>
      <c r="K46" s="41"/>
    </row>
    <row r="47" spans="2:14" ht="9.75" customHeight="1" x14ac:dyDescent="0.2">
      <c r="B47" s="38"/>
      <c r="C47" s="279" t="str">
        <f>"0:"</f>
        <v>0:</v>
      </c>
      <c r="D47" s="281" t="s">
        <v>918</v>
      </c>
      <c r="E47" s="40"/>
      <c r="F47" s="40"/>
      <c r="G47" s="40"/>
      <c r="H47" s="40"/>
      <c r="I47" s="40"/>
      <c r="J47" s="40"/>
      <c r="K47" s="41"/>
    </row>
    <row r="48" spans="2:14" ht="9.75" customHeight="1" x14ac:dyDescent="0.2">
      <c r="B48" s="38"/>
      <c r="C48" s="280" t="str">
        <f>"1:"</f>
        <v>1:</v>
      </c>
      <c r="D48" s="281" t="s">
        <v>919</v>
      </c>
      <c r="E48" s="40"/>
      <c r="F48" s="40"/>
      <c r="G48" s="40"/>
      <c r="H48" s="40"/>
      <c r="I48" s="40"/>
      <c r="J48" s="40"/>
      <c r="K48" s="41"/>
    </row>
    <row r="49" spans="2:14" ht="9.75" customHeight="1" x14ac:dyDescent="0.2">
      <c r="B49" s="38"/>
      <c r="C49" s="280" t="str">
        <f>"2:"</f>
        <v>2:</v>
      </c>
      <c r="D49" s="281" t="s">
        <v>920</v>
      </c>
      <c r="E49" s="40"/>
      <c r="F49" s="40"/>
      <c r="G49" s="40"/>
      <c r="H49" s="40"/>
      <c r="I49" s="40"/>
      <c r="J49" s="40"/>
      <c r="K49" s="41"/>
    </row>
    <row r="50" spans="2:14" ht="9.75" customHeight="1" x14ac:dyDescent="0.2">
      <c r="B50" s="38"/>
      <c r="C50" s="280" t="str">
        <f>"3:"</f>
        <v>3:</v>
      </c>
      <c r="D50" s="281" t="s">
        <v>921</v>
      </c>
      <c r="E50" s="40"/>
      <c r="F50" s="40"/>
      <c r="G50" s="40"/>
      <c r="H50" s="40"/>
      <c r="I50" s="40"/>
      <c r="J50" s="40"/>
      <c r="K50" s="41"/>
    </row>
    <row r="51" spans="2:14" ht="9.75" customHeight="1" x14ac:dyDescent="0.2">
      <c r="B51" s="38"/>
      <c r="C51" s="280" t="str">
        <f>"4:"</f>
        <v>4:</v>
      </c>
      <c r="D51" s="281" t="s">
        <v>922</v>
      </c>
      <c r="E51" s="40"/>
      <c r="F51" s="40"/>
      <c r="G51" s="40"/>
      <c r="H51" s="40"/>
      <c r="I51" s="40"/>
      <c r="J51" s="40"/>
      <c r="K51" s="41"/>
      <c r="N51" s="12" t="s">
        <v>661</v>
      </c>
    </row>
    <row r="52" spans="2:14" x14ac:dyDescent="0.2">
      <c r="B52" s="38"/>
      <c r="C52" s="174" t="s">
        <v>662</v>
      </c>
      <c r="D52" s="40"/>
      <c r="E52" s="40"/>
      <c r="F52" s="40"/>
      <c r="G52" s="40"/>
      <c r="H52" s="40"/>
      <c r="I52" s="40"/>
      <c r="J52" s="265" t="s">
        <v>661</v>
      </c>
      <c r="K52" s="41"/>
      <c r="N52" s="12" t="s">
        <v>894</v>
      </c>
    </row>
    <row r="53" spans="2:14" x14ac:dyDescent="0.2">
      <c r="B53" s="38"/>
      <c r="C53" s="174" t="s">
        <v>660</v>
      </c>
      <c r="D53" s="40"/>
      <c r="E53" s="40"/>
      <c r="F53" s="40"/>
      <c r="G53" s="40"/>
      <c r="H53" s="40"/>
      <c r="I53" s="40"/>
      <c r="J53" s="246" t="str">
        <f>IF(J52=N51,"N/A",IF(J52=N52,0,IF(J52=N53,1,IF(J52=N54,2,IF(J52=N55,3,IF(J52=N56,4,"N/A"))))))</f>
        <v>N/A</v>
      </c>
      <c r="K53" s="41"/>
      <c r="N53" s="12" t="s">
        <v>895</v>
      </c>
    </row>
    <row r="54" spans="2:14" x14ac:dyDescent="0.2">
      <c r="B54" s="38"/>
      <c r="C54" s="40" t="s">
        <v>257</v>
      </c>
      <c r="D54" s="40"/>
      <c r="E54" s="40"/>
      <c r="F54" s="40"/>
      <c r="G54" s="40"/>
      <c r="H54" s="40"/>
      <c r="I54" s="40"/>
      <c r="J54" s="266" t="s">
        <v>882</v>
      </c>
      <c r="K54" s="41"/>
      <c r="N54" s="12" t="s">
        <v>896</v>
      </c>
    </row>
    <row r="55" spans="2:14" x14ac:dyDescent="0.2">
      <c r="B55" s="38"/>
      <c r="C55" s="40" t="s">
        <v>261</v>
      </c>
      <c r="D55" s="40"/>
      <c r="E55" s="40"/>
      <c r="F55" s="40"/>
      <c r="G55" s="40"/>
      <c r="H55" s="40"/>
      <c r="I55" s="40"/>
      <c r="J55" s="245">
        <f>IF(J54=$B$973,$A$973,IF(J54=$B$974,$A$974,IF(J54=$B$975,$A$975,IF(J54=$B$976,$A$976,IF(J54=$B$977,$A$977,"Not Calculated")))))</f>
        <v>1</v>
      </c>
      <c r="K55" s="41"/>
      <c r="N55" s="12" t="s">
        <v>897</v>
      </c>
    </row>
    <row r="56" spans="2:14" x14ac:dyDescent="0.2">
      <c r="B56" s="38"/>
      <c r="C56" s="40" t="s">
        <v>893</v>
      </c>
      <c r="D56" s="40"/>
      <c r="E56" s="40"/>
      <c r="F56" s="40"/>
      <c r="G56" s="40"/>
      <c r="H56" s="40"/>
      <c r="I56" s="40"/>
      <c r="J56" s="175"/>
      <c r="K56" s="41"/>
      <c r="N56" s="12" t="s">
        <v>898</v>
      </c>
    </row>
    <row r="57" spans="2:14" s="178" customFormat="1" ht="30" customHeight="1" x14ac:dyDescent="0.2">
      <c r="B57" s="176"/>
      <c r="C57" s="415" t="s">
        <v>1209</v>
      </c>
      <c r="D57" s="400"/>
      <c r="E57" s="400"/>
      <c r="F57" s="400"/>
      <c r="G57" s="400"/>
      <c r="H57" s="400"/>
      <c r="I57" s="400"/>
      <c r="J57" s="401"/>
      <c r="K57" s="177"/>
    </row>
    <row r="58" spans="2:14" x14ac:dyDescent="0.2">
      <c r="B58" s="38"/>
      <c r="C58" s="40"/>
      <c r="D58" s="40"/>
      <c r="E58" s="40"/>
      <c r="F58" s="40"/>
      <c r="G58" s="40"/>
      <c r="H58" s="40"/>
      <c r="I58" s="40"/>
      <c r="J58" s="40"/>
      <c r="K58" s="41"/>
    </row>
    <row r="59" spans="2:14" x14ac:dyDescent="0.2">
      <c r="B59" s="38"/>
      <c r="C59" s="179" t="s">
        <v>263</v>
      </c>
      <c r="D59" s="40"/>
      <c r="E59" s="40"/>
      <c r="F59" s="40"/>
      <c r="G59" s="40"/>
      <c r="H59" s="40"/>
      <c r="I59" s="40"/>
      <c r="J59" s="245" t="str">
        <f>IF(J53="N/A",IF(OR(J46="Not Calculated",J55="Not Calculated")=TRUE,"Not Calculated",AVERAGE(J46,J55)),AVERAGE(J53,J55))</f>
        <v>Not Calculated</v>
      </c>
      <c r="K59" s="41"/>
    </row>
    <row r="60" spans="2:14" x14ac:dyDescent="0.2">
      <c r="B60" s="38"/>
      <c r="C60" s="40"/>
      <c r="D60" s="40"/>
      <c r="E60" s="40"/>
      <c r="F60" s="40"/>
      <c r="G60" s="40"/>
      <c r="H60" s="40"/>
      <c r="I60" s="40"/>
      <c r="J60" s="40"/>
      <c r="K60" s="41"/>
    </row>
    <row r="61" spans="2:14" x14ac:dyDescent="0.2">
      <c r="B61" s="38"/>
      <c r="C61" s="40"/>
      <c r="D61" s="40"/>
      <c r="E61" s="40"/>
      <c r="F61" s="40"/>
      <c r="G61" s="40"/>
      <c r="H61" s="40"/>
      <c r="I61" s="40"/>
      <c r="J61" s="40"/>
      <c r="K61" s="41"/>
    </row>
    <row r="62" spans="2:14" ht="16" x14ac:dyDescent="0.2">
      <c r="B62" s="38"/>
      <c r="C62" s="45" t="s">
        <v>54</v>
      </c>
      <c r="D62" s="40"/>
      <c r="E62" s="40"/>
      <c r="F62" s="40"/>
      <c r="G62" s="40"/>
      <c r="H62" s="40"/>
      <c r="I62" s="40"/>
      <c r="J62" s="40"/>
      <c r="K62" s="41"/>
    </row>
    <row r="63" spans="2:14" x14ac:dyDescent="0.2">
      <c r="B63" s="38"/>
      <c r="C63" s="40" t="s">
        <v>436</v>
      </c>
      <c r="D63" s="40"/>
      <c r="E63" s="40"/>
      <c r="F63" s="40"/>
      <c r="G63" s="40"/>
      <c r="H63" s="40"/>
      <c r="I63" s="40"/>
      <c r="J63" s="252">
        <f>'Baseline Health'!G23</f>
        <v>0</v>
      </c>
      <c r="K63" s="41"/>
    </row>
    <row r="64" spans="2:14" x14ac:dyDescent="0.2">
      <c r="B64" s="38"/>
      <c r="C64" s="40" t="s">
        <v>289</v>
      </c>
      <c r="D64" s="40"/>
      <c r="E64" s="40"/>
      <c r="F64" s="40"/>
      <c r="G64" s="40"/>
      <c r="H64" s="40"/>
      <c r="I64" s="40"/>
      <c r="J64" s="264">
        <v>1000</v>
      </c>
      <c r="K64" s="41"/>
    </row>
    <row r="65" spans="2:14" x14ac:dyDescent="0.2">
      <c r="B65" s="38"/>
      <c r="C65" s="40" t="s">
        <v>260</v>
      </c>
      <c r="D65" s="40"/>
      <c r="E65" s="40"/>
      <c r="F65" s="40"/>
      <c r="G65" s="40"/>
      <c r="H65" s="40"/>
      <c r="I65" s="40"/>
      <c r="J65" s="248" t="str">
        <f>IF(OR(J63=0,J63="Not Calculated")=TRUE,"Not Calculated",(IF(((J64+J63)/J63)&lt;=1,0,IF(((J64+J63)/J63)&lt;=1.05,1,IF(((J64+J63)/J63)&lt;=1.5, 2,IF(((J64+J63)/J63)&lt;=2,3,4))))))</f>
        <v>Not Calculated</v>
      </c>
      <c r="K65" s="41"/>
    </row>
    <row r="66" spans="2:14" ht="9.75" customHeight="1" x14ac:dyDescent="0.2">
      <c r="B66" s="38"/>
      <c r="C66" s="279" t="str">
        <f>"0:"</f>
        <v>0:</v>
      </c>
      <c r="D66" s="281" t="s">
        <v>918</v>
      </c>
      <c r="E66" s="40"/>
      <c r="F66" s="40"/>
      <c r="G66" s="40"/>
      <c r="H66" s="40"/>
      <c r="I66" s="40"/>
      <c r="J66" s="40"/>
      <c r="K66" s="41"/>
    </row>
    <row r="67" spans="2:14" ht="9.75" customHeight="1" x14ac:dyDescent="0.2">
      <c r="B67" s="38"/>
      <c r="C67" s="280" t="str">
        <f>"1:"</f>
        <v>1:</v>
      </c>
      <c r="D67" s="281" t="s">
        <v>919</v>
      </c>
      <c r="E67" s="40"/>
      <c r="F67" s="40"/>
      <c r="G67" s="40"/>
      <c r="H67" s="40"/>
      <c r="I67" s="40"/>
      <c r="J67" s="40"/>
      <c r="K67" s="41"/>
    </row>
    <row r="68" spans="2:14" ht="9.75" customHeight="1" x14ac:dyDescent="0.2">
      <c r="B68" s="38"/>
      <c r="C68" s="280" t="str">
        <f>"2:"</f>
        <v>2:</v>
      </c>
      <c r="D68" s="281" t="s">
        <v>920</v>
      </c>
      <c r="E68" s="40"/>
      <c r="F68" s="40"/>
      <c r="G68" s="40"/>
      <c r="H68" s="40"/>
      <c r="I68" s="40"/>
      <c r="J68" s="40"/>
      <c r="K68" s="41"/>
    </row>
    <row r="69" spans="2:14" ht="9.75" customHeight="1" x14ac:dyDescent="0.2">
      <c r="B69" s="38"/>
      <c r="C69" s="280" t="str">
        <f>"3:"</f>
        <v>3:</v>
      </c>
      <c r="D69" s="281" t="s">
        <v>921</v>
      </c>
      <c r="E69" s="40"/>
      <c r="F69" s="40"/>
      <c r="G69" s="40"/>
      <c r="H69" s="40"/>
      <c r="I69" s="40"/>
      <c r="J69" s="40"/>
      <c r="K69" s="41"/>
    </row>
    <row r="70" spans="2:14" ht="9.75" customHeight="1" x14ac:dyDescent="0.2">
      <c r="B70" s="38"/>
      <c r="C70" s="280" t="str">
        <f>"4:"</f>
        <v>4:</v>
      </c>
      <c r="D70" s="281" t="s">
        <v>922</v>
      </c>
      <c r="E70" s="40"/>
      <c r="F70" s="40"/>
      <c r="G70" s="40"/>
      <c r="H70" s="40"/>
      <c r="I70" s="40"/>
      <c r="J70" s="40"/>
      <c r="K70" s="41"/>
      <c r="N70" s="12" t="s">
        <v>661</v>
      </c>
    </row>
    <row r="71" spans="2:14" x14ac:dyDescent="0.2">
      <c r="B71" s="38"/>
      <c r="C71" s="174" t="s">
        <v>662</v>
      </c>
      <c r="D71" s="40"/>
      <c r="E71" s="40"/>
      <c r="F71" s="40"/>
      <c r="G71" s="40"/>
      <c r="H71" s="40"/>
      <c r="I71" s="40"/>
      <c r="J71" s="265" t="s">
        <v>661</v>
      </c>
      <c r="K71" s="41"/>
      <c r="N71" s="12" t="s">
        <v>894</v>
      </c>
    </row>
    <row r="72" spans="2:14" x14ac:dyDescent="0.2">
      <c r="B72" s="38"/>
      <c r="C72" s="174" t="s">
        <v>660</v>
      </c>
      <c r="D72" s="40"/>
      <c r="E72" s="40"/>
      <c r="F72" s="40"/>
      <c r="G72" s="40"/>
      <c r="H72" s="40"/>
      <c r="I72" s="40"/>
      <c r="J72" s="246" t="str">
        <f>IF(J71=N70,"N/A",IF(J71=N71,0,IF(J71=N72,1,IF(J71=N73,2,IF(J71=N74,3,IF(J71=N75,4,"N/A"))))))</f>
        <v>N/A</v>
      </c>
      <c r="K72" s="41"/>
      <c r="N72" s="12" t="s">
        <v>895</v>
      </c>
    </row>
    <row r="73" spans="2:14" x14ac:dyDescent="0.2">
      <c r="B73" s="38"/>
      <c r="C73" s="40" t="s">
        <v>257</v>
      </c>
      <c r="D73" s="40"/>
      <c r="E73" s="40"/>
      <c r="F73" s="40"/>
      <c r="G73" s="40"/>
      <c r="H73" s="40"/>
      <c r="I73" s="40"/>
      <c r="J73" s="266" t="s">
        <v>872</v>
      </c>
      <c r="K73" s="41"/>
      <c r="N73" s="12" t="s">
        <v>896</v>
      </c>
    </row>
    <row r="74" spans="2:14" x14ac:dyDescent="0.2">
      <c r="B74" s="38"/>
      <c r="C74" s="40" t="s">
        <v>261</v>
      </c>
      <c r="D74" s="40"/>
      <c r="E74" s="40"/>
      <c r="F74" s="40"/>
      <c r="G74" s="40"/>
      <c r="H74" s="40"/>
      <c r="I74" s="40"/>
      <c r="J74" s="245">
        <f>IF(J73=$B$973,$A$973,IF(J73=$B$974,$A$974,IF(J73=$B$975,$A$975,IF(J73=$B$976,$A$976,IF(J73=$B$977,$A$977,"Not Calculated")))))</f>
        <v>2</v>
      </c>
      <c r="K74" s="41"/>
      <c r="N74" s="12" t="s">
        <v>897</v>
      </c>
    </row>
    <row r="75" spans="2:14" x14ac:dyDescent="0.2">
      <c r="B75" s="38"/>
      <c r="C75" s="40" t="s">
        <v>893</v>
      </c>
      <c r="D75" s="40"/>
      <c r="E75" s="40"/>
      <c r="F75" s="40"/>
      <c r="G75" s="40"/>
      <c r="H75" s="40"/>
      <c r="I75" s="40"/>
      <c r="J75" s="175"/>
      <c r="K75" s="41"/>
      <c r="N75" s="12" t="s">
        <v>898</v>
      </c>
    </row>
    <row r="76" spans="2:14" s="178" customFormat="1" ht="30" customHeight="1" x14ac:dyDescent="0.2">
      <c r="B76" s="176"/>
      <c r="C76" s="415" t="s">
        <v>1209</v>
      </c>
      <c r="D76" s="400"/>
      <c r="E76" s="400"/>
      <c r="F76" s="400"/>
      <c r="G76" s="400"/>
      <c r="H76" s="400"/>
      <c r="I76" s="400"/>
      <c r="J76" s="401"/>
      <c r="K76" s="177"/>
    </row>
    <row r="77" spans="2:14" x14ac:dyDescent="0.2">
      <c r="B77" s="38"/>
      <c r="C77" s="40"/>
      <c r="D77" s="40"/>
      <c r="E77" s="40"/>
      <c r="F77" s="40"/>
      <c r="G77" s="40"/>
      <c r="H77" s="40"/>
      <c r="I77" s="40"/>
      <c r="J77" s="40"/>
      <c r="K77" s="41"/>
    </row>
    <row r="78" spans="2:14" x14ac:dyDescent="0.2">
      <c r="B78" s="38"/>
      <c r="C78" s="179" t="s">
        <v>264</v>
      </c>
      <c r="D78" s="40"/>
      <c r="E78" s="40"/>
      <c r="F78" s="40"/>
      <c r="G78" s="40"/>
      <c r="H78" s="40"/>
      <c r="I78" s="40"/>
      <c r="J78" s="245" t="str">
        <f>IF(J72="N/A",IF(OR(J65="Not Calculated",J74="Not Calculated")=TRUE,"Not Calculated",AVERAGE(J65,J74)),AVERAGE(J72,J74))</f>
        <v>Not Calculated</v>
      </c>
      <c r="K78" s="41"/>
    </row>
    <row r="79" spans="2:14" x14ac:dyDescent="0.2">
      <c r="B79" s="38"/>
      <c r="C79" s="40"/>
      <c r="D79" s="40"/>
      <c r="E79" s="40"/>
      <c r="F79" s="40"/>
      <c r="G79" s="40"/>
      <c r="H79" s="40"/>
      <c r="I79" s="40"/>
      <c r="J79" s="40"/>
      <c r="K79" s="41"/>
    </row>
    <row r="80" spans="2:14" x14ac:dyDescent="0.2">
      <c r="B80" s="38"/>
      <c r="C80" s="40"/>
      <c r="D80" s="40"/>
      <c r="E80" s="40"/>
      <c r="F80" s="40"/>
      <c r="G80" s="40"/>
      <c r="H80" s="40"/>
      <c r="I80" s="40"/>
      <c r="J80" s="40"/>
      <c r="K80" s="41"/>
    </row>
    <row r="81" spans="2:14" ht="16" x14ac:dyDescent="0.2">
      <c r="B81" s="38"/>
      <c r="C81" s="45" t="s">
        <v>57</v>
      </c>
      <c r="D81" s="40"/>
      <c r="E81" s="40"/>
      <c r="F81" s="40"/>
      <c r="G81" s="40"/>
      <c r="H81" s="40"/>
      <c r="I81" s="40"/>
      <c r="J81" s="40"/>
      <c r="K81" s="41"/>
    </row>
    <row r="82" spans="2:14" x14ac:dyDescent="0.2">
      <c r="B82" s="38"/>
      <c r="C82" s="40" t="s">
        <v>437</v>
      </c>
      <c r="D82" s="40"/>
      <c r="E82" s="40"/>
      <c r="F82" s="40"/>
      <c r="G82" s="40"/>
      <c r="H82" s="40"/>
      <c r="I82" s="40"/>
      <c r="J82" s="252">
        <f>'Baseline Health'!G29</f>
        <v>0</v>
      </c>
      <c r="K82" s="41"/>
    </row>
    <row r="83" spans="2:14" x14ac:dyDescent="0.2">
      <c r="B83" s="38"/>
      <c r="C83" s="40" t="s">
        <v>290</v>
      </c>
      <c r="D83" s="40"/>
      <c r="E83" s="40"/>
      <c r="F83" s="40"/>
      <c r="G83" s="40"/>
      <c r="H83" s="40"/>
      <c r="I83" s="40"/>
      <c r="J83" s="264">
        <f>J82*0.25</f>
        <v>0</v>
      </c>
      <c r="K83" s="41"/>
      <c r="L83" s="12" t="s">
        <v>1211</v>
      </c>
    </row>
    <row r="84" spans="2:14" x14ac:dyDescent="0.2">
      <c r="B84" s="38"/>
      <c r="C84" s="40" t="s">
        <v>260</v>
      </c>
      <c r="D84" s="40"/>
      <c r="E84" s="40"/>
      <c r="F84" s="40"/>
      <c r="G84" s="40"/>
      <c r="H84" s="40"/>
      <c r="I84" s="40"/>
      <c r="J84" s="248" t="str">
        <f>IF(OR(J82=0,J82="Not Calculated")=TRUE,"Not Calculated",(IF(((J83+J82)/J82)&lt;=1,0,IF(((J83+J82)/J82)&lt;=1.05,1,IF(((J83+J82)/J82)&lt;=1.5, 2,IF(((J83+J82)/J82)&lt;=2,3,4))))))</f>
        <v>Not Calculated</v>
      </c>
      <c r="K84" s="41"/>
    </row>
    <row r="85" spans="2:14" ht="9.75" customHeight="1" x14ac:dyDescent="0.2">
      <c r="B85" s="38"/>
      <c r="C85" s="279" t="str">
        <f>"0:"</f>
        <v>0:</v>
      </c>
      <c r="D85" s="281" t="s">
        <v>918</v>
      </c>
      <c r="E85" s="40"/>
      <c r="F85" s="40"/>
      <c r="G85" s="40"/>
      <c r="H85" s="40"/>
      <c r="I85" s="40"/>
      <c r="J85" s="40"/>
      <c r="K85" s="41"/>
    </row>
    <row r="86" spans="2:14" ht="9.75" customHeight="1" x14ac:dyDescent="0.2">
      <c r="B86" s="38"/>
      <c r="C86" s="280" t="str">
        <f>"1:"</f>
        <v>1:</v>
      </c>
      <c r="D86" s="281" t="s">
        <v>919</v>
      </c>
      <c r="E86" s="40"/>
      <c r="F86" s="40"/>
      <c r="G86" s="40"/>
      <c r="H86" s="40"/>
      <c r="I86" s="40"/>
      <c r="J86" s="40"/>
      <c r="K86" s="41"/>
    </row>
    <row r="87" spans="2:14" ht="9.75" customHeight="1" x14ac:dyDescent="0.2">
      <c r="B87" s="38"/>
      <c r="C87" s="280" t="str">
        <f>"2:"</f>
        <v>2:</v>
      </c>
      <c r="D87" s="281" t="s">
        <v>920</v>
      </c>
      <c r="E87" s="40"/>
      <c r="F87" s="40"/>
      <c r="G87" s="40"/>
      <c r="H87" s="40"/>
      <c r="I87" s="40"/>
      <c r="J87" s="40"/>
      <c r="K87" s="41"/>
    </row>
    <row r="88" spans="2:14" ht="9.75" customHeight="1" x14ac:dyDescent="0.2">
      <c r="B88" s="38"/>
      <c r="C88" s="280" t="str">
        <f>"3:"</f>
        <v>3:</v>
      </c>
      <c r="D88" s="281" t="s">
        <v>921</v>
      </c>
      <c r="E88" s="40"/>
      <c r="F88" s="40"/>
      <c r="G88" s="40"/>
      <c r="H88" s="40"/>
      <c r="I88" s="40"/>
      <c r="J88" s="40"/>
      <c r="K88" s="41"/>
    </row>
    <row r="89" spans="2:14" ht="9.75" customHeight="1" x14ac:dyDescent="0.2">
      <c r="B89" s="38"/>
      <c r="C89" s="280" t="str">
        <f>"4:"</f>
        <v>4:</v>
      </c>
      <c r="D89" s="281" t="s">
        <v>922</v>
      </c>
      <c r="E89" s="40"/>
      <c r="F89" s="40"/>
      <c r="G89" s="40"/>
      <c r="H89" s="40"/>
      <c r="I89" s="40"/>
      <c r="J89" s="40"/>
      <c r="K89" s="41"/>
      <c r="N89" s="12" t="s">
        <v>661</v>
      </c>
    </row>
    <row r="90" spans="2:14" x14ac:dyDescent="0.2">
      <c r="B90" s="38"/>
      <c r="C90" s="174" t="s">
        <v>662</v>
      </c>
      <c r="D90" s="40"/>
      <c r="E90" s="40"/>
      <c r="F90" s="40"/>
      <c r="G90" s="40"/>
      <c r="H90" s="40"/>
      <c r="I90" s="40"/>
      <c r="J90" s="265" t="s">
        <v>661</v>
      </c>
      <c r="K90" s="41"/>
      <c r="N90" s="12" t="s">
        <v>894</v>
      </c>
    </row>
    <row r="91" spans="2:14" x14ac:dyDescent="0.2">
      <c r="B91" s="38"/>
      <c r="C91" s="174" t="s">
        <v>660</v>
      </c>
      <c r="D91" s="40"/>
      <c r="E91" s="40"/>
      <c r="F91" s="40"/>
      <c r="G91" s="40"/>
      <c r="H91" s="40"/>
      <c r="I91" s="40"/>
      <c r="J91" s="246" t="str">
        <f>IF(J90=N89,"N/A",IF(J90=N90,0,IF(J90=N91,1,IF(J90=N92,2,IF(J90=N93,3,IF(J90=N94,4,"N/A"))))))</f>
        <v>N/A</v>
      </c>
      <c r="K91" s="41"/>
      <c r="N91" s="12" t="s">
        <v>895</v>
      </c>
    </row>
    <row r="92" spans="2:14" x14ac:dyDescent="0.2">
      <c r="B92" s="38"/>
      <c r="C92" s="40" t="s">
        <v>257</v>
      </c>
      <c r="D92" s="40"/>
      <c r="E92" s="40"/>
      <c r="F92" s="40"/>
      <c r="G92" s="40"/>
      <c r="H92" s="40"/>
      <c r="I92" s="40"/>
      <c r="J92" s="266" t="s">
        <v>870</v>
      </c>
      <c r="K92" s="41"/>
      <c r="N92" s="12" t="s">
        <v>896</v>
      </c>
    </row>
    <row r="93" spans="2:14" x14ac:dyDescent="0.2">
      <c r="B93" s="38"/>
      <c r="C93" s="40" t="s">
        <v>261</v>
      </c>
      <c r="D93" s="40"/>
      <c r="E93" s="40"/>
      <c r="F93" s="40"/>
      <c r="G93" s="40"/>
      <c r="H93" s="40"/>
      <c r="I93" s="40"/>
      <c r="J93" s="245">
        <f>IF(J92=$B$973,$A$973,IF(J92=$B$974,$A$974,IF(J92=$B$975,$A$975,IF(J92=$B$976,$A$976,IF(J92=$B$977,$A$977,"Not Calculated")))))</f>
        <v>0</v>
      </c>
      <c r="K93" s="41"/>
      <c r="N93" s="12" t="s">
        <v>897</v>
      </c>
    </row>
    <row r="94" spans="2:14" x14ac:dyDescent="0.2">
      <c r="B94" s="38"/>
      <c r="C94" s="40" t="s">
        <v>893</v>
      </c>
      <c r="D94" s="40"/>
      <c r="E94" s="40"/>
      <c r="F94" s="40"/>
      <c r="G94" s="40"/>
      <c r="H94" s="40"/>
      <c r="I94" s="40"/>
      <c r="J94" s="175"/>
      <c r="K94" s="41"/>
      <c r="N94" s="12" t="s">
        <v>898</v>
      </c>
    </row>
    <row r="95" spans="2:14" s="178" customFormat="1" ht="30" customHeight="1" x14ac:dyDescent="0.2">
      <c r="B95" s="176"/>
      <c r="C95" s="415" t="s">
        <v>1210</v>
      </c>
      <c r="D95" s="400"/>
      <c r="E95" s="400"/>
      <c r="F95" s="400"/>
      <c r="G95" s="400"/>
      <c r="H95" s="400"/>
      <c r="I95" s="400"/>
      <c r="J95" s="401"/>
      <c r="K95" s="177"/>
    </row>
    <row r="96" spans="2:14" x14ac:dyDescent="0.2">
      <c r="B96" s="38"/>
      <c r="C96" s="40"/>
      <c r="D96" s="40"/>
      <c r="E96" s="40"/>
      <c r="F96" s="40"/>
      <c r="G96" s="40"/>
      <c r="H96" s="40"/>
      <c r="I96" s="40"/>
      <c r="J96" s="40"/>
      <c r="K96" s="41"/>
    </row>
    <row r="97" spans="2:14" x14ac:dyDescent="0.2">
      <c r="B97" s="38"/>
      <c r="C97" s="179" t="s">
        <v>265</v>
      </c>
      <c r="D97" s="40"/>
      <c r="E97" s="40"/>
      <c r="F97" s="40"/>
      <c r="G97" s="40"/>
      <c r="H97" s="40"/>
      <c r="I97" s="40"/>
      <c r="J97" s="245" t="str">
        <f>IF(J91="N/A",IF(OR(J84="Not Calculated",J93="Not Calculated")=TRUE,"Not Calculated",AVERAGE(J84,J93)),AVERAGE(J91,J93))</f>
        <v>Not Calculated</v>
      </c>
      <c r="K97" s="41"/>
    </row>
    <row r="98" spans="2:14" x14ac:dyDescent="0.2">
      <c r="B98" s="38"/>
      <c r="C98" s="40"/>
      <c r="D98" s="40"/>
      <c r="E98" s="40"/>
      <c r="F98" s="40"/>
      <c r="G98" s="40"/>
      <c r="H98" s="40"/>
      <c r="I98" s="40"/>
      <c r="J98" s="40"/>
      <c r="K98" s="41"/>
    </row>
    <row r="99" spans="2:14" x14ac:dyDescent="0.2">
      <c r="B99" s="38"/>
      <c r="C99" s="40"/>
      <c r="D99" s="40"/>
      <c r="E99" s="40"/>
      <c r="F99" s="40"/>
      <c r="G99" s="40"/>
      <c r="H99" s="40"/>
      <c r="I99" s="40"/>
      <c r="J99" s="40"/>
      <c r="K99" s="41"/>
    </row>
    <row r="100" spans="2:14" ht="16" x14ac:dyDescent="0.2">
      <c r="B100" s="38"/>
      <c r="C100" s="45" t="s">
        <v>60</v>
      </c>
      <c r="D100" s="40"/>
      <c r="E100" s="40"/>
      <c r="F100" s="40"/>
      <c r="G100" s="40"/>
      <c r="H100" s="40"/>
      <c r="I100" s="40"/>
      <c r="J100" s="40"/>
      <c r="K100" s="41"/>
    </row>
    <row r="101" spans="2:14" x14ac:dyDescent="0.2">
      <c r="B101" s="38"/>
      <c r="C101" s="40" t="s">
        <v>438</v>
      </c>
      <c r="D101" s="40"/>
      <c r="E101" s="40"/>
      <c r="F101" s="40"/>
      <c r="G101" s="40"/>
      <c r="H101" s="40"/>
      <c r="I101" s="40"/>
      <c r="J101" s="252">
        <f>'Baseline Health'!G35</f>
        <v>0</v>
      </c>
      <c r="K101" s="41"/>
    </row>
    <row r="102" spans="2:14" x14ac:dyDescent="0.2">
      <c r="B102" s="38"/>
      <c r="C102" s="40" t="s">
        <v>291</v>
      </c>
      <c r="D102" s="40"/>
      <c r="E102" s="40"/>
      <c r="F102" s="40"/>
      <c r="G102" s="40"/>
      <c r="H102" s="40"/>
      <c r="I102" s="40"/>
      <c r="J102" s="264">
        <v>22</v>
      </c>
      <c r="K102" s="41"/>
    </row>
    <row r="103" spans="2:14" x14ac:dyDescent="0.2">
      <c r="B103" s="38"/>
      <c r="C103" s="40" t="s">
        <v>260</v>
      </c>
      <c r="D103" s="40"/>
      <c r="E103" s="40"/>
      <c r="F103" s="40"/>
      <c r="G103" s="40"/>
      <c r="H103" s="40"/>
      <c r="I103" s="40"/>
      <c r="J103" s="248" t="str">
        <f>IF(OR(J101=0,J101="Not Calculated")=TRUE,"Not Calculated",(IF(((J102+J101)/J101)&lt;=1,0,IF(((J102+J101)/J101)&lt;=1.05,1,IF(((J102+J101)/J101)&lt;=1.5, 2,IF(((J102+J101)/J101)&lt;=2,3,4))))))</f>
        <v>Not Calculated</v>
      </c>
      <c r="K103" s="41"/>
    </row>
    <row r="104" spans="2:14" ht="9.75" customHeight="1" x14ac:dyDescent="0.2">
      <c r="B104" s="38"/>
      <c r="C104" s="279" t="str">
        <f>"0:"</f>
        <v>0:</v>
      </c>
      <c r="D104" s="281" t="s">
        <v>918</v>
      </c>
      <c r="E104" s="40"/>
      <c r="F104" s="40"/>
      <c r="G104" s="40"/>
      <c r="H104" s="40"/>
      <c r="I104" s="40"/>
      <c r="J104" s="40"/>
      <c r="K104" s="41"/>
    </row>
    <row r="105" spans="2:14" ht="9.75" customHeight="1" x14ac:dyDescent="0.2">
      <c r="B105" s="38"/>
      <c r="C105" s="280" t="str">
        <f>"1:"</f>
        <v>1:</v>
      </c>
      <c r="D105" s="281" t="s">
        <v>919</v>
      </c>
      <c r="E105" s="40"/>
      <c r="F105" s="40"/>
      <c r="G105" s="40"/>
      <c r="H105" s="40"/>
      <c r="I105" s="40"/>
      <c r="J105" s="40"/>
      <c r="K105" s="41"/>
    </row>
    <row r="106" spans="2:14" ht="9.75" customHeight="1" x14ac:dyDescent="0.2">
      <c r="B106" s="38"/>
      <c r="C106" s="280" t="str">
        <f>"2:"</f>
        <v>2:</v>
      </c>
      <c r="D106" s="281" t="s">
        <v>920</v>
      </c>
      <c r="E106" s="40"/>
      <c r="F106" s="40"/>
      <c r="G106" s="40"/>
      <c r="H106" s="40"/>
      <c r="I106" s="40"/>
      <c r="J106" s="40"/>
      <c r="K106" s="41"/>
    </row>
    <row r="107" spans="2:14" ht="9.75" customHeight="1" x14ac:dyDescent="0.2">
      <c r="B107" s="38"/>
      <c r="C107" s="280" t="str">
        <f>"3:"</f>
        <v>3:</v>
      </c>
      <c r="D107" s="281" t="s">
        <v>921</v>
      </c>
      <c r="E107" s="40"/>
      <c r="F107" s="40"/>
      <c r="G107" s="40"/>
      <c r="H107" s="40"/>
      <c r="I107" s="40"/>
      <c r="J107" s="40"/>
      <c r="K107" s="41"/>
    </row>
    <row r="108" spans="2:14" ht="9.75" customHeight="1" x14ac:dyDescent="0.2">
      <c r="B108" s="38"/>
      <c r="C108" s="280" t="str">
        <f>"4:"</f>
        <v>4:</v>
      </c>
      <c r="D108" s="281" t="s">
        <v>922</v>
      </c>
      <c r="E108" s="40"/>
      <c r="F108" s="40"/>
      <c r="G108" s="40"/>
      <c r="H108" s="40"/>
      <c r="I108" s="40"/>
      <c r="J108" s="40"/>
      <c r="K108" s="41"/>
      <c r="N108" s="12" t="s">
        <v>661</v>
      </c>
    </row>
    <row r="109" spans="2:14" x14ac:dyDescent="0.2">
      <c r="B109" s="38"/>
      <c r="C109" s="174" t="s">
        <v>662</v>
      </c>
      <c r="D109" s="40"/>
      <c r="E109" s="40"/>
      <c r="F109" s="40"/>
      <c r="G109" s="40"/>
      <c r="H109" s="40"/>
      <c r="I109" s="40"/>
      <c r="J109" s="265" t="s">
        <v>661</v>
      </c>
      <c r="K109" s="41"/>
      <c r="N109" s="12" t="s">
        <v>894</v>
      </c>
    </row>
    <row r="110" spans="2:14" x14ac:dyDescent="0.2">
      <c r="B110" s="38"/>
      <c r="C110" s="174" t="s">
        <v>660</v>
      </c>
      <c r="D110" s="40"/>
      <c r="E110" s="40"/>
      <c r="F110" s="40"/>
      <c r="G110" s="40"/>
      <c r="H110" s="40"/>
      <c r="I110" s="40"/>
      <c r="J110" s="246" t="str">
        <f>IF(J109=N108,"N/A",IF(J109=N109,0,IF(J109=N110,1,IF(J109=N111,2,IF(J109=N112,3,IF(J109=N113,4,"N/A"))))))</f>
        <v>N/A</v>
      </c>
      <c r="K110" s="41"/>
      <c r="N110" s="12" t="s">
        <v>895</v>
      </c>
    </row>
    <row r="111" spans="2:14" x14ac:dyDescent="0.2">
      <c r="B111" s="38"/>
      <c r="C111" s="40" t="s">
        <v>257</v>
      </c>
      <c r="D111" s="40"/>
      <c r="E111" s="40"/>
      <c r="F111" s="40"/>
      <c r="G111" s="40"/>
      <c r="H111" s="40"/>
      <c r="I111" s="40"/>
      <c r="J111" s="266" t="s">
        <v>882</v>
      </c>
      <c r="K111" s="41"/>
      <c r="N111" s="12" t="s">
        <v>896</v>
      </c>
    </row>
    <row r="112" spans="2:14" x14ac:dyDescent="0.2">
      <c r="B112" s="38"/>
      <c r="C112" s="40" t="s">
        <v>261</v>
      </c>
      <c r="D112" s="40"/>
      <c r="E112" s="40"/>
      <c r="F112" s="40"/>
      <c r="G112" s="40"/>
      <c r="H112" s="40"/>
      <c r="I112" s="40"/>
      <c r="J112" s="245">
        <f>IF(J111=$B$973,$A$973,IF(J111=$B$974,$A$974,IF(J111=$B$975,$A$975,IF(J111=$B$976,$A$976,IF(J111=$B$977,$A$977,"Not Calculated")))))</f>
        <v>1</v>
      </c>
      <c r="K112" s="41"/>
      <c r="N112" s="12" t="s">
        <v>897</v>
      </c>
    </row>
    <row r="113" spans="2:14" x14ac:dyDescent="0.2">
      <c r="B113" s="38"/>
      <c r="C113" s="40" t="s">
        <v>893</v>
      </c>
      <c r="D113" s="40"/>
      <c r="E113" s="40"/>
      <c r="F113" s="40"/>
      <c r="G113" s="40"/>
      <c r="H113" s="40"/>
      <c r="I113" s="40"/>
      <c r="J113" s="175"/>
      <c r="K113" s="41"/>
      <c r="N113" s="12" t="s">
        <v>898</v>
      </c>
    </row>
    <row r="114" spans="2:14" s="178" customFormat="1" ht="30" customHeight="1" x14ac:dyDescent="0.2">
      <c r="B114" s="176"/>
      <c r="C114" s="415" t="s">
        <v>1212</v>
      </c>
      <c r="D114" s="400"/>
      <c r="E114" s="400"/>
      <c r="F114" s="400"/>
      <c r="G114" s="400"/>
      <c r="H114" s="400"/>
      <c r="I114" s="400"/>
      <c r="J114" s="400"/>
      <c r="K114" s="177"/>
      <c r="L114" s="329" t="s">
        <v>1208</v>
      </c>
    </row>
    <row r="115" spans="2:14" x14ac:dyDescent="0.2">
      <c r="B115" s="38"/>
      <c r="C115" s="40"/>
      <c r="D115" s="40"/>
      <c r="E115" s="40"/>
      <c r="F115" s="40"/>
      <c r="G115" s="40"/>
      <c r="H115" s="40"/>
      <c r="I115" s="40"/>
      <c r="J115" s="40"/>
      <c r="K115" s="41"/>
    </row>
    <row r="116" spans="2:14" x14ac:dyDescent="0.2">
      <c r="B116" s="38"/>
      <c r="C116" s="179" t="s">
        <v>266</v>
      </c>
      <c r="D116" s="40"/>
      <c r="E116" s="40"/>
      <c r="F116" s="40"/>
      <c r="G116" s="40"/>
      <c r="H116" s="40"/>
      <c r="I116" s="40"/>
      <c r="J116" s="245" t="str">
        <f>IF(J110="N/A",IF(OR(J103="Not Calculated",J112="Not Calculated")=TRUE,"Not Calculated",AVERAGE(J103,J112)),AVERAGE(J110,J112))</f>
        <v>Not Calculated</v>
      </c>
      <c r="K116" s="41"/>
    </row>
    <row r="117" spans="2:14" x14ac:dyDescent="0.2">
      <c r="B117" s="38"/>
      <c r="C117" s="40"/>
      <c r="D117" s="40"/>
      <c r="E117" s="40"/>
      <c r="F117" s="40"/>
      <c r="G117" s="40"/>
      <c r="H117" s="40"/>
      <c r="I117" s="40"/>
      <c r="J117" s="40"/>
      <c r="K117" s="41"/>
    </row>
    <row r="118" spans="2:14" x14ac:dyDescent="0.2">
      <c r="B118" s="38"/>
      <c r="C118" s="40"/>
      <c r="D118" s="40"/>
      <c r="E118" s="40"/>
      <c r="F118" s="40"/>
      <c r="G118" s="40"/>
      <c r="H118" s="40"/>
      <c r="I118" s="40"/>
      <c r="J118" s="40"/>
      <c r="K118" s="41"/>
    </row>
    <row r="119" spans="2:14" ht="16" x14ac:dyDescent="0.2">
      <c r="B119" s="38"/>
      <c r="C119" s="45" t="s">
        <v>262</v>
      </c>
      <c r="D119" s="40"/>
      <c r="E119" s="40"/>
      <c r="F119" s="40"/>
      <c r="G119" s="40"/>
      <c r="H119" s="40"/>
      <c r="I119" s="40"/>
      <c r="J119" s="40"/>
      <c r="K119" s="41"/>
      <c r="M119" s="12" t="s">
        <v>1100</v>
      </c>
    </row>
    <row r="120" spans="2:14" ht="15" customHeight="1" x14ac:dyDescent="0.2">
      <c r="B120" s="38"/>
      <c r="C120" s="422" t="s">
        <v>268</v>
      </c>
      <c r="D120" s="422"/>
      <c r="E120" s="422"/>
      <c r="F120" s="422"/>
      <c r="G120" s="422"/>
      <c r="H120" s="422"/>
      <c r="I120" s="422"/>
      <c r="J120" s="422"/>
      <c r="K120" s="41"/>
    </row>
    <row r="121" spans="2:14" x14ac:dyDescent="0.2">
      <c r="B121" s="38"/>
      <c r="C121" s="422"/>
      <c r="D121" s="422"/>
      <c r="E121" s="422"/>
      <c r="F121" s="422"/>
      <c r="G121" s="422"/>
      <c r="H121" s="422"/>
      <c r="I121" s="422"/>
      <c r="J121" s="422"/>
      <c r="K121" s="41"/>
    </row>
    <row r="122" spans="2:14" x14ac:dyDescent="0.2">
      <c r="B122" s="38"/>
      <c r="C122" s="423"/>
      <c r="D122" s="423"/>
      <c r="E122" s="423"/>
      <c r="F122" s="423"/>
      <c r="G122" s="423"/>
      <c r="H122" s="423"/>
      <c r="I122" s="423"/>
      <c r="J122" s="423"/>
      <c r="K122" s="41"/>
    </row>
    <row r="123" spans="2:14" ht="15" customHeight="1" x14ac:dyDescent="0.2">
      <c r="B123" s="38"/>
      <c r="C123" s="416" t="s">
        <v>248</v>
      </c>
      <c r="D123" s="417"/>
      <c r="E123" s="417"/>
      <c r="F123" s="417"/>
      <c r="G123" s="417"/>
      <c r="H123" s="417"/>
      <c r="I123" s="417"/>
      <c r="J123" s="418"/>
      <c r="K123" s="41"/>
    </row>
    <row r="124" spans="2:14" x14ac:dyDescent="0.2">
      <c r="B124" s="38"/>
      <c r="C124" s="419"/>
      <c r="D124" s="420"/>
      <c r="E124" s="420"/>
      <c r="F124" s="420"/>
      <c r="G124" s="420"/>
      <c r="H124" s="420"/>
      <c r="I124" s="420"/>
      <c r="J124" s="421"/>
      <c r="K124" s="41"/>
    </row>
    <row r="125" spans="2:14" ht="15" customHeight="1" x14ac:dyDescent="0.2">
      <c r="B125" s="38"/>
      <c r="C125" s="40" t="s">
        <v>260</v>
      </c>
      <c r="D125" s="40"/>
      <c r="E125" s="40"/>
      <c r="F125" s="40"/>
      <c r="G125" s="40"/>
      <c r="H125" s="40"/>
      <c r="I125" s="40"/>
      <c r="J125" s="247">
        <f>IF(C123=B987,A987,IF(C123=B988,A988,IF(C123=B989,A989,IF(C123=B990,A990,IF(C123=B991,A991,"Not Calculated")))))</f>
        <v>4</v>
      </c>
      <c r="K125" s="41"/>
    </row>
    <row r="126" spans="2:14" ht="15" customHeight="1" x14ac:dyDescent="0.2">
      <c r="B126" s="38"/>
      <c r="C126" s="40" t="s">
        <v>257</v>
      </c>
      <c r="D126" s="40"/>
      <c r="E126" s="40"/>
      <c r="F126" s="40"/>
      <c r="G126" s="40"/>
      <c r="H126" s="40"/>
      <c r="I126" s="40"/>
      <c r="J126" s="266" t="s">
        <v>870</v>
      </c>
      <c r="K126" s="41"/>
    </row>
    <row r="127" spans="2:14" x14ac:dyDescent="0.2">
      <c r="B127" s="38"/>
      <c r="C127" s="40" t="s">
        <v>261</v>
      </c>
      <c r="D127" s="40"/>
      <c r="E127" s="40"/>
      <c r="F127" s="40"/>
      <c r="G127" s="40"/>
      <c r="H127" s="40"/>
      <c r="I127" s="40"/>
      <c r="J127" s="245">
        <f>IF(J126=$B$973,$A$973,IF(J126=$B$974,$A$974,IF(J126=$B$975,$A$975,IF(J126=$B$976,$A$976,IF(J126=$B$977,$A$977,"Not Calculated")))))</f>
        <v>0</v>
      </c>
      <c r="K127" s="41"/>
    </row>
    <row r="128" spans="2:14" ht="15" customHeight="1" x14ac:dyDescent="0.2">
      <c r="B128" s="38"/>
      <c r="C128" s="40" t="s">
        <v>893</v>
      </c>
      <c r="D128" s="40"/>
      <c r="E128" s="40"/>
      <c r="F128" s="40"/>
      <c r="G128" s="40"/>
      <c r="H128" s="40"/>
      <c r="I128" s="40"/>
      <c r="J128" s="175"/>
      <c r="K128" s="41"/>
    </row>
    <row r="129" spans="2:11" s="178" customFormat="1" ht="30" customHeight="1" x14ac:dyDescent="0.2">
      <c r="B129" s="176"/>
      <c r="C129" s="415" t="s">
        <v>564</v>
      </c>
      <c r="D129" s="400"/>
      <c r="E129" s="400"/>
      <c r="F129" s="400"/>
      <c r="G129" s="400"/>
      <c r="H129" s="400"/>
      <c r="I129" s="400"/>
      <c r="J129" s="401"/>
      <c r="K129" s="177"/>
    </row>
    <row r="130" spans="2:11" x14ac:dyDescent="0.2">
      <c r="B130" s="38"/>
      <c r="C130" s="40"/>
      <c r="D130" s="40"/>
      <c r="E130" s="40"/>
      <c r="F130" s="40"/>
      <c r="G130" s="40"/>
      <c r="H130" s="40"/>
      <c r="I130" s="40"/>
      <c r="J130" s="40"/>
      <c r="K130" s="41"/>
    </row>
    <row r="131" spans="2:11" x14ac:dyDescent="0.2">
      <c r="B131" s="38"/>
      <c r="C131" s="179" t="s">
        <v>267</v>
      </c>
      <c r="D131" s="40"/>
      <c r="E131" s="40"/>
      <c r="F131" s="40"/>
      <c r="G131" s="40"/>
      <c r="H131" s="40"/>
      <c r="I131" s="40"/>
      <c r="J131" s="245">
        <f>IF(OR(J125="Not Calculated",J127="Not Calculated")=TRUE,"Not Calculated",AVERAGE(J125,J127))</f>
        <v>2</v>
      </c>
      <c r="K131" s="41"/>
    </row>
    <row r="132" spans="2:11" x14ac:dyDescent="0.2">
      <c r="B132" s="38"/>
      <c r="C132" s="179"/>
      <c r="D132" s="40"/>
      <c r="E132" s="40"/>
      <c r="F132" s="40"/>
      <c r="G132" s="40"/>
      <c r="H132" s="40"/>
      <c r="I132" s="40"/>
      <c r="J132" s="245"/>
      <c r="K132" s="41"/>
    </row>
    <row r="133" spans="2:11" ht="18" x14ac:dyDescent="0.2">
      <c r="B133" s="38"/>
      <c r="C133" s="180" t="s">
        <v>269</v>
      </c>
      <c r="D133" s="40"/>
      <c r="E133" s="40"/>
      <c r="F133" s="40"/>
      <c r="G133" s="40"/>
      <c r="H133" s="40"/>
      <c r="I133" s="40"/>
      <c r="J133" s="244" t="str">
        <f>IF(OR(J40="Not Calculated",J59="Not Calculated",J78="Not Calculated",J97="Not Calculated",J116="Not Calculated",J131="Not Calculated",)=TRUE,"Not Calculated",AVERAGE(J40,J59,J78,J97,J116,J131))</f>
        <v>Not Calculated</v>
      </c>
      <c r="K133" s="41"/>
    </row>
    <row r="134" spans="2:11" ht="16" thickBot="1" x14ac:dyDescent="0.25">
      <c r="B134" s="46"/>
      <c r="C134" s="47"/>
      <c r="D134" s="47"/>
      <c r="E134" s="47"/>
      <c r="F134" s="47"/>
      <c r="G134" s="47"/>
      <c r="H134" s="47"/>
      <c r="I134" s="47"/>
      <c r="J134" s="47"/>
      <c r="K134" s="49"/>
    </row>
    <row r="135" spans="2:11" ht="16" thickBot="1" x14ac:dyDescent="0.25"/>
    <row r="136" spans="2:11" x14ac:dyDescent="0.2">
      <c r="B136" s="33"/>
      <c r="C136" s="34"/>
      <c r="D136" s="34"/>
      <c r="E136" s="34"/>
      <c r="F136" s="34"/>
      <c r="G136" s="34"/>
      <c r="H136" s="34"/>
      <c r="I136" s="34"/>
      <c r="J136" s="34"/>
      <c r="K136" s="37"/>
    </row>
    <row r="137" spans="2:11" ht="21" x14ac:dyDescent="0.25">
      <c r="B137" s="38"/>
      <c r="C137" s="171"/>
      <c r="D137" s="40"/>
      <c r="E137" s="40"/>
      <c r="F137" s="40"/>
      <c r="G137" s="172" t="s">
        <v>27</v>
      </c>
      <c r="H137" s="40"/>
      <c r="I137" s="40"/>
      <c r="J137" s="40"/>
      <c r="K137" s="41"/>
    </row>
    <row r="138" spans="2:11" x14ac:dyDescent="0.2">
      <c r="B138" s="38"/>
      <c r="C138" s="40"/>
      <c r="D138" s="40"/>
      <c r="E138" s="40"/>
      <c r="F138" s="40"/>
      <c r="G138" s="40"/>
      <c r="H138" s="40"/>
      <c r="I138" s="40"/>
      <c r="J138" s="40"/>
      <c r="K138" s="41"/>
    </row>
    <row r="139" spans="2:11" ht="16" x14ac:dyDescent="0.2">
      <c r="B139" s="38"/>
      <c r="C139" s="45" t="s">
        <v>72</v>
      </c>
      <c r="D139" s="40"/>
      <c r="E139" s="40"/>
      <c r="F139" s="40"/>
      <c r="G139" s="40"/>
      <c r="H139" s="40"/>
      <c r="I139" s="40"/>
      <c r="J139" s="40"/>
      <c r="K139" s="41"/>
    </row>
    <row r="140" spans="2:11" x14ac:dyDescent="0.2">
      <c r="B140" s="38"/>
      <c r="C140" s="40" t="s">
        <v>440</v>
      </c>
      <c r="D140" s="40"/>
      <c r="E140" s="40"/>
      <c r="F140" s="40"/>
      <c r="G140" s="40"/>
      <c r="H140" s="40"/>
      <c r="I140" s="40"/>
      <c r="J140" s="252">
        <f>'Baseline Health'!G45</f>
        <v>0</v>
      </c>
      <c r="K140" s="41"/>
    </row>
    <row r="141" spans="2:11" x14ac:dyDescent="0.2">
      <c r="B141" s="38"/>
      <c r="C141" s="40" t="s">
        <v>270</v>
      </c>
      <c r="D141" s="40"/>
      <c r="E141" s="40"/>
      <c r="F141" s="40"/>
      <c r="G141" s="40"/>
      <c r="H141" s="40"/>
      <c r="I141" s="40"/>
      <c r="J141" s="264">
        <f>J140*0.9</f>
        <v>0</v>
      </c>
      <c r="K141" s="41"/>
    </row>
    <row r="142" spans="2:11" x14ac:dyDescent="0.2">
      <c r="B142" s="38"/>
      <c r="C142" s="40" t="s">
        <v>439</v>
      </c>
      <c r="D142" s="40"/>
      <c r="E142" s="40"/>
      <c r="F142" s="40"/>
      <c r="G142" s="40"/>
      <c r="H142" s="40"/>
      <c r="I142" s="40"/>
      <c r="J142" s="251">
        <f>J83/20</f>
        <v>0</v>
      </c>
      <c r="K142" s="41"/>
    </row>
    <row r="143" spans="2:11" x14ac:dyDescent="0.2">
      <c r="B143" s="38"/>
      <c r="C143" s="40"/>
      <c r="D143" s="40" t="s">
        <v>351</v>
      </c>
      <c r="E143" s="40"/>
      <c r="F143" s="40"/>
      <c r="G143" s="40"/>
      <c r="H143" s="40"/>
      <c r="I143" s="40"/>
      <c r="J143" s="40"/>
      <c r="K143" s="41"/>
    </row>
    <row r="144" spans="2:11" x14ac:dyDescent="0.2">
      <c r="B144" s="38"/>
      <c r="C144" s="40" t="s">
        <v>260</v>
      </c>
      <c r="D144" s="40"/>
      <c r="E144" s="40"/>
      <c r="F144" s="40"/>
      <c r="G144" s="40"/>
      <c r="H144" s="40"/>
      <c r="I144" s="40"/>
      <c r="J144" s="245" t="str">
        <f>IF(OR(J140=0,J140="Not Calculated")=TRUE,"Not Calculated",IF((J140-J141)&lt;=0,4,IF(((J140+J142)/(J140-J141))&lt;=1,0,IF(((J140+J142)/(J140-J141))&lt;=1.05,1,IF(((J140+J142)/(J140-J141))&lt;=1.5, 2,IF(((J140+J142)/(J140-J141))&lt;=2,3,4))))))</f>
        <v>Not Calculated</v>
      </c>
      <c r="K144" s="41"/>
    </row>
    <row r="145" spans="2:14" ht="9.75" customHeight="1" x14ac:dyDescent="0.2">
      <c r="B145" s="38"/>
      <c r="C145" s="279" t="str">
        <f>"0:"</f>
        <v>0:</v>
      </c>
      <c r="D145" s="278" t="s">
        <v>918</v>
      </c>
      <c r="E145" s="40"/>
      <c r="F145" s="40"/>
      <c r="G145" s="40"/>
      <c r="H145" s="40"/>
      <c r="I145" s="40"/>
      <c r="J145" s="40"/>
      <c r="K145" s="41"/>
    </row>
    <row r="146" spans="2:14" ht="9.75" customHeight="1" x14ac:dyDescent="0.2">
      <c r="B146" s="38"/>
      <c r="C146" s="280" t="str">
        <f>"1:"</f>
        <v>1:</v>
      </c>
      <c r="D146" s="278" t="s">
        <v>923</v>
      </c>
      <c r="E146" s="40"/>
      <c r="F146" s="40"/>
      <c r="G146" s="40"/>
      <c r="H146" s="40"/>
      <c r="I146" s="40"/>
      <c r="J146" s="40"/>
      <c r="K146" s="41"/>
    </row>
    <row r="147" spans="2:14" ht="9.75" customHeight="1" x14ac:dyDescent="0.2">
      <c r="B147" s="38"/>
      <c r="C147" s="280" t="str">
        <f>"2:"</f>
        <v>2:</v>
      </c>
      <c r="D147" s="278" t="s">
        <v>924</v>
      </c>
      <c r="E147" s="40"/>
      <c r="F147" s="40"/>
      <c r="G147" s="40"/>
      <c r="H147" s="40"/>
      <c r="I147" s="40"/>
      <c r="J147" s="40"/>
      <c r="K147" s="41"/>
    </row>
    <row r="148" spans="2:14" ht="9.75" customHeight="1" x14ac:dyDescent="0.2">
      <c r="B148" s="38"/>
      <c r="C148" s="280" t="str">
        <f>"3:"</f>
        <v>3:</v>
      </c>
      <c r="D148" s="278" t="s">
        <v>925</v>
      </c>
      <c r="E148" s="40"/>
      <c r="F148" s="40"/>
      <c r="G148" s="40"/>
      <c r="H148" s="40"/>
      <c r="I148" s="40"/>
      <c r="J148" s="40"/>
      <c r="K148" s="41"/>
    </row>
    <row r="149" spans="2:14" ht="9.75" customHeight="1" x14ac:dyDescent="0.2">
      <c r="B149" s="38"/>
      <c r="C149" s="280" t="str">
        <f>"4:"</f>
        <v>4:</v>
      </c>
      <c r="D149" s="278" t="s">
        <v>926</v>
      </c>
      <c r="E149" s="40"/>
      <c r="F149" s="40"/>
      <c r="G149" s="40"/>
      <c r="H149" s="40"/>
      <c r="I149" s="40"/>
      <c r="J149" s="40"/>
      <c r="K149" s="41"/>
      <c r="N149" s="12" t="s">
        <v>661</v>
      </c>
    </row>
    <row r="150" spans="2:14" x14ac:dyDescent="0.2">
      <c r="B150" s="38"/>
      <c r="C150" s="174" t="s">
        <v>662</v>
      </c>
      <c r="D150" s="40"/>
      <c r="E150" s="40"/>
      <c r="F150" s="40"/>
      <c r="G150" s="40"/>
      <c r="H150" s="40"/>
      <c r="I150" s="40"/>
      <c r="J150" s="265" t="s">
        <v>661</v>
      </c>
      <c r="K150" s="41"/>
      <c r="N150" s="12" t="s">
        <v>894</v>
      </c>
    </row>
    <row r="151" spans="2:14" x14ac:dyDescent="0.2">
      <c r="B151" s="38"/>
      <c r="C151" s="174" t="s">
        <v>660</v>
      </c>
      <c r="D151" s="40"/>
      <c r="E151" s="40"/>
      <c r="F151" s="40"/>
      <c r="G151" s="40"/>
      <c r="H151" s="40"/>
      <c r="I151" s="40"/>
      <c r="J151" s="246" t="str">
        <f>IF(J150=N149,"N/A",IF(J150=N150,0,IF(J150=N151,1,IF(J150=N152,2,IF(J150=N153,3,IF(J150=N154,4,"N/A"))))))</f>
        <v>N/A</v>
      </c>
      <c r="K151" s="41"/>
      <c r="N151" s="12" t="s">
        <v>899</v>
      </c>
    </row>
    <row r="152" spans="2:14" x14ac:dyDescent="0.2">
      <c r="B152" s="38"/>
      <c r="C152" s="40" t="s">
        <v>257</v>
      </c>
      <c r="D152" s="40"/>
      <c r="E152" s="40"/>
      <c r="F152" s="40"/>
      <c r="G152" s="40"/>
      <c r="H152" s="40"/>
      <c r="I152" s="40"/>
      <c r="J152" s="266" t="s">
        <v>872</v>
      </c>
      <c r="K152" s="41"/>
      <c r="N152" s="12" t="s">
        <v>900</v>
      </c>
    </row>
    <row r="153" spans="2:14" x14ac:dyDescent="0.2">
      <c r="B153" s="38"/>
      <c r="C153" s="40" t="s">
        <v>261</v>
      </c>
      <c r="D153" s="40"/>
      <c r="E153" s="40"/>
      <c r="F153" s="40"/>
      <c r="G153" s="40"/>
      <c r="H153" s="40"/>
      <c r="I153" s="40"/>
      <c r="J153" s="245">
        <f>IF(J152=$B$973,$A$973,IF(J152=$B$974,$A$974,IF(J152=$B$975,$A$975,IF(J152=$B$976,$A$976,IF(J152=$B$977,$A$977,"Not Calculated")))))</f>
        <v>2</v>
      </c>
      <c r="K153" s="41"/>
      <c r="N153" s="12" t="s">
        <v>901</v>
      </c>
    </row>
    <row r="154" spans="2:14" x14ac:dyDescent="0.2">
      <c r="B154" s="38"/>
      <c r="C154" s="40" t="s">
        <v>893</v>
      </c>
      <c r="D154" s="40"/>
      <c r="E154" s="40"/>
      <c r="F154" s="40"/>
      <c r="G154" s="40"/>
      <c r="H154" s="40"/>
      <c r="I154" s="40"/>
      <c r="J154" s="40"/>
      <c r="K154" s="41"/>
      <c r="N154" s="12" t="s">
        <v>902</v>
      </c>
    </row>
    <row r="155" spans="2:14" ht="30" customHeight="1" x14ac:dyDescent="0.2">
      <c r="B155" s="38"/>
      <c r="C155" s="399" t="s">
        <v>1213</v>
      </c>
      <c r="D155" s="400"/>
      <c r="E155" s="400"/>
      <c r="F155" s="400"/>
      <c r="G155" s="400"/>
      <c r="H155" s="400"/>
      <c r="I155" s="400"/>
      <c r="J155" s="401"/>
      <c r="K155" s="41"/>
    </row>
    <row r="156" spans="2:14" x14ac:dyDescent="0.2">
      <c r="B156" s="38"/>
      <c r="C156" s="40"/>
      <c r="D156" s="40"/>
      <c r="E156" s="40"/>
      <c r="F156" s="40"/>
      <c r="G156" s="40"/>
      <c r="H156" s="40"/>
      <c r="I156" s="40"/>
      <c r="J156" s="40"/>
      <c r="K156" s="41"/>
    </row>
    <row r="157" spans="2:14" x14ac:dyDescent="0.2">
      <c r="B157" s="38"/>
      <c r="C157" s="179" t="s">
        <v>271</v>
      </c>
      <c r="D157" s="40"/>
      <c r="E157" s="40"/>
      <c r="F157" s="40"/>
      <c r="G157" s="40"/>
      <c r="H157" s="40"/>
      <c r="I157" s="40"/>
      <c r="J157" s="245" t="str">
        <f>IF(J151="N/A",IF(OR(J144="Not Calculated",J153="Not Calculated")=TRUE,"Not Calculated",AVERAGE(J144,J153)),AVERAGE(J151,J153))</f>
        <v>Not Calculated</v>
      </c>
      <c r="K157" s="41"/>
    </row>
    <row r="158" spans="2:14" x14ac:dyDescent="0.2">
      <c r="B158" s="38"/>
      <c r="C158" s="40"/>
      <c r="D158" s="40"/>
      <c r="E158" s="40"/>
      <c r="F158" s="40"/>
      <c r="G158" s="40"/>
      <c r="H158" s="40"/>
      <c r="I158" s="40"/>
      <c r="J158" s="40"/>
      <c r="K158" s="41"/>
    </row>
    <row r="159" spans="2:14" x14ac:dyDescent="0.2">
      <c r="B159" s="38"/>
      <c r="C159" s="40"/>
      <c r="D159" s="40"/>
      <c r="E159" s="40"/>
      <c r="F159" s="40"/>
      <c r="G159" s="40"/>
      <c r="H159" s="40"/>
      <c r="I159" s="40"/>
      <c r="J159" s="40"/>
      <c r="K159" s="41"/>
    </row>
    <row r="160" spans="2:14" ht="16" x14ac:dyDescent="0.2">
      <c r="B160" s="38"/>
      <c r="C160" s="45" t="s">
        <v>273</v>
      </c>
      <c r="D160" s="40"/>
      <c r="E160" s="40"/>
      <c r="F160" s="40"/>
      <c r="G160" s="40"/>
      <c r="H160" s="40"/>
      <c r="I160" s="40"/>
      <c r="J160" s="40"/>
      <c r="K160" s="41"/>
    </row>
    <row r="161" spans="2:14" x14ac:dyDescent="0.2">
      <c r="B161" s="38"/>
      <c r="C161" s="40" t="s">
        <v>441</v>
      </c>
      <c r="D161" s="40"/>
      <c r="E161" s="40"/>
      <c r="F161" s="40"/>
      <c r="G161" s="40"/>
      <c r="H161" s="40"/>
      <c r="I161" s="40"/>
      <c r="J161" s="252">
        <f>'Baseline Health'!G51</f>
        <v>0</v>
      </c>
      <c r="K161" s="41"/>
      <c r="L161" t="s">
        <v>1100</v>
      </c>
    </row>
    <row r="162" spans="2:14" x14ac:dyDescent="0.2">
      <c r="B162" s="38"/>
      <c r="C162" s="40" t="s">
        <v>280</v>
      </c>
      <c r="D162" s="40"/>
      <c r="E162" s="40"/>
      <c r="F162" s="40"/>
      <c r="G162" s="40"/>
      <c r="H162" s="40"/>
      <c r="I162" s="40"/>
      <c r="J162" s="264">
        <v>0</v>
      </c>
      <c r="K162" s="41"/>
      <c r="L162" s="12" t="s">
        <v>1100</v>
      </c>
      <c r="M162" s="12" t="s">
        <v>1100</v>
      </c>
    </row>
    <row r="163" spans="2:14" x14ac:dyDescent="0.2">
      <c r="B163" s="38"/>
      <c r="C163" s="40" t="s">
        <v>442</v>
      </c>
      <c r="D163" s="40"/>
      <c r="E163" s="40"/>
      <c r="F163" s="40"/>
      <c r="G163" s="40"/>
      <c r="H163" s="40"/>
      <c r="I163" s="40"/>
      <c r="J163" s="251">
        <f>(J64)/4.5</f>
        <v>222.22222222222223</v>
      </c>
      <c r="K163" s="41"/>
    </row>
    <row r="164" spans="2:14" x14ac:dyDescent="0.2">
      <c r="B164" s="38"/>
      <c r="C164" s="40"/>
      <c r="D164" s="40" t="s">
        <v>353</v>
      </c>
      <c r="E164" s="40"/>
      <c r="F164" s="40"/>
      <c r="G164" s="40"/>
      <c r="H164" s="40"/>
      <c r="I164" s="40"/>
      <c r="J164" s="40"/>
      <c r="K164" s="41"/>
    </row>
    <row r="165" spans="2:14" x14ac:dyDescent="0.2">
      <c r="B165" s="38"/>
      <c r="C165" s="40" t="s">
        <v>260</v>
      </c>
      <c r="D165" s="40"/>
      <c r="E165" s="40"/>
      <c r="F165" s="40"/>
      <c r="G165" s="40"/>
      <c r="H165" s="40"/>
      <c r="I165" s="40"/>
      <c r="J165" s="245" t="str">
        <f>IF(OR(J161=0,J161="Not Calculated")=TRUE,"Not Calculated",IF((J161-J162)&lt;=0,4,IF(((J161+J163)/(J161-J162))&lt;=1,0,IF(((J161+J163)/(J161-J162))&lt;=1.05,1,IF(((J161+J163)/(J161-J162))&lt;=1.5, 2,IF(((J161+J163)/(J161-J162))&lt;=2,3,4))))))</f>
        <v>Not Calculated</v>
      </c>
      <c r="K165" s="41"/>
    </row>
    <row r="166" spans="2:14" ht="9.75" customHeight="1" x14ac:dyDescent="0.2">
      <c r="B166" s="38"/>
      <c r="C166" s="279" t="str">
        <f>"0:"</f>
        <v>0:</v>
      </c>
      <c r="D166" s="278" t="s">
        <v>918</v>
      </c>
      <c r="E166" s="40"/>
      <c r="F166" s="40"/>
      <c r="G166" s="40"/>
      <c r="H166" s="40"/>
      <c r="I166" s="40"/>
      <c r="J166" s="40"/>
      <c r="K166" s="41"/>
    </row>
    <row r="167" spans="2:14" ht="9.75" customHeight="1" x14ac:dyDescent="0.2">
      <c r="B167" s="38"/>
      <c r="C167" s="280" t="str">
        <f>"1:"</f>
        <v>1:</v>
      </c>
      <c r="D167" s="278" t="s">
        <v>923</v>
      </c>
      <c r="E167" s="40"/>
      <c r="F167" s="40"/>
      <c r="G167" s="40"/>
      <c r="H167" s="40"/>
      <c r="I167" s="40"/>
      <c r="J167" s="40"/>
      <c r="K167" s="41"/>
    </row>
    <row r="168" spans="2:14" ht="9.75" customHeight="1" x14ac:dyDescent="0.2">
      <c r="B168" s="38"/>
      <c r="C168" s="280" t="str">
        <f>"2:"</f>
        <v>2:</v>
      </c>
      <c r="D168" s="278" t="s">
        <v>924</v>
      </c>
      <c r="E168" s="40"/>
      <c r="F168" s="40"/>
      <c r="G168" s="40"/>
      <c r="H168" s="40"/>
      <c r="I168" s="40"/>
      <c r="J168" s="40"/>
      <c r="K168" s="41"/>
    </row>
    <row r="169" spans="2:14" ht="9.75" customHeight="1" x14ac:dyDescent="0.2">
      <c r="B169" s="38"/>
      <c r="C169" s="280" t="str">
        <f>"3:"</f>
        <v>3:</v>
      </c>
      <c r="D169" s="278" t="s">
        <v>925</v>
      </c>
      <c r="E169" s="40"/>
      <c r="F169" s="40"/>
      <c r="G169" s="40"/>
      <c r="H169" s="40"/>
      <c r="I169" s="40"/>
      <c r="J169" s="40"/>
      <c r="K169" s="41"/>
    </row>
    <row r="170" spans="2:14" ht="9.75" customHeight="1" x14ac:dyDescent="0.2">
      <c r="B170" s="38"/>
      <c r="C170" s="280" t="str">
        <f>"4:"</f>
        <v>4:</v>
      </c>
      <c r="D170" s="278" t="s">
        <v>926</v>
      </c>
      <c r="E170" s="40"/>
      <c r="F170" s="40"/>
      <c r="G170" s="40"/>
      <c r="H170" s="40"/>
      <c r="I170" s="40"/>
      <c r="J170" s="40"/>
      <c r="K170" s="41"/>
      <c r="N170" s="12" t="s">
        <v>661</v>
      </c>
    </row>
    <row r="171" spans="2:14" x14ac:dyDescent="0.2">
      <c r="B171" s="38"/>
      <c r="C171" s="174" t="s">
        <v>662</v>
      </c>
      <c r="D171" s="40"/>
      <c r="E171" s="40"/>
      <c r="F171" s="40"/>
      <c r="G171" s="40"/>
      <c r="H171" s="40"/>
      <c r="I171" s="40"/>
      <c r="J171" s="265" t="s">
        <v>661</v>
      </c>
      <c r="K171" s="41"/>
      <c r="N171" s="12" t="s">
        <v>894</v>
      </c>
    </row>
    <row r="172" spans="2:14" x14ac:dyDescent="0.2">
      <c r="B172" s="38"/>
      <c r="C172" s="174" t="s">
        <v>660</v>
      </c>
      <c r="D172" s="40"/>
      <c r="E172" s="40"/>
      <c r="F172" s="40"/>
      <c r="G172" s="40"/>
      <c r="H172" s="40"/>
      <c r="I172" s="40"/>
      <c r="J172" s="246" t="str">
        <f>IF(J171=N170,"N/A",IF(J171=N171,0,IF(J171=N172,1,IF(J171=N173,2,IF(J171=N174,3,IF(J171=N175,4,"N/A"))))))</f>
        <v>N/A</v>
      </c>
      <c r="K172" s="41"/>
      <c r="N172" s="12" t="s">
        <v>899</v>
      </c>
    </row>
    <row r="173" spans="2:14" x14ac:dyDescent="0.2">
      <c r="B173" s="38"/>
      <c r="C173" s="40" t="s">
        <v>257</v>
      </c>
      <c r="D173" s="40"/>
      <c r="E173" s="40"/>
      <c r="F173" s="40"/>
      <c r="G173" s="40"/>
      <c r="H173" s="40"/>
      <c r="I173" s="40"/>
      <c r="J173" s="266" t="s">
        <v>882</v>
      </c>
      <c r="K173" s="41"/>
      <c r="N173" s="12" t="s">
        <v>900</v>
      </c>
    </row>
    <row r="174" spans="2:14" x14ac:dyDescent="0.2">
      <c r="B174" s="38"/>
      <c r="C174" s="40" t="s">
        <v>261</v>
      </c>
      <c r="D174" s="40"/>
      <c r="E174" s="40"/>
      <c r="F174" s="40"/>
      <c r="G174" s="40"/>
      <c r="H174" s="40"/>
      <c r="I174" s="40"/>
      <c r="J174" s="245">
        <f>IF(J173=$B$973,$A$973,IF(J173=$B$974,$A$974,IF(J173=$B$975,$A$975,IF(J173=$B$976,$A$976,IF(J173=$B$977,$A$977,"Not Calculated")))))</f>
        <v>1</v>
      </c>
      <c r="K174" s="41"/>
      <c r="N174" s="12" t="s">
        <v>901</v>
      </c>
    </row>
    <row r="175" spans="2:14" x14ac:dyDescent="0.2">
      <c r="B175" s="38"/>
      <c r="C175" s="40" t="s">
        <v>893</v>
      </c>
      <c r="D175" s="40"/>
      <c r="E175" s="40"/>
      <c r="F175" s="40"/>
      <c r="G175" s="40"/>
      <c r="H175" s="40"/>
      <c r="I175" s="40"/>
      <c r="J175" s="40"/>
      <c r="K175" s="41"/>
      <c r="N175" s="12" t="s">
        <v>902</v>
      </c>
    </row>
    <row r="176" spans="2:14" ht="30" customHeight="1" x14ac:dyDescent="0.2">
      <c r="B176" s="38"/>
      <c r="C176" s="399" t="s">
        <v>1340</v>
      </c>
      <c r="D176" s="400"/>
      <c r="E176" s="400"/>
      <c r="F176" s="400"/>
      <c r="G176" s="400"/>
      <c r="H176" s="400"/>
      <c r="I176" s="400"/>
      <c r="J176" s="401"/>
      <c r="K176" s="41"/>
    </row>
    <row r="177" spans="2:14" x14ac:dyDescent="0.2">
      <c r="B177" s="38"/>
      <c r="C177" s="40"/>
      <c r="D177" s="40"/>
      <c r="E177" s="40"/>
      <c r="F177" s="40"/>
      <c r="G177" s="40"/>
      <c r="H177" s="40"/>
      <c r="I177" s="40"/>
      <c r="J177" s="40"/>
      <c r="K177" s="41"/>
    </row>
    <row r="178" spans="2:14" x14ac:dyDescent="0.2">
      <c r="B178" s="38"/>
      <c r="C178" s="179" t="s">
        <v>274</v>
      </c>
      <c r="D178" s="40"/>
      <c r="E178" s="40"/>
      <c r="F178" s="40"/>
      <c r="G178" s="40"/>
      <c r="H178" s="40"/>
      <c r="I178" s="40"/>
      <c r="J178" s="245" t="str">
        <f>IF(J172="N/A",IF(OR(J165="Not Calculated",J174="Not Calculated")=TRUE,"Not Calculated",AVERAGE(J165,J174)),AVERAGE(J172,J174))</f>
        <v>Not Calculated</v>
      </c>
      <c r="K178" s="41"/>
    </row>
    <row r="179" spans="2:14" x14ac:dyDescent="0.2">
      <c r="B179" s="38"/>
      <c r="C179" s="40"/>
      <c r="D179" s="40"/>
      <c r="E179" s="40"/>
      <c r="F179" s="40"/>
      <c r="G179" s="40"/>
      <c r="H179" s="40"/>
      <c r="I179" s="40"/>
      <c r="J179" s="40"/>
      <c r="K179" s="41"/>
    </row>
    <row r="180" spans="2:14" x14ac:dyDescent="0.2">
      <c r="B180" s="38"/>
      <c r="C180" s="40"/>
      <c r="D180" s="40"/>
      <c r="E180" s="40"/>
      <c r="F180" s="40"/>
      <c r="G180" s="40"/>
      <c r="H180" s="40"/>
      <c r="I180" s="40"/>
      <c r="J180" s="40"/>
      <c r="K180" s="41"/>
    </row>
    <row r="181" spans="2:14" ht="16" x14ac:dyDescent="0.2">
      <c r="B181" s="38"/>
      <c r="C181" s="45" t="s">
        <v>74</v>
      </c>
      <c r="D181" s="40"/>
      <c r="E181" s="40"/>
      <c r="F181" s="40"/>
      <c r="G181" s="40"/>
      <c r="H181" s="40"/>
      <c r="I181" s="40"/>
      <c r="J181" s="40"/>
      <c r="K181" s="41"/>
    </row>
    <row r="182" spans="2:14" x14ac:dyDescent="0.2">
      <c r="B182" s="38"/>
      <c r="C182" s="40" t="s">
        <v>443</v>
      </c>
      <c r="D182" s="40"/>
      <c r="E182" s="40"/>
      <c r="F182" s="40"/>
      <c r="G182" s="40"/>
      <c r="H182" s="40"/>
      <c r="I182" s="40"/>
      <c r="J182" s="252">
        <f>'Baseline Health'!G59</f>
        <v>0</v>
      </c>
      <c r="K182" s="41"/>
    </row>
    <row r="183" spans="2:14" x14ac:dyDescent="0.2">
      <c r="B183" s="38"/>
      <c r="C183" s="40" t="s">
        <v>281</v>
      </c>
      <c r="D183" s="40"/>
      <c r="E183" s="40"/>
      <c r="F183" s="40"/>
      <c r="G183" s="40"/>
      <c r="H183" s="40"/>
      <c r="I183" s="40"/>
      <c r="J183" s="264">
        <v>367</v>
      </c>
      <c r="K183" s="41"/>
    </row>
    <row r="184" spans="2:14" x14ac:dyDescent="0.2">
      <c r="B184" s="38"/>
      <c r="C184" s="40" t="s">
        <v>354</v>
      </c>
      <c r="D184" s="40"/>
      <c r="E184" s="40"/>
      <c r="F184" s="40"/>
      <c r="G184" s="40"/>
      <c r="H184" s="40"/>
      <c r="I184" s="40"/>
      <c r="J184" s="264">
        <v>250</v>
      </c>
      <c r="K184" s="41"/>
    </row>
    <row r="185" spans="2:14" x14ac:dyDescent="0.2">
      <c r="B185" s="38"/>
      <c r="C185" s="40" t="s">
        <v>260</v>
      </c>
      <c r="D185" s="40"/>
      <c r="E185" s="40"/>
      <c r="F185" s="40"/>
      <c r="G185" s="40"/>
      <c r="H185" s="40"/>
      <c r="I185" s="40"/>
      <c r="J185" s="245" t="str">
        <f>IF(OR(J182=0,J182="Not Calculated")=TRUE,"Not Calculated",IF(J182-J183=0,4,IF(((J182+J184)/(J182-J183))&lt;=1,0,IF(((J182+J184)/(J182-J183))&lt;=1.05,1,IF(((J182+J184)/(J182-J183))&lt;=1.5, 2,IF(((J182+J184)/(J182-J183))&lt;=2,3,4))))))</f>
        <v>Not Calculated</v>
      </c>
      <c r="K185" s="41"/>
    </row>
    <row r="186" spans="2:14" ht="9.75" customHeight="1" x14ac:dyDescent="0.2">
      <c r="B186" s="38"/>
      <c r="C186" s="279" t="str">
        <f>"0:"</f>
        <v>0:</v>
      </c>
      <c r="D186" s="278" t="s">
        <v>918</v>
      </c>
      <c r="E186" s="40"/>
      <c r="F186" s="40"/>
      <c r="G186" s="40"/>
      <c r="H186" s="40"/>
      <c r="I186" s="40"/>
      <c r="J186" s="40"/>
      <c r="K186" s="41"/>
    </row>
    <row r="187" spans="2:14" ht="9.75" customHeight="1" x14ac:dyDescent="0.2">
      <c r="B187" s="38"/>
      <c r="C187" s="280" t="str">
        <f>"1:"</f>
        <v>1:</v>
      </c>
      <c r="D187" s="278" t="s">
        <v>923</v>
      </c>
      <c r="E187" s="40"/>
      <c r="F187" s="40"/>
      <c r="G187" s="40"/>
      <c r="H187" s="40"/>
      <c r="I187" s="40"/>
      <c r="J187" s="40"/>
      <c r="K187" s="41"/>
    </row>
    <row r="188" spans="2:14" ht="9.75" customHeight="1" x14ac:dyDescent="0.2">
      <c r="B188" s="38"/>
      <c r="C188" s="280" t="str">
        <f>"2:"</f>
        <v>2:</v>
      </c>
      <c r="D188" s="278" t="s">
        <v>924</v>
      </c>
      <c r="E188" s="40"/>
      <c r="F188" s="40"/>
      <c r="G188" s="40"/>
      <c r="H188" s="40"/>
      <c r="I188" s="40"/>
      <c r="J188" s="40"/>
      <c r="K188" s="41"/>
    </row>
    <row r="189" spans="2:14" ht="9.75" customHeight="1" x14ac:dyDescent="0.2">
      <c r="B189" s="38"/>
      <c r="C189" s="280" t="str">
        <f>"3:"</f>
        <v>3:</v>
      </c>
      <c r="D189" s="278" t="s">
        <v>925</v>
      </c>
      <c r="E189" s="40"/>
      <c r="F189" s="40"/>
      <c r="G189" s="40"/>
      <c r="H189" s="40"/>
      <c r="I189" s="40"/>
      <c r="J189" s="40"/>
      <c r="K189" s="41"/>
    </row>
    <row r="190" spans="2:14" ht="9.75" customHeight="1" x14ac:dyDescent="0.2">
      <c r="B190" s="38"/>
      <c r="C190" s="280" t="str">
        <f>"4:"</f>
        <v>4:</v>
      </c>
      <c r="D190" s="278" t="s">
        <v>926</v>
      </c>
      <c r="E190" s="40"/>
      <c r="F190" s="40"/>
      <c r="G190" s="40"/>
      <c r="H190" s="40"/>
      <c r="I190" s="40"/>
      <c r="J190" s="40"/>
      <c r="K190" s="41"/>
      <c r="N190" s="12" t="s">
        <v>661</v>
      </c>
    </row>
    <row r="191" spans="2:14" x14ac:dyDescent="0.2">
      <c r="B191" s="38"/>
      <c r="C191" s="174" t="s">
        <v>662</v>
      </c>
      <c r="D191" s="40"/>
      <c r="E191" s="40"/>
      <c r="F191" s="40"/>
      <c r="G191" s="40"/>
      <c r="H191" s="40"/>
      <c r="I191" s="40"/>
      <c r="J191" s="265" t="s">
        <v>661</v>
      </c>
      <c r="K191" s="41"/>
      <c r="N191" s="12" t="s">
        <v>894</v>
      </c>
    </row>
    <row r="192" spans="2:14" x14ac:dyDescent="0.2">
      <c r="B192" s="38"/>
      <c r="C192" s="174" t="s">
        <v>660</v>
      </c>
      <c r="D192" s="40"/>
      <c r="E192" s="40"/>
      <c r="F192" s="40"/>
      <c r="G192" s="40"/>
      <c r="H192" s="40"/>
      <c r="I192" s="40"/>
      <c r="J192" s="246" t="str">
        <f>IF(J191=N190,"N/A",IF(J191=N191,0,IF(J191=N192,1,IF(J191=N193,2,IF(J191=N194,3,IF(J191=N195,4,"N/A"))))))</f>
        <v>N/A</v>
      </c>
      <c r="K192" s="41"/>
      <c r="N192" s="12" t="s">
        <v>899</v>
      </c>
    </row>
    <row r="193" spans="2:14" x14ac:dyDescent="0.2">
      <c r="B193" s="38"/>
      <c r="C193" s="40" t="s">
        <v>257</v>
      </c>
      <c r="D193" s="40"/>
      <c r="E193" s="40"/>
      <c r="F193" s="40"/>
      <c r="G193" s="40"/>
      <c r="H193" s="40"/>
      <c r="I193" s="40"/>
      <c r="J193" s="266" t="s">
        <v>872</v>
      </c>
      <c r="K193" s="41"/>
      <c r="N193" s="12" t="s">
        <v>900</v>
      </c>
    </row>
    <row r="194" spans="2:14" x14ac:dyDescent="0.2">
      <c r="B194" s="38"/>
      <c r="C194" s="40" t="s">
        <v>261</v>
      </c>
      <c r="D194" s="40"/>
      <c r="E194" s="40"/>
      <c r="F194" s="40"/>
      <c r="G194" s="40"/>
      <c r="H194" s="40"/>
      <c r="I194" s="40"/>
      <c r="J194" s="245">
        <f>IF(J193=$B$973,$A$973,IF(J193=$B$974,$A$974,IF(J193=$B$975,$A$975,IF(J193=$B$976,$A$976,IF(J193=$B$977,$A$977,"Not Calculated")))))</f>
        <v>2</v>
      </c>
      <c r="K194" s="41"/>
      <c r="N194" s="12" t="s">
        <v>901</v>
      </c>
    </row>
    <row r="195" spans="2:14" x14ac:dyDescent="0.2">
      <c r="B195" s="38"/>
      <c r="C195" s="40" t="s">
        <v>893</v>
      </c>
      <c r="D195" s="40"/>
      <c r="E195" s="40"/>
      <c r="F195" s="40"/>
      <c r="G195" s="40"/>
      <c r="H195" s="40"/>
      <c r="I195" s="40"/>
      <c r="J195" s="40"/>
      <c r="K195" s="41"/>
      <c r="N195" s="12" t="s">
        <v>902</v>
      </c>
    </row>
    <row r="196" spans="2:14" ht="30" customHeight="1" x14ac:dyDescent="0.2">
      <c r="B196" s="38"/>
      <c r="C196" s="399" t="s">
        <v>1219</v>
      </c>
      <c r="D196" s="400"/>
      <c r="E196" s="400"/>
      <c r="F196" s="400"/>
      <c r="G196" s="400"/>
      <c r="H196" s="400"/>
      <c r="I196" s="400"/>
      <c r="J196" s="401"/>
      <c r="K196" s="41"/>
    </row>
    <row r="197" spans="2:14" x14ac:dyDescent="0.2">
      <c r="B197" s="38"/>
      <c r="C197" s="40"/>
      <c r="D197" s="40"/>
      <c r="E197" s="40"/>
      <c r="F197" s="40"/>
      <c r="G197" s="40"/>
      <c r="H197" s="40"/>
      <c r="I197" s="40"/>
      <c r="J197" s="40"/>
      <c r="K197" s="41"/>
    </row>
    <row r="198" spans="2:14" x14ac:dyDescent="0.2">
      <c r="B198" s="38"/>
      <c r="C198" s="179" t="s">
        <v>275</v>
      </c>
      <c r="D198" s="40"/>
      <c r="E198" s="40"/>
      <c r="F198" s="40"/>
      <c r="G198" s="40"/>
      <c r="H198" s="40"/>
      <c r="I198" s="40"/>
      <c r="J198" s="245" t="str">
        <f>IF(J192="N/A",IF(OR(J185="Not Calculated",J194="Not Calculated")=TRUE,"Not Calculated",AVERAGE(J185,J194)),AVERAGE(J192,J194))</f>
        <v>Not Calculated</v>
      </c>
      <c r="K198" s="41"/>
    </row>
    <row r="199" spans="2:14" x14ac:dyDescent="0.2">
      <c r="B199" s="38"/>
      <c r="C199" s="40"/>
      <c r="D199" s="40"/>
      <c r="E199" s="40"/>
      <c r="F199" s="40"/>
      <c r="G199" s="40"/>
      <c r="H199" s="40"/>
      <c r="I199" s="40"/>
      <c r="J199" s="40"/>
      <c r="K199" s="41"/>
    </row>
    <row r="200" spans="2:14" x14ac:dyDescent="0.2">
      <c r="B200" s="38"/>
      <c r="C200" s="40"/>
      <c r="D200" s="40"/>
      <c r="E200" s="40"/>
      <c r="F200" s="40"/>
      <c r="G200" s="40"/>
      <c r="H200" s="40"/>
      <c r="I200" s="40"/>
      <c r="J200" s="40"/>
      <c r="K200" s="41"/>
    </row>
    <row r="201" spans="2:14" ht="16" x14ac:dyDescent="0.2">
      <c r="B201" s="38"/>
      <c r="C201" s="45" t="s">
        <v>75</v>
      </c>
      <c r="D201" s="40"/>
      <c r="E201" s="40"/>
      <c r="F201" s="40"/>
      <c r="G201" s="40"/>
      <c r="H201" s="40"/>
      <c r="I201" s="40"/>
      <c r="J201" s="40"/>
      <c r="K201" s="41"/>
    </row>
    <row r="202" spans="2:14" x14ac:dyDescent="0.2">
      <c r="B202" s="38"/>
      <c r="C202" s="40" t="s">
        <v>444</v>
      </c>
      <c r="D202" s="40"/>
      <c r="E202" s="40"/>
      <c r="F202" s="40"/>
      <c r="G202" s="40"/>
      <c r="H202" s="40"/>
      <c r="I202" s="40"/>
      <c r="J202" s="252">
        <f>'Baseline Health'!G65</f>
        <v>0</v>
      </c>
      <c r="K202" s="41"/>
    </row>
    <row r="203" spans="2:14" x14ac:dyDescent="0.2">
      <c r="B203" s="38"/>
      <c r="C203" s="40" t="s">
        <v>282</v>
      </c>
      <c r="D203" s="40"/>
      <c r="E203" s="40"/>
      <c r="F203" s="40"/>
      <c r="G203" s="40"/>
      <c r="H203" s="40"/>
      <c r="I203" s="40"/>
      <c r="J203" s="264">
        <f>J202*0.9</f>
        <v>0</v>
      </c>
      <c r="K203" s="41"/>
    </row>
    <row r="204" spans="2:14" x14ac:dyDescent="0.2">
      <c r="B204" s="38"/>
      <c r="C204" s="40" t="s">
        <v>355</v>
      </c>
      <c r="D204" s="40"/>
      <c r="E204" s="40"/>
      <c r="F204" s="40"/>
      <c r="G204" s="40"/>
      <c r="H204" s="40"/>
      <c r="I204" s="40"/>
      <c r="J204" s="264">
        <f>J202*100%</f>
        <v>0</v>
      </c>
      <c r="K204" s="41"/>
    </row>
    <row r="205" spans="2:14" x14ac:dyDescent="0.2">
      <c r="B205" s="38"/>
      <c r="C205" s="40" t="s">
        <v>260</v>
      </c>
      <c r="D205" s="40"/>
      <c r="E205" s="40"/>
      <c r="F205" s="40"/>
      <c r="G205" s="40"/>
      <c r="H205" s="40"/>
      <c r="I205" s="40"/>
      <c r="J205" s="245" t="str">
        <f>IF(OR(J202=0,J202="Not Calculated")=TRUE,"Not Calculated",IF(J202-J203=0,4,IF(((J202+J204)/(J202-J203))&lt;=1,0,IF(((J202+J204)/(J202-J203))&lt;=1.05,1,IF(((J202+J204)/(J202-J203))&lt;=1.5, 2,IF(((J202+J204)/(J202-J203))&lt;=2,3,4))))))</f>
        <v>Not Calculated</v>
      </c>
      <c r="K205" s="41"/>
    </row>
    <row r="206" spans="2:14" ht="9.75" customHeight="1" x14ac:dyDescent="0.2">
      <c r="B206" s="38"/>
      <c r="C206" s="279" t="str">
        <f>"0:"</f>
        <v>0:</v>
      </c>
      <c r="D206" s="278" t="s">
        <v>918</v>
      </c>
      <c r="E206" s="40"/>
      <c r="F206" s="40"/>
      <c r="G206" s="40"/>
      <c r="H206" s="40"/>
      <c r="I206" s="40"/>
      <c r="J206" s="40"/>
      <c r="K206" s="41"/>
    </row>
    <row r="207" spans="2:14" ht="9.75" customHeight="1" x14ac:dyDescent="0.2">
      <c r="B207" s="38"/>
      <c r="C207" s="280" t="str">
        <f>"1:"</f>
        <v>1:</v>
      </c>
      <c r="D207" s="278" t="s">
        <v>923</v>
      </c>
      <c r="E207" s="40"/>
      <c r="F207" s="40"/>
      <c r="G207" s="40"/>
      <c r="H207" s="40"/>
      <c r="I207" s="40"/>
      <c r="J207" s="40"/>
      <c r="K207" s="41"/>
    </row>
    <row r="208" spans="2:14" ht="9.75" customHeight="1" x14ac:dyDescent="0.2">
      <c r="B208" s="38"/>
      <c r="C208" s="280" t="str">
        <f>"2:"</f>
        <v>2:</v>
      </c>
      <c r="D208" s="278" t="s">
        <v>924</v>
      </c>
      <c r="E208" s="40"/>
      <c r="F208" s="40"/>
      <c r="G208" s="40"/>
      <c r="H208" s="40"/>
      <c r="I208" s="40"/>
      <c r="J208" s="40"/>
      <c r="K208" s="41"/>
    </row>
    <row r="209" spans="2:14" ht="9.75" customHeight="1" x14ac:dyDescent="0.2">
      <c r="B209" s="38"/>
      <c r="C209" s="280" t="str">
        <f>"3:"</f>
        <v>3:</v>
      </c>
      <c r="D209" s="278" t="s">
        <v>925</v>
      </c>
      <c r="E209" s="40"/>
      <c r="F209" s="40"/>
      <c r="G209" s="40"/>
      <c r="H209" s="40"/>
      <c r="I209" s="40"/>
      <c r="J209" s="40"/>
      <c r="K209" s="41"/>
    </row>
    <row r="210" spans="2:14" ht="9.75" customHeight="1" x14ac:dyDescent="0.2">
      <c r="B210" s="38"/>
      <c r="C210" s="280" t="str">
        <f>"4:"</f>
        <v>4:</v>
      </c>
      <c r="D210" s="278" t="s">
        <v>926</v>
      </c>
      <c r="E210" s="40"/>
      <c r="F210" s="40"/>
      <c r="G210" s="40"/>
      <c r="H210" s="40"/>
      <c r="I210" s="40"/>
      <c r="J210" s="40"/>
      <c r="K210" s="41"/>
      <c r="N210" s="12" t="s">
        <v>661</v>
      </c>
    </row>
    <row r="211" spans="2:14" x14ac:dyDescent="0.2">
      <c r="B211" s="38"/>
      <c r="C211" s="174" t="s">
        <v>662</v>
      </c>
      <c r="D211" s="40"/>
      <c r="E211" s="40"/>
      <c r="F211" s="40"/>
      <c r="G211" s="40"/>
      <c r="H211" s="40"/>
      <c r="I211" s="40"/>
      <c r="J211" s="265" t="s">
        <v>661</v>
      </c>
      <c r="K211" s="41"/>
      <c r="N211" s="12" t="s">
        <v>894</v>
      </c>
    </row>
    <row r="212" spans="2:14" x14ac:dyDescent="0.2">
      <c r="B212" s="38"/>
      <c r="C212" s="174" t="s">
        <v>660</v>
      </c>
      <c r="D212" s="40"/>
      <c r="E212" s="40"/>
      <c r="F212" s="40"/>
      <c r="G212" s="40"/>
      <c r="H212" s="40"/>
      <c r="I212" s="40"/>
      <c r="J212" s="246" t="str">
        <f>IF(J211=N210,"N/A",IF(J211=N211,0,IF(J211=N212,1,IF(J211=N213,2,IF(J211=N214,3,IF(J211=N215,4,"N/A"))))))</f>
        <v>N/A</v>
      </c>
      <c r="K212" s="41"/>
      <c r="N212" s="12" t="s">
        <v>899</v>
      </c>
    </row>
    <row r="213" spans="2:14" x14ac:dyDescent="0.2">
      <c r="B213" s="38"/>
      <c r="C213" s="40" t="s">
        <v>257</v>
      </c>
      <c r="D213" s="40"/>
      <c r="E213" s="40"/>
      <c r="F213" s="40"/>
      <c r="G213" s="40"/>
      <c r="H213" s="40"/>
      <c r="I213" s="40"/>
      <c r="J213" s="266" t="s">
        <v>872</v>
      </c>
      <c r="K213" s="41"/>
      <c r="N213" s="12" t="s">
        <v>900</v>
      </c>
    </row>
    <row r="214" spans="2:14" x14ac:dyDescent="0.2">
      <c r="B214" s="38"/>
      <c r="C214" s="40" t="s">
        <v>261</v>
      </c>
      <c r="D214" s="40"/>
      <c r="E214" s="40"/>
      <c r="F214" s="40"/>
      <c r="G214" s="40"/>
      <c r="H214" s="40"/>
      <c r="I214" s="40"/>
      <c r="J214" s="245">
        <f>IF(J213=$B$973,$A$973,IF(J213=$B$974,$A$974,IF(J213=$B$975,$A$975,IF(J213=$B$976,$A$976,IF(J213=$B$977,$A$977,"Not Calculated")))))</f>
        <v>2</v>
      </c>
      <c r="K214" s="41"/>
      <c r="N214" s="12" t="s">
        <v>901</v>
      </c>
    </row>
    <row r="215" spans="2:14" x14ac:dyDescent="0.2">
      <c r="B215" s="38"/>
      <c r="C215" s="40" t="s">
        <v>893</v>
      </c>
      <c r="D215" s="40"/>
      <c r="E215" s="40"/>
      <c r="F215" s="40"/>
      <c r="G215" s="40"/>
      <c r="H215" s="40"/>
      <c r="I215" s="40"/>
      <c r="J215" s="40"/>
      <c r="K215" s="41"/>
      <c r="N215" s="12" t="s">
        <v>902</v>
      </c>
    </row>
    <row r="216" spans="2:14" ht="75" customHeight="1" x14ac:dyDescent="0.2">
      <c r="B216" s="38"/>
      <c r="C216" s="399" t="s">
        <v>1216</v>
      </c>
      <c r="D216" s="400"/>
      <c r="E216" s="400"/>
      <c r="F216" s="400"/>
      <c r="G216" s="400"/>
      <c r="H216" s="400"/>
      <c r="I216" s="400"/>
      <c r="J216" s="401"/>
      <c r="K216" s="41"/>
    </row>
    <row r="217" spans="2:14" x14ac:dyDescent="0.2">
      <c r="B217" s="38"/>
      <c r="C217" s="40"/>
      <c r="D217" s="40"/>
      <c r="E217" s="40"/>
      <c r="F217" s="40"/>
      <c r="G217" s="40"/>
      <c r="H217" s="40"/>
      <c r="I217" s="40"/>
      <c r="J217" s="40"/>
      <c r="K217" s="41"/>
    </row>
    <row r="218" spans="2:14" x14ac:dyDescent="0.2">
      <c r="B218" s="38"/>
      <c r="C218" s="179" t="s">
        <v>276</v>
      </c>
      <c r="D218" s="40"/>
      <c r="E218" s="40"/>
      <c r="F218" s="40"/>
      <c r="G218" s="40"/>
      <c r="H218" s="40"/>
      <c r="I218" s="40"/>
      <c r="J218" s="245" t="str">
        <f>IF(J212="N/A",IF(OR(J205="Not Calculated",J214="Not Calculated")=TRUE,"Not Calculated",AVERAGE(J205,J214)),AVERAGE(J212,J214))</f>
        <v>Not Calculated</v>
      </c>
      <c r="K218" s="41"/>
    </row>
    <row r="219" spans="2:14" x14ac:dyDescent="0.2">
      <c r="B219" s="38"/>
      <c r="C219" s="40"/>
      <c r="D219" s="40"/>
      <c r="E219" s="40"/>
      <c r="F219" s="40"/>
      <c r="G219" s="40"/>
      <c r="H219" s="40"/>
      <c r="I219" s="40"/>
      <c r="J219" s="40"/>
      <c r="K219" s="41"/>
    </row>
    <row r="220" spans="2:14" x14ac:dyDescent="0.2">
      <c r="B220" s="38"/>
      <c r="C220" s="40"/>
      <c r="D220" s="40"/>
      <c r="E220" s="40"/>
      <c r="F220" s="40"/>
      <c r="G220" s="40"/>
      <c r="H220" s="40"/>
      <c r="I220" s="40"/>
      <c r="J220" s="40"/>
      <c r="K220" s="41"/>
    </row>
    <row r="221" spans="2:14" ht="16" x14ac:dyDescent="0.2">
      <c r="B221" s="38"/>
      <c r="C221" s="45" t="s">
        <v>76</v>
      </c>
      <c r="D221" s="40"/>
      <c r="E221" s="40"/>
      <c r="F221" s="40"/>
      <c r="G221" s="40"/>
      <c r="H221" s="40"/>
      <c r="I221" s="40"/>
      <c r="J221" s="40"/>
      <c r="K221" s="41"/>
    </row>
    <row r="222" spans="2:14" ht="15" customHeight="1" x14ac:dyDescent="0.2">
      <c r="B222" s="38"/>
      <c r="C222" s="40" t="s">
        <v>356</v>
      </c>
      <c r="D222" s="40"/>
      <c r="E222" s="40"/>
      <c r="F222" s="40"/>
      <c r="G222" s="40"/>
      <c r="H222" s="40"/>
      <c r="I222" s="40"/>
      <c r="J222" s="252">
        <f>'Baseline Health'!G71</f>
        <v>0</v>
      </c>
      <c r="K222" s="41"/>
    </row>
    <row r="223" spans="2:14" x14ac:dyDescent="0.2">
      <c r="B223" s="38"/>
      <c r="C223" s="40" t="s">
        <v>357</v>
      </c>
      <c r="D223" s="40"/>
      <c r="E223" s="40"/>
      <c r="F223" s="40"/>
      <c r="G223" s="40"/>
      <c r="H223" s="40"/>
      <c r="I223" s="40"/>
      <c r="J223" s="264">
        <v>1</v>
      </c>
      <c r="K223" s="41"/>
    </row>
    <row r="224" spans="2:14" x14ac:dyDescent="0.2">
      <c r="B224" s="38"/>
      <c r="C224" s="40" t="s">
        <v>445</v>
      </c>
      <c r="D224" s="40"/>
      <c r="E224" s="40"/>
      <c r="F224" s="40"/>
      <c r="G224" s="40"/>
      <c r="H224" s="40"/>
      <c r="I224" s="40"/>
      <c r="J224" s="251">
        <f>J102</f>
        <v>22</v>
      </c>
      <c r="K224" s="41"/>
    </row>
    <row r="225" spans="2:14" x14ac:dyDescent="0.2">
      <c r="B225" s="38"/>
      <c r="C225" s="40"/>
      <c r="D225" s="40" t="s">
        <v>446</v>
      </c>
      <c r="E225" s="40"/>
      <c r="F225" s="40"/>
      <c r="G225" s="40"/>
      <c r="H225" s="40"/>
      <c r="I225" s="40"/>
      <c r="J225" s="40"/>
      <c r="K225" s="41"/>
    </row>
    <row r="226" spans="2:14" x14ac:dyDescent="0.2">
      <c r="B226" s="38"/>
      <c r="C226" s="40" t="s">
        <v>260</v>
      </c>
      <c r="D226" s="40"/>
      <c r="E226" s="40"/>
      <c r="F226" s="40"/>
      <c r="G226" s="40"/>
      <c r="H226" s="40"/>
      <c r="I226" s="40"/>
      <c r="J226" s="245" t="str">
        <f>IF(OR(J222=0,J222="Not Calculated")=TRUE,"Not Calculated",IF(J222-J223=0,4,IF(((J222+J224)/(J222-J223))&lt;=1,0,IF(((J222+J224)/(J222-J223))&lt;=1.05,1,IF(((J222+J224)/(J222-J223))&lt;=1.5, 2,IF(((J222+J224)/(J222-J223))&lt;=2,3,4))))))</f>
        <v>Not Calculated</v>
      </c>
      <c r="K226" s="41"/>
    </row>
    <row r="227" spans="2:14" ht="9.75" customHeight="1" x14ac:dyDescent="0.2">
      <c r="B227" s="38"/>
      <c r="C227" s="279" t="str">
        <f>"0:"</f>
        <v>0:</v>
      </c>
      <c r="D227" s="278" t="s">
        <v>918</v>
      </c>
      <c r="E227" s="40"/>
      <c r="F227" s="40"/>
      <c r="G227" s="40"/>
      <c r="H227" s="40"/>
      <c r="I227" s="40"/>
      <c r="J227" s="40"/>
      <c r="K227" s="41"/>
    </row>
    <row r="228" spans="2:14" ht="9.75" customHeight="1" x14ac:dyDescent="0.2">
      <c r="B228" s="38"/>
      <c r="C228" s="280" t="str">
        <f>"1:"</f>
        <v>1:</v>
      </c>
      <c r="D228" s="278" t="s">
        <v>923</v>
      </c>
      <c r="E228" s="40"/>
      <c r="F228" s="40"/>
      <c r="G228" s="40"/>
      <c r="H228" s="40"/>
      <c r="I228" s="40"/>
      <c r="J228" s="40"/>
      <c r="K228" s="41"/>
    </row>
    <row r="229" spans="2:14" ht="9.75" customHeight="1" x14ac:dyDescent="0.2">
      <c r="B229" s="38"/>
      <c r="C229" s="280" t="str">
        <f>"2:"</f>
        <v>2:</v>
      </c>
      <c r="D229" s="278" t="s">
        <v>924</v>
      </c>
      <c r="E229" s="40"/>
      <c r="F229" s="40"/>
      <c r="G229" s="40"/>
      <c r="H229" s="40"/>
      <c r="I229" s="40"/>
      <c r="J229" s="40"/>
      <c r="K229" s="41"/>
    </row>
    <row r="230" spans="2:14" ht="9.75" customHeight="1" x14ac:dyDescent="0.2">
      <c r="B230" s="38"/>
      <c r="C230" s="280" t="str">
        <f>"3:"</f>
        <v>3:</v>
      </c>
      <c r="D230" s="278" t="s">
        <v>925</v>
      </c>
      <c r="E230" s="40"/>
      <c r="F230" s="40"/>
      <c r="G230" s="40"/>
      <c r="H230" s="40"/>
      <c r="I230" s="40"/>
      <c r="J230" s="40"/>
      <c r="K230" s="41"/>
    </row>
    <row r="231" spans="2:14" ht="9.75" customHeight="1" x14ac:dyDescent="0.2">
      <c r="B231" s="38"/>
      <c r="C231" s="280" t="str">
        <f>"4:"</f>
        <v>4:</v>
      </c>
      <c r="D231" s="278" t="s">
        <v>926</v>
      </c>
      <c r="E231" s="40"/>
      <c r="F231" s="40"/>
      <c r="G231" s="40"/>
      <c r="H231" s="40"/>
      <c r="I231" s="40"/>
      <c r="J231" s="40"/>
      <c r="K231" s="41"/>
      <c r="N231" s="12" t="s">
        <v>661</v>
      </c>
    </row>
    <row r="232" spans="2:14" x14ac:dyDescent="0.2">
      <c r="B232" s="38"/>
      <c r="C232" s="174" t="s">
        <v>662</v>
      </c>
      <c r="D232" s="40"/>
      <c r="E232" s="40"/>
      <c r="F232" s="40"/>
      <c r="G232" s="40"/>
      <c r="H232" s="40"/>
      <c r="I232" s="40"/>
      <c r="J232" s="265" t="s">
        <v>661</v>
      </c>
      <c r="K232" s="41"/>
      <c r="N232" s="12" t="s">
        <v>894</v>
      </c>
    </row>
    <row r="233" spans="2:14" x14ac:dyDescent="0.2">
      <c r="B233" s="38"/>
      <c r="C233" s="174" t="s">
        <v>660</v>
      </c>
      <c r="D233" s="40"/>
      <c r="E233" s="40"/>
      <c r="F233" s="40"/>
      <c r="G233" s="40"/>
      <c r="H233" s="40"/>
      <c r="I233" s="40"/>
      <c r="J233" s="246" t="str">
        <f>IF(J232=N231,"N/A",IF(J232=N232,0,IF(J232=N233,1,IF(J232=N234,2,IF(J232=N235,3,IF(J232=N236,4,"N/A"))))))</f>
        <v>N/A</v>
      </c>
      <c r="K233" s="41"/>
      <c r="N233" s="12" t="s">
        <v>899</v>
      </c>
    </row>
    <row r="234" spans="2:14" x14ac:dyDescent="0.2">
      <c r="B234" s="38"/>
      <c r="C234" s="40" t="s">
        <v>257</v>
      </c>
      <c r="D234" s="40"/>
      <c r="E234" s="40"/>
      <c r="F234" s="40"/>
      <c r="G234" s="40"/>
      <c r="H234" s="40"/>
      <c r="I234" s="40"/>
      <c r="J234" s="266" t="s">
        <v>882</v>
      </c>
      <c r="K234" s="41"/>
      <c r="N234" s="12" t="s">
        <v>900</v>
      </c>
    </row>
    <row r="235" spans="2:14" x14ac:dyDescent="0.2">
      <c r="B235" s="38"/>
      <c r="C235" s="40" t="s">
        <v>261</v>
      </c>
      <c r="D235" s="40"/>
      <c r="E235" s="40"/>
      <c r="F235" s="40"/>
      <c r="G235" s="40"/>
      <c r="H235" s="40"/>
      <c r="I235" s="40"/>
      <c r="J235" s="245">
        <f>IF(J234=$B$973,$A$973,IF(J234=$B$974,$A$974,IF(J234=$B$975,$A$975,IF(J234=$B$976,$A$976,IF(J234=$B$977,$A$977,"Not Calculated")))))</f>
        <v>1</v>
      </c>
      <c r="K235" s="41"/>
      <c r="N235" s="12" t="s">
        <v>901</v>
      </c>
    </row>
    <row r="236" spans="2:14" x14ac:dyDescent="0.2">
      <c r="B236" s="38"/>
      <c r="C236" s="40" t="s">
        <v>893</v>
      </c>
      <c r="D236" s="40"/>
      <c r="E236" s="40"/>
      <c r="F236" s="40"/>
      <c r="G236" s="40"/>
      <c r="H236" s="40"/>
      <c r="I236" s="40"/>
      <c r="J236" s="40"/>
      <c r="K236" s="41"/>
      <c r="N236" s="12" t="s">
        <v>902</v>
      </c>
    </row>
    <row r="237" spans="2:14" ht="30" customHeight="1" x14ac:dyDescent="0.2">
      <c r="B237" s="38"/>
      <c r="C237" s="399" t="s">
        <v>1217</v>
      </c>
      <c r="D237" s="400"/>
      <c r="E237" s="400"/>
      <c r="F237" s="400"/>
      <c r="G237" s="400"/>
      <c r="H237" s="400"/>
      <c r="I237" s="400"/>
      <c r="J237" s="401"/>
      <c r="K237" s="41"/>
    </row>
    <row r="238" spans="2:14" x14ac:dyDescent="0.2">
      <c r="B238" s="38"/>
      <c r="C238" s="40"/>
      <c r="D238" s="40"/>
      <c r="E238" s="40"/>
      <c r="F238" s="40"/>
      <c r="G238" s="40"/>
      <c r="H238" s="40"/>
      <c r="I238" s="40"/>
      <c r="J238" s="40"/>
      <c r="K238" s="41"/>
    </row>
    <row r="239" spans="2:14" x14ac:dyDescent="0.2">
      <c r="B239" s="38"/>
      <c r="C239" s="179" t="s">
        <v>277</v>
      </c>
      <c r="D239" s="40"/>
      <c r="E239" s="40"/>
      <c r="F239" s="40"/>
      <c r="G239" s="40"/>
      <c r="H239" s="40"/>
      <c r="I239" s="40"/>
      <c r="J239" s="245" t="str">
        <f>IF(J233="N/A",IF(OR(J226="Not Calculated",J235="Not Calculated")=TRUE,"Not Calculated",AVERAGE(J226,J235)),AVERAGE(J233,J235))</f>
        <v>Not Calculated</v>
      </c>
      <c r="K239" s="41"/>
    </row>
    <row r="240" spans="2:14" x14ac:dyDescent="0.2">
      <c r="B240" s="38"/>
      <c r="C240" s="40"/>
      <c r="D240" s="40"/>
      <c r="E240" s="40"/>
      <c r="F240" s="40"/>
      <c r="G240" s="40"/>
      <c r="H240" s="40"/>
      <c r="I240" s="40"/>
      <c r="J240" s="40"/>
      <c r="K240" s="41"/>
    </row>
    <row r="241" spans="2:14" x14ac:dyDescent="0.2">
      <c r="B241" s="38"/>
      <c r="C241" s="40"/>
      <c r="D241" s="40"/>
      <c r="E241" s="40"/>
      <c r="F241" s="40"/>
      <c r="G241" s="40"/>
      <c r="H241" s="40"/>
      <c r="I241" s="40"/>
      <c r="J241" s="40"/>
      <c r="K241" s="41"/>
    </row>
    <row r="242" spans="2:14" ht="16" x14ac:dyDescent="0.2">
      <c r="B242" s="38"/>
      <c r="C242" s="45" t="s">
        <v>278</v>
      </c>
      <c r="D242" s="40"/>
      <c r="E242" s="40"/>
      <c r="F242" s="40"/>
      <c r="G242" s="40"/>
      <c r="H242" s="40"/>
      <c r="I242" s="40"/>
      <c r="J242" s="40"/>
      <c r="K242" s="41"/>
    </row>
    <row r="243" spans="2:14" ht="15" customHeight="1" x14ac:dyDescent="0.2">
      <c r="B243" s="38"/>
      <c r="C243" s="40" t="s">
        <v>447</v>
      </c>
      <c r="D243" s="40"/>
      <c r="E243" s="40"/>
      <c r="F243" s="40"/>
      <c r="G243" s="40"/>
      <c r="H243" s="40"/>
      <c r="I243" s="40"/>
      <c r="J243" s="254">
        <f>'Baseline Health'!G77</f>
        <v>0</v>
      </c>
      <c r="K243" s="41"/>
    </row>
    <row r="244" spans="2:14" x14ac:dyDescent="0.2">
      <c r="B244" s="38"/>
      <c r="C244" s="40" t="s">
        <v>358</v>
      </c>
      <c r="D244" s="40"/>
      <c r="E244" s="40"/>
      <c r="F244" s="40"/>
      <c r="G244" s="40"/>
      <c r="H244" s="40"/>
      <c r="I244" s="40"/>
      <c r="J244" s="264">
        <v>0</v>
      </c>
      <c r="K244" s="41"/>
    </row>
    <row r="245" spans="2:14" x14ac:dyDescent="0.2">
      <c r="B245" s="38"/>
      <c r="C245" s="40" t="s">
        <v>360</v>
      </c>
      <c r="D245" s="291"/>
      <c r="E245" s="291"/>
      <c r="F245" s="291"/>
      <c r="G245" s="291"/>
      <c r="H245" s="291"/>
      <c r="I245" s="291"/>
      <c r="J245" s="264">
        <f>'Community Characteristics'!H21/250*40</f>
        <v>0</v>
      </c>
      <c r="K245" s="41"/>
    </row>
    <row r="246" spans="2:14" x14ac:dyDescent="0.2">
      <c r="B246" s="38"/>
      <c r="C246" s="40" t="s">
        <v>260</v>
      </c>
      <c r="D246" s="40"/>
      <c r="E246" s="40"/>
      <c r="F246" s="40"/>
      <c r="G246" s="40"/>
      <c r="H246" s="40"/>
      <c r="I246" s="40"/>
      <c r="J246" s="245" t="str">
        <f>IF(OR(J243=0,J243="Not Calculated")=TRUE,"Not Calculated",IF(J243-J244=0,4,(IF(((J243+J245)/(J243-J244))&lt;=1,0,IF(((J243+J245)/(J243-J244))&lt;=1.05,1,IF(((J243+J245)/(J243-J244))&lt;=1.5,2,IF(((J243+J245)/(J243-J244))&lt;=2,3,4)))))))</f>
        <v>Not Calculated</v>
      </c>
      <c r="K246" s="41"/>
    </row>
    <row r="247" spans="2:14" ht="9.75" customHeight="1" x14ac:dyDescent="0.2">
      <c r="B247" s="38"/>
      <c r="C247" s="279" t="str">
        <f>"0:"</f>
        <v>0:</v>
      </c>
      <c r="D247" s="278" t="s">
        <v>918</v>
      </c>
      <c r="E247" s="40"/>
      <c r="F247" s="40"/>
      <c r="G247" s="40"/>
      <c r="H247" s="40"/>
      <c r="I247" s="40"/>
      <c r="J247" s="40"/>
      <c r="K247" s="41"/>
    </row>
    <row r="248" spans="2:14" ht="9.75" customHeight="1" x14ac:dyDescent="0.2">
      <c r="B248" s="38"/>
      <c r="C248" s="280" t="str">
        <f>"1:"</f>
        <v>1:</v>
      </c>
      <c r="D248" s="278" t="s">
        <v>923</v>
      </c>
      <c r="E248" s="40"/>
      <c r="F248" s="40"/>
      <c r="G248" s="40"/>
      <c r="H248" s="40"/>
      <c r="I248" s="40"/>
      <c r="J248" s="40"/>
      <c r="K248" s="41"/>
    </row>
    <row r="249" spans="2:14" ht="9.75" customHeight="1" x14ac:dyDescent="0.2">
      <c r="B249" s="38"/>
      <c r="C249" s="280" t="str">
        <f>"2:"</f>
        <v>2:</v>
      </c>
      <c r="D249" s="278" t="s">
        <v>924</v>
      </c>
      <c r="E249" s="40"/>
      <c r="F249" s="40"/>
      <c r="G249" s="40"/>
      <c r="H249" s="40"/>
      <c r="I249" s="40"/>
      <c r="J249" s="40"/>
      <c r="K249" s="41"/>
    </row>
    <row r="250" spans="2:14" ht="9.75" customHeight="1" x14ac:dyDescent="0.2">
      <c r="B250" s="38"/>
      <c r="C250" s="280" t="str">
        <f>"3:"</f>
        <v>3:</v>
      </c>
      <c r="D250" s="278" t="s">
        <v>925</v>
      </c>
      <c r="E250" s="40"/>
      <c r="F250" s="40"/>
      <c r="G250" s="40"/>
      <c r="H250" s="40"/>
      <c r="I250" s="40"/>
      <c r="J250" s="40"/>
      <c r="K250" s="41"/>
    </row>
    <row r="251" spans="2:14" ht="9.75" customHeight="1" x14ac:dyDescent="0.2">
      <c r="B251" s="38"/>
      <c r="C251" s="280" t="str">
        <f>"4:"</f>
        <v>4:</v>
      </c>
      <c r="D251" s="278" t="s">
        <v>926</v>
      </c>
      <c r="E251" s="40"/>
      <c r="F251" s="40"/>
      <c r="G251" s="40"/>
      <c r="H251" s="40"/>
      <c r="I251" s="40"/>
      <c r="J251" s="40"/>
      <c r="K251" s="41"/>
      <c r="N251" s="12" t="s">
        <v>661</v>
      </c>
    </row>
    <row r="252" spans="2:14" x14ac:dyDescent="0.2">
      <c r="B252" s="38"/>
      <c r="C252" s="174" t="s">
        <v>662</v>
      </c>
      <c r="D252" s="40"/>
      <c r="E252" s="40"/>
      <c r="F252" s="40"/>
      <c r="G252" s="40"/>
      <c r="H252" s="40"/>
      <c r="I252" s="40"/>
      <c r="J252" s="265" t="s">
        <v>661</v>
      </c>
      <c r="K252" s="41"/>
      <c r="N252" s="12" t="s">
        <v>894</v>
      </c>
    </row>
    <row r="253" spans="2:14" x14ac:dyDescent="0.2">
      <c r="B253" s="38"/>
      <c r="C253" s="174" t="s">
        <v>660</v>
      </c>
      <c r="D253" s="40"/>
      <c r="E253" s="40"/>
      <c r="F253" s="40"/>
      <c r="G253" s="40"/>
      <c r="H253" s="40"/>
      <c r="I253" s="40"/>
      <c r="J253" s="246" t="str">
        <f>IF(J252=N251,"N/A",IF(J252=N252,0,IF(J252=N253,1,IF(J252=N254,2,IF(J252=N255,3,IF(J252=N256,4,"N/A"))))))</f>
        <v>N/A</v>
      </c>
      <c r="K253" s="41"/>
      <c r="N253" s="12" t="s">
        <v>899</v>
      </c>
    </row>
    <row r="254" spans="2:14" x14ac:dyDescent="0.2">
      <c r="B254" s="38"/>
      <c r="C254" s="40" t="s">
        <v>257</v>
      </c>
      <c r="D254" s="40"/>
      <c r="E254" s="40"/>
      <c r="F254" s="40"/>
      <c r="G254" s="40"/>
      <c r="H254" s="40"/>
      <c r="I254" s="40"/>
      <c r="J254" s="266" t="s">
        <v>874</v>
      </c>
      <c r="K254" s="41"/>
      <c r="N254" s="12" t="s">
        <v>900</v>
      </c>
    </row>
    <row r="255" spans="2:14" x14ac:dyDescent="0.2">
      <c r="B255" s="38"/>
      <c r="C255" s="40" t="s">
        <v>261</v>
      </c>
      <c r="D255" s="40"/>
      <c r="E255" s="40"/>
      <c r="F255" s="40"/>
      <c r="G255" s="40"/>
      <c r="H255" s="40"/>
      <c r="I255" s="40"/>
      <c r="J255" s="245">
        <f>IF(J254=$B$973,$A$973,IF(J254=$B$974,$A$974,IF(J254=$B$975,$A$975,IF(J254=$B$976,$A$976,IF(J254=$B$977,$A$977,"Not Calculated")))))</f>
        <v>4</v>
      </c>
      <c r="K255" s="41"/>
      <c r="N255" s="12" t="s">
        <v>901</v>
      </c>
    </row>
    <row r="256" spans="2:14" x14ac:dyDescent="0.2">
      <c r="B256" s="38"/>
      <c r="C256" s="40" t="s">
        <v>893</v>
      </c>
      <c r="D256" s="40"/>
      <c r="E256" s="40"/>
      <c r="F256" s="40"/>
      <c r="G256" s="40"/>
      <c r="H256" s="40"/>
      <c r="I256" s="40"/>
      <c r="J256" s="40"/>
      <c r="K256" s="41"/>
      <c r="N256" s="12" t="s">
        <v>902</v>
      </c>
    </row>
    <row r="257" spans="2:11" ht="30" customHeight="1" x14ac:dyDescent="0.2">
      <c r="B257" s="38"/>
      <c r="C257" s="399" t="s">
        <v>565</v>
      </c>
      <c r="D257" s="400"/>
      <c r="E257" s="400"/>
      <c r="F257" s="400"/>
      <c r="G257" s="400"/>
      <c r="H257" s="400"/>
      <c r="I257" s="400"/>
      <c r="J257" s="401"/>
      <c r="K257" s="41"/>
    </row>
    <row r="258" spans="2:11" x14ac:dyDescent="0.2">
      <c r="B258" s="38"/>
      <c r="C258" s="40"/>
      <c r="D258" s="40"/>
      <c r="E258" s="40"/>
      <c r="F258" s="40"/>
      <c r="G258" s="40"/>
      <c r="H258" s="40"/>
      <c r="I258" s="40"/>
      <c r="J258" s="40"/>
      <c r="K258" s="41"/>
    </row>
    <row r="259" spans="2:11" x14ac:dyDescent="0.2">
      <c r="B259" s="38"/>
      <c r="C259" s="179" t="s">
        <v>279</v>
      </c>
      <c r="D259" s="40"/>
      <c r="E259" s="40"/>
      <c r="F259" s="40"/>
      <c r="G259" s="40"/>
      <c r="H259" s="40"/>
      <c r="I259" s="40"/>
      <c r="J259" s="245" t="str">
        <f>IF(J253="N/A",IF(OR(J246="Not Calculated",J255="Not Calculated")=TRUE,"Not Calculated",AVERAGE(J246,J255)),AVERAGE(J253,J255))</f>
        <v>Not Calculated</v>
      </c>
      <c r="K259" s="41"/>
    </row>
    <row r="260" spans="2:11" x14ac:dyDescent="0.2">
      <c r="B260" s="38"/>
      <c r="C260" s="40"/>
      <c r="D260" s="40"/>
      <c r="E260" s="40"/>
      <c r="F260" s="40"/>
      <c r="G260" s="40"/>
      <c r="H260" s="40"/>
      <c r="I260" s="40"/>
      <c r="J260" s="40"/>
      <c r="K260" s="41"/>
    </row>
    <row r="261" spans="2:11" ht="18" x14ac:dyDescent="0.2">
      <c r="B261" s="38"/>
      <c r="C261" s="180" t="s">
        <v>272</v>
      </c>
      <c r="D261" s="40"/>
      <c r="E261" s="40"/>
      <c r="F261" s="40"/>
      <c r="G261" s="40"/>
      <c r="H261" s="40"/>
      <c r="I261" s="40"/>
      <c r="J261" s="244" t="str">
        <f>IF(OR(J157="Not Calculated",J178="Not Calculated",J198="Not Calculated",J218="Not Calculated",J239="Not Calculated",J259="Not Calculated",)=TRUE,"Not Calculated",AVERAGE(J157,J178,J198,J218,J239,J259))</f>
        <v>Not Calculated</v>
      </c>
      <c r="K261" s="41"/>
    </row>
    <row r="262" spans="2:11" ht="16" thickBot="1" x14ac:dyDescent="0.25">
      <c r="B262" s="46"/>
      <c r="C262" s="47"/>
      <c r="D262" s="47"/>
      <c r="E262" s="47"/>
      <c r="F262" s="47"/>
      <c r="G262" s="47"/>
      <c r="H262" s="47"/>
      <c r="I262" s="47"/>
      <c r="J262" s="47"/>
      <c r="K262" s="49"/>
    </row>
    <row r="263" spans="2:11" ht="16" thickBot="1" x14ac:dyDescent="0.25"/>
    <row r="264" spans="2:11" x14ac:dyDescent="0.2">
      <c r="B264" s="33"/>
      <c r="C264" s="34"/>
      <c r="D264" s="34"/>
      <c r="E264" s="34"/>
      <c r="F264" s="34"/>
      <c r="G264" s="34"/>
      <c r="H264" s="34"/>
      <c r="I264" s="34"/>
      <c r="J264" s="34"/>
      <c r="K264" s="37"/>
    </row>
    <row r="265" spans="2:11" ht="21" x14ac:dyDescent="0.25">
      <c r="B265" s="38"/>
      <c r="C265" s="40"/>
      <c r="D265" s="40"/>
      <c r="E265" s="40"/>
      <c r="F265" s="40"/>
      <c r="G265" s="172" t="s">
        <v>864</v>
      </c>
      <c r="H265" s="40"/>
      <c r="I265" s="40"/>
      <c r="J265" s="40"/>
      <c r="K265" s="41"/>
    </row>
    <row r="266" spans="2:11" ht="15" customHeight="1" x14ac:dyDescent="0.2">
      <c r="B266" s="38"/>
      <c r="C266" s="40"/>
      <c r="D266" s="40"/>
      <c r="E266" s="40"/>
      <c r="F266" s="40"/>
      <c r="G266" s="40"/>
      <c r="H266" s="40"/>
      <c r="I266" s="40"/>
      <c r="J266" s="40"/>
      <c r="K266" s="41"/>
    </row>
    <row r="267" spans="2:11" ht="16" x14ac:dyDescent="0.2">
      <c r="B267" s="38"/>
      <c r="C267" s="45" t="s">
        <v>80</v>
      </c>
      <c r="D267" s="40"/>
      <c r="E267" s="40"/>
      <c r="F267" s="40"/>
      <c r="G267" s="40"/>
      <c r="H267" s="40"/>
      <c r="I267" s="40"/>
      <c r="J267" s="40"/>
      <c r="K267" s="41"/>
    </row>
    <row r="268" spans="2:11" x14ac:dyDescent="0.2">
      <c r="B268" s="38"/>
      <c r="C268" s="40" t="s">
        <v>283</v>
      </c>
      <c r="D268" s="40"/>
      <c r="E268" s="40"/>
      <c r="F268" s="40"/>
      <c r="G268" s="40"/>
      <c r="H268" s="40"/>
      <c r="I268" s="40"/>
      <c r="J268" s="250">
        <f>'Baseline Health'!G88</f>
        <v>0</v>
      </c>
      <c r="K268" s="41"/>
    </row>
    <row r="269" spans="2:11" x14ac:dyDescent="0.2">
      <c r="B269" s="38"/>
      <c r="C269" s="40" t="s">
        <v>284</v>
      </c>
      <c r="D269" s="40"/>
      <c r="E269" s="40"/>
      <c r="F269" s="40"/>
      <c r="G269" s="40"/>
      <c r="H269" s="40"/>
      <c r="I269" s="40"/>
      <c r="J269" s="264">
        <v>10</v>
      </c>
      <c r="K269" s="41"/>
    </row>
    <row r="270" spans="2:11" x14ac:dyDescent="0.2">
      <c r="B270" s="38"/>
      <c r="C270" s="40" t="s">
        <v>285</v>
      </c>
      <c r="D270" s="40"/>
      <c r="E270" s="40"/>
      <c r="F270" s="40"/>
      <c r="G270" s="40"/>
      <c r="H270" s="40"/>
      <c r="I270" s="40"/>
      <c r="J270" s="259">
        <f>'Baseline Health'!G93</f>
        <v>0</v>
      </c>
      <c r="K270" s="41"/>
    </row>
    <row r="271" spans="2:11" x14ac:dyDescent="0.2">
      <c r="B271" s="38"/>
      <c r="C271" s="40" t="s">
        <v>286</v>
      </c>
      <c r="D271" s="40"/>
      <c r="E271" s="40"/>
      <c r="F271" s="40"/>
      <c r="G271" s="40"/>
      <c r="H271" s="40"/>
      <c r="I271" s="40"/>
      <c r="J271" s="250">
        <f>J184</f>
        <v>250</v>
      </c>
      <c r="K271" s="41"/>
    </row>
    <row r="272" spans="2:11" x14ac:dyDescent="0.2">
      <c r="B272" s="38"/>
      <c r="C272" s="40"/>
      <c r="D272" s="40" t="s">
        <v>432</v>
      </c>
      <c r="E272" s="40"/>
      <c r="F272" s="40"/>
      <c r="G272" s="40"/>
      <c r="H272" s="40"/>
      <c r="I272" s="40"/>
      <c r="J272" s="40"/>
      <c r="K272" s="41"/>
    </row>
    <row r="273" spans="2:14" x14ac:dyDescent="0.2">
      <c r="B273" s="38"/>
      <c r="C273" s="40" t="s">
        <v>292</v>
      </c>
      <c r="D273" s="40"/>
      <c r="E273" s="40"/>
      <c r="F273" s="40"/>
      <c r="G273" s="40"/>
      <c r="H273" s="40"/>
      <c r="I273" s="40"/>
      <c r="J273" s="258" t="str">
        <f>'Baseline Health'!G97</f>
        <v>N/A</v>
      </c>
      <c r="K273" s="41"/>
    </row>
    <row r="274" spans="2:14" x14ac:dyDescent="0.2">
      <c r="B274" s="38"/>
      <c r="C274" s="40" t="s">
        <v>293</v>
      </c>
      <c r="D274" s="40"/>
      <c r="E274" s="40"/>
      <c r="F274" s="40"/>
      <c r="G274" s="40"/>
      <c r="H274" s="40"/>
      <c r="I274" s="40"/>
      <c r="J274" s="258" t="str">
        <f>IF(J273="N/A","N/A",IF(J268-J269=0,"No Nurses",((J270+J271)/(J268-J269))))</f>
        <v>N/A</v>
      </c>
      <c r="K274" s="41"/>
    </row>
    <row r="275" spans="2:14" x14ac:dyDescent="0.2">
      <c r="B275" s="38"/>
      <c r="C275" s="40" t="s">
        <v>260</v>
      </c>
      <c r="D275" s="40"/>
      <c r="E275" s="40"/>
      <c r="F275" s="40"/>
      <c r="G275" s="40"/>
      <c r="H275" s="40"/>
      <c r="I275" s="40"/>
      <c r="J275" s="245">
        <f>IF(J273=0,"Not Calculated",IF(J274="N/A",0,IF(J274="No Nurses",4,IF((J274/J273)&lt;=1,0,IF((J274/J273)&lt;=1.1,1,IF((J274/J273)&lt;=1=1.25,2,IF((J274/J273)&lt;=1.5,3,4)))))))</f>
        <v>0</v>
      </c>
      <c r="K275" s="41"/>
    </row>
    <row r="276" spans="2:14" ht="9.75" customHeight="1" x14ac:dyDescent="0.2">
      <c r="B276" s="38"/>
      <c r="C276" s="279" t="str">
        <f>"0:"</f>
        <v>0:</v>
      </c>
      <c r="D276" s="278" t="s">
        <v>927</v>
      </c>
      <c r="E276" s="40"/>
      <c r="F276" s="40"/>
      <c r="G276" s="40"/>
      <c r="H276" s="40"/>
      <c r="I276" s="40"/>
      <c r="J276" s="258"/>
      <c r="K276" s="41"/>
    </row>
    <row r="277" spans="2:14" ht="9.75" customHeight="1" x14ac:dyDescent="0.2">
      <c r="B277" s="38"/>
      <c r="C277" s="280" t="str">
        <f>"1:"</f>
        <v>1:</v>
      </c>
      <c r="D277" s="278" t="s">
        <v>928</v>
      </c>
      <c r="E277" s="40"/>
      <c r="F277" s="40"/>
      <c r="G277" s="40"/>
      <c r="H277" s="40"/>
      <c r="I277" s="40"/>
      <c r="J277" s="258"/>
      <c r="K277" s="41"/>
    </row>
    <row r="278" spans="2:14" ht="9.75" customHeight="1" x14ac:dyDescent="0.2">
      <c r="B278" s="38"/>
      <c r="C278" s="280" t="str">
        <f>"2:"</f>
        <v>2:</v>
      </c>
      <c r="D278" s="278" t="s">
        <v>929</v>
      </c>
      <c r="E278" s="40"/>
      <c r="F278" s="40"/>
      <c r="G278" s="40"/>
      <c r="H278" s="40"/>
      <c r="I278" s="40"/>
      <c r="J278" s="258"/>
      <c r="K278" s="41"/>
    </row>
    <row r="279" spans="2:14" ht="9.75" customHeight="1" x14ac:dyDescent="0.2">
      <c r="B279" s="38"/>
      <c r="C279" s="280" t="str">
        <f>"3:"</f>
        <v>3:</v>
      </c>
      <c r="D279" s="278" t="s">
        <v>930</v>
      </c>
      <c r="E279" s="40"/>
      <c r="F279" s="40"/>
      <c r="G279" s="40"/>
      <c r="H279" s="40"/>
      <c r="I279" s="40"/>
      <c r="J279" s="258"/>
      <c r="K279" s="41"/>
    </row>
    <row r="280" spans="2:14" ht="9.75" customHeight="1" x14ac:dyDescent="0.2">
      <c r="B280" s="38"/>
      <c r="C280" s="280" t="str">
        <f>"4:"</f>
        <v>4:</v>
      </c>
      <c r="D280" s="278" t="s">
        <v>931</v>
      </c>
      <c r="E280" s="40"/>
      <c r="F280" s="40"/>
      <c r="G280" s="40"/>
      <c r="H280" s="40"/>
      <c r="I280" s="40"/>
      <c r="J280" s="40"/>
      <c r="K280" s="41"/>
      <c r="N280" s="12" t="s">
        <v>661</v>
      </c>
    </row>
    <row r="281" spans="2:14" x14ac:dyDescent="0.2">
      <c r="B281" s="38"/>
      <c r="C281" s="174" t="s">
        <v>662</v>
      </c>
      <c r="D281" s="40"/>
      <c r="E281" s="40"/>
      <c r="F281" s="40"/>
      <c r="G281" s="40"/>
      <c r="H281" s="40"/>
      <c r="I281" s="40"/>
      <c r="J281" s="265" t="s">
        <v>661</v>
      </c>
      <c r="K281" s="41"/>
      <c r="N281" s="12" t="s">
        <v>903</v>
      </c>
    </row>
    <row r="282" spans="2:14" x14ac:dyDescent="0.2">
      <c r="B282" s="38"/>
      <c r="C282" s="174" t="s">
        <v>660</v>
      </c>
      <c r="D282" s="40"/>
      <c r="E282" s="40"/>
      <c r="F282" s="40"/>
      <c r="G282" s="40"/>
      <c r="H282" s="40"/>
      <c r="I282" s="40"/>
      <c r="J282" s="246" t="str">
        <f>IF(J281=N280,"N/A",IF(J281=N281,0,IF(J281=N282,1,IF(J281=N283,2,IF(J281=N284,3,IF(J281=N285,4,"N/A"))))))</f>
        <v>N/A</v>
      </c>
      <c r="K282" s="41"/>
      <c r="N282" s="12" t="s">
        <v>904</v>
      </c>
    </row>
    <row r="283" spans="2:14" x14ac:dyDescent="0.2">
      <c r="B283" s="38"/>
      <c r="C283" s="40" t="s">
        <v>257</v>
      </c>
      <c r="D283" s="40"/>
      <c r="E283" s="40"/>
      <c r="F283" s="40"/>
      <c r="G283" s="40"/>
      <c r="H283" s="40"/>
      <c r="I283" s="40"/>
      <c r="J283" s="266" t="s">
        <v>874</v>
      </c>
      <c r="K283" s="41"/>
      <c r="N283" s="12" t="s">
        <v>905</v>
      </c>
    </row>
    <row r="284" spans="2:14" x14ac:dyDescent="0.2">
      <c r="B284" s="38"/>
      <c r="C284" s="40" t="s">
        <v>261</v>
      </c>
      <c r="D284" s="40"/>
      <c r="E284" s="40"/>
      <c r="F284" s="40"/>
      <c r="G284" s="40"/>
      <c r="H284" s="40"/>
      <c r="I284" s="40"/>
      <c r="J284" s="248">
        <f>IF(J283=$B$973,$A$973,IF(J283=$B$974,$A$974,IF(J283=$B$975,$A$975,IF(J283=$B$976,$A$976,IF(J283=$B$977,$A$977,"Not Calculated")))))</f>
        <v>4</v>
      </c>
      <c r="K284" s="41"/>
      <c r="N284" s="12" t="s">
        <v>906</v>
      </c>
    </row>
    <row r="285" spans="2:14" x14ac:dyDescent="0.2">
      <c r="B285" s="38"/>
      <c r="C285" s="40" t="s">
        <v>893</v>
      </c>
      <c r="D285" s="40"/>
      <c r="E285" s="40"/>
      <c r="F285" s="40"/>
      <c r="G285" s="40"/>
      <c r="H285" s="40"/>
      <c r="I285" s="40"/>
      <c r="J285" s="40"/>
      <c r="K285" s="41"/>
      <c r="N285" s="12" t="s">
        <v>907</v>
      </c>
    </row>
    <row r="286" spans="2:14" ht="30" customHeight="1" x14ac:dyDescent="0.2">
      <c r="B286" s="38"/>
      <c r="C286" s="399" t="s">
        <v>1220</v>
      </c>
      <c r="D286" s="400"/>
      <c r="E286" s="400"/>
      <c r="F286" s="400"/>
      <c r="G286" s="400"/>
      <c r="H286" s="400"/>
      <c r="I286" s="400"/>
      <c r="J286" s="401"/>
      <c r="K286" s="41"/>
    </row>
    <row r="287" spans="2:14" x14ac:dyDescent="0.2">
      <c r="B287" s="38"/>
      <c r="C287" s="40"/>
      <c r="D287" s="40"/>
      <c r="E287" s="40"/>
      <c r="F287" s="40"/>
      <c r="G287" s="40"/>
      <c r="H287" s="40"/>
      <c r="I287" s="40"/>
      <c r="J287" s="40"/>
      <c r="K287" s="41"/>
    </row>
    <row r="288" spans="2:14" x14ac:dyDescent="0.2">
      <c r="B288" s="38"/>
      <c r="C288" s="179" t="s">
        <v>295</v>
      </c>
      <c r="D288" s="40"/>
      <c r="E288" s="40"/>
      <c r="F288" s="40"/>
      <c r="G288" s="40"/>
      <c r="H288" s="40"/>
      <c r="I288" s="40"/>
      <c r="J288" s="245">
        <f>IF(J282="N/A",IF(OR(J275="Not Calculated",J284="Not Calculated")=TRUE,"Not Calculated",AVERAGE(J275,J284)),AVERAGE(J282,J284))</f>
        <v>2</v>
      </c>
      <c r="K288" s="41"/>
    </row>
    <row r="289" spans="2:11" x14ac:dyDescent="0.2">
      <c r="B289" s="38"/>
      <c r="C289" s="40"/>
      <c r="D289" s="40"/>
      <c r="E289" s="40"/>
      <c r="F289" s="40"/>
      <c r="G289" s="40"/>
      <c r="H289" s="40"/>
      <c r="I289" s="40"/>
      <c r="J289" s="245"/>
      <c r="K289" s="41"/>
    </row>
    <row r="290" spans="2:11" x14ac:dyDescent="0.2">
      <c r="B290" s="38"/>
      <c r="C290" s="40"/>
      <c r="D290" s="40"/>
      <c r="E290" s="40"/>
      <c r="F290" s="40"/>
      <c r="G290" s="40"/>
      <c r="H290" s="40"/>
      <c r="I290" s="40"/>
      <c r="J290" s="40"/>
      <c r="K290" s="41"/>
    </row>
    <row r="291" spans="2:11" ht="16" x14ac:dyDescent="0.2">
      <c r="B291" s="38"/>
      <c r="C291" s="45" t="s">
        <v>856</v>
      </c>
      <c r="D291" s="40"/>
      <c r="E291" s="40"/>
      <c r="F291" s="40"/>
      <c r="G291" s="40"/>
      <c r="H291" s="40"/>
      <c r="I291" s="40"/>
      <c r="J291" s="40"/>
      <c r="K291" s="41"/>
    </row>
    <row r="292" spans="2:11" ht="15" customHeight="1" x14ac:dyDescent="0.2">
      <c r="B292" s="38"/>
      <c r="C292" s="380" t="s">
        <v>855</v>
      </c>
      <c r="D292" s="380"/>
      <c r="E292" s="380"/>
      <c r="F292" s="380"/>
      <c r="G292" s="380"/>
      <c r="H292" s="380"/>
      <c r="I292" s="380"/>
      <c r="J292" s="40"/>
      <c r="K292" s="41"/>
    </row>
    <row r="293" spans="2:11" x14ac:dyDescent="0.2">
      <c r="B293" s="38"/>
      <c r="C293" s="380"/>
      <c r="D293" s="380"/>
      <c r="E293" s="380"/>
      <c r="F293" s="380"/>
      <c r="G293" s="380"/>
      <c r="H293" s="380"/>
      <c r="I293" s="380"/>
      <c r="J293" s="264">
        <v>367</v>
      </c>
      <c r="K293" s="41"/>
    </row>
    <row r="294" spans="2:11" x14ac:dyDescent="0.2">
      <c r="B294" s="38"/>
      <c r="C294" s="40" t="s">
        <v>853</v>
      </c>
      <c r="D294" s="291"/>
      <c r="E294" s="291"/>
      <c r="F294" s="291"/>
      <c r="G294" s="291"/>
      <c r="H294" s="291"/>
      <c r="I294" s="291"/>
      <c r="J294" s="255">
        <f>'Baseline Health'!$G$102</f>
        <v>0</v>
      </c>
      <c r="K294" s="41"/>
    </row>
    <row r="295" spans="2:11" x14ac:dyDescent="0.2">
      <c r="B295" s="38"/>
      <c r="C295" s="40" t="s">
        <v>842</v>
      </c>
      <c r="D295" s="40"/>
      <c r="E295" s="40"/>
      <c r="F295" s="40"/>
      <c r="G295" s="40"/>
      <c r="H295" s="40"/>
      <c r="I295" s="40"/>
      <c r="J295" s="244" t="str">
        <f>IF('Baseline Health'!$G$102=0,"Not Calculated",100*J293/'Baseline Health'!$G$102)</f>
        <v>Not Calculated</v>
      </c>
      <c r="K295" s="41"/>
    </row>
    <row r="296" spans="2:11" x14ac:dyDescent="0.2">
      <c r="B296" s="38"/>
      <c r="C296" s="40" t="s">
        <v>260</v>
      </c>
      <c r="D296" s="40"/>
      <c r="E296" s="40"/>
      <c r="F296" s="40"/>
      <c r="G296" s="40"/>
      <c r="H296" s="40"/>
      <c r="I296" s="40"/>
      <c r="J296" s="245">
        <f>IF(J295&lt;=0,0,IF(J295&lt;=1,1,IF(J295&lt;=5,2,IF(J295&lt;=10,3,4))))</f>
        <v>4</v>
      </c>
      <c r="K296" s="41"/>
    </row>
    <row r="297" spans="2:11" ht="9.75" customHeight="1" x14ac:dyDescent="0.2">
      <c r="B297" s="38"/>
      <c r="C297" s="279" t="str">
        <f>"0:"</f>
        <v>0:</v>
      </c>
      <c r="D297" s="278" t="s">
        <v>932</v>
      </c>
      <c r="E297" s="40"/>
      <c r="F297" s="40"/>
      <c r="G297" s="40"/>
      <c r="H297" s="40"/>
      <c r="I297" s="40"/>
      <c r="J297" s="244"/>
      <c r="K297" s="41"/>
    </row>
    <row r="298" spans="2:11" ht="9.75" customHeight="1" x14ac:dyDescent="0.2">
      <c r="B298" s="38"/>
      <c r="C298" s="280" t="str">
        <f>"1:"</f>
        <v>1:</v>
      </c>
      <c r="D298" s="278" t="s">
        <v>934</v>
      </c>
      <c r="E298" s="40"/>
      <c r="F298" s="40"/>
      <c r="G298" s="40"/>
      <c r="H298" s="40"/>
      <c r="I298" s="40"/>
      <c r="J298" s="244"/>
      <c r="K298" s="41"/>
    </row>
    <row r="299" spans="2:11" ht="9.75" customHeight="1" x14ac:dyDescent="0.2">
      <c r="B299" s="38"/>
      <c r="C299" s="280" t="str">
        <f>"2:"</f>
        <v>2:</v>
      </c>
      <c r="D299" s="278" t="s">
        <v>933</v>
      </c>
      <c r="E299" s="40"/>
      <c r="F299" s="40"/>
      <c r="G299" s="40"/>
      <c r="H299" s="40"/>
      <c r="I299" s="40"/>
      <c r="J299" s="244"/>
      <c r="K299" s="41"/>
    </row>
    <row r="300" spans="2:11" ht="9.75" customHeight="1" x14ac:dyDescent="0.2">
      <c r="B300" s="38"/>
      <c r="C300" s="280" t="str">
        <f>"3:"</f>
        <v>3:</v>
      </c>
      <c r="D300" s="278" t="s">
        <v>935</v>
      </c>
      <c r="E300" s="40"/>
      <c r="F300" s="40"/>
      <c r="G300" s="40"/>
      <c r="H300" s="40"/>
      <c r="I300" s="40"/>
      <c r="J300" s="244"/>
      <c r="K300" s="41"/>
    </row>
    <row r="301" spans="2:11" ht="9.75" customHeight="1" x14ac:dyDescent="0.2">
      <c r="B301" s="38"/>
      <c r="C301" s="280" t="str">
        <f>"4:"</f>
        <v>4:</v>
      </c>
      <c r="D301" s="278" t="s">
        <v>936</v>
      </c>
      <c r="E301" s="40"/>
      <c r="F301" s="40"/>
      <c r="G301" s="40"/>
      <c r="H301" s="40"/>
      <c r="I301" s="40"/>
      <c r="J301" s="40"/>
      <c r="K301" s="41"/>
    </row>
    <row r="302" spans="2:11" x14ac:dyDescent="0.2">
      <c r="B302" s="38"/>
      <c r="C302" s="40" t="s">
        <v>257</v>
      </c>
      <c r="D302" s="40"/>
      <c r="E302" s="40"/>
      <c r="F302" s="40"/>
      <c r="G302" s="40"/>
      <c r="H302" s="40"/>
      <c r="I302" s="40"/>
      <c r="J302" s="266" t="s">
        <v>878</v>
      </c>
      <c r="K302" s="41"/>
    </row>
    <row r="303" spans="2:11" x14ac:dyDescent="0.2">
      <c r="B303" s="38"/>
      <c r="C303" s="40" t="s">
        <v>261</v>
      </c>
      <c r="D303" s="40"/>
      <c r="E303" s="40"/>
      <c r="F303" s="40"/>
      <c r="G303" s="40"/>
      <c r="H303" s="40"/>
      <c r="I303" s="40"/>
      <c r="J303" s="245">
        <f>IF(J302=$B$980,$A$980,IF(J302=$B$981,$A$981,IF(J302=$B$982,$A$982,IF(J302=$B$983,$A$983,IF(J302=$B$984,$A$984,"Not Calculated")))))</f>
        <v>4</v>
      </c>
      <c r="K303" s="41"/>
    </row>
    <row r="304" spans="2:11" x14ac:dyDescent="0.2">
      <c r="B304" s="38"/>
      <c r="C304" s="40" t="s">
        <v>893</v>
      </c>
      <c r="D304" s="40"/>
      <c r="E304" s="40"/>
      <c r="F304" s="40"/>
      <c r="G304" s="40"/>
      <c r="H304" s="40"/>
      <c r="I304" s="40"/>
      <c r="J304" s="40"/>
      <c r="K304" s="41"/>
    </row>
    <row r="305" spans="2:11" ht="30" customHeight="1" x14ac:dyDescent="0.2">
      <c r="B305" s="38"/>
      <c r="C305" s="399" t="s">
        <v>1221</v>
      </c>
      <c r="D305" s="400"/>
      <c r="E305" s="400"/>
      <c r="F305" s="400"/>
      <c r="G305" s="400"/>
      <c r="H305" s="400"/>
      <c r="I305" s="400"/>
      <c r="J305" s="401"/>
      <c r="K305" s="41"/>
    </row>
    <row r="306" spans="2:11" x14ac:dyDescent="0.2">
      <c r="B306" s="38"/>
      <c r="C306" s="40"/>
      <c r="D306" s="40"/>
      <c r="E306" s="40"/>
      <c r="F306" s="40"/>
      <c r="G306" s="40"/>
      <c r="H306" s="40"/>
      <c r="I306" s="40"/>
      <c r="J306" s="40"/>
      <c r="K306" s="41"/>
    </row>
    <row r="307" spans="2:11" x14ac:dyDescent="0.2">
      <c r="B307" s="38"/>
      <c r="C307" s="179" t="s">
        <v>885</v>
      </c>
      <c r="D307" s="40"/>
      <c r="E307" s="40"/>
      <c r="F307" s="40"/>
      <c r="G307" s="40"/>
      <c r="H307" s="40"/>
      <c r="I307" s="40"/>
      <c r="J307" s="245">
        <f>IF(OR(J296="Not Calculated",J303="Not Calculated")=TRUE,"Not Calculated",AVERAGE(J296,J303))</f>
        <v>4</v>
      </c>
      <c r="K307" s="41"/>
    </row>
    <row r="308" spans="2:11" x14ac:dyDescent="0.2">
      <c r="B308" s="38"/>
      <c r="C308" s="40"/>
      <c r="D308" s="40"/>
      <c r="E308" s="40"/>
      <c r="F308" s="40"/>
      <c r="G308" s="40"/>
      <c r="H308" s="40"/>
      <c r="I308" s="40"/>
      <c r="J308" s="40"/>
      <c r="K308" s="41"/>
    </row>
    <row r="309" spans="2:11" x14ac:dyDescent="0.2">
      <c r="B309" s="38"/>
      <c r="C309" s="40"/>
      <c r="D309" s="40"/>
      <c r="E309" s="40"/>
      <c r="F309" s="40"/>
      <c r="G309" s="40"/>
      <c r="H309" s="40"/>
      <c r="I309" s="40"/>
      <c r="J309" s="40"/>
      <c r="K309" s="41"/>
    </row>
    <row r="310" spans="2:11" ht="16" x14ac:dyDescent="0.2">
      <c r="B310" s="38"/>
      <c r="C310" s="45" t="s">
        <v>857</v>
      </c>
      <c r="D310" s="40"/>
      <c r="E310" s="40"/>
      <c r="F310" s="40"/>
      <c r="G310" s="40"/>
      <c r="H310" s="40"/>
      <c r="I310" s="40"/>
      <c r="J310" s="40"/>
      <c r="K310" s="41"/>
    </row>
    <row r="311" spans="2:11" ht="15" customHeight="1" x14ac:dyDescent="0.2">
      <c r="B311" s="38"/>
      <c r="C311" s="380" t="s">
        <v>843</v>
      </c>
      <c r="D311" s="380"/>
      <c r="E311" s="380"/>
      <c r="F311" s="380"/>
      <c r="G311" s="380"/>
      <c r="H311" s="380"/>
      <c r="I311" s="380"/>
      <c r="J311" s="40"/>
      <c r="K311" s="41"/>
    </row>
    <row r="312" spans="2:11" x14ac:dyDescent="0.2">
      <c r="B312" s="38"/>
      <c r="C312" s="380"/>
      <c r="D312" s="380"/>
      <c r="E312" s="380"/>
      <c r="F312" s="380"/>
      <c r="G312" s="380"/>
      <c r="H312" s="380"/>
      <c r="I312" s="380"/>
      <c r="J312" s="264">
        <v>367</v>
      </c>
      <c r="K312" s="41"/>
    </row>
    <row r="313" spans="2:11" x14ac:dyDescent="0.2">
      <c r="B313" s="38"/>
      <c r="C313" s="40" t="s">
        <v>853</v>
      </c>
      <c r="D313" s="291"/>
      <c r="E313" s="291"/>
      <c r="F313" s="291"/>
      <c r="G313" s="291"/>
      <c r="H313" s="291"/>
      <c r="I313" s="291"/>
      <c r="J313" s="255">
        <f>'Baseline Health'!$G$102</f>
        <v>0</v>
      </c>
      <c r="K313" s="41"/>
    </row>
    <row r="314" spans="2:11" x14ac:dyDescent="0.2">
      <c r="B314" s="38"/>
      <c r="C314" s="40" t="s">
        <v>842</v>
      </c>
      <c r="D314" s="40"/>
      <c r="E314" s="40"/>
      <c r="F314" s="40"/>
      <c r="G314" s="40"/>
      <c r="H314" s="40"/>
      <c r="I314" s="40"/>
      <c r="J314" s="244" t="str">
        <f>IF('Baseline Health'!$G$102=0,"Not Calculated",100*J312/'Baseline Health'!$G$102)</f>
        <v>Not Calculated</v>
      </c>
      <c r="K314" s="41"/>
    </row>
    <row r="315" spans="2:11" x14ac:dyDescent="0.2">
      <c r="B315" s="38"/>
      <c r="C315" s="40" t="s">
        <v>260</v>
      </c>
      <c r="D315" s="40"/>
      <c r="E315" s="40"/>
      <c r="F315" s="40"/>
      <c r="G315" s="40"/>
      <c r="H315" s="40"/>
      <c r="I315" s="40"/>
      <c r="J315" s="245">
        <f>IF(J314&lt;=0,0,IF(J314&lt;=1,1,IF(J314&lt;=5,2,IF(J314&lt;=10,3,4))))</f>
        <v>4</v>
      </c>
      <c r="K315" s="41"/>
    </row>
    <row r="316" spans="2:11" ht="9.75" customHeight="1" x14ac:dyDescent="0.2">
      <c r="B316" s="38"/>
      <c r="C316" s="279" t="str">
        <f>"0:"</f>
        <v>0:</v>
      </c>
      <c r="D316" s="278" t="s">
        <v>932</v>
      </c>
      <c r="E316" s="40"/>
      <c r="F316" s="40"/>
      <c r="G316" s="40"/>
      <c r="H316" s="40"/>
      <c r="I316" s="40"/>
      <c r="J316" s="244"/>
      <c r="K316" s="41"/>
    </row>
    <row r="317" spans="2:11" ht="9.75" customHeight="1" x14ac:dyDescent="0.2">
      <c r="B317" s="38"/>
      <c r="C317" s="280" t="str">
        <f>"1:"</f>
        <v>1:</v>
      </c>
      <c r="D317" s="278" t="s">
        <v>934</v>
      </c>
      <c r="E317" s="40"/>
      <c r="F317" s="40"/>
      <c r="G317" s="40"/>
      <c r="H317" s="40"/>
      <c r="I317" s="40"/>
      <c r="J317" s="244"/>
      <c r="K317" s="41"/>
    </row>
    <row r="318" spans="2:11" ht="9.75" customHeight="1" x14ac:dyDescent="0.2">
      <c r="B318" s="38"/>
      <c r="C318" s="280" t="str">
        <f>"2:"</f>
        <v>2:</v>
      </c>
      <c r="D318" s="278" t="s">
        <v>933</v>
      </c>
      <c r="E318" s="40"/>
      <c r="F318" s="40"/>
      <c r="G318" s="40"/>
      <c r="H318" s="40"/>
      <c r="I318" s="40"/>
      <c r="J318" s="244"/>
      <c r="K318" s="41"/>
    </row>
    <row r="319" spans="2:11" ht="9.75" customHeight="1" x14ac:dyDescent="0.2">
      <c r="B319" s="38"/>
      <c r="C319" s="280" t="str">
        <f>"3:"</f>
        <v>3:</v>
      </c>
      <c r="D319" s="278" t="s">
        <v>935</v>
      </c>
      <c r="E319" s="40"/>
      <c r="F319" s="40"/>
      <c r="G319" s="40"/>
      <c r="H319" s="40"/>
      <c r="I319" s="40"/>
      <c r="J319" s="244"/>
      <c r="K319" s="41"/>
    </row>
    <row r="320" spans="2:11" ht="9.75" customHeight="1" x14ac:dyDescent="0.2">
      <c r="B320" s="38"/>
      <c r="C320" s="280" t="str">
        <f>"4:"</f>
        <v>4:</v>
      </c>
      <c r="D320" s="278" t="s">
        <v>936</v>
      </c>
      <c r="E320" s="40"/>
      <c r="F320" s="40"/>
      <c r="G320" s="40"/>
      <c r="H320" s="40"/>
      <c r="I320" s="40"/>
      <c r="J320" s="40"/>
      <c r="K320" s="41"/>
    </row>
    <row r="321" spans="2:11" x14ac:dyDescent="0.2">
      <c r="B321" s="38"/>
      <c r="C321" s="40" t="s">
        <v>296</v>
      </c>
      <c r="D321" s="40"/>
      <c r="E321" s="40"/>
      <c r="F321" s="40"/>
      <c r="G321" s="40"/>
      <c r="H321" s="40"/>
      <c r="I321" s="40"/>
      <c r="J321" s="266">
        <v>0</v>
      </c>
      <c r="K321" s="41"/>
    </row>
    <row r="322" spans="2:11" x14ac:dyDescent="0.2">
      <c r="B322" s="38"/>
      <c r="C322" s="40" t="s">
        <v>261</v>
      </c>
      <c r="D322" s="40"/>
      <c r="E322" s="40"/>
      <c r="F322" s="40"/>
      <c r="G322" s="40"/>
      <c r="H322" s="40"/>
      <c r="I322" s="40"/>
      <c r="J322" s="245">
        <f>IF(J321&lt;=0,0,IF(J321&lt;=2,1,IF(J321&lt;=6,2,IF(J321&lt;=12,3,4))))</f>
        <v>0</v>
      </c>
      <c r="K322" s="41"/>
    </row>
    <row r="323" spans="2:11" x14ac:dyDescent="0.2">
      <c r="B323" s="38"/>
      <c r="C323" s="40" t="s">
        <v>893</v>
      </c>
      <c r="D323" s="40"/>
      <c r="E323" s="40"/>
      <c r="F323" s="40"/>
      <c r="G323" s="40"/>
      <c r="H323" s="40"/>
      <c r="I323" s="40"/>
      <c r="J323" s="40"/>
      <c r="K323" s="41"/>
    </row>
    <row r="324" spans="2:11" ht="30" customHeight="1" x14ac:dyDescent="0.2">
      <c r="B324" s="38"/>
      <c r="C324" s="399" t="s">
        <v>1222</v>
      </c>
      <c r="D324" s="400"/>
      <c r="E324" s="400"/>
      <c r="F324" s="400"/>
      <c r="G324" s="400"/>
      <c r="H324" s="400"/>
      <c r="I324" s="400"/>
      <c r="J324" s="401"/>
      <c r="K324" s="41"/>
    </row>
    <row r="325" spans="2:11" x14ac:dyDescent="0.2">
      <c r="B325" s="38"/>
      <c r="C325" s="40"/>
      <c r="D325" s="40"/>
      <c r="E325" s="40"/>
      <c r="F325" s="40"/>
      <c r="G325" s="40"/>
      <c r="H325" s="40"/>
      <c r="I325" s="40"/>
      <c r="J325" s="40"/>
      <c r="K325" s="41"/>
    </row>
    <row r="326" spans="2:11" x14ac:dyDescent="0.2">
      <c r="B326" s="38"/>
      <c r="C326" s="179" t="s">
        <v>886</v>
      </c>
      <c r="D326" s="40"/>
      <c r="E326" s="40"/>
      <c r="F326" s="40"/>
      <c r="G326" s="40"/>
      <c r="H326" s="40"/>
      <c r="I326" s="40"/>
      <c r="J326" s="245">
        <f>IF(OR(J315="Not Calculated",J322="Not Calculated")=TRUE,"Not Calculated",AVERAGE(J315,J322))</f>
        <v>2</v>
      </c>
      <c r="K326" s="41"/>
    </row>
    <row r="327" spans="2:11" x14ac:dyDescent="0.2">
      <c r="B327" s="38"/>
      <c r="C327" s="40"/>
      <c r="D327" s="40"/>
      <c r="E327" s="40"/>
      <c r="F327" s="40"/>
      <c r="G327" s="40"/>
      <c r="H327" s="40"/>
      <c r="I327" s="40"/>
      <c r="J327" s="40"/>
      <c r="K327" s="41"/>
    </row>
    <row r="328" spans="2:11" x14ac:dyDescent="0.2">
      <c r="B328" s="38"/>
      <c r="C328" s="40"/>
      <c r="D328" s="40"/>
      <c r="E328" s="40"/>
      <c r="F328" s="40"/>
      <c r="G328" s="40"/>
      <c r="H328" s="40"/>
      <c r="I328" s="40"/>
      <c r="J328" s="40"/>
      <c r="K328" s="41"/>
    </row>
    <row r="329" spans="2:11" ht="16" x14ac:dyDescent="0.2">
      <c r="B329" s="38"/>
      <c r="C329" s="45" t="s">
        <v>858</v>
      </c>
      <c r="D329" s="40"/>
      <c r="E329" s="40"/>
      <c r="F329" s="40"/>
      <c r="G329" s="40"/>
      <c r="H329" s="40"/>
      <c r="I329" s="40"/>
      <c r="J329" s="40"/>
      <c r="K329" s="41"/>
    </row>
    <row r="330" spans="2:11" ht="15" customHeight="1" x14ac:dyDescent="0.2">
      <c r="B330" s="38"/>
      <c r="C330" s="380" t="s">
        <v>844</v>
      </c>
      <c r="D330" s="380"/>
      <c r="E330" s="380"/>
      <c r="F330" s="380"/>
      <c r="G330" s="380"/>
      <c r="H330" s="380"/>
      <c r="I330" s="380"/>
      <c r="J330" s="40"/>
      <c r="K330" s="41"/>
    </row>
    <row r="331" spans="2:11" x14ac:dyDescent="0.2">
      <c r="B331" s="38"/>
      <c r="C331" s="380"/>
      <c r="D331" s="380"/>
      <c r="E331" s="380"/>
      <c r="F331" s="380"/>
      <c r="G331" s="380"/>
      <c r="H331" s="380"/>
      <c r="I331" s="380"/>
      <c r="J331" s="264">
        <v>60</v>
      </c>
      <c r="K331" s="41"/>
    </row>
    <row r="332" spans="2:11" x14ac:dyDescent="0.2">
      <c r="B332" s="38"/>
      <c r="C332" s="40" t="s">
        <v>853</v>
      </c>
      <c r="D332" s="291"/>
      <c r="E332" s="291"/>
      <c r="F332" s="291"/>
      <c r="G332" s="291"/>
      <c r="H332" s="291"/>
      <c r="I332" s="291"/>
      <c r="J332" s="255">
        <f>'Baseline Health'!$G$102</f>
        <v>0</v>
      </c>
      <c r="K332" s="41"/>
    </row>
    <row r="333" spans="2:11" x14ac:dyDescent="0.2">
      <c r="B333" s="38"/>
      <c r="C333" s="40" t="s">
        <v>845</v>
      </c>
      <c r="D333" s="40"/>
      <c r="E333" s="40"/>
      <c r="F333" s="40"/>
      <c r="G333" s="40"/>
      <c r="H333" s="40"/>
      <c r="I333" s="40"/>
      <c r="J333" s="244" t="str">
        <f>IF('Baseline Health'!$G$102=0,"Not Calculated",100*J331/'Baseline Health'!$G$102)</f>
        <v>Not Calculated</v>
      </c>
      <c r="K333" s="41"/>
    </row>
    <row r="334" spans="2:11" x14ac:dyDescent="0.2">
      <c r="B334" s="38"/>
      <c r="C334" s="40" t="s">
        <v>260</v>
      </c>
      <c r="D334" s="40"/>
      <c r="E334" s="40"/>
      <c r="F334" s="40"/>
      <c r="G334" s="40"/>
      <c r="H334" s="40"/>
      <c r="I334" s="40"/>
      <c r="J334" s="245">
        <f>IF(J333&lt;=0,0,IF(J333&lt;=1,1,IF(J333&lt;=5,2,IF(J333&lt;=10,3,4))))</f>
        <v>4</v>
      </c>
      <c r="K334" s="41"/>
    </row>
    <row r="335" spans="2:11" ht="9.75" customHeight="1" x14ac:dyDescent="0.2">
      <c r="B335" s="38"/>
      <c r="C335" s="279" t="str">
        <f>"0:"</f>
        <v>0:</v>
      </c>
      <c r="D335" s="278" t="s">
        <v>932</v>
      </c>
      <c r="E335" s="40"/>
      <c r="F335" s="40"/>
      <c r="G335" s="40"/>
      <c r="H335" s="40"/>
      <c r="I335" s="40"/>
      <c r="J335" s="244"/>
      <c r="K335" s="41"/>
    </row>
    <row r="336" spans="2:11" ht="9.75" customHeight="1" x14ac:dyDescent="0.2">
      <c r="B336" s="38"/>
      <c r="C336" s="280" t="str">
        <f>"1:"</f>
        <v>1:</v>
      </c>
      <c r="D336" s="278" t="s">
        <v>934</v>
      </c>
      <c r="E336" s="40"/>
      <c r="F336" s="40"/>
      <c r="G336" s="40"/>
      <c r="H336" s="40"/>
      <c r="I336" s="40"/>
      <c r="J336" s="244"/>
      <c r="K336" s="41"/>
    </row>
    <row r="337" spans="2:11" ht="9.75" customHeight="1" x14ac:dyDescent="0.2">
      <c r="B337" s="38"/>
      <c r="C337" s="280" t="str">
        <f>"2:"</f>
        <v>2:</v>
      </c>
      <c r="D337" s="278" t="s">
        <v>933</v>
      </c>
      <c r="E337" s="40"/>
      <c r="F337" s="40"/>
      <c r="G337" s="40"/>
      <c r="H337" s="40"/>
      <c r="I337" s="40"/>
      <c r="J337" s="244"/>
      <c r="K337" s="41"/>
    </row>
    <row r="338" spans="2:11" ht="9.75" customHeight="1" x14ac:dyDescent="0.2">
      <c r="B338" s="38"/>
      <c r="C338" s="280" t="str">
        <f>"3:"</f>
        <v>3:</v>
      </c>
      <c r="D338" s="278" t="s">
        <v>935</v>
      </c>
      <c r="E338" s="40"/>
      <c r="F338" s="40"/>
      <c r="G338" s="40"/>
      <c r="H338" s="40"/>
      <c r="I338" s="40"/>
      <c r="J338" s="244"/>
      <c r="K338" s="41"/>
    </row>
    <row r="339" spans="2:11" ht="9.75" customHeight="1" x14ac:dyDescent="0.2">
      <c r="B339" s="38"/>
      <c r="C339" s="280" t="str">
        <f>"4:"</f>
        <v>4:</v>
      </c>
      <c r="D339" s="278" t="s">
        <v>936</v>
      </c>
      <c r="E339" s="40"/>
      <c r="F339" s="40"/>
      <c r="G339" s="40"/>
      <c r="H339" s="40"/>
      <c r="I339" s="40"/>
      <c r="J339" s="40"/>
      <c r="K339" s="41"/>
    </row>
    <row r="340" spans="2:11" ht="15" customHeight="1" x14ac:dyDescent="0.2">
      <c r="B340" s="38"/>
      <c r="C340" s="380" t="s">
        <v>84</v>
      </c>
      <c r="D340" s="380"/>
      <c r="E340" s="380"/>
      <c r="F340" s="380"/>
      <c r="G340" s="380"/>
      <c r="H340" s="380"/>
      <c r="I340" s="380"/>
      <c r="J340" s="245"/>
      <c r="K340" s="41"/>
    </row>
    <row r="341" spans="2:11" x14ac:dyDescent="0.2">
      <c r="B341" s="38"/>
      <c r="C341" s="380"/>
      <c r="D341" s="380"/>
      <c r="E341" s="380"/>
      <c r="F341" s="380"/>
      <c r="G341" s="380"/>
      <c r="H341" s="380"/>
      <c r="I341" s="380"/>
      <c r="J341" s="245">
        <f>'Baseline Health'!G108</f>
        <v>40</v>
      </c>
      <c r="K341" s="41"/>
    </row>
    <row r="342" spans="2:11" ht="15" customHeight="1" x14ac:dyDescent="0.2">
      <c r="B342" s="38"/>
      <c r="C342" s="40" t="s">
        <v>833</v>
      </c>
      <c r="D342" s="40"/>
      <c r="E342" s="40"/>
      <c r="F342" s="40"/>
      <c r="G342" s="40"/>
      <c r="H342" s="40"/>
      <c r="I342" s="40"/>
      <c r="J342" s="245">
        <f>IF(J341&gt;J321,0,J321-J341)</f>
        <v>0</v>
      </c>
      <c r="K342" s="41"/>
    </row>
    <row r="343" spans="2:11" ht="15" customHeight="1" x14ac:dyDescent="0.2">
      <c r="B343" s="38"/>
      <c r="C343" s="40"/>
      <c r="D343" s="380" t="s">
        <v>834</v>
      </c>
      <c r="E343" s="380"/>
      <c r="F343" s="380"/>
      <c r="G343" s="380"/>
      <c r="H343" s="380"/>
      <c r="I343" s="380"/>
      <c r="J343" s="40"/>
      <c r="K343" s="41"/>
    </row>
    <row r="344" spans="2:11" x14ac:dyDescent="0.2">
      <c r="B344" s="38"/>
      <c r="C344" s="40"/>
      <c r="D344" s="380"/>
      <c r="E344" s="380"/>
      <c r="F344" s="380"/>
      <c r="G344" s="380"/>
      <c r="H344" s="380"/>
      <c r="I344" s="380"/>
      <c r="J344" s="40"/>
      <c r="K344" s="41"/>
    </row>
    <row r="345" spans="2:11" x14ac:dyDescent="0.2">
      <c r="B345" s="38"/>
      <c r="C345" s="40" t="s">
        <v>261</v>
      </c>
      <c r="D345" s="40"/>
      <c r="E345" s="40"/>
      <c r="F345" s="40"/>
      <c r="G345" s="40"/>
      <c r="H345" s="40"/>
      <c r="I345" s="40"/>
      <c r="J345" s="245">
        <f>IF(J342&lt;=0,0,IF(J342&lt;=2,1,IF(J342&lt;=6,2,IF(J342&lt;=12,3,4))))</f>
        <v>0</v>
      </c>
      <c r="K345" s="41"/>
    </row>
    <row r="346" spans="2:11" x14ac:dyDescent="0.2">
      <c r="B346" s="38"/>
      <c r="C346" s="40" t="s">
        <v>893</v>
      </c>
      <c r="D346" s="40"/>
      <c r="E346" s="40"/>
      <c r="F346" s="40"/>
      <c r="G346" s="40"/>
      <c r="H346" s="40"/>
      <c r="I346" s="40"/>
      <c r="J346" s="40"/>
      <c r="K346" s="41"/>
    </row>
    <row r="347" spans="2:11" ht="30" customHeight="1" x14ac:dyDescent="0.2">
      <c r="B347" s="38"/>
      <c r="C347" s="399" t="s">
        <v>1223</v>
      </c>
      <c r="D347" s="400"/>
      <c r="E347" s="400"/>
      <c r="F347" s="400"/>
      <c r="G347" s="400"/>
      <c r="H347" s="400"/>
      <c r="I347" s="400"/>
      <c r="J347" s="401"/>
      <c r="K347" s="41"/>
    </row>
    <row r="348" spans="2:11" x14ac:dyDescent="0.2">
      <c r="B348" s="38"/>
      <c r="C348" s="40"/>
      <c r="D348" s="40"/>
      <c r="E348" s="40"/>
      <c r="F348" s="40"/>
      <c r="G348" s="40"/>
      <c r="H348" s="40"/>
      <c r="I348" s="40"/>
      <c r="J348" s="40"/>
      <c r="K348" s="41"/>
    </row>
    <row r="349" spans="2:11" x14ac:dyDescent="0.2">
      <c r="B349" s="38"/>
      <c r="C349" s="179" t="s">
        <v>887</v>
      </c>
      <c r="D349" s="40"/>
      <c r="E349" s="40"/>
      <c r="F349" s="40"/>
      <c r="G349" s="40"/>
      <c r="H349" s="40"/>
      <c r="I349" s="40"/>
      <c r="J349" s="245">
        <f>IF(OR(J334="Not Calculated",J345="Not Calculated")=TRUE,"Not Calculated",AVERAGE(J334,J345))</f>
        <v>2</v>
      </c>
      <c r="K349" s="41"/>
    </row>
    <row r="350" spans="2:11" x14ac:dyDescent="0.2">
      <c r="B350" s="38"/>
      <c r="C350" s="40"/>
      <c r="D350" s="40"/>
      <c r="E350" s="40"/>
      <c r="F350" s="40"/>
      <c r="G350" s="40"/>
      <c r="H350" s="40"/>
      <c r="I350" s="40"/>
      <c r="J350" s="40"/>
      <c r="K350" s="41"/>
    </row>
    <row r="351" spans="2:11" x14ac:dyDescent="0.2">
      <c r="B351" s="38"/>
      <c r="C351" s="40"/>
      <c r="D351" s="40"/>
      <c r="E351" s="40"/>
      <c r="F351" s="40"/>
      <c r="G351" s="40"/>
      <c r="H351" s="40"/>
      <c r="I351" s="40"/>
      <c r="J351" s="40"/>
      <c r="K351" s="41"/>
    </row>
    <row r="352" spans="2:11" ht="15" customHeight="1" x14ac:dyDescent="0.2">
      <c r="B352" s="38"/>
      <c r="C352" s="45" t="s">
        <v>859</v>
      </c>
      <c r="D352" s="40"/>
      <c r="E352" s="40"/>
      <c r="F352" s="40"/>
      <c r="G352" s="40"/>
      <c r="H352" s="40"/>
      <c r="I352" s="40"/>
      <c r="J352" s="40"/>
      <c r="K352" s="41"/>
    </row>
    <row r="353" spans="2:11" x14ac:dyDescent="0.2">
      <c r="B353" s="38"/>
      <c r="C353" s="40" t="s">
        <v>846</v>
      </c>
      <c r="D353" s="40"/>
      <c r="E353" s="40"/>
      <c r="F353" s="40"/>
      <c r="G353" s="40"/>
      <c r="H353" s="40"/>
      <c r="I353" s="40"/>
      <c r="J353" s="264">
        <v>367</v>
      </c>
      <c r="K353" s="41"/>
    </row>
    <row r="354" spans="2:11" x14ac:dyDescent="0.2">
      <c r="B354" s="38"/>
      <c r="C354" s="40" t="s">
        <v>854</v>
      </c>
      <c r="D354" s="40"/>
      <c r="E354" s="40"/>
      <c r="F354" s="40"/>
      <c r="G354" s="40"/>
      <c r="H354" s="40"/>
      <c r="I354" s="40"/>
      <c r="J354" s="255">
        <f>'Baseline Health'!$G$59</f>
        <v>0</v>
      </c>
      <c r="K354" s="41"/>
    </row>
    <row r="355" spans="2:11" x14ac:dyDescent="0.2">
      <c r="B355" s="38"/>
      <c r="C355" s="40" t="s">
        <v>847</v>
      </c>
      <c r="D355" s="40"/>
      <c r="E355" s="40"/>
      <c r="F355" s="40"/>
      <c r="G355" s="40"/>
      <c r="H355" s="40"/>
      <c r="I355" s="40"/>
      <c r="J355" s="244" t="str">
        <f>IF(J353=0,0,IF('Baseline Health'!G$59=0,"Not Calculated",100*J353/'Baseline Health'!$G$59))</f>
        <v>Not Calculated</v>
      </c>
      <c r="K355" s="41"/>
    </row>
    <row r="356" spans="2:11" x14ac:dyDescent="0.2">
      <c r="B356" s="38"/>
      <c r="C356" s="40" t="s">
        <v>260</v>
      </c>
      <c r="D356" s="40"/>
      <c r="E356" s="40"/>
      <c r="F356" s="40"/>
      <c r="G356" s="40"/>
      <c r="H356" s="40"/>
      <c r="I356" s="40"/>
      <c r="J356" s="245">
        <f>IF(J355&lt;=0,0,IF(J355&lt;=5,1,IF(J355&lt;=10,2,IF(J355&lt;=25,3,4))))</f>
        <v>4</v>
      </c>
      <c r="K356" s="41"/>
    </row>
    <row r="357" spans="2:11" ht="9.75" customHeight="1" x14ac:dyDescent="0.2">
      <c r="B357" s="38"/>
      <c r="C357" s="279" t="str">
        <f>"0:"</f>
        <v>0:</v>
      </c>
      <c r="D357" s="278" t="s">
        <v>932</v>
      </c>
      <c r="E357" s="40"/>
      <c r="F357" s="40"/>
      <c r="G357" s="40"/>
      <c r="H357" s="40"/>
      <c r="I357" s="40"/>
      <c r="J357" s="244"/>
      <c r="K357" s="41"/>
    </row>
    <row r="358" spans="2:11" ht="9.75" customHeight="1" x14ac:dyDescent="0.2">
      <c r="B358" s="38"/>
      <c r="C358" s="280" t="str">
        <f>"1:"</f>
        <v>1:</v>
      </c>
      <c r="D358" s="278" t="s">
        <v>933</v>
      </c>
      <c r="E358" s="40"/>
      <c r="F358" s="40"/>
      <c r="G358" s="40"/>
      <c r="H358" s="40"/>
      <c r="I358" s="40"/>
      <c r="J358" s="244"/>
      <c r="K358" s="41"/>
    </row>
    <row r="359" spans="2:11" ht="9.75" customHeight="1" x14ac:dyDescent="0.2">
      <c r="B359" s="38"/>
      <c r="C359" s="280" t="str">
        <f>"2:"</f>
        <v>2:</v>
      </c>
      <c r="D359" s="278" t="s">
        <v>935</v>
      </c>
      <c r="E359" s="40"/>
      <c r="F359" s="40"/>
      <c r="G359" s="40"/>
      <c r="H359" s="40"/>
      <c r="I359" s="40"/>
      <c r="J359" s="244"/>
      <c r="K359" s="41"/>
    </row>
    <row r="360" spans="2:11" ht="9.75" customHeight="1" x14ac:dyDescent="0.2">
      <c r="B360" s="38"/>
      <c r="C360" s="280" t="str">
        <f>"3:"</f>
        <v>3:</v>
      </c>
      <c r="D360" s="278" t="s">
        <v>937</v>
      </c>
      <c r="E360" s="40"/>
      <c r="F360" s="40"/>
      <c r="G360" s="40"/>
      <c r="H360" s="40"/>
      <c r="I360" s="40"/>
      <c r="J360" s="244"/>
      <c r="K360" s="41"/>
    </row>
    <row r="361" spans="2:11" ht="9.75" customHeight="1" x14ac:dyDescent="0.2">
      <c r="B361" s="38"/>
      <c r="C361" s="280" t="str">
        <f>"4:"</f>
        <v>4:</v>
      </c>
      <c r="D361" s="278" t="s">
        <v>938</v>
      </c>
      <c r="E361" s="40"/>
      <c r="F361" s="40"/>
      <c r="G361" s="40"/>
      <c r="H361" s="40"/>
      <c r="I361" s="40"/>
      <c r="J361" s="40"/>
      <c r="K361" s="41"/>
    </row>
    <row r="362" spans="2:11" x14ac:dyDescent="0.2">
      <c r="B362" s="38"/>
      <c r="C362" s="40" t="s">
        <v>257</v>
      </c>
      <c r="D362" s="40"/>
      <c r="E362" s="40"/>
      <c r="F362" s="40"/>
      <c r="G362" s="40"/>
      <c r="H362" s="40"/>
      <c r="I362" s="40"/>
      <c r="J362" s="266" t="s">
        <v>878</v>
      </c>
      <c r="K362" s="41"/>
    </row>
    <row r="363" spans="2:11" x14ac:dyDescent="0.2">
      <c r="B363" s="38"/>
      <c r="C363" s="40" t="s">
        <v>261</v>
      </c>
      <c r="D363" s="40"/>
      <c r="E363" s="40"/>
      <c r="F363" s="40"/>
      <c r="G363" s="40"/>
      <c r="H363" s="40"/>
      <c r="I363" s="40"/>
      <c r="J363" s="245">
        <f>IF(J362=$B$980,$A$980,IF(J362=$B$981,$A$981,IF(J362=$B$982,$A$982,IF(J362=$B$983,$A$983,IF(J362=$B$984,$A$984,"Not Calculated")))))</f>
        <v>4</v>
      </c>
      <c r="K363" s="41"/>
    </row>
    <row r="364" spans="2:11" x14ac:dyDescent="0.2">
      <c r="B364" s="38"/>
      <c r="C364" s="40" t="s">
        <v>893</v>
      </c>
      <c r="D364" s="40"/>
      <c r="E364" s="40"/>
      <c r="F364" s="40"/>
      <c r="G364" s="40"/>
      <c r="H364" s="40"/>
      <c r="I364" s="40"/>
      <c r="J364" s="40"/>
      <c r="K364" s="41"/>
    </row>
    <row r="365" spans="2:11" ht="30" customHeight="1" x14ac:dyDescent="0.2">
      <c r="B365" s="38"/>
      <c r="C365" s="399" t="s">
        <v>1222</v>
      </c>
      <c r="D365" s="400"/>
      <c r="E365" s="400"/>
      <c r="F365" s="400"/>
      <c r="G365" s="400"/>
      <c r="H365" s="400"/>
      <c r="I365" s="400"/>
      <c r="J365" s="401"/>
      <c r="K365" s="41"/>
    </row>
    <row r="366" spans="2:11" x14ac:dyDescent="0.2">
      <c r="B366" s="38"/>
      <c r="C366" s="40"/>
      <c r="D366" s="40"/>
      <c r="E366" s="40"/>
      <c r="F366" s="40"/>
      <c r="G366" s="40"/>
      <c r="H366" s="40"/>
      <c r="I366" s="40"/>
      <c r="J366" s="40"/>
      <c r="K366" s="41"/>
    </row>
    <row r="367" spans="2:11" x14ac:dyDescent="0.2">
      <c r="B367" s="38"/>
      <c r="C367" s="179" t="s">
        <v>888</v>
      </c>
      <c r="D367" s="40"/>
      <c r="E367" s="40"/>
      <c r="F367" s="40"/>
      <c r="G367" s="40"/>
      <c r="H367" s="40"/>
      <c r="I367" s="40"/>
      <c r="J367" s="245">
        <f>IF(OR(J356="Not Calculated",J363="Not Calculated")=TRUE,"Not Calculated",AVERAGE(J356,J363))</f>
        <v>4</v>
      </c>
      <c r="K367" s="41"/>
    </row>
    <row r="368" spans="2:11" x14ac:dyDescent="0.2">
      <c r="B368" s="38"/>
      <c r="C368" s="40"/>
      <c r="D368" s="40"/>
      <c r="E368" s="40"/>
      <c r="F368" s="40"/>
      <c r="G368" s="40"/>
      <c r="H368" s="40"/>
      <c r="I368" s="40"/>
      <c r="J368" s="40"/>
      <c r="K368" s="41"/>
    </row>
    <row r="369" spans="2:11" x14ac:dyDescent="0.2">
      <c r="B369" s="38"/>
      <c r="C369" s="40"/>
      <c r="D369" s="40"/>
      <c r="E369" s="40"/>
      <c r="F369" s="40"/>
      <c r="G369" s="40"/>
      <c r="H369" s="40"/>
      <c r="I369" s="40"/>
      <c r="J369" s="40"/>
      <c r="K369" s="41"/>
    </row>
    <row r="370" spans="2:11" ht="16" x14ac:dyDescent="0.2">
      <c r="B370" s="38"/>
      <c r="C370" s="45" t="s">
        <v>863</v>
      </c>
      <c r="D370" s="40"/>
      <c r="E370" s="40"/>
      <c r="F370" s="40"/>
      <c r="G370" s="40"/>
      <c r="H370" s="40"/>
      <c r="I370" s="40"/>
      <c r="J370" s="40"/>
      <c r="K370" s="41"/>
    </row>
    <row r="371" spans="2:11" ht="15" customHeight="1" x14ac:dyDescent="0.2">
      <c r="B371" s="38"/>
      <c r="C371" s="380" t="s">
        <v>848</v>
      </c>
      <c r="D371" s="380"/>
      <c r="E371" s="380"/>
      <c r="F371" s="380"/>
      <c r="G371" s="380"/>
      <c r="H371" s="380"/>
      <c r="I371" s="380"/>
      <c r="J371" s="181"/>
      <c r="K371" s="41"/>
    </row>
    <row r="372" spans="2:11" x14ac:dyDescent="0.2">
      <c r="B372" s="38"/>
      <c r="C372" s="380"/>
      <c r="D372" s="380"/>
      <c r="E372" s="380"/>
      <c r="F372" s="380"/>
      <c r="G372" s="380"/>
      <c r="H372" s="380"/>
      <c r="I372" s="380"/>
      <c r="J372" s="264">
        <v>367</v>
      </c>
      <c r="K372" s="41"/>
    </row>
    <row r="373" spans="2:11" x14ac:dyDescent="0.2">
      <c r="B373" s="38"/>
      <c r="C373" s="40" t="s">
        <v>853</v>
      </c>
      <c r="D373" s="291"/>
      <c r="E373" s="291"/>
      <c r="F373" s="291"/>
      <c r="G373" s="291"/>
      <c r="H373" s="291"/>
      <c r="I373" s="291"/>
      <c r="J373" s="255">
        <f>'Baseline Health'!$G$102</f>
        <v>0</v>
      </c>
      <c r="K373" s="41"/>
    </row>
    <row r="374" spans="2:11" x14ac:dyDescent="0.2">
      <c r="B374" s="38"/>
      <c r="C374" s="40" t="s">
        <v>842</v>
      </c>
      <c r="D374" s="291"/>
      <c r="E374" s="291"/>
      <c r="F374" s="291"/>
      <c r="G374" s="291"/>
      <c r="H374" s="291"/>
      <c r="I374" s="291"/>
      <c r="J374" s="244" t="str">
        <f>IF('Baseline Health'!$G$102=0,"Not Calculated",100*J372/'Baseline Health'!$G$102)</f>
        <v>Not Calculated</v>
      </c>
      <c r="K374" s="41"/>
    </row>
    <row r="375" spans="2:11" x14ac:dyDescent="0.2">
      <c r="B375" s="38"/>
      <c r="C375" s="40" t="s">
        <v>260</v>
      </c>
      <c r="D375" s="40"/>
      <c r="E375" s="40"/>
      <c r="F375" s="40"/>
      <c r="G375" s="40"/>
      <c r="H375" s="40"/>
      <c r="I375" s="40"/>
      <c r="J375" s="251">
        <f>IF(J374&lt;=0,0,IF(J374&lt;=1,1,IF(J374&lt;=5,2,IF(J374&lt;=10,3,4))))</f>
        <v>4</v>
      </c>
      <c r="K375" s="41"/>
    </row>
    <row r="376" spans="2:11" ht="9.75" customHeight="1" x14ac:dyDescent="0.2">
      <c r="B376" s="38"/>
      <c r="C376" s="279" t="str">
        <f>"0:"</f>
        <v>0:</v>
      </c>
      <c r="D376" s="278" t="s">
        <v>932</v>
      </c>
      <c r="E376" s="291"/>
      <c r="F376" s="291"/>
      <c r="G376" s="291"/>
      <c r="H376" s="291"/>
      <c r="I376" s="291"/>
      <c r="J376" s="244"/>
      <c r="K376" s="41"/>
    </row>
    <row r="377" spans="2:11" ht="9.75" customHeight="1" x14ac:dyDescent="0.2">
      <c r="B377" s="38"/>
      <c r="C377" s="280" t="str">
        <f>"1:"</f>
        <v>1:</v>
      </c>
      <c r="D377" s="278" t="s">
        <v>934</v>
      </c>
      <c r="E377" s="291"/>
      <c r="F377" s="291"/>
      <c r="G377" s="291"/>
      <c r="H377" s="291"/>
      <c r="I377" s="291"/>
      <c r="J377" s="244"/>
      <c r="K377" s="41"/>
    </row>
    <row r="378" spans="2:11" ht="9.75" customHeight="1" x14ac:dyDescent="0.2">
      <c r="B378" s="38"/>
      <c r="C378" s="280" t="str">
        <f>"2:"</f>
        <v>2:</v>
      </c>
      <c r="D378" s="278" t="s">
        <v>933</v>
      </c>
      <c r="E378" s="291"/>
      <c r="F378" s="291"/>
      <c r="G378" s="291"/>
      <c r="H378" s="291"/>
      <c r="I378" s="291"/>
      <c r="J378" s="244"/>
      <c r="K378" s="41"/>
    </row>
    <row r="379" spans="2:11" ht="9.75" customHeight="1" x14ac:dyDescent="0.2">
      <c r="B379" s="38"/>
      <c r="C379" s="280" t="str">
        <f>"3:"</f>
        <v>3:</v>
      </c>
      <c r="D379" s="278" t="s">
        <v>935</v>
      </c>
      <c r="E379" s="291"/>
      <c r="F379" s="291"/>
      <c r="G379" s="291"/>
      <c r="H379" s="291"/>
      <c r="I379" s="291"/>
      <c r="J379" s="244"/>
      <c r="K379" s="41"/>
    </row>
    <row r="380" spans="2:11" ht="9.75" customHeight="1" x14ac:dyDescent="0.2">
      <c r="B380" s="38"/>
      <c r="C380" s="280" t="str">
        <f>"4:"</f>
        <v>4:</v>
      </c>
      <c r="D380" s="278" t="s">
        <v>936</v>
      </c>
      <c r="E380" s="40"/>
      <c r="F380" s="40"/>
      <c r="G380" s="40"/>
      <c r="H380" s="40"/>
      <c r="I380" s="40"/>
      <c r="J380" s="40"/>
      <c r="K380" s="41"/>
    </row>
    <row r="381" spans="2:11" x14ac:dyDescent="0.2">
      <c r="B381" s="38"/>
      <c r="C381" s="40" t="s">
        <v>85</v>
      </c>
      <c r="D381" s="40"/>
      <c r="E381" s="40"/>
      <c r="F381" s="40"/>
      <c r="G381" s="40"/>
      <c r="H381" s="40"/>
      <c r="I381" s="40"/>
      <c r="J381" s="252">
        <f>'Baseline Health'!G114</f>
        <v>7</v>
      </c>
      <c r="K381" s="41"/>
    </row>
    <row r="382" spans="2:11" x14ac:dyDescent="0.2">
      <c r="B382" s="38"/>
      <c r="C382" s="40" t="s">
        <v>297</v>
      </c>
      <c r="D382" s="40"/>
      <c r="E382" s="40"/>
      <c r="F382" s="40"/>
      <c r="G382" s="40"/>
      <c r="H382" s="40"/>
      <c r="I382" s="40"/>
      <c r="J382" s="266">
        <v>7</v>
      </c>
      <c r="K382" s="41"/>
    </row>
    <row r="383" spans="2:11" x14ac:dyDescent="0.2">
      <c r="B383" s="38"/>
      <c r="C383" s="40" t="s">
        <v>261</v>
      </c>
      <c r="D383" s="40"/>
      <c r="E383" s="40"/>
      <c r="F383" s="40"/>
      <c r="G383" s="40"/>
      <c r="H383" s="40"/>
      <c r="I383" s="40"/>
      <c r="J383" s="248">
        <f>IF((J382-J381)&lt;1,0,IF((J382-J381)&lt;3,1,IF((J382-J381)&lt;5,2,IF((J382-J381)&lt;7,3,4))))</f>
        <v>0</v>
      </c>
      <c r="K383" s="41"/>
    </row>
    <row r="384" spans="2:11" x14ac:dyDescent="0.2">
      <c r="B384" s="38"/>
      <c r="C384" s="40" t="s">
        <v>893</v>
      </c>
      <c r="D384" s="40"/>
      <c r="E384" s="40"/>
      <c r="F384" s="40"/>
      <c r="G384" s="40"/>
      <c r="H384" s="40"/>
      <c r="I384" s="40"/>
      <c r="J384" s="40"/>
      <c r="K384" s="41"/>
    </row>
    <row r="385" spans="2:11" ht="30" customHeight="1" x14ac:dyDescent="0.2">
      <c r="B385" s="38"/>
      <c r="C385" s="399" t="s">
        <v>1222</v>
      </c>
      <c r="D385" s="400"/>
      <c r="E385" s="400"/>
      <c r="F385" s="400"/>
      <c r="G385" s="400"/>
      <c r="H385" s="400"/>
      <c r="I385" s="400"/>
      <c r="J385" s="401"/>
      <c r="K385" s="41"/>
    </row>
    <row r="386" spans="2:11" x14ac:dyDescent="0.2">
      <c r="B386" s="38"/>
      <c r="C386" s="40"/>
      <c r="D386" s="40"/>
      <c r="E386" s="40"/>
      <c r="F386" s="40"/>
      <c r="G386" s="40"/>
      <c r="H386" s="40"/>
      <c r="I386" s="40"/>
      <c r="J386" s="40"/>
      <c r="K386" s="41"/>
    </row>
    <row r="387" spans="2:11" x14ac:dyDescent="0.2">
      <c r="B387" s="38"/>
      <c r="C387" s="179" t="s">
        <v>889</v>
      </c>
      <c r="D387" s="40"/>
      <c r="E387" s="40"/>
      <c r="F387" s="40"/>
      <c r="G387" s="40"/>
      <c r="H387" s="40"/>
      <c r="I387" s="40"/>
      <c r="J387" s="245">
        <f>IF(OR(J375="Not Calculated",J383="Not Calculated")=TRUE,"Not Calculated",AVERAGE(J375,J383))</f>
        <v>2</v>
      </c>
      <c r="K387" s="41"/>
    </row>
    <row r="388" spans="2:11" x14ac:dyDescent="0.2">
      <c r="B388" s="38"/>
      <c r="C388" s="40"/>
      <c r="D388" s="40"/>
      <c r="E388" s="40"/>
      <c r="F388" s="40"/>
      <c r="G388" s="40"/>
      <c r="H388" s="40"/>
      <c r="I388" s="40"/>
      <c r="J388" s="40"/>
      <c r="K388" s="41"/>
    </row>
    <row r="389" spans="2:11" x14ac:dyDescent="0.2">
      <c r="B389" s="38"/>
      <c r="C389" s="40"/>
      <c r="D389" s="40"/>
      <c r="E389" s="40"/>
      <c r="F389" s="40"/>
      <c r="G389" s="40"/>
      <c r="H389" s="40"/>
      <c r="I389" s="40"/>
      <c r="J389" s="40"/>
      <c r="K389" s="41"/>
    </row>
    <row r="390" spans="2:11" ht="16" x14ac:dyDescent="0.2">
      <c r="B390" s="38"/>
      <c r="C390" s="45" t="s">
        <v>860</v>
      </c>
      <c r="D390" s="40"/>
      <c r="E390" s="40"/>
      <c r="F390" s="40"/>
      <c r="G390" s="40"/>
      <c r="H390" s="40"/>
      <c r="I390" s="40"/>
      <c r="J390" s="40"/>
      <c r="K390" s="41"/>
    </row>
    <row r="391" spans="2:11" x14ac:dyDescent="0.2">
      <c r="B391" s="38"/>
      <c r="C391" s="380" t="s">
        <v>849</v>
      </c>
      <c r="D391" s="380"/>
      <c r="E391" s="380"/>
      <c r="F391" s="380"/>
      <c r="G391" s="380"/>
      <c r="H391" s="380"/>
      <c r="I391" s="380"/>
      <c r="J391" s="181"/>
      <c r="K391" s="41"/>
    </row>
    <row r="392" spans="2:11" ht="15" customHeight="1" x14ac:dyDescent="0.2">
      <c r="B392" s="38"/>
      <c r="C392" s="380"/>
      <c r="D392" s="380"/>
      <c r="E392" s="380"/>
      <c r="F392" s="380"/>
      <c r="G392" s="380"/>
      <c r="H392" s="380"/>
      <c r="I392" s="380"/>
      <c r="J392" s="264">
        <v>183</v>
      </c>
      <c r="K392" s="41"/>
    </row>
    <row r="393" spans="2:11" ht="15" customHeight="1" x14ac:dyDescent="0.2">
      <c r="B393" s="38"/>
      <c r="C393" s="40" t="s">
        <v>853</v>
      </c>
      <c r="D393" s="291"/>
      <c r="E393" s="291"/>
      <c r="F393" s="291"/>
      <c r="G393" s="291"/>
      <c r="H393" s="291"/>
      <c r="I393" s="291"/>
      <c r="J393" s="255">
        <f>'Baseline Health'!$G$102</f>
        <v>0</v>
      </c>
      <c r="K393" s="41"/>
    </row>
    <row r="394" spans="2:11" ht="15" customHeight="1" x14ac:dyDescent="0.2">
      <c r="B394" s="38"/>
      <c r="C394" s="40" t="s">
        <v>850</v>
      </c>
      <c r="D394" s="291"/>
      <c r="E394" s="291"/>
      <c r="F394" s="291"/>
      <c r="G394" s="291"/>
      <c r="H394" s="291"/>
      <c r="I394" s="291"/>
      <c r="J394" s="244" t="str">
        <f>IF('Baseline Health'!$G$102=0,"Not Calculated",100*J392/'Baseline Health'!$G$102)</f>
        <v>Not Calculated</v>
      </c>
      <c r="K394" s="41"/>
    </row>
    <row r="395" spans="2:11" ht="15" customHeight="1" x14ac:dyDescent="0.2">
      <c r="B395" s="38"/>
      <c r="C395" s="40" t="s">
        <v>260</v>
      </c>
      <c r="D395" s="40"/>
      <c r="E395" s="40"/>
      <c r="F395" s="40"/>
      <c r="G395" s="40"/>
      <c r="H395" s="40"/>
      <c r="I395" s="40"/>
      <c r="J395" s="43">
        <f>IF(J394&lt;=0,0,IF(J394&lt;=1,1,IF(J394&lt;=5,2,IF(J394&lt;=10,3,4))))</f>
        <v>4</v>
      </c>
      <c r="K395" s="41"/>
    </row>
    <row r="396" spans="2:11" ht="9.75" customHeight="1" x14ac:dyDescent="0.2">
      <c r="B396" s="38"/>
      <c r="C396" s="279" t="str">
        <f>"0:"</f>
        <v>0:</v>
      </c>
      <c r="D396" s="278" t="s">
        <v>932</v>
      </c>
      <c r="E396" s="291"/>
      <c r="F396" s="291"/>
      <c r="G396" s="291"/>
      <c r="H396" s="291"/>
      <c r="I396" s="291"/>
      <c r="J396" s="244"/>
      <c r="K396" s="41"/>
    </row>
    <row r="397" spans="2:11" ht="9.75" customHeight="1" x14ac:dyDescent="0.2">
      <c r="B397" s="38"/>
      <c r="C397" s="280" t="str">
        <f>"1:"</f>
        <v>1:</v>
      </c>
      <c r="D397" s="278" t="s">
        <v>934</v>
      </c>
      <c r="E397" s="291"/>
      <c r="F397" s="291"/>
      <c r="G397" s="291"/>
      <c r="H397" s="291"/>
      <c r="I397" s="291"/>
      <c r="J397" s="244"/>
      <c r="K397" s="41"/>
    </row>
    <row r="398" spans="2:11" ht="9.75" customHeight="1" x14ac:dyDescent="0.2">
      <c r="B398" s="38"/>
      <c r="C398" s="280" t="str">
        <f>"2:"</f>
        <v>2:</v>
      </c>
      <c r="D398" s="278" t="s">
        <v>933</v>
      </c>
      <c r="E398" s="291"/>
      <c r="F398" s="291"/>
      <c r="G398" s="291"/>
      <c r="H398" s="291"/>
      <c r="I398" s="291"/>
      <c r="J398" s="244"/>
      <c r="K398" s="41"/>
    </row>
    <row r="399" spans="2:11" ht="9.75" customHeight="1" x14ac:dyDescent="0.2">
      <c r="B399" s="38"/>
      <c r="C399" s="280" t="str">
        <f>"3:"</f>
        <v>3:</v>
      </c>
      <c r="D399" s="278" t="s">
        <v>935</v>
      </c>
      <c r="E399" s="291"/>
      <c r="F399" s="291"/>
      <c r="G399" s="291"/>
      <c r="H399" s="291"/>
      <c r="I399" s="291"/>
      <c r="J399" s="244"/>
      <c r="K399" s="41"/>
    </row>
    <row r="400" spans="2:11" ht="9.75" customHeight="1" x14ac:dyDescent="0.2">
      <c r="B400" s="38"/>
      <c r="C400" s="280" t="str">
        <f>"4:"</f>
        <v>4:</v>
      </c>
      <c r="D400" s="278" t="s">
        <v>936</v>
      </c>
      <c r="E400" s="40"/>
      <c r="F400" s="40"/>
      <c r="G400" s="40"/>
      <c r="H400" s="40"/>
      <c r="I400" s="40"/>
      <c r="J400" s="40"/>
      <c r="K400" s="41"/>
    </row>
    <row r="401" spans="2:11" x14ac:dyDescent="0.2">
      <c r="B401" s="38"/>
      <c r="C401" s="40" t="s">
        <v>893</v>
      </c>
      <c r="D401" s="40"/>
      <c r="E401" s="40"/>
      <c r="F401" s="40"/>
      <c r="G401" s="40"/>
      <c r="H401" s="40"/>
      <c r="I401" s="40"/>
      <c r="J401" s="40"/>
      <c r="K401" s="41"/>
    </row>
    <row r="402" spans="2:11" ht="30" customHeight="1" x14ac:dyDescent="0.2">
      <c r="B402" s="38"/>
      <c r="C402" s="399" t="s">
        <v>1222</v>
      </c>
      <c r="D402" s="400"/>
      <c r="E402" s="400"/>
      <c r="F402" s="400"/>
      <c r="G402" s="400"/>
      <c r="H402" s="400"/>
      <c r="I402" s="400"/>
      <c r="J402" s="401"/>
      <c r="K402" s="41"/>
    </row>
    <row r="403" spans="2:11" x14ac:dyDescent="0.2">
      <c r="B403" s="38"/>
      <c r="C403" s="40"/>
      <c r="D403" s="40"/>
      <c r="E403" s="40"/>
      <c r="F403" s="40"/>
      <c r="G403" s="40"/>
      <c r="H403" s="40"/>
      <c r="I403" s="40"/>
      <c r="J403" s="40"/>
      <c r="K403" s="41"/>
    </row>
    <row r="404" spans="2:11" x14ac:dyDescent="0.2">
      <c r="B404" s="38"/>
      <c r="C404" s="179" t="s">
        <v>890</v>
      </c>
      <c r="D404" s="40"/>
      <c r="E404" s="40"/>
      <c r="F404" s="40"/>
      <c r="G404" s="40"/>
      <c r="H404" s="40"/>
      <c r="I404" s="40"/>
      <c r="J404" s="245">
        <f>J395</f>
        <v>4</v>
      </c>
      <c r="K404" s="41"/>
    </row>
    <row r="405" spans="2:11" x14ac:dyDescent="0.2">
      <c r="B405" s="38"/>
      <c r="C405" s="40"/>
      <c r="D405" s="40"/>
      <c r="E405" s="40"/>
      <c r="F405" s="40"/>
      <c r="G405" s="40"/>
      <c r="H405" s="40"/>
      <c r="I405" s="40"/>
      <c r="J405" s="40"/>
      <c r="K405" s="41"/>
    </row>
    <row r="406" spans="2:11" x14ac:dyDescent="0.2">
      <c r="B406" s="38"/>
      <c r="C406" s="40"/>
      <c r="D406" s="40"/>
      <c r="E406" s="40"/>
      <c r="F406" s="40"/>
      <c r="G406" s="40"/>
      <c r="H406" s="40"/>
      <c r="I406" s="40"/>
      <c r="J406" s="40"/>
      <c r="K406" s="41"/>
    </row>
    <row r="407" spans="2:11" ht="16" x14ac:dyDescent="0.2">
      <c r="B407" s="38"/>
      <c r="C407" s="45" t="s">
        <v>861</v>
      </c>
      <c r="D407" s="40"/>
      <c r="E407" s="40"/>
      <c r="F407" s="40"/>
      <c r="G407" s="40"/>
      <c r="H407" s="40"/>
      <c r="I407" s="40"/>
      <c r="J407" s="40"/>
      <c r="K407" s="41"/>
    </row>
    <row r="408" spans="2:11" x14ac:dyDescent="0.2">
      <c r="B408" s="38"/>
      <c r="C408" s="40" t="s">
        <v>298</v>
      </c>
      <c r="D408" s="40"/>
      <c r="E408" s="40"/>
      <c r="F408" s="40"/>
      <c r="G408" s="40"/>
      <c r="H408" s="40"/>
      <c r="I408" s="40"/>
      <c r="J408" s="269">
        <v>0</v>
      </c>
      <c r="K408" s="41"/>
    </row>
    <row r="409" spans="2:11" x14ac:dyDescent="0.2">
      <c r="B409" s="38"/>
      <c r="C409" s="40" t="s">
        <v>260</v>
      </c>
      <c r="D409" s="40"/>
      <c r="E409" s="40"/>
      <c r="F409" s="40"/>
      <c r="G409" s="40"/>
      <c r="H409" s="40"/>
      <c r="I409" s="40"/>
      <c r="J409" s="253">
        <f>IF(J408&lt;=0,0,IF(J408&lt;=(J161*0.01),1,IF(J408&lt;=(J161*0.05),2,IF(J408&lt;=(J161*0.1),3,4))))</f>
        <v>0</v>
      </c>
      <c r="K409" s="41"/>
    </row>
    <row r="410" spans="2:11" ht="9.75" customHeight="1" x14ac:dyDescent="0.2">
      <c r="B410" s="38"/>
      <c r="C410" s="279" t="str">
        <f>"0:"</f>
        <v>0:</v>
      </c>
      <c r="D410" s="278" t="s">
        <v>939</v>
      </c>
      <c r="E410" s="40"/>
      <c r="F410" s="40"/>
      <c r="G410" s="40"/>
      <c r="H410" s="40"/>
      <c r="I410" s="40"/>
      <c r="J410" s="282"/>
      <c r="K410" s="41"/>
    </row>
    <row r="411" spans="2:11" ht="9.75" customHeight="1" x14ac:dyDescent="0.2">
      <c r="B411" s="38"/>
      <c r="C411" s="280" t="str">
        <f>"1:"</f>
        <v>1:</v>
      </c>
      <c r="D411" s="278" t="s">
        <v>940</v>
      </c>
      <c r="E411" s="40"/>
      <c r="F411" s="40"/>
      <c r="G411" s="40"/>
      <c r="H411" s="40"/>
      <c r="I411" s="40"/>
      <c r="J411" s="282"/>
      <c r="K411" s="41"/>
    </row>
    <row r="412" spans="2:11" ht="9.75" customHeight="1" x14ac:dyDescent="0.2">
      <c r="B412" s="38"/>
      <c r="C412" s="280" t="str">
        <f>"2:"</f>
        <v>2:</v>
      </c>
      <c r="D412" s="278" t="s">
        <v>941</v>
      </c>
      <c r="E412" s="40"/>
      <c r="F412" s="40"/>
      <c r="G412" s="40"/>
      <c r="H412" s="40"/>
      <c r="I412" s="40"/>
      <c r="J412" s="282"/>
      <c r="K412" s="41"/>
    </row>
    <row r="413" spans="2:11" ht="9.75" customHeight="1" x14ac:dyDescent="0.2">
      <c r="B413" s="38"/>
      <c r="C413" s="280" t="str">
        <f>"3:"</f>
        <v>3:</v>
      </c>
      <c r="D413" s="278" t="s">
        <v>942</v>
      </c>
      <c r="E413" s="40"/>
      <c r="F413" s="40"/>
      <c r="G413" s="40"/>
      <c r="H413" s="40"/>
      <c r="I413" s="40"/>
      <c r="J413" s="282"/>
      <c r="K413" s="41"/>
    </row>
    <row r="414" spans="2:11" ht="9.75" customHeight="1" x14ac:dyDescent="0.2">
      <c r="B414" s="38"/>
      <c r="C414" s="280" t="str">
        <f>"4:"</f>
        <v>4:</v>
      </c>
      <c r="D414" s="278" t="s">
        <v>943</v>
      </c>
      <c r="E414" s="40"/>
      <c r="F414" s="40"/>
      <c r="G414" s="40"/>
      <c r="H414" s="40"/>
      <c r="I414" s="40"/>
      <c r="J414" s="40"/>
      <c r="K414" s="41"/>
    </row>
    <row r="415" spans="2:11" x14ac:dyDescent="0.2">
      <c r="B415" s="38"/>
      <c r="C415" s="40" t="s">
        <v>893</v>
      </c>
      <c r="D415" s="40"/>
      <c r="E415" s="40"/>
      <c r="F415" s="40"/>
      <c r="G415" s="40"/>
      <c r="H415" s="40"/>
      <c r="I415" s="40"/>
      <c r="J415" s="40"/>
      <c r="K415" s="41"/>
    </row>
    <row r="416" spans="2:11" ht="30" customHeight="1" x14ac:dyDescent="0.2">
      <c r="B416" s="38"/>
      <c r="C416" s="399"/>
      <c r="D416" s="400"/>
      <c r="E416" s="400"/>
      <c r="F416" s="400"/>
      <c r="G416" s="400"/>
      <c r="H416" s="400"/>
      <c r="I416" s="400"/>
      <c r="J416" s="401"/>
      <c r="K416" s="41"/>
    </row>
    <row r="417" spans="2:11" x14ac:dyDescent="0.2">
      <c r="B417" s="38"/>
      <c r="C417" s="40"/>
      <c r="D417" s="40"/>
      <c r="E417" s="40"/>
      <c r="F417" s="40"/>
      <c r="G417" s="40"/>
      <c r="H417" s="40"/>
      <c r="I417" s="40"/>
      <c r="J417" s="40"/>
      <c r="K417" s="41"/>
    </row>
    <row r="418" spans="2:11" x14ac:dyDescent="0.2">
      <c r="B418" s="38"/>
      <c r="C418" s="179" t="s">
        <v>891</v>
      </c>
      <c r="D418" s="40"/>
      <c r="E418" s="40"/>
      <c r="F418" s="40"/>
      <c r="G418" s="40"/>
      <c r="H418" s="40"/>
      <c r="I418" s="40"/>
      <c r="J418" s="245">
        <f>J409</f>
        <v>0</v>
      </c>
      <c r="K418" s="41"/>
    </row>
    <row r="419" spans="2:11" x14ac:dyDescent="0.2">
      <c r="B419" s="38"/>
      <c r="C419" s="40"/>
      <c r="D419" s="40"/>
      <c r="E419" s="40"/>
      <c r="F419" s="40"/>
      <c r="G419" s="40"/>
      <c r="H419" s="40"/>
      <c r="I419" s="40"/>
      <c r="J419" s="40"/>
      <c r="K419" s="41"/>
    </row>
    <row r="420" spans="2:11" ht="20" customHeight="1" x14ac:dyDescent="0.2">
      <c r="B420" s="38"/>
      <c r="C420" s="410" t="s">
        <v>881</v>
      </c>
      <c r="D420" s="410"/>
      <c r="E420" s="410"/>
      <c r="F420" s="410"/>
      <c r="G420" s="410"/>
      <c r="H420" s="410"/>
      <c r="I420" s="410"/>
      <c r="J420" s="40"/>
      <c r="K420" s="41"/>
    </row>
    <row r="421" spans="2:11" ht="20" customHeight="1" x14ac:dyDescent="0.2">
      <c r="B421" s="38"/>
      <c r="C421" s="410"/>
      <c r="D421" s="410"/>
      <c r="E421" s="410"/>
      <c r="F421" s="410"/>
      <c r="G421" s="410"/>
      <c r="H421" s="410"/>
      <c r="I421" s="410"/>
      <c r="J421" s="244">
        <f>IF(OR(J288="Not Calculated",J307="Not Calculated",J326="Not Calculated",J349="Not Calculated",J367="Not Calculated",J387="Not Calculated",J404="Not Calculated",J418="Not Calculated")=TRUE,"Not Calculated",AVERAGE(J288,J307,J326,J349,J367,J387,J404,J418))</f>
        <v>2.5</v>
      </c>
      <c r="K421" s="41"/>
    </row>
    <row r="422" spans="2:11" ht="16" thickBot="1" x14ac:dyDescent="0.25">
      <c r="B422" s="46"/>
      <c r="C422" s="47"/>
      <c r="D422" s="47"/>
      <c r="E422" s="47"/>
      <c r="F422" s="47"/>
      <c r="G422" s="47"/>
      <c r="H422" s="47"/>
      <c r="I422" s="47"/>
      <c r="J422" s="47"/>
      <c r="K422" s="49"/>
    </row>
    <row r="423" spans="2:11" ht="16" thickBot="1" x14ac:dyDescent="0.25"/>
    <row r="424" spans="2:11" x14ac:dyDescent="0.2">
      <c r="B424" s="33"/>
      <c r="C424" s="34"/>
      <c r="D424" s="34"/>
      <c r="E424" s="34"/>
      <c r="F424" s="34"/>
      <c r="G424" s="34"/>
      <c r="H424" s="34"/>
      <c r="I424" s="34"/>
      <c r="J424" s="34"/>
      <c r="K424" s="37"/>
    </row>
    <row r="425" spans="2:11" ht="21" x14ac:dyDescent="0.25">
      <c r="B425" s="38"/>
      <c r="C425" s="40"/>
      <c r="D425" s="40"/>
      <c r="E425" s="40"/>
      <c r="F425" s="40"/>
      <c r="G425" s="172" t="s">
        <v>230</v>
      </c>
      <c r="H425" s="40"/>
      <c r="I425" s="40"/>
      <c r="J425" s="40"/>
      <c r="K425" s="41"/>
    </row>
    <row r="426" spans="2:11" x14ac:dyDescent="0.2">
      <c r="B426" s="38"/>
      <c r="C426" s="40"/>
      <c r="D426" s="40"/>
      <c r="E426" s="40"/>
      <c r="F426" s="40"/>
      <c r="G426" s="40"/>
      <c r="H426" s="40"/>
      <c r="I426" s="40"/>
      <c r="J426" s="40"/>
      <c r="K426" s="41"/>
    </row>
    <row r="427" spans="2:11" ht="16" x14ac:dyDescent="0.2">
      <c r="B427" s="38"/>
      <c r="C427" s="45" t="s">
        <v>299</v>
      </c>
      <c r="D427" s="40"/>
      <c r="E427" s="40"/>
      <c r="F427" s="40"/>
      <c r="G427" s="40"/>
      <c r="H427" s="40"/>
      <c r="I427" s="40"/>
      <c r="J427" s="40"/>
      <c r="K427" s="41"/>
    </row>
    <row r="428" spans="2:11" x14ac:dyDescent="0.2">
      <c r="B428" s="38"/>
      <c r="C428" s="40" t="s">
        <v>300</v>
      </c>
      <c r="D428" s="40"/>
      <c r="E428" s="40"/>
      <c r="F428" s="40"/>
      <c r="G428" s="40"/>
      <c r="H428" s="40"/>
      <c r="I428" s="40"/>
      <c r="J428" s="270">
        <f>'Community Characteristics'!H14</f>
        <v>0</v>
      </c>
      <c r="K428" s="41"/>
    </row>
    <row r="429" spans="2:11" x14ac:dyDescent="0.2">
      <c r="B429" s="38"/>
      <c r="C429" s="40" t="s">
        <v>260</v>
      </c>
      <c r="D429" s="40"/>
      <c r="E429" s="40"/>
      <c r="F429" s="40"/>
      <c r="G429" s="40"/>
      <c r="H429" s="40"/>
      <c r="I429" s="40"/>
      <c r="J429" s="248">
        <f>IF(J428&lt;=0,0,IF(J428&lt;=1,1,IF(J428&lt;=5,2,IF(J428&lt;=10,3,4))))</f>
        <v>0</v>
      </c>
      <c r="K429" s="41"/>
    </row>
    <row r="430" spans="2:11" s="98" customFormat="1" ht="9.75" customHeight="1" x14ac:dyDescent="0.2">
      <c r="B430" s="288"/>
      <c r="C430" s="279" t="str">
        <f>"0:"</f>
        <v>0:</v>
      </c>
      <c r="D430" s="290" t="s">
        <v>944</v>
      </c>
      <c r="E430" s="245"/>
      <c r="F430" s="245"/>
      <c r="G430" s="245"/>
      <c r="H430" s="245"/>
      <c r="I430" s="245"/>
      <c r="J430" s="245"/>
      <c r="K430" s="289"/>
    </row>
    <row r="431" spans="2:11" s="98" customFormat="1" ht="9.75" customHeight="1" x14ac:dyDescent="0.2">
      <c r="B431" s="288"/>
      <c r="C431" s="280" t="str">
        <f>"1:"</f>
        <v>1:</v>
      </c>
      <c r="D431" s="290" t="s">
        <v>945</v>
      </c>
      <c r="E431" s="245"/>
      <c r="F431" s="245"/>
      <c r="G431" s="245"/>
      <c r="H431" s="245"/>
      <c r="I431" s="245"/>
      <c r="J431" s="245"/>
      <c r="K431" s="289"/>
    </row>
    <row r="432" spans="2:11" s="98" customFormat="1" ht="9.75" customHeight="1" x14ac:dyDescent="0.2">
      <c r="B432" s="288"/>
      <c r="C432" s="280" t="str">
        <f>"2:"</f>
        <v>2:</v>
      </c>
      <c r="D432" s="290" t="s">
        <v>946</v>
      </c>
      <c r="E432" s="245"/>
      <c r="F432" s="245"/>
      <c r="G432" s="245"/>
      <c r="H432" s="245"/>
      <c r="I432" s="245"/>
      <c r="J432" s="245"/>
      <c r="K432" s="289"/>
    </row>
    <row r="433" spans="2:12" s="98" customFormat="1" ht="9.75" customHeight="1" x14ac:dyDescent="0.2">
      <c r="B433" s="288"/>
      <c r="C433" s="280" t="str">
        <f>"3:"</f>
        <v>3:</v>
      </c>
      <c r="D433" s="290" t="s">
        <v>947</v>
      </c>
      <c r="E433" s="245"/>
      <c r="F433" s="245"/>
      <c r="G433" s="245"/>
      <c r="H433" s="245"/>
      <c r="I433" s="245"/>
      <c r="J433" s="245"/>
      <c r="K433" s="289"/>
    </row>
    <row r="434" spans="2:12" s="98" customFormat="1" ht="9.75" customHeight="1" x14ac:dyDescent="0.2">
      <c r="B434" s="288"/>
      <c r="C434" s="280" t="str">
        <f>"4:"</f>
        <v>4:</v>
      </c>
      <c r="D434" s="290" t="s">
        <v>948</v>
      </c>
      <c r="E434" s="245"/>
      <c r="F434" s="245"/>
      <c r="G434" s="245"/>
      <c r="H434" s="245"/>
      <c r="I434" s="245"/>
      <c r="J434" s="247"/>
      <c r="K434" s="289"/>
    </row>
    <row r="435" spans="2:12" x14ac:dyDescent="0.2">
      <c r="B435" s="38"/>
      <c r="C435" s="40" t="s">
        <v>257</v>
      </c>
      <c r="D435" s="40"/>
      <c r="E435" s="40"/>
      <c r="F435" s="40"/>
      <c r="G435" s="40"/>
      <c r="H435" s="40"/>
      <c r="I435" s="40"/>
      <c r="J435" s="266" t="s">
        <v>872</v>
      </c>
      <c r="K435" s="41"/>
    </row>
    <row r="436" spans="2:12" x14ac:dyDescent="0.2">
      <c r="B436" s="38"/>
      <c r="C436" s="40" t="s">
        <v>261</v>
      </c>
      <c r="D436" s="40"/>
      <c r="E436" s="40"/>
      <c r="F436" s="40"/>
      <c r="G436" s="40"/>
      <c r="H436" s="40"/>
      <c r="I436" s="40"/>
      <c r="J436" s="245">
        <f>IF(J435=$B$973,$A$973,IF(J435=$B$974,$A$974,IF(J435=$B$975,$A$975,IF(J435=$B$976,$A$976,IF(J435=$B$977,$A$977,"Not Calculated")))))</f>
        <v>2</v>
      </c>
      <c r="K436" s="41"/>
    </row>
    <row r="437" spans="2:12" x14ac:dyDescent="0.2">
      <c r="B437" s="38"/>
      <c r="C437" s="40" t="s">
        <v>893</v>
      </c>
      <c r="D437" s="40"/>
      <c r="E437" s="40"/>
      <c r="F437" s="40"/>
      <c r="G437" s="40"/>
      <c r="H437" s="40"/>
      <c r="I437" s="40"/>
      <c r="J437" s="40"/>
      <c r="K437" s="41"/>
    </row>
    <row r="438" spans="2:12" ht="30" customHeight="1" x14ac:dyDescent="0.2">
      <c r="B438" s="38"/>
      <c r="C438" s="399" t="s">
        <v>566</v>
      </c>
      <c r="D438" s="400"/>
      <c r="E438" s="400"/>
      <c r="F438" s="400"/>
      <c r="G438" s="400"/>
      <c r="H438" s="400"/>
      <c r="I438" s="400"/>
      <c r="J438" s="401"/>
      <c r="K438" s="41"/>
    </row>
    <row r="439" spans="2:12" x14ac:dyDescent="0.2">
      <c r="B439" s="38"/>
      <c r="C439" s="40"/>
      <c r="D439" s="40"/>
      <c r="E439" s="40"/>
      <c r="F439" s="40"/>
      <c r="G439" s="40"/>
      <c r="H439" s="40"/>
      <c r="I439" s="40"/>
      <c r="J439" s="40"/>
      <c r="K439" s="41"/>
    </row>
    <row r="440" spans="2:12" x14ac:dyDescent="0.2">
      <c r="B440" s="38"/>
      <c r="C440" s="179" t="s">
        <v>301</v>
      </c>
      <c r="D440" s="40"/>
      <c r="E440" s="40"/>
      <c r="F440" s="40"/>
      <c r="G440" s="40"/>
      <c r="H440" s="40"/>
      <c r="I440" s="40"/>
      <c r="J440" s="245">
        <f>IF(OR(J429="Not Calculated",J436="Not Calculated")=TRUE,"Not Calculated",AVERAGE(J429,J436))</f>
        <v>1</v>
      </c>
      <c r="K440" s="41"/>
    </row>
    <row r="441" spans="2:12" x14ac:dyDescent="0.2">
      <c r="B441" s="38"/>
      <c r="C441" s="40"/>
      <c r="D441" s="40"/>
      <c r="E441" s="40"/>
      <c r="F441" s="40"/>
      <c r="G441" s="40"/>
      <c r="H441" s="40"/>
      <c r="I441" s="40"/>
      <c r="J441" s="40"/>
      <c r="K441" s="41"/>
    </row>
    <row r="442" spans="2:12" x14ac:dyDescent="0.2">
      <c r="B442" s="38"/>
      <c r="C442" s="40"/>
      <c r="D442" s="40"/>
      <c r="E442" s="40"/>
      <c r="F442" s="40"/>
      <c r="G442" s="40"/>
      <c r="H442" s="40"/>
      <c r="I442" s="40"/>
      <c r="J442" s="40"/>
      <c r="K442" s="41"/>
    </row>
    <row r="443" spans="2:12" ht="16" x14ac:dyDescent="0.2">
      <c r="B443" s="38"/>
      <c r="C443" s="45" t="s">
        <v>303</v>
      </c>
      <c r="D443" s="40"/>
      <c r="E443" s="40"/>
      <c r="F443" s="40"/>
      <c r="G443" s="40"/>
      <c r="H443" s="40"/>
      <c r="I443" s="40"/>
      <c r="J443" s="40"/>
      <c r="K443" s="41"/>
    </row>
    <row r="444" spans="2:12" ht="15" customHeight="1" x14ac:dyDescent="0.2">
      <c r="B444" s="38"/>
      <c r="C444" s="380" t="s">
        <v>305</v>
      </c>
      <c r="D444" s="380"/>
      <c r="E444" s="380"/>
      <c r="F444" s="380"/>
      <c r="G444" s="380"/>
      <c r="H444" s="380"/>
      <c r="I444" s="380"/>
      <c r="J444" s="40"/>
      <c r="K444" s="41"/>
    </row>
    <row r="445" spans="2:12" x14ac:dyDescent="0.2">
      <c r="B445" s="38"/>
      <c r="C445" s="380"/>
      <c r="D445" s="380"/>
      <c r="E445" s="380"/>
      <c r="F445" s="380"/>
      <c r="G445" s="380"/>
      <c r="H445" s="380"/>
      <c r="I445" s="380"/>
      <c r="J445" s="270">
        <v>90</v>
      </c>
      <c r="K445" s="41"/>
      <c r="L445" s="12" t="s">
        <v>1225</v>
      </c>
    </row>
    <row r="446" spans="2:12" x14ac:dyDescent="0.2">
      <c r="B446" s="38"/>
      <c r="C446" s="40" t="s">
        <v>260</v>
      </c>
      <c r="D446" s="40"/>
      <c r="E446" s="40"/>
      <c r="F446" s="40"/>
      <c r="G446" s="40"/>
      <c r="H446" s="40"/>
      <c r="I446" s="40"/>
      <c r="J446" s="248">
        <f>IF(J445&lt;=0,0,IF(J445&lt;=1,1,IF(J445&lt;=5,2,IF(J445&lt;=10,3,4))))</f>
        <v>4</v>
      </c>
      <c r="K446" s="41"/>
    </row>
    <row r="447" spans="2:12" ht="9.75" customHeight="1" x14ac:dyDescent="0.2">
      <c r="B447" s="38"/>
      <c r="C447" s="279" t="str">
        <f>"0:"</f>
        <v>0:</v>
      </c>
      <c r="D447" s="278" t="s">
        <v>944</v>
      </c>
      <c r="E447" s="40"/>
      <c r="F447" s="40"/>
      <c r="G447" s="40"/>
      <c r="H447" s="40"/>
      <c r="I447" s="40"/>
      <c r="J447" s="245"/>
      <c r="K447" s="41"/>
    </row>
    <row r="448" spans="2:12" ht="9.75" customHeight="1" x14ac:dyDescent="0.2">
      <c r="B448" s="38"/>
      <c r="C448" s="280" t="str">
        <f>"1:"</f>
        <v>1:</v>
      </c>
      <c r="D448" s="278" t="s">
        <v>945</v>
      </c>
      <c r="E448" s="40"/>
      <c r="F448" s="40"/>
      <c r="G448" s="40"/>
      <c r="H448" s="40"/>
      <c r="I448" s="40"/>
      <c r="J448" s="245"/>
      <c r="K448" s="41"/>
    </row>
    <row r="449" spans="2:11" ht="9.75" customHeight="1" x14ac:dyDescent="0.2">
      <c r="B449" s="38"/>
      <c r="C449" s="280" t="str">
        <f>"2:"</f>
        <v>2:</v>
      </c>
      <c r="D449" s="278" t="s">
        <v>946</v>
      </c>
      <c r="E449" s="40"/>
      <c r="F449" s="40"/>
      <c r="G449" s="40"/>
      <c r="H449" s="40"/>
      <c r="I449" s="40"/>
      <c r="J449" s="245"/>
      <c r="K449" s="41"/>
    </row>
    <row r="450" spans="2:11" ht="9.75" customHeight="1" x14ac:dyDescent="0.2">
      <c r="B450" s="38"/>
      <c r="C450" s="280" t="str">
        <f>"3:"</f>
        <v>3:</v>
      </c>
      <c r="D450" s="278" t="s">
        <v>947</v>
      </c>
      <c r="E450" s="40"/>
      <c r="F450" s="40"/>
      <c r="G450" s="40"/>
      <c r="H450" s="40"/>
      <c r="I450" s="40"/>
      <c r="J450" s="245"/>
      <c r="K450" s="41"/>
    </row>
    <row r="451" spans="2:11" ht="9.75" customHeight="1" x14ac:dyDescent="0.2">
      <c r="B451" s="38"/>
      <c r="C451" s="280" t="str">
        <f>"4:"</f>
        <v>4:</v>
      </c>
      <c r="D451" s="278" t="s">
        <v>948</v>
      </c>
      <c r="E451" s="40"/>
      <c r="F451" s="40"/>
      <c r="G451" s="40"/>
      <c r="H451" s="40"/>
      <c r="I451" s="40"/>
      <c r="J451" s="247"/>
      <c r="K451" s="41"/>
    </row>
    <row r="452" spans="2:11" x14ac:dyDescent="0.2">
      <c r="B452" s="38"/>
      <c r="C452" s="40" t="s">
        <v>257</v>
      </c>
      <c r="D452" s="40"/>
      <c r="E452" s="40"/>
      <c r="F452" s="40"/>
      <c r="G452" s="40"/>
      <c r="H452" s="40"/>
      <c r="I452" s="40"/>
      <c r="J452" s="266" t="s">
        <v>870</v>
      </c>
      <c r="K452" s="41"/>
    </row>
    <row r="453" spans="2:11" x14ac:dyDescent="0.2">
      <c r="B453" s="38"/>
      <c r="C453" s="40" t="s">
        <v>261</v>
      </c>
      <c r="D453" s="40"/>
      <c r="E453" s="40"/>
      <c r="F453" s="40"/>
      <c r="G453" s="40"/>
      <c r="H453" s="40"/>
      <c r="I453" s="40"/>
      <c r="J453" s="245">
        <f>IF(J452=$B$973,$A$973,IF(J452=$B$974,$A$974,IF(J452=$B$975,$A$975,IF(J452=$B$976,$A$976,IF(J452=$B$977,$A$977,"Not Calculated")))))</f>
        <v>0</v>
      </c>
      <c r="K453" s="41"/>
    </row>
    <row r="454" spans="2:11" x14ac:dyDescent="0.2">
      <c r="B454" s="38"/>
      <c r="C454" s="40" t="s">
        <v>893</v>
      </c>
      <c r="D454" s="40"/>
      <c r="E454" s="40"/>
      <c r="F454" s="40"/>
      <c r="G454" s="40"/>
      <c r="H454" s="40"/>
      <c r="I454" s="40"/>
      <c r="J454" s="40"/>
      <c r="K454" s="41"/>
    </row>
    <row r="455" spans="2:11" ht="30" customHeight="1" x14ac:dyDescent="0.2">
      <c r="B455" s="38"/>
      <c r="C455" s="399" t="s">
        <v>1224</v>
      </c>
      <c r="D455" s="400"/>
      <c r="E455" s="400"/>
      <c r="F455" s="400"/>
      <c r="G455" s="400"/>
      <c r="H455" s="400"/>
      <c r="I455" s="400"/>
      <c r="J455" s="401"/>
      <c r="K455" s="41"/>
    </row>
    <row r="456" spans="2:11" x14ac:dyDescent="0.2">
      <c r="B456" s="38"/>
      <c r="C456" s="40"/>
      <c r="D456" s="40"/>
      <c r="E456" s="40"/>
      <c r="F456" s="40"/>
      <c r="G456" s="40"/>
      <c r="H456" s="40"/>
      <c r="I456" s="40"/>
      <c r="J456" s="40"/>
      <c r="K456" s="41"/>
    </row>
    <row r="457" spans="2:11" x14ac:dyDescent="0.2">
      <c r="B457" s="38"/>
      <c r="C457" s="179" t="s">
        <v>304</v>
      </c>
      <c r="D457" s="40"/>
      <c r="E457" s="40"/>
      <c r="F457" s="40"/>
      <c r="G457" s="40"/>
      <c r="H457" s="40"/>
      <c r="I457" s="40"/>
      <c r="J457" s="245">
        <f>IF(OR(J446="Not Calculated",J453="Not Calculated")=TRUE,"Not Calculated",AVERAGE(J446,J453))</f>
        <v>2</v>
      </c>
      <c r="K457" s="41"/>
    </row>
    <row r="458" spans="2:11" x14ac:dyDescent="0.2">
      <c r="B458" s="38"/>
      <c r="C458" s="40"/>
      <c r="D458" s="40"/>
      <c r="E458" s="40"/>
      <c r="F458" s="40"/>
      <c r="G458" s="40"/>
      <c r="H458" s="40"/>
      <c r="I458" s="40"/>
      <c r="J458" s="40"/>
      <c r="K458" s="41"/>
    </row>
    <row r="459" spans="2:11" x14ac:dyDescent="0.2">
      <c r="B459" s="38"/>
      <c r="C459" s="40"/>
      <c r="D459" s="40"/>
      <c r="E459" s="40"/>
      <c r="F459" s="40"/>
      <c r="G459" s="40"/>
      <c r="H459" s="40"/>
      <c r="I459" s="40"/>
      <c r="J459" s="40"/>
      <c r="K459" s="41"/>
    </row>
    <row r="460" spans="2:11" ht="16" x14ac:dyDescent="0.2">
      <c r="B460" s="38"/>
      <c r="C460" s="45" t="s">
        <v>306</v>
      </c>
      <c r="D460" s="40"/>
      <c r="E460" s="40"/>
      <c r="F460" s="40"/>
      <c r="G460" s="40"/>
      <c r="H460" s="40"/>
      <c r="I460" s="40"/>
      <c r="J460" s="40"/>
      <c r="K460" s="41"/>
    </row>
    <row r="461" spans="2:11" x14ac:dyDescent="0.2">
      <c r="B461" s="38"/>
      <c r="C461" s="40" t="s">
        <v>949</v>
      </c>
      <c r="D461" s="40"/>
      <c r="E461" s="40"/>
      <c r="F461" s="40"/>
      <c r="G461" s="40"/>
      <c r="H461" s="40"/>
      <c r="I461" s="40"/>
      <c r="J461" s="270">
        <v>30</v>
      </c>
      <c r="K461" s="41"/>
    </row>
    <row r="462" spans="2:11" x14ac:dyDescent="0.2">
      <c r="B462" s="38"/>
      <c r="C462" s="40" t="s">
        <v>260</v>
      </c>
      <c r="D462" s="40"/>
      <c r="E462" s="40"/>
      <c r="F462" s="40"/>
      <c r="G462" s="40"/>
      <c r="H462" s="40"/>
      <c r="I462" s="40"/>
      <c r="J462" s="248">
        <f>IF(J461&lt;=0,0,IF(J461&lt;=1,1,IF(J461&lt;=5,2,IF(J461&lt;=10,3,4))))</f>
        <v>4</v>
      </c>
      <c r="K462" s="41"/>
    </row>
    <row r="463" spans="2:11" ht="9.75" customHeight="1" x14ac:dyDescent="0.2">
      <c r="B463" s="38"/>
      <c r="C463" s="279" t="str">
        <f>"0:"</f>
        <v>0:</v>
      </c>
      <c r="D463" s="290" t="s">
        <v>944</v>
      </c>
      <c r="E463" s="40"/>
      <c r="F463" s="40"/>
      <c r="G463" s="40"/>
      <c r="H463" s="40"/>
      <c r="I463" s="40"/>
      <c r="J463" s="245"/>
      <c r="K463" s="41"/>
    </row>
    <row r="464" spans="2:11" ht="9.75" customHeight="1" x14ac:dyDescent="0.2">
      <c r="B464" s="38"/>
      <c r="C464" s="280" t="str">
        <f>"1:"</f>
        <v>1:</v>
      </c>
      <c r="D464" s="290" t="s">
        <v>945</v>
      </c>
      <c r="E464" s="40"/>
      <c r="F464" s="40"/>
      <c r="G464" s="40"/>
      <c r="H464" s="40"/>
      <c r="I464" s="40"/>
      <c r="J464" s="245"/>
      <c r="K464" s="41"/>
    </row>
    <row r="465" spans="2:12" ht="9.75" customHeight="1" x14ac:dyDescent="0.2">
      <c r="B465" s="38"/>
      <c r="C465" s="280" t="str">
        <f>"2:"</f>
        <v>2:</v>
      </c>
      <c r="D465" s="290" t="s">
        <v>946</v>
      </c>
      <c r="E465" s="40"/>
      <c r="F465" s="40"/>
      <c r="G465" s="40"/>
      <c r="H465" s="40"/>
      <c r="I465" s="40"/>
      <c r="J465" s="245"/>
      <c r="K465" s="41"/>
    </row>
    <row r="466" spans="2:12" ht="9.75" customHeight="1" x14ac:dyDescent="0.2">
      <c r="B466" s="38"/>
      <c r="C466" s="280" t="str">
        <f>"3:"</f>
        <v>3:</v>
      </c>
      <c r="D466" s="290" t="s">
        <v>947</v>
      </c>
      <c r="E466" s="40"/>
      <c r="F466" s="40"/>
      <c r="G466" s="40"/>
      <c r="H466" s="40"/>
      <c r="I466" s="40"/>
      <c r="J466" s="245"/>
      <c r="K466" s="41"/>
    </row>
    <row r="467" spans="2:12" ht="9.75" customHeight="1" x14ac:dyDescent="0.2">
      <c r="B467" s="38"/>
      <c r="C467" s="280" t="str">
        <f>"4:"</f>
        <v>4:</v>
      </c>
      <c r="D467" s="290" t="s">
        <v>948</v>
      </c>
      <c r="E467" s="40"/>
      <c r="F467" s="40"/>
      <c r="G467" s="40"/>
      <c r="H467" s="40"/>
      <c r="I467" s="40"/>
      <c r="J467" s="247"/>
      <c r="K467" s="41"/>
    </row>
    <row r="468" spans="2:12" x14ac:dyDescent="0.2">
      <c r="B468" s="38"/>
      <c r="C468" s="40" t="s">
        <v>257</v>
      </c>
      <c r="D468" s="40"/>
      <c r="E468" s="40"/>
      <c r="F468" s="40"/>
      <c r="G468" s="40"/>
      <c r="H468" s="40"/>
      <c r="I468" s="40"/>
      <c r="J468" s="266" t="s">
        <v>872</v>
      </c>
      <c r="K468" s="41"/>
    </row>
    <row r="469" spans="2:12" ht="15" customHeight="1" x14ac:dyDescent="0.2">
      <c r="B469" s="38"/>
      <c r="C469" s="40" t="s">
        <v>261</v>
      </c>
      <c r="D469" s="40"/>
      <c r="E469" s="40"/>
      <c r="F469" s="40"/>
      <c r="G469" s="40"/>
      <c r="H469" s="40"/>
      <c r="I469" s="40"/>
      <c r="J469" s="245">
        <f>IF(J468=$B$973,$A$973,IF(J468=$B$974,$A$974,IF(J468=$B$975,$A$975,IF(J468=$B$976,$A$976,IF(J468=$B$977,$A$977,"Not Calculated")))))</f>
        <v>2</v>
      </c>
      <c r="K469" s="41"/>
    </row>
    <row r="470" spans="2:12" x14ac:dyDescent="0.2">
      <c r="B470" s="38"/>
      <c r="C470" s="40" t="s">
        <v>893</v>
      </c>
      <c r="D470" s="40"/>
      <c r="E470" s="40"/>
      <c r="F470" s="40"/>
      <c r="G470" s="40"/>
      <c r="H470" s="40"/>
      <c r="I470" s="40"/>
      <c r="J470" s="40"/>
      <c r="K470" s="41"/>
    </row>
    <row r="471" spans="2:12" ht="60" customHeight="1" x14ac:dyDescent="0.2">
      <c r="B471" s="38"/>
      <c r="C471" s="399" t="s">
        <v>1226</v>
      </c>
      <c r="D471" s="400"/>
      <c r="E471" s="400"/>
      <c r="F471" s="400"/>
      <c r="G471" s="400"/>
      <c r="H471" s="400"/>
      <c r="I471" s="400"/>
      <c r="J471" s="401"/>
      <c r="K471" s="41"/>
      <c r="L471" s="12" t="s">
        <v>1227</v>
      </c>
    </row>
    <row r="472" spans="2:12" x14ac:dyDescent="0.2">
      <c r="B472" s="38"/>
      <c r="C472" s="40"/>
      <c r="D472" s="40"/>
      <c r="E472" s="40"/>
      <c r="F472" s="40"/>
      <c r="G472" s="40"/>
      <c r="H472" s="40"/>
      <c r="I472" s="40"/>
      <c r="J472" s="40"/>
      <c r="K472" s="41"/>
    </row>
    <row r="473" spans="2:12" x14ac:dyDescent="0.2">
      <c r="B473" s="38"/>
      <c r="C473" s="179" t="s">
        <v>307</v>
      </c>
      <c r="D473" s="40"/>
      <c r="E473" s="40"/>
      <c r="F473" s="40"/>
      <c r="G473" s="40"/>
      <c r="H473" s="40"/>
      <c r="I473" s="40"/>
      <c r="J473" s="245">
        <f>IF(OR(J462="Not Calculated",J469="Not Calculated")=TRUE,"Not Calculated",AVERAGE(J462,J469))</f>
        <v>3</v>
      </c>
      <c r="K473" s="41"/>
    </row>
    <row r="474" spans="2:12" x14ac:dyDescent="0.2">
      <c r="B474" s="38"/>
      <c r="C474" s="40"/>
      <c r="D474" s="40"/>
      <c r="E474" s="40"/>
      <c r="F474" s="40"/>
      <c r="G474" s="40"/>
      <c r="H474" s="40"/>
      <c r="I474" s="40"/>
      <c r="J474" s="40"/>
      <c r="K474" s="41"/>
    </row>
    <row r="475" spans="2:12" x14ac:dyDescent="0.2">
      <c r="B475" s="38"/>
      <c r="C475" s="40"/>
      <c r="D475" s="40"/>
      <c r="E475" s="40"/>
      <c r="F475" s="40"/>
      <c r="G475" s="40"/>
      <c r="H475" s="40"/>
      <c r="I475" s="40"/>
      <c r="J475" s="40"/>
      <c r="K475" s="41"/>
    </row>
    <row r="476" spans="2:12" ht="16" x14ac:dyDescent="0.2">
      <c r="B476" s="38"/>
      <c r="C476" s="45" t="s">
        <v>308</v>
      </c>
      <c r="D476" s="40"/>
      <c r="E476" s="40"/>
      <c r="F476" s="40"/>
      <c r="G476" s="40"/>
      <c r="H476" s="40"/>
      <c r="I476" s="40"/>
      <c r="J476" s="40"/>
      <c r="K476" s="41"/>
    </row>
    <row r="477" spans="2:12" ht="15" customHeight="1" x14ac:dyDescent="0.2">
      <c r="B477" s="38"/>
      <c r="C477" s="380" t="s">
        <v>310</v>
      </c>
      <c r="D477" s="380"/>
      <c r="E477" s="380"/>
      <c r="F477" s="380"/>
      <c r="G477" s="380"/>
      <c r="H477" s="380"/>
      <c r="I477" s="380"/>
      <c r="J477" s="40"/>
      <c r="K477" s="41"/>
    </row>
    <row r="478" spans="2:12" x14ac:dyDescent="0.2">
      <c r="B478" s="38"/>
      <c r="C478" s="380"/>
      <c r="D478" s="380"/>
      <c r="E478" s="380"/>
      <c r="F478" s="380"/>
      <c r="G478" s="380"/>
      <c r="H478" s="380"/>
      <c r="I478" s="380"/>
      <c r="J478" s="131">
        <v>14</v>
      </c>
      <c r="K478" s="41"/>
    </row>
    <row r="479" spans="2:12" x14ac:dyDescent="0.2">
      <c r="B479" s="38"/>
      <c r="C479" s="40" t="s">
        <v>261</v>
      </c>
      <c r="D479" s="40"/>
      <c r="E479" s="40"/>
      <c r="F479" s="40"/>
      <c r="G479" s="40"/>
      <c r="H479" s="40"/>
      <c r="I479" s="40"/>
      <c r="J479" s="245">
        <f>IF(J478&lt;=0,0,IF(J478&lt;=1,1,IF(J478&lt;=7,2,IF(J478&lt;=14,3,4))))</f>
        <v>3</v>
      </c>
      <c r="K479" s="41"/>
    </row>
    <row r="480" spans="2:12" s="51" customFormat="1" ht="9.75" customHeight="1" x14ac:dyDescent="0.2">
      <c r="B480" s="283"/>
      <c r="C480" s="279" t="str">
        <f>"0:"</f>
        <v>0:</v>
      </c>
      <c r="D480" s="284" t="s">
        <v>950</v>
      </c>
      <c r="E480" s="285"/>
      <c r="F480" s="285"/>
      <c r="G480" s="285"/>
      <c r="H480" s="285"/>
      <c r="I480" s="285"/>
      <c r="J480" s="43"/>
      <c r="K480" s="286"/>
    </row>
    <row r="481" spans="2:11" s="51" customFormat="1" ht="9.75" customHeight="1" x14ac:dyDescent="0.2">
      <c r="B481" s="283"/>
      <c r="C481" s="280" t="str">
        <f>"1:"</f>
        <v>1:</v>
      </c>
      <c r="D481" s="284" t="s">
        <v>951</v>
      </c>
      <c r="E481" s="285"/>
      <c r="F481" s="285"/>
      <c r="G481" s="285"/>
      <c r="H481" s="285"/>
      <c r="I481" s="285"/>
      <c r="J481" s="43"/>
      <c r="K481" s="286"/>
    </row>
    <row r="482" spans="2:11" s="51" customFormat="1" ht="9.75" customHeight="1" x14ac:dyDescent="0.2">
      <c r="B482" s="283"/>
      <c r="C482" s="280" t="str">
        <f>"2:"</f>
        <v>2:</v>
      </c>
      <c r="D482" s="284" t="s">
        <v>952</v>
      </c>
      <c r="E482" s="285"/>
      <c r="F482" s="285"/>
      <c r="G482" s="285"/>
      <c r="H482" s="285"/>
      <c r="I482" s="285"/>
      <c r="J482" s="43"/>
      <c r="K482" s="286"/>
    </row>
    <row r="483" spans="2:11" s="51" customFormat="1" ht="9.75" customHeight="1" x14ac:dyDescent="0.2">
      <c r="B483" s="283"/>
      <c r="C483" s="280" t="str">
        <f>"3:"</f>
        <v>3:</v>
      </c>
      <c r="D483" s="284" t="s">
        <v>953</v>
      </c>
      <c r="E483" s="285"/>
      <c r="F483" s="285"/>
      <c r="G483" s="285"/>
      <c r="H483" s="285"/>
      <c r="I483" s="285"/>
      <c r="J483" s="43"/>
      <c r="K483" s="286"/>
    </row>
    <row r="484" spans="2:11" s="51" customFormat="1" ht="9.75" customHeight="1" x14ac:dyDescent="0.2">
      <c r="B484" s="283"/>
      <c r="C484" s="280" t="str">
        <f>"4:"</f>
        <v>4:</v>
      </c>
      <c r="D484" s="284" t="s">
        <v>954</v>
      </c>
      <c r="E484" s="285"/>
      <c r="F484" s="285"/>
      <c r="G484" s="285"/>
      <c r="H484" s="285"/>
      <c r="I484" s="285"/>
      <c r="J484" s="43"/>
      <c r="K484" s="286"/>
    </row>
    <row r="485" spans="2:11" x14ac:dyDescent="0.2">
      <c r="B485" s="38"/>
      <c r="C485" s="40" t="s">
        <v>893</v>
      </c>
      <c r="D485" s="40"/>
      <c r="E485" s="40"/>
      <c r="F485" s="40"/>
      <c r="G485" s="40"/>
      <c r="H485" s="40"/>
      <c r="I485" s="40"/>
      <c r="J485" s="40"/>
      <c r="K485" s="41"/>
    </row>
    <row r="486" spans="2:11" ht="30" customHeight="1" x14ac:dyDescent="0.2">
      <c r="B486" s="38"/>
      <c r="C486" s="399" t="s">
        <v>1228</v>
      </c>
      <c r="D486" s="400"/>
      <c r="E486" s="400"/>
      <c r="F486" s="400"/>
      <c r="G486" s="400"/>
      <c r="H486" s="400"/>
      <c r="I486" s="400"/>
      <c r="J486" s="401"/>
      <c r="K486" s="41"/>
    </row>
    <row r="487" spans="2:11" x14ac:dyDescent="0.2">
      <c r="B487" s="38"/>
      <c r="C487" s="40"/>
      <c r="D487" s="40"/>
      <c r="E487" s="40"/>
      <c r="F487" s="40"/>
      <c r="G487" s="40"/>
      <c r="H487" s="40"/>
      <c r="I487" s="40"/>
      <c r="J487" s="40"/>
      <c r="K487" s="41"/>
    </row>
    <row r="488" spans="2:11" x14ac:dyDescent="0.2">
      <c r="B488" s="38"/>
      <c r="C488" s="179" t="s">
        <v>309</v>
      </c>
      <c r="D488" s="40"/>
      <c r="E488" s="40"/>
      <c r="F488" s="40"/>
      <c r="G488" s="40"/>
      <c r="H488" s="40"/>
      <c r="I488" s="40"/>
      <c r="J488" s="245">
        <f>J479</f>
        <v>3</v>
      </c>
      <c r="K488" s="41"/>
    </row>
    <row r="489" spans="2:11" x14ac:dyDescent="0.2">
      <c r="B489" s="38"/>
      <c r="C489" s="40"/>
      <c r="D489" s="40"/>
      <c r="E489" s="40"/>
      <c r="F489" s="40"/>
      <c r="G489" s="40"/>
      <c r="H489" s="40"/>
      <c r="I489" s="40"/>
      <c r="J489" s="40"/>
      <c r="K489" s="41"/>
    </row>
    <row r="490" spans="2:11" x14ac:dyDescent="0.2">
      <c r="B490" s="38"/>
      <c r="C490" s="40"/>
      <c r="D490" s="40"/>
      <c r="E490" s="40"/>
      <c r="F490" s="40"/>
      <c r="G490" s="40"/>
      <c r="H490" s="40"/>
      <c r="I490" s="40"/>
      <c r="J490" s="40"/>
      <c r="K490" s="41"/>
    </row>
    <row r="491" spans="2:11" ht="16" x14ac:dyDescent="0.2">
      <c r="B491" s="38"/>
      <c r="C491" s="45" t="s">
        <v>311</v>
      </c>
      <c r="D491" s="40"/>
      <c r="E491" s="40"/>
      <c r="F491" s="40"/>
      <c r="G491" s="40"/>
      <c r="H491" s="40"/>
      <c r="I491" s="40"/>
      <c r="J491" s="40"/>
      <c r="K491" s="41"/>
    </row>
    <row r="492" spans="2:11" x14ac:dyDescent="0.2">
      <c r="B492" s="38"/>
      <c r="C492" s="40" t="s">
        <v>312</v>
      </c>
      <c r="D492" s="40"/>
      <c r="E492" s="40"/>
      <c r="F492" s="40"/>
      <c r="G492" s="40"/>
      <c r="H492" s="40"/>
      <c r="I492" s="40"/>
      <c r="J492" s="270">
        <v>90</v>
      </c>
      <c r="K492" s="41"/>
    </row>
    <row r="493" spans="2:11" x14ac:dyDescent="0.2">
      <c r="B493" s="38"/>
      <c r="C493" s="40" t="s">
        <v>260</v>
      </c>
      <c r="D493" s="40"/>
      <c r="E493" s="40"/>
      <c r="F493" s="40"/>
      <c r="G493" s="40"/>
      <c r="H493" s="40"/>
      <c r="I493" s="40"/>
      <c r="J493" s="248">
        <f>IF(J492&lt;=0,0,IF(J492&lt;=1,1,IF(J492&lt;=5,2,IF(J492&lt;=10,3,4))))</f>
        <v>4</v>
      </c>
      <c r="K493" s="41"/>
    </row>
    <row r="494" spans="2:11" ht="9.75" customHeight="1" x14ac:dyDescent="0.2">
      <c r="B494" s="38"/>
      <c r="C494" s="279" t="str">
        <f>"0:"</f>
        <v>0:</v>
      </c>
      <c r="D494" s="290" t="s">
        <v>955</v>
      </c>
      <c r="E494" s="40"/>
      <c r="F494" s="40"/>
      <c r="G494" s="40"/>
      <c r="H494" s="40"/>
      <c r="I494" s="40"/>
      <c r="J494" s="245"/>
      <c r="K494" s="41"/>
    </row>
    <row r="495" spans="2:11" ht="9.75" customHeight="1" x14ac:dyDescent="0.2">
      <c r="B495" s="38"/>
      <c r="C495" s="280" t="str">
        <f>"1:"</f>
        <v>1:</v>
      </c>
      <c r="D495" s="290" t="s">
        <v>956</v>
      </c>
      <c r="E495" s="40"/>
      <c r="F495" s="40"/>
      <c r="G495" s="40"/>
      <c r="H495" s="40"/>
      <c r="I495" s="40"/>
      <c r="J495" s="245"/>
      <c r="K495" s="41"/>
    </row>
    <row r="496" spans="2:11" ht="9.75" customHeight="1" x14ac:dyDescent="0.2">
      <c r="B496" s="38"/>
      <c r="C496" s="280" t="str">
        <f>"2:"</f>
        <v>2:</v>
      </c>
      <c r="D496" s="290" t="s">
        <v>957</v>
      </c>
      <c r="E496" s="40"/>
      <c r="F496" s="40"/>
      <c r="G496" s="40"/>
      <c r="H496" s="40"/>
      <c r="I496" s="40"/>
      <c r="J496" s="245"/>
      <c r="K496" s="41"/>
    </row>
    <row r="497" spans="2:11" ht="9.75" customHeight="1" x14ac:dyDescent="0.2">
      <c r="B497" s="38"/>
      <c r="C497" s="280" t="str">
        <f>"3:"</f>
        <v>3:</v>
      </c>
      <c r="D497" s="290" t="s">
        <v>958</v>
      </c>
      <c r="E497" s="40"/>
      <c r="F497" s="40"/>
      <c r="G497" s="40"/>
      <c r="H497" s="40"/>
      <c r="I497" s="40"/>
      <c r="J497" s="245"/>
      <c r="K497" s="41"/>
    </row>
    <row r="498" spans="2:11" ht="9.75" customHeight="1" x14ac:dyDescent="0.2">
      <c r="B498" s="38"/>
      <c r="C498" s="280" t="str">
        <f>"4:"</f>
        <v>4:</v>
      </c>
      <c r="D498" s="290" t="s">
        <v>959</v>
      </c>
      <c r="E498" s="40"/>
      <c r="F498" s="40"/>
      <c r="G498" s="40"/>
      <c r="H498" s="40"/>
      <c r="I498" s="40"/>
      <c r="J498" s="247"/>
      <c r="K498" s="41"/>
    </row>
    <row r="499" spans="2:11" x14ac:dyDescent="0.2">
      <c r="B499" s="38"/>
      <c r="C499" s="40" t="s">
        <v>313</v>
      </c>
      <c r="D499" s="40"/>
      <c r="E499" s="40"/>
      <c r="F499" s="40"/>
      <c r="G499" s="40"/>
      <c r="H499" s="40"/>
      <c r="I499" s="40"/>
      <c r="J499" s="266" t="s">
        <v>882</v>
      </c>
      <c r="K499" s="41"/>
    </row>
    <row r="500" spans="2:11" x14ac:dyDescent="0.2">
      <c r="B500" s="38"/>
      <c r="C500" s="40" t="s">
        <v>261</v>
      </c>
      <c r="D500" s="40"/>
      <c r="E500" s="40"/>
      <c r="F500" s="40"/>
      <c r="G500" s="40"/>
      <c r="H500" s="40"/>
      <c r="I500" s="40"/>
      <c r="J500" s="245">
        <f>IF(J499=$B$973,$A$973,IF(J499=$B$974,$A$974,IF(J499=$B$975,$A$975,IF(J499=$B$976,$A$976,IF(J499=$B$977,$A$977,"Not Calculated")))))</f>
        <v>1</v>
      </c>
      <c r="K500" s="41"/>
    </row>
    <row r="501" spans="2:11" x14ac:dyDescent="0.2">
      <c r="B501" s="38"/>
      <c r="C501" s="40" t="s">
        <v>893</v>
      </c>
      <c r="D501" s="40"/>
      <c r="E501" s="40"/>
      <c r="F501" s="40"/>
      <c r="G501" s="40"/>
      <c r="H501" s="40"/>
      <c r="I501" s="40"/>
      <c r="J501" s="40"/>
      <c r="K501" s="41"/>
    </row>
    <row r="502" spans="2:11" ht="30" customHeight="1" x14ac:dyDescent="0.2">
      <c r="B502" s="38"/>
      <c r="C502" s="399" t="s">
        <v>1229</v>
      </c>
      <c r="D502" s="400"/>
      <c r="E502" s="400"/>
      <c r="F502" s="400"/>
      <c r="G502" s="400"/>
      <c r="H502" s="400"/>
      <c r="I502" s="400"/>
      <c r="J502" s="401"/>
      <c r="K502" s="41"/>
    </row>
    <row r="503" spans="2:11" x14ac:dyDescent="0.2">
      <c r="B503" s="38"/>
      <c r="C503" s="40"/>
      <c r="D503" s="40"/>
      <c r="E503" s="40"/>
      <c r="F503" s="40"/>
      <c r="G503" s="40"/>
      <c r="H503" s="40"/>
      <c r="I503" s="40"/>
      <c r="J503" s="40"/>
      <c r="K503" s="41"/>
    </row>
    <row r="504" spans="2:11" x14ac:dyDescent="0.2">
      <c r="B504" s="38"/>
      <c r="C504" s="179" t="s">
        <v>321</v>
      </c>
      <c r="D504" s="40"/>
      <c r="E504" s="40"/>
      <c r="F504" s="40"/>
      <c r="G504" s="40"/>
      <c r="H504" s="40"/>
      <c r="I504" s="40"/>
      <c r="J504" s="245">
        <f>IF(OR(J493="Not Calculated",J500="Not Calculated")=TRUE,"Not Calculated",AVERAGE(J493,J500))</f>
        <v>2.5</v>
      </c>
      <c r="K504" s="41"/>
    </row>
    <row r="505" spans="2:11" x14ac:dyDescent="0.2">
      <c r="B505" s="38"/>
      <c r="C505" s="40"/>
      <c r="D505" s="40"/>
      <c r="E505" s="40"/>
      <c r="F505" s="40"/>
      <c r="G505" s="40"/>
      <c r="H505" s="40"/>
      <c r="I505" s="40"/>
      <c r="J505" s="40"/>
      <c r="K505" s="41"/>
    </row>
    <row r="506" spans="2:11" x14ac:dyDescent="0.2">
      <c r="B506" s="38"/>
      <c r="C506" s="40"/>
      <c r="D506" s="40"/>
      <c r="E506" s="40"/>
      <c r="F506" s="40"/>
      <c r="G506" s="40"/>
      <c r="H506" s="40"/>
      <c r="I506" s="40"/>
      <c r="J506" s="40"/>
      <c r="K506" s="41"/>
    </row>
    <row r="507" spans="2:11" ht="16" x14ac:dyDescent="0.2">
      <c r="B507" s="38"/>
      <c r="C507" s="45" t="s">
        <v>314</v>
      </c>
      <c r="D507" s="40"/>
      <c r="E507" s="40"/>
      <c r="F507" s="40"/>
      <c r="G507" s="40"/>
      <c r="H507" s="40"/>
      <c r="I507" s="40"/>
      <c r="J507" s="40"/>
      <c r="K507" s="41"/>
    </row>
    <row r="508" spans="2:11" x14ac:dyDescent="0.2">
      <c r="B508" s="38"/>
      <c r="C508" s="40" t="s">
        <v>316</v>
      </c>
      <c r="D508" s="40"/>
      <c r="E508" s="40"/>
      <c r="F508" s="40"/>
      <c r="G508" s="40"/>
      <c r="H508" s="40"/>
      <c r="I508" s="40"/>
      <c r="J508" s="269">
        <v>1600</v>
      </c>
      <c r="K508" s="41"/>
    </row>
    <row r="509" spans="2:11" x14ac:dyDescent="0.2">
      <c r="B509" s="38"/>
      <c r="C509" s="40" t="s">
        <v>260</v>
      </c>
      <c r="D509" s="40"/>
      <c r="E509" s="40"/>
      <c r="F509" s="40"/>
      <c r="G509" s="40"/>
      <c r="H509" s="40"/>
      <c r="I509" s="40"/>
      <c r="J509" s="248">
        <f>IF(J508&lt;=0,0,IF(J508&lt;=1000,1,IF(J508&lt;=5000,2,IF(J508&lt;=25000,3,4))))</f>
        <v>2</v>
      </c>
      <c r="K509" s="41"/>
    </row>
    <row r="510" spans="2:11" s="51" customFormat="1" ht="9.75" customHeight="1" x14ac:dyDescent="0.2">
      <c r="B510" s="283"/>
      <c r="C510" s="279" t="str">
        <f>"0:"</f>
        <v>0:</v>
      </c>
      <c r="D510" s="284" t="s">
        <v>960</v>
      </c>
      <c r="E510" s="285"/>
      <c r="F510" s="285"/>
      <c r="G510" s="285"/>
      <c r="H510" s="285"/>
      <c r="I510" s="285"/>
      <c r="J510" s="43"/>
      <c r="K510" s="286"/>
    </row>
    <row r="511" spans="2:11" s="51" customFormat="1" ht="9.75" customHeight="1" x14ac:dyDescent="0.2">
      <c r="B511" s="283"/>
      <c r="C511" s="280" t="str">
        <f>"1:"</f>
        <v>1:</v>
      </c>
      <c r="D511" s="284" t="s">
        <v>961</v>
      </c>
      <c r="E511" s="285"/>
      <c r="F511" s="285"/>
      <c r="G511" s="285"/>
      <c r="H511" s="285"/>
      <c r="I511" s="285"/>
      <c r="J511" s="43"/>
      <c r="K511" s="286"/>
    </row>
    <row r="512" spans="2:11" s="51" customFormat="1" ht="9.75" customHeight="1" x14ac:dyDescent="0.2">
      <c r="B512" s="283"/>
      <c r="C512" s="280" t="str">
        <f>"2:"</f>
        <v>2:</v>
      </c>
      <c r="D512" s="284" t="s">
        <v>962</v>
      </c>
      <c r="E512" s="285"/>
      <c r="F512" s="285"/>
      <c r="G512" s="285"/>
      <c r="H512" s="285"/>
      <c r="I512" s="285"/>
      <c r="J512" s="43"/>
      <c r="K512" s="286"/>
    </row>
    <row r="513" spans="2:12" s="51" customFormat="1" ht="9.75" customHeight="1" x14ac:dyDescent="0.2">
      <c r="B513" s="283"/>
      <c r="C513" s="280" t="str">
        <f>"3:"</f>
        <v>3:</v>
      </c>
      <c r="D513" s="284" t="s">
        <v>963</v>
      </c>
      <c r="E513" s="285"/>
      <c r="F513" s="285"/>
      <c r="G513" s="285"/>
      <c r="H513" s="285"/>
      <c r="I513" s="285"/>
      <c r="J513" s="43"/>
      <c r="K513" s="286"/>
    </row>
    <row r="514" spans="2:12" s="51" customFormat="1" ht="9.75" customHeight="1" x14ac:dyDescent="0.2">
      <c r="B514" s="283"/>
      <c r="C514" s="280" t="str">
        <f>"4:"</f>
        <v>4:</v>
      </c>
      <c r="D514" s="284" t="s">
        <v>964</v>
      </c>
      <c r="E514" s="285"/>
      <c r="F514" s="285"/>
      <c r="G514" s="285"/>
      <c r="H514" s="285"/>
      <c r="I514" s="285"/>
      <c r="J514" s="287"/>
      <c r="K514" s="286"/>
    </row>
    <row r="515" spans="2:12" x14ac:dyDescent="0.2">
      <c r="B515" s="38"/>
      <c r="C515" s="40" t="s">
        <v>315</v>
      </c>
      <c r="D515" s="40"/>
      <c r="E515" s="40"/>
      <c r="F515" s="40"/>
      <c r="G515" s="40"/>
      <c r="H515" s="40"/>
      <c r="I515" s="40"/>
      <c r="J515" s="266" t="s">
        <v>874</v>
      </c>
      <c r="K515" s="41"/>
    </row>
    <row r="516" spans="2:12" x14ac:dyDescent="0.2">
      <c r="B516" s="38"/>
      <c r="C516" s="40" t="s">
        <v>261</v>
      </c>
      <c r="D516" s="40"/>
      <c r="E516" s="40"/>
      <c r="F516" s="40"/>
      <c r="G516" s="40"/>
      <c r="H516" s="40"/>
      <c r="I516" s="40"/>
      <c r="J516" s="245">
        <f>IF(J515=$B$973,$A$973,IF(J515=$B$974,$A$974,IF(J515=$B$975,$A$975,IF(J515=$B$976,$A$976,IF(J515=$B$977,$A$977,"Not Calculated")))))</f>
        <v>4</v>
      </c>
      <c r="K516" s="41"/>
    </row>
    <row r="517" spans="2:12" x14ac:dyDescent="0.2">
      <c r="B517" s="38"/>
      <c r="C517" s="40" t="s">
        <v>893</v>
      </c>
      <c r="D517" s="40"/>
      <c r="E517" s="40"/>
      <c r="F517" s="40"/>
      <c r="G517" s="40"/>
      <c r="H517" s="40"/>
      <c r="I517" s="40"/>
      <c r="J517" s="40"/>
      <c r="K517" s="41"/>
    </row>
    <row r="518" spans="2:12" ht="30" customHeight="1" x14ac:dyDescent="0.2">
      <c r="B518" s="38"/>
      <c r="C518" s="399" t="s">
        <v>1230</v>
      </c>
      <c r="D518" s="400"/>
      <c r="E518" s="400"/>
      <c r="F518" s="400"/>
      <c r="G518" s="400"/>
      <c r="H518" s="400"/>
      <c r="I518" s="400"/>
      <c r="J518" s="401"/>
      <c r="K518" s="41"/>
      <c r="L518" s="328" t="s">
        <v>1231</v>
      </c>
    </row>
    <row r="519" spans="2:12" x14ac:dyDescent="0.2">
      <c r="B519" s="38"/>
      <c r="C519" s="40"/>
      <c r="D519" s="40"/>
      <c r="E519" s="40"/>
      <c r="F519" s="40"/>
      <c r="G519" s="40"/>
      <c r="H519" s="40"/>
      <c r="I519" s="40"/>
      <c r="J519" s="40"/>
      <c r="K519" s="41"/>
    </row>
    <row r="520" spans="2:12" x14ac:dyDescent="0.2">
      <c r="B520" s="38"/>
      <c r="C520" s="179" t="s">
        <v>320</v>
      </c>
      <c r="D520" s="40"/>
      <c r="E520" s="40"/>
      <c r="F520" s="40"/>
      <c r="G520" s="40"/>
      <c r="H520" s="40"/>
      <c r="I520" s="40"/>
      <c r="J520" s="245">
        <f>IF(OR(J509="Not Calculated",J516="Not Calculated")=TRUE,"Not Calculated",AVERAGE(J509,J516))</f>
        <v>3</v>
      </c>
      <c r="K520" s="41"/>
    </row>
    <row r="521" spans="2:12" x14ac:dyDescent="0.2">
      <c r="B521" s="38"/>
      <c r="C521" s="40"/>
      <c r="D521" s="40"/>
      <c r="E521" s="40"/>
      <c r="F521" s="40"/>
      <c r="G521" s="40"/>
      <c r="H521" s="40"/>
      <c r="I521" s="40"/>
      <c r="J521" s="40"/>
      <c r="K521" s="41"/>
    </row>
    <row r="522" spans="2:12" x14ac:dyDescent="0.2">
      <c r="B522" s="38"/>
      <c r="C522" s="40"/>
      <c r="D522" s="40"/>
      <c r="E522" s="40"/>
      <c r="F522" s="40"/>
      <c r="G522" s="40"/>
      <c r="H522" s="40"/>
      <c r="I522" s="40"/>
      <c r="J522" s="40"/>
      <c r="K522" s="41"/>
    </row>
    <row r="523" spans="2:12" ht="16" x14ac:dyDescent="0.2">
      <c r="B523" s="38"/>
      <c r="C523" s="45" t="s">
        <v>317</v>
      </c>
      <c r="D523" s="40"/>
      <c r="E523" s="40"/>
      <c r="F523" s="40"/>
      <c r="G523" s="40"/>
      <c r="H523" s="40"/>
      <c r="I523" s="40"/>
      <c r="J523" s="40"/>
      <c r="K523" s="41"/>
    </row>
    <row r="524" spans="2:12" ht="15" customHeight="1" x14ac:dyDescent="0.2">
      <c r="B524" s="38"/>
      <c r="C524" s="380" t="s">
        <v>318</v>
      </c>
      <c r="D524" s="380"/>
      <c r="E524" s="380"/>
      <c r="F524" s="380"/>
      <c r="G524" s="380"/>
      <c r="H524" s="380"/>
      <c r="I524" s="380"/>
      <c r="J524" s="40"/>
      <c r="K524" s="41"/>
    </row>
    <row r="525" spans="2:12" x14ac:dyDescent="0.2">
      <c r="B525" s="38"/>
      <c r="C525" s="380"/>
      <c r="D525" s="380"/>
      <c r="E525" s="380"/>
      <c r="F525" s="380"/>
      <c r="G525" s="380"/>
      <c r="H525" s="380"/>
      <c r="I525" s="380"/>
      <c r="J525" s="274">
        <v>25</v>
      </c>
      <c r="K525" s="41"/>
    </row>
    <row r="526" spans="2:12" x14ac:dyDescent="0.2">
      <c r="B526" s="38"/>
      <c r="C526" s="40" t="s">
        <v>260</v>
      </c>
      <c r="D526" s="40"/>
      <c r="E526" s="40"/>
      <c r="F526" s="40"/>
      <c r="G526" s="40"/>
      <c r="H526" s="40"/>
      <c r="I526" s="40"/>
      <c r="J526" s="248">
        <f>IF(J525&lt;=0,0,IF(J525&lt;=1,1,IF(J525&lt;=5,2,IF(J525&lt;=10,3,4))))</f>
        <v>4</v>
      </c>
      <c r="K526" s="41"/>
    </row>
    <row r="527" spans="2:12" s="51" customFormat="1" ht="9.75" customHeight="1" x14ac:dyDescent="0.2">
      <c r="B527" s="283"/>
      <c r="C527" s="279" t="str">
        <f>"0:"</f>
        <v>0:</v>
      </c>
      <c r="D527" s="284" t="s">
        <v>965</v>
      </c>
      <c r="E527" s="285"/>
      <c r="F527" s="285"/>
      <c r="G527" s="285"/>
      <c r="H527" s="285"/>
      <c r="I527" s="285"/>
      <c r="J527" s="43"/>
      <c r="K527" s="286"/>
    </row>
    <row r="528" spans="2:12" s="51" customFormat="1" ht="9.75" customHeight="1" x14ac:dyDescent="0.2">
      <c r="B528" s="283"/>
      <c r="C528" s="280" t="str">
        <f>"1:"</f>
        <v>1:</v>
      </c>
      <c r="D528" s="284" t="s">
        <v>966</v>
      </c>
      <c r="E528" s="285"/>
      <c r="F528" s="285"/>
      <c r="G528" s="285"/>
      <c r="H528" s="285"/>
      <c r="I528" s="285"/>
      <c r="J528" s="43"/>
      <c r="K528" s="286"/>
    </row>
    <row r="529" spans="2:12" s="51" customFormat="1" ht="9.75" customHeight="1" x14ac:dyDescent="0.2">
      <c r="B529" s="283"/>
      <c r="C529" s="280" t="str">
        <f>"2:"</f>
        <v>2:</v>
      </c>
      <c r="D529" s="284" t="s">
        <v>967</v>
      </c>
      <c r="E529" s="285"/>
      <c r="F529" s="285"/>
      <c r="G529" s="285"/>
      <c r="H529" s="285"/>
      <c r="I529" s="285"/>
      <c r="J529" s="43"/>
      <c r="K529" s="286"/>
    </row>
    <row r="530" spans="2:12" s="51" customFormat="1" ht="9.75" customHeight="1" x14ac:dyDescent="0.2">
      <c r="B530" s="283"/>
      <c r="C530" s="280" t="str">
        <f>"3:"</f>
        <v>3:</v>
      </c>
      <c r="D530" s="284" t="s">
        <v>968</v>
      </c>
      <c r="E530" s="285"/>
      <c r="F530" s="285"/>
      <c r="G530" s="285"/>
      <c r="H530" s="285"/>
      <c r="I530" s="285"/>
      <c r="J530" s="43"/>
      <c r="K530" s="286"/>
    </row>
    <row r="531" spans="2:12" s="51" customFormat="1" ht="9.75" customHeight="1" x14ac:dyDescent="0.2">
      <c r="B531" s="283"/>
      <c r="C531" s="280" t="str">
        <f>"4:"</f>
        <v>4:</v>
      </c>
      <c r="D531" s="284" t="s">
        <v>969</v>
      </c>
      <c r="E531" s="285"/>
      <c r="F531" s="285"/>
      <c r="G531" s="285"/>
      <c r="H531" s="285"/>
      <c r="I531" s="285"/>
      <c r="J531" s="287"/>
      <c r="K531" s="286"/>
    </row>
    <row r="532" spans="2:12" x14ac:dyDescent="0.2">
      <c r="B532" s="38"/>
      <c r="C532" s="40" t="s">
        <v>257</v>
      </c>
      <c r="D532" s="40"/>
      <c r="E532" s="40"/>
      <c r="F532" s="40"/>
      <c r="G532" s="40"/>
      <c r="H532" s="40"/>
      <c r="I532" s="40"/>
      <c r="J532" s="266" t="s">
        <v>874</v>
      </c>
      <c r="K532" s="41"/>
    </row>
    <row r="533" spans="2:12" x14ac:dyDescent="0.2">
      <c r="B533" s="38"/>
      <c r="C533" s="40" t="s">
        <v>261</v>
      </c>
      <c r="D533" s="40"/>
      <c r="E533" s="40"/>
      <c r="F533" s="40"/>
      <c r="G533" s="40"/>
      <c r="H533" s="40"/>
      <c r="I533" s="40"/>
      <c r="J533" s="245">
        <f>IF(J532=$B$973,$A$973,IF(J532=$B$974,$A$974,IF(J532=$B$975,$A$975,IF(J532=$B$976,$A$976,IF(J532=$B$977,$A$977,"Not Calculated")))))</f>
        <v>4</v>
      </c>
      <c r="K533" s="41"/>
    </row>
    <row r="534" spans="2:12" x14ac:dyDescent="0.2">
      <c r="B534" s="38"/>
      <c r="C534" s="40" t="s">
        <v>893</v>
      </c>
      <c r="D534" s="40"/>
      <c r="E534" s="40"/>
      <c r="F534" s="40"/>
      <c r="G534" s="40"/>
      <c r="H534" s="40"/>
      <c r="I534" s="40"/>
      <c r="J534" s="40"/>
      <c r="K534" s="41"/>
    </row>
    <row r="535" spans="2:12" ht="30" customHeight="1" x14ac:dyDescent="0.2">
      <c r="B535" s="38"/>
      <c r="C535" s="399" t="s">
        <v>1233</v>
      </c>
      <c r="D535" s="400"/>
      <c r="E535" s="400"/>
      <c r="F535" s="400"/>
      <c r="G535" s="400"/>
      <c r="H535" s="400"/>
      <c r="I535" s="400"/>
      <c r="J535" s="401"/>
      <c r="K535" s="41"/>
      <c r="L535" s="328" t="s">
        <v>1232</v>
      </c>
    </row>
    <row r="536" spans="2:12" x14ac:dyDescent="0.2">
      <c r="B536" s="38"/>
      <c r="C536" s="40"/>
      <c r="D536" s="40"/>
      <c r="E536" s="40"/>
      <c r="F536" s="40"/>
      <c r="G536" s="40"/>
      <c r="H536" s="40"/>
      <c r="I536" s="40"/>
      <c r="J536" s="40"/>
      <c r="K536" s="41"/>
    </row>
    <row r="537" spans="2:12" x14ac:dyDescent="0.2">
      <c r="B537" s="38"/>
      <c r="C537" s="179" t="s">
        <v>319</v>
      </c>
      <c r="D537" s="40"/>
      <c r="E537" s="40"/>
      <c r="F537" s="40"/>
      <c r="G537" s="40"/>
      <c r="H537" s="40"/>
      <c r="I537" s="40"/>
      <c r="J537" s="245">
        <f>IF(OR(J526="Not Calculated",J533="Not Calculated")=TRUE,"Not Calculated",AVERAGE(J526,J533))</f>
        <v>4</v>
      </c>
      <c r="K537" s="41"/>
    </row>
    <row r="538" spans="2:12" x14ac:dyDescent="0.2">
      <c r="B538" s="38"/>
      <c r="C538" s="40"/>
      <c r="D538" s="40"/>
      <c r="E538" s="40"/>
      <c r="F538" s="40"/>
      <c r="G538" s="40"/>
      <c r="H538" s="40"/>
      <c r="I538" s="40"/>
      <c r="J538" s="40"/>
      <c r="K538" s="41"/>
    </row>
    <row r="539" spans="2:12" ht="18" x14ac:dyDescent="0.2">
      <c r="B539" s="38"/>
      <c r="C539" s="180" t="s">
        <v>302</v>
      </c>
      <c r="D539" s="40"/>
      <c r="E539" s="40"/>
      <c r="F539" s="40"/>
      <c r="G539" s="40"/>
      <c r="H539" s="40"/>
      <c r="I539" s="40"/>
      <c r="J539" s="244">
        <f>IF(OR(J440="Not Calculated",J457="Not Calculated",J473="Not Calculated",J488="Not Calculated",J504="Not Calculated",J520="Not Calculated",J537="Not Calculated")=TRUE,"Not Calculated",AVERAGE(J440,J457,J473,J488,J504,J520,J537))</f>
        <v>2.6428571428571428</v>
      </c>
      <c r="K539" s="41"/>
    </row>
    <row r="540" spans="2:12" ht="16" thickBot="1" x14ac:dyDescent="0.25">
      <c r="B540" s="46"/>
      <c r="C540" s="47"/>
      <c r="D540" s="47"/>
      <c r="E540" s="47"/>
      <c r="F540" s="47"/>
      <c r="G540" s="47"/>
      <c r="H540" s="47"/>
      <c r="I540" s="47"/>
      <c r="J540" s="47"/>
      <c r="K540" s="49"/>
    </row>
    <row r="541" spans="2:12" ht="16" thickBot="1" x14ac:dyDescent="0.25"/>
    <row r="542" spans="2:12" x14ac:dyDescent="0.2">
      <c r="B542" s="33"/>
      <c r="C542" s="34"/>
      <c r="D542" s="34"/>
      <c r="E542" s="34"/>
      <c r="F542" s="34"/>
      <c r="G542" s="34"/>
      <c r="H542" s="34"/>
      <c r="I542" s="34"/>
      <c r="J542" s="34"/>
      <c r="K542" s="37"/>
    </row>
    <row r="543" spans="2:12" ht="21" x14ac:dyDescent="0.25">
      <c r="B543" s="38"/>
      <c r="C543" s="40"/>
      <c r="D543" s="40"/>
      <c r="E543" s="40"/>
      <c r="F543" s="40"/>
      <c r="G543" s="172" t="s">
        <v>29</v>
      </c>
      <c r="H543" s="40"/>
      <c r="I543" s="40"/>
      <c r="J543" s="40"/>
      <c r="K543" s="41"/>
    </row>
    <row r="544" spans="2:12" ht="15" customHeight="1" x14ac:dyDescent="0.2">
      <c r="B544" s="38"/>
      <c r="C544" s="40"/>
      <c r="D544" s="40"/>
      <c r="E544" s="40"/>
      <c r="F544" s="40"/>
      <c r="G544" s="40"/>
      <c r="H544" s="40"/>
      <c r="I544" s="40"/>
      <c r="J544" s="40"/>
      <c r="K544" s="41"/>
    </row>
    <row r="545" spans="2:14" ht="16" x14ac:dyDescent="0.2">
      <c r="B545" s="38"/>
      <c r="C545" s="45" t="s">
        <v>88</v>
      </c>
      <c r="D545" s="40"/>
      <c r="E545" s="40"/>
      <c r="F545" s="40"/>
      <c r="G545" s="40"/>
      <c r="H545" s="40"/>
      <c r="I545" s="40"/>
      <c r="J545" s="40"/>
      <c r="K545" s="41"/>
    </row>
    <row r="546" spans="2:14" x14ac:dyDescent="0.2">
      <c r="B546" s="38"/>
      <c r="C546" s="40" t="s">
        <v>448</v>
      </c>
      <c r="D546" s="40"/>
      <c r="E546" s="40"/>
      <c r="F546" s="40"/>
      <c r="G546" s="40"/>
      <c r="H546" s="40"/>
      <c r="I546" s="40"/>
      <c r="J546" s="251">
        <f>'Baseline Health'!G123</f>
        <v>0</v>
      </c>
      <c r="K546" s="41"/>
    </row>
    <row r="547" spans="2:14" x14ac:dyDescent="0.2">
      <c r="B547" s="38"/>
      <c r="C547" s="40" t="s">
        <v>322</v>
      </c>
      <c r="D547" s="40"/>
      <c r="E547" s="40"/>
      <c r="F547" s="40"/>
      <c r="G547" s="40"/>
      <c r="H547" s="40"/>
      <c r="I547" s="40"/>
      <c r="J547" s="264">
        <v>0</v>
      </c>
      <c r="K547" s="41"/>
    </row>
    <row r="548" spans="2:14" x14ac:dyDescent="0.2">
      <c r="B548" s="38"/>
      <c r="C548" s="40" t="s">
        <v>428</v>
      </c>
      <c r="D548" s="40"/>
      <c r="E548" s="40"/>
      <c r="F548" s="40"/>
      <c r="G548" s="40"/>
      <c r="H548" s="40"/>
      <c r="I548" s="40"/>
      <c r="J548" s="264">
        <f>J546*0.5</f>
        <v>0</v>
      </c>
      <c r="K548" s="41"/>
    </row>
    <row r="549" spans="2:14" x14ac:dyDescent="0.2">
      <c r="B549" s="38"/>
      <c r="C549" s="40" t="s">
        <v>260</v>
      </c>
      <c r="D549" s="40"/>
      <c r="E549" s="40"/>
      <c r="F549" s="40"/>
      <c r="G549" s="40"/>
      <c r="H549" s="40"/>
      <c r="I549" s="40"/>
      <c r="J549" s="245" t="str">
        <f>IF(OR(J546=0,J546="Not Calculated")=TRUE,"Not Calculated",IF(J546-J547=0,4,(IF(((J546+J548)/(J546-J547))&lt;=1,0,IF(((J546+J548)/(J546-J547))&lt;=1.05,1,IF(((J546+J548)/(J546-J547))&lt;=1.5, 2,IF(((J546+J548)/(J546-J547))&lt;=2,3,4)))))))</f>
        <v>Not Calculated</v>
      </c>
      <c r="K549" s="41"/>
    </row>
    <row r="550" spans="2:14" ht="9.75" customHeight="1" x14ac:dyDescent="0.2">
      <c r="B550" s="38"/>
      <c r="C550" s="279" t="str">
        <f>"0:"</f>
        <v>0:</v>
      </c>
      <c r="D550" s="278" t="s">
        <v>918</v>
      </c>
      <c r="E550" s="40"/>
      <c r="F550" s="40"/>
      <c r="G550" s="40"/>
      <c r="H550" s="40"/>
      <c r="I550" s="40"/>
      <c r="J550" s="251"/>
      <c r="K550" s="41"/>
    </row>
    <row r="551" spans="2:14" ht="9.75" customHeight="1" x14ac:dyDescent="0.2">
      <c r="B551" s="38"/>
      <c r="C551" s="280" t="str">
        <f>"1:"</f>
        <v>1:</v>
      </c>
      <c r="D551" s="278" t="s">
        <v>923</v>
      </c>
      <c r="E551" s="40"/>
      <c r="F551" s="40"/>
      <c r="G551" s="40"/>
      <c r="H551" s="40"/>
      <c r="I551" s="40"/>
      <c r="J551" s="251"/>
      <c r="K551" s="41"/>
    </row>
    <row r="552" spans="2:14" ht="9.75" customHeight="1" x14ac:dyDescent="0.2">
      <c r="B552" s="38"/>
      <c r="C552" s="280" t="str">
        <f>"2:"</f>
        <v>2:</v>
      </c>
      <c r="D552" s="278" t="s">
        <v>924</v>
      </c>
      <c r="E552" s="40"/>
      <c r="F552" s="40"/>
      <c r="G552" s="40"/>
      <c r="H552" s="40"/>
      <c r="I552" s="40"/>
      <c r="J552" s="251"/>
      <c r="K552" s="41"/>
    </row>
    <row r="553" spans="2:14" ht="9.75" customHeight="1" x14ac:dyDescent="0.2">
      <c r="B553" s="38"/>
      <c r="C553" s="280" t="str">
        <f>"3:"</f>
        <v>3:</v>
      </c>
      <c r="D553" s="278" t="s">
        <v>925</v>
      </c>
      <c r="E553" s="40"/>
      <c r="F553" s="40"/>
      <c r="G553" s="40"/>
      <c r="H553" s="40"/>
      <c r="I553" s="40"/>
      <c r="J553" s="251"/>
      <c r="K553" s="41"/>
    </row>
    <row r="554" spans="2:14" ht="9.75" customHeight="1" x14ac:dyDescent="0.2">
      <c r="B554" s="38"/>
      <c r="C554" s="280" t="str">
        <f>"4:"</f>
        <v>4:</v>
      </c>
      <c r="D554" s="278" t="s">
        <v>926</v>
      </c>
      <c r="E554" s="40"/>
      <c r="F554" s="40"/>
      <c r="G554" s="40"/>
      <c r="H554" s="40"/>
      <c r="I554" s="40"/>
      <c r="J554" s="40"/>
      <c r="K554" s="41"/>
      <c r="N554" s="12" t="s">
        <v>661</v>
      </c>
    </row>
    <row r="555" spans="2:14" x14ac:dyDescent="0.2">
      <c r="B555" s="38"/>
      <c r="C555" s="174" t="s">
        <v>662</v>
      </c>
      <c r="D555" s="40"/>
      <c r="E555" s="40"/>
      <c r="F555" s="40"/>
      <c r="G555" s="40"/>
      <c r="H555" s="40"/>
      <c r="I555" s="40"/>
      <c r="J555" s="265" t="s">
        <v>661</v>
      </c>
      <c r="K555" s="41"/>
      <c r="N555" s="12" t="s">
        <v>894</v>
      </c>
    </row>
    <row r="556" spans="2:14" x14ac:dyDescent="0.2">
      <c r="B556" s="38"/>
      <c r="C556" s="174" t="s">
        <v>660</v>
      </c>
      <c r="D556" s="40"/>
      <c r="E556" s="40"/>
      <c r="F556" s="40"/>
      <c r="G556" s="40"/>
      <c r="H556" s="40"/>
      <c r="I556" s="40"/>
      <c r="J556" s="247" t="str">
        <f>IF(J555=N554,"N/A",IF(J555=N555,0,IF(J555=N556,1,IF(J555=N557,2,IF(J555=N558,3,IF(J555=N559,4,"N/A"))))))</f>
        <v>N/A</v>
      </c>
      <c r="K556" s="41"/>
      <c r="N556" s="12" t="s">
        <v>899</v>
      </c>
    </row>
    <row r="557" spans="2:14" x14ac:dyDescent="0.2">
      <c r="B557" s="38"/>
      <c r="C557" s="40" t="s">
        <v>257</v>
      </c>
      <c r="D557" s="40"/>
      <c r="E557" s="40"/>
      <c r="F557" s="40"/>
      <c r="G557" s="40"/>
      <c r="H557" s="40"/>
      <c r="I557" s="40"/>
      <c r="J557" s="266" t="s">
        <v>874</v>
      </c>
      <c r="K557" s="41"/>
      <c r="N557" s="12" t="s">
        <v>900</v>
      </c>
    </row>
    <row r="558" spans="2:14" x14ac:dyDescent="0.2">
      <c r="B558" s="38"/>
      <c r="C558" s="40" t="s">
        <v>261</v>
      </c>
      <c r="D558" s="40"/>
      <c r="E558" s="40"/>
      <c r="F558" s="40"/>
      <c r="G558" s="40"/>
      <c r="H558" s="40"/>
      <c r="I558" s="40"/>
      <c r="J558" s="245">
        <f>IF(J557=$B$973,$A$973,IF(J557=$B$974,$A$974,IF(J557=$B$975,$A$975,IF(J557=$B$976,$A$976,IF(J557=$B$977,$A$977,"Not Calculated")))))</f>
        <v>4</v>
      </c>
      <c r="K558" s="41"/>
      <c r="N558" s="12" t="s">
        <v>901</v>
      </c>
    </row>
    <row r="559" spans="2:14" x14ac:dyDescent="0.2">
      <c r="B559" s="38"/>
      <c r="C559" s="40" t="s">
        <v>893</v>
      </c>
      <c r="D559" s="40"/>
      <c r="E559" s="40"/>
      <c r="F559" s="40"/>
      <c r="G559" s="40"/>
      <c r="H559" s="40"/>
      <c r="I559" s="40"/>
      <c r="J559" s="40"/>
      <c r="K559" s="41"/>
      <c r="N559" s="12" t="s">
        <v>902</v>
      </c>
    </row>
    <row r="560" spans="2:14" ht="45" customHeight="1" x14ac:dyDescent="0.2">
      <c r="B560" s="38"/>
      <c r="C560" s="399" t="s">
        <v>1234</v>
      </c>
      <c r="D560" s="400"/>
      <c r="E560" s="400"/>
      <c r="F560" s="400"/>
      <c r="G560" s="400"/>
      <c r="H560" s="400"/>
      <c r="I560" s="400"/>
      <c r="J560" s="401"/>
      <c r="K560" s="41"/>
    </row>
    <row r="561" spans="2:11" x14ac:dyDescent="0.2">
      <c r="B561" s="38"/>
      <c r="C561" s="40"/>
      <c r="D561" s="40"/>
      <c r="E561" s="40"/>
      <c r="F561" s="40"/>
      <c r="G561" s="40"/>
      <c r="H561" s="40"/>
      <c r="I561" s="40"/>
      <c r="J561" s="40"/>
      <c r="K561" s="41"/>
    </row>
    <row r="562" spans="2:11" x14ac:dyDescent="0.2">
      <c r="B562" s="38"/>
      <c r="C562" s="179" t="s">
        <v>323</v>
      </c>
      <c r="D562" s="40"/>
      <c r="E562" s="40"/>
      <c r="F562" s="40"/>
      <c r="G562" s="40"/>
      <c r="H562" s="40"/>
      <c r="I562" s="40"/>
      <c r="J562" s="245" t="str">
        <f>IF(J556="N/A",IF(OR(J549="Not Calculated",J558="Not Calculated")=TRUE,"Not Calculated",AVERAGE(J549,J558)),AVERAGE(J556,J558))</f>
        <v>Not Calculated</v>
      </c>
      <c r="K562" s="41"/>
    </row>
    <row r="563" spans="2:11" x14ac:dyDescent="0.2">
      <c r="B563" s="38"/>
      <c r="C563" s="40"/>
      <c r="D563" s="40"/>
      <c r="E563" s="40"/>
      <c r="F563" s="40"/>
      <c r="G563" s="40"/>
      <c r="H563" s="40"/>
      <c r="I563" s="40"/>
      <c r="J563" s="40"/>
      <c r="K563" s="41"/>
    </row>
    <row r="564" spans="2:11" x14ac:dyDescent="0.2">
      <c r="B564" s="38"/>
      <c r="C564" s="40"/>
      <c r="D564" s="40"/>
      <c r="E564" s="40"/>
      <c r="F564" s="40"/>
      <c r="G564" s="40"/>
      <c r="H564" s="40"/>
      <c r="I564" s="40"/>
      <c r="J564" s="40"/>
      <c r="K564" s="41"/>
    </row>
    <row r="565" spans="2:11" ht="16" x14ac:dyDescent="0.2">
      <c r="B565" s="38"/>
      <c r="C565" s="45" t="s">
        <v>89</v>
      </c>
      <c r="D565" s="40"/>
      <c r="E565" s="40"/>
      <c r="F565" s="40"/>
      <c r="G565" s="40"/>
      <c r="H565" s="40"/>
      <c r="I565" s="40"/>
      <c r="J565" s="40"/>
      <c r="K565" s="41"/>
    </row>
    <row r="566" spans="2:11" ht="15" customHeight="1" x14ac:dyDescent="0.2">
      <c r="B566" s="38"/>
      <c r="C566" s="380" t="s">
        <v>333</v>
      </c>
      <c r="D566" s="380"/>
      <c r="E566" s="380"/>
      <c r="F566" s="380"/>
      <c r="G566" s="380"/>
      <c r="H566" s="380"/>
      <c r="I566" s="380"/>
      <c r="J566" s="40"/>
      <c r="K566" s="41"/>
    </row>
    <row r="567" spans="2:11" x14ac:dyDescent="0.2">
      <c r="B567" s="38"/>
      <c r="C567" s="380"/>
      <c r="D567" s="380"/>
      <c r="E567" s="380"/>
      <c r="F567" s="380"/>
      <c r="G567" s="380"/>
      <c r="H567" s="380"/>
      <c r="I567" s="380"/>
      <c r="J567" s="40"/>
      <c r="K567" s="41"/>
    </row>
    <row r="568" spans="2:11" x14ac:dyDescent="0.2">
      <c r="B568" s="38"/>
      <c r="C568" s="380"/>
      <c r="D568" s="380"/>
      <c r="E568" s="380"/>
      <c r="F568" s="380"/>
      <c r="G568" s="380"/>
      <c r="H568" s="380"/>
      <c r="I568" s="380"/>
      <c r="J568" s="251">
        <f>'Baseline Health'!G132</f>
        <v>0</v>
      </c>
      <c r="K568" s="41"/>
    </row>
    <row r="569" spans="2:11" ht="15" customHeight="1" x14ac:dyDescent="0.2">
      <c r="B569" s="38"/>
      <c r="C569" s="380" t="s">
        <v>334</v>
      </c>
      <c r="D569" s="380"/>
      <c r="E569" s="380"/>
      <c r="F569" s="380"/>
      <c r="G569" s="380"/>
      <c r="H569" s="380"/>
      <c r="I569" s="380"/>
      <c r="J569" s="245"/>
      <c r="K569" s="41"/>
    </row>
    <row r="570" spans="2:11" x14ac:dyDescent="0.2">
      <c r="B570" s="38"/>
      <c r="C570" s="380"/>
      <c r="D570" s="380"/>
      <c r="E570" s="380"/>
      <c r="F570" s="380"/>
      <c r="G570" s="380"/>
      <c r="H570" s="380"/>
      <c r="I570" s="380"/>
      <c r="J570" s="245"/>
      <c r="K570" s="41"/>
    </row>
    <row r="571" spans="2:11" x14ac:dyDescent="0.2">
      <c r="B571" s="38"/>
      <c r="C571" s="380"/>
      <c r="D571" s="380"/>
      <c r="E571" s="380"/>
      <c r="F571" s="380"/>
      <c r="G571" s="380"/>
      <c r="H571" s="380"/>
      <c r="I571" s="380"/>
      <c r="J571" s="264">
        <f>J568*0.5</f>
        <v>0</v>
      </c>
      <c r="K571" s="41"/>
    </row>
    <row r="572" spans="2:11" x14ac:dyDescent="0.2">
      <c r="B572" s="38"/>
      <c r="C572" s="40" t="s">
        <v>260</v>
      </c>
      <c r="D572" s="40"/>
      <c r="E572" s="40"/>
      <c r="F572" s="40"/>
      <c r="G572" s="40"/>
      <c r="H572" s="40"/>
      <c r="I572" s="40"/>
      <c r="J572" s="245" t="str">
        <f>IF(OR(J568=0,J568="Not Calculated")=TRUE,"Not Calculated",IF(((J568+J571)/J568)&lt;=1,0,IF(((J568+J571)/J568)&lt;=1.05,1,IF(((J568+J571)/J568)&lt;=1.5, 2,IF(((J568+J571)/J568)&lt;=2,3,4)))))</f>
        <v>Not Calculated</v>
      </c>
      <c r="K572" s="41"/>
    </row>
    <row r="573" spans="2:11" ht="9.75" customHeight="1" x14ac:dyDescent="0.2">
      <c r="B573" s="38"/>
      <c r="C573" s="279" t="str">
        <f>"0:"</f>
        <v>0:</v>
      </c>
      <c r="D573" s="281" t="s">
        <v>918</v>
      </c>
      <c r="E573" s="291"/>
      <c r="F573" s="291"/>
      <c r="G573" s="291"/>
      <c r="H573" s="291"/>
      <c r="I573" s="291"/>
      <c r="J573" s="251"/>
      <c r="K573" s="41"/>
    </row>
    <row r="574" spans="2:11" ht="9.75" customHeight="1" x14ac:dyDescent="0.2">
      <c r="B574" s="38"/>
      <c r="C574" s="280" t="str">
        <f>"1:"</f>
        <v>1:</v>
      </c>
      <c r="D574" s="281" t="s">
        <v>919</v>
      </c>
      <c r="E574" s="291"/>
      <c r="F574" s="291"/>
      <c r="G574" s="291"/>
      <c r="H574" s="291"/>
      <c r="I574" s="291"/>
      <c r="J574" s="251"/>
      <c r="K574" s="41"/>
    </row>
    <row r="575" spans="2:11" ht="9.75" customHeight="1" x14ac:dyDescent="0.2">
      <c r="B575" s="38"/>
      <c r="C575" s="280" t="str">
        <f>"2:"</f>
        <v>2:</v>
      </c>
      <c r="D575" s="281" t="s">
        <v>920</v>
      </c>
      <c r="E575" s="291"/>
      <c r="F575" s="291"/>
      <c r="G575" s="291"/>
      <c r="H575" s="291"/>
      <c r="I575" s="291"/>
      <c r="J575" s="251"/>
      <c r="K575" s="41"/>
    </row>
    <row r="576" spans="2:11" ht="9.75" customHeight="1" x14ac:dyDescent="0.2">
      <c r="B576" s="38"/>
      <c r="C576" s="280" t="str">
        <f>"3:"</f>
        <v>3:</v>
      </c>
      <c r="D576" s="281" t="s">
        <v>921</v>
      </c>
      <c r="E576" s="291"/>
      <c r="F576" s="291"/>
      <c r="G576" s="291"/>
      <c r="H576" s="291"/>
      <c r="I576" s="291"/>
      <c r="J576" s="251"/>
      <c r="K576" s="41"/>
    </row>
    <row r="577" spans="2:14" ht="9.75" customHeight="1" x14ac:dyDescent="0.2">
      <c r="B577" s="38"/>
      <c r="C577" s="280" t="str">
        <f>"4:"</f>
        <v>4:</v>
      </c>
      <c r="D577" s="281" t="s">
        <v>922</v>
      </c>
      <c r="E577" s="40"/>
      <c r="F577" s="40"/>
      <c r="G577" s="40"/>
      <c r="H577" s="40"/>
      <c r="I577" s="40"/>
      <c r="J577" s="40"/>
      <c r="K577" s="41"/>
      <c r="N577" s="12" t="s">
        <v>661</v>
      </c>
    </row>
    <row r="578" spans="2:14" ht="15" customHeight="1" x14ac:dyDescent="0.2">
      <c r="B578" s="38"/>
      <c r="C578" s="174" t="s">
        <v>662</v>
      </c>
      <c r="D578" s="40"/>
      <c r="E578" s="40"/>
      <c r="F578" s="40"/>
      <c r="G578" s="40"/>
      <c r="H578" s="40"/>
      <c r="I578" s="40"/>
      <c r="J578" s="265" t="s">
        <v>661</v>
      </c>
      <c r="K578" s="41"/>
      <c r="N578" s="12" t="s">
        <v>894</v>
      </c>
    </row>
    <row r="579" spans="2:14" ht="15" customHeight="1" x14ac:dyDescent="0.2">
      <c r="B579" s="38"/>
      <c r="C579" s="174" t="s">
        <v>660</v>
      </c>
      <c r="D579" s="40"/>
      <c r="E579" s="40"/>
      <c r="F579" s="40"/>
      <c r="G579" s="40"/>
      <c r="H579" s="40"/>
      <c r="I579" s="40"/>
      <c r="J579" s="247" t="str">
        <f>IF(J578=N577,"N/A",IF(J578=N578,0,IF(J578=N579,1,IF(J578=N580,2,IF(J578=N581,3,IF(J578=N582,4,"N/A"))))))</f>
        <v>N/A</v>
      </c>
      <c r="K579" s="41"/>
      <c r="N579" s="12" t="s">
        <v>895</v>
      </c>
    </row>
    <row r="580" spans="2:14" x14ac:dyDescent="0.2">
      <c r="B580" s="38"/>
      <c r="C580" s="40" t="s">
        <v>257</v>
      </c>
      <c r="D580" s="40"/>
      <c r="E580" s="40"/>
      <c r="F580" s="40"/>
      <c r="G580" s="40"/>
      <c r="H580" s="40"/>
      <c r="I580" s="40"/>
      <c r="J580" s="266" t="s">
        <v>874</v>
      </c>
      <c r="K580" s="41"/>
      <c r="N580" s="12" t="s">
        <v>896</v>
      </c>
    </row>
    <row r="581" spans="2:14" x14ac:dyDescent="0.2">
      <c r="B581" s="38"/>
      <c r="C581" s="40" t="s">
        <v>261</v>
      </c>
      <c r="D581" s="40"/>
      <c r="E581" s="40"/>
      <c r="F581" s="40"/>
      <c r="G581" s="40"/>
      <c r="H581" s="40"/>
      <c r="I581" s="40"/>
      <c r="J581" s="245">
        <f>IF(J580=$B$973,$A$973,IF(J580=$B$974,$A$974,IF(J580=$B$975,$A$975,IF(J580=$B$976,$A$976,IF(J580=$B$977,$A$977,"Not Calculated")))))</f>
        <v>4</v>
      </c>
      <c r="K581" s="41"/>
      <c r="N581" s="12" t="s">
        <v>897</v>
      </c>
    </row>
    <row r="582" spans="2:14" x14ac:dyDescent="0.2">
      <c r="B582" s="38"/>
      <c r="C582" s="40" t="s">
        <v>893</v>
      </c>
      <c r="D582" s="40"/>
      <c r="E582" s="40"/>
      <c r="F582" s="40"/>
      <c r="G582" s="40"/>
      <c r="H582" s="40"/>
      <c r="I582" s="40"/>
      <c r="J582" s="40"/>
      <c r="K582" s="41"/>
      <c r="N582" s="12" t="s">
        <v>898</v>
      </c>
    </row>
    <row r="583" spans="2:14" ht="30" customHeight="1" x14ac:dyDescent="0.2">
      <c r="B583" s="38"/>
      <c r="C583" s="399" t="s">
        <v>1235</v>
      </c>
      <c r="D583" s="400"/>
      <c r="E583" s="400"/>
      <c r="F583" s="400"/>
      <c r="G583" s="400"/>
      <c r="H583" s="400"/>
      <c r="I583" s="400"/>
      <c r="J583" s="401"/>
      <c r="K583" s="41"/>
    </row>
    <row r="584" spans="2:14" x14ac:dyDescent="0.2">
      <c r="B584" s="38"/>
      <c r="C584" s="40"/>
      <c r="D584" s="40"/>
      <c r="E584" s="40"/>
      <c r="F584" s="40"/>
      <c r="G584" s="40"/>
      <c r="H584" s="40"/>
      <c r="I584" s="40"/>
      <c r="J584" s="40"/>
      <c r="K584" s="41"/>
    </row>
    <row r="585" spans="2:14" x14ac:dyDescent="0.2">
      <c r="B585" s="38"/>
      <c r="C585" s="179" t="s">
        <v>324</v>
      </c>
      <c r="D585" s="40"/>
      <c r="E585" s="40"/>
      <c r="F585" s="40"/>
      <c r="G585" s="40"/>
      <c r="H585" s="40"/>
      <c r="I585" s="40"/>
      <c r="J585" s="245" t="str">
        <f>IF(J579="N/A",IF(OR(J572="Not Calculated",J581="Not Calculated")=TRUE,"Not Calculated",AVERAGE(J572,J581)),AVERAGE(J579,J581))</f>
        <v>Not Calculated</v>
      </c>
      <c r="K585" s="41"/>
    </row>
    <row r="586" spans="2:14" x14ac:dyDescent="0.2">
      <c r="B586" s="38"/>
      <c r="C586" s="40"/>
      <c r="D586" s="40"/>
      <c r="E586" s="40"/>
      <c r="F586" s="40"/>
      <c r="G586" s="40"/>
      <c r="H586" s="40"/>
      <c r="I586" s="40"/>
      <c r="J586" s="40"/>
      <c r="K586" s="41"/>
    </row>
    <row r="587" spans="2:14" x14ac:dyDescent="0.2">
      <c r="B587" s="38"/>
      <c r="C587" s="40"/>
      <c r="D587" s="40"/>
      <c r="E587" s="40"/>
      <c r="F587" s="40"/>
      <c r="G587" s="40"/>
      <c r="H587" s="40"/>
      <c r="I587" s="40"/>
      <c r="J587" s="40"/>
      <c r="K587" s="41"/>
    </row>
    <row r="588" spans="2:14" ht="16" x14ac:dyDescent="0.2">
      <c r="B588" s="38"/>
      <c r="C588" s="45" t="s">
        <v>115</v>
      </c>
      <c r="D588" s="40"/>
      <c r="E588" s="40"/>
      <c r="F588" s="40"/>
      <c r="G588" s="40"/>
      <c r="H588" s="40"/>
      <c r="I588" s="40"/>
      <c r="J588" s="40"/>
      <c r="K588" s="41"/>
    </row>
    <row r="589" spans="2:14" x14ac:dyDescent="0.2">
      <c r="B589" s="38"/>
      <c r="C589" s="40" t="s">
        <v>335</v>
      </c>
      <c r="D589" s="40"/>
      <c r="E589" s="40"/>
      <c r="F589" s="40"/>
      <c r="G589" s="40"/>
      <c r="H589" s="40"/>
      <c r="I589" s="40"/>
      <c r="J589" s="264">
        <v>9200</v>
      </c>
      <c r="K589" s="41"/>
    </row>
    <row r="590" spans="2:14" x14ac:dyDescent="0.2">
      <c r="B590" s="38"/>
      <c r="C590" s="40" t="s">
        <v>260</v>
      </c>
      <c r="D590" s="40"/>
      <c r="E590" s="40"/>
      <c r="F590" s="40"/>
      <c r="G590" s="40"/>
      <c r="H590" s="40"/>
      <c r="I590" s="40"/>
      <c r="J590" s="255">
        <f>IF(J589&lt;=0,0,IF(J589&lt;=1000,1,IF(J589&lt;=5000,2,IF(J589&lt;=25000,3,4))))</f>
        <v>3</v>
      </c>
      <c r="K590" s="41"/>
    </row>
    <row r="591" spans="2:14" ht="9.75" customHeight="1" x14ac:dyDescent="0.2">
      <c r="B591" s="38"/>
      <c r="C591" s="279" t="str">
        <f>"0:"</f>
        <v>0:</v>
      </c>
      <c r="D591" s="284" t="s">
        <v>970</v>
      </c>
      <c r="E591" s="40"/>
      <c r="F591" s="40"/>
      <c r="G591" s="40"/>
      <c r="H591" s="40"/>
      <c r="I591" s="40"/>
      <c r="J591" s="251"/>
      <c r="K591" s="41"/>
    </row>
    <row r="592" spans="2:14" ht="9.75" customHeight="1" x14ac:dyDescent="0.2">
      <c r="B592" s="38"/>
      <c r="C592" s="280" t="str">
        <f>"1:"</f>
        <v>1:</v>
      </c>
      <c r="D592" s="284" t="s">
        <v>961</v>
      </c>
      <c r="E592" s="40"/>
      <c r="F592" s="40"/>
      <c r="G592" s="40"/>
      <c r="H592" s="40"/>
      <c r="I592" s="40"/>
      <c r="J592" s="251"/>
      <c r="K592" s="41"/>
    </row>
    <row r="593" spans="2:11" ht="9.75" customHeight="1" x14ac:dyDescent="0.2">
      <c r="B593" s="38"/>
      <c r="C593" s="280" t="str">
        <f>"2:"</f>
        <v>2:</v>
      </c>
      <c r="D593" s="284" t="s">
        <v>971</v>
      </c>
      <c r="E593" s="40"/>
      <c r="F593" s="40"/>
      <c r="G593" s="40"/>
      <c r="H593" s="40"/>
      <c r="I593" s="40"/>
      <c r="J593" s="251"/>
      <c r="K593" s="41"/>
    </row>
    <row r="594" spans="2:11" ht="9.75" customHeight="1" x14ac:dyDescent="0.2">
      <c r="B594" s="38"/>
      <c r="C594" s="280" t="str">
        <f>"3:"</f>
        <v>3:</v>
      </c>
      <c r="D594" s="284" t="s">
        <v>963</v>
      </c>
      <c r="E594" s="40"/>
      <c r="F594" s="40"/>
      <c r="G594" s="40"/>
      <c r="H594" s="40"/>
      <c r="I594" s="40"/>
      <c r="J594" s="251"/>
      <c r="K594" s="41"/>
    </row>
    <row r="595" spans="2:11" ht="9.75" customHeight="1" x14ac:dyDescent="0.2">
      <c r="B595" s="38"/>
      <c r="C595" s="280" t="str">
        <f>"4:"</f>
        <v>4:</v>
      </c>
      <c r="D595" s="284" t="s">
        <v>964</v>
      </c>
      <c r="E595" s="40"/>
      <c r="F595" s="40"/>
      <c r="G595" s="40"/>
      <c r="H595" s="40"/>
      <c r="I595" s="40"/>
      <c r="J595" s="40"/>
      <c r="K595" s="41"/>
    </row>
    <row r="596" spans="2:11" ht="15" customHeight="1" x14ac:dyDescent="0.2">
      <c r="B596" s="38"/>
      <c r="C596" s="40" t="s">
        <v>257</v>
      </c>
      <c r="D596" s="40"/>
      <c r="E596" s="40"/>
      <c r="F596" s="40"/>
      <c r="G596" s="40"/>
      <c r="H596" s="40"/>
      <c r="I596" s="40"/>
      <c r="J596" s="266" t="s">
        <v>874</v>
      </c>
      <c r="K596" s="41"/>
    </row>
    <row r="597" spans="2:11" ht="15" customHeight="1" x14ac:dyDescent="0.2">
      <c r="B597" s="38"/>
      <c r="C597" s="40" t="s">
        <v>261</v>
      </c>
      <c r="D597" s="40"/>
      <c r="E597" s="40"/>
      <c r="F597" s="40"/>
      <c r="G597" s="40"/>
      <c r="H597" s="40"/>
      <c r="I597" s="40"/>
      <c r="J597" s="245">
        <f>IF(J596=$B$973,$A$973,IF(J596=$B$974,$A$974,IF(J596=$B$975,$A$975,IF(J596=$B$976,$A$976,IF(J596=$B$977,$A$977,"Not Calculated")))))</f>
        <v>4</v>
      </c>
      <c r="K597" s="41"/>
    </row>
    <row r="598" spans="2:11" x14ac:dyDescent="0.2">
      <c r="B598" s="38"/>
      <c r="C598" s="40" t="s">
        <v>893</v>
      </c>
      <c r="D598" s="40"/>
      <c r="E598" s="40"/>
      <c r="F598" s="40"/>
      <c r="G598" s="40"/>
      <c r="H598" s="40"/>
      <c r="I598" s="40"/>
      <c r="J598" s="40"/>
      <c r="K598" s="41"/>
    </row>
    <row r="599" spans="2:11" ht="30" customHeight="1" x14ac:dyDescent="0.2">
      <c r="B599" s="38"/>
      <c r="C599" s="399" t="s">
        <v>1236</v>
      </c>
      <c r="D599" s="400"/>
      <c r="E599" s="400"/>
      <c r="F599" s="400"/>
      <c r="G599" s="400"/>
      <c r="H599" s="400"/>
      <c r="I599" s="400"/>
      <c r="J599" s="401"/>
      <c r="K599" s="41"/>
    </row>
    <row r="600" spans="2:11" x14ac:dyDescent="0.2">
      <c r="B600" s="38"/>
      <c r="C600" s="40"/>
      <c r="D600" s="40"/>
      <c r="E600" s="40"/>
      <c r="F600" s="40"/>
      <c r="G600" s="40"/>
      <c r="H600" s="40"/>
      <c r="I600" s="40"/>
      <c r="J600" s="40"/>
      <c r="K600" s="41"/>
    </row>
    <row r="601" spans="2:11" x14ac:dyDescent="0.2">
      <c r="B601" s="38"/>
      <c r="C601" s="179" t="s">
        <v>325</v>
      </c>
      <c r="D601" s="40"/>
      <c r="E601" s="40"/>
      <c r="F601" s="40"/>
      <c r="G601" s="40"/>
      <c r="H601" s="40"/>
      <c r="I601" s="40"/>
      <c r="J601" s="245">
        <f>IF(J590="Not Calculated","Not Calculated",AVERAGE(J590,J597))</f>
        <v>3.5</v>
      </c>
      <c r="K601" s="41"/>
    </row>
    <row r="602" spans="2:11" x14ac:dyDescent="0.2">
      <c r="B602" s="38"/>
      <c r="C602" s="40"/>
      <c r="D602" s="40"/>
      <c r="E602" s="40"/>
      <c r="F602" s="40"/>
      <c r="G602" s="40"/>
      <c r="H602" s="40"/>
      <c r="I602" s="40"/>
      <c r="J602" s="40"/>
      <c r="K602" s="41"/>
    </row>
    <row r="603" spans="2:11" x14ac:dyDescent="0.2">
      <c r="B603" s="38"/>
      <c r="C603" s="40"/>
      <c r="D603" s="40"/>
      <c r="E603" s="40"/>
      <c r="F603" s="40"/>
      <c r="G603" s="40"/>
      <c r="H603" s="40"/>
      <c r="I603" s="40"/>
      <c r="J603" s="40"/>
      <c r="K603" s="41"/>
    </row>
    <row r="604" spans="2:11" ht="16" x14ac:dyDescent="0.2">
      <c r="B604" s="38"/>
      <c r="C604" s="45" t="s">
        <v>326</v>
      </c>
      <c r="D604" s="40"/>
      <c r="E604" s="40"/>
      <c r="F604" s="40"/>
      <c r="G604" s="40"/>
      <c r="H604" s="40"/>
      <c r="I604" s="40"/>
      <c r="J604" s="40"/>
      <c r="K604" s="41"/>
    </row>
    <row r="605" spans="2:11" x14ac:dyDescent="0.2">
      <c r="B605" s="38"/>
      <c r="C605" s="40" t="s">
        <v>336</v>
      </c>
      <c r="D605" s="40"/>
      <c r="E605" s="40"/>
      <c r="F605" s="40"/>
      <c r="G605" s="40"/>
      <c r="H605" s="40"/>
      <c r="I605" s="40"/>
      <c r="J605" s="271">
        <v>0</v>
      </c>
      <c r="K605" s="41"/>
    </row>
    <row r="606" spans="2:11" x14ac:dyDescent="0.2">
      <c r="B606" s="38"/>
      <c r="C606" s="40" t="s">
        <v>260</v>
      </c>
      <c r="D606" s="40"/>
      <c r="E606" s="40"/>
      <c r="F606" s="40"/>
      <c r="G606" s="40"/>
      <c r="H606" s="40"/>
      <c r="I606" s="40"/>
      <c r="J606" s="248">
        <f>IF(J605&lt;=0,0,IF(J605&lt;=10,1,IF(J605&lt;=25,2,IF(J605&lt;=50,3,4))))</f>
        <v>0</v>
      </c>
      <c r="K606" s="41"/>
    </row>
    <row r="607" spans="2:11" ht="9.75" customHeight="1" x14ac:dyDescent="0.2">
      <c r="B607" s="38"/>
      <c r="C607" s="279" t="str">
        <f>"0:"</f>
        <v>0:</v>
      </c>
      <c r="D607" s="290" t="s">
        <v>944</v>
      </c>
      <c r="E607" s="40"/>
      <c r="F607" s="40"/>
      <c r="G607" s="40"/>
      <c r="H607" s="40"/>
      <c r="I607" s="40"/>
      <c r="J607" s="244"/>
      <c r="K607" s="41"/>
    </row>
    <row r="608" spans="2:11" ht="9.75" customHeight="1" x14ac:dyDescent="0.2">
      <c r="B608" s="38"/>
      <c r="C608" s="280" t="str">
        <f>"1:"</f>
        <v>1:</v>
      </c>
      <c r="D608" s="290" t="s">
        <v>947</v>
      </c>
      <c r="E608" s="40"/>
      <c r="F608" s="40"/>
      <c r="G608" s="40"/>
      <c r="H608" s="40"/>
      <c r="I608" s="40"/>
      <c r="J608" s="244"/>
      <c r="K608" s="41"/>
    </row>
    <row r="609" spans="2:11" ht="9.75" customHeight="1" x14ac:dyDescent="0.2">
      <c r="B609" s="38"/>
      <c r="C609" s="280" t="str">
        <f>"2:"</f>
        <v>2:</v>
      </c>
      <c r="D609" s="290" t="s">
        <v>972</v>
      </c>
      <c r="E609" s="40"/>
      <c r="F609" s="40"/>
      <c r="G609" s="40"/>
      <c r="H609" s="40"/>
      <c r="I609" s="40"/>
      <c r="J609" s="244"/>
      <c r="K609" s="41"/>
    </row>
    <row r="610" spans="2:11" ht="9.75" customHeight="1" x14ac:dyDescent="0.2">
      <c r="B610" s="38"/>
      <c r="C610" s="280" t="str">
        <f>"3:"</f>
        <v>3:</v>
      </c>
      <c r="D610" s="290" t="s">
        <v>973</v>
      </c>
      <c r="E610" s="40"/>
      <c r="F610" s="40"/>
      <c r="G610" s="40"/>
      <c r="H610" s="40"/>
      <c r="I610" s="40"/>
      <c r="J610" s="244"/>
      <c r="K610" s="41"/>
    </row>
    <row r="611" spans="2:11" ht="9.75" customHeight="1" x14ac:dyDescent="0.2">
      <c r="B611" s="38"/>
      <c r="C611" s="280" t="str">
        <f>"4:"</f>
        <v>4:</v>
      </c>
      <c r="D611" s="290" t="s">
        <v>974</v>
      </c>
      <c r="E611" s="40"/>
      <c r="F611" s="40"/>
      <c r="G611" s="40"/>
      <c r="H611" s="40"/>
      <c r="I611" s="40"/>
      <c r="J611" s="40"/>
      <c r="K611" s="41"/>
    </row>
    <row r="612" spans="2:11" x14ac:dyDescent="0.2">
      <c r="B612" s="38"/>
      <c r="C612" s="40" t="s">
        <v>893</v>
      </c>
      <c r="D612" s="40"/>
      <c r="E612" s="40"/>
      <c r="F612" s="40"/>
      <c r="G612" s="40"/>
      <c r="H612" s="40"/>
      <c r="I612" s="40"/>
      <c r="J612" s="40"/>
      <c r="K612" s="41"/>
    </row>
    <row r="613" spans="2:11" ht="30" customHeight="1" x14ac:dyDescent="0.2">
      <c r="B613" s="38"/>
      <c r="C613" s="399" t="s">
        <v>1237</v>
      </c>
      <c r="D613" s="400"/>
      <c r="E613" s="400"/>
      <c r="F613" s="400"/>
      <c r="G613" s="400"/>
      <c r="H613" s="400"/>
      <c r="I613" s="400"/>
      <c r="J613" s="401"/>
      <c r="K613" s="41"/>
    </row>
    <row r="614" spans="2:11" x14ac:dyDescent="0.2">
      <c r="B614" s="38"/>
      <c r="C614" s="40"/>
      <c r="D614" s="40"/>
      <c r="E614" s="40"/>
      <c r="F614" s="40"/>
      <c r="G614" s="40"/>
      <c r="H614" s="40"/>
      <c r="I614" s="40"/>
      <c r="J614" s="40"/>
      <c r="K614" s="41"/>
    </row>
    <row r="615" spans="2:11" x14ac:dyDescent="0.2">
      <c r="B615" s="38"/>
      <c r="C615" s="179" t="s">
        <v>327</v>
      </c>
      <c r="D615" s="40"/>
      <c r="E615" s="40"/>
      <c r="F615" s="40"/>
      <c r="G615" s="40"/>
      <c r="H615" s="40"/>
      <c r="I615" s="40"/>
      <c r="J615" s="245">
        <f>J606</f>
        <v>0</v>
      </c>
      <c r="K615" s="41"/>
    </row>
    <row r="616" spans="2:11" x14ac:dyDescent="0.2">
      <c r="B616" s="38"/>
      <c r="C616" s="40"/>
      <c r="D616" s="40"/>
      <c r="E616" s="40"/>
      <c r="F616" s="40"/>
      <c r="G616" s="40"/>
      <c r="H616" s="40"/>
      <c r="I616" s="40"/>
      <c r="J616" s="40"/>
      <c r="K616" s="41"/>
    </row>
    <row r="617" spans="2:11" x14ac:dyDescent="0.2">
      <c r="B617" s="38"/>
      <c r="C617" s="40"/>
      <c r="D617" s="40"/>
      <c r="E617" s="40"/>
      <c r="F617" s="40"/>
      <c r="G617" s="40"/>
      <c r="H617" s="40"/>
      <c r="I617" s="40"/>
      <c r="J617" s="40"/>
      <c r="K617" s="41"/>
    </row>
    <row r="618" spans="2:11" ht="16" x14ac:dyDescent="0.2">
      <c r="B618" s="38"/>
      <c r="C618" s="45" t="s">
        <v>92</v>
      </c>
      <c r="D618" s="40"/>
      <c r="E618" s="40"/>
      <c r="F618" s="40"/>
      <c r="G618" s="40"/>
      <c r="H618" s="40"/>
      <c r="I618" s="40"/>
      <c r="J618" s="40"/>
      <c r="K618" s="41"/>
    </row>
    <row r="619" spans="2:11" x14ac:dyDescent="0.2">
      <c r="B619" s="38"/>
      <c r="C619" s="40" t="s">
        <v>337</v>
      </c>
      <c r="D619" s="40"/>
      <c r="E619" s="40"/>
      <c r="F619" s="40"/>
      <c r="G619" s="40"/>
      <c r="H619" s="40"/>
      <c r="I619" s="40"/>
      <c r="J619" s="251">
        <f>'Baseline Health'!G137</f>
        <v>1</v>
      </c>
      <c r="K619" s="41"/>
    </row>
    <row r="620" spans="2:11" ht="15" customHeight="1" x14ac:dyDescent="0.2">
      <c r="B620" s="38"/>
      <c r="C620" s="380" t="s">
        <v>338</v>
      </c>
      <c r="D620" s="380"/>
      <c r="E620" s="380"/>
      <c r="F620" s="380"/>
      <c r="G620" s="380"/>
      <c r="H620" s="380"/>
      <c r="I620" s="380"/>
      <c r="J620" s="251"/>
      <c r="K620" s="41"/>
    </row>
    <row r="621" spans="2:11" x14ac:dyDescent="0.2">
      <c r="B621" s="38"/>
      <c r="C621" s="380"/>
      <c r="D621" s="380"/>
      <c r="E621" s="380"/>
      <c r="F621" s="380"/>
      <c r="G621" s="380"/>
      <c r="H621" s="380"/>
      <c r="I621" s="380"/>
      <c r="J621" s="264">
        <f>J619*0.5</f>
        <v>0.5</v>
      </c>
      <c r="K621" s="41"/>
    </row>
    <row r="622" spans="2:11" x14ac:dyDescent="0.2">
      <c r="B622" s="38"/>
      <c r="C622" s="40" t="s">
        <v>260</v>
      </c>
      <c r="D622" s="40"/>
      <c r="E622" s="40"/>
      <c r="F622" s="40"/>
      <c r="G622" s="40"/>
      <c r="H622" s="40"/>
      <c r="I622" s="40"/>
      <c r="J622" s="245">
        <f>IF(OR(J619=0,J619="Not Calculated")=TRUE,"Not Calculated",IF(((J619+J621)/J619)&lt;=1,0,IF(((J619+J621)/J619)&lt;=1.05,1,IF(((J619+J621)/J619)&lt;=1.5, 2,IF(((J619+J621)/J619)&lt;=2,3,4)))))</f>
        <v>2</v>
      </c>
      <c r="K622" s="41"/>
    </row>
    <row r="623" spans="2:11" ht="9.75" customHeight="1" x14ac:dyDescent="0.2">
      <c r="B623" s="38"/>
      <c r="C623" s="279" t="str">
        <f>"0:"</f>
        <v>0:</v>
      </c>
      <c r="D623" s="281" t="s">
        <v>918</v>
      </c>
      <c r="E623" s="291"/>
      <c r="F623" s="291"/>
      <c r="G623" s="291"/>
      <c r="H623" s="291"/>
      <c r="I623" s="291"/>
      <c r="J623" s="251"/>
      <c r="K623" s="41"/>
    </row>
    <row r="624" spans="2:11" ht="9.75" customHeight="1" x14ac:dyDescent="0.2">
      <c r="B624" s="38"/>
      <c r="C624" s="280" t="str">
        <f>"1:"</f>
        <v>1:</v>
      </c>
      <c r="D624" s="281" t="s">
        <v>919</v>
      </c>
      <c r="E624" s="291"/>
      <c r="F624" s="291"/>
      <c r="G624" s="291"/>
      <c r="H624" s="291"/>
      <c r="I624" s="291"/>
      <c r="J624" s="251"/>
      <c r="K624" s="41"/>
    </row>
    <row r="625" spans="2:14" ht="9.75" customHeight="1" x14ac:dyDescent="0.2">
      <c r="B625" s="38"/>
      <c r="C625" s="280" t="str">
        <f>"2:"</f>
        <v>2:</v>
      </c>
      <c r="D625" s="281" t="s">
        <v>920</v>
      </c>
      <c r="E625" s="291"/>
      <c r="F625" s="291"/>
      <c r="G625" s="291"/>
      <c r="H625" s="291"/>
      <c r="I625" s="291"/>
      <c r="J625" s="251"/>
      <c r="K625" s="41"/>
    </row>
    <row r="626" spans="2:14" ht="9.75" customHeight="1" x14ac:dyDescent="0.2">
      <c r="B626" s="38"/>
      <c r="C626" s="280" t="str">
        <f>"3:"</f>
        <v>3:</v>
      </c>
      <c r="D626" s="281" t="s">
        <v>921</v>
      </c>
      <c r="E626" s="291"/>
      <c r="F626" s="291"/>
      <c r="G626" s="291"/>
      <c r="H626" s="291"/>
      <c r="I626" s="291"/>
      <c r="J626" s="251"/>
      <c r="K626" s="41"/>
    </row>
    <row r="627" spans="2:14" ht="9.75" customHeight="1" x14ac:dyDescent="0.2">
      <c r="B627" s="38"/>
      <c r="C627" s="280" t="str">
        <f>"4:"</f>
        <v>4:</v>
      </c>
      <c r="D627" s="281" t="s">
        <v>922</v>
      </c>
      <c r="E627" s="40"/>
      <c r="F627" s="40"/>
      <c r="G627" s="40"/>
      <c r="H627" s="40"/>
      <c r="I627" s="40"/>
      <c r="J627" s="40"/>
      <c r="K627" s="41"/>
      <c r="N627" s="12" t="s">
        <v>661</v>
      </c>
    </row>
    <row r="628" spans="2:14" x14ac:dyDescent="0.2">
      <c r="B628" s="38"/>
      <c r="C628" s="174" t="s">
        <v>662</v>
      </c>
      <c r="D628" s="40"/>
      <c r="E628" s="40"/>
      <c r="F628" s="40"/>
      <c r="G628" s="40"/>
      <c r="H628" s="40"/>
      <c r="I628" s="40"/>
      <c r="J628" s="265" t="s">
        <v>661</v>
      </c>
      <c r="K628" s="41"/>
      <c r="N628" s="12" t="s">
        <v>894</v>
      </c>
    </row>
    <row r="629" spans="2:14" x14ac:dyDescent="0.2">
      <c r="B629" s="38"/>
      <c r="C629" s="174" t="s">
        <v>660</v>
      </c>
      <c r="D629" s="40"/>
      <c r="E629" s="40"/>
      <c r="F629" s="40"/>
      <c r="G629" s="40"/>
      <c r="H629" s="40"/>
      <c r="I629" s="40"/>
      <c r="J629" s="247" t="str">
        <f>IF(J628=N627,"N/A",IF(J628=N628,0,IF(J628=N629,1,IF(J628=N630,2,IF(J628=N631,3,IF(J628=N632,4,"N/A"))))))</f>
        <v>N/A</v>
      </c>
      <c r="K629" s="41"/>
      <c r="N629" s="12" t="s">
        <v>895</v>
      </c>
    </row>
    <row r="630" spans="2:14" x14ac:dyDescent="0.2">
      <c r="B630" s="38"/>
      <c r="C630" s="40" t="s">
        <v>257</v>
      </c>
      <c r="D630" s="40"/>
      <c r="E630" s="40"/>
      <c r="F630" s="40"/>
      <c r="G630" s="40"/>
      <c r="H630" s="40"/>
      <c r="I630" s="40"/>
      <c r="J630" s="266" t="s">
        <v>873</v>
      </c>
      <c r="K630" s="41"/>
      <c r="N630" s="12" t="s">
        <v>896</v>
      </c>
    </row>
    <row r="631" spans="2:14" x14ac:dyDescent="0.2">
      <c r="B631" s="38"/>
      <c r="C631" s="40" t="s">
        <v>261</v>
      </c>
      <c r="D631" s="40"/>
      <c r="E631" s="40"/>
      <c r="F631" s="40"/>
      <c r="G631" s="40"/>
      <c r="H631" s="40"/>
      <c r="I631" s="40"/>
      <c r="J631" s="245">
        <f>IF(J630=$B$973,$A$973,IF(J630=$B$974,$A$974,IF(J630=$B$975,$A$975,IF(J630=$B$976,$A$976,IF(J630=$B$977,$A$977,"Not Calculated")))))</f>
        <v>3</v>
      </c>
      <c r="K631" s="41"/>
      <c r="N631" s="12" t="s">
        <v>897</v>
      </c>
    </row>
    <row r="632" spans="2:14" x14ac:dyDescent="0.2">
      <c r="B632" s="38"/>
      <c r="C632" s="40" t="s">
        <v>893</v>
      </c>
      <c r="D632" s="40"/>
      <c r="E632" s="40"/>
      <c r="F632" s="40"/>
      <c r="G632" s="40"/>
      <c r="H632" s="40"/>
      <c r="I632" s="40"/>
      <c r="J632" s="40"/>
      <c r="K632" s="41"/>
      <c r="N632" s="12" t="s">
        <v>898</v>
      </c>
    </row>
    <row r="633" spans="2:14" ht="30" customHeight="1" x14ac:dyDescent="0.2">
      <c r="B633" s="38"/>
      <c r="C633" s="399" t="s">
        <v>1238</v>
      </c>
      <c r="D633" s="400"/>
      <c r="E633" s="400"/>
      <c r="F633" s="400"/>
      <c r="G633" s="400"/>
      <c r="H633" s="400"/>
      <c r="I633" s="400"/>
      <c r="J633" s="401"/>
      <c r="K633" s="41"/>
    </row>
    <row r="634" spans="2:14" x14ac:dyDescent="0.2">
      <c r="B634" s="38"/>
      <c r="C634" s="40"/>
      <c r="D634" s="40"/>
      <c r="E634" s="40"/>
      <c r="F634" s="40"/>
      <c r="G634" s="40"/>
      <c r="H634" s="40"/>
      <c r="I634" s="40"/>
      <c r="J634" s="40"/>
      <c r="K634" s="41"/>
    </row>
    <row r="635" spans="2:14" x14ac:dyDescent="0.2">
      <c r="B635" s="38"/>
      <c r="C635" s="179" t="s">
        <v>328</v>
      </c>
      <c r="D635" s="40"/>
      <c r="E635" s="40"/>
      <c r="F635" s="40"/>
      <c r="G635" s="40"/>
      <c r="H635" s="40"/>
      <c r="I635" s="40"/>
      <c r="J635" s="245">
        <f>IF(J629="N/A",IF(OR(J622="Not Calculated",J631="Not Calculated")=TRUE,"Not Calculated",AVERAGE(J622,J631)),AVERAGE(J629,J631))</f>
        <v>2.5</v>
      </c>
      <c r="K635" s="41"/>
    </row>
    <row r="636" spans="2:14" x14ac:dyDescent="0.2">
      <c r="B636" s="38"/>
      <c r="C636" s="40"/>
      <c r="D636" s="40"/>
      <c r="E636" s="40"/>
      <c r="F636" s="40"/>
      <c r="G636" s="40"/>
      <c r="H636" s="40"/>
      <c r="I636" s="40"/>
      <c r="J636" s="40"/>
      <c r="K636" s="41"/>
    </row>
    <row r="637" spans="2:14" x14ac:dyDescent="0.2">
      <c r="B637" s="38"/>
      <c r="C637" s="40"/>
      <c r="D637" s="40"/>
      <c r="E637" s="40"/>
      <c r="F637" s="40"/>
      <c r="G637" s="40"/>
      <c r="H637" s="40"/>
      <c r="I637" s="40"/>
      <c r="J637" s="40"/>
      <c r="K637" s="41"/>
    </row>
    <row r="638" spans="2:14" ht="16" x14ac:dyDescent="0.2">
      <c r="B638" s="38"/>
      <c r="C638" s="45" t="s">
        <v>329</v>
      </c>
      <c r="D638" s="40"/>
      <c r="E638" s="40"/>
      <c r="F638" s="40"/>
      <c r="G638" s="40"/>
      <c r="H638" s="40"/>
      <c r="I638" s="40"/>
      <c r="J638" s="40"/>
      <c r="K638" s="41"/>
    </row>
    <row r="639" spans="2:14" ht="15" customHeight="1" x14ac:dyDescent="0.2">
      <c r="B639" s="38"/>
      <c r="C639" s="380" t="s">
        <v>339</v>
      </c>
      <c r="D639" s="380"/>
      <c r="E639" s="380"/>
      <c r="F639" s="380"/>
      <c r="G639" s="380"/>
      <c r="H639" s="380"/>
      <c r="I639" s="380"/>
      <c r="J639" s="40"/>
      <c r="K639" s="41"/>
    </row>
    <row r="640" spans="2:14" x14ac:dyDescent="0.2">
      <c r="B640" s="38"/>
      <c r="C640" s="380"/>
      <c r="D640" s="380"/>
      <c r="E640" s="380"/>
      <c r="F640" s="380"/>
      <c r="G640" s="380"/>
      <c r="H640" s="380"/>
      <c r="I640" s="380"/>
      <c r="J640" s="250">
        <f>'Baseline Health'!G145</f>
        <v>0</v>
      </c>
      <c r="K640" s="41"/>
    </row>
    <row r="641" spans="2:14" ht="15" customHeight="1" x14ac:dyDescent="0.2">
      <c r="B641" s="38"/>
      <c r="C641" s="380" t="s">
        <v>340</v>
      </c>
      <c r="D641" s="380"/>
      <c r="E641" s="380"/>
      <c r="F641" s="380"/>
      <c r="G641" s="380"/>
      <c r="H641" s="380"/>
      <c r="I641" s="380"/>
      <c r="J641" s="245"/>
      <c r="K641" s="41"/>
    </row>
    <row r="642" spans="2:14" x14ac:dyDescent="0.2">
      <c r="B642" s="38"/>
      <c r="C642" s="380"/>
      <c r="D642" s="380"/>
      <c r="E642" s="380"/>
      <c r="F642" s="380"/>
      <c r="G642" s="380"/>
      <c r="H642" s="380"/>
      <c r="I642" s="380"/>
      <c r="J642" s="245"/>
      <c r="K642" s="41"/>
    </row>
    <row r="643" spans="2:14" x14ac:dyDescent="0.2">
      <c r="B643" s="38"/>
      <c r="C643" s="380"/>
      <c r="D643" s="380"/>
      <c r="E643" s="380"/>
      <c r="F643" s="380"/>
      <c r="G643" s="380"/>
      <c r="H643" s="380"/>
      <c r="I643" s="380"/>
      <c r="J643" s="272">
        <v>112.5</v>
      </c>
      <c r="K643" s="41"/>
    </row>
    <row r="644" spans="2:14" x14ac:dyDescent="0.2">
      <c r="B644" s="38"/>
      <c r="C644" s="40" t="s">
        <v>260</v>
      </c>
      <c r="D644" s="40"/>
      <c r="E644" s="40"/>
      <c r="F644" s="40"/>
      <c r="G644" s="40"/>
      <c r="H644" s="40"/>
      <c r="I644" s="40"/>
      <c r="J644" s="245" t="str">
        <f>IF(OR(J640=0,J640="Not Calculated")=TRUE,"Not Calculated",IF(((J640+J643)/J640)&lt;=1,0,IF(((J640+J643)/J640)&lt;=1.05,1,IF(((J640+J643)/J640)&lt;=1.5, 2,IF(((J640+J643)/J640)&lt;=2,3,4)))))</f>
        <v>Not Calculated</v>
      </c>
      <c r="K644" s="41"/>
    </row>
    <row r="645" spans="2:14" ht="9.75" customHeight="1" x14ac:dyDescent="0.2">
      <c r="B645" s="38"/>
      <c r="C645" s="279" t="str">
        <f>"0:"</f>
        <v>0:</v>
      </c>
      <c r="D645" s="281" t="s">
        <v>918</v>
      </c>
      <c r="E645" s="291"/>
      <c r="F645" s="291"/>
      <c r="G645" s="291"/>
      <c r="H645" s="291"/>
      <c r="I645" s="291"/>
      <c r="J645" s="250"/>
      <c r="K645" s="41"/>
    </row>
    <row r="646" spans="2:14" ht="9.75" customHeight="1" x14ac:dyDescent="0.2">
      <c r="B646" s="38"/>
      <c r="C646" s="280" t="str">
        <f>"1:"</f>
        <v>1:</v>
      </c>
      <c r="D646" s="281" t="s">
        <v>919</v>
      </c>
      <c r="E646" s="291"/>
      <c r="F646" s="291"/>
      <c r="G646" s="291"/>
      <c r="H646" s="291"/>
      <c r="I646" s="291"/>
      <c r="J646" s="250"/>
      <c r="K646" s="41"/>
    </row>
    <row r="647" spans="2:14" ht="9.75" customHeight="1" x14ac:dyDescent="0.2">
      <c r="B647" s="38"/>
      <c r="C647" s="280" t="str">
        <f>"2:"</f>
        <v>2:</v>
      </c>
      <c r="D647" s="281" t="s">
        <v>920</v>
      </c>
      <c r="E647" s="291"/>
      <c r="F647" s="291"/>
      <c r="G647" s="291"/>
      <c r="H647" s="291"/>
      <c r="I647" s="291"/>
      <c r="J647" s="250"/>
      <c r="K647" s="41"/>
    </row>
    <row r="648" spans="2:14" ht="9.75" customHeight="1" x14ac:dyDescent="0.2">
      <c r="B648" s="38"/>
      <c r="C648" s="280" t="str">
        <f>"3:"</f>
        <v>3:</v>
      </c>
      <c r="D648" s="281" t="s">
        <v>921</v>
      </c>
      <c r="E648" s="291"/>
      <c r="F648" s="291"/>
      <c r="G648" s="291"/>
      <c r="H648" s="291"/>
      <c r="I648" s="291"/>
      <c r="J648" s="250"/>
      <c r="K648" s="41"/>
    </row>
    <row r="649" spans="2:14" ht="9.75" customHeight="1" x14ac:dyDescent="0.2">
      <c r="B649" s="38"/>
      <c r="C649" s="280" t="str">
        <f>"4:"</f>
        <v>4:</v>
      </c>
      <c r="D649" s="281" t="s">
        <v>922</v>
      </c>
      <c r="E649" s="40"/>
      <c r="F649" s="40"/>
      <c r="G649" s="40"/>
      <c r="H649" s="40"/>
      <c r="I649" s="40"/>
      <c r="J649" s="40"/>
      <c r="K649" s="41"/>
      <c r="N649" s="12" t="s">
        <v>661</v>
      </c>
    </row>
    <row r="650" spans="2:14" x14ac:dyDescent="0.2">
      <c r="B650" s="38"/>
      <c r="C650" s="174" t="s">
        <v>662</v>
      </c>
      <c r="D650" s="40"/>
      <c r="E650" s="40"/>
      <c r="F650" s="40"/>
      <c r="G650" s="40"/>
      <c r="H650" s="40"/>
      <c r="I650" s="40"/>
      <c r="J650" s="265" t="s">
        <v>661</v>
      </c>
      <c r="K650" s="41"/>
      <c r="N650" s="12" t="s">
        <v>894</v>
      </c>
    </row>
    <row r="651" spans="2:14" x14ac:dyDescent="0.2">
      <c r="B651" s="38"/>
      <c r="C651" s="174" t="s">
        <v>660</v>
      </c>
      <c r="D651" s="40"/>
      <c r="E651" s="40"/>
      <c r="F651" s="40"/>
      <c r="G651" s="40"/>
      <c r="H651" s="40"/>
      <c r="I651" s="40"/>
      <c r="J651" s="247" t="str">
        <f>IF(J650=N649,"N/A",IF(J650=N650,0,IF(J650=N651,1,IF(J650=N652,2,IF(J650=N653,3,IF(J650=N654,4,"N/A"))))))</f>
        <v>N/A</v>
      </c>
      <c r="K651" s="41"/>
      <c r="N651" s="12" t="s">
        <v>895</v>
      </c>
    </row>
    <row r="652" spans="2:14" ht="15" customHeight="1" x14ac:dyDescent="0.2">
      <c r="B652" s="38"/>
      <c r="C652" s="40" t="s">
        <v>257</v>
      </c>
      <c r="D652" s="40"/>
      <c r="E652" s="40"/>
      <c r="F652" s="40"/>
      <c r="G652" s="40"/>
      <c r="H652" s="40"/>
      <c r="I652" s="40"/>
      <c r="J652" s="266" t="s">
        <v>873</v>
      </c>
      <c r="K652" s="41"/>
      <c r="N652" s="12" t="s">
        <v>896</v>
      </c>
    </row>
    <row r="653" spans="2:14" x14ac:dyDescent="0.2">
      <c r="B653" s="38"/>
      <c r="C653" s="40" t="s">
        <v>261</v>
      </c>
      <c r="D653" s="40"/>
      <c r="E653" s="40"/>
      <c r="F653" s="40"/>
      <c r="G653" s="40"/>
      <c r="H653" s="40"/>
      <c r="I653" s="40"/>
      <c r="J653" s="245">
        <f>IF(J652=$B$973,$A$973,IF(J652=$B$974,$A$974,IF(J652=$B$975,$A$975,IF(J652=$B$976,$A$976,IF(J652=$B$977,$A$977,"Not Calculated")))))</f>
        <v>3</v>
      </c>
      <c r="K653" s="41"/>
      <c r="N653" s="12" t="s">
        <v>897</v>
      </c>
    </row>
    <row r="654" spans="2:14" x14ac:dyDescent="0.2">
      <c r="B654" s="38"/>
      <c r="C654" s="40" t="s">
        <v>893</v>
      </c>
      <c r="D654" s="40"/>
      <c r="E654" s="40"/>
      <c r="F654" s="40"/>
      <c r="G654" s="40"/>
      <c r="H654" s="40"/>
      <c r="I654" s="40"/>
      <c r="J654" s="40"/>
      <c r="K654" s="41"/>
      <c r="N654" s="12" t="s">
        <v>898</v>
      </c>
    </row>
    <row r="655" spans="2:14" ht="60" customHeight="1" x14ac:dyDescent="0.2">
      <c r="B655" s="38"/>
      <c r="C655" s="399" t="s">
        <v>567</v>
      </c>
      <c r="D655" s="400"/>
      <c r="E655" s="400"/>
      <c r="F655" s="400"/>
      <c r="G655" s="400"/>
      <c r="H655" s="400"/>
      <c r="I655" s="400"/>
      <c r="J655" s="401"/>
      <c r="K655" s="41"/>
    </row>
    <row r="656" spans="2:14" x14ac:dyDescent="0.2">
      <c r="B656" s="38"/>
      <c r="C656" s="40"/>
      <c r="D656" s="40"/>
      <c r="E656" s="40"/>
      <c r="F656" s="40"/>
      <c r="G656" s="40"/>
      <c r="H656" s="40"/>
      <c r="I656" s="40"/>
      <c r="J656" s="40"/>
      <c r="K656" s="41"/>
    </row>
    <row r="657" spans="2:14" x14ac:dyDescent="0.2">
      <c r="B657" s="38"/>
      <c r="C657" s="179" t="s">
        <v>330</v>
      </c>
      <c r="D657" s="40"/>
      <c r="E657" s="40"/>
      <c r="F657" s="40"/>
      <c r="G657" s="40"/>
      <c r="H657" s="40"/>
      <c r="I657" s="40"/>
      <c r="J657" s="245" t="str">
        <f>IF(J651="N/A",IF(OR(J644="Not Calculated",J653="Not Calculated")=TRUE,"Not Calculated",AVERAGE(J644,J653)),AVERAGE(J651,J653))</f>
        <v>Not Calculated</v>
      </c>
      <c r="K657" s="41"/>
    </row>
    <row r="658" spans="2:14" x14ac:dyDescent="0.2">
      <c r="B658" s="38"/>
      <c r="C658" s="40"/>
      <c r="D658" s="40"/>
      <c r="E658" s="40"/>
      <c r="F658" s="40"/>
      <c r="G658" s="40"/>
      <c r="H658" s="40"/>
      <c r="I658" s="40"/>
      <c r="J658" s="40"/>
      <c r="K658" s="41"/>
    </row>
    <row r="659" spans="2:14" x14ac:dyDescent="0.2">
      <c r="B659" s="38"/>
      <c r="C659" s="40"/>
      <c r="D659" s="40"/>
      <c r="E659" s="40"/>
      <c r="F659" s="40"/>
      <c r="G659" s="40"/>
      <c r="H659" s="40"/>
      <c r="I659" s="40"/>
      <c r="J659" s="40"/>
      <c r="K659" s="41"/>
    </row>
    <row r="660" spans="2:14" ht="16" x14ac:dyDescent="0.2">
      <c r="B660" s="38"/>
      <c r="C660" s="45" t="s">
        <v>97</v>
      </c>
      <c r="D660" s="40"/>
      <c r="E660" s="40"/>
      <c r="F660" s="40"/>
      <c r="G660" s="40"/>
      <c r="H660" s="40"/>
      <c r="I660" s="40"/>
      <c r="J660" s="40"/>
      <c r="K660" s="41"/>
    </row>
    <row r="661" spans="2:14" x14ac:dyDescent="0.2">
      <c r="B661" s="38"/>
      <c r="C661" s="40" t="s">
        <v>449</v>
      </c>
      <c r="D661" s="40"/>
      <c r="E661" s="40"/>
      <c r="F661" s="40"/>
      <c r="G661" s="40"/>
      <c r="H661" s="40"/>
      <c r="I661" s="40"/>
      <c r="J661" s="263">
        <f>'Baseline Health'!G150</f>
        <v>0</v>
      </c>
      <c r="K661" s="41"/>
    </row>
    <row r="662" spans="2:14" x14ac:dyDescent="0.2">
      <c r="B662" s="38"/>
      <c r="C662" s="40" t="s">
        <v>341</v>
      </c>
      <c r="D662" s="40"/>
      <c r="E662" s="40"/>
      <c r="F662" s="40"/>
      <c r="G662" s="40"/>
      <c r="H662" s="40"/>
      <c r="I662" s="40"/>
      <c r="J662" s="273">
        <v>0</v>
      </c>
      <c r="K662" s="41"/>
    </row>
    <row r="663" spans="2:14" x14ac:dyDescent="0.2">
      <c r="B663" s="38"/>
      <c r="C663" s="40" t="s">
        <v>450</v>
      </c>
      <c r="D663" s="40"/>
      <c r="E663" s="40"/>
      <c r="F663" s="40"/>
      <c r="G663" s="40"/>
      <c r="H663" s="40"/>
      <c r="I663" s="40"/>
      <c r="J663" s="263">
        <f>J26</f>
        <v>160</v>
      </c>
      <c r="K663" s="41"/>
    </row>
    <row r="664" spans="2:14" ht="15" customHeight="1" x14ac:dyDescent="0.2">
      <c r="B664" s="38"/>
      <c r="C664" s="291"/>
      <c r="D664" s="380" t="s">
        <v>342</v>
      </c>
      <c r="E664" s="380"/>
      <c r="F664" s="380"/>
      <c r="G664" s="380"/>
      <c r="H664" s="380"/>
      <c r="I664" s="380"/>
      <c r="J664" s="245"/>
      <c r="K664" s="41"/>
    </row>
    <row r="665" spans="2:14" x14ac:dyDescent="0.2">
      <c r="B665" s="38"/>
      <c r="C665" s="291"/>
      <c r="D665" s="380"/>
      <c r="E665" s="380"/>
      <c r="F665" s="380"/>
      <c r="G665" s="380"/>
      <c r="H665" s="380"/>
      <c r="I665" s="380"/>
      <c r="J665" s="245"/>
      <c r="K665" s="41"/>
    </row>
    <row r="666" spans="2:14" x14ac:dyDescent="0.2">
      <c r="B666" s="38"/>
      <c r="C666" s="40" t="s">
        <v>260</v>
      </c>
      <c r="D666" s="40"/>
      <c r="E666" s="40"/>
      <c r="F666" s="40"/>
      <c r="G666" s="40"/>
      <c r="H666" s="40"/>
      <c r="I666" s="40"/>
      <c r="J666" s="245" t="str">
        <f>IF(OR(J661=0,J661="Not Calculated")=TRUE,"Not Calculated",IF(((J661+J663)/(J661-J662))&lt;=1,0,IF(((J661+J663)/(J661-J662))&lt;=1.1,1,IF(((J661+J663)/(J661-J662))&lt;=1.5, 2,IF(((J661+J663)/(J661-J662))&lt;=2,3,4)))))</f>
        <v>Not Calculated</v>
      </c>
      <c r="K666" s="41"/>
    </row>
    <row r="667" spans="2:14" ht="9.75" customHeight="1" x14ac:dyDescent="0.2">
      <c r="B667" s="38"/>
      <c r="C667" s="279" t="str">
        <f>"0:"</f>
        <v>0:</v>
      </c>
      <c r="D667" s="278" t="s">
        <v>918</v>
      </c>
      <c r="E667" s="291"/>
      <c r="F667" s="291"/>
      <c r="G667" s="291"/>
      <c r="H667" s="291"/>
      <c r="I667" s="291"/>
      <c r="J667" s="245"/>
      <c r="K667" s="41"/>
    </row>
    <row r="668" spans="2:14" ht="9.75" customHeight="1" x14ac:dyDescent="0.2">
      <c r="B668" s="38"/>
      <c r="C668" s="280" t="str">
        <f>"1:"</f>
        <v>1:</v>
      </c>
      <c r="D668" s="278" t="s">
        <v>923</v>
      </c>
      <c r="E668" s="291"/>
      <c r="F668" s="291"/>
      <c r="G668" s="291"/>
      <c r="H668" s="291"/>
      <c r="I668" s="291"/>
      <c r="J668" s="245"/>
      <c r="K668" s="41"/>
    </row>
    <row r="669" spans="2:14" ht="9.75" customHeight="1" x14ac:dyDescent="0.2">
      <c r="B669" s="38"/>
      <c r="C669" s="280" t="str">
        <f>"2:"</f>
        <v>2:</v>
      </c>
      <c r="D669" s="278" t="s">
        <v>924</v>
      </c>
      <c r="E669" s="291"/>
      <c r="F669" s="291"/>
      <c r="G669" s="291"/>
      <c r="H669" s="291"/>
      <c r="I669" s="291"/>
      <c r="J669" s="245"/>
      <c r="K669" s="41"/>
    </row>
    <row r="670" spans="2:14" ht="9.75" customHeight="1" x14ac:dyDescent="0.2">
      <c r="B670" s="38"/>
      <c r="C670" s="280" t="str">
        <f>"3:"</f>
        <v>3:</v>
      </c>
      <c r="D670" s="278" t="s">
        <v>925</v>
      </c>
      <c r="E670" s="291"/>
      <c r="F670" s="291"/>
      <c r="G670" s="291"/>
      <c r="H670" s="291"/>
      <c r="I670" s="291"/>
      <c r="J670" s="245"/>
      <c r="K670" s="41"/>
    </row>
    <row r="671" spans="2:14" ht="9.75" customHeight="1" x14ac:dyDescent="0.2">
      <c r="B671" s="38"/>
      <c r="C671" s="280" t="str">
        <f>"4:"</f>
        <v>4:</v>
      </c>
      <c r="D671" s="278" t="s">
        <v>926</v>
      </c>
      <c r="E671" s="40"/>
      <c r="F671" s="40"/>
      <c r="G671" s="40"/>
      <c r="H671" s="40"/>
      <c r="I671" s="40"/>
      <c r="J671" s="40"/>
      <c r="K671" s="41"/>
      <c r="N671" s="12" t="s">
        <v>661</v>
      </c>
    </row>
    <row r="672" spans="2:14" ht="15" customHeight="1" x14ac:dyDescent="0.2">
      <c r="B672" s="38"/>
      <c r="C672" s="174" t="s">
        <v>662</v>
      </c>
      <c r="D672" s="40"/>
      <c r="E672" s="40"/>
      <c r="F672" s="40"/>
      <c r="G672" s="40"/>
      <c r="H672" s="40"/>
      <c r="I672" s="40"/>
      <c r="J672" s="265" t="s">
        <v>661</v>
      </c>
      <c r="K672" s="41"/>
      <c r="N672" s="12" t="s">
        <v>894</v>
      </c>
    </row>
    <row r="673" spans="2:14" ht="15" customHeight="1" x14ac:dyDescent="0.2">
      <c r="B673" s="38"/>
      <c r="C673" s="174" t="s">
        <v>660</v>
      </c>
      <c r="D673" s="40"/>
      <c r="E673" s="40"/>
      <c r="F673" s="40"/>
      <c r="G673" s="40"/>
      <c r="H673" s="40"/>
      <c r="I673" s="40"/>
      <c r="J673" s="246" t="str">
        <f>IF(J672=N671,"N/A",IF(J672=N672,0,IF(J672=N673,1,IF(J672=N674,2,IF(J672=N675,3,IF(J672=N676,4,"N/A"))))))</f>
        <v>N/A</v>
      </c>
      <c r="K673" s="41"/>
      <c r="N673" s="12" t="s">
        <v>908</v>
      </c>
    </row>
    <row r="674" spans="2:14" ht="15" customHeight="1" x14ac:dyDescent="0.2">
      <c r="B674" s="38"/>
      <c r="C674" s="40" t="s">
        <v>257</v>
      </c>
      <c r="D674" s="40"/>
      <c r="E674" s="40"/>
      <c r="F674" s="40"/>
      <c r="G674" s="40"/>
      <c r="H674" s="40"/>
      <c r="I674" s="40"/>
      <c r="J674" s="266" t="s">
        <v>872</v>
      </c>
      <c r="K674" s="41"/>
      <c r="N674" s="12" t="s">
        <v>900</v>
      </c>
    </row>
    <row r="675" spans="2:14" x14ac:dyDescent="0.2">
      <c r="B675" s="38"/>
      <c r="C675" s="40" t="s">
        <v>261</v>
      </c>
      <c r="D675" s="40"/>
      <c r="E675" s="40"/>
      <c r="F675" s="40"/>
      <c r="G675" s="40"/>
      <c r="H675" s="40"/>
      <c r="I675" s="40"/>
      <c r="J675" s="245">
        <f>IF(J674=$B$973,$A$973,IF(J674=$B$974,$A$974,IF(J674=$B$975,$A$975,IF(J674=$B$976,$A$976,IF(J674=$B$977,$A$977,"Not Calculated")))))</f>
        <v>2</v>
      </c>
      <c r="K675" s="41"/>
      <c r="N675" s="12" t="s">
        <v>901</v>
      </c>
    </row>
    <row r="676" spans="2:14" ht="15" customHeight="1" x14ac:dyDescent="0.2">
      <c r="B676" s="38"/>
      <c r="C676" s="40" t="s">
        <v>893</v>
      </c>
      <c r="D676" s="40"/>
      <c r="E676" s="40"/>
      <c r="F676" s="40"/>
      <c r="G676" s="40"/>
      <c r="H676" s="40"/>
      <c r="I676" s="40"/>
      <c r="J676" s="40"/>
      <c r="K676" s="41"/>
      <c r="N676" s="12" t="s">
        <v>909</v>
      </c>
    </row>
    <row r="677" spans="2:14" ht="30" customHeight="1" x14ac:dyDescent="0.2">
      <c r="B677" s="38"/>
      <c r="C677" s="399"/>
      <c r="D677" s="400"/>
      <c r="E677" s="400"/>
      <c r="F677" s="400"/>
      <c r="G677" s="400"/>
      <c r="H677" s="400"/>
      <c r="I677" s="400"/>
      <c r="J677" s="401"/>
      <c r="K677" s="41"/>
    </row>
    <row r="678" spans="2:14" x14ac:dyDescent="0.2">
      <c r="B678" s="38"/>
      <c r="C678" s="40"/>
      <c r="D678" s="40"/>
      <c r="E678" s="40"/>
      <c r="F678" s="40"/>
      <c r="G678" s="40"/>
      <c r="H678" s="40"/>
      <c r="I678" s="40"/>
      <c r="J678" s="40"/>
      <c r="K678" s="41"/>
    </row>
    <row r="679" spans="2:14" x14ac:dyDescent="0.2">
      <c r="B679" s="38"/>
      <c r="C679" s="179" t="s">
        <v>331</v>
      </c>
      <c r="D679" s="40"/>
      <c r="E679" s="40"/>
      <c r="F679" s="40"/>
      <c r="G679" s="40"/>
      <c r="H679" s="40"/>
      <c r="I679" s="40"/>
      <c r="J679" s="245" t="str">
        <f>IF(J673="N/A",IF(OR(J666="Not Calculated",J675="Not Calculated")=TRUE,"Not Calculated",AVERAGE(J666,J675)),AVERAGE(J673,J675))</f>
        <v>Not Calculated</v>
      </c>
      <c r="K679" s="41"/>
    </row>
    <row r="680" spans="2:14" x14ac:dyDescent="0.2">
      <c r="B680" s="38"/>
      <c r="C680" s="40"/>
      <c r="D680" s="40"/>
      <c r="E680" s="40"/>
      <c r="F680" s="40"/>
      <c r="G680" s="40"/>
      <c r="H680" s="40"/>
      <c r="I680" s="40"/>
      <c r="J680" s="40"/>
      <c r="K680" s="41"/>
    </row>
    <row r="681" spans="2:14" ht="18" x14ac:dyDescent="0.2">
      <c r="B681" s="38"/>
      <c r="C681" s="180" t="s">
        <v>332</v>
      </c>
      <c r="D681" s="40"/>
      <c r="E681" s="40"/>
      <c r="F681" s="40"/>
      <c r="G681" s="40"/>
      <c r="H681" s="40"/>
      <c r="I681" s="40"/>
      <c r="J681" s="244" t="str">
        <f>IF(OR(J562="Not Calculated",J585="Not Calculated",J601="Not Calculated",J615="Not Calculated",J635="Not Calculated",J657="Not Calculated",J679="Not Calculated")=TRUE,"Not Calculated",AVERAGE(J562,J585,J601,J615,J635,J657,J679))</f>
        <v>Not Calculated</v>
      </c>
      <c r="K681" s="41"/>
    </row>
    <row r="682" spans="2:14" ht="16" thickBot="1" x14ac:dyDescent="0.25">
      <c r="B682" s="46"/>
      <c r="C682" s="47"/>
      <c r="D682" s="47"/>
      <c r="E682" s="47"/>
      <c r="F682" s="47"/>
      <c r="G682" s="47"/>
      <c r="H682" s="47"/>
      <c r="I682" s="47"/>
      <c r="J682" s="47"/>
      <c r="K682" s="49"/>
    </row>
    <row r="683" spans="2:14" ht="16" thickBot="1" x14ac:dyDescent="0.25"/>
    <row r="684" spans="2:14" x14ac:dyDescent="0.2">
      <c r="B684" s="33"/>
      <c r="C684" s="34"/>
      <c r="D684" s="34"/>
      <c r="E684" s="34"/>
      <c r="F684" s="34"/>
      <c r="G684" s="34"/>
      <c r="H684" s="34"/>
      <c r="I684" s="34"/>
      <c r="J684" s="34"/>
      <c r="K684" s="37"/>
    </row>
    <row r="685" spans="2:14" ht="21" x14ac:dyDescent="0.25">
      <c r="B685" s="38"/>
      <c r="C685" s="40"/>
      <c r="D685" s="40"/>
      <c r="E685" s="40"/>
      <c r="F685" s="40"/>
      <c r="G685" s="172" t="s">
        <v>346</v>
      </c>
      <c r="H685" s="40"/>
      <c r="I685" s="40"/>
      <c r="J685" s="40"/>
      <c r="K685" s="41"/>
    </row>
    <row r="686" spans="2:14" x14ac:dyDescent="0.2">
      <c r="B686" s="38"/>
      <c r="C686" s="40"/>
      <c r="D686" s="40"/>
      <c r="E686" s="40"/>
      <c r="F686" s="40"/>
      <c r="G686" s="40"/>
      <c r="H686" s="40"/>
      <c r="I686" s="40"/>
      <c r="J686" s="40"/>
      <c r="K686" s="41"/>
    </row>
    <row r="687" spans="2:14" ht="16" x14ac:dyDescent="0.2">
      <c r="B687" s="38"/>
      <c r="C687" s="182" t="s">
        <v>986</v>
      </c>
      <c r="D687" s="40"/>
      <c r="E687" s="40"/>
      <c r="F687" s="40"/>
      <c r="G687" s="40"/>
      <c r="H687" s="40"/>
      <c r="I687" s="40"/>
      <c r="J687" s="257" t="str">
        <f>IF(OR($J$133="Not Calculated",$J$261="Not Calculated",$J$421="Not Calculated",$J$539="Not Calculated",$J$681="Not Calculated")=TRUE,"Not Calculated",AVERAGE($J$133,$J$261,$J$421,$J$539,$J$681))</f>
        <v>Not Calculated</v>
      </c>
      <c r="K687" s="41"/>
    </row>
    <row r="688" spans="2:14" x14ac:dyDescent="0.2">
      <c r="B688" s="38"/>
      <c r="C688" s="40"/>
      <c r="D688" s="40" t="s">
        <v>343</v>
      </c>
      <c r="E688" s="40"/>
      <c r="F688" s="40"/>
      <c r="G688" s="40"/>
      <c r="H688" s="40"/>
      <c r="I688" s="40"/>
      <c r="J688" s="40"/>
      <c r="K688" s="41"/>
    </row>
    <row r="689" spans="2:11" ht="15" customHeight="1" x14ac:dyDescent="0.2">
      <c r="B689" s="38"/>
      <c r="C689" s="40"/>
      <c r="D689" s="40"/>
      <c r="E689" s="40"/>
      <c r="F689" s="40"/>
      <c r="G689" s="40"/>
      <c r="H689" s="40"/>
      <c r="I689" s="40"/>
      <c r="J689" s="40"/>
      <c r="K689" s="41"/>
    </row>
    <row r="690" spans="2:11" ht="16" x14ac:dyDescent="0.2">
      <c r="B690" s="38"/>
      <c r="C690" s="182" t="s">
        <v>987</v>
      </c>
      <c r="D690" s="40"/>
      <c r="E690" s="40"/>
      <c r="F690" s="40"/>
      <c r="G690" s="40"/>
      <c r="H690" s="40"/>
      <c r="I690" s="40"/>
      <c r="J690" s="257" t="str">
        <f>IF(OR($J$133="Not Calculated",$J$261="Not Calculated",$J$539="Not Calculated",$J$681="Not Calculated")=TRUE,"Not Calculated",AVERAGE($J$133,$J$261,$J$539,$J$681))</f>
        <v>Not Calculated</v>
      </c>
      <c r="K690" s="41"/>
    </row>
    <row r="691" spans="2:11" ht="15" customHeight="1" x14ac:dyDescent="0.2">
      <c r="B691" s="38"/>
      <c r="C691" s="40"/>
      <c r="D691" s="40" t="s">
        <v>344</v>
      </c>
      <c r="E691" s="40"/>
      <c r="F691" s="40"/>
      <c r="G691" s="40"/>
      <c r="H691" s="40"/>
      <c r="I691" s="40"/>
      <c r="J691" s="40"/>
      <c r="K691" s="41"/>
    </row>
    <row r="692" spans="2:11" x14ac:dyDescent="0.2">
      <c r="B692" s="38"/>
      <c r="C692" s="40"/>
      <c r="D692" s="40"/>
      <c r="E692" s="40"/>
      <c r="F692" s="40"/>
      <c r="G692" s="40"/>
      <c r="H692" s="40"/>
      <c r="I692" s="40"/>
      <c r="J692" s="40"/>
      <c r="K692" s="41"/>
    </row>
    <row r="693" spans="2:11" ht="16" x14ac:dyDescent="0.2">
      <c r="B693" s="38"/>
      <c r="C693" s="182" t="s">
        <v>988</v>
      </c>
      <c r="D693" s="40"/>
      <c r="E693" s="40"/>
      <c r="F693" s="40"/>
      <c r="G693" s="40"/>
      <c r="H693" s="40"/>
      <c r="I693" s="40"/>
      <c r="J693" s="257" t="str">
        <f>IF(OR($J$133="Not Calculated",$J$261="Not Calculated",$J$421="Not Calculated")=TRUE,"Not Calculated",AVERAGE($J$133,$J$261,$J$421))</f>
        <v>Not Calculated</v>
      </c>
      <c r="K693" s="41"/>
    </row>
    <row r="694" spans="2:11" x14ac:dyDescent="0.2">
      <c r="B694" s="38"/>
      <c r="C694" s="40"/>
      <c r="D694" s="40" t="s">
        <v>345</v>
      </c>
      <c r="E694" s="40"/>
      <c r="F694" s="40"/>
      <c r="G694" s="40"/>
      <c r="H694" s="40"/>
      <c r="I694" s="40"/>
      <c r="J694" s="40"/>
      <c r="K694" s="41"/>
    </row>
    <row r="695" spans="2:11" ht="16" thickBot="1" x14ac:dyDescent="0.25">
      <c r="B695" s="46"/>
      <c r="C695" s="47"/>
      <c r="D695" s="47"/>
      <c r="E695" s="47"/>
      <c r="F695" s="47"/>
      <c r="G695" s="47"/>
      <c r="H695" s="47"/>
      <c r="I695" s="47"/>
      <c r="J695" s="47"/>
      <c r="K695" s="49"/>
    </row>
    <row r="696" spans="2:11" ht="16" thickBot="1" x14ac:dyDescent="0.25"/>
    <row r="697" spans="2:11" x14ac:dyDescent="0.2">
      <c r="B697" s="183"/>
      <c r="C697" s="184"/>
      <c r="D697" s="184"/>
      <c r="E697" s="184"/>
      <c r="F697" s="184"/>
      <c r="G697" s="184"/>
      <c r="H697" s="184"/>
      <c r="I697" s="184"/>
      <c r="J697" s="184"/>
      <c r="K697" s="185"/>
    </row>
    <row r="698" spans="2:11" ht="21" x14ac:dyDescent="0.25">
      <c r="B698" s="186"/>
      <c r="C698" s="187"/>
      <c r="D698" s="187"/>
      <c r="E698" s="187"/>
      <c r="F698" s="187"/>
      <c r="G698" s="188" t="s">
        <v>231</v>
      </c>
      <c r="H698" s="187"/>
      <c r="I698" s="187"/>
      <c r="J698" s="187"/>
      <c r="K698" s="189"/>
    </row>
    <row r="699" spans="2:11" x14ac:dyDescent="0.2">
      <c r="B699" s="186"/>
      <c r="C699" s="187"/>
      <c r="D699" s="187"/>
      <c r="E699" s="187"/>
      <c r="F699" s="187"/>
      <c r="G699" s="187"/>
      <c r="H699" s="187"/>
      <c r="I699" s="187"/>
      <c r="J699" s="187"/>
      <c r="K699" s="189"/>
    </row>
    <row r="700" spans="2:11" ht="16" x14ac:dyDescent="0.2">
      <c r="B700" s="186"/>
      <c r="C700" s="190" t="s">
        <v>989</v>
      </c>
      <c r="D700" s="187"/>
      <c r="E700" s="187"/>
      <c r="F700" s="187"/>
      <c r="G700" s="187"/>
      <c r="H700" s="187"/>
      <c r="I700" s="187"/>
      <c r="J700" s="256" t="str">
        <f>IF(OR(J687="Not Calculated",$E$17="Not Calculated")=TRUE,"Not Calculated",(J687*$E$17*100/16))</f>
        <v>Not Calculated</v>
      </c>
      <c r="K700" s="189"/>
    </row>
    <row r="701" spans="2:11" x14ac:dyDescent="0.2">
      <c r="B701" s="186"/>
      <c r="C701" s="187"/>
      <c r="D701" s="187" t="s">
        <v>377</v>
      </c>
      <c r="E701" s="187"/>
      <c r="F701" s="187"/>
      <c r="G701" s="187"/>
      <c r="H701" s="187"/>
      <c r="I701" s="187"/>
      <c r="J701" s="187"/>
      <c r="K701" s="189"/>
    </row>
    <row r="702" spans="2:11" x14ac:dyDescent="0.2">
      <c r="B702" s="186"/>
      <c r="C702" s="187"/>
      <c r="D702" s="187"/>
      <c r="E702" s="187"/>
      <c r="F702" s="187"/>
      <c r="G702" s="187"/>
      <c r="H702" s="187"/>
      <c r="I702" s="187"/>
      <c r="J702" s="187"/>
      <c r="K702" s="189"/>
    </row>
    <row r="703" spans="2:11" ht="16" x14ac:dyDescent="0.2">
      <c r="B703" s="186"/>
      <c r="C703" s="190" t="s">
        <v>990</v>
      </c>
      <c r="D703" s="187"/>
      <c r="E703" s="187"/>
      <c r="F703" s="187"/>
      <c r="G703" s="187"/>
      <c r="H703" s="187"/>
      <c r="I703" s="187"/>
      <c r="J703" s="256" t="str">
        <f>IF(OR(J690="Not Calculated",$E$17="Not Calculated")=TRUE,"Not Calculated",(J690*$E$17*100/16))</f>
        <v>Not Calculated</v>
      </c>
      <c r="K703" s="189"/>
    </row>
    <row r="704" spans="2:11" x14ac:dyDescent="0.2">
      <c r="B704" s="186"/>
      <c r="C704" s="187"/>
      <c r="D704" s="187" t="s">
        <v>378</v>
      </c>
      <c r="E704" s="187"/>
      <c r="F704" s="187"/>
      <c r="G704" s="187"/>
      <c r="H704" s="187"/>
      <c r="I704" s="187"/>
      <c r="J704" s="187"/>
      <c r="K704" s="189"/>
    </row>
    <row r="705" spans="2:11" x14ac:dyDescent="0.2">
      <c r="B705" s="186"/>
      <c r="C705" s="187"/>
      <c r="D705" s="187"/>
      <c r="E705" s="187"/>
      <c r="F705" s="187"/>
      <c r="G705" s="187"/>
      <c r="H705" s="187"/>
      <c r="I705" s="187"/>
      <c r="J705" s="187"/>
      <c r="K705" s="189"/>
    </row>
    <row r="706" spans="2:11" ht="16" x14ac:dyDescent="0.2">
      <c r="B706" s="186"/>
      <c r="C706" s="190" t="s">
        <v>991</v>
      </c>
      <c r="D706" s="187"/>
      <c r="E706" s="187"/>
      <c r="F706" s="187"/>
      <c r="G706" s="187"/>
      <c r="H706" s="187"/>
      <c r="I706" s="187"/>
      <c r="J706" s="256" t="str">
        <f>IF(OR(J693="Not Calculated",$E$17="Not Calculated")=TRUE,"Not Calculated",(J693*$E$17*100/16))</f>
        <v>Not Calculated</v>
      </c>
      <c r="K706" s="189"/>
    </row>
    <row r="707" spans="2:11" x14ac:dyDescent="0.2">
      <c r="B707" s="186"/>
      <c r="C707" s="187"/>
      <c r="D707" s="187" t="s">
        <v>379</v>
      </c>
      <c r="E707" s="187"/>
      <c r="F707" s="187"/>
      <c r="G707" s="187"/>
      <c r="H707" s="187"/>
      <c r="I707" s="187"/>
      <c r="J707" s="187"/>
      <c r="K707" s="189"/>
    </row>
    <row r="708" spans="2:11" ht="16" thickBot="1" x14ac:dyDescent="0.25">
      <c r="B708" s="191"/>
      <c r="C708" s="192"/>
      <c r="D708" s="192"/>
      <c r="E708" s="192"/>
      <c r="F708" s="192"/>
      <c r="G708" s="192"/>
      <c r="H708" s="192"/>
      <c r="I708" s="192"/>
      <c r="J708" s="192"/>
      <c r="K708" s="193"/>
    </row>
    <row r="709" spans="2:11" ht="16" thickBot="1" x14ac:dyDescent="0.25"/>
    <row r="710" spans="2:11" x14ac:dyDescent="0.2">
      <c r="B710" s="53"/>
      <c r="C710" s="54"/>
      <c r="D710" s="54"/>
      <c r="E710" s="54"/>
      <c r="F710" s="54"/>
      <c r="G710" s="54"/>
      <c r="H710" s="54"/>
      <c r="I710" s="54"/>
      <c r="J710" s="54"/>
      <c r="K710" s="56"/>
    </row>
    <row r="711" spans="2:11" ht="21" x14ac:dyDescent="0.25">
      <c r="B711" s="57"/>
      <c r="C711" s="59"/>
      <c r="D711" s="59"/>
      <c r="E711" s="59"/>
      <c r="F711" s="59"/>
      <c r="G711" s="194" t="s">
        <v>232</v>
      </c>
      <c r="H711" s="59"/>
      <c r="I711" s="59"/>
      <c r="J711" s="59"/>
      <c r="K711" s="61"/>
    </row>
    <row r="712" spans="2:11" x14ac:dyDescent="0.2">
      <c r="B712" s="57"/>
      <c r="C712" s="59"/>
      <c r="D712" s="59"/>
      <c r="E712" s="59"/>
      <c r="F712" s="59"/>
      <c r="G712" s="59"/>
      <c r="H712" s="59"/>
      <c r="I712" s="59"/>
      <c r="J712" s="59"/>
      <c r="K712" s="61"/>
    </row>
    <row r="713" spans="2:11" ht="16" x14ac:dyDescent="0.2">
      <c r="B713" s="57"/>
      <c r="C713" s="195" t="s">
        <v>363</v>
      </c>
      <c r="D713" s="59"/>
      <c r="E713" s="59"/>
      <c r="F713" s="59"/>
      <c r="G713" s="59"/>
      <c r="H713" s="59"/>
      <c r="I713" s="59"/>
      <c r="J713" s="59"/>
      <c r="K713" s="61"/>
    </row>
    <row r="714" spans="2:11" ht="15" customHeight="1" x14ac:dyDescent="0.2">
      <c r="B714" s="57"/>
      <c r="C714" s="411" t="s">
        <v>364</v>
      </c>
      <c r="D714" s="411"/>
      <c r="E714" s="411"/>
      <c r="F714" s="411"/>
      <c r="G714" s="411"/>
      <c r="H714" s="411"/>
      <c r="I714" s="411"/>
      <c r="J714" s="411"/>
      <c r="K714" s="61"/>
    </row>
    <row r="715" spans="2:11" x14ac:dyDescent="0.2">
      <c r="B715" s="57"/>
      <c r="C715" s="411"/>
      <c r="D715" s="411"/>
      <c r="E715" s="411"/>
      <c r="F715" s="411"/>
      <c r="G715" s="411"/>
      <c r="H715" s="411"/>
      <c r="I715" s="411"/>
      <c r="J715" s="411"/>
      <c r="K715" s="61"/>
    </row>
    <row r="716" spans="2:11" x14ac:dyDescent="0.2">
      <c r="B716" s="57"/>
      <c r="C716" s="411"/>
      <c r="D716" s="411"/>
      <c r="E716" s="411"/>
      <c r="F716" s="411"/>
      <c r="G716" s="411"/>
      <c r="H716" s="411"/>
      <c r="I716" s="411"/>
      <c r="J716" s="411"/>
      <c r="K716" s="61"/>
    </row>
    <row r="717" spans="2:11" x14ac:dyDescent="0.2">
      <c r="B717" s="57"/>
      <c r="C717" s="196" t="s">
        <v>30</v>
      </c>
      <c r="D717" s="59"/>
      <c r="E717" s="59"/>
      <c r="F717" s="59"/>
      <c r="G717" s="431" t="s">
        <v>190</v>
      </c>
      <c r="H717" s="431"/>
      <c r="I717" s="59"/>
      <c r="J717" s="260">
        <f>IF(G717=$B$994,$A$994,IF(G717=$B$995,$A$995,"Not Calculated"))</f>
        <v>1</v>
      </c>
      <c r="K717" s="61"/>
    </row>
    <row r="718" spans="2:11" x14ac:dyDescent="0.2">
      <c r="B718" s="57"/>
      <c r="C718" s="196" t="s">
        <v>32</v>
      </c>
      <c r="D718" s="59"/>
      <c r="E718" s="59"/>
      <c r="F718" s="59"/>
      <c r="G718" s="431" t="s">
        <v>190</v>
      </c>
      <c r="H718" s="431"/>
      <c r="I718" s="59"/>
      <c r="J718" s="260">
        <f t="shared" ref="J718:J725" si="0">IF(G718=$B$994,$A$994,IF(G718=$B$995,$A$995,"Not Calculated"))</f>
        <v>1</v>
      </c>
      <c r="K718" s="61"/>
    </row>
    <row r="719" spans="2:11" x14ac:dyDescent="0.2">
      <c r="B719" s="57"/>
      <c r="C719" s="196" t="s">
        <v>34</v>
      </c>
      <c r="D719" s="59"/>
      <c r="E719" s="59"/>
      <c r="F719" s="59"/>
      <c r="G719" s="431" t="s">
        <v>190</v>
      </c>
      <c r="H719" s="431"/>
      <c r="I719" s="59"/>
      <c r="J719" s="260">
        <f t="shared" si="0"/>
        <v>1</v>
      </c>
      <c r="K719" s="61"/>
    </row>
    <row r="720" spans="2:11" x14ac:dyDescent="0.2">
      <c r="B720" s="57"/>
      <c r="C720" s="196" t="s">
        <v>35</v>
      </c>
      <c r="D720" s="59"/>
      <c r="E720" s="59"/>
      <c r="F720" s="59"/>
      <c r="G720" s="431" t="s">
        <v>190</v>
      </c>
      <c r="H720" s="431"/>
      <c r="I720" s="59"/>
      <c r="J720" s="260">
        <f t="shared" si="0"/>
        <v>1</v>
      </c>
      <c r="K720" s="61"/>
    </row>
    <row r="721" spans="2:11" x14ac:dyDescent="0.2">
      <c r="B721" s="57"/>
      <c r="C721" s="196" t="s">
        <v>37</v>
      </c>
      <c r="D721" s="59"/>
      <c r="E721" s="59"/>
      <c r="F721" s="59"/>
      <c r="G721" s="431" t="s">
        <v>190</v>
      </c>
      <c r="H721" s="431"/>
      <c r="I721" s="59"/>
      <c r="J721" s="260">
        <f t="shared" si="0"/>
        <v>1</v>
      </c>
      <c r="K721" s="61"/>
    </row>
    <row r="722" spans="2:11" x14ac:dyDescent="0.2">
      <c r="B722" s="57"/>
      <c r="C722" s="196" t="s">
        <v>38</v>
      </c>
      <c r="D722" s="59"/>
      <c r="E722" s="59"/>
      <c r="F722" s="59"/>
      <c r="G722" s="431" t="s">
        <v>190</v>
      </c>
      <c r="H722" s="431"/>
      <c r="I722" s="59"/>
      <c r="J722" s="260">
        <f t="shared" si="0"/>
        <v>1</v>
      </c>
      <c r="K722" s="61"/>
    </row>
    <row r="723" spans="2:11" x14ac:dyDescent="0.2">
      <c r="B723" s="57"/>
      <c r="C723" s="196" t="s">
        <v>40</v>
      </c>
      <c r="D723" s="59"/>
      <c r="E723" s="59"/>
      <c r="F723" s="59"/>
      <c r="G723" s="431" t="s">
        <v>190</v>
      </c>
      <c r="H723" s="431"/>
      <c r="I723" s="59"/>
      <c r="J723" s="260">
        <f t="shared" si="0"/>
        <v>1</v>
      </c>
      <c r="K723" s="61"/>
    </row>
    <row r="724" spans="2:11" x14ac:dyDescent="0.2">
      <c r="B724" s="57"/>
      <c r="C724" s="196" t="s">
        <v>41</v>
      </c>
      <c r="D724" s="59"/>
      <c r="E724" s="59"/>
      <c r="F724" s="59"/>
      <c r="G724" s="431" t="s">
        <v>190</v>
      </c>
      <c r="H724" s="431"/>
      <c r="I724" s="59"/>
      <c r="J724" s="260">
        <f t="shared" si="0"/>
        <v>1</v>
      </c>
      <c r="K724" s="61"/>
    </row>
    <row r="725" spans="2:11" x14ac:dyDescent="0.2">
      <c r="B725" s="57"/>
      <c r="C725" s="196" t="s">
        <v>43</v>
      </c>
      <c r="D725" s="59"/>
      <c r="E725" s="59"/>
      <c r="F725" s="59"/>
      <c r="G725" s="431" t="s">
        <v>190</v>
      </c>
      <c r="H725" s="431"/>
      <c r="I725" s="59"/>
      <c r="J725" s="260">
        <f t="shared" si="0"/>
        <v>1</v>
      </c>
      <c r="K725" s="61"/>
    </row>
    <row r="726" spans="2:11" x14ac:dyDescent="0.2">
      <c r="B726" s="57"/>
      <c r="C726" s="59"/>
      <c r="D726" s="59"/>
      <c r="E726" s="59"/>
      <c r="F726" s="59"/>
      <c r="G726" s="59"/>
      <c r="H726" s="59"/>
      <c r="I726" s="59"/>
      <c r="J726" s="59"/>
      <c r="K726" s="61"/>
    </row>
    <row r="727" spans="2:11" x14ac:dyDescent="0.2">
      <c r="B727" s="57"/>
      <c r="C727" s="59"/>
      <c r="D727" s="59"/>
      <c r="E727" s="59"/>
      <c r="F727" s="59"/>
      <c r="G727" s="59"/>
      <c r="H727" s="59"/>
      <c r="I727" s="59"/>
      <c r="J727" s="59"/>
      <c r="K727" s="61"/>
    </row>
    <row r="728" spans="2:11" ht="16" x14ac:dyDescent="0.2">
      <c r="B728" s="57"/>
      <c r="C728" s="195" t="s">
        <v>115</v>
      </c>
      <c r="D728" s="59"/>
      <c r="E728" s="59"/>
      <c r="F728" s="59"/>
      <c r="G728" s="59"/>
      <c r="H728" s="59"/>
      <c r="I728" s="59"/>
      <c r="J728" s="59"/>
      <c r="K728" s="61"/>
    </row>
    <row r="729" spans="2:11" ht="15" customHeight="1" x14ac:dyDescent="0.2">
      <c r="B729" s="57"/>
      <c r="C729" s="411" t="s">
        <v>365</v>
      </c>
      <c r="D729" s="411"/>
      <c r="E729" s="411"/>
      <c r="F729" s="411"/>
      <c r="G729" s="411"/>
      <c r="H729" s="411"/>
      <c r="I729" s="411"/>
      <c r="J729" s="411"/>
      <c r="K729" s="61"/>
    </row>
    <row r="730" spans="2:11" x14ac:dyDescent="0.2">
      <c r="B730" s="57"/>
      <c r="C730" s="411"/>
      <c r="D730" s="411"/>
      <c r="E730" s="411"/>
      <c r="F730" s="411"/>
      <c r="G730" s="411"/>
      <c r="H730" s="411"/>
      <c r="I730" s="411"/>
      <c r="J730" s="411"/>
      <c r="K730" s="61"/>
    </row>
    <row r="731" spans="2:11" x14ac:dyDescent="0.2">
      <c r="B731" s="57"/>
      <c r="C731" s="411"/>
      <c r="D731" s="411"/>
      <c r="E731" s="411"/>
      <c r="F731" s="411"/>
      <c r="G731" s="411"/>
      <c r="H731" s="411"/>
      <c r="I731" s="411"/>
      <c r="J731" s="411"/>
      <c r="K731" s="61"/>
    </row>
    <row r="732" spans="2:11" x14ac:dyDescent="0.2">
      <c r="B732" s="57"/>
      <c r="C732" s="196" t="s">
        <v>30</v>
      </c>
      <c r="D732" s="59"/>
      <c r="E732" s="59"/>
      <c r="F732" s="59"/>
      <c r="G732" s="431" t="s">
        <v>190</v>
      </c>
      <c r="H732" s="431"/>
      <c r="I732" s="59"/>
      <c r="J732" s="260">
        <f>IF(G732=$B$994,$A$994,IF(G732=$B$995,$A$995,"Not Calculated"))</f>
        <v>1</v>
      </c>
      <c r="K732" s="61"/>
    </row>
    <row r="733" spans="2:11" x14ac:dyDescent="0.2">
      <c r="B733" s="57"/>
      <c r="C733" s="196" t="s">
        <v>32</v>
      </c>
      <c r="D733" s="59"/>
      <c r="E733" s="59"/>
      <c r="F733" s="59"/>
      <c r="G733" s="431" t="s">
        <v>190</v>
      </c>
      <c r="H733" s="431"/>
      <c r="I733" s="59"/>
      <c r="J733" s="260">
        <f t="shared" ref="J733:J740" si="1">IF(G733=$B$994,$A$994,IF(G733=$B$995,$A$995,"Not Calculated"))</f>
        <v>1</v>
      </c>
      <c r="K733" s="61"/>
    </row>
    <row r="734" spans="2:11" ht="15" customHeight="1" x14ac:dyDescent="0.2">
      <c r="B734" s="57"/>
      <c r="C734" s="196" t="s">
        <v>34</v>
      </c>
      <c r="D734" s="59"/>
      <c r="E734" s="59"/>
      <c r="F734" s="59"/>
      <c r="G734" s="431" t="s">
        <v>190</v>
      </c>
      <c r="H734" s="431"/>
      <c r="I734" s="59"/>
      <c r="J734" s="260">
        <f t="shared" si="1"/>
        <v>1</v>
      </c>
      <c r="K734" s="61"/>
    </row>
    <row r="735" spans="2:11" x14ac:dyDescent="0.2">
      <c r="B735" s="57"/>
      <c r="C735" s="196" t="s">
        <v>35</v>
      </c>
      <c r="D735" s="59"/>
      <c r="E735" s="59"/>
      <c r="F735" s="59"/>
      <c r="G735" s="431" t="s">
        <v>190</v>
      </c>
      <c r="H735" s="431"/>
      <c r="I735" s="59"/>
      <c r="J735" s="260">
        <f t="shared" si="1"/>
        <v>1</v>
      </c>
      <c r="K735" s="61"/>
    </row>
    <row r="736" spans="2:11" x14ac:dyDescent="0.2">
      <c r="B736" s="57"/>
      <c r="C736" s="196" t="s">
        <v>37</v>
      </c>
      <c r="D736" s="59"/>
      <c r="E736" s="59"/>
      <c r="F736" s="59"/>
      <c r="G736" s="431" t="s">
        <v>190</v>
      </c>
      <c r="H736" s="431"/>
      <c r="I736" s="59"/>
      <c r="J736" s="260">
        <f t="shared" si="1"/>
        <v>1</v>
      </c>
      <c r="K736" s="61"/>
    </row>
    <row r="737" spans="2:11" x14ac:dyDescent="0.2">
      <c r="B737" s="57"/>
      <c r="C737" s="196" t="s">
        <v>38</v>
      </c>
      <c r="D737" s="59"/>
      <c r="E737" s="59"/>
      <c r="F737" s="59"/>
      <c r="G737" s="431" t="s">
        <v>202</v>
      </c>
      <c r="H737" s="431"/>
      <c r="I737" s="59"/>
      <c r="J737" s="260">
        <f t="shared" si="1"/>
        <v>0</v>
      </c>
      <c r="K737" s="61"/>
    </row>
    <row r="738" spans="2:11" x14ac:dyDescent="0.2">
      <c r="B738" s="57"/>
      <c r="C738" s="196" t="s">
        <v>40</v>
      </c>
      <c r="D738" s="59"/>
      <c r="E738" s="59"/>
      <c r="F738" s="59"/>
      <c r="G738" s="431" t="s">
        <v>190</v>
      </c>
      <c r="H738" s="431"/>
      <c r="I738" s="59"/>
      <c r="J738" s="260">
        <f t="shared" si="1"/>
        <v>1</v>
      </c>
      <c r="K738" s="61"/>
    </row>
    <row r="739" spans="2:11" x14ac:dyDescent="0.2">
      <c r="B739" s="57"/>
      <c r="C739" s="196" t="s">
        <v>41</v>
      </c>
      <c r="D739" s="59"/>
      <c r="E739" s="59"/>
      <c r="F739" s="59"/>
      <c r="G739" s="431" t="s">
        <v>190</v>
      </c>
      <c r="H739" s="431"/>
      <c r="I739" s="59"/>
      <c r="J739" s="260">
        <f t="shared" si="1"/>
        <v>1</v>
      </c>
      <c r="K739" s="61"/>
    </row>
    <row r="740" spans="2:11" x14ac:dyDescent="0.2">
      <c r="B740" s="57"/>
      <c r="C740" s="196" t="s">
        <v>43</v>
      </c>
      <c r="D740" s="59"/>
      <c r="E740" s="59"/>
      <c r="F740" s="59"/>
      <c r="G740" s="431" t="s">
        <v>190</v>
      </c>
      <c r="H740" s="431"/>
      <c r="I740" s="59"/>
      <c r="J740" s="260">
        <f t="shared" si="1"/>
        <v>1</v>
      </c>
      <c r="K740" s="61"/>
    </row>
    <row r="741" spans="2:11" x14ac:dyDescent="0.2">
      <c r="B741" s="57"/>
      <c r="C741" s="59"/>
      <c r="D741" s="59"/>
      <c r="E741" s="59"/>
      <c r="F741" s="59"/>
      <c r="G741" s="59"/>
      <c r="H741" s="59"/>
      <c r="I741" s="59"/>
      <c r="J741" s="59"/>
      <c r="K741" s="61"/>
    </row>
    <row r="742" spans="2:11" x14ac:dyDescent="0.2">
      <c r="B742" s="57"/>
      <c r="C742" s="59"/>
      <c r="D742" s="59"/>
      <c r="E742" s="59"/>
      <c r="F742" s="59"/>
      <c r="G742" s="59"/>
      <c r="H742" s="59"/>
      <c r="I742" s="59"/>
      <c r="J742" s="59"/>
      <c r="K742" s="61"/>
    </row>
    <row r="743" spans="2:11" ht="16" x14ac:dyDescent="0.2">
      <c r="B743" s="57"/>
      <c r="C743" s="195" t="s">
        <v>366</v>
      </c>
      <c r="D743" s="59"/>
      <c r="E743" s="59"/>
      <c r="F743" s="59"/>
      <c r="G743" s="59"/>
      <c r="H743" s="59"/>
      <c r="I743" s="59"/>
      <c r="J743" s="59"/>
      <c r="K743" s="61"/>
    </row>
    <row r="744" spans="2:11" ht="15" customHeight="1" x14ac:dyDescent="0.2">
      <c r="B744" s="57"/>
      <c r="C744" s="411" t="s">
        <v>367</v>
      </c>
      <c r="D744" s="411"/>
      <c r="E744" s="411"/>
      <c r="F744" s="411"/>
      <c r="G744" s="411"/>
      <c r="H744" s="411"/>
      <c r="I744" s="411"/>
      <c r="J744" s="411"/>
      <c r="K744" s="61"/>
    </row>
    <row r="745" spans="2:11" x14ac:dyDescent="0.2">
      <c r="B745" s="57"/>
      <c r="C745" s="411"/>
      <c r="D745" s="411"/>
      <c r="E745" s="411"/>
      <c r="F745" s="411"/>
      <c r="G745" s="411"/>
      <c r="H745" s="411"/>
      <c r="I745" s="411"/>
      <c r="J745" s="411"/>
      <c r="K745" s="61"/>
    </row>
    <row r="746" spans="2:11" x14ac:dyDescent="0.2">
      <c r="B746" s="57"/>
      <c r="C746" s="411"/>
      <c r="D746" s="411"/>
      <c r="E746" s="411"/>
      <c r="F746" s="411"/>
      <c r="G746" s="411"/>
      <c r="H746" s="411"/>
      <c r="I746" s="411"/>
      <c r="J746" s="411"/>
      <c r="K746" s="61"/>
    </row>
    <row r="747" spans="2:11" x14ac:dyDescent="0.2">
      <c r="B747" s="57"/>
      <c r="C747" s="196" t="s">
        <v>30</v>
      </c>
      <c r="D747" s="59"/>
      <c r="E747" s="59"/>
      <c r="F747" s="59"/>
      <c r="G747" s="431" t="s">
        <v>202</v>
      </c>
      <c r="H747" s="431"/>
      <c r="I747" s="59"/>
      <c r="J747" s="260">
        <f>IF(G747=$B$994,$A$994,IF(G747=$B$995,$A$995,"Not Calculated"))</f>
        <v>0</v>
      </c>
      <c r="K747" s="61"/>
    </row>
    <row r="748" spans="2:11" x14ac:dyDescent="0.2">
      <c r="B748" s="57"/>
      <c r="C748" s="196" t="s">
        <v>32</v>
      </c>
      <c r="D748" s="59"/>
      <c r="E748" s="59"/>
      <c r="F748" s="59"/>
      <c r="G748" s="431" t="s">
        <v>202</v>
      </c>
      <c r="H748" s="431"/>
      <c r="I748" s="59"/>
      <c r="J748" s="260">
        <f t="shared" ref="J748:J755" si="2">IF(G748=$B$994,$A$994,IF(G748=$B$995,$A$995,"Not Calculated"))</f>
        <v>0</v>
      </c>
      <c r="K748" s="61"/>
    </row>
    <row r="749" spans="2:11" ht="15" customHeight="1" x14ac:dyDescent="0.2">
      <c r="B749" s="57"/>
      <c r="C749" s="196" t="s">
        <v>34</v>
      </c>
      <c r="D749" s="59"/>
      <c r="E749" s="59"/>
      <c r="F749" s="59"/>
      <c r="G749" s="431" t="s">
        <v>202</v>
      </c>
      <c r="H749" s="431"/>
      <c r="I749" s="59"/>
      <c r="J749" s="260">
        <f t="shared" si="2"/>
        <v>0</v>
      </c>
      <c r="K749" s="61"/>
    </row>
    <row r="750" spans="2:11" x14ac:dyDescent="0.2">
      <c r="B750" s="57"/>
      <c r="C750" s="196" t="s">
        <v>35</v>
      </c>
      <c r="D750" s="59"/>
      <c r="E750" s="59"/>
      <c r="F750" s="59"/>
      <c r="G750" s="431" t="s">
        <v>202</v>
      </c>
      <c r="H750" s="431"/>
      <c r="I750" s="59"/>
      <c r="J750" s="260">
        <f t="shared" si="2"/>
        <v>0</v>
      </c>
      <c r="K750" s="61"/>
    </row>
    <row r="751" spans="2:11" x14ac:dyDescent="0.2">
      <c r="B751" s="57"/>
      <c r="C751" s="196" t="s">
        <v>37</v>
      </c>
      <c r="D751" s="59"/>
      <c r="E751" s="59"/>
      <c r="F751" s="59"/>
      <c r="G751" s="431" t="s">
        <v>202</v>
      </c>
      <c r="H751" s="431"/>
      <c r="I751" s="59"/>
      <c r="J751" s="260">
        <f t="shared" si="2"/>
        <v>0</v>
      </c>
      <c r="K751" s="61"/>
    </row>
    <row r="752" spans="2:11" x14ac:dyDescent="0.2">
      <c r="B752" s="57"/>
      <c r="C752" s="196" t="s">
        <v>38</v>
      </c>
      <c r="D752" s="59"/>
      <c r="E752" s="59"/>
      <c r="F752" s="59"/>
      <c r="G752" s="431" t="s">
        <v>202</v>
      </c>
      <c r="H752" s="431"/>
      <c r="I752" s="59"/>
      <c r="J752" s="260">
        <f t="shared" si="2"/>
        <v>0</v>
      </c>
      <c r="K752" s="61"/>
    </row>
    <row r="753" spans="2:11" x14ac:dyDescent="0.2">
      <c r="B753" s="57"/>
      <c r="C753" s="196" t="s">
        <v>40</v>
      </c>
      <c r="D753" s="59"/>
      <c r="E753" s="59"/>
      <c r="F753" s="59"/>
      <c r="G753" s="431" t="s">
        <v>202</v>
      </c>
      <c r="H753" s="431"/>
      <c r="I753" s="59"/>
      <c r="J753" s="260">
        <f t="shared" si="2"/>
        <v>0</v>
      </c>
      <c r="K753" s="61"/>
    </row>
    <row r="754" spans="2:11" x14ac:dyDescent="0.2">
      <c r="B754" s="57"/>
      <c r="C754" s="196" t="s">
        <v>41</v>
      </c>
      <c r="D754" s="59"/>
      <c r="E754" s="59"/>
      <c r="F754" s="59"/>
      <c r="G754" s="431" t="s">
        <v>202</v>
      </c>
      <c r="H754" s="431"/>
      <c r="I754" s="59"/>
      <c r="J754" s="260">
        <f t="shared" si="2"/>
        <v>0</v>
      </c>
      <c r="K754" s="61"/>
    </row>
    <row r="755" spans="2:11" x14ac:dyDescent="0.2">
      <c r="B755" s="57"/>
      <c r="C755" s="196" t="s">
        <v>43</v>
      </c>
      <c r="D755" s="59"/>
      <c r="E755" s="59"/>
      <c r="F755" s="59"/>
      <c r="G755" s="431" t="s">
        <v>202</v>
      </c>
      <c r="H755" s="431"/>
      <c r="I755" s="59"/>
      <c r="J755" s="260">
        <f t="shared" si="2"/>
        <v>0</v>
      </c>
      <c r="K755" s="61"/>
    </row>
    <row r="756" spans="2:11" x14ac:dyDescent="0.2">
      <c r="B756" s="57"/>
      <c r="C756" s="59"/>
      <c r="D756" s="59"/>
      <c r="E756" s="59"/>
      <c r="F756" s="59"/>
      <c r="G756" s="59"/>
      <c r="H756" s="59"/>
      <c r="I756" s="59"/>
      <c r="J756" s="59"/>
      <c r="K756" s="61"/>
    </row>
    <row r="757" spans="2:11" x14ac:dyDescent="0.2">
      <c r="B757" s="57"/>
      <c r="C757" s="59"/>
      <c r="D757" s="59"/>
      <c r="E757" s="59"/>
      <c r="F757" s="59"/>
      <c r="G757" s="59"/>
      <c r="H757" s="59"/>
      <c r="I757" s="59"/>
      <c r="J757" s="59"/>
      <c r="K757" s="61"/>
    </row>
    <row r="758" spans="2:11" ht="16" x14ac:dyDescent="0.2">
      <c r="B758" s="57"/>
      <c r="C758" s="195" t="s">
        <v>368</v>
      </c>
      <c r="D758" s="59"/>
      <c r="E758" s="59"/>
      <c r="F758" s="59"/>
      <c r="G758" s="59"/>
      <c r="H758" s="59"/>
      <c r="I758" s="59"/>
      <c r="J758" s="59"/>
      <c r="K758" s="61"/>
    </row>
    <row r="759" spans="2:11" ht="15" customHeight="1" x14ac:dyDescent="0.2">
      <c r="B759" s="57"/>
      <c r="C759" s="411" t="s">
        <v>369</v>
      </c>
      <c r="D759" s="411"/>
      <c r="E759" s="411"/>
      <c r="F759" s="411"/>
      <c r="G759" s="411"/>
      <c r="H759" s="411"/>
      <c r="I759" s="411"/>
      <c r="J759" s="411"/>
      <c r="K759" s="61"/>
    </row>
    <row r="760" spans="2:11" x14ac:dyDescent="0.2">
      <c r="B760" s="57"/>
      <c r="C760" s="411"/>
      <c r="D760" s="411"/>
      <c r="E760" s="411"/>
      <c r="F760" s="411"/>
      <c r="G760" s="411"/>
      <c r="H760" s="411"/>
      <c r="I760" s="411"/>
      <c r="J760" s="411"/>
      <c r="K760" s="61"/>
    </row>
    <row r="761" spans="2:11" x14ac:dyDescent="0.2">
      <c r="B761" s="57"/>
      <c r="C761" s="411"/>
      <c r="D761" s="411"/>
      <c r="E761" s="411"/>
      <c r="F761" s="411"/>
      <c r="G761" s="411"/>
      <c r="H761" s="411"/>
      <c r="I761" s="411"/>
      <c r="J761" s="411"/>
      <c r="K761" s="61"/>
    </row>
    <row r="762" spans="2:11" x14ac:dyDescent="0.2">
      <c r="B762" s="57"/>
      <c r="C762" s="196" t="s">
        <v>30</v>
      </c>
      <c r="D762" s="59"/>
      <c r="E762" s="59"/>
      <c r="F762" s="59"/>
      <c r="G762" s="431" t="s">
        <v>190</v>
      </c>
      <c r="H762" s="431"/>
      <c r="I762" s="59"/>
      <c r="J762" s="260">
        <f>IF(G762=$B$994,$A$994,IF(G762=$B$995,$A$995,"Not Calculated"))</f>
        <v>1</v>
      </c>
      <c r="K762" s="61"/>
    </row>
    <row r="763" spans="2:11" x14ac:dyDescent="0.2">
      <c r="B763" s="57"/>
      <c r="C763" s="196" t="s">
        <v>32</v>
      </c>
      <c r="D763" s="59"/>
      <c r="E763" s="59"/>
      <c r="F763" s="59"/>
      <c r="G763" s="431" t="s">
        <v>190</v>
      </c>
      <c r="H763" s="431"/>
      <c r="I763" s="59"/>
      <c r="J763" s="260">
        <f t="shared" ref="J763:J770" si="3">IF(G763=$B$994,$A$994,IF(G763=$B$995,$A$995,"Not Calculated"))</f>
        <v>1</v>
      </c>
      <c r="K763" s="61"/>
    </row>
    <row r="764" spans="2:11" ht="15" customHeight="1" x14ac:dyDescent="0.2">
      <c r="B764" s="57"/>
      <c r="C764" s="196" t="s">
        <v>34</v>
      </c>
      <c r="D764" s="59"/>
      <c r="E764" s="59"/>
      <c r="F764" s="59"/>
      <c r="G764" s="431" t="s">
        <v>190</v>
      </c>
      <c r="H764" s="431"/>
      <c r="I764" s="59"/>
      <c r="J764" s="260">
        <f t="shared" si="3"/>
        <v>1</v>
      </c>
      <c r="K764" s="61"/>
    </row>
    <row r="765" spans="2:11" x14ac:dyDescent="0.2">
      <c r="B765" s="57"/>
      <c r="C765" s="196" t="s">
        <v>35</v>
      </c>
      <c r="D765" s="59"/>
      <c r="E765" s="59"/>
      <c r="F765" s="59"/>
      <c r="G765" s="431" t="s">
        <v>190</v>
      </c>
      <c r="H765" s="431"/>
      <c r="I765" s="59"/>
      <c r="J765" s="260">
        <f t="shared" si="3"/>
        <v>1</v>
      </c>
      <c r="K765" s="61"/>
    </row>
    <row r="766" spans="2:11" x14ac:dyDescent="0.2">
      <c r="B766" s="57"/>
      <c r="C766" s="196" t="s">
        <v>37</v>
      </c>
      <c r="D766" s="59"/>
      <c r="E766" s="59"/>
      <c r="F766" s="59"/>
      <c r="G766" s="431" t="s">
        <v>190</v>
      </c>
      <c r="H766" s="431"/>
      <c r="I766" s="59"/>
      <c r="J766" s="260">
        <f t="shared" si="3"/>
        <v>1</v>
      </c>
      <c r="K766" s="61"/>
    </row>
    <row r="767" spans="2:11" x14ac:dyDescent="0.2">
      <c r="B767" s="57"/>
      <c r="C767" s="196" t="s">
        <v>38</v>
      </c>
      <c r="D767" s="59"/>
      <c r="E767" s="59"/>
      <c r="F767" s="59"/>
      <c r="G767" s="431" t="s">
        <v>190</v>
      </c>
      <c r="H767" s="431"/>
      <c r="I767" s="59"/>
      <c r="J767" s="260">
        <f t="shared" si="3"/>
        <v>1</v>
      </c>
      <c r="K767" s="61"/>
    </row>
    <row r="768" spans="2:11" x14ac:dyDescent="0.2">
      <c r="B768" s="57"/>
      <c r="C768" s="196" t="s">
        <v>40</v>
      </c>
      <c r="D768" s="59"/>
      <c r="E768" s="59"/>
      <c r="F768" s="59"/>
      <c r="G768" s="431" t="s">
        <v>190</v>
      </c>
      <c r="H768" s="431"/>
      <c r="I768" s="59"/>
      <c r="J768" s="260">
        <f t="shared" si="3"/>
        <v>1</v>
      </c>
      <c r="K768" s="61"/>
    </row>
    <row r="769" spans="2:11" x14ac:dyDescent="0.2">
      <c r="B769" s="57"/>
      <c r="C769" s="196" t="s">
        <v>41</v>
      </c>
      <c r="D769" s="59"/>
      <c r="E769" s="59"/>
      <c r="F769" s="59"/>
      <c r="G769" s="431" t="s">
        <v>190</v>
      </c>
      <c r="H769" s="431"/>
      <c r="I769" s="59"/>
      <c r="J769" s="260">
        <f t="shared" si="3"/>
        <v>1</v>
      </c>
      <c r="K769" s="61"/>
    </row>
    <row r="770" spans="2:11" x14ac:dyDescent="0.2">
      <c r="B770" s="57"/>
      <c r="C770" s="196" t="s">
        <v>43</v>
      </c>
      <c r="D770" s="59"/>
      <c r="E770" s="59"/>
      <c r="F770" s="59"/>
      <c r="G770" s="431" t="s">
        <v>190</v>
      </c>
      <c r="H770" s="431"/>
      <c r="I770" s="59"/>
      <c r="J770" s="260">
        <f t="shared" si="3"/>
        <v>1</v>
      </c>
      <c r="K770" s="61"/>
    </row>
    <row r="771" spans="2:11" x14ac:dyDescent="0.2">
      <c r="B771" s="57"/>
      <c r="C771" s="59"/>
      <c r="D771" s="59"/>
      <c r="E771" s="59"/>
      <c r="F771" s="59"/>
      <c r="G771" s="59"/>
      <c r="H771" s="59"/>
      <c r="I771" s="59"/>
      <c r="J771" s="59"/>
      <c r="K771" s="61"/>
    </row>
    <row r="772" spans="2:11" x14ac:dyDescent="0.2">
      <c r="B772" s="57"/>
      <c r="C772" s="59"/>
      <c r="D772" s="59"/>
      <c r="E772" s="59"/>
      <c r="F772" s="59"/>
      <c r="G772" s="59"/>
      <c r="H772" s="59"/>
      <c r="I772" s="59"/>
      <c r="J772" s="59"/>
      <c r="K772" s="61"/>
    </row>
    <row r="773" spans="2:11" ht="16" x14ac:dyDescent="0.2">
      <c r="B773" s="57"/>
      <c r="C773" s="197" t="s">
        <v>30</v>
      </c>
      <c r="D773" s="59"/>
      <c r="E773" s="59"/>
      <c r="F773" s="59"/>
      <c r="G773" s="59"/>
      <c r="H773" s="59"/>
      <c r="I773" s="59"/>
      <c r="J773" s="59"/>
      <c r="K773" s="61"/>
    </row>
    <row r="774" spans="2:11" x14ac:dyDescent="0.2">
      <c r="B774" s="57"/>
      <c r="C774" s="59"/>
      <c r="D774" s="59" t="s">
        <v>370</v>
      </c>
      <c r="E774" s="59"/>
      <c r="F774" s="59"/>
      <c r="G774" s="59"/>
      <c r="H774" s="59"/>
      <c r="I774" s="59"/>
      <c r="J774" s="60">
        <f>'Baseline At-Risk Pops'!H8</f>
        <v>0</v>
      </c>
      <c r="K774" s="61"/>
    </row>
    <row r="775" spans="2:11" x14ac:dyDescent="0.2">
      <c r="B775" s="57"/>
      <c r="C775" s="59"/>
      <c r="D775" s="59" t="s">
        <v>371</v>
      </c>
      <c r="E775" s="59"/>
      <c r="F775" s="59"/>
      <c r="G775" s="59"/>
      <c r="H775" s="59"/>
      <c r="I775" s="59"/>
      <c r="J775" s="60">
        <f>SUM(J717,J732,J747,J762)</f>
        <v>3</v>
      </c>
      <c r="K775" s="61"/>
    </row>
    <row r="776" spans="2:11" x14ac:dyDescent="0.2">
      <c r="B776" s="57"/>
      <c r="C776" s="59"/>
      <c r="D776" s="196" t="s">
        <v>372</v>
      </c>
      <c r="E776" s="59"/>
      <c r="F776" s="59"/>
      <c r="G776" s="59"/>
      <c r="H776" s="59"/>
      <c r="I776" s="59"/>
      <c r="J776" s="60">
        <f>AVERAGE(J774,J775)</f>
        <v>1.5</v>
      </c>
      <c r="K776" s="61"/>
    </row>
    <row r="777" spans="2:11" ht="16" x14ac:dyDescent="0.2">
      <c r="B777" s="57"/>
      <c r="C777" s="197" t="s">
        <v>32</v>
      </c>
      <c r="D777" s="59"/>
      <c r="E777" s="59"/>
      <c r="F777" s="59"/>
      <c r="G777" s="59"/>
      <c r="H777" s="59"/>
      <c r="I777" s="59"/>
      <c r="J777" s="60"/>
      <c r="K777" s="61"/>
    </row>
    <row r="778" spans="2:11" x14ac:dyDescent="0.2">
      <c r="B778" s="57"/>
      <c r="C778" s="59"/>
      <c r="D778" s="59" t="s">
        <v>370</v>
      </c>
      <c r="E778" s="59"/>
      <c r="F778" s="59"/>
      <c r="G778" s="59"/>
      <c r="H778" s="59"/>
      <c r="I778" s="59"/>
      <c r="J778" s="60">
        <f>'Baseline At-Risk Pops'!H14</f>
        <v>0</v>
      </c>
      <c r="K778" s="61"/>
    </row>
    <row r="779" spans="2:11" ht="15" customHeight="1" x14ac:dyDescent="0.2">
      <c r="B779" s="57"/>
      <c r="C779" s="59"/>
      <c r="D779" s="59" t="s">
        <v>371</v>
      </c>
      <c r="E779" s="59"/>
      <c r="F779" s="59"/>
      <c r="G779" s="59"/>
      <c r="H779" s="59"/>
      <c r="I779" s="59"/>
      <c r="J779" s="60">
        <f>SUM(J718,J733,J748,J763)</f>
        <v>3</v>
      </c>
      <c r="K779" s="61"/>
    </row>
    <row r="780" spans="2:11" x14ac:dyDescent="0.2">
      <c r="B780" s="57"/>
      <c r="C780" s="59"/>
      <c r="D780" s="196" t="s">
        <v>372</v>
      </c>
      <c r="E780" s="59"/>
      <c r="F780" s="59"/>
      <c r="G780" s="59"/>
      <c r="H780" s="59"/>
      <c r="I780" s="59"/>
      <c r="J780" s="60">
        <f>AVERAGE(J778,J779)</f>
        <v>1.5</v>
      </c>
      <c r="K780" s="61"/>
    </row>
    <row r="781" spans="2:11" ht="16" x14ac:dyDescent="0.2">
      <c r="B781" s="57"/>
      <c r="C781" s="197" t="s">
        <v>34</v>
      </c>
      <c r="D781" s="59"/>
      <c r="E781" s="59"/>
      <c r="F781" s="59"/>
      <c r="G781" s="59"/>
      <c r="H781" s="59"/>
      <c r="I781" s="59"/>
      <c r="J781" s="60"/>
      <c r="K781" s="61"/>
    </row>
    <row r="782" spans="2:11" ht="16" x14ac:dyDescent="0.2">
      <c r="B782" s="57"/>
      <c r="C782" s="197"/>
      <c r="D782" s="59" t="s">
        <v>370</v>
      </c>
      <c r="E782" s="59"/>
      <c r="F782" s="59"/>
      <c r="G782" s="59"/>
      <c r="H782" s="59"/>
      <c r="I782" s="59"/>
      <c r="J782" s="60">
        <f>'Baseline At-Risk Pops'!H21</f>
        <v>0</v>
      </c>
      <c r="K782" s="61"/>
    </row>
    <row r="783" spans="2:11" x14ac:dyDescent="0.2">
      <c r="B783" s="57"/>
      <c r="C783" s="59"/>
      <c r="D783" s="59" t="s">
        <v>371</v>
      </c>
      <c r="E783" s="59"/>
      <c r="F783" s="59"/>
      <c r="G783" s="59"/>
      <c r="H783" s="59"/>
      <c r="I783" s="59"/>
      <c r="J783" s="60">
        <f>SUM(J719,J734,J749,J764)</f>
        <v>3</v>
      </c>
      <c r="K783" s="61"/>
    </row>
    <row r="784" spans="2:11" x14ac:dyDescent="0.2">
      <c r="B784" s="57"/>
      <c r="C784" s="59"/>
      <c r="D784" s="196" t="s">
        <v>372</v>
      </c>
      <c r="E784" s="59"/>
      <c r="F784" s="59"/>
      <c r="G784" s="59"/>
      <c r="H784" s="59"/>
      <c r="I784" s="59"/>
      <c r="J784" s="60">
        <f>AVERAGE(J782,J783)</f>
        <v>1.5</v>
      </c>
      <c r="K784" s="61"/>
    </row>
    <row r="785" spans="2:11" ht="16" x14ac:dyDescent="0.2">
      <c r="B785" s="57"/>
      <c r="C785" s="197" t="s">
        <v>35</v>
      </c>
      <c r="D785" s="59"/>
      <c r="E785" s="59"/>
      <c r="F785" s="59"/>
      <c r="G785" s="59"/>
      <c r="H785" s="59"/>
      <c r="I785" s="59"/>
      <c r="J785" s="60"/>
      <c r="K785" s="61"/>
    </row>
    <row r="786" spans="2:11" x14ac:dyDescent="0.2">
      <c r="B786" s="57"/>
      <c r="C786" s="59"/>
      <c r="D786" s="59" t="s">
        <v>370</v>
      </c>
      <c r="E786" s="59"/>
      <c r="F786" s="59"/>
      <c r="G786" s="59"/>
      <c r="H786" s="59"/>
      <c r="I786" s="59"/>
      <c r="J786" s="60">
        <f>'Baseline At-Risk Pops'!H27</f>
        <v>0</v>
      </c>
      <c r="K786" s="61"/>
    </row>
    <row r="787" spans="2:11" x14ac:dyDescent="0.2">
      <c r="B787" s="57"/>
      <c r="C787" s="59"/>
      <c r="D787" s="59" t="s">
        <v>371</v>
      </c>
      <c r="E787" s="59"/>
      <c r="F787" s="59"/>
      <c r="G787" s="59"/>
      <c r="H787" s="59"/>
      <c r="I787" s="59"/>
      <c r="J787" s="60">
        <f>SUM(J720,J735,J750,J765)</f>
        <v>3</v>
      </c>
      <c r="K787" s="61"/>
    </row>
    <row r="788" spans="2:11" x14ac:dyDescent="0.2">
      <c r="B788" s="57"/>
      <c r="C788" s="59"/>
      <c r="D788" s="196" t="s">
        <v>372</v>
      </c>
      <c r="E788" s="59"/>
      <c r="F788" s="59"/>
      <c r="G788" s="59"/>
      <c r="H788" s="59"/>
      <c r="I788" s="59"/>
      <c r="J788" s="60">
        <f>AVERAGE(J786,J787)</f>
        <v>1.5</v>
      </c>
      <c r="K788" s="61"/>
    </row>
    <row r="789" spans="2:11" ht="16" x14ac:dyDescent="0.2">
      <c r="B789" s="57"/>
      <c r="C789" s="197" t="s">
        <v>37</v>
      </c>
      <c r="D789" s="59"/>
      <c r="E789" s="59"/>
      <c r="F789" s="59"/>
      <c r="G789" s="59"/>
      <c r="H789" s="59"/>
      <c r="I789" s="59"/>
      <c r="J789" s="60"/>
      <c r="K789" s="61"/>
    </row>
    <row r="790" spans="2:11" x14ac:dyDescent="0.2">
      <c r="B790" s="57"/>
      <c r="C790" s="59"/>
      <c r="D790" s="59" t="s">
        <v>370</v>
      </c>
      <c r="E790" s="59"/>
      <c r="F790" s="59"/>
      <c r="G790" s="59"/>
      <c r="H790" s="59"/>
      <c r="I790" s="59"/>
      <c r="J790" s="60">
        <f>'Baseline At-Risk Pops'!H34</f>
        <v>0</v>
      </c>
      <c r="K790" s="61"/>
    </row>
    <row r="791" spans="2:11" x14ac:dyDescent="0.2">
      <c r="B791" s="57"/>
      <c r="C791" s="59"/>
      <c r="D791" s="59" t="s">
        <v>371</v>
      </c>
      <c r="E791" s="59"/>
      <c r="F791" s="59"/>
      <c r="G791" s="59"/>
      <c r="H791" s="59"/>
      <c r="I791" s="59"/>
      <c r="J791" s="60">
        <f>SUM(J721,J736,J751,J766)</f>
        <v>3</v>
      </c>
      <c r="K791" s="61"/>
    </row>
    <row r="792" spans="2:11" x14ac:dyDescent="0.2">
      <c r="B792" s="57"/>
      <c r="C792" s="59"/>
      <c r="D792" s="196" t="s">
        <v>372</v>
      </c>
      <c r="E792" s="59"/>
      <c r="F792" s="59"/>
      <c r="G792" s="59"/>
      <c r="H792" s="59"/>
      <c r="I792" s="59"/>
      <c r="J792" s="60">
        <f>AVERAGE(J790,J791)</f>
        <v>1.5</v>
      </c>
      <c r="K792" s="61"/>
    </row>
    <row r="793" spans="2:11" ht="16" x14ac:dyDescent="0.2">
      <c r="B793" s="57"/>
      <c r="C793" s="197" t="s">
        <v>38</v>
      </c>
      <c r="D793" s="59"/>
      <c r="E793" s="59"/>
      <c r="F793" s="59"/>
      <c r="G793" s="59"/>
      <c r="H793" s="59"/>
      <c r="I793" s="59"/>
      <c r="J793" s="60"/>
      <c r="K793" s="61"/>
    </row>
    <row r="794" spans="2:11" x14ac:dyDescent="0.2">
      <c r="B794" s="57"/>
      <c r="C794" s="59"/>
      <c r="D794" s="59" t="s">
        <v>370</v>
      </c>
      <c r="E794" s="59"/>
      <c r="F794" s="59"/>
      <c r="G794" s="59"/>
      <c r="H794" s="59"/>
      <c r="I794" s="59"/>
      <c r="J794" s="60">
        <f>'Baseline At-Risk Pops'!H40</f>
        <v>0</v>
      </c>
      <c r="K794" s="61"/>
    </row>
    <row r="795" spans="2:11" x14ac:dyDescent="0.2">
      <c r="B795" s="57"/>
      <c r="C795" s="59"/>
      <c r="D795" s="59" t="s">
        <v>371</v>
      </c>
      <c r="E795" s="59"/>
      <c r="F795" s="59"/>
      <c r="G795" s="59"/>
      <c r="H795" s="59"/>
      <c r="I795" s="59"/>
      <c r="J795" s="60">
        <f>SUM(J722,J737,J752,J767)</f>
        <v>2</v>
      </c>
      <c r="K795" s="61"/>
    </row>
    <row r="796" spans="2:11" x14ac:dyDescent="0.2">
      <c r="B796" s="57"/>
      <c r="C796" s="59"/>
      <c r="D796" s="196" t="s">
        <v>372</v>
      </c>
      <c r="E796" s="59"/>
      <c r="F796" s="59"/>
      <c r="G796" s="59"/>
      <c r="H796" s="59"/>
      <c r="I796" s="59"/>
      <c r="J796" s="60">
        <f>AVERAGE(J794,J795)</f>
        <v>1</v>
      </c>
      <c r="K796" s="61"/>
    </row>
    <row r="797" spans="2:11" ht="16" x14ac:dyDescent="0.2">
      <c r="B797" s="57"/>
      <c r="C797" s="197" t="s">
        <v>40</v>
      </c>
      <c r="D797" s="59"/>
      <c r="E797" s="59"/>
      <c r="F797" s="59"/>
      <c r="G797" s="59"/>
      <c r="H797" s="59"/>
      <c r="I797" s="59"/>
      <c r="J797" s="60"/>
      <c r="K797" s="61"/>
    </row>
    <row r="798" spans="2:11" x14ac:dyDescent="0.2">
      <c r="B798" s="57"/>
      <c r="C798" s="59"/>
      <c r="D798" s="59" t="s">
        <v>370</v>
      </c>
      <c r="E798" s="59"/>
      <c r="F798" s="59"/>
      <c r="G798" s="59"/>
      <c r="H798" s="59"/>
      <c r="I798" s="59"/>
      <c r="J798" s="60">
        <f>'Baseline At-Risk Pops'!H46</f>
        <v>0</v>
      </c>
      <c r="K798" s="61"/>
    </row>
    <row r="799" spans="2:11" x14ac:dyDescent="0.2">
      <c r="B799" s="57"/>
      <c r="C799" s="59"/>
      <c r="D799" s="59" t="s">
        <v>371</v>
      </c>
      <c r="E799" s="59"/>
      <c r="F799" s="59"/>
      <c r="G799" s="59"/>
      <c r="H799" s="59"/>
      <c r="I799" s="59"/>
      <c r="J799" s="60">
        <f>SUM(J723,J738,J753,J768)</f>
        <v>3</v>
      </c>
      <c r="K799" s="61"/>
    </row>
    <row r="800" spans="2:11" x14ac:dyDescent="0.2">
      <c r="B800" s="57"/>
      <c r="C800" s="59"/>
      <c r="D800" s="196" t="s">
        <v>372</v>
      </c>
      <c r="E800" s="59"/>
      <c r="F800" s="59"/>
      <c r="G800" s="59"/>
      <c r="H800" s="59"/>
      <c r="I800" s="59"/>
      <c r="J800" s="60">
        <f>AVERAGE(J798,J799)</f>
        <v>1.5</v>
      </c>
      <c r="K800" s="61"/>
    </row>
    <row r="801" spans="2:11" ht="16" x14ac:dyDescent="0.2">
      <c r="B801" s="57"/>
      <c r="C801" s="197" t="s">
        <v>41</v>
      </c>
      <c r="D801" s="59"/>
      <c r="E801" s="59"/>
      <c r="F801" s="59"/>
      <c r="G801" s="59"/>
      <c r="H801" s="59"/>
      <c r="I801" s="59"/>
      <c r="J801" s="60"/>
      <c r="K801" s="61"/>
    </row>
    <row r="802" spans="2:11" ht="16" x14ac:dyDescent="0.2">
      <c r="B802" s="57"/>
      <c r="C802" s="197"/>
      <c r="D802" s="59" t="s">
        <v>370</v>
      </c>
      <c r="E802" s="59"/>
      <c r="F802" s="59"/>
      <c r="G802" s="59"/>
      <c r="H802" s="59"/>
      <c r="I802" s="59"/>
      <c r="J802" s="60">
        <f>'Baseline At-Risk Pops'!H52</f>
        <v>0</v>
      </c>
      <c r="K802" s="61"/>
    </row>
    <row r="803" spans="2:11" x14ac:dyDescent="0.2">
      <c r="B803" s="57"/>
      <c r="C803" s="59"/>
      <c r="D803" s="59" t="s">
        <v>371</v>
      </c>
      <c r="E803" s="59"/>
      <c r="F803" s="59"/>
      <c r="G803" s="59"/>
      <c r="H803" s="59"/>
      <c r="I803" s="59"/>
      <c r="J803" s="60">
        <f>SUM(J724,J739,J754,J769)</f>
        <v>3</v>
      </c>
      <c r="K803" s="61"/>
    </row>
    <row r="804" spans="2:11" x14ac:dyDescent="0.2">
      <c r="B804" s="57"/>
      <c r="C804" s="59"/>
      <c r="D804" s="196" t="s">
        <v>372</v>
      </c>
      <c r="E804" s="59"/>
      <c r="F804" s="59"/>
      <c r="G804" s="59"/>
      <c r="H804" s="59"/>
      <c r="I804" s="59"/>
      <c r="J804" s="60">
        <f>AVERAGE(J802,J803)</f>
        <v>1.5</v>
      </c>
      <c r="K804" s="61"/>
    </row>
    <row r="805" spans="2:11" ht="16" x14ac:dyDescent="0.2">
      <c r="B805" s="57"/>
      <c r="C805" s="197" t="s">
        <v>43</v>
      </c>
      <c r="D805" s="59"/>
      <c r="E805" s="59"/>
      <c r="F805" s="59"/>
      <c r="G805" s="59"/>
      <c r="H805" s="59"/>
      <c r="I805" s="59"/>
      <c r="J805" s="60"/>
      <c r="K805" s="61"/>
    </row>
    <row r="806" spans="2:11" x14ac:dyDescent="0.2">
      <c r="B806" s="57"/>
      <c r="C806" s="59"/>
      <c r="D806" s="59" t="s">
        <v>370</v>
      </c>
      <c r="E806" s="59"/>
      <c r="F806" s="59"/>
      <c r="G806" s="59"/>
      <c r="H806" s="59"/>
      <c r="I806" s="59"/>
      <c r="J806" s="60">
        <f>'Baseline At-Risk Pops'!H58</f>
        <v>0</v>
      </c>
      <c r="K806" s="61"/>
    </row>
    <row r="807" spans="2:11" x14ac:dyDescent="0.2">
      <c r="B807" s="57"/>
      <c r="C807" s="59"/>
      <c r="D807" s="59" t="s">
        <v>371</v>
      </c>
      <c r="E807" s="59"/>
      <c r="F807" s="59"/>
      <c r="G807" s="59"/>
      <c r="H807" s="59"/>
      <c r="I807" s="59"/>
      <c r="J807" s="60">
        <f>SUM(J725,J740,J755,J770)</f>
        <v>3</v>
      </c>
      <c r="K807" s="61"/>
    </row>
    <row r="808" spans="2:11" x14ac:dyDescent="0.2">
      <c r="B808" s="57"/>
      <c r="C808" s="59"/>
      <c r="D808" s="196" t="s">
        <v>372</v>
      </c>
      <c r="E808" s="59"/>
      <c r="F808" s="59"/>
      <c r="G808" s="59"/>
      <c r="H808" s="59"/>
      <c r="I808" s="59"/>
      <c r="J808" s="60">
        <f>AVERAGE(J806,J807)</f>
        <v>1.5</v>
      </c>
      <c r="K808" s="61"/>
    </row>
    <row r="809" spans="2:11" x14ac:dyDescent="0.2">
      <c r="B809" s="57"/>
      <c r="C809" s="59"/>
      <c r="D809" s="59"/>
      <c r="E809" s="59"/>
      <c r="F809" s="59"/>
      <c r="G809" s="59"/>
      <c r="H809" s="59"/>
      <c r="I809" s="59"/>
      <c r="J809" s="59"/>
      <c r="K809" s="61"/>
    </row>
    <row r="810" spans="2:11" x14ac:dyDescent="0.2">
      <c r="B810" s="57"/>
      <c r="C810" s="59"/>
      <c r="D810" s="59"/>
      <c r="E810" s="59"/>
      <c r="F810" s="59"/>
      <c r="G810" s="59"/>
      <c r="H810" s="59"/>
      <c r="I810" s="59"/>
      <c r="J810" s="59"/>
      <c r="K810" s="61"/>
    </row>
    <row r="811" spans="2:11" ht="16" x14ac:dyDescent="0.2">
      <c r="B811" s="57"/>
      <c r="C811" s="198" t="s">
        <v>373</v>
      </c>
      <c r="D811" s="59"/>
      <c r="E811" s="59"/>
      <c r="F811" s="59"/>
      <c r="G811" s="59"/>
      <c r="H811" s="59"/>
      <c r="I811" s="59"/>
      <c r="J811" s="261">
        <f>AVERAGE(J776,J780,J784,J788,J792,J796,J800,J804,J808)</f>
        <v>1.4444444444444444</v>
      </c>
      <c r="K811" s="61"/>
    </row>
    <row r="812" spans="2:11" ht="16" thickBot="1" x14ac:dyDescent="0.25">
      <c r="B812" s="73"/>
      <c r="C812" s="74"/>
      <c r="D812" s="74"/>
      <c r="E812" s="74"/>
      <c r="F812" s="74"/>
      <c r="G812" s="74"/>
      <c r="H812" s="74"/>
      <c r="I812" s="74"/>
      <c r="J812" s="74"/>
      <c r="K812" s="76"/>
    </row>
    <row r="813" spans="2:11" ht="16" thickBot="1" x14ac:dyDescent="0.25"/>
    <row r="814" spans="2:11" x14ac:dyDescent="0.2">
      <c r="B814" s="199"/>
      <c r="C814" s="200"/>
      <c r="D814" s="200"/>
      <c r="E814" s="200"/>
      <c r="F814" s="200"/>
      <c r="G814" s="200"/>
      <c r="H814" s="200"/>
      <c r="I814" s="200"/>
      <c r="J814" s="200"/>
      <c r="K814" s="201"/>
    </row>
    <row r="815" spans="2:11" ht="21" x14ac:dyDescent="0.25">
      <c r="B815" s="202"/>
      <c r="C815" s="203"/>
      <c r="D815" s="203"/>
      <c r="E815" s="203"/>
      <c r="F815" s="203"/>
      <c r="G815" s="204" t="s">
        <v>233</v>
      </c>
      <c r="H815" s="203"/>
      <c r="I815" s="203"/>
      <c r="J815" s="203"/>
      <c r="K815" s="205"/>
    </row>
    <row r="816" spans="2:11" x14ac:dyDescent="0.2">
      <c r="B816" s="202"/>
      <c r="C816" s="203"/>
      <c r="D816" s="203"/>
      <c r="E816" s="203"/>
      <c r="F816" s="203"/>
      <c r="G816" s="203"/>
      <c r="H816" s="203"/>
      <c r="I816" s="203"/>
      <c r="J816" s="203"/>
      <c r="K816" s="205"/>
    </row>
    <row r="817" spans="2:11" ht="16" x14ac:dyDescent="0.2">
      <c r="B817" s="202"/>
      <c r="C817" s="206" t="s">
        <v>992</v>
      </c>
      <c r="D817" s="203"/>
      <c r="E817" s="203"/>
      <c r="F817" s="203"/>
      <c r="G817" s="203"/>
      <c r="H817" s="203"/>
      <c r="I817" s="203"/>
      <c r="J817" s="262" t="str">
        <f>IF(J700="Not Calculated","Not Calculated",J700*(($J$811/4)+1))</f>
        <v>Not Calculated</v>
      </c>
      <c r="K817" s="205"/>
    </row>
    <row r="818" spans="2:11" x14ac:dyDescent="0.2">
      <c r="B818" s="202"/>
      <c r="C818" s="203"/>
      <c r="D818" s="203" t="s">
        <v>1119</v>
      </c>
      <c r="E818" s="203"/>
      <c r="F818" s="203"/>
      <c r="G818" s="203"/>
      <c r="H818" s="203"/>
      <c r="I818" s="203"/>
      <c r="J818" s="203"/>
      <c r="K818" s="205"/>
    </row>
    <row r="819" spans="2:11" x14ac:dyDescent="0.2">
      <c r="B819" s="202"/>
      <c r="C819" s="203"/>
      <c r="D819" s="203"/>
      <c r="E819" s="203"/>
      <c r="F819" s="203"/>
      <c r="G819" s="203"/>
      <c r="H819" s="203"/>
      <c r="I819" s="203"/>
      <c r="J819" s="203"/>
      <c r="K819" s="205"/>
    </row>
    <row r="820" spans="2:11" ht="16" x14ac:dyDescent="0.2">
      <c r="B820" s="202"/>
      <c r="C820" s="206" t="s">
        <v>993</v>
      </c>
      <c r="D820" s="203"/>
      <c r="E820" s="203"/>
      <c r="F820" s="203"/>
      <c r="G820" s="203"/>
      <c r="H820" s="203"/>
      <c r="I820" s="203"/>
      <c r="J820" s="262" t="str">
        <f>IF(J703="Not Calculated","Not Calculated",J703*(($J$811/4)+1))</f>
        <v>Not Calculated</v>
      </c>
      <c r="K820" s="205"/>
    </row>
    <row r="821" spans="2:11" x14ac:dyDescent="0.2">
      <c r="B821" s="202"/>
      <c r="C821" s="203"/>
      <c r="D821" s="203" t="s">
        <v>1120</v>
      </c>
      <c r="E821" s="203"/>
      <c r="F821" s="203"/>
      <c r="G821" s="203"/>
      <c r="H821" s="203"/>
      <c r="I821" s="203"/>
      <c r="J821" s="203"/>
      <c r="K821" s="205"/>
    </row>
    <row r="822" spans="2:11" x14ac:dyDescent="0.2">
      <c r="B822" s="202"/>
      <c r="C822" s="203"/>
      <c r="D822" s="203"/>
      <c r="E822" s="203"/>
      <c r="F822" s="203"/>
      <c r="G822" s="203"/>
      <c r="H822" s="203"/>
      <c r="I822" s="203"/>
      <c r="J822" s="203"/>
      <c r="K822" s="205"/>
    </row>
    <row r="823" spans="2:11" ht="16" x14ac:dyDescent="0.2">
      <c r="B823" s="202"/>
      <c r="C823" s="206" t="s">
        <v>994</v>
      </c>
      <c r="D823" s="203"/>
      <c r="E823" s="203"/>
      <c r="F823" s="203"/>
      <c r="G823" s="203"/>
      <c r="H823" s="203"/>
      <c r="I823" s="203"/>
      <c r="J823" s="262" t="str">
        <f>IF(J706="Not Calculated","Not Calculated",J706*(($J$811/4)+1))</f>
        <v>Not Calculated</v>
      </c>
      <c r="K823" s="205"/>
    </row>
    <row r="824" spans="2:11" x14ac:dyDescent="0.2">
      <c r="B824" s="202"/>
      <c r="C824" s="203"/>
      <c r="D824" s="203" t="s">
        <v>1121</v>
      </c>
      <c r="E824" s="203"/>
      <c r="F824" s="203"/>
      <c r="G824" s="203"/>
      <c r="H824" s="203"/>
      <c r="I824" s="203"/>
      <c r="J824" s="203"/>
      <c r="K824" s="205"/>
    </row>
    <row r="825" spans="2:11" ht="16" thickBot="1" x14ac:dyDescent="0.25">
      <c r="B825" s="207"/>
      <c r="C825" s="208"/>
      <c r="D825" s="208"/>
      <c r="E825" s="208"/>
      <c r="F825" s="208"/>
      <c r="G825" s="208"/>
      <c r="H825" s="208"/>
      <c r="I825" s="208"/>
      <c r="J825" s="208"/>
      <c r="K825" s="209"/>
    </row>
    <row r="826" spans="2:11" ht="16" thickBot="1" x14ac:dyDescent="0.25"/>
    <row r="827" spans="2:11" x14ac:dyDescent="0.2">
      <c r="B827" s="77"/>
      <c r="C827" s="78"/>
      <c r="D827" s="78"/>
      <c r="E827" s="78"/>
      <c r="F827" s="78"/>
      <c r="G827" s="78"/>
      <c r="H827" s="78"/>
      <c r="I827" s="78"/>
      <c r="J827" s="78"/>
      <c r="K827" s="80"/>
    </row>
    <row r="828" spans="2:11" ht="21" x14ac:dyDescent="0.25">
      <c r="B828" s="81"/>
      <c r="C828" s="85"/>
      <c r="D828" s="85"/>
      <c r="E828" s="85"/>
      <c r="F828" s="85"/>
      <c r="G828" s="210" t="s">
        <v>806</v>
      </c>
      <c r="H828" s="85"/>
      <c r="I828" s="85"/>
      <c r="J828" s="85"/>
      <c r="K828" s="87"/>
    </row>
    <row r="829" spans="2:11" x14ac:dyDescent="0.2">
      <c r="B829" s="81"/>
      <c r="C829" s="85"/>
      <c r="D829" s="85"/>
      <c r="E829" s="85"/>
      <c r="F829" s="85"/>
      <c r="G829" s="85"/>
      <c r="H829" s="85"/>
      <c r="I829" s="85"/>
      <c r="J829" s="85"/>
      <c r="K829" s="87"/>
    </row>
    <row r="830" spans="2:11" ht="15" customHeight="1" x14ac:dyDescent="0.2">
      <c r="B830" s="81"/>
      <c r="C830" s="424" t="s">
        <v>808</v>
      </c>
      <c r="D830" s="424"/>
      <c r="E830" s="424"/>
      <c r="F830" s="424"/>
      <c r="G830" s="424"/>
      <c r="H830" s="424"/>
      <c r="I830" s="424"/>
      <c r="J830" s="424"/>
      <c r="K830" s="87"/>
    </row>
    <row r="831" spans="2:11" x14ac:dyDescent="0.2">
      <c r="B831" s="81"/>
      <c r="C831" s="424"/>
      <c r="D831" s="424"/>
      <c r="E831" s="424"/>
      <c r="F831" s="424"/>
      <c r="G831" s="424"/>
      <c r="H831" s="424"/>
      <c r="I831" s="424"/>
      <c r="J831" s="424"/>
      <c r="K831" s="87"/>
    </row>
    <row r="832" spans="2:11" x14ac:dyDescent="0.2">
      <c r="B832" s="81"/>
      <c r="C832" s="85"/>
      <c r="D832" s="85"/>
      <c r="E832" s="85"/>
      <c r="F832" s="85"/>
      <c r="G832" s="85"/>
      <c r="H832" s="85"/>
      <c r="I832" s="85"/>
      <c r="J832" s="85"/>
      <c r="K832" s="87"/>
    </row>
    <row r="833" spans="2:11" ht="16" x14ac:dyDescent="0.2">
      <c r="B833" s="81"/>
      <c r="C833" s="211" t="s">
        <v>654</v>
      </c>
      <c r="D833" s="85"/>
      <c r="E833" s="85"/>
      <c r="F833" s="85"/>
      <c r="G833" s="85"/>
      <c r="H833" s="85"/>
      <c r="I833" s="85"/>
      <c r="J833" s="85"/>
      <c r="K833" s="87"/>
    </row>
    <row r="834" spans="2:11" x14ac:dyDescent="0.2">
      <c r="B834" s="81"/>
      <c r="C834" s="85" t="s">
        <v>380</v>
      </c>
      <c r="D834" s="85"/>
      <c r="E834" s="85"/>
      <c r="F834" s="85"/>
      <c r="G834" s="406" t="s">
        <v>234</v>
      </c>
      <c r="H834" s="407"/>
      <c r="I834" s="85"/>
      <c r="J834" s="83">
        <f>IF(G834=$B$998,$A$998,IF(G834=$B$999,$A$999,IF(G834=$B$1000,$A$1000,IF(G834=$B$1001,$A$1001,IF(G834=$B$1002,$A$1002,"Not Calculated")))))</f>
        <v>4</v>
      </c>
      <c r="K834" s="87"/>
    </row>
    <row r="835" spans="2:11" x14ac:dyDescent="0.2">
      <c r="B835" s="81"/>
      <c r="C835" s="85" t="s">
        <v>134</v>
      </c>
      <c r="D835" s="85"/>
      <c r="E835" s="85"/>
      <c r="F835" s="85"/>
      <c r="G835" s="85"/>
      <c r="H835" s="85"/>
      <c r="I835" s="85"/>
      <c r="J835" s="240">
        <f>'Baseline PHP'!J16</f>
        <v>0</v>
      </c>
      <c r="K835" s="87"/>
    </row>
    <row r="836" spans="2:11" x14ac:dyDescent="0.2">
      <c r="B836" s="81"/>
      <c r="C836" s="85"/>
      <c r="D836" s="85"/>
      <c r="E836" s="85"/>
      <c r="F836" s="85"/>
      <c r="G836" s="85"/>
      <c r="H836" s="85"/>
      <c r="I836" s="85"/>
      <c r="J836" s="85"/>
      <c r="K836" s="87"/>
    </row>
    <row r="837" spans="2:11" ht="16" x14ac:dyDescent="0.2">
      <c r="B837" s="81"/>
      <c r="C837" s="211" t="s">
        <v>655</v>
      </c>
      <c r="D837" s="85"/>
      <c r="E837" s="85"/>
      <c r="F837" s="85"/>
      <c r="G837" s="85"/>
      <c r="H837" s="85"/>
      <c r="I837" s="85"/>
      <c r="J837" s="85"/>
      <c r="K837" s="87"/>
    </row>
    <row r="838" spans="2:11" x14ac:dyDescent="0.2">
      <c r="B838" s="81"/>
      <c r="C838" s="85" t="s">
        <v>380</v>
      </c>
      <c r="D838" s="85"/>
      <c r="E838" s="85"/>
      <c r="F838" s="85"/>
      <c r="G838" s="406" t="s">
        <v>234</v>
      </c>
      <c r="H838" s="407"/>
      <c r="I838" s="85"/>
      <c r="J838" s="83">
        <f>IF(G838=$B$998,$A$998,IF(G838=$B$999,$A$999,IF(G838=$B$1000,$A$1000,IF(G838=$B$1001,$A$1001,IF(G838=$B$1002,$A$1002,"Not Calculated")))))</f>
        <v>4</v>
      </c>
      <c r="K838" s="87"/>
    </row>
    <row r="839" spans="2:11" x14ac:dyDescent="0.2">
      <c r="B839" s="81"/>
      <c r="C839" s="85" t="s">
        <v>134</v>
      </c>
      <c r="D839" s="85"/>
      <c r="E839" s="85"/>
      <c r="F839" s="85"/>
      <c r="G839" s="85"/>
      <c r="H839" s="85"/>
      <c r="I839" s="85"/>
      <c r="J839" s="240">
        <f>'Baseline PHP'!J28</f>
        <v>0</v>
      </c>
      <c r="K839" s="87"/>
    </row>
    <row r="840" spans="2:11" x14ac:dyDescent="0.2">
      <c r="B840" s="81"/>
      <c r="C840" s="85"/>
      <c r="D840" s="85"/>
      <c r="E840" s="85"/>
      <c r="F840" s="85"/>
      <c r="G840" s="85"/>
      <c r="H840" s="85"/>
      <c r="I840" s="85"/>
      <c r="J840" s="85"/>
      <c r="K840" s="87"/>
    </row>
    <row r="841" spans="2:11" ht="16" x14ac:dyDescent="0.2">
      <c r="B841" s="81"/>
      <c r="C841" s="211" t="s">
        <v>645</v>
      </c>
      <c r="D841" s="85"/>
      <c r="E841" s="85"/>
      <c r="F841" s="85"/>
      <c r="G841" s="85"/>
      <c r="H841" s="85"/>
      <c r="I841" s="85"/>
      <c r="J841" s="85"/>
      <c r="K841" s="87"/>
    </row>
    <row r="842" spans="2:11" x14ac:dyDescent="0.2">
      <c r="B842" s="81"/>
      <c r="C842" s="85" t="s">
        <v>380</v>
      </c>
      <c r="D842" s="85"/>
      <c r="E842" s="85"/>
      <c r="F842" s="85"/>
      <c r="G842" s="406" t="s">
        <v>234</v>
      </c>
      <c r="H842" s="407"/>
      <c r="I842" s="85"/>
      <c r="J842" s="83">
        <f>IF(G842=$B$998,$A$998,IF(G842=$B$999,$A$999,IF(G842=$B$1000,$A$1000,IF(G842=$B$1001,$A$1001,IF(G842=$B$1002,$A$1002,"Not Calculated")))))</f>
        <v>4</v>
      </c>
      <c r="K842" s="87"/>
    </row>
    <row r="843" spans="2:11" x14ac:dyDescent="0.2">
      <c r="B843" s="81"/>
      <c r="C843" s="85" t="s">
        <v>134</v>
      </c>
      <c r="D843" s="85"/>
      <c r="E843" s="85"/>
      <c r="F843" s="85"/>
      <c r="G843" s="85"/>
      <c r="H843" s="85"/>
      <c r="I843" s="85"/>
      <c r="J843" s="240">
        <f>'Baseline PHP'!J44</f>
        <v>0</v>
      </c>
      <c r="K843" s="87"/>
    </row>
    <row r="844" spans="2:11" x14ac:dyDescent="0.2">
      <c r="B844" s="81"/>
      <c r="C844" s="85"/>
      <c r="D844" s="85"/>
      <c r="E844" s="85"/>
      <c r="F844" s="85"/>
      <c r="G844" s="85"/>
      <c r="H844" s="85"/>
      <c r="I844" s="85"/>
      <c r="J844" s="85"/>
      <c r="K844" s="87"/>
    </row>
    <row r="845" spans="2:11" ht="16" x14ac:dyDescent="0.2">
      <c r="B845" s="81"/>
      <c r="C845" s="211" t="s">
        <v>646</v>
      </c>
      <c r="D845" s="85"/>
      <c r="E845" s="85"/>
      <c r="F845" s="85"/>
      <c r="G845" s="85"/>
      <c r="H845" s="85"/>
      <c r="I845" s="85"/>
      <c r="J845" s="85"/>
      <c r="K845" s="87"/>
    </row>
    <row r="846" spans="2:11" x14ac:dyDescent="0.2">
      <c r="B846" s="81"/>
      <c r="C846" s="85" t="s">
        <v>380</v>
      </c>
      <c r="D846" s="85"/>
      <c r="E846" s="85"/>
      <c r="F846" s="85"/>
      <c r="G846" s="406" t="s">
        <v>234</v>
      </c>
      <c r="H846" s="407"/>
      <c r="I846" s="85"/>
      <c r="J846" s="83">
        <f>IF(G846=$B$998,$A$998,IF(G846=$B$999,$A$999,IF(G846=$B$1000,$A$1000,IF(G846=$B$1001,$A$1001,IF(G846=$B$1002,$A$1002,"Not Calculated")))))</f>
        <v>4</v>
      </c>
      <c r="K846" s="87"/>
    </row>
    <row r="847" spans="2:11" x14ac:dyDescent="0.2">
      <c r="B847" s="81"/>
      <c r="C847" s="85" t="s">
        <v>134</v>
      </c>
      <c r="D847" s="85"/>
      <c r="E847" s="85"/>
      <c r="F847" s="85"/>
      <c r="G847" s="85"/>
      <c r="H847" s="85"/>
      <c r="I847" s="85"/>
      <c r="J847" s="240">
        <f>'Baseline PHP'!J60</f>
        <v>0</v>
      </c>
      <c r="K847" s="87"/>
    </row>
    <row r="848" spans="2:11" x14ac:dyDescent="0.2">
      <c r="B848" s="81"/>
      <c r="C848" s="85"/>
      <c r="D848" s="85"/>
      <c r="E848" s="85"/>
      <c r="F848" s="85"/>
      <c r="G848" s="85"/>
      <c r="H848" s="85"/>
      <c r="I848" s="85"/>
      <c r="J848" s="85"/>
      <c r="K848" s="87"/>
    </row>
    <row r="849" spans="2:11" ht="16" x14ac:dyDescent="0.2">
      <c r="B849" s="81"/>
      <c r="C849" s="211" t="s">
        <v>648</v>
      </c>
      <c r="D849" s="85"/>
      <c r="E849" s="85"/>
      <c r="F849" s="85"/>
      <c r="G849" s="85"/>
      <c r="H849" s="85"/>
      <c r="I849" s="85"/>
      <c r="J849" s="85"/>
      <c r="K849" s="87"/>
    </row>
    <row r="850" spans="2:11" ht="15" customHeight="1" x14ac:dyDescent="0.2">
      <c r="B850" s="81"/>
      <c r="C850" s="85" t="s">
        <v>380</v>
      </c>
      <c r="D850" s="85"/>
      <c r="E850" s="85"/>
      <c r="F850" s="85"/>
      <c r="G850" s="406" t="s">
        <v>235</v>
      </c>
      <c r="H850" s="407"/>
      <c r="I850" s="85"/>
      <c r="J850" s="83">
        <f>IF(G850=$B$998,$A$998,IF(G850=$B$999,$A$999,IF(G850=$B$1000,$A$1000,IF(G850=$B$1001,$A$1001,IF(G850=$B$1002,$A$1002,"Not Calculated")))))</f>
        <v>2</v>
      </c>
      <c r="K850" s="87"/>
    </row>
    <row r="851" spans="2:11" x14ac:dyDescent="0.2">
      <c r="B851" s="81"/>
      <c r="C851" s="85" t="s">
        <v>134</v>
      </c>
      <c r="D851" s="85"/>
      <c r="E851" s="85"/>
      <c r="F851" s="85"/>
      <c r="G851" s="85"/>
      <c r="H851" s="85"/>
      <c r="I851" s="85"/>
      <c r="J851" s="240">
        <f>'Baseline PHP'!J76</f>
        <v>0</v>
      </c>
      <c r="K851" s="87"/>
    </row>
    <row r="852" spans="2:11" x14ac:dyDescent="0.2">
      <c r="B852" s="81"/>
      <c r="C852" s="85"/>
      <c r="D852" s="85"/>
      <c r="E852" s="85"/>
      <c r="F852" s="85"/>
      <c r="G852" s="85"/>
      <c r="H852" s="85"/>
      <c r="I852" s="85"/>
      <c r="J852" s="85"/>
      <c r="K852" s="87"/>
    </row>
    <row r="853" spans="2:11" ht="16" x14ac:dyDescent="0.2">
      <c r="B853" s="81"/>
      <c r="C853" s="211" t="s">
        <v>647</v>
      </c>
      <c r="D853" s="85"/>
      <c r="E853" s="85"/>
      <c r="F853" s="85"/>
      <c r="G853" s="85"/>
      <c r="H853" s="85"/>
      <c r="I853" s="85"/>
      <c r="J853" s="85"/>
      <c r="K853" s="87"/>
    </row>
    <row r="854" spans="2:11" x14ac:dyDescent="0.2">
      <c r="B854" s="81"/>
      <c r="C854" s="85" t="s">
        <v>380</v>
      </c>
      <c r="D854" s="85"/>
      <c r="E854" s="85"/>
      <c r="F854" s="85"/>
      <c r="G854" s="406" t="s">
        <v>234</v>
      </c>
      <c r="H854" s="407"/>
      <c r="I854" s="85"/>
      <c r="J854" s="83">
        <f>IF(G854=$B$998,$A$998,IF(G854=$B$999,$A$999,IF(G854=$B$1000,$A$1000,IF(G854=$B$1001,$A$1001,IF(G854=$B$1002,$A$1002,"Not Calculated")))))</f>
        <v>4</v>
      </c>
      <c r="K854" s="87"/>
    </row>
    <row r="855" spans="2:11" x14ac:dyDescent="0.2">
      <c r="B855" s="81"/>
      <c r="C855" s="85" t="s">
        <v>134</v>
      </c>
      <c r="D855" s="85"/>
      <c r="E855" s="85"/>
      <c r="F855" s="85"/>
      <c r="G855" s="85"/>
      <c r="H855" s="85"/>
      <c r="I855" s="85"/>
      <c r="J855" s="240">
        <f>'Baseline PHP'!J88</f>
        <v>0</v>
      </c>
      <c r="K855" s="87"/>
    </row>
    <row r="856" spans="2:11" x14ac:dyDescent="0.2">
      <c r="B856" s="81"/>
      <c r="C856" s="85"/>
      <c r="D856" s="85"/>
      <c r="E856" s="85"/>
      <c r="F856" s="85"/>
      <c r="G856" s="85"/>
      <c r="H856" s="85"/>
      <c r="I856" s="85"/>
      <c r="J856" s="85"/>
      <c r="K856" s="87"/>
    </row>
    <row r="857" spans="2:11" ht="16" x14ac:dyDescent="0.2">
      <c r="B857" s="81"/>
      <c r="C857" s="211" t="s">
        <v>115</v>
      </c>
      <c r="D857" s="85"/>
      <c r="E857" s="85"/>
      <c r="F857" s="85"/>
      <c r="G857" s="85"/>
      <c r="H857" s="85"/>
      <c r="I857" s="85"/>
      <c r="J857" s="85"/>
      <c r="K857" s="87"/>
    </row>
    <row r="858" spans="2:11" x14ac:dyDescent="0.2">
      <c r="B858" s="81"/>
      <c r="C858" s="85" t="s">
        <v>380</v>
      </c>
      <c r="D858" s="85"/>
      <c r="E858" s="85"/>
      <c r="F858" s="85"/>
      <c r="G858" s="406" t="s">
        <v>238</v>
      </c>
      <c r="H858" s="407"/>
      <c r="I858" s="85"/>
      <c r="J858" s="83">
        <f>IF(G858=$B$998,$A$998,IF(G858=$B$999,$A$999,IF(G858=$B$1000,$A$1000,IF(G858=$B$1001,$A$1001,IF(G858=$B$1002,$A$1002,"Not Calculated")))))</f>
        <v>3</v>
      </c>
      <c r="K858" s="87"/>
    </row>
    <row r="859" spans="2:11" x14ac:dyDescent="0.2">
      <c r="B859" s="81"/>
      <c r="C859" s="85" t="s">
        <v>134</v>
      </c>
      <c r="D859" s="85"/>
      <c r="E859" s="85"/>
      <c r="F859" s="85"/>
      <c r="G859" s="85"/>
      <c r="H859" s="85"/>
      <c r="I859" s="85"/>
      <c r="J859" s="240">
        <f>'Baseline PHP'!J102</f>
        <v>0</v>
      </c>
      <c r="K859" s="87"/>
    </row>
    <row r="860" spans="2:11" x14ac:dyDescent="0.2">
      <c r="B860" s="81"/>
      <c r="C860" s="85"/>
      <c r="D860" s="85"/>
      <c r="E860" s="85"/>
      <c r="F860" s="85"/>
      <c r="G860" s="85"/>
      <c r="H860" s="85"/>
      <c r="I860" s="85"/>
      <c r="J860" s="85"/>
      <c r="K860" s="87"/>
    </row>
    <row r="861" spans="2:11" ht="16" x14ac:dyDescent="0.2">
      <c r="B861" s="81"/>
      <c r="C861" s="211" t="s">
        <v>649</v>
      </c>
      <c r="D861" s="85"/>
      <c r="E861" s="85"/>
      <c r="F861" s="85"/>
      <c r="G861" s="85"/>
      <c r="H861" s="85"/>
      <c r="I861" s="85"/>
      <c r="J861" s="85"/>
      <c r="K861" s="87"/>
    </row>
    <row r="862" spans="2:11" x14ac:dyDescent="0.2">
      <c r="B862" s="81"/>
      <c r="C862" s="85" t="s">
        <v>380</v>
      </c>
      <c r="D862" s="85"/>
      <c r="E862" s="85"/>
      <c r="F862" s="85"/>
      <c r="G862" s="406" t="s">
        <v>236</v>
      </c>
      <c r="H862" s="407"/>
      <c r="I862" s="85"/>
      <c r="J862" s="83">
        <f>IF(G862=$B$998,$A$998,IF(G862=$B$999,$A$999,IF(G862=$B$1000,$A$1000,IF(G862=$B$1001,$A$1001,IF(G862=$B$1002,$A$1002,"Not Calculated")))))</f>
        <v>0</v>
      </c>
      <c r="K862" s="87"/>
    </row>
    <row r="863" spans="2:11" x14ac:dyDescent="0.2">
      <c r="B863" s="81"/>
      <c r="C863" s="85" t="s">
        <v>134</v>
      </c>
      <c r="D863" s="85"/>
      <c r="E863" s="85"/>
      <c r="F863" s="85"/>
      <c r="G863" s="85"/>
      <c r="H863" s="85"/>
      <c r="I863" s="85"/>
      <c r="J863" s="240">
        <f>'Baseline PHP'!J118</f>
        <v>0</v>
      </c>
      <c r="K863" s="87"/>
    </row>
    <row r="864" spans="2:11" x14ac:dyDescent="0.2">
      <c r="B864" s="81"/>
      <c r="C864" s="85"/>
      <c r="D864" s="85"/>
      <c r="E864" s="85"/>
      <c r="F864" s="85"/>
      <c r="G864" s="85"/>
      <c r="H864" s="85"/>
      <c r="I864" s="85"/>
      <c r="J864" s="85"/>
      <c r="K864" s="87"/>
    </row>
    <row r="865" spans="2:11" ht="16" x14ac:dyDescent="0.2">
      <c r="B865" s="81"/>
      <c r="C865" s="211" t="s">
        <v>656</v>
      </c>
      <c r="D865" s="85"/>
      <c r="E865" s="85"/>
      <c r="F865" s="85"/>
      <c r="G865" s="85"/>
      <c r="H865" s="85"/>
      <c r="I865" s="85"/>
      <c r="J865" s="85"/>
      <c r="K865" s="87"/>
    </row>
    <row r="866" spans="2:11" x14ac:dyDescent="0.2">
      <c r="B866" s="81"/>
      <c r="C866" s="85" t="s">
        <v>380</v>
      </c>
      <c r="D866" s="85"/>
      <c r="E866" s="85"/>
      <c r="F866" s="85"/>
      <c r="G866" s="406" t="s">
        <v>234</v>
      </c>
      <c r="H866" s="407"/>
      <c r="I866" s="85"/>
      <c r="J866" s="83">
        <f>IF(G866=$B$998,$A$998,IF(G866=$B$999,$A$999,IF(G866=$B$1000,$A$1000,IF(G866=$B$1001,$A$1001,IF(G866=$B$1002,$A$1002,"Not Calculated")))))</f>
        <v>4</v>
      </c>
      <c r="K866" s="87"/>
    </row>
    <row r="867" spans="2:11" x14ac:dyDescent="0.2">
      <c r="B867" s="81"/>
      <c r="C867" s="85" t="s">
        <v>134</v>
      </c>
      <c r="D867" s="85"/>
      <c r="E867" s="85"/>
      <c r="F867" s="85"/>
      <c r="G867" s="85"/>
      <c r="H867" s="85"/>
      <c r="I867" s="85"/>
      <c r="J867" s="240">
        <f>'Baseline PHP'!J136</f>
        <v>0</v>
      </c>
      <c r="K867" s="87"/>
    </row>
    <row r="868" spans="2:11" x14ac:dyDescent="0.2">
      <c r="B868" s="81"/>
      <c r="C868" s="85"/>
      <c r="D868" s="85"/>
      <c r="E868" s="85"/>
      <c r="F868" s="85"/>
      <c r="G868" s="85"/>
      <c r="H868" s="85"/>
      <c r="I868" s="85"/>
      <c r="J868" s="85"/>
      <c r="K868" s="87"/>
    </row>
    <row r="869" spans="2:11" ht="16" x14ac:dyDescent="0.2">
      <c r="B869" s="81"/>
      <c r="C869" s="211" t="s">
        <v>121</v>
      </c>
      <c r="D869" s="85"/>
      <c r="E869" s="85"/>
      <c r="F869" s="85"/>
      <c r="G869" s="85"/>
      <c r="H869" s="85"/>
      <c r="I869" s="85"/>
      <c r="J869" s="85"/>
      <c r="K869" s="87"/>
    </row>
    <row r="870" spans="2:11" x14ac:dyDescent="0.2">
      <c r="B870" s="81"/>
      <c r="C870" s="85" t="s">
        <v>380</v>
      </c>
      <c r="D870" s="85"/>
      <c r="E870" s="85"/>
      <c r="F870" s="85"/>
      <c r="G870" s="406" t="s">
        <v>238</v>
      </c>
      <c r="H870" s="407"/>
      <c r="I870" s="85"/>
      <c r="J870" s="83">
        <f>IF(G870=$B$998,$A$998,IF(G870=$B$999,$A$999,IF(G870=$B$1000,$A$1000,IF(G870=$B$1001,$A$1001,IF(G870=$B$1002,$A$1002,"Not Calculated")))))</f>
        <v>3</v>
      </c>
      <c r="K870" s="87"/>
    </row>
    <row r="871" spans="2:11" x14ac:dyDescent="0.2">
      <c r="B871" s="81"/>
      <c r="C871" s="85" t="s">
        <v>134</v>
      </c>
      <c r="D871" s="85"/>
      <c r="E871" s="85"/>
      <c r="F871" s="85"/>
      <c r="G871" s="85"/>
      <c r="H871" s="85"/>
      <c r="I871" s="85"/>
      <c r="J871" s="240">
        <f>'Baseline PHP'!J150</f>
        <v>0</v>
      </c>
      <c r="K871" s="87"/>
    </row>
    <row r="872" spans="2:11" x14ac:dyDescent="0.2">
      <c r="B872" s="81"/>
      <c r="C872" s="85"/>
      <c r="D872" s="85"/>
      <c r="E872" s="85"/>
      <c r="F872" s="85"/>
      <c r="G872" s="85"/>
      <c r="H872" s="85"/>
      <c r="I872" s="85"/>
      <c r="J872" s="85"/>
      <c r="K872" s="87"/>
    </row>
    <row r="873" spans="2:11" ht="16" x14ac:dyDescent="0.2">
      <c r="B873" s="81"/>
      <c r="C873" s="211" t="s">
        <v>657</v>
      </c>
      <c r="D873" s="85"/>
      <c r="E873" s="85"/>
      <c r="F873" s="85"/>
      <c r="G873" s="85"/>
      <c r="H873" s="85"/>
      <c r="I873" s="85"/>
      <c r="J873" s="85"/>
      <c r="K873" s="87"/>
    </row>
    <row r="874" spans="2:11" x14ac:dyDescent="0.2">
      <c r="B874" s="81"/>
      <c r="C874" s="85" t="s">
        <v>380</v>
      </c>
      <c r="D874" s="85"/>
      <c r="E874" s="85"/>
      <c r="F874" s="85"/>
      <c r="G874" s="406" t="s">
        <v>236</v>
      </c>
      <c r="H874" s="407"/>
      <c r="I874" s="85"/>
      <c r="J874" s="83">
        <f>IF(G874=$B$998,$A$998,IF(G874=$B$999,$A$999,IF(G874=$B$1000,$A$1000,IF(G874=$B$1001,$A$1001,IF(G874=$B$1002,$A$1002,"Not Calculated")))))</f>
        <v>0</v>
      </c>
      <c r="K874" s="87"/>
    </row>
    <row r="875" spans="2:11" x14ac:dyDescent="0.2">
      <c r="B875" s="81"/>
      <c r="C875" s="85" t="s">
        <v>134</v>
      </c>
      <c r="D875" s="85"/>
      <c r="E875" s="85"/>
      <c r="F875" s="85"/>
      <c r="G875" s="85"/>
      <c r="H875" s="85"/>
      <c r="I875" s="85"/>
      <c r="J875" s="240">
        <f>'Baseline PHP'!J164</f>
        <v>0</v>
      </c>
      <c r="K875" s="87"/>
    </row>
    <row r="876" spans="2:11" x14ac:dyDescent="0.2">
      <c r="B876" s="81"/>
      <c r="C876" s="85"/>
      <c r="D876" s="85"/>
      <c r="E876" s="85"/>
      <c r="F876" s="85"/>
      <c r="G876" s="85"/>
      <c r="H876" s="85"/>
      <c r="I876" s="85"/>
      <c r="J876" s="85"/>
      <c r="K876" s="87"/>
    </row>
    <row r="877" spans="2:11" ht="16" x14ac:dyDescent="0.2">
      <c r="B877" s="81"/>
      <c r="C877" s="211" t="s">
        <v>650</v>
      </c>
      <c r="D877" s="85"/>
      <c r="E877" s="85"/>
      <c r="F877" s="85"/>
      <c r="G877" s="85"/>
      <c r="H877" s="85"/>
      <c r="I877" s="85"/>
      <c r="J877" s="85"/>
      <c r="K877" s="87"/>
    </row>
    <row r="878" spans="2:11" x14ac:dyDescent="0.2">
      <c r="B878" s="81"/>
      <c r="C878" s="85" t="s">
        <v>380</v>
      </c>
      <c r="D878" s="85"/>
      <c r="E878" s="85"/>
      <c r="F878" s="85"/>
      <c r="G878" s="406" t="s">
        <v>237</v>
      </c>
      <c r="H878" s="407"/>
      <c r="I878" s="85"/>
      <c r="J878" s="83">
        <f>IF(G878=$B$998,$A$998,IF(G878=$B$999,$A$999,IF(G878=$B$1000,$A$1000,IF(G878=$B$1001,$A$1001,IF(G878=$B$1002,$A$1002,"Not Calculated")))))</f>
        <v>1</v>
      </c>
      <c r="K878" s="87"/>
    </row>
    <row r="879" spans="2:11" x14ac:dyDescent="0.2">
      <c r="B879" s="81"/>
      <c r="C879" s="85" t="s">
        <v>134</v>
      </c>
      <c r="D879" s="85"/>
      <c r="E879" s="85"/>
      <c r="F879" s="85"/>
      <c r="G879" s="85"/>
      <c r="H879" s="85"/>
      <c r="I879" s="85"/>
      <c r="J879" s="240">
        <f>'Baseline PHP'!J180</f>
        <v>0</v>
      </c>
      <c r="K879" s="87"/>
    </row>
    <row r="880" spans="2:11" x14ac:dyDescent="0.2">
      <c r="B880" s="81"/>
      <c r="C880" s="85"/>
      <c r="D880" s="85"/>
      <c r="E880" s="85"/>
      <c r="F880" s="85"/>
      <c r="G880" s="85"/>
      <c r="H880" s="85"/>
      <c r="I880" s="85"/>
      <c r="J880" s="85"/>
      <c r="K880" s="87"/>
    </row>
    <row r="881" spans="2:11" ht="16" x14ac:dyDescent="0.2">
      <c r="B881" s="81"/>
      <c r="C881" s="211" t="s">
        <v>651</v>
      </c>
      <c r="D881" s="85"/>
      <c r="E881" s="85"/>
      <c r="F881" s="85"/>
      <c r="G881" s="85"/>
      <c r="H881" s="85"/>
      <c r="I881" s="85"/>
      <c r="J881" s="85"/>
      <c r="K881" s="87"/>
    </row>
    <row r="882" spans="2:11" x14ac:dyDescent="0.2">
      <c r="B882" s="81"/>
      <c r="C882" s="85" t="s">
        <v>380</v>
      </c>
      <c r="D882" s="85"/>
      <c r="E882" s="85"/>
      <c r="F882" s="85"/>
      <c r="G882" s="406" t="s">
        <v>235</v>
      </c>
      <c r="H882" s="407"/>
      <c r="I882" s="85"/>
      <c r="J882" s="83">
        <f>IF(G882=$B$998,$A$998,IF(G882=$B$999,$A$999,IF(G882=$B$1000,$A$1000,IF(G882=$B$1001,$A$1001,IF(G882=$B$1002,$A$1002,"Not Calculated")))))</f>
        <v>2</v>
      </c>
      <c r="K882" s="87"/>
    </row>
    <row r="883" spans="2:11" x14ac:dyDescent="0.2">
      <c r="B883" s="81"/>
      <c r="C883" s="85" t="s">
        <v>134</v>
      </c>
      <c r="D883" s="85"/>
      <c r="E883" s="85"/>
      <c r="F883" s="85"/>
      <c r="G883" s="85"/>
      <c r="H883" s="85"/>
      <c r="I883" s="85"/>
      <c r="J883" s="240">
        <f>'Baseline PHP'!J194</f>
        <v>0</v>
      </c>
      <c r="K883" s="87"/>
    </row>
    <row r="884" spans="2:11" x14ac:dyDescent="0.2">
      <c r="B884" s="81"/>
      <c r="C884" s="85"/>
      <c r="D884" s="85"/>
      <c r="E884" s="85"/>
      <c r="F884" s="85"/>
      <c r="G884" s="85"/>
      <c r="H884" s="85"/>
      <c r="I884" s="85"/>
      <c r="J884" s="85"/>
      <c r="K884" s="87"/>
    </row>
    <row r="885" spans="2:11" ht="16" x14ac:dyDescent="0.2">
      <c r="B885" s="81"/>
      <c r="C885" s="211" t="s">
        <v>652</v>
      </c>
      <c r="D885" s="85"/>
      <c r="E885" s="85"/>
      <c r="F885" s="85"/>
      <c r="G885" s="85"/>
      <c r="H885" s="85"/>
      <c r="I885" s="85"/>
      <c r="J885" s="85"/>
      <c r="K885" s="87"/>
    </row>
    <row r="886" spans="2:11" x14ac:dyDescent="0.2">
      <c r="B886" s="81"/>
      <c r="C886" s="85" t="s">
        <v>380</v>
      </c>
      <c r="D886" s="85"/>
      <c r="E886" s="85"/>
      <c r="F886" s="85"/>
      <c r="G886" s="406" t="s">
        <v>238</v>
      </c>
      <c r="H886" s="407"/>
      <c r="I886" s="85"/>
      <c r="J886" s="83">
        <f>IF(G886=$B$998,$A$998,IF(G886=$B$999,$A$999,IF(G886=$B$1000,$A$1000,IF(G886=$B$1001,$A$1001,IF(G886=$B$1002,$A$1002,"Not Calculated")))))</f>
        <v>3</v>
      </c>
      <c r="K886" s="87"/>
    </row>
    <row r="887" spans="2:11" x14ac:dyDescent="0.2">
      <c r="B887" s="81"/>
      <c r="C887" s="85" t="s">
        <v>134</v>
      </c>
      <c r="D887" s="85"/>
      <c r="E887" s="85"/>
      <c r="F887" s="85"/>
      <c r="G887" s="85"/>
      <c r="H887" s="85"/>
      <c r="I887" s="85"/>
      <c r="J887" s="240">
        <f>'Baseline PHP'!J208</f>
        <v>0</v>
      </c>
      <c r="K887" s="87"/>
    </row>
    <row r="888" spans="2:11" x14ac:dyDescent="0.2">
      <c r="B888" s="81"/>
      <c r="C888" s="85"/>
      <c r="D888" s="85"/>
      <c r="E888" s="85"/>
      <c r="F888" s="85"/>
      <c r="G888" s="85"/>
      <c r="H888" s="85"/>
      <c r="I888" s="85"/>
      <c r="J888" s="85"/>
      <c r="K888" s="87"/>
    </row>
    <row r="889" spans="2:11" ht="16" x14ac:dyDescent="0.2">
      <c r="B889" s="81"/>
      <c r="C889" s="211" t="s">
        <v>653</v>
      </c>
      <c r="D889" s="85"/>
      <c r="E889" s="85"/>
      <c r="F889" s="85"/>
      <c r="G889" s="85"/>
      <c r="H889" s="85"/>
      <c r="I889" s="85"/>
      <c r="J889" s="85"/>
      <c r="K889" s="87"/>
    </row>
    <row r="890" spans="2:11" x14ac:dyDescent="0.2">
      <c r="B890" s="81"/>
      <c r="C890" s="85" t="s">
        <v>380</v>
      </c>
      <c r="D890" s="85"/>
      <c r="E890" s="85"/>
      <c r="F890" s="85"/>
      <c r="G890" s="406" t="s">
        <v>238</v>
      </c>
      <c r="H890" s="407"/>
      <c r="I890" s="85"/>
      <c r="J890" s="83">
        <f>IF(G890=$B$998,$A$998,IF(G890=$B$999,$A$999,IF(G890=$B$1000,$A$1000,IF(G890=$B$1001,$A$1001,IF(G890=$B$1002,$A$1002,"Not Calculated")))))</f>
        <v>3</v>
      </c>
      <c r="K890" s="87"/>
    </row>
    <row r="891" spans="2:11" x14ac:dyDescent="0.2">
      <c r="B891" s="81"/>
      <c r="C891" s="85" t="s">
        <v>134</v>
      </c>
      <c r="D891" s="85"/>
      <c r="E891" s="85"/>
      <c r="F891" s="85"/>
      <c r="G891" s="85"/>
      <c r="H891" s="85"/>
      <c r="I891" s="85"/>
      <c r="J891" s="240">
        <f>'Baseline PHP'!J222</f>
        <v>0</v>
      </c>
      <c r="K891" s="87"/>
    </row>
    <row r="892" spans="2:11" x14ac:dyDescent="0.2">
      <c r="B892" s="81"/>
      <c r="C892" s="85"/>
      <c r="D892" s="85"/>
      <c r="E892" s="85"/>
      <c r="F892" s="85"/>
      <c r="G892" s="85"/>
      <c r="H892" s="85"/>
      <c r="I892" s="85"/>
      <c r="J892" s="85"/>
      <c r="K892" s="87"/>
    </row>
    <row r="893" spans="2:11" x14ac:dyDescent="0.2">
      <c r="B893" s="81"/>
      <c r="C893" s="85"/>
      <c r="D893" s="85"/>
      <c r="E893" s="85"/>
      <c r="F893" s="85"/>
      <c r="G893" s="85"/>
      <c r="H893" s="85"/>
      <c r="I893" s="85"/>
      <c r="J893" s="85"/>
      <c r="K893" s="87"/>
    </row>
    <row r="894" spans="2:11" ht="16" x14ac:dyDescent="0.2">
      <c r="B894" s="81"/>
      <c r="C894" s="212" t="s">
        <v>813</v>
      </c>
      <c r="D894" s="85"/>
      <c r="E894" s="85"/>
      <c r="F894" s="85"/>
      <c r="G894" s="85"/>
      <c r="H894" s="85"/>
      <c r="I894" s="85"/>
      <c r="J894" s="241">
        <f>IF(OR(J854="Not Calculated",J858="Not Calculated",J862="Not Calculated",J866="Not Calculated",J870="Not Calculated",J874="Not Calculated",J878="Not Calculated",J882="Not Calculated",J886="Not Calculated",J890="Not Calculated",J834="Not Calculated",J838="Not Calculated",J842="Not Calculated",J846="Not Calculated",J850="Not Calculated",J855="Not Calculated",J859="Not Calculated",J863="Not Calculated",J867="Not Calculated",J871="Not Calculated",J875="Not Calculated",J879="Not Calculated",J883="Not Calculated",J887="Not Calculated",J891="Not Calculated",J835="Not Calculated",J839="Not Calculated",J843="Not Calculated",J847="Not Calculated",J851="Not Calculated")=TRUE,"Not Calculated",((J834*J835)+(J838*J839)+(J842*J843)+(J846*J847)+(J850*J851)+(J854*J855)+(J858*J859)+(J862*J863)+(J866*J867)+(J870*J871)+(J874*J875)+(J878*J879)+(J882*J883)+(J886*J887)+(J890*J891))/(J834+J838+J842+J846+J850+J854+J858+J862+J866+J870+J874+J878+J882+J886+J890))</f>
        <v>0</v>
      </c>
      <c r="K894" s="87"/>
    </row>
    <row r="895" spans="2:11" ht="16" thickBot="1" x14ac:dyDescent="0.25">
      <c r="B895" s="213"/>
      <c r="C895" s="94"/>
      <c r="D895" s="94"/>
      <c r="E895" s="94"/>
      <c r="F895" s="94"/>
      <c r="G895" s="94"/>
      <c r="H895" s="94"/>
      <c r="I895" s="94"/>
      <c r="J895" s="94"/>
      <c r="K895" s="96"/>
    </row>
    <row r="896" spans="2:11" ht="16" thickBot="1" x14ac:dyDescent="0.25"/>
    <row r="897" spans="2:11" x14ac:dyDescent="0.2">
      <c r="B897" s="77"/>
      <c r="C897" s="78"/>
      <c r="D897" s="78"/>
      <c r="E897" s="78"/>
      <c r="F897" s="78"/>
      <c r="G897" s="78"/>
      <c r="H897" s="78"/>
      <c r="I897" s="78"/>
      <c r="J897" s="78"/>
      <c r="K897" s="80"/>
    </row>
    <row r="898" spans="2:11" ht="21" x14ac:dyDescent="0.25">
      <c r="B898" s="81"/>
      <c r="C898" s="85"/>
      <c r="D898" s="85"/>
      <c r="E898" s="85"/>
      <c r="F898" s="85"/>
      <c r="G898" s="210" t="s">
        <v>807</v>
      </c>
      <c r="H898" s="85"/>
      <c r="I898" s="85"/>
      <c r="J898" s="85"/>
      <c r="K898" s="87"/>
    </row>
    <row r="899" spans="2:11" x14ac:dyDescent="0.2">
      <c r="B899" s="81"/>
      <c r="C899" s="85"/>
      <c r="D899" s="85"/>
      <c r="E899" s="85"/>
      <c r="F899" s="85"/>
      <c r="G899" s="85"/>
      <c r="H899" s="85"/>
      <c r="I899" s="85"/>
      <c r="J899" s="85"/>
      <c r="K899" s="87"/>
    </row>
    <row r="900" spans="2:11" ht="15" customHeight="1" x14ac:dyDescent="0.2">
      <c r="B900" s="81"/>
      <c r="C900" s="424" t="s">
        <v>809</v>
      </c>
      <c r="D900" s="424"/>
      <c r="E900" s="424"/>
      <c r="F900" s="424"/>
      <c r="G900" s="424"/>
      <c r="H900" s="424"/>
      <c r="I900" s="424"/>
      <c r="J900" s="424"/>
      <c r="K900" s="87"/>
    </row>
    <row r="901" spans="2:11" x14ac:dyDescent="0.2">
      <c r="B901" s="81"/>
      <c r="C901" s="424"/>
      <c r="D901" s="424"/>
      <c r="E901" s="424"/>
      <c r="F901" s="424"/>
      <c r="G901" s="424"/>
      <c r="H901" s="424"/>
      <c r="I901" s="424"/>
      <c r="J901" s="424"/>
      <c r="K901" s="87"/>
    </row>
    <row r="902" spans="2:11" x14ac:dyDescent="0.2">
      <c r="B902" s="81"/>
      <c r="C902" s="85"/>
      <c r="D902" s="85"/>
      <c r="E902" s="85"/>
      <c r="F902" s="85"/>
      <c r="G902" s="85"/>
      <c r="H902" s="85"/>
      <c r="I902" s="85"/>
      <c r="J902" s="85"/>
      <c r="K902" s="87"/>
    </row>
    <row r="903" spans="2:11" ht="16" x14ac:dyDescent="0.2">
      <c r="B903" s="81"/>
      <c r="C903" s="211" t="s">
        <v>810</v>
      </c>
      <c r="D903" s="85"/>
      <c r="E903" s="85"/>
      <c r="F903" s="85"/>
      <c r="G903" s="85"/>
      <c r="H903" s="85"/>
      <c r="I903" s="85"/>
      <c r="J903" s="85"/>
      <c r="K903" s="87"/>
    </row>
    <row r="904" spans="2:11" x14ac:dyDescent="0.2">
      <c r="B904" s="81"/>
      <c r="C904" s="85" t="s">
        <v>380</v>
      </c>
      <c r="D904" s="85"/>
      <c r="E904" s="85"/>
      <c r="F904" s="85"/>
      <c r="G904" s="406" t="s">
        <v>234</v>
      </c>
      <c r="H904" s="407"/>
      <c r="I904" s="85"/>
      <c r="J904" s="83">
        <f>IF(G904=$B$998,$A$998,IF(G904=$B$999,$A$999,IF(G904=$B$1000,$A$1000,IF(G904=$B$1001,$A$1001,IF(G904=$B$1002,$A$1002,"Not Calculated")))))</f>
        <v>4</v>
      </c>
      <c r="K904" s="87"/>
    </row>
    <row r="905" spans="2:11" x14ac:dyDescent="0.2">
      <c r="B905" s="81"/>
      <c r="C905" s="85" t="s">
        <v>134</v>
      </c>
      <c r="D905" s="85"/>
      <c r="E905" s="85"/>
      <c r="F905" s="85"/>
      <c r="G905" s="85"/>
      <c r="H905" s="85"/>
      <c r="I905" s="85"/>
      <c r="J905" s="240">
        <f>'Baseline HP'!J22</f>
        <v>0</v>
      </c>
      <c r="K905" s="87"/>
    </row>
    <row r="906" spans="2:11" x14ac:dyDescent="0.2">
      <c r="B906" s="81"/>
      <c r="C906" s="85"/>
      <c r="D906" s="85"/>
      <c r="E906" s="85"/>
      <c r="F906" s="85"/>
      <c r="G906" s="85"/>
      <c r="H906" s="85"/>
      <c r="I906" s="85"/>
      <c r="J906" s="85"/>
      <c r="K906" s="87"/>
    </row>
    <row r="907" spans="2:11" ht="16" x14ac:dyDescent="0.2">
      <c r="B907" s="81"/>
      <c r="C907" s="211" t="s">
        <v>811</v>
      </c>
      <c r="D907" s="85"/>
      <c r="E907" s="85"/>
      <c r="F907" s="85"/>
      <c r="G907" s="85"/>
      <c r="H907" s="85"/>
      <c r="I907" s="85"/>
      <c r="J907" s="85"/>
      <c r="K907" s="87"/>
    </row>
    <row r="908" spans="2:11" x14ac:dyDescent="0.2">
      <c r="B908" s="81"/>
      <c r="C908" s="85" t="s">
        <v>380</v>
      </c>
      <c r="D908" s="85"/>
      <c r="E908" s="85"/>
      <c r="F908" s="85"/>
      <c r="G908" s="406" t="s">
        <v>234</v>
      </c>
      <c r="H908" s="407"/>
      <c r="I908" s="85"/>
      <c r="J908" s="83">
        <f>IF(G908=$B$998,$A$998,IF(G908=$B$999,$A$999,IF(G908=$B$1000,$A$1000,IF(G908=$B$1001,$A$1001,IF(G908=$B$1002,$A$1002,"Not Calculated")))))</f>
        <v>4</v>
      </c>
      <c r="K908" s="87"/>
    </row>
    <row r="909" spans="2:11" x14ac:dyDescent="0.2">
      <c r="B909" s="81"/>
      <c r="C909" s="85" t="s">
        <v>134</v>
      </c>
      <c r="D909" s="85"/>
      <c r="E909" s="85"/>
      <c r="F909" s="85"/>
      <c r="G909" s="85"/>
      <c r="H909" s="85"/>
      <c r="I909" s="85"/>
      <c r="J909" s="240">
        <f>'Baseline HP'!J32</f>
        <v>0</v>
      </c>
      <c r="K909" s="87"/>
    </row>
    <row r="910" spans="2:11" x14ac:dyDescent="0.2">
      <c r="B910" s="81"/>
      <c r="C910" s="85"/>
      <c r="D910" s="85"/>
      <c r="E910" s="85"/>
      <c r="F910" s="85"/>
      <c r="G910" s="85"/>
      <c r="H910" s="85"/>
      <c r="I910" s="85"/>
      <c r="J910" s="85"/>
      <c r="K910" s="87"/>
    </row>
    <row r="911" spans="2:11" ht="16" x14ac:dyDescent="0.2">
      <c r="B911" s="81"/>
      <c r="C911" s="211" t="s">
        <v>645</v>
      </c>
      <c r="D911" s="85"/>
      <c r="E911" s="85"/>
      <c r="F911" s="85"/>
      <c r="G911" s="85"/>
      <c r="H911" s="85"/>
      <c r="I911" s="85"/>
      <c r="J911" s="85"/>
      <c r="K911" s="87"/>
    </row>
    <row r="912" spans="2:11" x14ac:dyDescent="0.2">
      <c r="B912" s="81"/>
      <c r="C912" s="85" t="s">
        <v>380</v>
      </c>
      <c r="D912" s="85"/>
      <c r="E912" s="85"/>
      <c r="F912" s="85"/>
      <c r="G912" s="406" t="s">
        <v>234</v>
      </c>
      <c r="H912" s="407"/>
      <c r="I912" s="85"/>
      <c r="J912" s="83">
        <f>IF(G912=$B$998,$A$998,IF(G912=$B$999,$A$999,IF(G912=$B$1000,$A$1000,IF(G912=$B$1001,$A$1001,IF(G912=$B$1002,$A$1002,"Not Calculated")))))</f>
        <v>4</v>
      </c>
      <c r="K912" s="87"/>
    </row>
    <row r="913" spans="2:11" x14ac:dyDescent="0.2">
      <c r="B913" s="81"/>
      <c r="C913" s="85" t="s">
        <v>134</v>
      </c>
      <c r="D913" s="85"/>
      <c r="E913" s="85"/>
      <c r="F913" s="85"/>
      <c r="G913" s="85"/>
      <c r="H913" s="85"/>
      <c r="I913" s="85"/>
      <c r="J913" s="240">
        <f>'Baseline HP'!J46</f>
        <v>0</v>
      </c>
      <c r="K913" s="87"/>
    </row>
    <row r="914" spans="2:11" x14ac:dyDescent="0.2">
      <c r="B914" s="81"/>
      <c r="C914" s="85"/>
      <c r="D914" s="85"/>
      <c r="E914" s="85"/>
      <c r="F914" s="85"/>
      <c r="G914" s="85"/>
      <c r="H914" s="85"/>
      <c r="I914" s="85"/>
      <c r="J914" s="85"/>
      <c r="K914" s="87"/>
    </row>
    <row r="915" spans="2:11" ht="16" x14ac:dyDescent="0.2">
      <c r="B915" s="81"/>
      <c r="C915" s="211" t="s">
        <v>648</v>
      </c>
      <c r="D915" s="85"/>
      <c r="E915" s="85"/>
      <c r="F915" s="85"/>
      <c r="G915" s="85"/>
      <c r="H915" s="85"/>
      <c r="I915" s="85"/>
      <c r="J915" s="85"/>
      <c r="K915" s="87"/>
    </row>
    <row r="916" spans="2:11" ht="15" customHeight="1" x14ac:dyDescent="0.2">
      <c r="B916" s="81"/>
      <c r="C916" s="85" t="s">
        <v>380</v>
      </c>
      <c r="D916" s="85"/>
      <c r="E916" s="85"/>
      <c r="F916" s="85"/>
      <c r="G916" s="406" t="s">
        <v>235</v>
      </c>
      <c r="H916" s="407"/>
      <c r="I916" s="85"/>
      <c r="J916" s="83">
        <f>IF(G916=$B$998,$A$998,IF(G916=$B$999,$A$999,IF(G916=$B$1000,$A$1000,IF(G916=$B$1001,$A$1001,IF(G916=$B$1002,$A$1002,"Not Calculated")))))</f>
        <v>2</v>
      </c>
      <c r="K916" s="87"/>
    </row>
    <row r="917" spans="2:11" x14ac:dyDescent="0.2">
      <c r="B917" s="81"/>
      <c r="C917" s="85" t="s">
        <v>134</v>
      </c>
      <c r="D917" s="85"/>
      <c r="E917" s="85"/>
      <c r="F917" s="85"/>
      <c r="G917" s="85"/>
      <c r="H917" s="85"/>
      <c r="I917" s="85"/>
      <c r="J917" s="240">
        <f>'Baseline HP'!J58</f>
        <v>0</v>
      </c>
      <c r="K917" s="87"/>
    </row>
    <row r="918" spans="2:11" x14ac:dyDescent="0.2">
      <c r="B918" s="81"/>
      <c r="C918" s="85"/>
      <c r="D918" s="85"/>
      <c r="E918" s="85"/>
      <c r="F918" s="85"/>
      <c r="G918" s="85"/>
      <c r="H918" s="85"/>
      <c r="I918" s="85"/>
      <c r="J918" s="85"/>
      <c r="K918" s="87"/>
    </row>
    <row r="919" spans="2:11" ht="16" x14ac:dyDescent="0.2">
      <c r="B919" s="81"/>
      <c r="C919" s="211" t="s">
        <v>647</v>
      </c>
      <c r="D919" s="85"/>
      <c r="E919" s="85"/>
      <c r="F919" s="85"/>
      <c r="G919" s="85"/>
      <c r="H919" s="85"/>
      <c r="I919" s="85"/>
      <c r="J919" s="85"/>
      <c r="K919" s="87"/>
    </row>
    <row r="920" spans="2:11" x14ac:dyDescent="0.2">
      <c r="B920" s="81"/>
      <c r="C920" s="85" t="s">
        <v>380</v>
      </c>
      <c r="D920" s="85"/>
      <c r="E920" s="85"/>
      <c r="F920" s="85"/>
      <c r="G920" s="406" t="s">
        <v>234</v>
      </c>
      <c r="H920" s="407"/>
      <c r="I920" s="85"/>
      <c r="J920" s="83">
        <f>IF(G920=$B$998,$A$998,IF(G920=$B$999,$A$999,IF(G920=$B$1000,$A$1000,IF(G920=$B$1001,$A$1001,IF(G920=$B$1002,$A$1002,"Not Calculated")))))</f>
        <v>4</v>
      </c>
      <c r="K920" s="87"/>
    </row>
    <row r="921" spans="2:11" x14ac:dyDescent="0.2">
      <c r="B921" s="81"/>
      <c r="C921" s="85" t="s">
        <v>134</v>
      </c>
      <c r="D921" s="85"/>
      <c r="E921" s="85"/>
      <c r="F921" s="85"/>
      <c r="G921" s="85"/>
      <c r="H921" s="85"/>
      <c r="I921" s="85"/>
      <c r="J921" s="240">
        <f>'Baseline HP'!J68</f>
        <v>0</v>
      </c>
      <c r="K921" s="87"/>
    </row>
    <row r="922" spans="2:11" x14ac:dyDescent="0.2">
      <c r="B922" s="81"/>
      <c r="C922" s="85"/>
      <c r="D922" s="85"/>
      <c r="E922" s="85"/>
      <c r="F922" s="85"/>
      <c r="G922" s="85"/>
      <c r="H922" s="85"/>
      <c r="I922" s="85"/>
      <c r="J922" s="85"/>
      <c r="K922" s="87"/>
    </row>
    <row r="923" spans="2:11" ht="16" x14ac:dyDescent="0.2">
      <c r="B923" s="81"/>
      <c r="C923" s="211" t="s">
        <v>121</v>
      </c>
      <c r="D923" s="85"/>
      <c r="E923" s="85"/>
      <c r="F923" s="85"/>
      <c r="G923" s="85"/>
      <c r="H923" s="85"/>
      <c r="I923" s="85"/>
      <c r="J923" s="85"/>
      <c r="K923" s="87"/>
    </row>
    <row r="924" spans="2:11" x14ac:dyDescent="0.2">
      <c r="B924" s="81"/>
      <c r="C924" s="85" t="s">
        <v>380</v>
      </c>
      <c r="D924" s="85"/>
      <c r="E924" s="85"/>
      <c r="F924" s="85"/>
      <c r="G924" s="406" t="s">
        <v>238</v>
      </c>
      <c r="H924" s="407"/>
      <c r="I924" s="85"/>
      <c r="J924" s="83">
        <f>IF(G924=$B$998,$A$998,IF(G924=$B$999,$A$999,IF(G924=$B$1000,$A$1000,IF(G924=$B$1001,$A$1001,IF(G924=$B$1002,$A$1002,"Not Calculated")))))</f>
        <v>3</v>
      </c>
      <c r="K924" s="87"/>
    </row>
    <row r="925" spans="2:11" x14ac:dyDescent="0.2">
      <c r="B925" s="81"/>
      <c r="C925" s="85" t="s">
        <v>134</v>
      </c>
      <c r="D925" s="85"/>
      <c r="E925" s="85"/>
      <c r="F925" s="85"/>
      <c r="G925" s="85"/>
      <c r="H925" s="85"/>
      <c r="I925" s="85"/>
      <c r="J925" s="240">
        <f>'Baseline HP'!J84</f>
        <v>0</v>
      </c>
      <c r="K925" s="87"/>
    </row>
    <row r="926" spans="2:11" x14ac:dyDescent="0.2">
      <c r="B926" s="81"/>
      <c r="C926" s="85"/>
      <c r="D926" s="85"/>
      <c r="E926" s="85"/>
      <c r="F926" s="85"/>
      <c r="G926" s="85"/>
      <c r="H926" s="85"/>
      <c r="I926" s="85"/>
      <c r="J926" s="85"/>
      <c r="K926" s="87"/>
    </row>
    <row r="927" spans="2:11" ht="16" x14ac:dyDescent="0.2">
      <c r="B927" s="81"/>
      <c r="C927" s="211" t="s">
        <v>652</v>
      </c>
      <c r="D927" s="85"/>
      <c r="E927" s="85"/>
      <c r="F927" s="85"/>
      <c r="G927" s="85"/>
      <c r="H927" s="85"/>
      <c r="I927" s="85"/>
      <c r="J927" s="85"/>
      <c r="K927" s="87"/>
    </row>
    <row r="928" spans="2:11" x14ac:dyDescent="0.2">
      <c r="B928" s="81"/>
      <c r="C928" s="85" t="s">
        <v>380</v>
      </c>
      <c r="D928" s="85"/>
      <c r="E928" s="85"/>
      <c r="F928" s="85"/>
      <c r="G928" s="406" t="s">
        <v>238</v>
      </c>
      <c r="H928" s="407"/>
      <c r="I928" s="85"/>
      <c r="J928" s="83">
        <f>IF(G928=$B$998,$A$998,IF(G928=$B$999,$A$999,IF(G928=$B$1000,$A$1000,IF(G928=$B$1001,$A$1001,IF(G928=$B$1002,$A$1002,"Not Calculated")))))</f>
        <v>3</v>
      </c>
      <c r="K928" s="87"/>
    </row>
    <row r="929" spans="2:11" x14ac:dyDescent="0.2">
      <c r="B929" s="81"/>
      <c r="C929" s="85" t="s">
        <v>134</v>
      </c>
      <c r="D929" s="85"/>
      <c r="E929" s="85"/>
      <c r="F929" s="85"/>
      <c r="G929" s="85"/>
      <c r="H929" s="85"/>
      <c r="I929" s="85"/>
      <c r="J929" s="240">
        <f>'Baseline HP'!J94</f>
        <v>0</v>
      </c>
      <c r="K929" s="87"/>
    </row>
    <row r="930" spans="2:11" x14ac:dyDescent="0.2">
      <c r="B930" s="81"/>
      <c r="C930" s="85"/>
      <c r="D930" s="85"/>
      <c r="E930" s="85"/>
      <c r="F930" s="85"/>
      <c r="G930" s="85"/>
      <c r="H930" s="85"/>
      <c r="I930" s="85"/>
      <c r="J930" s="85"/>
      <c r="K930" s="87"/>
    </row>
    <row r="931" spans="2:11" ht="16" x14ac:dyDescent="0.2">
      <c r="B931" s="81"/>
      <c r="C931" s="211" t="s">
        <v>653</v>
      </c>
      <c r="D931" s="85"/>
      <c r="E931" s="85"/>
      <c r="F931" s="85"/>
      <c r="G931" s="85"/>
      <c r="H931" s="85"/>
      <c r="I931" s="85"/>
      <c r="J931" s="85"/>
      <c r="K931" s="87"/>
    </row>
    <row r="932" spans="2:11" x14ac:dyDescent="0.2">
      <c r="B932" s="81"/>
      <c r="C932" s="85" t="s">
        <v>380</v>
      </c>
      <c r="D932" s="85"/>
      <c r="E932" s="85"/>
      <c r="F932" s="85"/>
      <c r="G932" s="406" t="s">
        <v>238</v>
      </c>
      <c r="H932" s="407"/>
      <c r="I932" s="85"/>
      <c r="J932" s="83">
        <f>IF(G932=$B$998,$A$998,IF(G932=$B$999,$A$999,IF(G932=$B$1000,$A$1000,IF(G932=$B$1001,$A$1001,IF(G932=$B$1002,$A$1002,"Not Calculated")))))</f>
        <v>3</v>
      </c>
      <c r="K932" s="87"/>
    </row>
    <row r="933" spans="2:11" x14ac:dyDescent="0.2">
      <c r="B933" s="81"/>
      <c r="C933" s="85" t="s">
        <v>134</v>
      </c>
      <c r="D933" s="85"/>
      <c r="E933" s="85"/>
      <c r="F933" s="85"/>
      <c r="G933" s="85"/>
      <c r="H933" s="85"/>
      <c r="I933" s="85"/>
      <c r="J933" s="240">
        <f>'Baseline HP'!J108</f>
        <v>0</v>
      </c>
      <c r="K933" s="87"/>
    </row>
    <row r="934" spans="2:11" x14ac:dyDescent="0.2">
      <c r="B934" s="81"/>
      <c r="C934" s="85"/>
      <c r="D934" s="85"/>
      <c r="E934" s="85"/>
      <c r="F934" s="85"/>
      <c r="G934" s="85"/>
      <c r="H934" s="85"/>
      <c r="I934" s="85"/>
      <c r="J934" s="85"/>
      <c r="K934" s="87"/>
    </row>
    <row r="935" spans="2:11" x14ac:dyDescent="0.2">
      <c r="B935" s="81"/>
      <c r="C935" s="85"/>
      <c r="D935" s="85"/>
      <c r="E935" s="85"/>
      <c r="F935" s="85"/>
      <c r="G935" s="85"/>
      <c r="H935" s="85"/>
      <c r="I935" s="85"/>
      <c r="J935" s="85"/>
      <c r="K935" s="87"/>
    </row>
    <row r="936" spans="2:11" ht="16" x14ac:dyDescent="0.2">
      <c r="B936" s="81"/>
      <c r="C936" s="212" t="s">
        <v>812</v>
      </c>
      <c r="D936" s="85"/>
      <c r="E936" s="85"/>
      <c r="F936" s="85"/>
      <c r="G936" s="85"/>
      <c r="H936" s="85"/>
      <c r="I936" s="85"/>
      <c r="J936" s="241">
        <f>IF(OR(J920="Not Calculated",J924="Not Calculated",J928="Not Calculated",J932="Not Calculated",J904="Not Calculated",J908="Not Calculated",J912="Not Calculated",J916="Not Calculated",J921="Not Calculated",J925="Not Calculated",J929="Not Calculated",J933="Not Calculated",J905="Not Calculated",J909="Not Calculated",J913="Not Calculated",J917="Not Calculated")=TRUE,"Not Calculated",((J904*J905)+(J908*J909)+(J912*J913)+(J916*J917)+(J920*J921)+(J924*J925)+(J928*J929)+(J932*J933))/(J904+J908+J912+J916+J920+J924+J928+J932))</f>
        <v>0</v>
      </c>
      <c r="K936" s="87"/>
    </row>
    <row r="937" spans="2:11" ht="16" thickBot="1" x14ac:dyDescent="0.25">
      <c r="B937" s="213"/>
      <c r="C937" s="94"/>
      <c r="D937" s="94"/>
      <c r="E937" s="94"/>
      <c r="F937" s="94"/>
      <c r="G937" s="94"/>
      <c r="H937" s="94"/>
      <c r="I937" s="94"/>
      <c r="J937" s="94"/>
      <c r="K937" s="96"/>
    </row>
    <row r="938" spans="2:11" ht="16" thickBot="1" x14ac:dyDescent="0.25"/>
    <row r="939" spans="2:11" x14ac:dyDescent="0.2">
      <c r="B939" s="77"/>
      <c r="C939" s="78"/>
      <c r="D939" s="78"/>
      <c r="E939" s="78"/>
      <c r="F939" s="78"/>
      <c r="G939" s="78"/>
      <c r="H939" s="78"/>
      <c r="I939" s="78"/>
      <c r="J939" s="78"/>
      <c r="K939" s="80"/>
    </row>
    <row r="940" spans="2:11" ht="21" x14ac:dyDescent="0.25">
      <c r="B940" s="81"/>
      <c r="C940" s="85"/>
      <c r="D940" s="85"/>
      <c r="E940" s="85"/>
      <c r="F940" s="85"/>
      <c r="G940" s="210" t="s">
        <v>815</v>
      </c>
      <c r="H940" s="85"/>
      <c r="I940" s="85"/>
      <c r="J940" s="85"/>
      <c r="K940" s="87"/>
    </row>
    <row r="941" spans="2:11" ht="21" x14ac:dyDescent="0.25">
      <c r="B941" s="81"/>
      <c r="C941" s="85"/>
      <c r="D941" s="85"/>
      <c r="E941" s="85"/>
      <c r="F941" s="85"/>
      <c r="G941" s="210"/>
      <c r="H941" s="85"/>
      <c r="I941" s="85"/>
      <c r="J941" s="85"/>
      <c r="K941" s="87"/>
    </row>
    <row r="942" spans="2:11" ht="16" x14ac:dyDescent="0.2">
      <c r="B942" s="81"/>
      <c r="C942" s="212" t="s">
        <v>995</v>
      </c>
      <c r="D942" s="85"/>
      <c r="E942" s="85"/>
      <c r="F942" s="85"/>
      <c r="G942" s="85"/>
      <c r="H942" s="85"/>
      <c r="I942" s="85"/>
      <c r="J942" s="241">
        <f>IF(OR(J936="Not Calculated",J894="Not Calculated")=TRUE,"Not Calculated",AVERAGE(J936,J894))</f>
        <v>0</v>
      </c>
      <c r="K942" s="87"/>
    </row>
    <row r="943" spans="2:11" ht="16" x14ac:dyDescent="0.2">
      <c r="B943" s="81"/>
      <c r="C943" s="212"/>
      <c r="D943" s="85" t="s">
        <v>814</v>
      </c>
      <c r="E943" s="85"/>
      <c r="F943" s="85"/>
      <c r="G943" s="85"/>
      <c r="H943" s="85"/>
      <c r="I943" s="85"/>
      <c r="J943" s="241"/>
      <c r="K943" s="87"/>
    </row>
    <row r="944" spans="2:11" ht="17" thickBot="1" x14ac:dyDescent="0.25">
      <c r="B944" s="213"/>
      <c r="C944" s="227"/>
      <c r="D944" s="94"/>
      <c r="E944" s="94"/>
      <c r="F944" s="94"/>
      <c r="G944" s="94"/>
      <c r="H944" s="94"/>
      <c r="I944" s="94"/>
      <c r="J944" s="228"/>
      <c r="K944" s="96"/>
    </row>
    <row r="945" spans="2:11" ht="16" thickBot="1" x14ac:dyDescent="0.25"/>
    <row r="946" spans="2:11" x14ac:dyDescent="0.2">
      <c r="B946" s="214"/>
      <c r="C946" s="215"/>
      <c r="D946" s="215"/>
      <c r="E946" s="215"/>
      <c r="F946" s="215"/>
      <c r="G946" s="215"/>
      <c r="H946" s="215"/>
      <c r="I946" s="215"/>
      <c r="J946" s="215"/>
      <c r="K946" s="216"/>
    </row>
    <row r="947" spans="2:11" ht="21" x14ac:dyDescent="0.25">
      <c r="B947" s="217"/>
      <c r="C947" s="218"/>
      <c r="D947" s="218"/>
      <c r="E947" s="218"/>
      <c r="F947" s="218"/>
      <c r="G947" s="219" t="s">
        <v>239</v>
      </c>
      <c r="H947" s="218"/>
      <c r="I947" s="218"/>
      <c r="J947" s="218"/>
      <c r="K947" s="220"/>
    </row>
    <row r="948" spans="2:11" x14ac:dyDescent="0.2">
      <c r="B948" s="217"/>
      <c r="C948" s="218"/>
      <c r="D948" s="218"/>
      <c r="E948" s="218"/>
      <c r="F948" s="218"/>
      <c r="G948" s="218"/>
      <c r="H948" s="218"/>
      <c r="I948" s="218"/>
      <c r="J948" s="218"/>
      <c r="K948" s="220"/>
    </row>
    <row r="949" spans="2:11" ht="16" x14ac:dyDescent="0.2">
      <c r="B949" s="217"/>
      <c r="C949" s="221" t="s">
        <v>393</v>
      </c>
      <c r="D949" s="218"/>
      <c r="E949" s="218"/>
      <c r="F949" s="218"/>
      <c r="G949" s="218"/>
      <c r="H949" s="218"/>
      <c r="I949" s="218"/>
      <c r="J949" s="242" t="str">
        <f>IF(OR(J817="Not Calculated",J942="Not Calculated")=TRUE,"Not Calculated",J817/J942)</f>
        <v>Not Calculated</v>
      </c>
      <c r="K949" s="220"/>
    </row>
    <row r="950" spans="2:11" x14ac:dyDescent="0.2">
      <c r="B950" s="217"/>
      <c r="C950" s="218"/>
      <c r="D950" s="218" t="s">
        <v>816</v>
      </c>
      <c r="E950" s="218"/>
      <c r="F950" s="218"/>
      <c r="G950" s="218"/>
      <c r="H950" s="218"/>
      <c r="I950" s="218"/>
      <c r="J950" s="218"/>
      <c r="K950" s="220"/>
    </row>
    <row r="951" spans="2:11" x14ac:dyDescent="0.2">
      <c r="B951" s="217"/>
      <c r="C951" s="218"/>
      <c r="D951" s="218"/>
      <c r="E951" s="218"/>
      <c r="F951" s="218"/>
      <c r="G951" s="218"/>
      <c r="H951" s="218"/>
      <c r="I951" s="218"/>
      <c r="J951" s="218"/>
      <c r="K951" s="220"/>
    </row>
    <row r="952" spans="2:11" ht="16" x14ac:dyDescent="0.2">
      <c r="B952" s="217"/>
      <c r="C952" s="221" t="s">
        <v>996</v>
      </c>
      <c r="D952" s="218"/>
      <c r="E952" s="218"/>
      <c r="F952" s="218"/>
      <c r="G952" s="218"/>
      <c r="H952" s="218"/>
      <c r="I952" s="218"/>
      <c r="J952" s="242" t="str">
        <f>IF(OR(J820="Not Calculated",J894="Not Calculated")=TRUE,"Not Calculated",J820/J894)</f>
        <v>Not Calculated</v>
      </c>
      <c r="K952" s="220"/>
    </row>
    <row r="953" spans="2:11" x14ac:dyDescent="0.2">
      <c r="B953" s="217"/>
      <c r="C953" s="218"/>
      <c r="D953" s="218" t="s">
        <v>817</v>
      </c>
      <c r="E953" s="218"/>
      <c r="F953" s="218"/>
      <c r="G953" s="218"/>
      <c r="H953" s="218"/>
      <c r="I953" s="218"/>
      <c r="J953" s="218"/>
      <c r="K953" s="220"/>
    </row>
    <row r="954" spans="2:11" x14ac:dyDescent="0.2">
      <c r="B954" s="217"/>
      <c r="C954" s="218"/>
      <c r="D954" s="218"/>
      <c r="E954" s="218"/>
      <c r="F954" s="218"/>
      <c r="G954" s="218"/>
      <c r="H954" s="218"/>
      <c r="I954" s="218"/>
      <c r="J954" s="218"/>
      <c r="K954" s="220"/>
    </row>
    <row r="955" spans="2:11" ht="16" x14ac:dyDescent="0.2">
      <c r="B955" s="217"/>
      <c r="C955" s="221" t="s">
        <v>997</v>
      </c>
      <c r="D955" s="218"/>
      <c r="E955" s="218"/>
      <c r="F955" s="218"/>
      <c r="G955" s="218"/>
      <c r="H955" s="218"/>
      <c r="I955" s="218"/>
      <c r="J955" s="242" t="str">
        <f>IF(OR(J936="Not Calculated",J823="Not Calculated")=TRUE,"Not Calculated",J823/J936)</f>
        <v>Not Calculated</v>
      </c>
      <c r="K955" s="220"/>
    </row>
    <row r="956" spans="2:11" x14ac:dyDescent="0.2">
      <c r="B956" s="217"/>
      <c r="C956" s="218"/>
      <c r="D956" s="218" t="s">
        <v>818</v>
      </c>
      <c r="E956" s="218"/>
      <c r="F956" s="218"/>
      <c r="G956" s="218"/>
      <c r="H956" s="218"/>
      <c r="I956" s="218"/>
      <c r="J956" s="218"/>
      <c r="K956" s="220"/>
    </row>
    <row r="957" spans="2:11" ht="16" thickBot="1" x14ac:dyDescent="0.25">
      <c r="B957" s="222"/>
      <c r="C957" s="223"/>
      <c r="D957" s="223"/>
      <c r="E957" s="223"/>
      <c r="F957" s="223"/>
      <c r="G957" s="223"/>
      <c r="H957" s="223"/>
      <c r="I957" s="223"/>
      <c r="J957" s="223"/>
      <c r="K957" s="224"/>
    </row>
    <row r="959" spans="2:11" ht="15" customHeight="1" x14ac:dyDescent="0.2">
      <c r="F959" s="405"/>
      <c r="G959" s="405"/>
      <c r="H959" s="405"/>
    </row>
    <row r="960" spans="2:11" x14ac:dyDescent="0.2">
      <c r="F960" s="405"/>
      <c r="G960" s="405"/>
      <c r="H960" s="405"/>
    </row>
    <row r="965" spans="1:3" ht="15" hidden="1" customHeight="1" x14ac:dyDescent="0.2">
      <c r="A965" s="12" t="s">
        <v>228</v>
      </c>
    </row>
    <row r="966" spans="1:3" ht="15" hidden="1" customHeight="1" x14ac:dyDescent="0.2">
      <c r="A966" s="12">
        <v>0</v>
      </c>
      <c r="B966" s="12" t="s">
        <v>250</v>
      </c>
      <c r="C966" s="12" t="s">
        <v>240</v>
      </c>
    </row>
    <row r="967" spans="1:3" ht="15" hidden="1" customHeight="1" x14ac:dyDescent="0.2">
      <c r="A967" s="12">
        <v>1</v>
      </c>
      <c r="B967" s="12" t="s">
        <v>251</v>
      </c>
      <c r="C967" s="12" t="s">
        <v>241</v>
      </c>
    </row>
    <row r="968" spans="1:3" ht="15" hidden="1" customHeight="1" x14ac:dyDescent="0.2">
      <c r="A968" s="12">
        <v>2</v>
      </c>
      <c r="B968" s="12" t="s">
        <v>252</v>
      </c>
      <c r="C968" s="12" t="s">
        <v>242</v>
      </c>
    </row>
    <row r="969" spans="1:3" ht="15" hidden="1" customHeight="1" x14ac:dyDescent="0.2">
      <c r="A969" s="12">
        <v>3</v>
      </c>
      <c r="B969" s="12" t="s">
        <v>253</v>
      </c>
      <c r="C969" s="12" t="s">
        <v>227</v>
      </c>
    </row>
    <row r="970" spans="1:3" ht="15" hidden="1" customHeight="1" x14ac:dyDescent="0.2">
      <c r="A970" s="12">
        <v>4</v>
      </c>
      <c r="B970" s="12" t="s">
        <v>254</v>
      </c>
      <c r="C970" s="12" t="s">
        <v>243</v>
      </c>
    </row>
    <row r="971" spans="1:3" ht="15" hidden="1" customHeight="1" x14ac:dyDescent="0.2"/>
    <row r="972" spans="1:3" ht="15" hidden="1" customHeight="1" x14ac:dyDescent="0.2">
      <c r="A972" s="12" t="s">
        <v>259</v>
      </c>
    </row>
    <row r="973" spans="1:3" ht="15" hidden="1" customHeight="1" x14ac:dyDescent="0.2">
      <c r="A973" s="12">
        <v>0</v>
      </c>
      <c r="B973" s="225" t="s">
        <v>870</v>
      </c>
    </row>
    <row r="974" spans="1:3" ht="15" hidden="1" customHeight="1" x14ac:dyDescent="0.2">
      <c r="A974" s="12">
        <v>1</v>
      </c>
      <c r="B974" s="12" t="s">
        <v>880</v>
      </c>
    </row>
    <row r="975" spans="1:3" ht="15" hidden="1" customHeight="1" x14ac:dyDescent="0.2">
      <c r="A975" s="12">
        <v>2</v>
      </c>
      <c r="B975" s="12" t="s">
        <v>872</v>
      </c>
    </row>
    <row r="976" spans="1:3" ht="15" hidden="1" customHeight="1" x14ac:dyDescent="0.2">
      <c r="A976" s="12">
        <v>3</v>
      </c>
      <c r="B976" s="12" t="s">
        <v>873</v>
      </c>
    </row>
    <row r="977" spans="1:2" ht="15" hidden="1" customHeight="1" x14ac:dyDescent="0.2">
      <c r="A977" s="12">
        <v>4</v>
      </c>
      <c r="B977" s="12" t="s">
        <v>874</v>
      </c>
    </row>
    <row r="978" spans="1:2" ht="15" hidden="1" customHeight="1" x14ac:dyDescent="0.2"/>
    <row r="979" spans="1:2" ht="15" hidden="1" customHeight="1" x14ac:dyDescent="0.2">
      <c r="A979" s="12" t="s">
        <v>294</v>
      </c>
    </row>
    <row r="980" spans="1:2" ht="15" hidden="1" customHeight="1" x14ac:dyDescent="0.2">
      <c r="A980" s="12">
        <v>0</v>
      </c>
      <c r="B980" s="225" t="s">
        <v>870</v>
      </c>
    </row>
    <row r="981" spans="1:2" ht="15" hidden="1" customHeight="1" x14ac:dyDescent="0.2">
      <c r="A981" s="12">
        <v>1</v>
      </c>
      <c r="B981" s="12" t="s">
        <v>875</v>
      </c>
    </row>
    <row r="982" spans="1:2" ht="15" hidden="1" customHeight="1" x14ac:dyDescent="0.2">
      <c r="A982" s="12">
        <v>2</v>
      </c>
      <c r="B982" s="12" t="s">
        <v>876</v>
      </c>
    </row>
    <row r="983" spans="1:2" ht="15" hidden="1" customHeight="1" x14ac:dyDescent="0.2">
      <c r="A983" s="12">
        <v>3</v>
      </c>
      <c r="B983" s="12" t="s">
        <v>877</v>
      </c>
    </row>
    <row r="984" spans="1:2" ht="15" hidden="1" customHeight="1" x14ac:dyDescent="0.2">
      <c r="A984" s="12">
        <v>4</v>
      </c>
      <c r="B984" s="12" t="s">
        <v>878</v>
      </c>
    </row>
    <row r="985" spans="1:2" ht="15" hidden="1" customHeight="1" x14ac:dyDescent="0.2"/>
    <row r="986" spans="1:2" ht="15" hidden="1" customHeight="1" x14ac:dyDescent="0.2">
      <c r="A986" s="12" t="s">
        <v>244</v>
      </c>
    </row>
    <row r="987" spans="1:2" ht="15" hidden="1" customHeight="1" x14ac:dyDescent="0.2">
      <c r="A987" s="12">
        <v>0</v>
      </c>
      <c r="B987" s="12" t="s">
        <v>245</v>
      </c>
    </row>
    <row r="988" spans="1:2" ht="15" hidden="1" customHeight="1" x14ac:dyDescent="0.2">
      <c r="A988" s="12">
        <v>1</v>
      </c>
      <c r="B988" s="12" t="s">
        <v>246</v>
      </c>
    </row>
    <row r="989" spans="1:2" ht="15" hidden="1" customHeight="1" x14ac:dyDescent="0.2">
      <c r="A989" s="12">
        <v>2</v>
      </c>
      <c r="B989" s="12" t="s">
        <v>247</v>
      </c>
    </row>
    <row r="990" spans="1:2" ht="15" hidden="1" customHeight="1" x14ac:dyDescent="0.2">
      <c r="A990" s="12">
        <v>3</v>
      </c>
      <c r="B990" s="12" t="s">
        <v>229</v>
      </c>
    </row>
    <row r="991" spans="1:2" ht="15" hidden="1" customHeight="1" x14ac:dyDescent="0.2">
      <c r="A991" s="12">
        <v>4</v>
      </c>
      <c r="B991" s="12" t="s">
        <v>248</v>
      </c>
    </row>
    <row r="992" spans="1:2" ht="15" hidden="1" customHeight="1" x14ac:dyDescent="0.2"/>
    <row r="993" spans="1:11" ht="15" hidden="1" customHeight="1" x14ac:dyDescent="0.2">
      <c r="A993" s="12" t="s">
        <v>381</v>
      </c>
    </row>
    <row r="994" spans="1:11" ht="15" hidden="1" customHeight="1" x14ac:dyDescent="0.2">
      <c r="A994" s="12">
        <v>0</v>
      </c>
      <c r="B994" s="12" t="s">
        <v>202</v>
      </c>
    </row>
    <row r="995" spans="1:11" ht="15" hidden="1" customHeight="1" x14ac:dyDescent="0.2">
      <c r="A995" s="12">
        <v>1</v>
      </c>
      <c r="B995" s="12" t="s">
        <v>190</v>
      </c>
    </row>
    <row r="996" spans="1:11" ht="15" hidden="1" customHeight="1" x14ac:dyDescent="0.2"/>
    <row r="997" spans="1:11" ht="15" hidden="1" customHeight="1" x14ac:dyDescent="0.2">
      <c r="A997" s="12" t="s">
        <v>249</v>
      </c>
    </row>
    <row r="998" spans="1:11" ht="15" hidden="1" customHeight="1" x14ac:dyDescent="0.2">
      <c r="A998" s="12">
        <v>0</v>
      </c>
      <c r="B998" s="12" t="s">
        <v>236</v>
      </c>
    </row>
    <row r="999" spans="1:11" ht="15" hidden="1" customHeight="1" x14ac:dyDescent="0.2">
      <c r="A999" s="12">
        <v>1</v>
      </c>
      <c r="B999" s="12" t="s">
        <v>237</v>
      </c>
    </row>
    <row r="1000" spans="1:11" ht="15" hidden="1" customHeight="1" x14ac:dyDescent="0.2">
      <c r="A1000" s="12">
        <v>2</v>
      </c>
      <c r="B1000" s="12" t="s">
        <v>235</v>
      </c>
    </row>
    <row r="1001" spans="1:11" ht="15" hidden="1" customHeight="1" x14ac:dyDescent="0.2">
      <c r="A1001" s="12">
        <v>3</v>
      </c>
      <c r="B1001" s="12" t="s">
        <v>238</v>
      </c>
    </row>
    <row r="1002" spans="1:11" ht="15" hidden="1" customHeight="1" x14ac:dyDescent="0.2">
      <c r="A1002" s="12">
        <v>4</v>
      </c>
      <c r="B1002" s="12" t="s">
        <v>234</v>
      </c>
    </row>
    <row r="1003" spans="1:11" ht="15" customHeight="1" x14ac:dyDescent="0.2">
      <c r="B1003" s="12" t="s">
        <v>685</v>
      </c>
    </row>
    <row r="1004" spans="1:11" ht="30" customHeight="1" x14ac:dyDescent="0.2">
      <c r="B1004" s="402" t="s">
        <v>741</v>
      </c>
      <c r="C1004" s="403"/>
      <c r="D1004" s="403"/>
      <c r="E1004" s="403"/>
      <c r="F1004" s="403"/>
      <c r="G1004" s="403"/>
      <c r="H1004" s="403"/>
      <c r="I1004" s="403"/>
      <c r="J1004" s="403"/>
      <c r="K1004" s="404"/>
    </row>
    <row r="1005" spans="1:11" ht="15" customHeight="1" x14ac:dyDescent="0.2">
      <c r="B1005" s="396"/>
      <c r="C1005" s="397"/>
      <c r="D1005" s="397"/>
      <c r="E1005" s="397"/>
      <c r="F1005" s="397"/>
      <c r="G1005" s="397"/>
      <c r="H1005" s="397"/>
      <c r="I1005" s="397"/>
      <c r="J1005" s="397"/>
      <c r="K1005" s="398"/>
    </row>
    <row r="1006" spans="1:11" ht="30" customHeight="1" x14ac:dyDescent="0.2">
      <c r="B1006" s="396" t="s">
        <v>746</v>
      </c>
      <c r="C1006" s="397"/>
      <c r="D1006" s="397"/>
      <c r="E1006" s="397"/>
      <c r="F1006" s="397"/>
      <c r="G1006" s="397"/>
      <c r="H1006" s="397"/>
      <c r="I1006" s="397"/>
      <c r="J1006" s="397"/>
      <c r="K1006" s="398"/>
    </row>
    <row r="1007" spans="1:11" ht="15" customHeight="1" x14ac:dyDescent="0.2">
      <c r="B1007" s="396"/>
      <c r="C1007" s="397"/>
      <c r="D1007" s="397"/>
      <c r="E1007" s="397"/>
      <c r="F1007" s="397"/>
      <c r="G1007" s="397"/>
      <c r="H1007" s="397"/>
      <c r="I1007" s="397"/>
      <c r="J1007" s="397"/>
      <c r="K1007" s="398"/>
    </row>
    <row r="1008" spans="1:11" ht="30" customHeight="1" x14ac:dyDescent="0.2">
      <c r="B1008" s="396" t="s">
        <v>742</v>
      </c>
      <c r="C1008" s="397"/>
      <c r="D1008" s="397"/>
      <c r="E1008" s="397"/>
      <c r="F1008" s="397"/>
      <c r="G1008" s="397"/>
      <c r="H1008" s="397"/>
      <c r="I1008" s="397"/>
      <c r="J1008" s="397"/>
      <c r="K1008" s="398"/>
    </row>
    <row r="1009" spans="2:11" ht="15" customHeight="1" x14ac:dyDescent="0.2">
      <c r="B1009" s="396"/>
      <c r="C1009" s="397"/>
      <c r="D1009" s="397"/>
      <c r="E1009" s="397"/>
      <c r="F1009" s="397"/>
      <c r="G1009" s="397"/>
      <c r="H1009" s="397"/>
      <c r="I1009" s="397"/>
      <c r="J1009" s="397"/>
      <c r="K1009" s="398"/>
    </row>
    <row r="1010" spans="2:11" ht="15" customHeight="1" x14ac:dyDescent="0.2">
      <c r="B1010" s="396" t="s">
        <v>692</v>
      </c>
      <c r="C1010" s="397"/>
      <c r="D1010" s="397"/>
      <c r="E1010" s="397"/>
      <c r="F1010" s="397"/>
      <c r="G1010" s="397"/>
      <c r="H1010" s="397"/>
      <c r="I1010" s="397"/>
      <c r="J1010" s="397"/>
      <c r="K1010" s="398"/>
    </row>
    <row r="1011" spans="2:11" ht="15" customHeight="1" x14ac:dyDescent="0.2">
      <c r="B1011" s="396"/>
      <c r="C1011" s="397"/>
      <c r="D1011" s="397"/>
      <c r="E1011" s="397"/>
      <c r="F1011" s="397"/>
      <c r="G1011" s="397"/>
      <c r="H1011" s="397"/>
      <c r="I1011" s="397"/>
      <c r="J1011" s="397"/>
      <c r="K1011" s="398"/>
    </row>
    <row r="1012" spans="2:11" ht="30" customHeight="1" x14ac:dyDescent="0.2">
      <c r="B1012" s="396" t="s">
        <v>739</v>
      </c>
      <c r="C1012" s="397"/>
      <c r="D1012" s="397"/>
      <c r="E1012" s="397"/>
      <c r="F1012" s="397"/>
      <c r="G1012" s="397"/>
      <c r="H1012" s="397"/>
      <c r="I1012" s="397"/>
      <c r="J1012" s="397"/>
      <c r="K1012" s="398"/>
    </row>
    <row r="1013" spans="2:11" ht="15" customHeight="1" x14ac:dyDescent="0.2">
      <c r="B1013" s="396"/>
      <c r="C1013" s="397"/>
      <c r="D1013" s="397"/>
      <c r="E1013" s="397"/>
      <c r="F1013" s="397"/>
      <c r="G1013" s="397"/>
      <c r="H1013" s="397"/>
      <c r="I1013" s="397"/>
      <c r="J1013" s="397"/>
      <c r="K1013" s="398"/>
    </row>
    <row r="1014" spans="2:11" ht="30" customHeight="1" x14ac:dyDescent="0.2">
      <c r="B1014" s="396" t="s">
        <v>740</v>
      </c>
      <c r="C1014" s="397"/>
      <c r="D1014" s="397"/>
      <c r="E1014" s="397"/>
      <c r="F1014" s="397"/>
      <c r="G1014" s="397"/>
      <c r="H1014" s="397"/>
      <c r="I1014" s="397"/>
      <c r="J1014" s="397"/>
      <c r="K1014" s="398"/>
    </row>
    <row r="1015" spans="2:11" ht="30" customHeight="1" x14ac:dyDescent="0.2">
      <c r="B1015" s="396" t="s">
        <v>728</v>
      </c>
      <c r="C1015" s="397"/>
      <c r="D1015" s="397"/>
      <c r="E1015" s="397"/>
      <c r="F1015" s="397"/>
      <c r="G1015" s="397"/>
      <c r="H1015" s="397"/>
      <c r="I1015" s="397"/>
      <c r="J1015" s="397"/>
      <c r="K1015" s="398"/>
    </row>
    <row r="1016" spans="2:11" ht="30" customHeight="1" x14ac:dyDescent="0.2">
      <c r="B1016" s="396" t="s">
        <v>747</v>
      </c>
      <c r="C1016" s="397"/>
      <c r="D1016" s="397"/>
      <c r="E1016" s="397"/>
      <c r="F1016" s="397"/>
      <c r="G1016" s="397"/>
      <c r="H1016" s="397"/>
      <c r="I1016" s="397"/>
      <c r="J1016" s="397"/>
      <c r="K1016" s="398"/>
    </row>
    <row r="1017" spans="2:11" ht="15" customHeight="1" x14ac:dyDescent="0.2">
      <c r="B1017" s="396"/>
      <c r="C1017" s="397"/>
      <c r="D1017" s="397"/>
      <c r="E1017" s="397"/>
      <c r="F1017" s="397"/>
      <c r="G1017" s="397"/>
      <c r="H1017" s="397"/>
      <c r="I1017" s="397"/>
      <c r="J1017" s="397"/>
      <c r="K1017" s="398"/>
    </row>
    <row r="1018" spans="2:11" ht="30" customHeight="1" x14ac:dyDescent="0.2">
      <c r="B1018" s="396" t="s">
        <v>689</v>
      </c>
      <c r="C1018" s="397"/>
      <c r="D1018" s="397"/>
      <c r="E1018" s="397"/>
      <c r="F1018" s="397"/>
      <c r="G1018" s="397"/>
      <c r="H1018" s="397"/>
      <c r="I1018" s="397"/>
      <c r="J1018" s="397"/>
      <c r="K1018" s="398"/>
    </row>
    <row r="1019" spans="2:11" ht="15" customHeight="1" x14ac:dyDescent="0.2">
      <c r="B1019" s="396"/>
      <c r="C1019" s="397"/>
      <c r="D1019" s="397"/>
      <c r="E1019" s="397"/>
      <c r="F1019" s="397"/>
      <c r="G1019" s="397"/>
      <c r="H1019" s="397"/>
      <c r="I1019" s="397"/>
      <c r="J1019" s="397"/>
      <c r="K1019" s="398"/>
    </row>
    <row r="1020" spans="2:11" ht="30" customHeight="1" x14ac:dyDescent="0.2">
      <c r="B1020" s="396" t="s">
        <v>749</v>
      </c>
      <c r="C1020" s="397"/>
      <c r="D1020" s="397"/>
      <c r="E1020" s="397"/>
      <c r="F1020" s="397"/>
      <c r="G1020" s="397"/>
      <c r="H1020" s="397"/>
      <c r="I1020" s="397"/>
      <c r="J1020" s="397"/>
      <c r="K1020" s="398"/>
    </row>
    <row r="1021" spans="2:11" ht="15" customHeight="1" x14ac:dyDescent="0.2">
      <c r="B1021" s="396"/>
      <c r="C1021" s="397"/>
      <c r="D1021" s="397"/>
      <c r="E1021" s="397"/>
      <c r="F1021" s="397"/>
      <c r="G1021" s="397"/>
      <c r="H1021" s="397"/>
      <c r="I1021" s="397"/>
      <c r="J1021" s="397"/>
      <c r="K1021" s="398"/>
    </row>
    <row r="1022" spans="2:11" ht="30" customHeight="1" x14ac:dyDescent="0.2">
      <c r="B1022" s="396" t="s">
        <v>744</v>
      </c>
      <c r="C1022" s="397"/>
      <c r="D1022" s="397"/>
      <c r="E1022" s="397"/>
      <c r="F1022" s="397"/>
      <c r="G1022" s="397"/>
      <c r="H1022" s="397"/>
      <c r="I1022" s="397"/>
      <c r="J1022" s="397"/>
      <c r="K1022" s="398"/>
    </row>
    <row r="1023" spans="2:11" ht="15" customHeight="1" x14ac:dyDescent="0.2">
      <c r="B1023" s="396"/>
      <c r="C1023" s="397"/>
      <c r="D1023" s="397"/>
      <c r="E1023" s="397"/>
      <c r="F1023" s="397"/>
      <c r="G1023" s="397"/>
      <c r="H1023" s="397"/>
      <c r="I1023" s="397"/>
      <c r="J1023" s="397"/>
      <c r="K1023" s="398"/>
    </row>
    <row r="1024" spans="2:11" ht="45" customHeight="1" x14ac:dyDescent="0.2">
      <c r="B1024" s="396" t="s">
        <v>748</v>
      </c>
      <c r="C1024" s="397"/>
      <c r="D1024" s="397"/>
      <c r="E1024" s="397"/>
      <c r="F1024" s="397"/>
      <c r="G1024" s="397"/>
      <c r="H1024" s="397"/>
      <c r="I1024" s="397"/>
      <c r="J1024" s="397"/>
      <c r="K1024" s="398"/>
    </row>
    <row r="1025" spans="2:11" ht="15" customHeight="1" x14ac:dyDescent="0.2">
      <c r="B1025" s="396"/>
      <c r="C1025" s="397"/>
      <c r="D1025" s="397"/>
      <c r="E1025" s="397"/>
      <c r="F1025" s="397"/>
      <c r="G1025" s="397"/>
      <c r="H1025" s="397"/>
      <c r="I1025" s="397"/>
      <c r="J1025" s="397"/>
      <c r="K1025" s="398"/>
    </row>
    <row r="1026" spans="2:11" ht="30" customHeight="1" x14ac:dyDescent="0.2">
      <c r="B1026" s="396" t="s">
        <v>745</v>
      </c>
      <c r="C1026" s="397"/>
      <c r="D1026" s="397"/>
      <c r="E1026" s="397"/>
      <c r="F1026" s="397"/>
      <c r="G1026" s="397"/>
      <c r="H1026" s="397"/>
      <c r="I1026" s="397"/>
      <c r="J1026" s="397"/>
      <c r="K1026" s="398"/>
    </row>
    <row r="1027" spans="2:11" ht="15" customHeight="1" x14ac:dyDescent="0.2">
      <c r="B1027" s="396"/>
      <c r="C1027" s="397"/>
      <c r="D1027" s="397"/>
      <c r="E1027" s="397"/>
      <c r="F1027" s="397"/>
      <c r="G1027" s="397"/>
      <c r="H1027" s="397"/>
      <c r="I1027" s="397"/>
      <c r="J1027" s="397"/>
      <c r="K1027" s="398"/>
    </row>
    <row r="1028" spans="2:11" ht="45" customHeight="1" x14ac:dyDescent="0.2">
      <c r="B1028" s="396" t="s">
        <v>743</v>
      </c>
      <c r="C1028" s="397"/>
      <c r="D1028" s="397"/>
      <c r="E1028" s="397"/>
      <c r="F1028" s="397"/>
      <c r="G1028" s="397"/>
      <c r="H1028" s="397"/>
      <c r="I1028" s="397"/>
      <c r="J1028" s="397"/>
      <c r="K1028" s="398"/>
    </row>
    <row r="1029" spans="2:11" ht="15" customHeight="1" x14ac:dyDescent="0.2">
      <c r="B1029" s="393"/>
      <c r="C1029" s="394"/>
      <c r="D1029" s="394"/>
      <c r="E1029" s="394"/>
      <c r="F1029" s="394"/>
      <c r="G1029" s="394"/>
      <c r="H1029" s="394"/>
      <c r="I1029" s="394"/>
      <c r="J1029" s="394"/>
      <c r="K1029" s="395"/>
    </row>
  </sheetData>
  <sheetProtection formatCells="0" formatColumns="0" formatRows="0" selectLockedCells="1"/>
  <mergeCells count="152">
    <mergeCell ref="E15:J15"/>
    <mergeCell ref="C38:J38"/>
    <mergeCell ref="C57:J57"/>
    <mergeCell ref="B5:K5"/>
    <mergeCell ref="B6:K6"/>
    <mergeCell ref="B7:K7"/>
    <mergeCell ref="B8:K8"/>
    <mergeCell ref="B9:K9"/>
    <mergeCell ref="B10:K10"/>
    <mergeCell ref="C176:J176"/>
    <mergeCell ref="C196:J196"/>
    <mergeCell ref="C155:J155"/>
    <mergeCell ref="C120:J122"/>
    <mergeCell ref="C123:J124"/>
    <mergeCell ref="C129:J129"/>
    <mergeCell ref="C95:J95"/>
    <mergeCell ref="C114:J114"/>
    <mergeCell ref="C76:J76"/>
    <mergeCell ref="C455:J455"/>
    <mergeCell ref="C416:J416"/>
    <mergeCell ref="C438:J438"/>
    <mergeCell ref="C444:I445"/>
    <mergeCell ref="C402:J402"/>
    <mergeCell ref="C420:I421"/>
    <mergeCell ref="C257:J257"/>
    <mergeCell ref="C237:J237"/>
    <mergeCell ref="C216:J216"/>
    <mergeCell ref="C292:I293"/>
    <mergeCell ref="C311:I312"/>
    <mergeCell ref="C340:I341"/>
    <mergeCell ref="C305:J305"/>
    <mergeCell ref="C324:J324"/>
    <mergeCell ref="C330:I331"/>
    <mergeCell ref="D343:I344"/>
    <mergeCell ref="C385:J385"/>
    <mergeCell ref="C391:I392"/>
    <mergeCell ref="C347:J347"/>
    <mergeCell ref="C365:J365"/>
    <mergeCell ref="C371:I372"/>
    <mergeCell ref="C286:J286"/>
    <mergeCell ref="C613:J613"/>
    <mergeCell ref="C560:J560"/>
    <mergeCell ref="C566:I568"/>
    <mergeCell ref="C569:I571"/>
    <mergeCell ref="C583:J583"/>
    <mergeCell ref="C524:I525"/>
    <mergeCell ref="C535:J535"/>
    <mergeCell ref="C518:J518"/>
    <mergeCell ref="C471:J471"/>
    <mergeCell ref="C477:I478"/>
    <mergeCell ref="C486:J486"/>
    <mergeCell ref="C502:J502"/>
    <mergeCell ref="C599:J599"/>
    <mergeCell ref="G717:H717"/>
    <mergeCell ref="G718:H718"/>
    <mergeCell ref="C729:J731"/>
    <mergeCell ref="G732:H732"/>
    <mergeCell ref="G733:H733"/>
    <mergeCell ref="C620:I621"/>
    <mergeCell ref="C633:J633"/>
    <mergeCell ref="C639:I640"/>
    <mergeCell ref="C641:I643"/>
    <mergeCell ref="C714:J716"/>
    <mergeCell ref="C655:J655"/>
    <mergeCell ref="D664:I665"/>
    <mergeCell ref="C677:J677"/>
    <mergeCell ref="G737:H737"/>
    <mergeCell ref="G738:H738"/>
    <mergeCell ref="G734:H734"/>
    <mergeCell ref="G735:H735"/>
    <mergeCell ref="G724:H724"/>
    <mergeCell ref="G725:H725"/>
    <mergeCell ref="G719:H719"/>
    <mergeCell ref="G720:H720"/>
    <mergeCell ref="G721:H721"/>
    <mergeCell ref="G846:H846"/>
    <mergeCell ref="C830:J831"/>
    <mergeCell ref="G834:H834"/>
    <mergeCell ref="G838:H838"/>
    <mergeCell ref="G842:H842"/>
    <mergeCell ref="G769:H769"/>
    <mergeCell ref="G770:H770"/>
    <mergeCell ref="G767:H767"/>
    <mergeCell ref="G768:H768"/>
    <mergeCell ref="G766:H766"/>
    <mergeCell ref="G754:H754"/>
    <mergeCell ref="G755:H755"/>
    <mergeCell ref="G752:H752"/>
    <mergeCell ref="G753:H753"/>
    <mergeCell ref="C759:J761"/>
    <mergeCell ref="G762:H762"/>
    <mergeCell ref="G763:H763"/>
    <mergeCell ref="G764:H764"/>
    <mergeCell ref="G878:H878"/>
    <mergeCell ref="G722:H722"/>
    <mergeCell ref="G723:H723"/>
    <mergeCell ref="G850:H850"/>
    <mergeCell ref="G862:H862"/>
    <mergeCell ref="G866:H866"/>
    <mergeCell ref="G854:H854"/>
    <mergeCell ref="G858:H858"/>
    <mergeCell ref="F959:H960"/>
    <mergeCell ref="G736:H736"/>
    <mergeCell ref="C744:J746"/>
    <mergeCell ref="G747:H747"/>
    <mergeCell ref="G748:H748"/>
    <mergeCell ref="G749:H749"/>
    <mergeCell ref="G886:H886"/>
    <mergeCell ref="G890:H890"/>
    <mergeCell ref="G882:H882"/>
    <mergeCell ref="G870:H870"/>
    <mergeCell ref="G874:H874"/>
    <mergeCell ref="G765:H765"/>
    <mergeCell ref="G750:H750"/>
    <mergeCell ref="G751:H751"/>
    <mergeCell ref="G739:H739"/>
    <mergeCell ref="G740:H740"/>
    <mergeCell ref="B1004:K1004"/>
    <mergeCell ref="B1005:K1005"/>
    <mergeCell ref="B1006:K1006"/>
    <mergeCell ref="B1007:K1007"/>
    <mergeCell ref="B1008:K1008"/>
    <mergeCell ref="B1009:K1009"/>
    <mergeCell ref="B1010:K1010"/>
    <mergeCell ref="B1011:K1011"/>
    <mergeCell ref="B1012:K1012"/>
    <mergeCell ref="B1022:K1022"/>
    <mergeCell ref="B1023:K1023"/>
    <mergeCell ref="B1024:K1024"/>
    <mergeCell ref="B1025:K1025"/>
    <mergeCell ref="B1026:K1026"/>
    <mergeCell ref="B1027:K1027"/>
    <mergeCell ref="B1028:K1028"/>
    <mergeCell ref="B1029:K1029"/>
    <mergeCell ref="B1013:K1013"/>
    <mergeCell ref="B1014:K1014"/>
    <mergeCell ref="B1015:K1015"/>
    <mergeCell ref="B1016:K1016"/>
    <mergeCell ref="B1017:K1017"/>
    <mergeCell ref="B1018:K1018"/>
    <mergeCell ref="B1019:K1019"/>
    <mergeCell ref="B1020:K1020"/>
    <mergeCell ref="B1021:K1021"/>
    <mergeCell ref="G928:H928"/>
    <mergeCell ref="G932:H932"/>
    <mergeCell ref="G924:H924"/>
    <mergeCell ref="G916:H916"/>
    <mergeCell ref="G920:H920"/>
    <mergeCell ref="C900:J901"/>
    <mergeCell ref="G904:H904"/>
    <mergeCell ref="G908:H908"/>
    <mergeCell ref="G912:H912"/>
  </mergeCells>
  <dataValidations count="23">
    <dataValidation type="list" allowBlank="1" showInputMessage="1" showErrorMessage="1" sqref="E15:J15" xr:uid="{00000000-0002-0000-1900-000000000000}">
      <formula1>$C$966:$C$970</formula1>
    </dataValidation>
    <dataValidation type="list" allowBlank="1" showInputMessage="1" showErrorMessage="1" sqref="G834:H834 G890:H890 G886:H886 G882:H882 G878:H878 G874:H874 G870:H870 G866:H866 G862:H862 G858:H858 G854:H854 G850:H850 G846:H846 G838:H838 G842:H842 G904:H904 G932:H932 G928:H928 G924:H924 G920:H920 G916:H916 G908:H908 G912:H912" xr:uid="{00000000-0002-0000-1900-000001000000}">
      <formula1>$B$998:$B$1002</formula1>
    </dataValidation>
    <dataValidation type="list" allowBlank="1" showInputMessage="1" showErrorMessage="1" sqref="G747:H755 G762:H770 G717:H725 G732:H740" xr:uid="{00000000-0002-0000-1900-000002000000}">
      <formula1>$B$994:$B$995</formula1>
    </dataValidation>
    <dataValidation type="list" allowBlank="1" showInputMessage="1" showErrorMessage="1" sqref="J302 J362" xr:uid="{00000000-0002-0000-1900-000003000000}">
      <formula1>$B$980:$B$984</formula1>
    </dataValidation>
    <dataValidation type="list" allowBlank="1" showInputMessage="1" showErrorMessage="1" sqref="C123:J124" xr:uid="{00000000-0002-0000-1900-000004000000}">
      <formula1>$B$987:$B$991</formula1>
    </dataValidation>
    <dataValidation type="list" allowBlank="1" showInputMessage="1" showErrorMessage="1" sqref="J35 J213 J283 J652 J234 J54 J193 J173 J152 J126 J111 J92 J73 J254 J435 J452 J468 J499 J515 J532 J557 J580 J596 J674 J630" xr:uid="{00000000-0002-0000-1900-000005000000}">
      <formula1>$B$973:$B$977</formula1>
    </dataValidation>
    <dataValidation type="list" allowBlank="1" showInputMessage="1" showErrorMessage="1" sqref="J33" xr:uid="{00000000-0002-0000-1900-000006000000}">
      <formula1>$N$32:$N$37</formula1>
    </dataValidation>
    <dataValidation type="list" allowBlank="1" showInputMessage="1" showErrorMessage="1" sqref="J52" xr:uid="{00000000-0002-0000-1900-000007000000}">
      <formula1>$N$51:$N$56</formula1>
    </dataValidation>
    <dataValidation type="list" allowBlank="1" showInputMessage="1" showErrorMessage="1" sqref="J71" xr:uid="{00000000-0002-0000-1900-000008000000}">
      <formula1>$N$70:$N$75</formula1>
    </dataValidation>
    <dataValidation type="list" allowBlank="1" showInputMessage="1" showErrorMessage="1" sqref="J90" xr:uid="{00000000-0002-0000-1900-000009000000}">
      <formula1>$N$89:$N$94</formula1>
    </dataValidation>
    <dataValidation type="list" allowBlank="1" showInputMessage="1" showErrorMessage="1" sqref="J109" xr:uid="{00000000-0002-0000-1900-00000A000000}">
      <formula1>$N$108:$N$113</formula1>
    </dataValidation>
    <dataValidation type="list" allowBlank="1" showInputMessage="1" showErrorMessage="1" sqref="J150" xr:uid="{00000000-0002-0000-1900-00000B000000}">
      <formula1>$N$149:$N$154</formula1>
    </dataValidation>
    <dataValidation type="list" allowBlank="1" showInputMessage="1" showErrorMessage="1" sqref="J171" xr:uid="{00000000-0002-0000-1900-00000C000000}">
      <formula1>$N$170:$N$175</formula1>
    </dataValidation>
    <dataValidation type="list" allowBlank="1" showInputMessage="1" showErrorMessage="1" sqref="J191" xr:uid="{00000000-0002-0000-1900-00000D000000}">
      <formula1>$N$190:$N$195</formula1>
    </dataValidation>
    <dataValidation type="list" allowBlank="1" showInputMessage="1" showErrorMessage="1" sqref="J211" xr:uid="{00000000-0002-0000-1900-00000E000000}">
      <formula1>$N$210:$N$215</formula1>
    </dataValidation>
    <dataValidation type="list" allowBlank="1" showInputMessage="1" showErrorMessage="1" sqref="J232" xr:uid="{00000000-0002-0000-1900-00000F000000}">
      <formula1>$N$231:$N$236</formula1>
    </dataValidation>
    <dataValidation type="list" allowBlank="1" showInputMessage="1" showErrorMessage="1" sqref="J252" xr:uid="{00000000-0002-0000-1900-000010000000}">
      <formula1>$N$251:$N$256</formula1>
    </dataValidation>
    <dataValidation type="list" allowBlank="1" showInputMessage="1" showErrorMessage="1" sqref="J281" xr:uid="{00000000-0002-0000-1900-000011000000}">
      <formula1>$N$280:$N$285</formula1>
    </dataValidation>
    <dataValidation type="list" allowBlank="1" showInputMessage="1" showErrorMessage="1" sqref="J555" xr:uid="{00000000-0002-0000-1900-000012000000}">
      <formula1>$N$554:$N$559</formula1>
    </dataValidation>
    <dataValidation type="list" allowBlank="1" showInputMessage="1" showErrorMessage="1" sqref="J578" xr:uid="{00000000-0002-0000-1900-000013000000}">
      <formula1>$N$577:$N$582</formula1>
    </dataValidation>
    <dataValidation type="list" allowBlank="1" showInputMessage="1" showErrorMessage="1" sqref="J628" xr:uid="{00000000-0002-0000-1900-000014000000}">
      <formula1>$N$627:$N$632</formula1>
    </dataValidation>
    <dataValidation type="list" allowBlank="1" showInputMessage="1" showErrorMessage="1" sqref="J650" xr:uid="{00000000-0002-0000-1900-000015000000}">
      <formula1>$N$649:$N$654</formula1>
    </dataValidation>
    <dataValidation type="list" allowBlank="1" showInputMessage="1" showErrorMessage="1" sqref="J672" xr:uid="{00000000-0002-0000-1900-000016000000}">
      <formula1>$N$671:$N$676</formula1>
    </dataValidation>
  </dataValidations>
  <hyperlinks>
    <hyperlink ref="L10" r:id="rId1" xr:uid="{00000000-0004-0000-1900-000000000000}"/>
    <hyperlink ref="L12" r:id="rId2" xr:uid="{00000000-0004-0000-1900-000001000000}"/>
    <hyperlink ref="L114" r:id="rId3" xr:uid="{00000000-0004-0000-1900-000002000000}"/>
    <hyperlink ref="L518" r:id="rId4" xr:uid="{00000000-0004-0000-1900-000003000000}"/>
    <hyperlink ref="L535" r:id="rId5" xr:uid="{00000000-0004-0000-1900-000004000000}"/>
  </hyperlinks>
  <pageMargins left="0.7" right="0.7" top="0.75" bottom="0.75" header="0.3" footer="0.3"/>
  <pageSetup scale="70" orientation="portrait" r:id="rId6"/>
  <drawing r:id="rId7"/>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dimension ref="A1:N1029"/>
  <sheetViews>
    <sheetView showGridLines="0" showRowColHeaders="0" zoomScaleNormal="100" workbookViewId="0">
      <selection activeCell="R671" sqref="R671"/>
    </sheetView>
  </sheetViews>
  <sheetFormatPr baseColWidth="10" defaultColWidth="9.1640625" defaultRowHeight="15" x14ac:dyDescent="0.2"/>
  <cols>
    <col min="1" max="1" width="9.1640625" style="12"/>
    <col min="2" max="3" width="9.1640625" style="12" customWidth="1"/>
    <col min="4" max="4" width="9.1640625" style="12"/>
    <col min="5" max="5" width="9.1640625" style="12" customWidth="1"/>
    <col min="6" max="9" width="9.1640625" style="12"/>
    <col min="10" max="10" width="25.6640625" style="12" customWidth="1"/>
    <col min="11" max="12" width="9.1640625" style="12"/>
    <col min="13" max="13" width="9.1640625" style="12" customWidth="1"/>
    <col min="14" max="14" width="9.1640625" style="12" hidden="1" customWidth="1"/>
    <col min="15" max="16384" width="9.1640625" style="12"/>
  </cols>
  <sheetData>
    <row r="1" spans="2:13" x14ac:dyDescent="0.2">
      <c r="I1" s="29"/>
    </row>
    <row r="2" spans="2:13" ht="33" x14ac:dyDescent="0.2">
      <c r="G2" s="16" t="s">
        <v>1038</v>
      </c>
      <c r="I2" s="29"/>
    </row>
    <row r="3" spans="2:13" ht="23" x14ac:dyDescent="0.25">
      <c r="G3" s="30" t="s">
        <v>12</v>
      </c>
      <c r="I3" s="29"/>
      <c r="L3" s="157"/>
      <c r="M3" s="157"/>
    </row>
    <row r="4" spans="2:13" x14ac:dyDescent="0.2">
      <c r="G4" s="98"/>
      <c r="I4" s="29"/>
      <c r="L4" s="158"/>
      <c r="M4" s="157"/>
    </row>
    <row r="5" spans="2:13" ht="75" customHeight="1" x14ac:dyDescent="0.2">
      <c r="B5" s="426" t="s">
        <v>678</v>
      </c>
      <c r="C5" s="427"/>
      <c r="D5" s="427"/>
      <c r="E5" s="427"/>
      <c r="F5" s="427"/>
      <c r="G5" s="427"/>
      <c r="H5" s="427"/>
      <c r="I5" s="427"/>
      <c r="J5" s="427"/>
      <c r="K5" s="427"/>
      <c r="L5" s="158"/>
      <c r="M5" s="157"/>
    </row>
    <row r="6" spans="2:13" x14ac:dyDescent="0.2">
      <c r="B6" s="426"/>
      <c r="C6" s="426"/>
      <c r="D6" s="426"/>
      <c r="E6" s="426"/>
      <c r="F6" s="426"/>
      <c r="G6" s="426"/>
      <c r="H6" s="426"/>
      <c r="I6" s="426"/>
      <c r="J6" s="426"/>
      <c r="K6" s="426"/>
      <c r="L6" s="158"/>
    </row>
    <row r="7" spans="2:13" ht="60" customHeight="1" x14ac:dyDescent="0.2">
      <c r="B7" s="425" t="s">
        <v>664</v>
      </c>
      <c r="C7" s="341"/>
      <c r="D7" s="341"/>
      <c r="E7" s="341"/>
      <c r="F7" s="341"/>
      <c r="G7" s="341"/>
      <c r="H7" s="341"/>
      <c r="I7" s="341"/>
      <c r="J7" s="341"/>
      <c r="K7" s="341"/>
    </row>
    <row r="8" spans="2:13" x14ac:dyDescent="0.2">
      <c r="B8" s="426"/>
      <c r="C8" s="426"/>
      <c r="D8" s="426"/>
      <c r="E8" s="426"/>
      <c r="F8" s="426"/>
      <c r="G8" s="426"/>
      <c r="H8" s="426"/>
      <c r="I8" s="426"/>
      <c r="J8" s="426"/>
      <c r="K8" s="426"/>
    </row>
    <row r="9" spans="2:13" ht="30" customHeight="1" x14ac:dyDescent="0.2">
      <c r="B9" s="445" t="s">
        <v>665</v>
      </c>
      <c r="C9" s="446"/>
      <c r="D9" s="446"/>
      <c r="E9" s="446"/>
      <c r="F9" s="446"/>
      <c r="G9" s="446"/>
      <c r="H9" s="446"/>
      <c r="I9" s="446"/>
      <c r="J9" s="446"/>
      <c r="K9" s="446"/>
    </row>
    <row r="10" spans="2:13" ht="60.75" customHeight="1" x14ac:dyDescent="0.2">
      <c r="B10" s="434" t="s">
        <v>1077</v>
      </c>
      <c r="C10" s="435"/>
      <c r="D10" s="435"/>
      <c r="E10" s="435"/>
      <c r="F10" s="435"/>
      <c r="G10" s="435"/>
      <c r="H10" s="435"/>
      <c r="I10" s="435"/>
      <c r="J10" s="435"/>
      <c r="K10" s="436"/>
    </row>
    <row r="11" spans="2:13" ht="16" thickBot="1" x14ac:dyDescent="0.25"/>
    <row r="12" spans="2:13" x14ac:dyDescent="0.2">
      <c r="B12" s="159"/>
      <c r="C12" s="160"/>
      <c r="D12" s="160"/>
      <c r="E12" s="160"/>
      <c r="F12" s="160"/>
      <c r="G12" s="160"/>
      <c r="H12" s="160"/>
      <c r="I12" s="160"/>
      <c r="J12" s="160"/>
      <c r="K12" s="161"/>
    </row>
    <row r="13" spans="2:13" ht="21" x14ac:dyDescent="0.25">
      <c r="B13" s="162"/>
      <c r="C13" s="163"/>
      <c r="D13" s="163"/>
      <c r="E13" s="163"/>
      <c r="F13" s="163"/>
      <c r="G13" s="164" t="s">
        <v>226</v>
      </c>
      <c r="H13" s="163"/>
      <c r="I13" s="163"/>
      <c r="J13" s="163"/>
      <c r="K13" s="165"/>
    </row>
    <row r="14" spans="2:13" ht="21" x14ac:dyDescent="0.25">
      <c r="B14" s="162"/>
      <c r="C14" s="163"/>
      <c r="D14" s="163"/>
      <c r="E14" s="163"/>
      <c r="F14" s="163"/>
      <c r="G14" s="164"/>
      <c r="H14" s="163"/>
      <c r="I14" s="163"/>
      <c r="J14" s="163"/>
      <c r="K14" s="165"/>
    </row>
    <row r="15" spans="2:13" ht="26.25" customHeight="1" x14ac:dyDescent="0.2">
      <c r="B15" s="162"/>
      <c r="C15" s="163" t="s">
        <v>255</v>
      </c>
      <c r="D15" s="163"/>
      <c r="E15" s="412" t="s">
        <v>227</v>
      </c>
      <c r="F15" s="437"/>
      <c r="G15" s="437"/>
      <c r="H15" s="437"/>
      <c r="I15" s="437"/>
      <c r="J15" s="438"/>
      <c r="K15" s="165"/>
    </row>
    <row r="16" spans="2:13" x14ac:dyDescent="0.2">
      <c r="B16" s="162"/>
      <c r="C16" s="163"/>
      <c r="D16" s="163"/>
      <c r="E16" s="163"/>
      <c r="F16" s="163"/>
      <c r="G16" s="163"/>
      <c r="H16" s="163"/>
      <c r="I16" s="163"/>
      <c r="J16" s="163"/>
      <c r="K16" s="165"/>
    </row>
    <row r="17" spans="2:14" x14ac:dyDescent="0.2">
      <c r="B17" s="162"/>
      <c r="C17" s="166" t="s">
        <v>256</v>
      </c>
      <c r="D17" s="163"/>
      <c r="E17" s="167">
        <f>IF(E15=$C$966,$A$966,IF(E15=$C$967,$A$967,IF(E15=$C$968,$A$968,IF(E15=$C$969,$A$969,IF(E15=$C$970,$A$970,"Not Calculated")))))</f>
        <v>3</v>
      </c>
      <c r="F17" s="163"/>
      <c r="G17" s="163"/>
      <c r="H17" s="163"/>
      <c r="I17" s="163"/>
      <c r="J17" s="163"/>
      <c r="K17" s="165"/>
    </row>
    <row r="18" spans="2:14" x14ac:dyDescent="0.2">
      <c r="B18" s="162"/>
      <c r="C18" s="163"/>
      <c r="D18" s="163"/>
      <c r="E18" s="167" t="str">
        <f>IF(E15=$C$966,$B$966,IF(E15=$C$967,$B$967,IF(E15=$C$968,$B$968,IF(E15=$C$969,$B$969,IF(E15=$C$970,$B$970,"Not Calculated")))))</f>
        <v>Probable</v>
      </c>
      <c r="F18" s="163"/>
      <c r="G18" s="163"/>
      <c r="H18" s="163"/>
      <c r="I18" s="163"/>
      <c r="J18" s="163"/>
      <c r="K18" s="165"/>
    </row>
    <row r="19" spans="2:14" ht="16" thickBot="1" x14ac:dyDescent="0.25">
      <c r="B19" s="168"/>
      <c r="C19" s="169"/>
      <c r="D19" s="169"/>
      <c r="E19" s="169"/>
      <c r="F19" s="169"/>
      <c r="G19" s="169"/>
      <c r="H19" s="169"/>
      <c r="I19" s="169"/>
      <c r="J19" s="169"/>
      <c r="K19" s="170"/>
    </row>
    <row r="20" spans="2:14" ht="16" thickBot="1" x14ac:dyDescent="0.25"/>
    <row r="21" spans="2:14" x14ac:dyDescent="0.2">
      <c r="B21" s="33"/>
      <c r="C21" s="34"/>
      <c r="D21" s="34"/>
      <c r="E21" s="34"/>
      <c r="F21" s="34"/>
      <c r="G21" s="34"/>
      <c r="H21" s="34"/>
      <c r="I21" s="34"/>
      <c r="J21" s="34"/>
      <c r="K21" s="37"/>
    </row>
    <row r="22" spans="2:14" ht="21" x14ac:dyDescent="0.25">
      <c r="B22" s="38"/>
      <c r="C22" s="171"/>
      <c r="D22" s="40"/>
      <c r="E22" s="40"/>
      <c r="F22" s="40"/>
      <c r="G22" s="172" t="s">
        <v>26</v>
      </c>
      <c r="H22" s="40"/>
      <c r="I22" s="40"/>
      <c r="J22" s="40"/>
      <c r="K22" s="41"/>
    </row>
    <row r="23" spans="2:14" x14ac:dyDescent="0.2">
      <c r="B23" s="38"/>
      <c r="C23" s="40"/>
      <c r="D23" s="40"/>
      <c r="E23" s="40"/>
      <c r="F23" s="40"/>
      <c r="G23" s="40"/>
      <c r="H23" s="40"/>
      <c r="I23" s="40"/>
      <c r="J23" s="40"/>
      <c r="K23" s="41"/>
    </row>
    <row r="24" spans="2:14" ht="16" x14ac:dyDescent="0.2">
      <c r="B24" s="38"/>
      <c r="C24" s="45" t="s">
        <v>61</v>
      </c>
      <c r="D24" s="40"/>
      <c r="E24" s="40"/>
      <c r="F24" s="40"/>
      <c r="G24" s="40"/>
      <c r="H24" s="40"/>
      <c r="I24" s="40"/>
      <c r="J24" s="40"/>
      <c r="K24" s="41"/>
    </row>
    <row r="25" spans="2:14" x14ac:dyDescent="0.2">
      <c r="B25" s="38"/>
      <c r="C25" s="40" t="s">
        <v>434</v>
      </c>
      <c r="D25" s="40"/>
      <c r="E25" s="40"/>
      <c r="F25" s="40"/>
      <c r="G25" s="40"/>
      <c r="H25" s="40"/>
      <c r="I25" s="40"/>
      <c r="J25" s="252">
        <f>'Baseline Health'!G11</f>
        <v>0</v>
      </c>
      <c r="K25" s="41"/>
    </row>
    <row r="26" spans="2:14" x14ac:dyDescent="0.2">
      <c r="B26" s="38"/>
      <c r="C26" s="40" t="s">
        <v>288</v>
      </c>
      <c r="D26" s="40"/>
      <c r="E26" s="40"/>
      <c r="F26" s="40"/>
      <c r="G26" s="40"/>
      <c r="H26" s="40"/>
      <c r="I26" s="40"/>
      <c r="J26" s="264">
        <v>2</v>
      </c>
      <c r="K26" s="41"/>
    </row>
    <row r="27" spans="2:14" x14ac:dyDescent="0.2">
      <c r="B27" s="38"/>
      <c r="C27" s="40" t="s">
        <v>260</v>
      </c>
      <c r="D27" s="40"/>
      <c r="E27" s="40"/>
      <c r="F27" s="40"/>
      <c r="G27" s="40"/>
      <c r="H27" s="40"/>
      <c r="I27" s="40"/>
      <c r="J27" s="248" t="str">
        <f>IF(OR(J25=0,J25="Not Calculated")=TRUE,"Not Calculated",(IF(((J26+J25)/J25)&lt;=1,0,IF(((J26+J25)/J25)&lt;=1.05,1,IF(((J26+J25)/J25)&lt;=1.5, 2,IF(((J26+J25)/J25)&lt;=2,3,4))))))</f>
        <v>Not Calculated</v>
      </c>
      <c r="K27" s="41"/>
    </row>
    <row r="28" spans="2:14" ht="9.75" customHeight="1" x14ac:dyDescent="0.2">
      <c r="B28" s="38"/>
      <c r="C28" s="279" t="str">
        <f>"0:"</f>
        <v>0:</v>
      </c>
      <c r="D28" s="281" t="s">
        <v>918</v>
      </c>
      <c r="E28" s="40"/>
      <c r="F28" s="40"/>
      <c r="G28" s="40"/>
      <c r="H28" s="40"/>
      <c r="I28" s="40"/>
      <c r="J28" s="40"/>
      <c r="K28" s="41"/>
    </row>
    <row r="29" spans="2:14" ht="9.75" customHeight="1" x14ac:dyDescent="0.2">
      <c r="B29" s="38"/>
      <c r="C29" s="280" t="str">
        <f>"1:"</f>
        <v>1:</v>
      </c>
      <c r="D29" s="281" t="s">
        <v>919</v>
      </c>
      <c r="E29" s="40"/>
      <c r="F29" s="40"/>
      <c r="G29" s="40"/>
      <c r="H29" s="40"/>
      <c r="I29" s="40"/>
      <c r="J29" s="40"/>
      <c r="K29" s="41"/>
    </row>
    <row r="30" spans="2:14" ht="9.75" customHeight="1" x14ac:dyDescent="0.2">
      <c r="B30" s="38"/>
      <c r="C30" s="280" t="str">
        <f>"2:"</f>
        <v>2:</v>
      </c>
      <c r="D30" s="281" t="s">
        <v>920</v>
      </c>
      <c r="E30" s="40"/>
      <c r="F30" s="40"/>
      <c r="G30" s="40"/>
      <c r="H30" s="40"/>
      <c r="I30" s="40"/>
      <c r="J30" s="40"/>
      <c r="K30" s="41"/>
    </row>
    <row r="31" spans="2:14" ht="9.75" customHeight="1" x14ac:dyDescent="0.2">
      <c r="B31" s="38"/>
      <c r="C31" s="280" t="str">
        <f>"3:"</f>
        <v>3:</v>
      </c>
      <c r="D31" s="281" t="s">
        <v>921</v>
      </c>
      <c r="E31" s="40"/>
      <c r="F31" s="40"/>
      <c r="G31" s="40"/>
      <c r="H31" s="40"/>
      <c r="I31" s="40"/>
      <c r="J31" s="40"/>
      <c r="K31" s="41"/>
    </row>
    <row r="32" spans="2:14" ht="9.75" customHeight="1" x14ac:dyDescent="0.2">
      <c r="B32" s="38"/>
      <c r="C32" s="280" t="str">
        <f>"4:"</f>
        <v>4:</v>
      </c>
      <c r="D32" s="281" t="s">
        <v>922</v>
      </c>
      <c r="E32" s="40"/>
      <c r="F32" s="40"/>
      <c r="G32" s="40"/>
      <c r="H32" s="40"/>
      <c r="I32" s="40"/>
      <c r="J32" s="40"/>
      <c r="K32" s="41"/>
      <c r="N32" s="12" t="s">
        <v>661</v>
      </c>
    </row>
    <row r="33" spans="2:14" x14ac:dyDescent="0.2">
      <c r="B33" s="38"/>
      <c r="C33" s="174" t="s">
        <v>662</v>
      </c>
      <c r="D33" s="40"/>
      <c r="E33" s="40"/>
      <c r="F33" s="40"/>
      <c r="G33" s="40"/>
      <c r="H33" s="40"/>
      <c r="I33" s="40"/>
      <c r="J33" s="265" t="s">
        <v>661</v>
      </c>
      <c r="K33" s="41"/>
      <c r="N33" s="12" t="s">
        <v>894</v>
      </c>
    </row>
    <row r="34" spans="2:14" x14ac:dyDescent="0.2">
      <c r="B34" s="38"/>
      <c r="C34" s="174" t="s">
        <v>660</v>
      </c>
      <c r="D34" s="40"/>
      <c r="E34" s="40"/>
      <c r="F34" s="40"/>
      <c r="G34" s="40"/>
      <c r="H34" s="40"/>
      <c r="I34" s="40"/>
      <c r="J34" s="246" t="str">
        <f>IF(J33=N32,"N/A",IF(J33=N33,0,IF(J33=N34,1,IF(J33=N35,2,IF(J33=N36,3,IF(J33=N37,4,"N/A"))))))</f>
        <v>N/A</v>
      </c>
      <c r="K34" s="41"/>
      <c r="N34" s="12" t="s">
        <v>895</v>
      </c>
    </row>
    <row r="35" spans="2:14" x14ac:dyDescent="0.2">
      <c r="B35" s="38"/>
      <c r="C35" s="40" t="s">
        <v>257</v>
      </c>
      <c r="D35" s="40"/>
      <c r="E35" s="40"/>
      <c r="F35" s="40"/>
      <c r="G35" s="40"/>
      <c r="H35" s="40"/>
      <c r="I35" s="40"/>
      <c r="J35" s="266" t="s">
        <v>882</v>
      </c>
      <c r="K35" s="41"/>
      <c r="N35" s="12" t="s">
        <v>896</v>
      </c>
    </row>
    <row r="36" spans="2:14" x14ac:dyDescent="0.2">
      <c r="B36" s="38"/>
      <c r="C36" s="40" t="s">
        <v>261</v>
      </c>
      <c r="D36" s="40"/>
      <c r="E36" s="40"/>
      <c r="F36" s="40"/>
      <c r="G36" s="40"/>
      <c r="H36" s="40"/>
      <c r="I36" s="40"/>
      <c r="J36" s="245">
        <f>IF(J35=$B$973,$A$973,IF(J35=$B$974,$A$974,IF(J35=$B$975,$A$975,IF(J35=$B$976,$A$976,IF(J35=$B$977,$A$977,"Not Calculated")))))</f>
        <v>1</v>
      </c>
      <c r="K36" s="41"/>
      <c r="N36" s="12" t="s">
        <v>897</v>
      </c>
    </row>
    <row r="37" spans="2:14" x14ac:dyDescent="0.2">
      <c r="B37" s="38"/>
      <c r="C37" s="40" t="s">
        <v>893</v>
      </c>
      <c r="D37" s="40"/>
      <c r="E37" s="40"/>
      <c r="F37" s="40"/>
      <c r="G37" s="40"/>
      <c r="H37" s="40"/>
      <c r="I37" s="40"/>
      <c r="J37" s="175"/>
      <c r="K37" s="41"/>
      <c r="N37" s="12" t="s">
        <v>898</v>
      </c>
    </row>
    <row r="38" spans="2:14" s="178" customFormat="1" ht="30" customHeight="1" x14ac:dyDescent="0.2">
      <c r="B38" s="176"/>
      <c r="C38" s="415" t="s">
        <v>568</v>
      </c>
      <c r="D38" s="400"/>
      <c r="E38" s="400"/>
      <c r="F38" s="400"/>
      <c r="G38" s="400"/>
      <c r="H38" s="400"/>
      <c r="I38" s="400"/>
      <c r="J38" s="401"/>
      <c r="K38" s="177"/>
    </row>
    <row r="39" spans="2:14" x14ac:dyDescent="0.2">
      <c r="B39" s="38"/>
      <c r="C39" s="40"/>
      <c r="D39" s="40"/>
      <c r="E39" s="40"/>
      <c r="F39" s="40"/>
      <c r="G39" s="40"/>
      <c r="H39" s="40"/>
      <c r="I39" s="40"/>
      <c r="J39" s="40"/>
      <c r="K39" s="41"/>
    </row>
    <row r="40" spans="2:14" x14ac:dyDescent="0.2">
      <c r="B40" s="38"/>
      <c r="C40" s="179" t="s">
        <v>258</v>
      </c>
      <c r="D40" s="40"/>
      <c r="E40" s="40"/>
      <c r="F40" s="40"/>
      <c r="G40" s="40"/>
      <c r="H40" s="40"/>
      <c r="I40" s="40"/>
      <c r="J40" s="245" t="str">
        <f>IF(J34="N/A",IF(OR(J27="Not Calculated",J36="Not Calculated")=TRUE,"Not Calculated",AVERAGE(J27,J36)),AVERAGE(J34,J36))</f>
        <v>Not Calculated</v>
      </c>
      <c r="K40" s="41"/>
    </row>
    <row r="41" spans="2:14" x14ac:dyDescent="0.2">
      <c r="B41" s="38"/>
      <c r="C41" s="179"/>
      <c r="D41" s="40"/>
      <c r="E41" s="40"/>
      <c r="F41" s="40"/>
      <c r="G41" s="40"/>
      <c r="H41" s="40"/>
      <c r="I41" s="40"/>
      <c r="J41" s="245"/>
      <c r="K41" s="41"/>
    </row>
    <row r="42" spans="2:14" x14ac:dyDescent="0.2">
      <c r="B42" s="38"/>
      <c r="C42" s="40"/>
      <c r="D42" s="40"/>
      <c r="E42" s="40"/>
      <c r="F42" s="40"/>
      <c r="G42" s="40"/>
      <c r="H42" s="40"/>
      <c r="I42" s="40"/>
      <c r="J42" s="40"/>
      <c r="K42" s="41"/>
    </row>
    <row r="43" spans="2:14" ht="16" x14ac:dyDescent="0.2">
      <c r="B43" s="38"/>
      <c r="C43" s="45" t="s">
        <v>51</v>
      </c>
      <c r="D43" s="40"/>
      <c r="E43" s="40"/>
      <c r="F43" s="40"/>
      <c r="G43" s="40"/>
      <c r="H43" s="40"/>
      <c r="I43" s="40"/>
      <c r="J43" s="40"/>
      <c r="K43" s="41"/>
    </row>
    <row r="44" spans="2:14" x14ac:dyDescent="0.2">
      <c r="B44" s="38"/>
      <c r="C44" s="40" t="s">
        <v>435</v>
      </c>
      <c r="D44" s="40"/>
      <c r="E44" s="40"/>
      <c r="F44" s="40"/>
      <c r="G44" s="40"/>
      <c r="H44" s="40"/>
      <c r="I44" s="40"/>
      <c r="J44" s="252">
        <f>'Baseline Health'!G17</f>
        <v>0</v>
      </c>
      <c r="K44" s="41"/>
    </row>
    <row r="45" spans="2:14" x14ac:dyDescent="0.2">
      <c r="B45" s="38"/>
      <c r="C45" s="40" t="s">
        <v>287</v>
      </c>
      <c r="D45" s="40"/>
      <c r="E45" s="40"/>
      <c r="F45" s="40"/>
      <c r="G45" s="40"/>
      <c r="H45" s="40"/>
      <c r="I45" s="40"/>
      <c r="J45" s="264">
        <f>J44*0.09</f>
        <v>0</v>
      </c>
      <c r="K45" s="41"/>
    </row>
    <row r="46" spans="2:14" x14ac:dyDescent="0.2">
      <c r="B46" s="38"/>
      <c r="C46" s="40" t="s">
        <v>260</v>
      </c>
      <c r="D46" s="40"/>
      <c r="E46" s="40"/>
      <c r="F46" s="40"/>
      <c r="G46" s="40"/>
      <c r="H46" s="40"/>
      <c r="I46" s="40"/>
      <c r="J46" s="248" t="str">
        <f>IF(OR(J44=0,J44="Not Calculated")=TRUE,"Not Calculated",(IF(((J45+J44)/J44)&lt;=1,0,IF(((J45+J44)/J44)&lt;=1.05,1,IF(((J45+J44)/J44)&lt;=1.5, 2,IF(((J45+J44)/J44)&lt;=2,3,4))))))</f>
        <v>Not Calculated</v>
      </c>
      <c r="K46" s="41"/>
    </row>
    <row r="47" spans="2:14" ht="9.75" customHeight="1" x14ac:dyDescent="0.2">
      <c r="B47" s="38"/>
      <c r="C47" s="279" t="str">
        <f>"0:"</f>
        <v>0:</v>
      </c>
      <c r="D47" s="281" t="s">
        <v>918</v>
      </c>
      <c r="E47" s="40"/>
      <c r="F47" s="40"/>
      <c r="G47" s="40"/>
      <c r="H47" s="40"/>
      <c r="I47" s="40"/>
      <c r="J47" s="40"/>
      <c r="K47" s="41"/>
    </row>
    <row r="48" spans="2:14" ht="9.75" customHeight="1" x14ac:dyDescent="0.2">
      <c r="B48" s="38"/>
      <c r="C48" s="280" t="str">
        <f>"1:"</f>
        <v>1:</v>
      </c>
      <c r="D48" s="281" t="s">
        <v>919</v>
      </c>
      <c r="E48" s="40"/>
      <c r="F48" s="40"/>
      <c r="G48" s="40"/>
      <c r="H48" s="40"/>
      <c r="I48" s="40"/>
      <c r="J48" s="40"/>
      <c r="K48" s="41"/>
    </row>
    <row r="49" spans="2:14" ht="9.75" customHeight="1" x14ac:dyDescent="0.2">
      <c r="B49" s="38"/>
      <c r="C49" s="280" t="str">
        <f>"2:"</f>
        <v>2:</v>
      </c>
      <c r="D49" s="281" t="s">
        <v>920</v>
      </c>
      <c r="E49" s="40"/>
      <c r="F49" s="40"/>
      <c r="G49" s="40"/>
      <c r="H49" s="40"/>
      <c r="I49" s="40"/>
      <c r="J49" s="40"/>
      <c r="K49" s="41"/>
    </row>
    <row r="50" spans="2:14" ht="9.75" customHeight="1" x14ac:dyDescent="0.2">
      <c r="B50" s="38"/>
      <c r="C50" s="280" t="str">
        <f>"3:"</f>
        <v>3:</v>
      </c>
      <c r="D50" s="281" t="s">
        <v>921</v>
      </c>
      <c r="E50" s="40"/>
      <c r="F50" s="40"/>
      <c r="G50" s="40"/>
      <c r="H50" s="40"/>
      <c r="I50" s="40"/>
      <c r="J50" s="40"/>
      <c r="K50" s="41"/>
    </row>
    <row r="51" spans="2:14" ht="9.75" customHeight="1" x14ac:dyDescent="0.2">
      <c r="B51" s="38"/>
      <c r="C51" s="280" t="str">
        <f>"4:"</f>
        <v>4:</v>
      </c>
      <c r="D51" s="281" t="s">
        <v>922</v>
      </c>
      <c r="E51" s="40"/>
      <c r="F51" s="40"/>
      <c r="G51" s="40"/>
      <c r="H51" s="40"/>
      <c r="I51" s="40"/>
      <c r="J51" s="40"/>
      <c r="K51" s="41"/>
      <c r="N51" s="12" t="s">
        <v>661</v>
      </c>
    </row>
    <row r="52" spans="2:14" x14ac:dyDescent="0.2">
      <c r="B52" s="38"/>
      <c r="C52" s="174" t="s">
        <v>662</v>
      </c>
      <c r="D52" s="40"/>
      <c r="E52" s="40"/>
      <c r="F52" s="40"/>
      <c r="G52" s="40"/>
      <c r="H52" s="40"/>
      <c r="I52" s="40"/>
      <c r="J52" s="265" t="s">
        <v>661</v>
      </c>
      <c r="K52" s="41"/>
      <c r="N52" s="12" t="s">
        <v>894</v>
      </c>
    </row>
    <row r="53" spans="2:14" x14ac:dyDescent="0.2">
      <c r="B53" s="38"/>
      <c r="C53" s="174" t="s">
        <v>660</v>
      </c>
      <c r="D53" s="40"/>
      <c r="E53" s="40"/>
      <c r="F53" s="40"/>
      <c r="G53" s="40"/>
      <c r="H53" s="40"/>
      <c r="I53" s="40"/>
      <c r="J53" s="246" t="str">
        <f>IF(J52=N51,"N/A",IF(J52=N52,0,IF(J52=N53,1,IF(J52=N54,2,IF(J52=N55,3,IF(J52=N56,4,"N/A"))))))</f>
        <v>N/A</v>
      </c>
      <c r="K53" s="41"/>
      <c r="N53" s="12" t="s">
        <v>895</v>
      </c>
    </row>
    <row r="54" spans="2:14" x14ac:dyDescent="0.2">
      <c r="B54" s="38"/>
      <c r="C54" s="40" t="s">
        <v>257</v>
      </c>
      <c r="D54" s="40"/>
      <c r="E54" s="40"/>
      <c r="F54" s="40"/>
      <c r="G54" s="40"/>
      <c r="H54" s="40"/>
      <c r="I54" s="40"/>
      <c r="J54" s="266" t="s">
        <v>872</v>
      </c>
      <c r="K54" s="41"/>
      <c r="N54" s="12" t="s">
        <v>896</v>
      </c>
    </row>
    <row r="55" spans="2:14" x14ac:dyDescent="0.2">
      <c r="B55" s="38"/>
      <c r="C55" s="40" t="s">
        <v>261</v>
      </c>
      <c r="D55" s="40"/>
      <c r="E55" s="40"/>
      <c r="F55" s="40"/>
      <c r="G55" s="40"/>
      <c r="H55" s="40"/>
      <c r="I55" s="40"/>
      <c r="J55" s="245">
        <f>IF(J54=$B$973,$A$973,IF(J54=$B$974,$A$974,IF(J54=$B$975,$A$975,IF(J54=$B$976,$A$976,IF(J54=$B$977,$A$977,"Not Calculated")))))</f>
        <v>2</v>
      </c>
      <c r="K55" s="41"/>
      <c r="N55" s="12" t="s">
        <v>897</v>
      </c>
    </row>
    <row r="56" spans="2:14" x14ac:dyDescent="0.2">
      <c r="B56" s="38"/>
      <c r="C56" s="40" t="s">
        <v>893</v>
      </c>
      <c r="D56" s="40"/>
      <c r="E56" s="40"/>
      <c r="F56" s="40"/>
      <c r="G56" s="40"/>
      <c r="H56" s="40"/>
      <c r="I56" s="40"/>
      <c r="J56" s="175"/>
      <c r="K56" s="41"/>
      <c r="N56" s="12" t="s">
        <v>898</v>
      </c>
    </row>
    <row r="57" spans="2:14" s="178" customFormat="1" ht="30" customHeight="1" x14ac:dyDescent="0.2">
      <c r="B57" s="176"/>
      <c r="C57" s="415" t="s">
        <v>569</v>
      </c>
      <c r="D57" s="400"/>
      <c r="E57" s="400"/>
      <c r="F57" s="400"/>
      <c r="G57" s="400"/>
      <c r="H57" s="400"/>
      <c r="I57" s="400"/>
      <c r="J57" s="401"/>
      <c r="K57" s="177"/>
    </row>
    <row r="58" spans="2:14" x14ac:dyDescent="0.2">
      <c r="B58" s="38"/>
      <c r="C58" s="40"/>
      <c r="D58" s="40"/>
      <c r="E58" s="40"/>
      <c r="F58" s="40"/>
      <c r="G58" s="40"/>
      <c r="H58" s="40"/>
      <c r="I58" s="40"/>
      <c r="J58" s="40"/>
      <c r="K58" s="41"/>
    </row>
    <row r="59" spans="2:14" x14ac:dyDescent="0.2">
      <c r="B59" s="38"/>
      <c r="C59" s="179" t="s">
        <v>263</v>
      </c>
      <c r="D59" s="40"/>
      <c r="E59" s="40"/>
      <c r="F59" s="40"/>
      <c r="G59" s="40"/>
      <c r="H59" s="40"/>
      <c r="I59" s="40"/>
      <c r="J59" s="245" t="str">
        <f>IF(J53="N/A",IF(OR(J46="Not Calculated",J55="Not Calculated")=TRUE,"Not Calculated",AVERAGE(J46,J55)),AVERAGE(J53,J55))</f>
        <v>Not Calculated</v>
      </c>
      <c r="K59" s="41"/>
    </row>
    <row r="60" spans="2:14" x14ac:dyDescent="0.2">
      <c r="B60" s="38"/>
      <c r="C60" s="40"/>
      <c r="D60" s="40"/>
      <c r="E60" s="40"/>
      <c r="F60" s="40"/>
      <c r="G60" s="40"/>
      <c r="H60" s="40"/>
      <c r="I60" s="40"/>
      <c r="J60" s="40"/>
      <c r="K60" s="41"/>
    </row>
    <row r="61" spans="2:14" x14ac:dyDescent="0.2">
      <c r="B61" s="38"/>
      <c r="C61" s="40"/>
      <c r="D61" s="40"/>
      <c r="E61" s="40"/>
      <c r="F61" s="40"/>
      <c r="G61" s="40"/>
      <c r="H61" s="40"/>
      <c r="I61" s="40"/>
      <c r="J61" s="40"/>
      <c r="K61" s="41"/>
    </row>
    <row r="62" spans="2:14" ht="16" x14ac:dyDescent="0.2">
      <c r="B62" s="38"/>
      <c r="C62" s="45" t="s">
        <v>54</v>
      </c>
      <c r="D62" s="40"/>
      <c r="E62" s="40"/>
      <c r="F62" s="40"/>
      <c r="G62" s="40"/>
      <c r="H62" s="40"/>
      <c r="I62" s="40"/>
      <c r="J62" s="40"/>
      <c r="K62" s="41"/>
    </row>
    <row r="63" spans="2:14" x14ac:dyDescent="0.2">
      <c r="B63" s="38"/>
      <c r="C63" s="40" t="s">
        <v>436</v>
      </c>
      <c r="D63" s="40"/>
      <c r="E63" s="40"/>
      <c r="F63" s="40"/>
      <c r="G63" s="40"/>
      <c r="H63" s="40"/>
      <c r="I63" s="40"/>
      <c r="J63" s="252">
        <f>'Baseline Health'!G23</f>
        <v>0</v>
      </c>
      <c r="K63" s="41"/>
    </row>
    <row r="64" spans="2:14" x14ac:dyDescent="0.2">
      <c r="B64" s="38"/>
      <c r="C64" s="40" t="s">
        <v>289</v>
      </c>
      <c r="D64" s="40"/>
      <c r="E64" s="40"/>
      <c r="F64" s="40"/>
      <c r="G64" s="40"/>
      <c r="H64" s="40"/>
      <c r="I64" s="40"/>
      <c r="J64" s="264">
        <f>J63</f>
        <v>0</v>
      </c>
      <c r="K64" s="41"/>
    </row>
    <row r="65" spans="2:14" x14ac:dyDescent="0.2">
      <c r="B65" s="38"/>
      <c r="C65" s="40" t="s">
        <v>260</v>
      </c>
      <c r="D65" s="40"/>
      <c r="E65" s="40"/>
      <c r="F65" s="40"/>
      <c r="G65" s="40"/>
      <c r="H65" s="40"/>
      <c r="I65" s="40"/>
      <c r="J65" s="248" t="str">
        <f>IF(OR(J63=0,J63="Not Calculated")=TRUE,"Not Calculated",(IF(((J64+J63)/J63)&lt;=1,0,IF(((J64+J63)/J63)&lt;=1.05,1,IF(((J64+J63)/J63)&lt;=1.5, 2,IF(((J64+J63)/J63)&lt;=2,3,4))))))</f>
        <v>Not Calculated</v>
      </c>
      <c r="K65" s="41"/>
    </row>
    <row r="66" spans="2:14" ht="9.75" customHeight="1" x14ac:dyDescent="0.2">
      <c r="B66" s="38"/>
      <c r="C66" s="279" t="str">
        <f>"0:"</f>
        <v>0:</v>
      </c>
      <c r="D66" s="281" t="s">
        <v>918</v>
      </c>
      <c r="E66" s="40"/>
      <c r="F66" s="40"/>
      <c r="G66" s="40"/>
      <c r="H66" s="40"/>
      <c r="I66" s="40"/>
      <c r="J66" s="40"/>
      <c r="K66" s="41"/>
    </row>
    <row r="67" spans="2:14" ht="9.75" customHeight="1" x14ac:dyDescent="0.2">
      <c r="B67" s="38"/>
      <c r="C67" s="280" t="str">
        <f>"1:"</f>
        <v>1:</v>
      </c>
      <c r="D67" s="281" t="s">
        <v>919</v>
      </c>
      <c r="E67" s="40"/>
      <c r="F67" s="40"/>
      <c r="G67" s="40"/>
      <c r="H67" s="40"/>
      <c r="I67" s="40"/>
      <c r="J67" s="40"/>
      <c r="K67" s="41"/>
    </row>
    <row r="68" spans="2:14" ht="9.75" customHeight="1" x14ac:dyDescent="0.2">
      <c r="B68" s="38"/>
      <c r="C68" s="280" t="str">
        <f>"2:"</f>
        <v>2:</v>
      </c>
      <c r="D68" s="281" t="s">
        <v>920</v>
      </c>
      <c r="E68" s="40"/>
      <c r="F68" s="40"/>
      <c r="G68" s="40"/>
      <c r="H68" s="40"/>
      <c r="I68" s="40"/>
      <c r="J68" s="40"/>
      <c r="K68" s="41"/>
    </row>
    <row r="69" spans="2:14" ht="9.75" customHeight="1" x14ac:dyDescent="0.2">
      <c r="B69" s="38"/>
      <c r="C69" s="280" t="str">
        <f>"3:"</f>
        <v>3:</v>
      </c>
      <c r="D69" s="281" t="s">
        <v>921</v>
      </c>
      <c r="E69" s="40"/>
      <c r="F69" s="40"/>
      <c r="G69" s="40"/>
      <c r="H69" s="40"/>
      <c r="I69" s="40"/>
      <c r="J69" s="40"/>
      <c r="K69" s="41"/>
    </row>
    <row r="70" spans="2:14" ht="9.75" customHeight="1" x14ac:dyDescent="0.2">
      <c r="B70" s="38"/>
      <c r="C70" s="280" t="str">
        <f>"4:"</f>
        <v>4:</v>
      </c>
      <c r="D70" s="281" t="s">
        <v>922</v>
      </c>
      <c r="E70" s="40"/>
      <c r="F70" s="40"/>
      <c r="G70" s="40"/>
      <c r="H70" s="40"/>
      <c r="I70" s="40"/>
      <c r="J70" s="40"/>
      <c r="K70" s="41"/>
      <c r="N70" s="12" t="s">
        <v>661</v>
      </c>
    </row>
    <row r="71" spans="2:14" x14ac:dyDescent="0.2">
      <c r="B71" s="38"/>
      <c r="C71" s="174" t="s">
        <v>662</v>
      </c>
      <c r="D71" s="40"/>
      <c r="E71" s="40"/>
      <c r="F71" s="40"/>
      <c r="G71" s="40"/>
      <c r="H71" s="40"/>
      <c r="I71" s="40"/>
      <c r="J71" s="265" t="s">
        <v>661</v>
      </c>
      <c r="K71" s="41"/>
      <c r="N71" s="12" t="s">
        <v>894</v>
      </c>
    </row>
    <row r="72" spans="2:14" x14ac:dyDescent="0.2">
      <c r="B72" s="38"/>
      <c r="C72" s="174" t="s">
        <v>660</v>
      </c>
      <c r="D72" s="40"/>
      <c r="E72" s="40"/>
      <c r="F72" s="40"/>
      <c r="G72" s="40"/>
      <c r="H72" s="40"/>
      <c r="I72" s="40"/>
      <c r="J72" s="246" t="str">
        <f>IF(J71=N70,"N/A",IF(J71=N71,0,IF(J71=N72,1,IF(J71=N73,2,IF(J71=N74,3,IF(J71=N75,4,"N/A"))))))</f>
        <v>N/A</v>
      </c>
      <c r="K72" s="41"/>
      <c r="N72" s="12" t="s">
        <v>895</v>
      </c>
    </row>
    <row r="73" spans="2:14" x14ac:dyDescent="0.2">
      <c r="B73" s="38"/>
      <c r="C73" s="40" t="s">
        <v>257</v>
      </c>
      <c r="D73" s="40"/>
      <c r="E73" s="40"/>
      <c r="F73" s="40"/>
      <c r="G73" s="40"/>
      <c r="H73" s="40"/>
      <c r="I73" s="40"/>
      <c r="J73" s="266" t="s">
        <v>872</v>
      </c>
      <c r="K73" s="41"/>
      <c r="N73" s="12" t="s">
        <v>896</v>
      </c>
    </row>
    <row r="74" spans="2:14" x14ac:dyDescent="0.2">
      <c r="B74" s="38"/>
      <c r="C74" s="40" t="s">
        <v>261</v>
      </c>
      <c r="D74" s="40"/>
      <c r="E74" s="40"/>
      <c r="F74" s="40"/>
      <c r="G74" s="40"/>
      <c r="H74" s="40"/>
      <c r="I74" s="40"/>
      <c r="J74" s="245">
        <f>IF(J73=$B$973,$A$973,IF(J73=$B$974,$A$974,IF(J73=$B$975,$A$975,IF(J73=$B$976,$A$976,IF(J73=$B$977,$A$977,"Not Calculated")))))</f>
        <v>2</v>
      </c>
      <c r="K74" s="41"/>
      <c r="N74" s="12" t="s">
        <v>897</v>
      </c>
    </row>
    <row r="75" spans="2:14" x14ac:dyDescent="0.2">
      <c r="B75" s="38"/>
      <c r="C75" s="40" t="s">
        <v>893</v>
      </c>
      <c r="D75" s="40"/>
      <c r="E75" s="40"/>
      <c r="F75" s="40"/>
      <c r="G75" s="40"/>
      <c r="H75" s="40"/>
      <c r="I75" s="40"/>
      <c r="J75" s="175"/>
      <c r="K75" s="41"/>
      <c r="N75" s="12" t="s">
        <v>898</v>
      </c>
    </row>
    <row r="76" spans="2:14" s="178" customFormat="1" ht="30" customHeight="1" x14ac:dyDescent="0.2">
      <c r="B76" s="176"/>
      <c r="C76" s="415" t="s">
        <v>570</v>
      </c>
      <c r="D76" s="400"/>
      <c r="E76" s="400"/>
      <c r="F76" s="400"/>
      <c r="G76" s="400"/>
      <c r="H76" s="400"/>
      <c r="I76" s="400"/>
      <c r="J76" s="401"/>
      <c r="K76" s="177"/>
    </row>
    <row r="77" spans="2:14" x14ac:dyDescent="0.2">
      <c r="B77" s="38"/>
      <c r="C77" s="40"/>
      <c r="D77" s="40"/>
      <c r="E77" s="40"/>
      <c r="F77" s="40"/>
      <c r="G77" s="40"/>
      <c r="H77" s="40"/>
      <c r="I77" s="40"/>
      <c r="J77" s="40"/>
      <c r="K77" s="41"/>
    </row>
    <row r="78" spans="2:14" x14ac:dyDescent="0.2">
      <c r="B78" s="38"/>
      <c r="C78" s="179" t="s">
        <v>264</v>
      </c>
      <c r="D78" s="40"/>
      <c r="E78" s="40"/>
      <c r="F78" s="40"/>
      <c r="G78" s="40"/>
      <c r="H78" s="40"/>
      <c r="I78" s="40"/>
      <c r="J78" s="245" t="str">
        <f>IF(J72="N/A",IF(OR(J65="Not Calculated",J74="Not Calculated")=TRUE,"Not Calculated",AVERAGE(J65,J74)),AVERAGE(J72,J74))</f>
        <v>Not Calculated</v>
      </c>
      <c r="K78" s="41"/>
    </row>
    <row r="79" spans="2:14" x14ac:dyDescent="0.2">
      <c r="B79" s="38"/>
      <c r="C79" s="40"/>
      <c r="D79" s="40"/>
      <c r="E79" s="40"/>
      <c r="F79" s="40"/>
      <c r="G79" s="40"/>
      <c r="H79" s="40"/>
      <c r="I79" s="40"/>
      <c r="J79" s="40"/>
      <c r="K79" s="41"/>
    </row>
    <row r="80" spans="2:14" x14ac:dyDescent="0.2">
      <c r="B80" s="38"/>
      <c r="C80" s="40"/>
      <c r="D80" s="40"/>
      <c r="E80" s="40"/>
      <c r="F80" s="40"/>
      <c r="G80" s="40"/>
      <c r="H80" s="40"/>
      <c r="I80" s="40"/>
      <c r="J80" s="40"/>
      <c r="K80" s="41"/>
    </row>
    <row r="81" spans="2:14" ht="16" x14ac:dyDescent="0.2">
      <c r="B81" s="38"/>
      <c r="C81" s="45" t="s">
        <v>57</v>
      </c>
      <c r="D81" s="40"/>
      <c r="E81" s="40"/>
      <c r="F81" s="40"/>
      <c r="G81" s="40"/>
      <c r="H81" s="40"/>
      <c r="I81" s="40"/>
      <c r="J81" s="40"/>
      <c r="K81" s="41"/>
    </row>
    <row r="82" spans="2:14" x14ac:dyDescent="0.2">
      <c r="B82" s="38"/>
      <c r="C82" s="40" t="s">
        <v>437</v>
      </c>
      <c r="D82" s="40"/>
      <c r="E82" s="40"/>
      <c r="F82" s="40"/>
      <c r="G82" s="40"/>
      <c r="H82" s="40"/>
      <c r="I82" s="40"/>
      <c r="J82" s="252">
        <f>'Baseline Health'!G29</f>
        <v>0</v>
      </c>
      <c r="K82" s="41"/>
    </row>
    <row r="83" spans="2:14" x14ac:dyDescent="0.2">
      <c r="B83" s="38"/>
      <c r="C83" s="40" t="s">
        <v>290</v>
      </c>
      <c r="D83" s="40"/>
      <c r="E83" s="40"/>
      <c r="F83" s="40"/>
      <c r="G83" s="40"/>
      <c r="H83" s="40"/>
      <c r="I83" s="40"/>
      <c r="J83" s="264">
        <v>0</v>
      </c>
      <c r="K83" s="41"/>
    </row>
    <row r="84" spans="2:14" x14ac:dyDescent="0.2">
      <c r="B84" s="38"/>
      <c r="C84" s="40" t="s">
        <v>260</v>
      </c>
      <c r="D84" s="40"/>
      <c r="E84" s="40"/>
      <c r="F84" s="40"/>
      <c r="G84" s="40"/>
      <c r="H84" s="40"/>
      <c r="I84" s="40"/>
      <c r="J84" s="248" t="str">
        <f>IF(OR(J82=0,J82="Not Calculated")=TRUE,"Not Calculated",(IF(((J83+J82)/J82)&lt;=1,0,IF(((J83+J82)/J82)&lt;=1.05,1,IF(((J83+J82)/J82)&lt;=1.5, 2,IF(((J83+J82)/J82)&lt;=2,3,4))))))</f>
        <v>Not Calculated</v>
      </c>
      <c r="K84" s="41"/>
    </row>
    <row r="85" spans="2:14" ht="9.75" customHeight="1" x14ac:dyDescent="0.2">
      <c r="B85" s="38"/>
      <c r="C85" s="279" t="str">
        <f>"0:"</f>
        <v>0:</v>
      </c>
      <c r="D85" s="281" t="s">
        <v>918</v>
      </c>
      <c r="E85" s="40"/>
      <c r="F85" s="40"/>
      <c r="G85" s="40"/>
      <c r="H85" s="40"/>
      <c r="I85" s="40"/>
      <c r="J85" s="40"/>
      <c r="K85" s="41"/>
    </row>
    <row r="86" spans="2:14" ht="9.75" customHeight="1" x14ac:dyDescent="0.2">
      <c r="B86" s="38"/>
      <c r="C86" s="280" t="str">
        <f>"1:"</f>
        <v>1:</v>
      </c>
      <c r="D86" s="281" t="s">
        <v>919</v>
      </c>
      <c r="E86" s="40"/>
      <c r="F86" s="40"/>
      <c r="G86" s="40"/>
      <c r="H86" s="40"/>
      <c r="I86" s="40"/>
      <c r="J86" s="40"/>
      <c r="K86" s="41"/>
    </row>
    <row r="87" spans="2:14" ht="9.75" customHeight="1" x14ac:dyDescent="0.2">
      <c r="B87" s="38"/>
      <c r="C87" s="280" t="str">
        <f>"2:"</f>
        <v>2:</v>
      </c>
      <c r="D87" s="281" t="s">
        <v>920</v>
      </c>
      <c r="E87" s="40"/>
      <c r="F87" s="40"/>
      <c r="G87" s="40"/>
      <c r="H87" s="40"/>
      <c r="I87" s="40"/>
      <c r="J87" s="40"/>
      <c r="K87" s="41"/>
    </row>
    <row r="88" spans="2:14" ht="9.75" customHeight="1" x14ac:dyDescent="0.2">
      <c r="B88" s="38"/>
      <c r="C88" s="280" t="str">
        <f>"3:"</f>
        <v>3:</v>
      </c>
      <c r="D88" s="281" t="s">
        <v>921</v>
      </c>
      <c r="E88" s="40"/>
      <c r="F88" s="40"/>
      <c r="G88" s="40"/>
      <c r="H88" s="40"/>
      <c r="I88" s="40"/>
      <c r="J88" s="40"/>
      <c r="K88" s="41"/>
    </row>
    <row r="89" spans="2:14" ht="9.75" customHeight="1" x14ac:dyDescent="0.2">
      <c r="B89" s="38"/>
      <c r="C89" s="280" t="str">
        <f>"4:"</f>
        <v>4:</v>
      </c>
      <c r="D89" s="281" t="s">
        <v>922</v>
      </c>
      <c r="E89" s="40"/>
      <c r="F89" s="40"/>
      <c r="G89" s="40"/>
      <c r="H89" s="40"/>
      <c r="I89" s="40"/>
      <c r="J89" s="40"/>
      <c r="K89" s="41"/>
      <c r="N89" s="12" t="s">
        <v>661</v>
      </c>
    </row>
    <row r="90" spans="2:14" x14ac:dyDescent="0.2">
      <c r="B90" s="38"/>
      <c r="C90" s="174" t="s">
        <v>662</v>
      </c>
      <c r="D90" s="40"/>
      <c r="E90" s="40"/>
      <c r="F90" s="40"/>
      <c r="G90" s="40"/>
      <c r="H90" s="40"/>
      <c r="I90" s="40"/>
      <c r="J90" s="265" t="s">
        <v>661</v>
      </c>
      <c r="K90" s="41"/>
      <c r="N90" s="12" t="s">
        <v>894</v>
      </c>
    </row>
    <row r="91" spans="2:14" x14ac:dyDescent="0.2">
      <c r="B91" s="38"/>
      <c r="C91" s="174" t="s">
        <v>660</v>
      </c>
      <c r="D91" s="40"/>
      <c r="E91" s="40"/>
      <c r="F91" s="40"/>
      <c r="G91" s="40"/>
      <c r="H91" s="40"/>
      <c r="I91" s="40"/>
      <c r="J91" s="246" t="str">
        <f>IF(J90=N89,"N/A",IF(J90=N90,0,IF(J90=N91,1,IF(J90=N92,2,IF(J90=N93,3,IF(J90=N94,4,"N/A"))))))</f>
        <v>N/A</v>
      </c>
      <c r="K91" s="41"/>
      <c r="N91" s="12" t="s">
        <v>895</v>
      </c>
    </row>
    <row r="92" spans="2:14" x14ac:dyDescent="0.2">
      <c r="B92" s="38"/>
      <c r="C92" s="40" t="s">
        <v>257</v>
      </c>
      <c r="D92" s="40"/>
      <c r="E92" s="40"/>
      <c r="F92" s="40"/>
      <c r="G92" s="40"/>
      <c r="H92" s="40"/>
      <c r="I92" s="40"/>
      <c r="J92" s="266" t="s">
        <v>870</v>
      </c>
      <c r="K92" s="41"/>
      <c r="N92" s="12" t="s">
        <v>896</v>
      </c>
    </row>
    <row r="93" spans="2:14" x14ac:dyDescent="0.2">
      <c r="B93" s="38"/>
      <c r="C93" s="40" t="s">
        <v>261</v>
      </c>
      <c r="D93" s="40"/>
      <c r="E93" s="40"/>
      <c r="F93" s="40"/>
      <c r="G93" s="40"/>
      <c r="H93" s="40"/>
      <c r="I93" s="40"/>
      <c r="J93" s="245">
        <f>IF(J92=$B$973,$A$973,IF(J92=$B$974,$A$974,IF(J92=$B$975,$A$975,IF(J92=$B$976,$A$976,IF(J92=$B$977,$A$977,"Not Calculated")))))</f>
        <v>0</v>
      </c>
      <c r="K93" s="41"/>
      <c r="N93" s="12" t="s">
        <v>897</v>
      </c>
    </row>
    <row r="94" spans="2:14" x14ac:dyDescent="0.2">
      <c r="B94" s="38"/>
      <c r="C94" s="40" t="s">
        <v>893</v>
      </c>
      <c r="D94" s="40"/>
      <c r="E94" s="40"/>
      <c r="F94" s="40"/>
      <c r="G94" s="40"/>
      <c r="H94" s="40"/>
      <c r="I94" s="40"/>
      <c r="J94" s="175"/>
      <c r="K94" s="41"/>
      <c r="N94" s="12" t="s">
        <v>898</v>
      </c>
    </row>
    <row r="95" spans="2:14" s="178" customFormat="1" ht="30" customHeight="1" x14ac:dyDescent="0.2">
      <c r="B95" s="176"/>
      <c r="C95" s="415"/>
      <c r="D95" s="400"/>
      <c r="E95" s="400"/>
      <c r="F95" s="400"/>
      <c r="G95" s="400"/>
      <c r="H95" s="400"/>
      <c r="I95" s="400"/>
      <c r="J95" s="401"/>
      <c r="K95" s="177"/>
    </row>
    <row r="96" spans="2:14" x14ac:dyDescent="0.2">
      <c r="B96" s="38"/>
      <c r="C96" s="40"/>
      <c r="D96" s="40"/>
      <c r="E96" s="40"/>
      <c r="F96" s="40"/>
      <c r="G96" s="40"/>
      <c r="H96" s="40"/>
      <c r="I96" s="40"/>
      <c r="J96" s="40"/>
      <c r="K96" s="41"/>
    </row>
    <row r="97" spans="2:14" x14ac:dyDescent="0.2">
      <c r="B97" s="38"/>
      <c r="C97" s="179" t="s">
        <v>265</v>
      </c>
      <c r="D97" s="40"/>
      <c r="E97" s="40"/>
      <c r="F97" s="40"/>
      <c r="G97" s="40"/>
      <c r="H97" s="40"/>
      <c r="I97" s="40"/>
      <c r="J97" s="245" t="str">
        <f>IF(J91="N/A",IF(OR(J84="Not Calculated",J93="Not Calculated")=TRUE,"Not Calculated",AVERAGE(J84,J93)),AVERAGE(J91,J93))</f>
        <v>Not Calculated</v>
      </c>
      <c r="K97" s="41"/>
    </row>
    <row r="98" spans="2:14" x14ac:dyDescent="0.2">
      <c r="B98" s="38"/>
      <c r="C98" s="40"/>
      <c r="D98" s="40"/>
      <c r="E98" s="40"/>
      <c r="F98" s="40"/>
      <c r="G98" s="40"/>
      <c r="H98" s="40"/>
      <c r="I98" s="40"/>
      <c r="J98" s="40"/>
      <c r="K98" s="41"/>
    </row>
    <row r="99" spans="2:14" x14ac:dyDescent="0.2">
      <c r="B99" s="38"/>
      <c r="C99" s="40"/>
      <c r="D99" s="40"/>
      <c r="E99" s="40"/>
      <c r="F99" s="40"/>
      <c r="G99" s="40"/>
      <c r="H99" s="40"/>
      <c r="I99" s="40"/>
      <c r="J99" s="40"/>
      <c r="K99" s="41"/>
    </row>
    <row r="100" spans="2:14" ht="16" x14ac:dyDescent="0.2">
      <c r="B100" s="38"/>
      <c r="C100" s="45" t="s">
        <v>60</v>
      </c>
      <c r="D100" s="40"/>
      <c r="E100" s="40"/>
      <c r="F100" s="40"/>
      <c r="G100" s="40"/>
      <c r="H100" s="40"/>
      <c r="I100" s="40"/>
      <c r="J100" s="40"/>
      <c r="K100" s="41"/>
    </row>
    <row r="101" spans="2:14" x14ac:dyDescent="0.2">
      <c r="B101" s="38"/>
      <c r="C101" s="40" t="s">
        <v>438</v>
      </c>
      <c r="D101" s="40"/>
      <c r="E101" s="40"/>
      <c r="F101" s="40"/>
      <c r="G101" s="40"/>
      <c r="H101" s="40"/>
      <c r="I101" s="40"/>
      <c r="J101" s="252">
        <f>'Baseline Health'!G35</f>
        <v>0</v>
      </c>
      <c r="K101" s="41"/>
    </row>
    <row r="102" spans="2:14" x14ac:dyDescent="0.2">
      <c r="B102" s="38"/>
      <c r="C102" s="40" t="s">
        <v>291</v>
      </c>
      <c r="D102" s="40"/>
      <c r="E102" s="40"/>
      <c r="F102" s="40"/>
      <c r="G102" s="40"/>
      <c r="H102" s="40"/>
      <c r="I102" s="40"/>
      <c r="J102" s="264">
        <v>0</v>
      </c>
      <c r="K102" s="41"/>
    </row>
    <row r="103" spans="2:14" x14ac:dyDescent="0.2">
      <c r="B103" s="38"/>
      <c r="C103" s="40" t="s">
        <v>260</v>
      </c>
      <c r="D103" s="40"/>
      <c r="E103" s="40"/>
      <c r="F103" s="40"/>
      <c r="G103" s="40"/>
      <c r="H103" s="40"/>
      <c r="I103" s="40"/>
      <c r="J103" s="248" t="str">
        <f>IF(OR(J101=0,J101="Not Calculated")=TRUE,"Not Calculated",(IF(((J102+J101)/J101)&lt;=1,0,IF(((J102+J101)/J101)&lt;=1.05,1,IF(((J102+J101)/J101)&lt;=1.5, 2,IF(((J102+J101)/J101)&lt;=2,3,4))))))</f>
        <v>Not Calculated</v>
      </c>
      <c r="K103" s="41"/>
    </row>
    <row r="104" spans="2:14" ht="9.75" customHeight="1" x14ac:dyDescent="0.2">
      <c r="B104" s="38"/>
      <c r="C104" s="279" t="str">
        <f>"0:"</f>
        <v>0:</v>
      </c>
      <c r="D104" s="281" t="s">
        <v>918</v>
      </c>
      <c r="E104" s="40"/>
      <c r="F104" s="40"/>
      <c r="G104" s="40"/>
      <c r="H104" s="40"/>
      <c r="I104" s="40"/>
      <c r="J104" s="40"/>
      <c r="K104" s="41"/>
    </row>
    <row r="105" spans="2:14" ht="9.75" customHeight="1" x14ac:dyDescent="0.2">
      <c r="B105" s="38"/>
      <c r="C105" s="280" t="str">
        <f>"1:"</f>
        <v>1:</v>
      </c>
      <c r="D105" s="281" t="s">
        <v>919</v>
      </c>
      <c r="E105" s="40"/>
      <c r="F105" s="40"/>
      <c r="G105" s="40"/>
      <c r="H105" s="40"/>
      <c r="I105" s="40"/>
      <c r="J105" s="40"/>
      <c r="K105" s="41"/>
    </row>
    <row r="106" spans="2:14" ht="9.75" customHeight="1" x14ac:dyDescent="0.2">
      <c r="B106" s="38"/>
      <c r="C106" s="280" t="str">
        <f>"2:"</f>
        <v>2:</v>
      </c>
      <c r="D106" s="281" t="s">
        <v>920</v>
      </c>
      <c r="E106" s="40"/>
      <c r="F106" s="40"/>
      <c r="G106" s="40"/>
      <c r="H106" s="40"/>
      <c r="I106" s="40"/>
      <c r="J106" s="40"/>
      <c r="K106" s="41"/>
    </row>
    <row r="107" spans="2:14" ht="9.75" customHeight="1" x14ac:dyDescent="0.2">
      <c r="B107" s="38"/>
      <c r="C107" s="280" t="str">
        <f>"3:"</f>
        <v>3:</v>
      </c>
      <c r="D107" s="281" t="s">
        <v>921</v>
      </c>
      <c r="E107" s="40"/>
      <c r="F107" s="40"/>
      <c r="G107" s="40"/>
      <c r="H107" s="40"/>
      <c r="I107" s="40"/>
      <c r="J107" s="40"/>
      <c r="K107" s="41"/>
    </row>
    <row r="108" spans="2:14" ht="9.75" customHeight="1" x14ac:dyDescent="0.2">
      <c r="B108" s="38"/>
      <c r="C108" s="280" t="str">
        <f>"4:"</f>
        <v>4:</v>
      </c>
      <c r="D108" s="281" t="s">
        <v>922</v>
      </c>
      <c r="E108" s="40"/>
      <c r="F108" s="40"/>
      <c r="G108" s="40"/>
      <c r="H108" s="40"/>
      <c r="I108" s="40"/>
      <c r="J108" s="40"/>
      <c r="K108" s="41"/>
      <c r="N108" s="12" t="s">
        <v>661</v>
      </c>
    </row>
    <row r="109" spans="2:14" x14ac:dyDescent="0.2">
      <c r="B109" s="38"/>
      <c r="C109" s="174" t="s">
        <v>662</v>
      </c>
      <c r="D109" s="40"/>
      <c r="E109" s="40"/>
      <c r="F109" s="40"/>
      <c r="G109" s="40"/>
      <c r="H109" s="40"/>
      <c r="I109" s="40"/>
      <c r="J109" s="265" t="s">
        <v>661</v>
      </c>
      <c r="K109" s="41"/>
      <c r="N109" s="12" t="s">
        <v>894</v>
      </c>
    </row>
    <row r="110" spans="2:14" x14ac:dyDescent="0.2">
      <c r="B110" s="38"/>
      <c r="C110" s="174" t="s">
        <v>660</v>
      </c>
      <c r="D110" s="40"/>
      <c r="E110" s="40"/>
      <c r="F110" s="40"/>
      <c r="G110" s="40"/>
      <c r="H110" s="40"/>
      <c r="I110" s="40"/>
      <c r="J110" s="246" t="str">
        <f>IF(J109=N108,"N/A",IF(J109=N109,0,IF(J109=N110,1,IF(J109=N111,2,IF(J109=N112,3,IF(J109=N113,4,"N/A"))))))</f>
        <v>N/A</v>
      </c>
      <c r="K110" s="41"/>
      <c r="N110" s="12" t="s">
        <v>895</v>
      </c>
    </row>
    <row r="111" spans="2:14" x14ac:dyDescent="0.2">
      <c r="B111" s="38"/>
      <c r="C111" s="40" t="s">
        <v>257</v>
      </c>
      <c r="D111" s="40"/>
      <c r="E111" s="40"/>
      <c r="F111" s="40"/>
      <c r="G111" s="40"/>
      <c r="H111" s="40"/>
      <c r="I111" s="40"/>
      <c r="J111" s="266" t="s">
        <v>870</v>
      </c>
      <c r="K111" s="41"/>
      <c r="N111" s="12" t="s">
        <v>896</v>
      </c>
    </row>
    <row r="112" spans="2:14" x14ac:dyDescent="0.2">
      <c r="B112" s="38"/>
      <c r="C112" s="40" t="s">
        <v>261</v>
      </c>
      <c r="D112" s="40"/>
      <c r="E112" s="40"/>
      <c r="F112" s="40"/>
      <c r="G112" s="40"/>
      <c r="H112" s="40"/>
      <c r="I112" s="40"/>
      <c r="J112" s="245">
        <f>IF(J111=$B$973,$A$973,IF(J111=$B$974,$A$974,IF(J111=$B$975,$A$975,IF(J111=$B$976,$A$976,IF(J111=$B$977,$A$977,"Not Calculated")))))</f>
        <v>0</v>
      </c>
      <c r="K112" s="41"/>
      <c r="N112" s="12" t="s">
        <v>897</v>
      </c>
    </row>
    <row r="113" spans="2:14" x14ac:dyDescent="0.2">
      <c r="B113" s="38"/>
      <c r="C113" s="40" t="s">
        <v>893</v>
      </c>
      <c r="D113" s="40"/>
      <c r="E113" s="40"/>
      <c r="F113" s="40"/>
      <c r="G113" s="40"/>
      <c r="H113" s="40"/>
      <c r="I113" s="40"/>
      <c r="J113" s="175"/>
      <c r="K113" s="41"/>
      <c r="N113" s="12" t="s">
        <v>898</v>
      </c>
    </row>
    <row r="114" spans="2:14" s="178" customFormat="1" ht="30" customHeight="1" x14ac:dyDescent="0.2">
      <c r="B114" s="176"/>
      <c r="C114" s="415" t="s">
        <v>571</v>
      </c>
      <c r="D114" s="400"/>
      <c r="E114" s="400"/>
      <c r="F114" s="400"/>
      <c r="G114" s="400"/>
      <c r="H114" s="400"/>
      <c r="I114" s="400"/>
      <c r="J114" s="400"/>
      <c r="K114" s="177"/>
    </row>
    <row r="115" spans="2:14" x14ac:dyDescent="0.2">
      <c r="B115" s="38"/>
      <c r="C115" s="40"/>
      <c r="D115" s="40"/>
      <c r="E115" s="40"/>
      <c r="F115" s="40"/>
      <c r="G115" s="40"/>
      <c r="H115" s="40"/>
      <c r="I115" s="40"/>
      <c r="J115" s="40"/>
      <c r="K115" s="41"/>
    </row>
    <row r="116" spans="2:14" x14ac:dyDescent="0.2">
      <c r="B116" s="38"/>
      <c r="C116" s="179" t="s">
        <v>266</v>
      </c>
      <c r="D116" s="40"/>
      <c r="E116" s="40"/>
      <c r="F116" s="40"/>
      <c r="G116" s="40"/>
      <c r="H116" s="40"/>
      <c r="I116" s="40"/>
      <c r="J116" s="245" t="str">
        <f>IF(J110="N/A",IF(OR(J103="Not Calculated",J112="Not Calculated")=TRUE,"Not Calculated",AVERAGE(J103,J112)),AVERAGE(J110,J112))</f>
        <v>Not Calculated</v>
      </c>
      <c r="K116" s="41"/>
    </row>
    <row r="117" spans="2:14" x14ac:dyDescent="0.2">
      <c r="B117" s="38"/>
      <c r="C117" s="40"/>
      <c r="D117" s="40"/>
      <c r="E117" s="40"/>
      <c r="F117" s="40"/>
      <c r="G117" s="40"/>
      <c r="H117" s="40"/>
      <c r="I117" s="40"/>
      <c r="J117" s="40"/>
      <c r="K117" s="41"/>
    </row>
    <row r="118" spans="2:14" x14ac:dyDescent="0.2">
      <c r="B118" s="38"/>
      <c r="C118" s="40"/>
      <c r="D118" s="40"/>
      <c r="E118" s="40"/>
      <c r="F118" s="40"/>
      <c r="G118" s="40"/>
      <c r="H118" s="40"/>
      <c r="I118" s="40"/>
      <c r="J118" s="40"/>
      <c r="K118" s="41"/>
    </row>
    <row r="119" spans="2:14" ht="16" x14ac:dyDescent="0.2">
      <c r="B119" s="38"/>
      <c r="C119" s="45" t="s">
        <v>262</v>
      </c>
      <c r="D119" s="40"/>
      <c r="E119" s="40"/>
      <c r="F119" s="40"/>
      <c r="G119" s="40"/>
      <c r="H119" s="40"/>
      <c r="I119" s="40"/>
      <c r="J119" s="40"/>
      <c r="K119" s="41"/>
    </row>
    <row r="120" spans="2:14" ht="15" customHeight="1" x14ac:dyDescent="0.2">
      <c r="B120" s="38"/>
      <c r="C120" s="422" t="s">
        <v>268</v>
      </c>
      <c r="D120" s="422"/>
      <c r="E120" s="422"/>
      <c r="F120" s="422"/>
      <c r="G120" s="422"/>
      <c r="H120" s="422"/>
      <c r="I120" s="422"/>
      <c r="J120" s="422"/>
      <c r="K120" s="41"/>
    </row>
    <row r="121" spans="2:14" x14ac:dyDescent="0.2">
      <c r="B121" s="38"/>
      <c r="C121" s="422"/>
      <c r="D121" s="422"/>
      <c r="E121" s="422"/>
      <c r="F121" s="422"/>
      <c r="G121" s="422"/>
      <c r="H121" s="422"/>
      <c r="I121" s="422"/>
      <c r="J121" s="422"/>
      <c r="K121" s="41"/>
    </row>
    <row r="122" spans="2:14" x14ac:dyDescent="0.2">
      <c r="B122" s="38"/>
      <c r="C122" s="423"/>
      <c r="D122" s="423"/>
      <c r="E122" s="423"/>
      <c r="F122" s="423"/>
      <c r="G122" s="423"/>
      <c r="H122" s="423"/>
      <c r="I122" s="423"/>
      <c r="J122" s="423"/>
      <c r="K122" s="41"/>
    </row>
    <row r="123" spans="2:14" ht="15" customHeight="1" x14ac:dyDescent="0.2">
      <c r="B123" s="38"/>
      <c r="C123" s="416" t="s">
        <v>247</v>
      </c>
      <c r="D123" s="417"/>
      <c r="E123" s="417"/>
      <c r="F123" s="417"/>
      <c r="G123" s="417"/>
      <c r="H123" s="417"/>
      <c r="I123" s="417"/>
      <c r="J123" s="418"/>
      <c r="K123" s="41"/>
    </row>
    <row r="124" spans="2:14" x14ac:dyDescent="0.2">
      <c r="B124" s="38"/>
      <c r="C124" s="419"/>
      <c r="D124" s="420"/>
      <c r="E124" s="420"/>
      <c r="F124" s="420"/>
      <c r="G124" s="420"/>
      <c r="H124" s="420"/>
      <c r="I124" s="420"/>
      <c r="J124" s="421"/>
      <c r="K124" s="41"/>
    </row>
    <row r="125" spans="2:14" ht="15" customHeight="1" x14ac:dyDescent="0.2">
      <c r="B125" s="38"/>
      <c r="C125" s="40" t="s">
        <v>260</v>
      </c>
      <c r="D125" s="40"/>
      <c r="E125" s="40"/>
      <c r="F125" s="40"/>
      <c r="G125" s="40"/>
      <c r="H125" s="40"/>
      <c r="I125" s="40"/>
      <c r="J125" s="247">
        <f>IF(C123=B987,A987,IF(C123=B988,A988,IF(C123=B989,A989,IF(C123=B990,A990,IF(C123=B991,A991,"Not Calculated")))))</f>
        <v>2</v>
      </c>
      <c r="K125" s="41"/>
    </row>
    <row r="126" spans="2:14" ht="15" customHeight="1" x14ac:dyDescent="0.2">
      <c r="B126" s="38"/>
      <c r="C126" s="40" t="s">
        <v>257</v>
      </c>
      <c r="D126" s="40"/>
      <c r="E126" s="40"/>
      <c r="F126" s="40"/>
      <c r="G126" s="40"/>
      <c r="H126" s="40"/>
      <c r="I126" s="40"/>
      <c r="J126" s="266" t="s">
        <v>873</v>
      </c>
      <c r="K126" s="41"/>
    </row>
    <row r="127" spans="2:14" x14ac:dyDescent="0.2">
      <c r="B127" s="38"/>
      <c r="C127" s="40" t="s">
        <v>261</v>
      </c>
      <c r="D127" s="40"/>
      <c r="E127" s="40"/>
      <c r="F127" s="40"/>
      <c r="G127" s="40"/>
      <c r="H127" s="40"/>
      <c r="I127" s="40"/>
      <c r="J127" s="245">
        <f>IF(J126=$B$973,$A$973,IF(J126=$B$974,$A$974,IF(J126=$B$975,$A$975,IF(J126=$B$976,$A$976,IF(J126=$B$977,$A$977,"Not Calculated")))))</f>
        <v>3</v>
      </c>
      <c r="K127" s="41"/>
    </row>
    <row r="128" spans="2:14" ht="15" customHeight="1" x14ac:dyDescent="0.2">
      <c r="B128" s="38"/>
      <c r="C128" s="40" t="s">
        <v>893</v>
      </c>
      <c r="D128" s="40"/>
      <c r="E128" s="40"/>
      <c r="F128" s="40"/>
      <c r="G128" s="40"/>
      <c r="H128" s="40"/>
      <c r="I128" s="40"/>
      <c r="J128" s="175"/>
      <c r="K128" s="41"/>
    </row>
    <row r="129" spans="2:11" s="178" customFormat="1" ht="45" customHeight="1" x14ac:dyDescent="0.2">
      <c r="B129" s="176"/>
      <c r="C129" s="415" t="s">
        <v>572</v>
      </c>
      <c r="D129" s="400"/>
      <c r="E129" s="400"/>
      <c r="F129" s="400"/>
      <c r="G129" s="400"/>
      <c r="H129" s="400"/>
      <c r="I129" s="400"/>
      <c r="J129" s="401"/>
      <c r="K129" s="177"/>
    </row>
    <row r="130" spans="2:11" x14ac:dyDescent="0.2">
      <c r="B130" s="38"/>
      <c r="C130" s="40"/>
      <c r="D130" s="40"/>
      <c r="E130" s="40"/>
      <c r="F130" s="40"/>
      <c r="G130" s="40"/>
      <c r="H130" s="40"/>
      <c r="I130" s="40"/>
      <c r="J130" s="40"/>
      <c r="K130" s="41"/>
    </row>
    <row r="131" spans="2:11" x14ac:dyDescent="0.2">
      <c r="B131" s="38"/>
      <c r="C131" s="179" t="s">
        <v>267</v>
      </c>
      <c r="D131" s="40"/>
      <c r="E131" s="40"/>
      <c r="F131" s="40"/>
      <c r="G131" s="40"/>
      <c r="H131" s="40"/>
      <c r="I131" s="40"/>
      <c r="J131" s="245">
        <f>IF(OR(J125="Not Calculated",J127="Not Calculated")=TRUE,"Not Calculated",AVERAGE(J125,J127))</f>
        <v>2.5</v>
      </c>
      <c r="K131" s="41"/>
    </row>
    <row r="132" spans="2:11" x14ac:dyDescent="0.2">
      <c r="B132" s="38"/>
      <c r="C132" s="179"/>
      <c r="D132" s="40"/>
      <c r="E132" s="40"/>
      <c r="F132" s="40"/>
      <c r="G132" s="40"/>
      <c r="H132" s="40"/>
      <c r="I132" s="40"/>
      <c r="J132" s="245"/>
      <c r="K132" s="41"/>
    </row>
    <row r="133" spans="2:11" ht="18" x14ac:dyDescent="0.2">
      <c r="B133" s="38"/>
      <c r="C133" s="180" t="s">
        <v>269</v>
      </c>
      <c r="D133" s="40"/>
      <c r="E133" s="40"/>
      <c r="F133" s="40"/>
      <c r="G133" s="40"/>
      <c r="H133" s="40"/>
      <c r="I133" s="40"/>
      <c r="J133" s="244" t="str">
        <f>IF(OR(J40="Not Calculated",J59="Not Calculated",J78="Not Calculated",J97="Not Calculated",J116="Not Calculated",J131="Not Calculated",)=TRUE,"Not Calculated",AVERAGE(J40,J59,J78,J97,J116,J131))</f>
        <v>Not Calculated</v>
      </c>
      <c r="K133" s="41"/>
    </row>
    <row r="134" spans="2:11" ht="16" thickBot="1" x14ac:dyDescent="0.25">
      <c r="B134" s="46"/>
      <c r="C134" s="47"/>
      <c r="D134" s="47"/>
      <c r="E134" s="47"/>
      <c r="F134" s="47"/>
      <c r="G134" s="47"/>
      <c r="H134" s="47"/>
      <c r="I134" s="47"/>
      <c r="J134" s="47"/>
      <c r="K134" s="49"/>
    </row>
    <row r="135" spans="2:11" ht="16" thickBot="1" x14ac:dyDescent="0.25"/>
    <row r="136" spans="2:11" x14ac:dyDescent="0.2">
      <c r="B136" s="33"/>
      <c r="C136" s="34"/>
      <c r="D136" s="34"/>
      <c r="E136" s="34"/>
      <c r="F136" s="34"/>
      <c r="G136" s="34"/>
      <c r="H136" s="34"/>
      <c r="I136" s="34"/>
      <c r="J136" s="34"/>
      <c r="K136" s="37"/>
    </row>
    <row r="137" spans="2:11" ht="21" x14ac:dyDescent="0.25">
      <c r="B137" s="38"/>
      <c r="C137" s="171"/>
      <c r="D137" s="40"/>
      <c r="E137" s="40"/>
      <c r="F137" s="40"/>
      <c r="G137" s="172" t="s">
        <v>27</v>
      </c>
      <c r="H137" s="40"/>
      <c r="I137" s="40"/>
      <c r="J137" s="40"/>
      <c r="K137" s="41"/>
    </row>
    <row r="138" spans="2:11" x14ac:dyDescent="0.2">
      <c r="B138" s="38"/>
      <c r="C138" s="40"/>
      <c r="D138" s="40"/>
      <c r="E138" s="40"/>
      <c r="F138" s="40"/>
      <c r="G138" s="40"/>
      <c r="H138" s="40"/>
      <c r="I138" s="40"/>
      <c r="J138" s="40"/>
      <c r="K138" s="41"/>
    </row>
    <row r="139" spans="2:11" ht="16" x14ac:dyDescent="0.2">
      <c r="B139" s="38"/>
      <c r="C139" s="45" t="s">
        <v>72</v>
      </c>
      <c r="D139" s="40"/>
      <c r="E139" s="40"/>
      <c r="F139" s="40"/>
      <c r="G139" s="40"/>
      <c r="H139" s="40"/>
      <c r="I139" s="40"/>
      <c r="J139" s="40"/>
      <c r="K139" s="41"/>
    </row>
    <row r="140" spans="2:11" x14ac:dyDescent="0.2">
      <c r="B140" s="38"/>
      <c r="C140" s="40" t="s">
        <v>440</v>
      </c>
      <c r="D140" s="40"/>
      <c r="E140" s="40"/>
      <c r="F140" s="40"/>
      <c r="G140" s="40"/>
      <c r="H140" s="40"/>
      <c r="I140" s="40"/>
      <c r="J140" s="252">
        <f>'Baseline Health'!G45</f>
        <v>0</v>
      </c>
      <c r="K140" s="41"/>
    </row>
    <row r="141" spans="2:11" x14ac:dyDescent="0.2">
      <c r="B141" s="38"/>
      <c r="C141" s="40" t="s">
        <v>270</v>
      </c>
      <c r="D141" s="40"/>
      <c r="E141" s="40"/>
      <c r="F141" s="40"/>
      <c r="G141" s="40"/>
      <c r="H141" s="40"/>
      <c r="I141" s="40"/>
      <c r="J141" s="264">
        <f>J140</f>
        <v>0</v>
      </c>
      <c r="K141" s="41"/>
    </row>
    <row r="142" spans="2:11" x14ac:dyDescent="0.2">
      <c r="B142" s="38"/>
      <c r="C142" s="40" t="s">
        <v>439</v>
      </c>
      <c r="D142" s="40"/>
      <c r="E142" s="40"/>
      <c r="F142" s="40"/>
      <c r="G142" s="40"/>
      <c r="H142" s="40"/>
      <c r="I142" s="40"/>
      <c r="J142" s="251">
        <f>J83/20</f>
        <v>0</v>
      </c>
      <c r="K142" s="41"/>
    </row>
    <row r="143" spans="2:11" x14ac:dyDescent="0.2">
      <c r="B143" s="38"/>
      <c r="C143" s="40"/>
      <c r="D143" s="40" t="s">
        <v>351</v>
      </c>
      <c r="E143" s="40"/>
      <c r="F143" s="40"/>
      <c r="G143" s="40"/>
      <c r="H143" s="40"/>
      <c r="I143" s="40"/>
      <c r="J143" s="40"/>
      <c r="K143" s="41"/>
    </row>
    <row r="144" spans="2:11" x14ac:dyDescent="0.2">
      <c r="B144" s="38"/>
      <c r="C144" s="40" t="s">
        <v>260</v>
      </c>
      <c r="D144" s="40"/>
      <c r="E144" s="40"/>
      <c r="F144" s="40"/>
      <c r="G144" s="40"/>
      <c r="H144" s="40"/>
      <c r="I144" s="40"/>
      <c r="J144" s="245" t="str">
        <f>IF(OR(J140=0,J140="Not Calculated")=TRUE,"Not Calculated",IF((J140-J141)&lt;=0,4,IF(((J140+J142)/(J140-J141))&lt;=1,0,IF(((J140+J142)/(J140-J141))&lt;=1.05,1,IF(((J140+J142)/(J140-J141))&lt;=1.5, 2,IF(((J140+J142)/(J140-J141))&lt;=2,3,4))))))</f>
        <v>Not Calculated</v>
      </c>
      <c r="K144" s="41"/>
    </row>
    <row r="145" spans="2:14" ht="9.75" customHeight="1" x14ac:dyDescent="0.2">
      <c r="B145" s="38"/>
      <c r="C145" s="279" t="str">
        <f>"0:"</f>
        <v>0:</v>
      </c>
      <c r="D145" s="278" t="s">
        <v>918</v>
      </c>
      <c r="E145" s="40"/>
      <c r="F145" s="40"/>
      <c r="G145" s="40"/>
      <c r="H145" s="40"/>
      <c r="I145" s="40"/>
      <c r="J145" s="40"/>
      <c r="K145" s="41"/>
    </row>
    <row r="146" spans="2:14" ht="9.75" customHeight="1" x14ac:dyDescent="0.2">
      <c r="B146" s="38"/>
      <c r="C146" s="280" t="str">
        <f>"1:"</f>
        <v>1:</v>
      </c>
      <c r="D146" s="278" t="s">
        <v>923</v>
      </c>
      <c r="E146" s="40"/>
      <c r="F146" s="40"/>
      <c r="G146" s="40"/>
      <c r="H146" s="40"/>
      <c r="I146" s="40"/>
      <c r="J146" s="40"/>
      <c r="K146" s="41"/>
    </row>
    <row r="147" spans="2:14" ht="9.75" customHeight="1" x14ac:dyDescent="0.2">
      <c r="B147" s="38"/>
      <c r="C147" s="280" t="str">
        <f>"2:"</f>
        <v>2:</v>
      </c>
      <c r="D147" s="278" t="s">
        <v>924</v>
      </c>
      <c r="E147" s="40"/>
      <c r="F147" s="40"/>
      <c r="G147" s="40"/>
      <c r="H147" s="40"/>
      <c r="I147" s="40"/>
      <c r="J147" s="40"/>
      <c r="K147" s="41"/>
    </row>
    <row r="148" spans="2:14" ht="9.75" customHeight="1" x14ac:dyDescent="0.2">
      <c r="B148" s="38"/>
      <c r="C148" s="280" t="str">
        <f>"3:"</f>
        <v>3:</v>
      </c>
      <c r="D148" s="278" t="s">
        <v>925</v>
      </c>
      <c r="E148" s="40"/>
      <c r="F148" s="40"/>
      <c r="G148" s="40"/>
      <c r="H148" s="40"/>
      <c r="I148" s="40"/>
      <c r="J148" s="40"/>
      <c r="K148" s="41"/>
    </row>
    <row r="149" spans="2:14" ht="9.75" customHeight="1" x14ac:dyDescent="0.2">
      <c r="B149" s="38"/>
      <c r="C149" s="280" t="str">
        <f>"4:"</f>
        <v>4:</v>
      </c>
      <c r="D149" s="278" t="s">
        <v>926</v>
      </c>
      <c r="E149" s="40"/>
      <c r="F149" s="40"/>
      <c r="G149" s="40"/>
      <c r="H149" s="40"/>
      <c r="I149" s="40"/>
      <c r="J149" s="40"/>
      <c r="K149" s="41"/>
      <c r="N149" s="12" t="s">
        <v>661</v>
      </c>
    </row>
    <row r="150" spans="2:14" x14ac:dyDescent="0.2">
      <c r="B150" s="38"/>
      <c r="C150" s="174" t="s">
        <v>662</v>
      </c>
      <c r="D150" s="40"/>
      <c r="E150" s="40"/>
      <c r="F150" s="40"/>
      <c r="G150" s="40"/>
      <c r="H150" s="40"/>
      <c r="I150" s="40"/>
      <c r="J150" s="265" t="s">
        <v>661</v>
      </c>
      <c r="K150" s="41"/>
      <c r="N150" s="12" t="s">
        <v>894</v>
      </c>
    </row>
    <row r="151" spans="2:14" x14ac:dyDescent="0.2">
      <c r="B151" s="38"/>
      <c r="C151" s="174" t="s">
        <v>660</v>
      </c>
      <c r="D151" s="40"/>
      <c r="E151" s="40"/>
      <c r="F151" s="40"/>
      <c r="G151" s="40"/>
      <c r="H151" s="40"/>
      <c r="I151" s="40"/>
      <c r="J151" s="246" t="str">
        <f>IF(J150=N149,"N/A",IF(J150=N150,0,IF(J150=N151,1,IF(J150=N152,2,IF(J150=N153,3,IF(J150=N154,4,"N/A"))))))</f>
        <v>N/A</v>
      </c>
      <c r="K151" s="41"/>
      <c r="N151" s="12" t="s">
        <v>899</v>
      </c>
    </row>
    <row r="152" spans="2:14" x14ac:dyDescent="0.2">
      <c r="B152" s="38"/>
      <c r="C152" s="40" t="s">
        <v>257</v>
      </c>
      <c r="D152" s="40"/>
      <c r="E152" s="40"/>
      <c r="F152" s="40"/>
      <c r="G152" s="40"/>
      <c r="H152" s="40"/>
      <c r="I152" s="40"/>
      <c r="J152" s="266" t="s">
        <v>872</v>
      </c>
      <c r="K152" s="41"/>
      <c r="N152" s="12" t="s">
        <v>900</v>
      </c>
    </row>
    <row r="153" spans="2:14" x14ac:dyDescent="0.2">
      <c r="B153" s="38"/>
      <c r="C153" s="40" t="s">
        <v>261</v>
      </c>
      <c r="D153" s="40"/>
      <c r="E153" s="40"/>
      <c r="F153" s="40"/>
      <c r="G153" s="40"/>
      <c r="H153" s="40"/>
      <c r="I153" s="40"/>
      <c r="J153" s="245">
        <f>IF(J152=$B$973,$A$973,IF(J152=$B$974,$A$974,IF(J152=$B$975,$A$975,IF(J152=$B$976,$A$976,IF(J152=$B$977,$A$977,"Not Calculated")))))</f>
        <v>2</v>
      </c>
      <c r="K153" s="41"/>
      <c r="N153" s="12" t="s">
        <v>901</v>
      </c>
    </row>
    <row r="154" spans="2:14" x14ac:dyDescent="0.2">
      <c r="B154" s="38"/>
      <c r="C154" s="40" t="s">
        <v>893</v>
      </c>
      <c r="D154" s="40"/>
      <c r="E154" s="40"/>
      <c r="F154" s="40"/>
      <c r="G154" s="40"/>
      <c r="H154" s="40"/>
      <c r="I154" s="40"/>
      <c r="J154" s="40"/>
      <c r="K154" s="41"/>
      <c r="N154" s="12" t="s">
        <v>902</v>
      </c>
    </row>
    <row r="155" spans="2:14" ht="30" customHeight="1" x14ac:dyDescent="0.2">
      <c r="B155" s="38"/>
      <c r="C155" s="399" t="s">
        <v>573</v>
      </c>
      <c r="D155" s="400"/>
      <c r="E155" s="400"/>
      <c r="F155" s="400"/>
      <c r="G155" s="400"/>
      <c r="H155" s="400"/>
      <c r="I155" s="400"/>
      <c r="J155" s="401"/>
      <c r="K155" s="41"/>
    </row>
    <row r="156" spans="2:14" x14ac:dyDescent="0.2">
      <c r="B156" s="38"/>
      <c r="C156" s="40"/>
      <c r="D156" s="40"/>
      <c r="E156" s="40"/>
      <c r="F156" s="40"/>
      <c r="G156" s="40"/>
      <c r="H156" s="40"/>
      <c r="I156" s="40"/>
      <c r="J156" s="40"/>
      <c r="K156" s="41"/>
    </row>
    <row r="157" spans="2:14" x14ac:dyDescent="0.2">
      <c r="B157" s="38"/>
      <c r="C157" s="179" t="s">
        <v>271</v>
      </c>
      <c r="D157" s="40"/>
      <c r="E157" s="40"/>
      <c r="F157" s="40"/>
      <c r="G157" s="40"/>
      <c r="H157" s="40"/>
      <c r="I157" s="40"/>
      <c r="J157" s="245" t="str">
        <f>IF(J151="N/A",IF(OR(J144="Not Calculated",J153="Not Calculated")=TRUE,"Not Calculated",AVERAGE(J144,J153)),AVERAGE(J151,J153))</f>
        <v>Not Calculated</v>
      </c>
      <c r="K157" s="41"/>
    </row>
    <row r="158" spans="2:14" x14ac:dyDescent="0.2">
      <c r="B158" s="38"/>
      <c r="C158" s="40"/>
      <c r="D158" s="40"/>
      <c r="E158" s="40"/>
      <c r="F158" s="40"/>
      <c r="G158" s="40"/>
      <c r="H158" s="40"/>
      <c r="I158" s="40"/>
      <c r="J158" s="40"/>
      <c r="K158" s="41"/>
    </row>
    <row r="159" spans="2:14" x14ac:dyDescent="0.2">
      <c r="B159" s="38"/>
      <c r="C159" s="40"/>
      <c r="D159" s="40"/>
      <c r="E159" s="40"/>
      <c r="F159" s="40"/>
      <c r="G159" s="40"/>
      <c r="H159" s="40"/>
      <c r="I159" s="40"/>
      <c r="J159" s="40"/>
      <c r="K159" s="41"/>
    </row>
    <row r="160" spans="2:14" ht="16" x14ac:dyDescent="0.2">
      <c r="B160" s="38"/>
      <c r="C160" s="45" t="s">
        <v>273</v>
      </c>
      <c r="D160" s="40"/>
      <c r="E160" s="40"/>
      <c r="F160" s="40"/>
      <c r="G160" s="40"/>
      <c r="H160" s="40"/>
      <c r="I160" s="40"/>
      <c r="J160" s="40"/>
      <c r="K160" s="41"/>
    </row>
    <row r="161" spans="2:14" x14ac:dyDescent="0.2">
      <c r="B161" s="38"/>
      <c r="C161" s="40" t="s">
        <v>441</v>
      </c>
      <c r="D161" s="40"/>
      <c r="E161" s="40"/>
      <c r="F161" s="40"/>
      <c r="G161" s="40"/>
      <c r="H161" s="40"/>
      <c r="I161" s="40"/>
      <c r="J161" s="252">
        <f>'Baseline Health'!G51</f>
        <v>0</v>
      </c>
      <c r="K161" s="41"/>
    </row>
    <row r="162" spans="2:14" x14ac:dyDescent="0.2">
      <c r="B162" s="38"/>
      <c r="C162" s="40" t="s">
        <v>280</v>
      </c>
      <c r="D162" s="40"/>
      <c r="E162" s="40"/>
      <c r="F162" s="40"/>
      <c r="G162" s="40"/>
      <c r="H162" s="40"/>
      <c r="I162" s="40"/>
      <c r="J162" s="264">
        <f>'Community Characteristics'!H28+'Community Characteristics'!H37</f>
        <v>0</v>
      </c>
      <c r="K162" s="41"/>
    </row>
    <row r="163" spans="2:14" x14ac:dyDescent="0.2">
      <c r="B163" s="38"/>
      <c r="C163" s="40" t="s">
        <v>442</v>
      </c>
      <c r="D163" s="40"/>
      <c r="E163" s="40"/>
      <c r="F163" s="40"/>
      <c r="G163" s="40"/>
      <c r="H163" s="40"/>
      <c r="I163" s="40"/>
      <c r="J163" s="251">
        <f>(J64)/4.5</f>
        <v>0</v>
      </c>
      <c r="K163" s="41"/>
    </row>
    <row r="164" spans="2:14" x14ac:dyDescent="0.2">
      <c r="B164" s="38"/>
      <c r="C164" s="40"/>
      <c r="D164" s="40" t="s">
        <v>353</v>
      </c>
      <c r="E164" s="40"/>
      <c r="F164" s="40"/>
      <c r="G164" s="40"/>
      <c r="H164" s="40"/>
      <c r="I164" s="40"/>
      <c r="J164" s="40"/>
      <c r="K164" s="41"/>
    </row>
    <row r="165" spans="2:14" x14ac:dyDescent="0.2">
      <c r="B165" s="38"/>
      <c r="C165" s="40" t="s">
        <v>260</v>
      </c>
      <c r="D165" s="40"/>
      <c r="E165" s="40"/>
      <c r="F165" s="40"/>
      <c r="G165" s="40"/>
      <c r="H165" s="40"/>
      <c r="I165" s="40"/>
      <c r="J165" s="245" t="str">
        <f>IF(OR(J161=0,J161="Not Calculated")=TRUE,"Not Calculated",IF((J161-J162)&lt;=0,4,IF(((J161+J163)/(J161-J162))&lt;=1,0,IF(((J161+J163)/(J161-J162))&lt;=1.05,1,IF(((J161+J163)/(J161-J162))&lt;=1.5, 2,IF(((J161+J163)/(J161-J162))&lt;=2,3,4))))))</f>
        <v>Not Calculated</v>
      </c>
      <c r="K165" s="41"/>
    </row>
    <row r="166" spans="2:14" ht="9.75" customHeight="1" x14ac:dyDescent="0.2">
      <c r="B166" s="38"/>
      <c r="C166" s="279" t="str">
        <f>"0:"</f>
        <v>0:</v>
      </c>
      <c r="D166" s="278" t="s">
        <v>918</v>
      </c>
      <c r="E166" s="40"/>
      <c r="F166" s="40"/>
      <c r="G166" s="40"/>
      <c r="H166" s="40"/>
      <c r="I166" s="40"/>
      <c r="J166" s="40"/>
      <c r="K166" s="41"/>
    </row>
    <row r="167" spans="2:14" ht="9.75" customHeight="1" x14ac:dyDescent="0.2">
      <c r="B167" s="38"/>
      <c r="C167" s="280" t="str">
        <f>"1:"</f>
        <v>1:</v>
      </c>
      <c r="D167" s="278" t="s">
        <v>923</v>
      </c>
      <c r="E167" s="40"/>
      <c r="F167" s="40"/>
      <c r="G167" s="40"/>
      <c r="H167" s="40"/>
      <c r="I167" s="40"/>
      <c r="J167" s="40"/>
      <c r="K167" s="41"/>
    </row>
    <row r="168" spans="2:14" ht="9.75" customHeight="1" x14ac:dyDescent="0.2">
      <c r="B168" s="38"/>
      <c r="C168" s="280" t="str">
        <f>"2:"</f>
        <v>2:</v>
      </c>
      <c r="D168" s="278" t="s">
        <v>924</v>
      </c>
      <c r="E168" s="40"/>
      <c r="F168" s="40"/>
      <c r="G168" s="40"/>
      <c r="H168" s="40"/>
      <c r="I168" s="40"/>
      <c r="J168" s="40"/>
      <c r="K168" s="41"/>
    </row>
    <row r="169" spans="2:14" ht="9.75" customHeight="1" x14ac:dyDescent="0.2">
      <c r="B169" s="38"/>
      <c r="C169" s="280" t="str">
        <f>"3:"</f>
        <v>3:</v>
      </c>
      <c r="D169" s="278" t="s">
        <v>925</v>
      </c>
      <c r="E169" s="40"/>
      <c r="F169" s="40"/>
      <c r="G169" s="40"/>
      <c r="H169" s="40"/>
      <c r="I169" s="40"/>
      <c r="J169" s="40"/>
      <c r="K169" s="41"/>
    </row>
    <row r="170" spans="2:14" ht="9.75" customHeight="1" x14ac:dyDescent="0.2">
      <c r="B170" s="38"/>
      <c r="C170" s="280" t="str">
        <f>"4:"</f>
        <v>4:</v>
      </c>
      <c r="D170" s="278" t="s">
        <v>926</v>
      </c>
      <c r="E170" s="40"/>
      <c r="F170" s="40"/>
      <c r="G170" s="40"/>
      <c r="H170" s="40"/>
      <c r="I170" s="40"/>
      <c r="J170" s="40"/>
      <c r="K170" s="41"/>
      <c r="N170" s="12" t="s">
        <v>661</v>
      </c>
    </row>
    <row r="171" spans="2:14" x14ac:dyDescent="0.2">
      <c r="B171" s="38"/>
      <c r="C171" s="174" t="s">
        <v>662</v>
      </c>
      <c r="D171" s="40"/>
      <c r="E171" s="40"/>
      <c r="F171" s="40"/>
      <c r="G171" s="40"/>
      <c r="H171" s="40"/>
      <c r="I171" s="40"/>
      <c r="J171" s="265" t="s">
        <v>661</v>
      </c>
      <c r="K171" s="41"/>
      <c r="N171" s="12" t="s">
        <v>894</v>
      </c>
    </row>
    <row r="172" spans="2:14" x14ac:dyDescent="0.2">
      <c r="B172" s="38"/>
      <c r="C172" s="174" t="s">
        <v>660</v>
      </c>
      <c r="D172" s="40"/>
      <c r="E172" s="40"/>
      <c r="F172" s="40"/>
      <c r="G172" s="40"/>
      <c r="H172" s="40"/>
      <c r="I172" s="40"/>
      <c r="J172" s="246" t="str">
        <f>IF(J171=N170,"N/A",IF(J171=N171,0,IF(J171=N172,1,IF(J171=N173,2,IF(J171=N174,3,IF(J171=N175,4,"N/A"))))))</f>
        <v>N/A</v>
      </c>
      <c r="K172" s="41"/>
      <c r="N172" s="12" t="s">
        <v>899</v>
      </c>
    </row>
    <row r="173" spans="2:14" x14ac:dyDescent="0.2">
      <c r="B173" s="38"/>
      <c r="C173" s="40" t="s">
        <v>257</v>
      </c>
      <c r="D173" s="40"/>
      <c r="E173" s="40"/>
      <c r="F173" s="40"/>
      <c r="G173" s="40"/>
      <c r="H173" s="40"/>
      <c r="I173" s="40"/>
      <c r="J173" s="266" t="s">
        <v>882</v>
      </c>
      <c r="K173" s="41"/>
      <c r="N173" s="12" t="s">
        <v>900</v>
      </c>
    </row>
    <row r="174" spans="2:14" x14ac:dyDescent="0.2">
      <c r="B174" s="38"/>
      <c r="C174" s="40" t="s">
        <v>261</v>
      </c>
      <c r="D174" s="40"/>
      <c r="E174" s="40"/>
      <c r="F174" s="40"/>
      <c r="G174" s="40"/>
      <c r="H174" s="40"/>
      <c r="I174" s="40"/>
      <c r="J174" s="245">
        <f>IF(J173=$B$973,$A$973,IF(J173=$B$974,$A$974,IF(J173=$B$975,$A$975,IF(J173=$B$976,$A$976,IF(J173=$B$977,$A$977,"Not Calculated")))))</f>
        <v>1</v>
      </c>
      <c r="K174" s="41"/>
      <c r="N174" s="12" t="s">
        <v>901</v>
      </c>
    </row>
    <row r="175" spans="2:14" x14ac:dyDescent="0.2">
      <c r="B175" s="38"/>
      <c r="C175" s="40" t="s">
        <v>893</v>
      </c>
      <c r="D175" s="40"/>
      <c r="E175" s="40"/>
      <c r="F175" s="40"/>
      <c r="G175" s="40"/>
      <c r="H175" s="40"/>
      <c r="I175" s="40"/>
      <c r="J175" s="40"/>
      <c r="K175" s="41"/>
      <c r="N175" s="12" t="s">
        <v>902</v>
      </c>
    </row>
    <row r="176" spans="2:14" ht="60" customHeight="1" x14ac:dyDescent="0.2">
      <c r="B176" s="38"/>
      <c r="C176" s="399" t="s">
        <v>574</v>
      </c>
      <c r="D176" s="400"/>
      <c r="E176" s="400"/>
      <c r="F176" s="400"/>
      <c r="G176" s="400"/>
      <c r="H176" s="400"/>
      <c r="I176" s="400"/>
      <c r="J176" s="401"/>
      <c r="K176" s="41"/>
    </row>
    <row r="177" spans="2:14" x14ac:dyDescent="0.2">
      <c r="B177" s="38"/>
      <c r="C177" s="40"/>
      <c r="D177" s="40"/>
      <c r="E177" s="40"/>
      <c r="F177" s="40"/>
      <c r="G177" s="40"/>
      <c r="H177" s="40"/>
      <c r="I177" s="40"/>
      <c r="J177" s="40"/>
      <c r="K177" s="41"/>
    </row>
    <row r="178" spans="2:14" x14ac:dyDescent="0.2">
      <c r="B178" s="38"/>
      <c r="C178" s="179" t="s">
        <v>274</v>
      </c>
      <c r="D178" s="40"/>
      <c r="E178" s="40"/>
      <c r="F178" s="40"/>
      <c r="G178" s="40"/>
      <c r="H178" s="40"/>
      <c r="I178" s="40"/>
      <c r="J178" s="245" t="str">
        <f>IF(J172="N/A",IF(OR(J165="Not Calculated",J174="Not Calculated")=TRUE,"Not Calculated",AVERAGE(J165,J174)),AVERAGE(J172,J174))</f>
        <v>Not Calculated</v>
      </c>
      <c r="K178" s="41"/>
    </row>
    <row r="179" spans="2:14" x14ac:dyDescent="0.2">
      <c r="B179" s="38"/>
      <c r="C179" s="40"/>
      <c r="D179" s="40"/>
      <c r="E179" s="40"/>
      <c r="F179" s="40"/>
      <c r="G179" s="40"/>
      <c r="H179" s="40"/>
      <c r="I179" s="40"/>
      <c r="J179" s="40"/>
      <c r="K179" s="41"/>
    </row>
    <row r="180" spans="2:14" x14ac:dyDescent="0.2">
      <c r="B180" s="38"/>
      <c r="C180" s="40"/>
      <c r="D180" s="40"/>
      <c r="E180" s="40"/>
      <c r="F180" s="40"/>
      <c r="G180" s="40"/>
      <c r="H180" s="40"/>
      <c r="I180" s="40"/>
      <c r="J180" s="40"/>
      <c r="K180" s="41"/>
    </row>
    <row r="181" spans="2:14" ht="16" x14ac:dyDescent="0.2">
      <c r="B181" s="38"/>
      <c r="C181" s="45" t="s">
        <v>74</v>
      </c>
      <c r="D181" s="40"/>
      <c r="E181" s="40"/>
      <c r="F181" s="40"/>
      <c r="G181" s="40"/>
      <c r="H181" s="40"/>
      <c r="I181" s="40"/>
      <c r="J181" s="40"/>
      <c r="K181" s="41"/>
    </row>
    <row r="182" spans="2:14" x14ac:dyDescent="0.2">
      <c r="B182" s="38"/>
      <c r="C182" s="40" t="s">
        <v>443</v>
      </c>
      <c r="D182" s="40"/>
      <c r="E182" s="40"/>
      <c r="F182" s="40"/>
      <c r="G182" s="40"/>
      <c r="H182" s="40"/>
      <c r="I182" s="40"/>
      <c r="J182" s="252">
        <f>'Baseline Health'!G59</f>
        <v>0</v>
      </c>
      <c r="K182" s="41"/>
    </row>
    <row r="183" spans="2:14" x14ac:dyDescent="0.2">
      <c r="B183" s="38"/>
      <c r="C183" s="40" t="s">
        <v>281</v>
      </c>
      <c r="D183" s="40"/>
      <c r="E183" s="40"/>
      <c r="F183" s="40"/>
      <c r="G183" s="40"/>
      <c r="H183" s="40"/>
      <c r="I183" s="40"/>
      <c r="J183" s="264">
        <f>'Community Characteristics'!H30+'Community Characteristics'!H39</f>
        <v>0</v>
      </c>
      <c r="K183" s="41"/>
    </row>
    <row r="184" spans="2:14" x14ac:dyDescent="0.2">
      <c r="B184" s="38"/>
      <c r="C184" s="40" t="s">
        <v>354</v>
      </c>
      <c r="D184" s="40"/>
      <c r="E184" s="40"/>
      <c r="F184" s="40"/>
      <c r="G184" s="40"/>
      <c r="H184" s="40"/>
      <c r="I184" s="40"/>
      <c r="J184" s="264">
        <v>0</v>
      </c>
      <c r="K184" s="41"/>
    </row>
    <row r="185" spans="2:14" x14ac:dyDescent="0.2">
      <c r="B185" s="38"/>
      <c r="C185" s="40" t="s">
        <v>260</v>
      </c>
      <c r="D185" s="40"/>
      <c r="E185" s="40"/>
      <c r="F185" s="40"/>
      <c r="G185" s="40"/>
      <c r="H185" s="40"/>
      <c r="I185" s="40"/>
      <c r="J185" s="245" t="str">
        <f>IF(OR(J182=0,J182="Not Calculated")=TRUE,"Not Calculated",IF(J182-J183=0,4,IF(((J182+J184)/(J182-J183))&lt;=1,0,IF(((J182+J184)/(J182-J183))&lt;=1.05,1,IF(((J182+J184)/(J182-J183))&lt;=1.5, 2,IF(((J182+J184)/(J182-J183))&lt;=2,3,4))))))</f>
        <v>Not Calculated</v>
      </c>
      <c r="K185" s="41"/>
    </row>
    <row r="186" spans="2:14" ht="9.75" customHeight="1" x14ac:dyDescent="0.2">
      <c r="B186" s="38"/>
      <c r="C186" s="279" t="str">
        <f>"0:"</f>
        <v>0:</v>
      </c>
      <c r="D186" s="278" t="s">
        <v>918</v>
      </c>
      <c r="E186" s="40"/>
      <c r="F186" s="40"/>
      <c r="G186" s="40"/>
      <c r="H186" s="40"/>
      <c r="I186" s="40"/>
      <c r="J186" s="40"/>
      <c r="K186" s="41"/>
    </row>
    <row r="187" spans="2:14" ht="9.75" customHeight="1" x14ac:dyDescent="0.2">
      <c r="B187" s="38"/>
      <c r="C187" s="280" t="str">
        <f>"1:"</f>
        <v>1:</v>
      </c>
      <c r="D187" s="278" t="s">
        <v>923</v>
      </c>
      <c r="E187" s="40"/>
      <c r="F187" s="40"/>
      <c r="G187" s="40"/>
      <c r="H187" s="40"/>
      <c r="I187" s="40"/>
      <c r="J187" s="40"/>
      <c r="K187" s="41"/>
    </row>
    <row r="188" spans="2:14" ht="9.75" customHeight="1" x14ac:dyDescent="0.2">
      <c r="B188" s="38"/>
      <c r="C188" s="280" t="str">
        <f>"2:"</f>
        <v>2:</v>
      </c>
      <c r="D188" s="278" t="s">
        <v>924</v>
      </c>
      <c r="E188" s="40"/>
      <c r="F188" s="40"/>
      <c r="G188" s="40"/>
      <c r="H188" s="40"/>
      <c r="I188" s="40"/>
      <c r="J188" s="40"/>
      <c r="K188" s="41"/>
    </row>
    <row r="189" spans="2:14" ht="9.75" customHeight="1" x14ac:dyDescent="0.2">
      <c r="B189" s="38"/>
      <c r="C189" s="280" t="str">
        <f>"3:"</f>
        <v>3:</v>
      </c>
      <c r="D189" s="278" t="s">
        <v>925</v>
      </c>
      <c r="E189" s="40"/>
      <c r="F189" s="40"/>
      <c r="G189" s="40"/>
      <c r="H189" s="40"/>
      <c r="I189" s="40"/>
      <c r="J189" s="40"/>
      <c r="K189" s="41"/>
    </row>
    <row r="190" spans="2:14" ht="9.75" customHeight="1" x14ac:dyDescent="0.2">
      <c r="B190" s="38"/>
      <c r="C190" s="280" t="str">
        <f>"4:"</f>
        <v>4:</v>
      </c>
      <c r="D190" s="278" t="s">
        <v>926</v>
      </c>
      <c r="E190" s="40"/>
      <c r="F190" s="40"/>
      <c r="G190" s="40"/>
      <c r="H190" s="40"/>
      <c r="I190" s="40"/>
      <c r="J190" s="40"/>
      <c r="K190" s="41"/>
      <c r="N190" s="12" t="s">
        <v>661</v>
      </c>
    </row>
    <row r="191" spans="2:14" x14ac:dyDescent="0.2">
      <c r="B191" s="38"/>
      <c r="C191" s="174" t="s">
        <v>662</v>
      </c>
      <c r="D191" s="40"/>
      <c r="E191" s="40"/>
      <c r="F191" s="40"/>
      <c r="G191" s="40"/>
      <c r="H191" s="40"/>
      <c r="I191" s="40"/>
      <c r="J191" s="265" t="s">
        <v>661</v>
      </c>
      <c r="K191" s="41"/>
      <c r="N191" s="12" t="s">
        <v>894</v>
      </c>
    </row>
    <row r="192" spans="2:14" x14ac:dyDescent="0.2">
      <c r="B192" s="38"/>
      <c r="C192" s="174" t="s">
        <v>660</v>
      </c>
      <c r="D192" s="40"/>
      <c r="E192" s="40"/>
      <c r="F192" s="40"/>
      <c r="G192" s="40"/>
      <c r="H192" s="40"/>
      <c r="I192" s="40"/>
      <c r="J192" s="246" t="str">
        <f>IF(J191=N190,"N/A",IF(J191=N191,0,IF(J191=N192,1,IF(J191=N193,2,IF(J191=N194,3,IF(J191=N195,4,"N/A"))))))</f>
        <v>N/A</v>
      </c>
      <c r="K192" s="41"/>
      <c r="N192" s="12" t="s">
        <v>899</v>
      </c>
    </row>
    <row r="193" spans="2:14" x14ac:dyDescent="0.2">
      <c r="B193" s="38"/>
      <c r="C193" s="40" t="s">
        <v>257</v>
      </c>
      <c r="D193" s="40"/>
      <c r="E193" s="40"/>
      <c r="F193" s="40"/>
      <c r="G193" s="40"/>
      <c r="H193" s="40"/>
      <c r="I193" s="40"/>
      <c r="J193" s="266" t="s">
        <v>882</v>
      </c>
      <c r="K193" s="41"/>
      <c r="N193" s="12" t="s">
        <v>900</v>
      </c>
    </row>
    <row r="194" spans="2:14" x14ac:dyDescent="0.2">
      <c r="B194" s="38"/>
      <c r="C194" s="40" t="s">
        <v>261</v>
      </c>
      <c r="D194" s="40"/>
      <c r="E194" s="40"/>
      <c r="F194" s="40"/>
      <c r="G194" s="40"/>
      <c r="H194" s="40"/>
      <c r="I194" s="40"/>
      <c r="J194" s="245">
        <f>IF(J193=$B$973,$A$973,IF(J193=$B$974,$A$974,IF(J193=$B$975,$A$975,IF(J193=$B$976,$A$976,IF(J193=$B$977,$A$977,"Not Calculated")))))</f>
        <v>1</v>
      </c>
      <c r="K194" s="41"/>
      <c r="N194" s="12" t="s">
        <v>901</v>
      </c>
    </row>
    <row r="195" spans="2:14" x14ac:dyDescent="0.2">
      <c r="B195" s="38"/>
      <c r="C195" s="40" t="s">
        <v>893</v>
      </c>
      <c r="D195" s="40"/>
      <c r="E195" s="40"/>
      <c r="F195" s="40"/>
      <c r="G195" s="40"/>
      <c r="H195" s="40"/>
      <c r="I195" s="40"/>
      <c r="J195" s="40"/>
      <c r="K195" s="41"/>
      <c r="N195" s="12" t="s">
        <v>902</v>
      </c>
    </row>
    <row r="196" spans="2:14" ht="75" customHeight="1" x14ac:dyDescent="0.2">
      <c r="B196" s="38"/>
      <c r="C196" s="399" t="s">
        <v>838</v>
      </c>
      <c r="D196" s="400"/>
      <c r="E196" s="400"/>
      <c r="F196" s="400"/>
      <c r="G196" s="400"/>
      <c r="H196" s="400"/>
      <c r="I196" s="400"/>
      <c r="J196" s="401"/>
      <c r="K196" s="41"/>
    </row>
    <row r="197" spans="2:14" x14ac:dyDescent="0.2">
      <c r="B197" s="38"/>
      <c r="C197" s="40"/>
      <c r="D197" s="40"/>
      <c r="E197" s="40"/>
      <c r="F197" s="40"/>
      <c r="G197" s="40"/>
      <c r="H197" s="40"/>
      <c r="I197" s="40"/>
      <c r="J197" s="40"/>
      <c r="K197" s="41"/>
    </row>
    <row r="198" spans="2:14" x14ac:dyDescent="0.2">
      <c r="B198" s="38"/>
      <c r="C198" s="179" t="s">
        <v>275</v>
      </c>
      <c r="D198" s="40"/>
      <c r="E198" s="40"/>
      <c r="F198" s="40"/>
      <c r="G198" s="40"/>
      <c r="H198" s="40"/>
      <c r="I198" s="40"/>
      <c r="J198" s="245" t="str">
        <f>IF(J192="N/A",IF(OR(J185="Not Calculated",J194="Not Calculated")=TRUE,"Not Calculated",AVERAGE(J185,J194)),AVERAGE(J192,J194))</f>
        <v>Not Calculated</v>
      </c>
      <c r="K198" s="41"/>
    </row>
    <row r="199" spans="2:14" x14ac:dyDescent="0.2">
      <c r="B199" s="38"/>
      <c r="C199" s="40"/>
      <c r="D199" s="40"/>
      <c r="E199" s="40"/>
      <c r="F199" s="40"/>
      <c r="G199" s="40"/>
      <c r="H199" s="40"/>
      <c r="I199" s="40"/>
      <c r="J199" s="40"/>
      <c r="K199" s="41"/>
    </row>
    <row r="200" spans="2:14" x14ac:dyDescent="0.2">
      <c r="B200" s="38"/>
      <c r="C200" s="40"/>
      <c r="D200" s="40"/>
      <c r="E200" s="40"/>
      <c r="F200" s="40"/>
      <c r="G200" s="40"/>
      <c r="H200" s="40"/>
      <c r="I200" s="40"/>
      <c r="J200" s="40"/>
      <c r="K200" s="41"/>
    </row>
    <row r="201" spans="2:14" ht="16" x14ac:dyDescent="0.2">
      <c r="B201" s="38"/>
      <c r="C201" s="45" t="s">
        <v>75</v>
      </c>
      <c r="D201" s="40"/>
      <c r="E201" s="40"/>
      <c r="F201" s="40"/>
      <c r="G201" s="40"/>
      <c r="H201" s="40"/>
      <c r="I201" s="40"/>
      <c r="J201" s="40"/>
      <c r="K201" s="41"/>
    </row>
    <row r="202" spans="2:14" x14ac:dyDescent="0.2">
      <c r="B202" s="38"/>
      <c r="C202" s="40" t="s">
        <v>444</v>
      </c>
      <c r="D202" s="40"/>
      <c r="E202" s="40"/>
      <c r="F202" s="40"/>
      <c r="G202" s="40"/>
      <c r="H202" s="40"/>
      <c r="I202" s="40"/>
      <c r="J202" s="252">
        <f>'Baseline Health'!G65</f>
        <v>0</v>
      </c>
      <c r="K202" s="41"/>
    </row>
    <row r="203" spans="2:14" x14ac:dyDescent="0.2">
      <c r="B203" s="38"/>
      <c r="C203" s="40" t="s">
        <v>282</v>
      </c>
      <c r="D203" s="40"/>
      <c r="E203" s="40"/>
      <c r="F203" s="40"/>
      <c r="G203" s="40"/>
      <c r="H203" s="40"/>
      <c r="I203" s="40"/>
      <c r="J203" s="264">
        <f>J202</f>
        <v>0</v>
      </c>
      <c r="K203" s="41"/>
    </row>
    <row r="204" spans="2:14" x14ac:dyDescent="0.2">
      <c r="B204" s="38"/>
      <c r="C204" s="40" t="s">
        <v>355</v>
      </c>
      <c r="D204" s="40"/>
      <c r="E204" s="40"/>
      <c r="F204" s="40"/>
      <c r="G204" s="40"/>
      <c r="H204" s="40"/>
      <c r="I204" s="40"/>
      <c r="J204" s="264">
        <v>0</v>
      </c>
      <c r="K204" s="41"/>
    </row>
    <row r="205" spans="2:14" x14ac:dyDescent="0.2">
      <c r="B205" s="38"/>
      <c r="C205" s="40" t="s">
        <v>260</v>
      </c>
      <c r="D205" s="40"/>
      <c r="E205" s="40"/>
      <c r="F205" s="40"/>
      <c r="G205" s="40"/>
      <c r="H205" s="40"/>
      <c r="I205" s="40"/>
      <c r="J205" s="245" t="str">
        <f>IF(OR(J202=0,J202="Not Calculated")=TRUE,"Not Calculated",IF(J202-J203=0,4,IF(((J202+J204)/(J202-J203))&lt;=1,0,IF(((J202+J204)/(J202-J203))&lt;=1.05,1,IF(((J202+J204)/(J202-J203))&lt;=1.5, 2,IF(((J202+J204)/(J202-J203))&lt;=2,3,4))))))</f>
        <v>Not Calculated</v>
      </c>
      <c r="K205" s="41"/>
    </row>
    <row r="206" spans="2:14" ht="9.75" customHeight="1" x14ac:dyDescent="0.2">
      <c r="B206" s="38"/>
      <c r="C206" s="279" t="str">
        <f>"0:"</f>
        <v>0:</v>
      </c>
      <c r="D206" s="278" t="s">
        <v>918</v>
      </c>
      <c r="E206" s="40"/>
      <c r="F206" s="40"/>
      <c r="G206" s="40"/>
      <c r="H206" s="40"/>
      <c r="I206" s="40"/>
      <c r="J206" s="40"/>
      <c r="K206" s="41"/>
    </row>
    <row r="207" spans="2:14" ht="9.75" customHeight="1" x14ac:dyDescent="0.2">
      <c r="B207" s="38"/>
      <c r="C207" s="280" t="str">
        <f>"1:"</f>
        <v>1:</v>
      </c>
      <c r="D207" s="278" t="s">
        <v>923</v>
      </c>
      <c r="E207" s="40"/>
      <c r="F207" s="40"/>
      <c r="G207" s="40"/>
      <c r="H207" s="40"/>
      <c r="I207" s="40"/>
      <c r="J207" s="40"/>
      <c r="K207" s="41"/>
    </row>
    <row r="208" spans="2:14" ht="9.75" customHeight="1" x14ac:dyDescent="0.2">
      <c r="B208" s="38"/>
      <c r="C208" s="280" t="str">
        <f>"2:"</f>
        <v>2:</v>
      </c>
      <c r="D208" s="278" t="s">
        <v>924</v>
      </c>
      <c r="E208" s="40"/>
      <c r="F208" s="40"/>
      <c r="G208" s="40"/>
      <c r="H208" s="40"/>
      <c r="I208" s="40"/>
      <c r="J208" s="40"/>
      <c r="K208" s="41"/>
    </row>
    <row r="209" spans="2:14" ht="9.75" customHeight="1" x14ac:dyDescent="0.2">
      <c r="B209" s="38"/>
      <c r="C209" s="280" t="str">
        <f>"3:"</f>
        <v>3:</v>
      </c>
      <c r="D209" s="278" t="s">
        <v>925</v>
      </c>
      <c r="E209" s="40"/>
      <c r="F209" s="40"/>
      <c r="G209" s="40"/>
      <c r="H209" s="40"/>
      <c r="I209" s="40"/>
      <c r="J209" s="40"/>
      <c r="K209" s="41"/>
    </row>
    <row r="210" spans="2:14" ht="9.75" customHeight="1" x14ac:dyDescent="0.2">
      <c r="B210" s="38"/>
      <c r="C210" s="280" t="str">
        <f>"4:"</f>
        <v>4:</v>
      </c>
      <c r="D210" s="278" t="s">
        <v>926</v>
      </c>
      <c r="E210" s="40"/>
      <c r="F210" s="40"/>
      <c r="G210" s="40"/>
      <c r="H210" s="40"/>
      <c r="I210" s="40"/>
      <c r="J210" s="40"/>
      <c r="K210" s="41"/>
      <c r="N210" s="12" t="s">
        <v>661</v>
      </c>
    </row>
    <row r="211" spans="2:14" x14ac:dyDescent="0.2">
      <c r="B211" s="38"/>
      <c r="C211" s="174" t="s">
        <v>662</v>
      </c>
      <c r="D211" s="40"/>
      <c r="E211" s="40"/>
      <c r="F211" s="40"/>
      <c r="G211" s="40"/>
      <c r="H211" s="40"/>
      <c r="I211" s="40"/>
      <c r="J211" s="265" t="s">
        <v>661</v>
      </c>
      <c r="K211" s="41"/>
      <c r="N211" s="12" t="s">
        <v>894</v>
      </c>
    </row>
    <row r="212" spans="2:14" x14ac:dyDescent="0.2">
      <c r="B212" s="38"/>
      <c r="C212" s="174" t="s">
        <v>660</v>
      </c>
      <c r="D212" s="40"/>
      <c r="E212" s="40"/>
      <c r="F212" s="40"/>
      <c r="G212" s="40"/>
      <c r="H212" s="40"/>
      <c r="I212" s="40"/>
      <c r="J212" s="246" t="str">
        <f>IF(J211=N210,"N/A",IF(J211=N211,0,IF(J211=N212,1,IF(J211=N213,2,IF(J211=N214,3,IF(J211=N215,4,"N/A"))))))</f>
        <v>N/A</v>
      </c>
      <c r="K212" s="41"/>
      <c r="N212" s="12" t="s">
        <v>899</v>
      </c>
    </row>
    <row r="213" spans="2:14" x14ac:dyDescent="0.2">
      <c r="B213" s="38"/>
      <c r="C213" s="40" t="s">
        <v>257</v>
      </c>
      <c r="D213" s="40"/>
      <c r="E213" s="40"/>
      <c r="F213" s="40"/>
      <c r="G213" s="40"/>
      <c r="H213" s="40"/>
      <c r="I213" s="40"/>
      <c r="J213" s="266" t="s">
        <v>882</v>
      </c>
      <c r="K213" s="41"/>
      <c r="N213" s="12" t="s">
        <v>900</v>
      </c>
    </row>
    <row r="214" spans="2:14" x14ac:dyDescent="0.2">
      <c r="B214" s="38"/>
      <c r="C214" s="40" t="s">
        <v>261</v>
      </c>
      <c r="D214" s="40"/>
      <c r="E214" s="40"/>
      <c r="F214" s="40"/>
      <c r="G214" s="40"/>
      <c r="H214" s="40"/>
      <c r="I214" s="40"/>
      <c r="J214" s="245">
        <f>IF(J213=$B$973,$A$973,IF(J213=$B$974,$A$974,IF(J213=$B$975,$A$975,IF(J213=$B$976,$A$976,IF(J213=$B$977,$A$977,"Not Calculated")))))</f>
        <v>1</v>
      </c>
      <c r="K214" s="41"/>
      <c r="N214" s="12" t="s">
        <v>901</v>
      </c>
    </row>
    <row r="215" spans="2:14" x14ac:dyDescent="0.2">
      <c r="B215" s="38"/>
      <c r="C215" s="40" t="s">
        <v>893</v>
      </c>
      <c r="D215" s="40"/>
      <c r="E215" s="40"/>
      <c r="F215" s="40"/>
      <c r="G215" s="40"/>
      <c r="H215" s="40"/>
      <c r="I215" s="40"/>
      <c r="J215" s="40"/>
      <c r="K215" s="41"/>
      <c r="N215" s="12" t="s">
        <v>902</v>
      </c>
    </row>
    <row r="216" spans="2:14" ht="30" customHeight="1" x14ac:dyDescent="0.2">
      <c r="B216" s="38"/>
      <c r="C216" s="399" t="s">
        <v>575</v>
      </c>
      <c r="D216" s="400"/>
      <c r="E216" s="400"/>
      <c r="F216" s="400"/>
      <c r="G216" s="400"/>
      <c r="H216" s="400"/>
      <c r="I216" s="400"/>
      <c r="J216" s="401"/>
      <c r="K216" s="41"/>
    </row>
    <row r="217" spans="2:14" x14ac:dyDescent="0.2">
      <c r="B217" s="38"/>
      <c r="C217" s="40"/>
      <c r="D217" s="40"/>
      <c r="E217" s="40"/>
      <c r="F217" s="40"/>
      <c r="G217" s="40"/>
      <c r="H217" s="40"/>
      <c r="I217" s="40"/>
      <c r="J217" s="40"/>
      <c r="K217" s="41"/>
    </row>
    <row r="218" spans="2:14" x14ac:dyDescent="0.2">
      <c r="B218" s="38"/>
      <c r="C218" s="179" t="s">
        <v>276</v>
      </c>
      <c r="D218" s="40"/>
      <c r="E218" s="40"/>
      <c r="F218" s="40"/>
      <c r="G218" s="40"/>
      <c r="H218" s="40"/>
      <c r="I218" s="40"/>
      <c r="J218" s="245" t="str">
        <f>IF(J212="N/A",IF(OR(J205="Not Calculated",J214="Not Calculated")=TRUE,"Not Calculated",AVERAGE(J205,J214)),AVERAGE(J212,J214))</f>
        <v>Not Calculated</v>
      </c>
      <c r="K218" s="41"/>
    </row>
    <row r="219" spans="2:14" x14ac:dyDescent="0.2">
      <c r="B219" s="38"/>
      <c r="C219" s="40"/>
      <c r="D219" s="40"/>
      <c r="E219" s="40"/>
      <c r="F219" s="40"/>
      <c r="G219" s="40"/>
      <c r="H219" s="40"/>
      <c r="I219" s="40"/>
      <c r="J219" s="40"/>
      <c r="K219" s="41"/>
    </row>
    <row r="220" spans="2:14" x14ac:dyDescent="0.2">
      <c r="B220" s="38"/>
      <c r="C220" s="40"/>
      <c r="D220" s="40"/>
      <c r="E220" s="40"/>
      <c r="F220" s="40"/>
      <c r="G220" s="40"/>
      <c r="H220" s="40"/>
      <c r="I220" s="40"/>
      <c r="J220" s="40"/>
      <c r="K220" s="41"/>
    </row>
    <row r="221" spans="2:14" ht="16" x14ac:dyDescent="0.2">
      <c r="B221" s="38"/>
      <c r="C221" s="45" t="s">
        <v>76</v>
      </c>
      <c r="D221" s="40"/>
      <c r="E221" s="40"/>
      <c r="F221" s="40"/>
      <c r="G221" s="40"/>
      <c r="H221" s="40"/>
      <c r="I221" s="40"/>
      <c r="J221" s="40"/>
      <c r="K221" s="41"/>
    </row>
    <row r="222" spans="2:14" ht="15" customHeight="1" x14ac:dyDescent="0.2">
      <c r="B222" s="38"/>
      <c r="C222" s="40" t="s">
        <v>356</v>
      </c>
      <c r="D222" s="40"/>
      <c r="E222" s="40"/>
      <c r="F222" s="40"/>
      <c r="G222" s="40"/>
      <c r="H222" s="40"/>
      <c r="I222" s="40"/>
      <c r="J222" s="252">
        <f>'Baseline Health'!G71</f>
        <v>0</v>
      </c>
      <c r="K222" s="41"/>
    </row>
    <row r="223" spans="2:14" x14ac:dyDescent="0.2">
      <c r="B223" s="38"/>
      <c r="C223" s="40" t="s">
        <v>357</v>
      </c>
      <c r="D223" s="40"/>
      <c r="E223" s="40"/>
      <c r="F223" s="40"/>
      <c r="G223" s="40"/>
      <c r="H223" s="40"/>
      <c r="I223" s="40"/>
      <c r="J223" s="264">
        <f>'Community Characteristics'!H33+'Community Characteristics'!H42</f>
        <v>0</v>
      </c>
      <c r="K223" s="41"/>
    </row>
    <row r="224" spans="2:14" x14ac:dyDescent="0.2">
      <c r="B224" s="38"/>
      <c r="C224" s="40" t="s">
        <v>445</v>
      </c>
      <c r="D224" s="40"/>
      <c r="E224" s="40"/>
      <c r="F224" s="40"/>
      <c r="G224" s="40"/>
      <c r="H224" s="40"/>
      <c r="I224" s="40"/>
      <c r="J224" s="251">
        <f>J102</f>
        <v>0</v>
      </c>
      <c r="K224" s="41"/>
    </row>
    <row r="225" spans="2:14" x14ac:dyDescent="0.2">
      <c r="B225" s="38"/>
      <c r="C225" s="40"/>
      <c r="D225" s="40" t="s">
        <v>446</v>
      </c>
      <c r="E225" s="40"/>
      <c r="F225" s="40"/>
      <c r="G225" s="40"/>
      <c r="H225" s="40"/>
      <c r="I225" s="40"/>
      <c r="J225" s="40"/>
      <c r="K225" s="41"/>
    </row>
    <row r="226" spans="2:14" x14ac:dyDescent="0.2">
      <c r="B226" s="38"/>
      <c r="C226" s="40" t="s">
        <v>260</v>
      </c>
      <c r="D226" s="40"/>
      <c r="E226" s="40"/>
      <c r="F226" s="40"/>
      <c r="G226" s="40"/>
      <c r="H226" s="40"/>
      <c r="I226" s="40"/>
      <c r="J226" s="245" t="str">
        <f>IF(OR(J222=0,J222="Not Calculated")=TRUE,"Not Calculated",IF(J222-J223=0,4,IF(((J222+J224)/(J222-J223))&lt;=1,0,IF(((J222+J224)/(J222-J223))&lt;=1.05,1,IF(((J222+J224)/(J222-J223))&lt;=1.5, 2,IF(((J222+J224)/(J222-J223))&lt;=2,3,4))))))</f>
        <v>Not Calculated</v>
      </c>
      <c r="K226" s="41"/>
    </row>
    <row r="227" spans="2:14" ht="9.75" customHeight="1" x14ac:dyDescent="0.2">
      <c r="B227" s="38"/>
      <c r="C227" s="279" t="str">
        <f>"0:"</f>
        <v>0:</v>
      </c>
      <c r="D227" s="278" t="s">
        <v>918</v>
      </c>
      <c r="E227" s="40"/>
      <c r="F227" s="40"/>
      <c r="G227" s="40"/>
      <c r="H227" s="40"/>
      <c r="I227" s="40"/>
      <c r="J227" s="40"/>
      <c r="K227" s="41"/>
    </row>
    <row r="228" spans="2:14" ht="9.75" customHeight="1" x14ac:dyDescent="0.2">
      <c r="B228" s="38"/>
      <c r="C228" s="280" t="str">
        <f>"1:"</f>
        <v>1:</v>
      </c>
      <c r="D228" s="278" t="s">
        <v>923</v>
      </c>
      <c r="E228" s="40"/>
      <c r="F228" s="40"/>
      <c r="G228" s="40"/>
      <c r="H228" s="40"/>
      <c r="I228" s="40"/>
      <c r="J228" s="40"/>
      <c r="K228" s="41"/>
    </row>
    <row r="229" spans="2:14" ht="9.75" customHeight="1" x14ac:dyDescent="0.2">
      <c r="B229" s="38"/>
      <c r="C229" s="280" t="str">
        <f>"2:"</f>
        <v>2:</v>
      </c>
      <c r="D229" s="278" t="s">
        <v>924</v>
      </c>
      <c r="E229" s="40"/>
      <c r="F229" s="40"/>
      <c r="G229" s="40"/>
      <c r="H229" s="40"/>
      <c r="I229" s="40"/>
      <c r="J229" s="40"/>
      <c r="K229" s="41"/>
    </row>
    <row r="230" spans="2:14" ht="9.75" customHeight="1" x14ac:dyDescent="0.2">
      <c r="B230" s="38"/>
      <c r="C230" s="280" t="str">
        <f>"3:"</f>
        <v>3:</v>
      </c>
      <c r="D230" s="278" t="s">
        <v>925</v>
      </c>
      <c r="E230" s="40"/>
      <c r="F230" s="40"/>
      <c r="G230" s="40"/>
      <c r="H230" s="40"/>
      <c r="I230" s="40"/>
      <c r="J230" s="40"/>
      <c r="K230" s="41"/>
    </row>
    <row r="231" spans="2:14" ht="9.75" customHeight="1" x14ac:dyDescent="0.2">
      <c r="B231" s="38"/>
      <c r="C231" s="280" t="str">
        <f>"4:"</f>
        <v>4:</v>
      </c>
      <c r="D231" s="278" t="s">
        <v>926</v>
      </c>
      <c r="E231" s="40"/>
      <c r="F231" s="40"/>
      <c r="G231" s="40"/>
      <c r="H231" s="40"/>
      <c r="I231" s="40"/>
      <c r="J231" s="40"/>
      <c r="K231" s="41"/>
      <c r="N231" s="12" t="s">
        <v>661</v>
      </c>
    </row>
    <row r="232" spans="2:14" x14ac:dyDescent="0.2">
      <c r="B232" s="38"/>
      <c r="C232" s="174" t="s">
        <v>662</v>
      </c>
      <c r="D232" s="40"/>
      <c r="E232" s="40"/>
      <c r="F232" s="40"/>
      <c r="G232" s="40"/>
      <c r="H232" s="40"/>
      <c r="I232" s="40"/>
      <c r="J232" s="265" t="s">
        <v>661</v>
      </c>
      <c r="K232" s="41"/>
      <c r="N232" s="12" t="s">
        <v>894</v>
      </c>
    </row>
    <row r="233" spans="2:14" x14ac:dyDescent="0.2">
      <c r="B233" s="38"/>
      <c r="C233" s="174" t="s">
        <v>660</v>
      </c>
      <c r="D233" s="40"/>
      <c r="E233" s="40"/>
      <c r="F233" s="40"/>
      <c r="G233" s="40"/>
      <c r="H233" s="40"/>
      <c r="I233" s="40"/>
      <c r="J233" s="246" t="str">
        <f>IF(J232=N231,"N/A",IF(J232=N232,0,IF(J232=N233,1,IF(J232=N234,2,IF(J232=N235,3,IF(J232=N236,4,"N/A"))))))</f>
        <v>N/A</v>
      </c>
      <c r="K233" s="41"/>
      <c r="N233" s="12" t="s">
        <v>899</v>
      </c>
    </row>
    <row r="234" spans="2:14" x14ac:dyDescent="0.2">
      <c r="B234" s="38"/>
      <c r="C234" s="40" t="s">
        <v>257</v>
      </c>
      <c r="D234" s="40"/>
      <c r="E234" s="40"/>
      <c r="F234" s="40"/>
      <c r="G234" s="40"/>
      <c r="H234" s="40"/>
      <c r="I234" s="40"/>
      <c r="J234" s="266" t="s">
        <v>870</v>
      </c>
      <c r="K234" s="41"/>
      <c r="N234" s="12" t="s">
        <v>900</v>
      </c>
    </row>
    <row r="235" spans="2:14" x14ac:dyDescent="0.2">
      <c r="B235" s="38"/>
      <c r="C235" s="40" t="s">
        <v>261</v>
      </c>
      <c r="D235" s="40"/>
      <c r="E235" s="40"/>
      <c r="F235" s="40"/>
      <c r="G235" s="40"/>
      <c r="H235" s="40"/>
      <c r="I235" s="40"/>
      <c r="J235" s="245">
        <f>IF(J234=$B$973,$A$973,IF(J234=$B$974,$A$974,IF(J234=$B$975,$A$975,IF(J234=$B$976,$A$976,IF(J234=$B$977,$A$977,"Not Calculated")))))</f>
        <v>0</v>
      </c>
      <c r="K235" s="41"/>
      <c r="N235" s="12" t="s">
        <v>901</v>
      </c>
    </row>
    <row r="236" spans="2:14" x14ac:dyDescent="0.2">
      <c r="B236" s="38"/>
      <c r="C236" s="40" t="s">
        <v>893</v>
      </c>
      <c r="D236" s="40"/>
      <c r="E236" s="40"/>
      <c r="F236" s="40"/>
      <c r="G236" s="40"/>
      <c r="H236" s="40"/>
      <c r="I236" s="40"/>
      <c r="J236" s="40"/>
      <c r="K236" s="41"/>
      <c r="N236" s="12" t="s">
        <v>902</v>
      </c>
    </row>
    <row r="237" spans="2:14" ht="60" customHeight="1" x14ac:dyDescent="0.2">
      <c r="B237" s="38"/>
      <c r="C237" s="399" t="s">
        <v>574</v>
      </c>
      <c r="D237" s="400"/>
      <c r="E237" s="400"/>
      <c r="F237" s="400"/>
      <c r="G237" s="400"/>
      <c r="H237" s="400"/>
      <c r="I237" s="400"/>
      <c r="J237" s="401"/>
      <c r="K237" s="41"/>
    </row>
    <row r="238" spans="2:14" x14ac:dyDescent="0.2">
      <c r="B238" s="38"/>
      <c r="C238" s="40"/>
      <c r="D238" s="40"/>
      <c r="E238" s="40"/>
      <c r="F238" s="40"/>
      <c r="G238" s="40"/>
      <c r="H238" s="40"/>
      <c r="I238" s="40"/>
      <c r="J238" s="40"/>
      <c r="K238" s="41"/>
    </row>
    <row r="239" spans="2:14" x14ac:dyDescent="0.2">
      <c r="B239" s="38"/>
      <c r="C239" s="179" t="s">
        <v>277</v>
      </c>
      <c r="D239" s="40"/>
      <c r="E239" s="40"/>
      <c r="F239" s="40"/>
      <c r="G239" s="40"/>
      <c r="H239" s="40"/>
      <c r="I239" s="40"/>
      <c r="J239" s="245" t="str">
        <f>IF(J233="N/A",IF(OR(J226="Not Calculated",J235="Not Calculated")=TRUE,"Not Calculated",AVERAGE(J226,J235)),AVERAGE(J233,J235))</f>
        <v>Not Calculated</v>
      </c>
      <c r="K239" s="41"/>
    </row>
    <row r="240" spans="2:14" x14ac:dyDescent="0.2">
      <c r="B240" s="38"/>
      <c r="C240" s="40"/>
      <c r="D240" s="40"/>
      <c r="E240" s="40"/>
      <c r="F240" s="40"/>
      <c r="G240" s="40"/>
      <c r="H240" s="40"/>
      <c r="I240" s="40"/>
      <c r="J240" s="40"/>
      <c r="K240" s="41"/>
    </row>
    <row r="241" spans="2:14" x14ac:dyDescent="0.2">
      <c r="B241" s="38"/>
      <c r="C241" s="40"/>
      <c r="D241" s="40"/>
      <c r="E241" s="40"/>
      <c r="F241" s="40"/>
      <c r="G241" s="40"/>
      <c r="H241" s="40"/>
      <c r="I241" s="40"/>
      <c r="J241" s="40"/>
      <c r="K241" s="41"/>
    </row>
    <row r="242" spans="2:14" ht="16" x14ac:dyDescent="0.2">
      <c r="B242" s="38"/>
      <c r="C242" s="45" t="s">
        <v>278</v>
      </c>
      <c r="D242" s="40"/>
      <c r="E242" s="40"/>
      <c r="F242" s="40"/>
      <c r="G242" s="40"/>
      <c r="H242" s="40"/>
      <c r="I242" s="40"/>
      <c r="J242" s="40"/>
      <c r="K242" s="41"/>
    </row>
    <row r="243" spans="2:14" ht="15" customHeight="1" x14ac:dyDescent="0.2">
      <c r="B243" s="38"/>
      <c r="C243" s="40" t="s">
        <v>447</v>
      </c>
      <c r="D243" s="40"/>
      <c r="E243" s="40"/>
      <c r="F243" s="40"/>
      <c r="G243" s="40"/>
      <c r="H243" s="40"/>
      <c r="I243" s="40"/>
      <c r="J243" s="254">
        <f>'Baseline Health'!G77</f>
        <v>0</v>
      </c>
      <c r="K243" s="41"/>
    </row>
    <row r="244" spans="2:14" x14ac:dyDescent="0.2">
      <c r="B244" s="38"/>
      <c r="C244" s="40" t="s">
        <v>358</v>
      </c>
      <c r="D244" s="40"/>
      <c r="E244" s="40"/>
      <c r="F244" s="40"/>
      <c r="G244" s="40"/>
      <c r="H244" s="40"/>
      <c r="I244" s="40"/>
      <c r="J244" s="264">
        <f>J243/2</f>
        <v>0</v>
      </c>
      <c r="K244" s="41"/>
    </row>
    <row r="245" spans="2:14" x14ac:dyDescent="0.2">
      <c r="B245" s="38"/>
      <c r="C245" s="40" t="s">
        <v>360</v>
      </c>
      <c r="D245" s="291"/>
      <c r="E245" s="291"/>
      <c r="F245" s="291"/>
      <c r="G245" s="291"/>
      <c r="H245" s="291"/>
      <c r="I245" s="291"/>
      <c r="J245" s="264">
        <v>0</v>
      </c>
      <c r="K245" s="41"/>
    </row>
    <row r="246" spans="2:14" x14ac:dyDescent="0.2">
      <c r="B246" s="38"/>
      <c r="C246" s="40" t="s">
        <v>260</v>
      </c>
      <c r="D246" s="40"/>
      <c r="E246" s="40"/>
      <c r="F246" s="40"/>
      <c r="G246" s="40"/>
      <c r="H246" s="40"/>
      <c r="I246" s="40"/>
      <c r="J246" s="245" t="str">
        <f>IF(OR(J243=0,J243="Not Calculated")=TRUE,"Not Calculated",IF(J243-J244=0,4,(IF(((J243+J245)/(J243-J244))&lt;=1,0,IF(((J243+J245)/(J243-J244))&lt;=1.05,1,IF(((J243+J245)/(J243-J244))&lt;=1.5,2,IF(((J243+J245)/(J243-J244))&lt;=2,3,4)))))))</f>
        <v>Not Calculated</v>
      </c>
      <c r="K246" s="41"/>
    </row>
    <row r="247" spans="2:14" ht="9.75" customHeight="1" x14ac:dyDescent="0.2">
      <c r="B247" s="38"/>
      <c r="C247" s="279" t="str">
        <f>"0:"</f>
        <v>0:</v>
      </c>
      <c r="D247" s="278" t="s">
        <v>918</v>
      </c>
      <c r="E247" s="40"/>
      <c r="F247" s="40"/>
      <c r="G247" s="40"/>
      <c r="H247" s="40"/>
      <c r="I247" s="40"/>
      <c r="J247" s="40"/>
      <c r="K247" s="41"/>
    </row>
    <row r="248" spans="2:14" ht="9.75" customHeight="1" x14ac:dyDescent="0.2">
      <c r="B248" s="38"/>
      <c r="C248" s="280" t="str">
        <f>"1:"</f>
        <v>1:</v>
      </c>
      <c r="D248" s="278" t="s">
        <v>923</v>
      </c>
      <c r="E248" s="40"/>
      <c r="F248" s="40"/>
      <c r="G248" s="40"/>
      <c r="H248" s="40"/>
      <c r="I248" s="40"/>
      <c r="J248" s="40"/>
      <c r="K248" s="41"/>
    </row>
    <row r="249" spans="2:14" ht="9.75" customHeight="1" x14ac:dyDescent="0.2">
      <c r="B249" s="38"/>
      <c r="C249" s="280" t="str">
        <f>"2:"</f>
        <v>2:</v>
      </c>
      <c r="D249" s="278" t="s">
        <v>924</v>
      </c>
      <c r="E249" s="40"/>
      <c r="F249" s="40"/>
      <c r="G249" s="40"/>
      <c r="H249" s="40"/>
      <c r="I249" s="40"/>
      <c r="J249" s="40"/>
      <c r="K249" s="41"/>
    </row>
    <row r="250" spans="2:14" ht="9.75" customHeight="1" x14ac:dyDescent="0.2">
      <c r="B250" s="38"/>
      <c r="C250" s="280" t="str">
        <f>"3:"</f>
        <v>3:</v>
      </c>
      <c r="D250" s="278" t="s">
        <v>925</v>
      </c>
      <c r="E250" s="40"/>
      <c r="F250" s="40"/>
      <c r="G250" s="40"/>
      <c r="H250" s="40"/>
      <c r="I250" s="40"/>
      <c r="J250" s="40"/>
      <c r="K250" s="41"/>
    </row>
    <row r="251" spans="2:14" ht="9.75" customHeight="1" x14ac:dyDescent="0.2">
      <c r="B251" s="38"/>
      <c r="C251" s="280" t="str">
        <f>"4:"</f>
        <v>4:</v>
      </c>
      <c r="D251" s="278" t="s">
        <v>926</v>
      </c>
      <c r="E251" s="40"/>
      <c r="F251" s="40"/>
      <c r="G251" s="40"/>
      <c r="H251" s="40"/>
      <c r="I251" s="40"/>
      <c r="J251" s="40"/>
      <c r="K251" s="41"/>
      <c r="N251" s="12" t="s">
        <v>661</v>
      </c>
    </row>
    <row r="252" spans="2:14" x14ac:dyDescent="0.2">
      <c r="B252" s="38"/>
      <c r="C252" s="174" t="s">
        <v>662</v>
      </c>
      <c r="D252" s="40"/>
      <c r="E252" s="40"/>
      <c r="F252" s="40"/>
      <c r="G252" s="40"/>
      <c r="H252" s="40"/>
      <c r="I252" s="40"/>
      <c r="J252" s="265" t="s">
        <v>661</v>
      </c>
      <c r="K252" s="41"/>
      <c r="N252" s="12" t="s">
        <v>894</v>
      </c>
    </row>
    <row r="253" spans="2:14" x14ac:dyDescent="0.2">
      <c r="B253" s="38"/>
      <c r="C253" s="174" t="s">
        <v>660</v>
      </c>
      <c r="D253" s="40"/>
      <c r="E253" s="40"/>
      <c r="F253" s="40"/>
      <c r="G253" s="40"/>
      <c r="H253" s="40"/>
      <c r="I253" s="40"/>
      <c r="J253" s="246" t="str">
        <f>IF(J252=N251,"N/A",IF(J252=N252,0,IF(J252=N253,1,IF(J252=N254,2,IF(J252=N255,3,IF(J252=N256,4,"N/A"))))))</f>
        <v>N/A</v>
      </c>
      <c r="K253" s="41"/>
      <c r="N253" s="12" t="s">
        <v>899</v>
      </c>
    </row>
    <row r="254" spans="2:14" x14ac:dyDescent="0.2">
      <c r="B254" s="38"/>
      <c r="C254" s="40" t="s">
        <v>257</v>
      </c>
      <c r="D254" s="40"/>
      <c r="E254" s="40"/>
      <c r="F254" s="40"/>
      <c r="G254" s="40"/>
      <c r="H254" s="40"/>
      <c r="I254" s="40"/>
      <c r="J254" s="266" t="s">
        <v>872</v>
      </c>
      <c r="K254" s="41"/>
      <c r="N254" s="12" t="s">
        <v>900</v>
      </c>
    </row>
    <row r="255" spans="2:14" x14ac:dyDescent="0.2">
      <c r="B255" s="38"/>
      <c r="C255" s="40" t="s">
        <v>261</v>
      </c>
      <c r="D255" s="40"/>
      <c r="E255" s="40"/>
      <c r="F255" s="40"/>
      <c r="G255" s="40"/>
      <c r="H255" s="40"/>
      <c r="I255" s="40"/>
      <c r="J255" s="245">
        <f>IF(J254=$B$973,$A$973,IF(J254=$B$974,$A$974,IF(J254=$B$975,$A$975,IF(J254=$B$976,$A$976,IF(J254=$B$977,$A$977,"Not Calculated")))))</f>
        <v>2</v>
      </c>
      <c r="K255" s="41"/>
      <c r="N255" s="12" t="s">
        <v>901</v>
      </c>
    </row>
    <row r="256" spans="2:14" x14ac:dyDescent="0.2">
      <c r="B256" s="38"/>
      <c r="C256" s="40" t="s">
        <v>893</v>
      </c>
      <c r="D256" s="40"/>
      <c r="E256" s="40"/>
      <c r="F256" s="40"/>
      <c r="G256" s="40"/>
      <c r="H256" s="40"/>
      <c r="I256" s="40"/>
      <c r="J256" s="40"/>
      <c r="K256" s="41"/>
      <c r="N256" s="12" t="s">
        <v>902</v>
      </c>
    </row>
    <row r="257" spans="2:11" ht="30" customHeight="1" x14ac:dyDescent="0.2">
      <c r="B257" s="38"/>
      <c r="C257" s="399" t="s">
        <v>576</v>
      </c>
      <c r="D257" s="400"/>
      <c r="E257" s="400"/>
      <c r="F257" s="400"/>
      <c r="G257" s="400"/>
      <c r="H257" s="400"/>
      <c r="I257" s="400"/>
      <c r="J257" s="401"/>
      <c r="K257" s="41"/>
    </row>
    <row r="258" spans="2:11" x14ac:dyDescent="0.2">
      <c r="B258" s="38"/>
      <c r="C258" s="40"/>
      <c r="D258" s="40"/>
      <c r="E258" s="40"/>
      <c r="F258" s="40"/>
      <c r="G258" s="40"/>
      <c r="H258" s="40"/>
      <c r="I258" s="40"/>
      <c r="J258" s="40"/>
      <c r="K258" s="41"/>
    </row>
    <row r="259" spans="2:11" x14ac:dyDescent="0.2">
      <c r="B259" s="38"/>
      <c r="C259" s="179" t="s">
        <v>279</v>
      </c>
      <c r="D259" s="40"/>
      <c r="E259" s="40"/>
      <c r="F259" s="40"/>
      <c r="G259" s="40"/>
      <c r="H259" s="40"/>
      <c r="I259" s="40"/>
      <c r="J259" s="245" t="str">
        <f>IF(J253="N/A",IF(OR(J246="Not Calculated",J255="Not Calculated")=TRUE,"Not Calculated",AVERAGE(J246,J255)),AVERAGE(J253,J255))</f>
        <v>Not Calculated</v>
      </c>
      <c r="K259" s="41"/>
    </row>
    <row r="260" spans="2:11" x14ac:dyDescent="0.2">
      <c r="B260" s="38"/>
      <c r="C260" s="40"/>
      <c r="D260" s="40"/>
      <c r="E260" s="40"/>
      <c r="F260" s="40"/>
      <c r="G260" s="40"/>
      <c r="H260" s="40"/>
      <c r="I260" s="40"/>
      <c r="J260" s="40"/>
      <c r="K260" s="41"/>
    </row>
    <row r="261" spans="2:11" ht="18" x14ac:dyDescent="0.2">
      <c r="B261" s="38"/>
      <c r="C261" s="180" t="s">
        <v>272</v>
      </c>
      <c r="D261" s="40"/>
      <c r="E261" s="40"/>
      <c r="F261" s="40"/>
      <c r="G261" s="40"/>
      <c r="H261" s="40"/>
      <c r="I261" s="40"/>
      <c r="J261" s="244" t="str">
        <f>IF(OR(J157="Not Calculated",J178="Not Calculated",J198="Not Calculated",J218="Not Calculated",J239="Not Calculated",J259="Not Calculated",)=TRUE,"Not Calculated",AVERAGE(J157,J178,J198,J218,J239,J259))</f>
        <v>Not Calculated</v>
      </c>
      <c r="K261" s="41"/>
    </row>
    <row r="262" spans="2:11" ht="16" thickBot="1" x14ac:dyDescent="0.25">
      <c r="B262" s="46"/>
      <c r="C262" s="47"/>
      <c r="D262" s="47"/>
      <c r="E262" s="47"/>
      <c r="F262" s="47"/>
      <c r="G262" s="47"/>
      <c r="H262" s="47"/>
      <c r="I262" s="47"/>
      <c r="J262" s="47"/>
      <c r="K262" s="49"/>
    </row>
    <row r="263" spans="2:11" ht="16" thickBot="1" x14ac:dyDescent="0.25"/>
    <row r="264" spans="2:11" x14ac:dyDescent="0.2">
      <c r="B264" s="33"/>
      <c r="C264" s="34"/>
      <c r="D264" s="34"/>
      <c r="E264" s="34"/>
      <c r="F264" s="34"/>
      <c r="G264" s="34"/>
      <c r="H264" s="34"/>
      <c r="I264" s="34"/>
      <c r="J264" s="34"/>
      <c r="K264" s="37"/>
    </row>
    <row r="265" spans="2:11" ht="21" x14ac:dyDescent="0.25">
      <c r="B265" s="38"/>
      <c r="C265" s="40"/>
      <c r="D265" s="40"/>
      <c r="E265" s="40"/>
      <c r="F265" s="40"/>
      <c r="G265" s="172" t="s">
        <v>864</v>
      </c>
      <c r="H265" s="40"/>
      <c r="I265" s="40"/>
      <c r="J265" s="40"/>
      <c r="K265" s="41"/>
    </row>
    <row r="266" spans="2:11" ht="15" customHeight="1" x14ac:dyDescent="0.2">
      <c r="B266" s="38"/>
      <c r="C266" s="40"/>
      <c r="D266" s="40"/>
      <c r="E266" s="40"/>
      <c r="F266" s="40"/>
      <c r="G266" s="40"/>
      <c r="H266" s="40"/>
      <c r="I266" s="40"/>
      <c r="J266" s="40"/>
      <c r="K266" s="41"/>
    </row>
    <row r="267" spans="2:11" ht="16" x14ac:dyDescent="0.2">
      <c r="B267" s="38"/>
      <c r="C267" s="45" t="s">
        <v>80</v>
      </c>
      <c r="D267" s="40"/>
      <c r="E267" s="40"/>
      <c r="F267" s="40"/>
      <c r="G267" s="40"/>
      <c r="H267" s="40"/>
      <c r="I267" s="40"/>
      <c r="J267" s="40"/>
      <c r="K267" s="41"/>
    </row>
    <row r="268" spans="2:11" x14ac:dyDescent="0.2">
      <c r="B268" s="38"/>
      <c r="C268" s="40" t="s">
        <v>283</v>
      </c>
      <c r="D268" s="40"/>
      <c r="E268" s="40"/>
      <c r="F268" s="40"/>
      <c r="G268" s="40"/>
      <c r="H268" s="40"/>
      <c r="I268" s="40"/>
      <c r="J268" s="250">
        <f>'Baseline Health'!G88</f>
        <v>0</v>
      </c>
      <c r="K268" s="41"/>
    </row>
    <row r="269" spans="2:11" x14ac:dyDescent="0.2">
      <c r="B269" s="38"/>
      <c r="C269" s="40" t="s">
        <v>284</v>
      </c>
      <c r="D269" s="40"/>
      <c r="E269" s="40"/>
      <c r="F269" s="40"/>
      <c r="G269" s="40"/>
      <c r="H269" s="40"/>
      <c r="I269" s="40"/>
      <c r="J269" s="264">
        <v>0</v>
      </c>
      <c r="K269" s="41"/>
    </row>
    <row r="270" spans="2:11" x14ac:dyDescent="0.2">
      <c r="B270" s="38"/>
      <c r="C270" s="40" t="s">
        <v>285</v>
      </c>
      <c r="D270" s="40"/>
      <c r="E270" s="40"/>
      <c r="F270" s="40"/>
      <c r="G270" s="40"/>
      <c r="H270" s="40"/>
      <c r="I270" s="40"/>
      <c r="J270" s="259">
        <f>'Baseline Health'!G93</f>
        <v>0</v>
      </c>
      <c r="K270" s="41"/>
    </row>
    <row r="271" spans="2:11" x14ac:dyDescent="0.2">
      <c r="B271" s="38"/>
      <c r="C271" s="40" t="s">
        <v>286</v>
      </c>
      <c r="D271" s="40"/>
      <c r="E271" s="40"/>
      <c r="F271" s="40"/>
      <c r="G271" s="40"/>
      <c r="H271" s="40"/>
      <c r="I271" s="40"/>
      <c r="J271" s="250">
        <f>J184</f>
        <v>0</v>
      </c>
      <c r="K271" s="41"/>
    </row>
    <row r="272" spans="2:11" x14ac:dyDescent="0.2">
      <c r="B272" s="38"/>
      <c r="C272" s="40"/>
      <c r="D272" s="40" t="s">
        <v>432</v>
      </c>
      <c r="E272" s="40"/>
      <c r="F272" s="40"/>
      <c r="G272" s="40"/>
      <c r="H272" s="40"/>
      <c r="I272" s="40"/>
      <c r="J272" s="40"/>
      <c r="K272" s="41"/>
    </row>
    <row r="273" spans="2:14" x14ac:dyDescent="0.2">
      <c r="B273" s="38"/>
      <c r="C273" s="40" t="s">
        <v>292</v>
      </c>
      <c r="D273" s="40"/>
      <c r="E273" s="40"/>
      <c r="F273" s="40"/>
      <c r="G273" s="40"/>
      <c r="H273" s="40"/>
      <c r="I273" s="40"/>
      <c r="J273" s="258" t="str">
        <f>'Baseline Health'!G97</f>
        <v>N/A</v>
      </c>
      <c r="K273" s="41"/>
    </row>
    <row r="274" spans="2:14" x14ac:dyDescent="0.2">
      <c r="B274" s="38"/>
      <c r="C274" s="40" t="s">
        <v>293</v>
      </c>
      <c r="D274" s="40"/>
      <c r="E274" s="40"/>
      <c r="F274" s="40"/>
      <c r="G274" s="40"/>
      <c r="H274" s="40"/>
      <c r="I274" s="40"/>
      <c r="J274" s="258" t="str">
        <f>IF(J273="N/A","N/A",IF(J268-J269=0,"No Nurses",((J270+J271)/(J268-J269))))</f>
        <v>N/A</v>
      </c>
      <c r="K274" s="41"/>
    </row>
    <row r="275" spans="2:14" x14ac:dyDescent="0.2">
      <c r="B275" s="38"/>
      <c r="C275" s="40" t="s">
        <v>260</v>
      </c>
      <c r="D275" s="40"/>
      <c r="E275" s="40"/>
      <c r="F275" s="40"/>
      <c r="G275" s="40"/>
      <c r="H275" s="40"/>
      <c r="I275" s="40"/>
      <c r="J275" s="245">
        <f>IF(J273=0,"Not Calculated",IF(J274="N/A",0,IF(J274="No Nurses",4,IF((J274/J273)&lt;=1,0,IF((J274/J273)&lt;=1.1,1,IF((J274/J273)&lt;=1=1.25,2,IF((J274/J273)&lt;=1.5,3,4)))))))</f>
        <v>0</v>
      </c>
      <c r="K275" s="41"/>
    </row>
    <row r="276" spans="2:14" ht="9.75" customHeight="1" x14ac:dyDescent="0.2">
      <c r="B276" s="38"/>
      <c r="C276" s="279" t="str">
        <f>"0:"</f>
        <v>0:</v>
      </c>
      <c r="D276" s="278" t="s">
        <v>927</v>
      </c>
      <c r="E276" s="40"/>
      <c r="F276" s="40"/>
      <c r="G276" s="40"/>
      <c r="H276" s="40"/>
      <c r="I276" s="40"/>
      <c r="J276" s="258"/>
      <c r="K276" s="41"/>
    </row>
    <row r="277" spans="2:14" ht="9.75" customHeight="1" x14ac:dyDescent="0.2">
      <c r="B277" s="38"/>
      <c r="C277" s="280" t="str">
        <f>"1:"</f>
        <v>1:</v>
      </c>
      <c r="D277" s="278" t="s">
        <v>928</v>
      </c>
      <c r="E277" s="40"/>
      <c r="F277" s="40"/>
      <c r="G277" s="40"/>
      <c r="H277" s="40"/>
      <c r="I277" s="40"/>
      <c r="J277" s="258"/>
      <c r="K277" s="41"/>
    </row>
    <row r="278" spans="2:14" ht="9.75" customHeight="1" x14ac:dyDescent="0.2">
      <c r="B278" s="38"/>
      <c r="C278" s="280" t="str">
        <f>"2:"</f>
        <v>2:</v>
      </c>
      <c r="D278" s="278" t="s">
        <v>929</v>
      </c>
      <c r="E278" s="40"/>
      <c r="F278" s="40"/>
      <c r="G278" s="40"/>
      <c r="H278" s="40"/>
      <c r="I278" s="40"/>
      <c r="J278" s="258"/>
      <c r="K278" s="41"/>
    </row>
    <row r="279" spans="2:14" ht="9.75" customHeight="1" x14ac:dyDescent="0.2">
      <c r="B279" s="38"/>
      <c r="C279" s="280" t="str">
        <f>"3:"</f>
        <v>3:</v>
      </c>
      <c r="D279" s="278" t="s">
        <v>930</v>
      </c>
      <c r="E279" s="40"/>
      <c r="F279" s="40"/>
      <c r="G279" s="40"/>
      <c r="H279" s="40"/>
      <c r="I279" s="40"/>
      <c r="J279" s="258"/>
      <c r="K279" s="41"/>
    </row>
    <row r="280" spans="2:14" ht="9.75" customHeight="1" x14ac:dyDescent="0.2">
      <c r="B280" s="38"/>
      <c r="C280" s="280" t="str">
        <f>"4:"</f>
        <v>4:</v>
      </c>
      <c r="D280" s="278" t="s">
        <v>931</v>
      </c>
      <c r="E280" s="40"/>
      <c r="F280" s="40"/>
      <c r="G280" s="40"/>
      <c r="H280" s="40"/>
      <c r="I280" s="40"/>
      <c r="J280" s="40"/>
      <c r="K280" s="41"/>
      <c r="N280" s="12" t="s">
        <v>661</v>
      </c>
    </row>
    <row r="281" spans="2:14" x14ac:dyDescent="0.2">
      <c r="B281" s="38"/>
      <c r="C281" s="174" t="s">
        <v>662</v>
      </c>
      <c r="D281" s="40"/>
      <c r="E281" s="40"/>
      <c r="F281" s="40"/>
      <c r="G281" s="40"/>
      <c r="H281" s="40"/>
      <c r="I281" s="40"/>
      <c r="J281" s="265" t="s">
        <v>661</v>
      </c>
      <c r="K281" s="41"/>
      <c r="N281" s="12" t="s">
        <v>903</v>
      </c>
    </row>
    <row r="282" spans="2:14" x14ac:dyDescent="0.2">
      <c r="B282" s="38"/>
      <c r="C282" s="174" t="s">
        <v>660</v>
      </c>
      <c r="D282" s="40"/>
      <c r="E282" s="40"/>
      <c r="F282" s="40"/>
      <c r="G282" s="40"/>
      <c r="H282" s="40"/>
      <c r="I282" s="40"/>
      <c r="J282" s="246" t="str">
        <f>IF(J281=N280,"N/A",IF(J281=N281,0,IF(J281=N282,1,IF(J281=N283,2,IF(J281=N284,3,IF(J281=N285,4,"N/A"))))))</f>
        <v>N/A</v>
      </c>
      <c r="K282" s="41"/>
      <c r="N282" s="12" t="s">
        <v>904</v>
      </c>
    </row>
    <row r="283" spans="2:14" x14ac:dyDescent="0.2">
      <c r="B283" s="38"/>
      <c r="C283" s="40" t="s">
        <v>257</v>
      </c>
      <c r="D283" s="40"/>
      <c r="E283" s="40"/>
      <c r="F283" s="40"/>
      <c r="G283" s="40"/>
      <c r="H283" s="40"/>
      <c r="I283" s="40"/>
      <c r="J283" s="266" t="s">
        <v>872</v>
      </c>
      <c r="K283" s="41"/>
      <c r="N283" s="12" t="s">
        <v>905</v>
      </c>
    </row>
    <row r="284" spans="2:14" x14ac:dyDescent="0.2">
      <c r="B284" s="38"/>
      <c r="C284" s="40" t="s">
        <v>261</v>
      </c>
      <c r="D284" s="40"/>
      <c r="E284" s="40"/>
      <c r="F284" s="40"/>
      <c r="G284" s="40"/>
      <c r="H284" s="40"/>
      <c r="I284" s="40"/>
      <c r="J284" s="248">
        <f>IF(J283=$B$973,$A$973,IF(J283=$B$974,$A$974,IF(J283=$B$975,$A$975,IF(J283=$B$976,$A$976,IF(J283=$B$977,$A$977,"Not Calculated")))))</f>
        <v>2</v>
      </c>
      <c r="K284" s="41"/>
      <c r="N284" s="12" t="s">
        <v>906</v>
      </c>
    </row>
    <row r="285" spans="2:14" x14ac:dyDescent="0.2">
      <c r="B285" s="38"/>
      <c r="C285" s="40" t="s">
        <v>893</v>
      </c>
      <c r="D285" s="40"/>
      <c r="E285" s="40"/>
      <c r="F285" s="40"/>
      <c r="G285" s="40"/>
      <c r="H285" s="40"/>
      <c r="I285" s="40"/>
      <c r="J285" s="40"/>
      <c r="K285" s="41"/>
      <c r="N285" s="12" t="s">
        <v>907</v>
      </c>
    </row>
    <row r="286" spans="2:14" ht="30" customHeight="1" x14ac:dyDescent="0.2">
      <c r="B286" s="38"/>
      <c r="C286" s="399"/>
      <c r="D286" s="400"/>
      <c r="E286" s="400"/>
      <c r="F286" s="400"/>
      <c r="G286" s="400"/>
      <c r="H286" s="400"/>
      <c r="I286" s="400"/>
      <c r="J286" s="401"/>
      <c r="K286" s="41"/>
    </row>
    <row r="287" spans="2:14" x14ac:dyDescent="0.2">
      <c r="B287" s="38"/>
      <c r="C287" s="40"/>
      <c r="D287" s="40"/>
      <c r="E287" s="40"/>
      <c r="F287" s="40"/>
      <c r="G287" s="40"/>
      <c r="H287" s="40"/>
      <c r="I287" s="40"/>
      <c r="J287" s="40"/>
      <c r="K287" s="41"/>
    </row>
    <row r="288" spans="2:14" x14ac:dyDescent="0.2">
      <c r="B288" s="38"/>
      <c r="C288" s="179" t="s">
        <v>295</v>
      </c>
      <c r="D288" s="40"/>
      <c r="E288" s="40"/>
      <c r="F288" s="40"/>
      <c r="G288" s="40"/>
      <c r="H288" s="40"/>
      <c r="I288" s="40"/>
      <c r="J288" s="245">
        <f>IF(J282="N/A",IF(OR(J275="Not Calculated",J284="Not Calculated")=TRUE,"Not Calculated",AVERAGE(J275,J284)),AVERAGE(J282,J284))</f>
        <v>1</v>
      </c>
      <c r="K288" s="41"/>
    </row>
    <row r="289" spans="2:11" x14ac:dyDescent="0.2">
      <c r="B289" s="38"/>
      <c r="C289" s="40"/>
      <c r="D289" s="40"/>
      <c r="E289" s="40"/>
      <c r="F289" s="40"/>
      <c r="G289" s="40"/>
      <c r="H289" s="40"/>
      <c r="I289" s="40"/>
      <c r="J289" s="245"/>
      <c r="K289" s="41"/>
    </row>
    <row r="290" spans="2:11" x14ac:dyDescent="0.2">
      <c r="B290" s="38"/>
      <c r="C290" s="40"/>
      <c r="D290" s="40"/>
      <c r="E290" s="40"/>
      <c r="F290" s="40"/>
      <c r="G290" s="40"/>
      <c r="H290" s="40"/>
      <c r="I290" s="40"/>
      <c r="J290" s="40"/>
      <c r="K290" s="41"/>
    </row>
    <row r="291" spans="2:11" ht="16" x14ac:dyDescent="0.2">
      <c r="B291" s="38"/>
      <c r="C291" s="45" t="s">
        <v>856</v>
      </c>
      <c r="D291" s="40"/>
      <c r="E291" s="40"/>
      <c r="F291" s="40"/>
      <c r="G291" s="40"/>
      <c r="H291" s="40"/>
      <c r="I291" s="40"/>
      <c r="J291" s="40"/>
      <c r="K291" s="41"/>
    </row>
    <row r="292" spans="2:11" ht="15" customHeight="1" x14ac:dyDescent="0.2">
      <c r="B292" s="38"/>
      <c r="C292" s="380" t="s">
        <v>855</v>
      </c>
      <c r="D292" s="380"/>
      <c r="E292" s="380"/>
      <c r="F292" s="380"/>
      <c r="G292" s="380"/>
      <c r="H292" s="380"/>
      <c r="I292" s="380"/>
      <c r="J292" s="40"/>
      <c r="K292" s="41"/>
    </row>
    <row r="293" spans="2:11" ht="15" customHeight="1" x14ac:dyDescent="0.2">
      <c r="B293" s="38"/>
      <c r="C293" s="380"/>
      <c r="D293" s="380"/>
      <c r="E293" s="380"/>
      <c r="F293" s="380"/>
      <c r="G293" s="380"/>
      <c r="H293" s="380"/>
      <c r="I293" s="380"/>
      <c r="J293" s="264">
        <v>0</v>
      </c>
      <c r="K293" s="41"/>
    </row>
    <row r="294" spans="2:11" ht="15" customHeight="1" x14ac:dyDescent="0.2">
      <c r="B294" s="38"/>
      <c r="C294" s="40" t="s">
        <v>853</v>
      </c>
      <c r="D294" s="291"/>
      <c r="E294" s="291"/>
      <c r="F294" s="291"/>
      <c r="G294" s="291"/>
      <c r="H294" s="291"/>
      <c r="I294" s="291"/>
      <c r="J294" s="255">
        <f>'Baseline Health'!$G$102</f>
        <v>0</v>
      </c>
      <c r="K294" s="41"/>
    </row>
    <row r="295" spans="2:11" x14ac:dyDescent="0.2">
      <c r="B295" s="38"/>
      <c r="C295" s="40" t="s">
        <v>842</v>
      </c>
      <c r="D295" s="40"/>
      <c r="E295" s="40"/>
      <c r="F295" s="40"/>
      <c r="G295" s="40"/>
      <c r="H295" s="40"/>
      <c r="I295" s="40"/>
      <c r="J295" s="244" t="str">
        <f>IF('Baseline Health'!$G$102=0,"Not Calculated",100*J293/'Baseline Health'!$G$102)</f>
        <v>Not Calculated</v>
      </c>
      <c r="K295" s="41"/>
    </row>
    <row r="296" spans="2:11" x14ac:dyDescent="0.2">
      <c r="B296" s="38"/>
      <c r="C296" s="40" t="s">
        <v>260</v>
      </c>
      <c r="D296" s="40"/>
      <c r="E296" s="40"/>
      <c r="F296" s="40"/>
      <c r="G296" s="40"/>
      <c r="H296" s="40"/>
      <c r="I296" s="40"/>
      <c r="J296" s="245">
        <f>IF(J295&lt;=0,0,IF(J295&lt;=1,1,IF(J295&lt;=5,2,IF(J295&lt;=10,3,4))))</f>
        <v>4</v>
      </c>
      <c r="K296" s="41"/>
    </row>
    <row r="297" spans="2:11" ht="9.75" customHeight="1" x14ac:dyDescent="0.2">
      <c r="B297" s="38"/>
      <c r="C297" s="279" t="str">
        <f>"0:"</f>
        <v>0:</v>
      </c>
      <c r="D297" s="278" t="s">
        <v>932</v>
      </c>
      <c r="E297" s="40"/>
      <c r="F297" s="40"/>
      <c r="G297" s="40"/>
      <c r="H297" s="40"/>
      <c r="I297" s="40"/>
      <c r="J297" s="244"/>
      <c r="K297" s="41"/>
    </row>
    <row r="298" spans="2:11" ht="9.75" customHeight="1" x14ac:dyDescent="0.2">
      <c r="B298" s="38"/>
      <c r="C298" s="280" t="str">
        <f>"1:"</f>
        <v>1:</v>
      </c>
      <c r="D298" s="278" t="s">
        <v>934</v>
      </c>
      <c r="E298" s="40"/>
      <c r="F298" s="40"/>
      <c r="G298" s="40"/>
      <c r="H298" s="40"/>
      <c r="I298" s="40"/>
      <c r="J298" s="244"/>
      <c r="K298" s="41"/>
    </row>
    <row r="299" spans="2:11" ht="9.75" customHeight="1" x14ac:dyDescent="0.2">
      <c r="B299" s="38"/>
      <c r="C299" s="280" t="str">
        <f>"2:"</f>
        <v>2:</v>
      </c>
      <c r="D299" s="278" t="s">
        <v>933</v>
      </c>
      <c r="E299" s="40"/>
      <c r="F299" s="40"/>
      <c r="G299" s="40"/>
      <c r="H299" s="40"/>
      <c r="I299" s="40"/>
      <c r="J299" s="244"/>
      <c r="K299" s="41"/>
    </row>
    <row r="300" spans="2:11" ht="9.75" customHeight="1" x14ac:dyDescent="0.2">
      <c r="B300" s="38"/>
      <c r="C300" s="280" t="str">
        <f>"3:"</f>
        <v>3:</v>
      </c>
      <c r="D300" s="278" t="s">
        <v>935</v>
      </c>
      <c r="E300" s="40"/>
      <c r="F300" s="40"/>
      <c r="G300" s="40"/>
      <c r="H300" s="40"/>
      <c r="I300" s="40"/>
      <c r="J300" s="244"/>
      <c r="K300" s="41"/>
    </row>
    <row r="301" spans="2:11" ht="9.75" customHeight="1" x14ac:dyDescent="0.2">
      <c r="B301" s="38"/>
      <c r="C301" s="280" t="str">
        <f>"4:"</f>
        <v>4:</v>
      </c>
      <c r="D301" s="278" t="s">
        <v>936</v>
      </c>
      <c r="E301" s="40"/>
      <c r="F301" s="40"/>
      <c r="G301" s="40"/>
      <c r="H301" s="40"/>
      <c r="I301" s="40"/>
      <c r="J301" s="40"/>
      <c r="K301" s="41"/>
    </row>
    <row r="302" spans="2:11" x14ac:dyDescent="0.2">
      <c r="B302" s="38"/>
      <c r="C302" s="40" t="s">
        <v>257</v>
      </c>
      <c r="D302" s="40"/>
      <c r="E302" s="40"/>
      <c r="F302" s="40"/>
      <c r="G302" s="40"/>
      <c r="H302" s="40"/>
      <c r="I302" s="40"/>
      <c r="J302" s="266" t="s">
        <v>870</v>
      </c>
      <c r="K302" s="41"/>
    </row>
    <row r="303" spans="2:11" x14ac:dyDescent="0.2">
      <c r="B303" s="38"/>
      <c r="C303" s="40" t="s">
        <v>261</v>
      </c>
      <c r="D303" s="40"/>
      <c r="E303" s="40"/>
      <c r="F303" s="40"/>
      <c r="G303" s="40"/>
      <c r="H303" s="40"/>
      <c r="I303" s="40"/>
      <c r="J303" s="245">
        <f>IF(J302=$B$980,$A$980,IF(J302=$B$981,$A$981,IF(J302=$B$982,$A$982,IF(J302=$B$983,$A$983,IF(J302=$B$984,$A$984,"Not Calculated")))))</f>
        <v>0</v>
      </c>
      <c r="K303" s="41"/>
    </row>
    <row r="304" spans="2:11" x14ac:dyDescent="0.2">
      <c r="B304" s="38"/>
      <c r="C304" s="40" t="s">
        <v>893</v>
      </c>
      <c r="D304" s="40"/>
      <c r="E304" s="40"/>
      <c r="F304" s="40"/>
      <c r="G304" s="40"/>
      <c r="H304" s="40"/>
      <c r="I304" s="40"/>
      <c r="J304" s="40"/>
      <c r="K304" s="41"/>
    </row>
    <row r="305" spans="2:11" ht="30" customHeight="1" x14ac:dyDescent="0.2">
      <c r="B305" s="38"/>
      <c r="C305" s="399"/>
      <c r="D305" s="400"/>
      <c r="E305" s="400"/>
      <c r="F305" s="400"/>
      <c r="G305" s="400"/>
      <c r="H305" s="400"/>
      <c r="I305" s="400"/>
      <c r="J305" s="401"/>
      <c r="K305" s="41"/>
    </row>
    <row r="306" spans="2:11" x14ac:dyDescent="0.2">
      <c r="B306" s="38"/>
      <c r="C306" s="40"/>
      <c r="D306" s="40"/>
      <c r="E306" s="40"/>
      <c r="F306" s="40"/>
      <c r="G306" s="40"/>
      <c r="H306" s="40"/>
      <c r="I306" s="40"/>
      <c r="J306" s="40"/>
      <c r="K306" s="41"/>
    </row>
    <row r="307" spans="2:11" x14ac:dyDescent="0.2">
      <c r="B307" s="38"/>
      <c r="C307" s="179" t="s">
        <v>885</v>
      </c>
      <c r="D307" s="40"/>
      <c r="E307" s="40"/>
      <c r="F307" s="40"/>
      <c r="G307" s="40"/>
      <c r="H307" s="40"/>
      <c r="I307" s="40"/>
      <c r="J307" s="245">
        <f>IF(OR(J296="Not Calculated",J303="Not Calculated")=TRUE,"Not Calculated",AVERAGE(J296,J303))</f>
        <v>2</v>
      </c>
      <c r="K307" s="41"/>
    </row>
    <row r="308" spans="2:11" x14ac:dyDescent="0.2">
      <c r="B308" s="38"/>
      <c r="C308" s="40"/>
      <c r="D308" s="40"/>
      <c r="E308" s="40"/>
      <c r="F308" s="40"/>
      <c r="G308" s="40"/>
      <c r="H308" s="40"/>
      <c r="I308" s="40"/>
      <c r="J308" s="40"/>
      <c r="K308" s="41"/>
    </row>
    <row r="309" spans="2:11" x14ac:dyDescent="0.2">
      <c r="B309" s="38"/>
      <c r="C309" s="40"/>
      <c r="D309" s="40"/>
      <c r="E309" s="40"/>
      <c r="F309" s="40"/>
      <c r="G309" s="40"/>
      <c r="H309" s="40"/>
      <c r="I309" s="40"/>
      <c r="J309" s="40"/>
      <c r="K309" s="41"/>
    </row>
    <row r="310" spans="2:11" ht="16" x14ac:dyDescent="0.2">
      <c r="B310" s="38"/>
      <c r="C310" s="45" t="s">
        <v>857</v>
      </c>
      <c r="D310" s="40"/>
      <c r="E310" s="40"/>
      <c r="F310" s="40"/>
      <c r="G310" s="40"/>
      <c r="H310" s="40"/>
      <c r="I310" s="40"/>
      <c r="J310" s="40"/>
      <c r="K310" s="41"/>
    </row>
    <row r="311" spans="2:11" x14ac:dyDescent="0.2">
      <c r="B311" s="38"/>
      <c r="C311" s="380" t="s">
        <v>843</v>
      </c>
      <c r="D311" s="380"/>
      <c r="E311" s="380"/>
      <c r="F311" s="380"/>
      <c r="G311" s="380"/>
      <c r="H311" s="380"/>
      <c r="I311" s="380"/>
      <c r="J311" s="40"/>
      <c r="K311" s="41"/>
    </row>
    <row r="312" spans="2:11" x14ac:dyDescent="0.2">
      <c r="B312" s="38"/>
      <c r="C312" s="380"/>
      <c r="D312" s="380"/>
      <c r="E312" s="380"/>
      <c r="F312" s="380"/>
      <c r="G312" s="380"/>
      <c r="H312" s="380"/>
      <c r="I312" s="380"/>
      <c r="J312" s="264">
        <f>'Baseline Health'!$G$102</f>
        <v>0</v>
      </c>
      <c r="K312" s="41"/>
    </row>
    <row r="313" spans="2:11" x14ac:dyDescent="0.2">
      <c r="B313" s="38"/>
      <c r="C313" s="40" t="s">
        <v>853</v>
      </c>
      <c r="D313" s="291"/>
      <c r="E313" s="291"/>
      <c r="F313" s="291"/>
      <c r="G313" s="291"/>
      <c r="H313" s="291"/>
      <c r="I313" s="291"/>
      <c r="J313" s="255">
        <f>'Baseline Health'!$G$102</f>
        <v>0</v>
      </c>
      <c r="K313" s="41"/>
    </row>
    <row r="314" spans="2:11" x14ac:dyDescent="0.2">
      <c r="B314" s="38"/>
      <c r="C314" s="40" t="s">
        <v>842</v>
      </c>
      <c r="D314" s="40"/>
      <c r="E314" s="40"/>
      <c r="F314" s="40"/>
      <c r="G314" s="40"/>
      <c r="H314" s="40"/>
      <c r="I314" s="40"/>
      <c r="J314" s="244" t="str">
        <f>IF('Baseline Health'!$G$102=0,"Not Calculated",100*J312/'Baseline Health'!$G$102)</f>
        <v>Not Calculated</v>
      </c>
      <c r="K314" s="41"/>
    </row>
    <row r="315" spans="2:11" x14ac:dyDescent="0.2">
      <c r="B315" s="38"/>
      <c r="C315" s="40" t="s">
        <v>260</v>
      </c>
      <c r="D315" s="40"/>
      <c r="E315" s="40"/>
      <c r="F315" s="40"/>
      <c r="G315" s="40"/>
      <c r="H315" s="40"/>
      <c r="I315" s="40"/>
      <c r="J315" s="245">
        <f>IF(J314&lt;=0,0,IF(J314&lt;=1,1,IF(J314&lt;=5,2,IF(J314&lt;=10,3,4))))</f>
        <v>4</v>
      </c>
      <c r="K315" s="41"/>
    </row>
    <row r="316" spans="2:11" ht="9.75" customHeight="1" x14ac:dyDescent="0.2">
      <c r="B316" s="38"/>
      <c r="C316" s="279" t="str">
        <f>"0:"</f>
        <v>0:</v>
      </c>
      <c r="D316" s="278" t="s">
        <v>932</v>
      </c>
      <c r="E316" s="40"/>
      <c r="F316" s="40"/>
      <c r="G316" s="40"/>
      <c r="H316" s="40"/>
      <c r="I316" s="40"/>
      <c r="J316" s="244"/>
      <c r="K316" s="41"/>
    </row>
    <row r="317" spans="2:11" ht="9.75" customHeight="1" x14ac:dyDescent="0.2">
      <c r="B317" s="38"/>
      <c r="C317" s="280" t="str">
        <f>"1:"</f>
        <v>1:</v>
      </c>
      <c r="D317" s="278" t="s">
        <v>934</v>
      </c>
      <c r="E317" s="40"/>
      <c r="F317" s="40"/>
      <c r="G317" s="40"/>
      <c r="H317" s="40"/>
      <c r="I317" s="40"/>
      <c r="J317" s="244"/>
      <c r="K317" s="41"/>
    </row>
    <row r="318" spans="2:11" ht="9.75" customHeight="1" x14ac:dyDescent="0.2">
      <c r="B318" s="38"/>
      <c r="C318" s="280" t="str">
        <f>"2:"</f>
        <v>2:</v>
      </c>
      <c r="D318" s="278" t="s">
        <v>933</v>
      </c>
      <c r="E318" s="40"/>
      <c r="F318" s="40"/>
      <c r="G318" s="40"/>
      <c r="H318" s="40"/>
      <c r="I318" s="40"/>
      <c r="J318" s="244"/>
      <c r="K318" s="41"/>
    </row>
    <row r="319" spans="2:11" ht="9.75" customHeight="1" x14ac:dyDescent="0.2">
      <c r="B319" s="38"/>
      <c r="C319" s="280" t="str">
        <f>"3:"</f>
        <v>3:</v>
      </c>
      <c r="D319" s="278" t="s">
        <v>935</v>
      </c>
      <c r="E319" s="40"/>
      <c r="F319" s="40"/>
      <c r="G319" s="40"/>
      <c r="H319" s="40"/>
      <c r="I319" s="40"/>
      <c r="J319" s="244"/>
      <c r="K319" s="41"/>
    </row>
    <row r="320" spans="2:11" ht="9.75" customHeight="1" x14ac:dyDescent="0.2">
      <c r="B320" s="38"/>
      <c r="C320" s="280" t="str">
        <f>"4:"</f>
        <v>4:</v>
      </c>
      <c r="D320" s="278" t="s">
        <v>936</v>
      </c>
      <c r="E320" s="40"/>
      <c r="F320" s="40"/>
      <c r="G320" s="40"/>
      <c r="H320" s="40"/>
      <c r="I320" s="40"/>
      <c r="J320" s="40"/>
      <c r="K320" s="41"/>
    </row>
    <row r="321" spans="2:11" x14ac:dyDescent="0.2">
      <c r="B321" s="38"/>
      <c r="C321" s="40" t="s">
        <v>296</v>
      </c>
      <c r="D321" s="40"/>
      <c r="E321" s="40"/>
      <c r="F321" s="40"/>
      <c r="G321" s="40"/>
      <c r="H321" s="40"/>
      <c r="I321" s="40"/>
      <c r="J321" s="266">
        <v>72</v>
      </c>
      <c r="K321" s="41"/>
    </row>
    <row r="322" spans="2:11" x14ac:dyDescent="0.2">
      <c r="B322" s="38"/>
      <c r="C322" s="40" t="s">
        <v>261</v>
      </c>
      <c r="D322" s="40"/>
      <c r="E322" s="40"/>
      <c r="F322" s="40"/>
      <c r="G322" s="40"/>
      <c r="H322" s="40"/>
      <c r="I322" s="40"/>
      <c r="J322" s="245">
        <f>IF(J321&lt;=0,0,IF(J321&lt;=2,1,IF(J321&lt;=6,2,IF(J321&lt;=12,3,4))))</f>
        <v>4</v>
      </c>
      <c r="K322" s="41"/>
    </row>
    <row r="323" spans="2:11" x14ac:dyDescent="0.2">
      <c r="B323" s="38"/>
      <c r="C323" s="40" t="s">
        <v>893</v>
      </c>
      <c r="D323" s="40"/>
      <c r="E323" s="40"/>
      <c r="F323" s="40"/>
      <c r="G323" s="40"/>
      <c r="H323" s="40"/>
      <c r="I323" s="40"/>
      <c r="J323" s="40"/>
      <c r="K323" s="41"/>
    </row>
    <row r="324" spans="2:11" ht="30" customHeight="1" x14ac:dyDescent="0.2">
      <c r="B324" s="38"/>
      <c r="C324" s="399"/>
      <c r="D324" s="400"/>
      <c r="E324" s="400"/>
      <c r="F324" s="400"/>
      <c r="G324" s="400"/>
      <c r="H324" s="400"/>
      <c r="I324" s="400"/>
      <c r="J324" s="401"/>
      <c r="K324" s="41"/>
    </row>
    <row r="325" spans="2:11" x14ac:dyDescent="0.2">
      <c r="B325" s="38"/>
      <c r="C325" s="40"/>
      <c r="D325" s="40"/>
      <c r="E325" s="40"/>
      <c r="F325" s="40"/>
      <c r="G325" s="40"/>
      <c r="H325" s="40"/>
      <c r="I325" s="40"/>
      <c r="J325" s="40"/>
      <c r="K325" s="41"/>
    </row>
    <row r="326" spans="2:11" x14ac:dyDescent="0.2">
      <c r="B326" s="38"/>
      <c r="C326" s="179" t="s">
        <v>886</v>
      </c>
      <c r="D326" s="40"/>
      <c r="E326" s="40"/>
      <c r="F326" s="40"/>
      <c r="G326" s="40"/>
      <c r="H326" s="40"/>
      <c r="I326" s="40"/>
      <c r="J326" s="245">
        <f>IF(OR(J315="Not Calculated",J322="Not Calculated")=TRUE,"Not Calculated",AVERAGE(J315,J322))</f>
        <v>4</v>
      </c>
      <c r="K326" s="41"/>
    </row>
    <row r="327" spans="2:11" x14ac:dyDescent="0.2">
      <c r="B327" s="38"/>
      <c r="C327" s="40"/>
      <c r="D327" s="40"/>
      <c r="E327" s="40"/>
      <c r="F327" s="40"/>
      <c r="G327" s="40"/>
      <c r="H327" s="40"/>
      <c r="I327" s="40"/>
      <c r="J327" s="40"/>
      <c r="K327" s="41"/>
    </row>
    <row r="328" spans="2:11" x14ac:dyDescent="0.2">
      <c r="B328" s="38"/>
      <c r="C328" s="40"/>
      <c r="D328" s="40"/>
      <c r="E328" s="40"/>
      <c r="F328" s="40"/>
      <c r="G328" s="40"/>
      <c r="H328" s="40"/>
      <c r="I328" s="40"/>
      <c r="J328" s="40"/>
      <c r="K328" s="41"/>
    </row>
    <row r="329" spans="2:11" ht="16" x14ac:dyDescent="0.2">
      <c r="B329" s="38"/>
      <c r="C329" s="45" t="s">
        <v>858</v>
      </c>
      <c r="D329" s="40"/>
      <c r="E329" s="40"/>
      <c r="F329" s="40"/>
      <c r="G329" s="40"/>
      <c r="H329" s="40"/>
      <c r="I329" s="40"/>
      <c r="J329" s="40"/>
      <c r="K329" s="41"/>
    </row>
    <row r="330" spans="2:11" ht="15" customHeight="1" x14ac:dyDescent="0.2">
      <c r="B330" s="38"/>
      <c r="C330" s="380" t="s">
        <v>844</v>
      </c>
      <c r="D330" s="380"/>
      <c r="E330" s="380"/>
      <c r="F330" s="380"/>
      <c r="G330" s="380"/>
      <c r="H330" s="380"/>
      <c r="I330" s="380"/>
      <c r="J330" s="40"/>
      <c r="K330" s="41"/>
    </row>
    <row r="331" spans="2:11" x14ac:dyDescent="0.2">
      <c r="B331" s="38"/>
      <c r="C331" s="380"/>
      <c r="D331" s="380"/>
      <c r="E331" s="380"/>
      <c r="F331" s="380"/>
      <c r="G331" s="380"/>
      <c r="H331" s="380"/>
      <c r="I331" s="380"/>
      <c r="J331" s="264">
        <f>'Baseline Health'!$G$102</f>
        <v>0</v>
      </c>
      <c r="K331" s="41"/>
    </row>
    <row r="332" spans="2:11" x14ac:dyDescent="0.2">
      <c r="B332" s="38"/>
      <c r="C332" s="40" t="s">
        <v>853</v>
      </c>
      <c r="D332" s="291"/>
      <c r="E332" s="291"/>
      <c r="F332" s="291"/>
      <c r="G332" s="291"/>
      <c r="H332" s="291"/>
      <c r="I332" s="291"/>
      <c r="J332" s="255">
        <f>'Baseline Health'!$G$102</f>
        <v>0</v>
      </c>
      <c r="K332" s="41"/>
    </row>
    <row r="333" spans="2:11" x14ac:dyDescent="0.2">
      <c r="B333" s="38"/>
      <c r="C333" s="40" t="s">
        <v>845</v>
      </c>
      <c r="D333" s="40"/>
      <c r="E333" s="40"/>
      <c r="F333" s="40"/>
      <c r="G333" s="40"/>
      <c r="H333" s="40"/>
      <c r="I333" s="40"/>
      <c r="J333" s="244" t="str">
        <f>IF('Baseline Health'!$G$102=0,"Not Calculated",100*J331/'Baseline Health'!$G$102)</f>
        <v>Not Calculated</v>
      </c>
      <c r="K333" s="41"/>
    </row>
    <row r="334" spans="2:11" x14ac:dyDescent="0.2">
      <c r="B334" s="38"/>
      <c r="C334" s="40" t="s">
        <v>260</v>
      </c>
      <c r="D334" s="40"/>
      <c r="E334" s="40"/>
      <c r="F334" s="40"/>
      <c r="G334" s="40"/>
      <c r="H334" s="40"/>
      <c r="I334" s="40"/>
      <c r="J334" s="245">
        <f>IF(J333&lt;=0,0,IF(J333&lt;=1,1,IF(J333&lt;=5,2,IF(J333&lt;=10,3,4))))</f>
        <v>4</v>
      </c>
      <c r="K334" s="41"/>
    </row>
    <row r="335" spans="2:11" ht="9.75" customHeight="1" x14ac:dyDescent="0.2">
      <c r="B335" s="38"/>
      <c r="C335" s="279" t="str">
        <f>"0:"</f>
        <v>0:</v>
      </c>
      <c r="D335" s="278" t="s">
        <v>932</v>
      </c>
      <c r="E335" s="40"/>
      <c r="F335" s="40"/>
      <c r="G335" s="40"/>
      <c r="H335" s="40"/>
      <c r="I335" s="40"/>
      <c r="J335" s="244"/>
      <c r="K335" s="41"/>
    </row>
    <row r="336" spans="2:11" ht="9.75" customHeight="1" x14ac:dyDescent="0.2">
      <c r="B336" s="38"/>
      <c r="C336" s="280" t="str">
        <f>"1:"</f>
        <v>1:</v>
      </c>
      <c r="D336" s="278" t="s">
        <v>934</v>
      </c>
      <c r="E336" s="40"/>
      <c r="F336" s="40"/>
      <c r="G336" s="40"/>
      <c r="H336" s="40"/>
      <c r="I336" s="40"/>
      <c r="J336" s="244"/>
      <c r="K336" s="41"/>
    </row>
    <row r="337" spans="2:11" ht="9.75" customHeight="1" x14ac:dyDescent="0.2">
      <c r="B337" s="38"/>
      <c r="C337" s="280" t="str">
        <f>"2:"</f>
        <v>2:</v>
      </c>
      <c r="D337" s="278" t="s">
        <v>933</v>
      </c>
      <c r="E337" s="40"/>
      <c r="F337" s="40"/>
      <c r="G337" s="40"/>
      <c r="H337" s="40"/>
      <c r="I337" s="40"/>
      <c r="J337" s="244"/>
      <c r="K337" s="41"/>
    </row>
    <row r="338" spans="2:11" ht="9.75" customHeight="1" x14ac:dyDescent="0.2">
      <c r="B338" s="38"/>
      <c r="C338" s="280" t="str">
        <f>"3:"</f>
        <v>3:</v>
      </c>
      <c r="D338" s="278" t="s">
        <v>935</v>
      </c>
      <c r="E338" s="40"/>
      <c r="F338" s="40"/>
      <c r="G338" s="40"/>
      <c r="H338" s="40"/>
      <c r="I338" s="40"/>
      <c r="J338" s="244"/>
      <c r="K338" s="41"/>
    </row>
    <row r="339" spans="2:11" ht="9.75" customHeight="1" x14ac:dyDescent="0.2">
      <c r="B339" s="38"/>
      <c r="C339" s="280" t="str">
        <f>"4:"</f>
        <v>4:</v>
      </c>
      <c r="D339" s="278" t="s">
        <v>936</v>
      </c>
      <c r="E339" s="40"/>
      <c r="F339" s="40"/>
      <c r="G339" s="40"/>
      <c r="H339" s="40"/>
      <c r="I339" s="40"/>
      <c r="J339" s="40"/>
      <c r="K339" s="41"/>
    </row>
    <row r="340" spans="2:11" x14ac:dyDescent="0.2">
      <c r="B340" s="38"/>
      <c r="C340" s="380" t="s">
        <v>84</v>
      </c>
      <c r="D340" s="380"/>
      <c r="E340" s="380"/>
      <c r="F340" s="380"/>
      <c r="G340" s="380"/>
      <c r="H340" s="380"/>
      <c r="I340" s="380"/>
      <c r="J340" s="245"/>
      <c r="K340" s="41"/>
    </row>
    <row r="341" spans="2:11" x14ac:dyDescent="0.2">
      <c r="B341" s="38"/>
      <c r="C341" s="380"/>
      <c r="D341" s="380"/>
      <c r="E341" s="380"/>
      <c r="F341" s="380"/>
      <c r="G341" s="380"/>
      <c r="H341" s="380"/>
      <c r="I341" s="380"/>
      <c r="J341" s="245">
        <f>'Baseline Health'!G108</f>
        <v>40</v>
      </c>
      <c r="K341" s="41"/>
    </row>
    <row r="342" spans="2:11" ht="15" customHeight="1" x14ac:dyDescent="0.2">
      <c r="B342" s="38"/>
      <c r="C342" s="40" t="s">
        <v>833</v>
      </c>
      <c r="D342" s="40"/>
      <c r="E342" s="40"/>
      <c r="F342" s="40"/>
      <c r="G342" s="40"/>
      <c r="H342" s="40"/>
      <c r="I342" s="40"/>
      <c r="J342" s="245">
        <f>IF(J341&gt;J321,0,J321-J341)</f>
        <v>32</v>
      </c>
      <c r="K342" s="41"/>
    </row>
    <row r="343" spans="2:11" x14ac:dyDescent="0.2">
      <c r="B343" s="38"/>
      <c r="C343" s="40"/>
      <c r="D343" s="380" t="s">
        <v>834</v>
      </c>
      <c r="E343" s="380"/>
      <c r="F343" s="380"/>
      <c r="G343" s="380"/>
      <c r="H343" s="380"/>
      <c r="I343" s="380"/>
      <c r="J343" s="40"/>
      <c r="K343" s="41"/>
    </row>
    <row r="344" spans="2:11" x14ac:dyDescent="0.2">
      <c r="B344" s="38"/>
      <c r="C344" s="40"/>
      <c r="D344" s="380"/>
      <c r="E344" s="380"/>
      <c r="F344" s="380"/>
      <c r="G344" s="380"/>
      <c r="H344" s="380"/>
      <c r="I344" s="380"/>
      <c r="J344" s="40"/>
      <c r="K344" s="41"/>
    </row>
    <row r="345" spans="2:11" x14ac:dyDescent="0.2">
      <c r="B345" s="38"/>
      <c r="C345" s="40" t="s">
        <v>261</v>
      </c>
      <c r="D345" s="40"/>
      <c r="E345" s="40"/>
      <c r="F345" s="40"/>
      <c r="G345" s="40"/>
      <c r="H345" s="40"/>
      <c r="I345" s="40"/>
      <c r="J345" s="245">
        <f>IF(J342&lt;=0,0,IF(J342&lt;=2,1,IF(J342&lt;=6,2,IF(J342&lt;=12,3,4))))</f>
        <v>4</v>
      </c>
      <c r="K345" s="41"/>
    </row>
    <row r="346" spans="2:11" x14ac:dyDescent="0.2">
      <c r="B346" s="38"/>
      <c r="C346" s="40" t="s">
        <v>893</v>
      </c>
      <c r="D346" s="40"/>
      <c r="E346" s="40"/>
      <c r="F346" s="40"/>
      <c r="G346" s="40"/>
      <c r="H346" s="40"/>
      <c r="I346" s="40"/>
      <c r="J346" s="40"/>
      <c r="K346" s="41"/>
    </row>
    <row r="347" spans="2:11" ht="30" customHeight="1" x14ac:dyDescent="0.2">
      <c r="B347" s="38"/>
      <c r="C347" s="399"/>
      <c r="D347" s="400"/>
      <c r="E347" s="400"/>
      <c r="F347" s="400"/>
      <c r="G347" s="400"/>
      <c r="H347" s="400"/>
      <c r="I347" s="400"/>
      <c r="J347" s="401"/>
      <c r="K347" s="41"/>
    </row>
    <row r="348" spans="2:11" x14ac:dyDescent="0.2">
      <c r="B348" s="38"/>
      <c r="C348" s="40"/>
      <c r="D348" s="40"/>
      <c r="E348" s="40"/>
      <c r="F348" s="40"/>
      <c r="G348" s="40"/>
      <c r="H348" s="40"/>
      <c r="I348" s="40"/>
      <c r="J348" s="40"/>
      <c r="K348" s="41"/>
    </row>
    <row r="349" spans="2:11" x14ac:dyDescent="0.2">
      <c r="B349" s="38"/>
      <c r="C349" s="179" t="s">
        <v>887</v>
      </c>
      <c r="D349" s="40"/>
      <c r="E349" s="40"/>
      <c r="F349" s="40"/>
      <c r="G349" s="40"/>
      <c r="H349" s="40"/>
      <c r="I349" s="40"/>
      <c r="J349" s="245">
        <f>IF(OR(J334="Not Calculated",J345="Not Calculated")=TRUE,"Not Calculated",AVERAGE(J334,J345))</f>
        <v>4</v>
      </c>
      <c r="K349" s="41"/>
    </row>
    <row r="350" spans="2:11" x14ac:dyDescent="0.2">
      <c r="B350" s="38"/>
      <c r="C350" s="40"/>
      <c r="D350" s="40"/>
      <c r="E350" s="40"/>
      <c r="F350" s="40"/>
      <c r="G350" s="40"/>
      <c r="H350" s="40"/>
      <c r="I350" s="40"/>
      <c r="J350" s="40"/>
      <c r="K350" s="41"/>
    </row>
    <row r="351" spans="2:11" x14ac:dyDescent="0.2">
      <c r="B351" s="38"/>
      <c r="C351" s="40"/>
      <c r="D351" s="40"/>
      <c r="E351" s="40"/>
      <c r="F351" s="40"/>
      <c r="G351" s="40"/>
      <c r="H351" s="40"/>
      <c r="I351" s="40"/>
      <c r="J351" s="40"/>
      <c r="K351" s="41"/>
    </row>
    <row r="352" spans="2:11" ht="15" customHeight="1" x14ac:dyDescent="0.2">
      <c r="B352" s="38"/>
      <c r="C352" s="45" t="s">
        <v>859</v>
      </c>
      <c r="D352" s="40"/>
      <c r="E352" s="40"/>
      <c r="F352" s="40"/>
      <c r="G352" s="40"/>
      <c r="H352" s="40"/>
      <c r="I352" s="40"/>
      <c r="J352" s="40"/>
      <c r="K352" s="41"/>
    </row>
    <row r="353" spans="2:11" x14ac:dyDescent="0.2">
      <c r="B353" s="38"/>
      <c r="C353" s="40" t="s">
        <v>846</v>
      </c>
      <c r="D353" s="40"/>
      <c r="E353" s="40"/>
      <c r="F353" s="40"/>
      <c r="G353" s="40"/>
      <c r="H353" s="40"/>
      <c r="I353" s="40"/>
      <c r="J353" s="264">
        <f>J183</f>
        <v>0</v>
      </c>
      <c r="K353" s="41"/>
    </row>
    <row r="354" spans="2:11" x14ac:dyDescent="0.2">
      <c r="B354" s="38"/>
      <c r="C354" s="40" t="s">
        <v>854</v>
      </c>
      <c r="D354" s="40"/>
      <c r="E354" s="40"/>
      <c r="F354" s="40"/>
      <c r="G354" s="40"/>
      <c r="H354" s="40"/>
      <c r="I354" s="40"/>
      <c r="J354" s="255">
        <f>'Baseline Health'!$G$59</f>
        <v>0</v>
      </c>
      <c r="K354" s="41"/>
    </row>
    <row r="355" spans="2:11" x14ac:dyDescent="0.2">
      <c r="B355" s="38"/>
      <c r="C355" s="40" t="s">
        <v>847</v>
      </c>
      <c r="D355" s="40"/>
      <c r="E355" s="40"/>
      <c r="F355" s="40"/>
      <c r="G355" s="40"/>
      <c r="H355" s="40"/>
      <c r="I355" s="40"/>
      <c r="J355" s="244">
        <f>IF(J353=0,0,IF('Baseline Health'!G$59=0,"Not Calculated",100*J353/'Baseline Health'!$G$59))</f>
        <v>0</v>
      </c>
      <c r="K355" s="41"/>
    </row>
    <row r="356" spans="2:11" x14ac:dyDescent="0.2">
      <c r="B356" s="38"/>
      <c r="C356" s="40" t="s">
        <v>260</v>
      </c>
      <c r="D356" s="40"/>
      <c r="E356" s="40"/>
      <c r="F356" s="40"/>
      <c r="G356" s="40"/>
      <c r="H356" s="40"/>
      <c r="I356" s="40"/>
      <c r="J356" s="245">
        <f>IF(J355&lt;=0,0,IF(J355&lt;=5,1,IF(J355&lt;=10,2,IF(J355&lt;=25,3,4))))</f>
        <v>0</v>
      </c>
      <c r="K356" s="41"/>
    </row>
    <row r="357" spans="2:11" ht="9.75" customHeight="1" x14ac:dyDescent="0.2">
      <c r="B357" s="38"/>
      <c r="C357" s="279" t="str">
        <f>"0:"</f>
        <v>0:</v>
      </c>
      <c r="D357" s="278" t="s">
        <v>932</v>
      </c>
      <c r="E357" s="40"/>
      <c r="F357" s="40"/>
      <c r="G357" s="40"/>
      <c r="H357" s="40"/>
      <c r="I357" s="40"/>
      <c r="J357" s="244"/>
      <c r="K357" s="41"/>
    </row>
    <row r="358" spans="2:11" ht="9.75" customHeight="1" x14ac:dyDescent="0.2">
      <c r="B358" s="38"/>
      <c r="C358" s="280" t="str">
        <f>"1:"</f>
        <v>1:</v>
      </c>
      <c r="D358" s="278" t="s">
        <v>933</v>
      </c>
      <c r="E358" s="40"/>
      <c r="F358" s="40"/>
      <c r="G358" s="40"/>
      <c r="H358" s="40"/>
      <c r="I358" s="40"/>
      <c r="J358" s="244"/>
      <c r="K358" s="41"/>
    </row>
    <row r="359" spans="2:11" ht="9.75" customHeight="1" x14ac:dyDescent="0.2">
      <c r="B359" s="38"/>
      <c r="C359" s="280" t="str">
        <f>"2:"</f>
        <v>2:</v>
      </c>
      <c r="D359" s="278" t="s">
        <v>935</v>
      </c>
      <c r="E359" s="40"/>
      <c r="F359" s="40"/>
      <c r="G359" s="40"/>
      <c r="H359" s="40"/>
      <c r="I359" s="40"/>
      <c r="J359" s="244"/>
      <c r="K359" s="41"/>
    </row>
    <row r="360" spans="2:11" ht="9.75" customHeight="1" x14ac:dyDescent="0.2">
      <c r="B360" s="38"/>
      <c r="C360" s="280" t="str">
        <f>"3:"</f>
        <v>3:</v>
      </c>
      <c r="D360" s="278" t="s">
        <v>937</v>
      </c>
      <c r="E360" s="40"/>
      <c r="F360" s="40"/>
      <c r="G360" s="40"/>
      <c r="H360" s="40"/>
      <c r="I360" s="40"/>
      <c r="J360" s="244"/>
      <c r="K360" s="41"/>
    </row>
    <row r="361" spans="2:11" ht="9.75" customHeight="1" x14ac:dyDescent="0.2">
      <c r="B361" s="38"/>
      <c r="C361" s="280" t="str">
        <f>"4:"</f>
        <v>4:</v>
      </c>
      <c r="D361" s="278" t="s">
        <v>938</v>
      </c>
      <c r="E361" s="40"/>
      <c r="F361" s="40"/>
      <c r="G361" s="40"/>
      <c r="H361" s="40"/>
      <c r="I361" s="40"/>
      <c r="J361" s="40"/>
      <c r="K361" s="41"/>
    </row>
    <row r="362" spans="2:11" x14ac:dyDescent="0.2">
      <c r="B362" s="38"/>
      <c r="C362" s="40" t="s">
        <v>257</v>
      </c>
      <c r="D362" s="40"/>
      <c r="E362" s="40"/>
      <c r="F362" s="40"/>
      <c r="G362" s="40"/>
      <c r="H362" s="40"/>
      <c r="I362" s="40"/>
      <c r="J362" s="266" t="s">
        <v>883</v>
      </c>
      <c r="K362" s="41"/>
    </row>
    <row r="363" spans="2:11" x14ac:dyDescent="0.2">
      <c r="B363" s="38"/>
      <c r="C363" s="40" t="s">
        <v>261</v>
      </c>
      <c r="D363" s="40"/>
      <c r="E363" s="40"/>
      <c r="F363" s="40"/>
      <c r="G363" s="40"/>
      <c r="H363" s="40"/>
      <c r="I363" s="40"/>
      <c r="J363" s="245">
        <f>IF(J362=$B$980,$A$980,IF(J362=$B$981,$A$981,IF(J362=$B$982,$A$982,IF(J362=$B$983,$A$983,IF(J362=$B$984,$A$984,"Not Calculated")))))</f>
        <v>1</v>
      </c>
      <c r="K363" s="41"/>
    </row>
    <row r="364" spans="2:11" x14ac:dyDescent="0.2">
      <c r="B364" s="38"/>
      <c r="C364" s="40" t="s">
        <v>893</v>
      </c>
      <c r="D364" s="40"/>
      <c r="E364" s="40"/>
      <c r="F364" s="40"/>
      <c r="G364" s="40"/>
      <c r="H364" s="40"/>
      <c r="I364" s="40"/>
      <c r="J364" s="40"/>
      <c r="K364" s="41"/>
    </row>
    <row r="365" spans="2:11" ht="60" customHeight="1" x14ac:dyDescent="0.2">
      <c r="B365" s="38"/>
      <c r="C365" s="399" t="s">
        <v>839</v>
      </c>
      <c r="D365" s="400"/>
      <c r="E365" s="400"/>
      <c r="F365" s="400"/>
      <c r="G365" s="400"/>
      <c r="H365" s="400"/>
      <c r="I365" s="400"/>
      <c r="J365" s="401"/>
      <c r="K365" s="41"/>
    </row>
    <row r="366" spans="2:11" x14ac:dyDescent="0.2">
      <c r="B366" s="38"/>
      <c r="C366" s="40"/>
      <c r="D366" s="40"/>
      <c r="E366" s="40"/>
      <c r="F366" s="40"/>
      <c r="G366" s="40"/>
      <c r="H366" s="40"/>
      <c r="I366" s="40"/>
      <c r="J366" s="40"/>
      <c r="K366" s="41"/>
    </row>
    <row r="367" spans="2:11" x14ac:dyDescent="0.2">
      <c r="B367" s="38"/>
      <c r="C367" s="179" t="s">
        <v>888</v>
      </c>
      <c r="D367" s="40"/>
      <c r="E367" s="40"/>
      <c r="F367" s="40"/>
      <c r="G367" s="40"/>
      <c r="H367" s="40"/>
      <c r="I367" s="40"/>
      <c r="J367" s="245">
        <f>IF(OR(J356="Not Calculated",J363="Not Calculated")=TRUE,"Not Calculated",AVERAGE(J356,J363))</f>
        <v>0.5</v>
      </c>
      <c r="K367" s="41"/>
    </row>
    <row r="368" spans="2:11" x14ac:dyDescent="0.2">
      <c r="B368" s="38"/>
      <c r="C368" s="40"/>
      <c r="D368" s="40"/>
      <c r="E368" s="40"/>
      <c r="F368" s="40"/>
      <c r="G368" s="40"/>
      <c r="H368" s="40"/>
      <c r="I368" s="40"/>
      <c r="J368" s="40"/>
      <c r="K368" s="41"/>
    </row>
    <row r="369" spans="2:11" x14ac:dyDescent="0.2">
      <c r="B369" s="38"/>
      <c r="C369" s="40"/>
      <c r="D369" s="40"/>
      <c r="E369" s="40"/>
      <c r="F369" s="40"/>
      <c r="G369" s="40"/>
      <c r="H369" s="40"/>
      <c r="I369" s="40"/>
      <c r="J369" s="40"/>
      <c r="K369" s="41"/>
    </row>
    <row r="370" spans="2:11" ht="16" x14ac:dyDescent="0.2">
      <c r="B370" s="38"/>
      <c r="C370" s="45" t="s">
        <v>863</v>
      </c>
      <c r="D370" s="40"/>
      <c r="E370" s="40"/>
      <c r="F370" s="40"/>
      <c r="G370" s="40"/>
      <c r="H370" s="40"/>
      <c r="I370" s="40"/>
      <c r="J370" s="40"/>
      <c r="K370" s="41"/>
    </row>
    <row r="371" spans="2:11" ht="15" customHeight="1" x14ac:dyDescent="0.2">
      <c r="B371" s="38"/>
      <c r="C371" s="380" t="s">
        <v>848</v>
      </c>
      <c r="D371" s="380"/>
      <c r="E371" s="380"/>
      <c r="F371" s="380"/>
      <c r="G371" s="380"/>
      <c r="H371" s="380"/>
      <c r="I371" s="380"/>
      <c r="J371" s="181"/>
      <c r="K371" s="41"/>
    </row>
    <row r="372" spans="2:11" x14ac:dyDescent="0.2">
      <c r="B372" s="38"/>
      <c r="C372" s="380"/>
      <c r="D372" s="380"/>
      <c r="E372" s="380"/>
      <c r="F372" s="380"/>
      <c r="G372" s="380"/>
      <c r="H372" s="380"/>
      <c r="I372" s="380"/>
      <c r="J372" s="264">
        <v>0</v>
      </c>
      <c r="K372" s="41"/>
    </row>
    <row r="373" spans="2:11" x14ac:dyDescent="0.2">
      <c r="B373" s="38"/>
      <c r="C373" s="40" t="s">
        <v>853</v>
      </c>
      <c r="D373" s="291"/>
      <c r="E373" s="291"/>
      <c r="F373" s="291"/>
      <c r="G373" s="291"/>
      <c r="H373" s="291"/>
      <c r="I373" s="291"/>
      <c r="J373" s="255">
        <f>'Baseline Health'!$G$102</f>
        <v>0</v>
      </c>
      <c r="K373" s="41"/>
    </row>
    <row r="374" spans="2:11" x14ac:dyDescent="0.2">
      <c r="B374" s="38"/>
      <c r="C374" s="40" t="s">
        <v>842</v>
      </c>
      <c r="D374" s="291"/>
      <c r="E374" s="291"/>
      <c r="F374" s="291"/>
      <c r="G374" s="291"/>
      <c r="H374" s="291"/>
      <c r="I374" s="291"/>
      <c r="J374" s="244" t="str">
        <f>IF('Baseline Health'!$G$102=0,"Not Calculated",100*J372/'Baseline Health'!$G$102)</f>
        <v>Not Calculated</v>
      </c>
      <c r="K374" s="41"/>
    </row>
    <row r="375" spans="2:11" x14ac:dyDescent="0.2">
      <c r="B375" s="38"/>
      <c r="C375" s="40" t="s">
        <v>260</v>
      </c>
      <c r="D375" s="40"/>
      <c r="E375" s="40"/>
      <c r="F375" s="40"/>
      <c r="G375" s="40"/>
      <c r="H375" s="40"/>
      <c r="I375" s="40"/>
      <c r="J375" s="251">
        <f>IF(J374&lt;=0,0,IF(J374&lt;=1,1,IF(J374&lt;=5,2,IF(J374&lt;=10,3,4))))</f>
        <v>4</v>
      </c>
      <c r="K375" s="41"/>
    </row>
    <row r="376" spans="2:11" ht="9.75" customHeight="1" x14ac:dyDescent="0.2">
      <c r="B376" s="38"/>
      <c r="C376" s="279" t="str">
        <f>"0:"</f>
        <v>0:</v>
      </c>
      <c r="D376" s="278" t="s">
        <v>932</v>
      </c>
      <c r="E376" s="291"/>
      <c r="F376" s="291"/>
      <c r="G376" s="291"/>
      <c r="H376" s="291"/>
      <c r="I376" s="291"/>
      <c r="J376" s="244"/>
      <c r="K376" s="41"/>
    </row>
    <row r="377" spans="2:11" ht="9.75" customHeight="1" x14ac:dyDescent="0.2">
      <c r="B377" s="38"/>
      <c r="C377" s="280" t="str">
        <f>"1:"</f>
        <v>1:</v>
      </c>
      <c r="D377" s="278" t="s">
        <v>934</v>
      </c>
      <c r="E377" s="291"/>
      <c r="F377" s="291"/>
      <c r="G377" s="291"/>
      <c r="H377" s="291"/>
      <c r="I377" s="291"/>
      <c r="J377" s="244"/>
      <c r="K377" s="41"/>
    </row>
    <row r="378" spans="2:11" ht="9.75" customHeight="1" x14ac:dyDescent="0.2">
      <c r="B378" s="38"/>
      <c r="C378" s="280" t="str">
        <f>"2:"</f>
        <v>2:</v>
      </c>
      <c r="D378" s="278" t="s">
        <v>933</v>
      </c>
      <c r="E378" s="291"/>
      <c r="F378" s="291"/>
      <c r="G378" s="291"/>
      <c r="H378" s="291"/>
      <c r="I378" s="291"/>
      <c r="J378" s="244"/>
      <c r="K378" s="41"/>
    </row>
    <row r="379" spans="2:11" ht="9.75" customHeight="1" x14ac:dyDescent="0.2">
      <c r="B379" s="38"/>
      <c r="C379" s="280" t="str">
        <f>"3:"</f>
        <v>3:</v>
      </c>
      <c r="D379" s="278" t="s">
        <v>935</v>
      </c>
      <c r="E379" s="291"/>
      <c r="F379" s="291"/>
      <c r="G379" s="291"/>
      <c r="H379" s="291"/>
      <c r="I379" s="291"/>
      <c r="J379" s="244"/>
      <c r="K379" s="41"/>
    </row>
    <row r="380" spans="2:11" ht="9.75" customHeight="1" x14ac:dyDescent="0.2">
      <c r="B380" s="38"/>
      <c r="C380" s="280" t="str">
        <f>"4:"</f>
        <v>4:</v>
      </c>
      <c r="D380" s="278" t="s">
        <v>936</v>
      </c>
      <c r="E380" s="40"/>
      <c r="F380" s="40"/>
      <c r="G380" s="40"/>
      <c r="H380" s="40"/>
      <c r="I380" s="40"/>
      <c r="J380" s="40"/>
      <c r="K380" s="41"/>
    </row>
    <row r="381" spans="2:11" x14ac:dyDescent="0.2">
      <c r="B381" s="38"/>
      <c r="C381" s="40" t="s">
        <v>85</v>
      </c>
      <c r="D381" s="40"/>
      <c r="E381" s="40"/>
      <c r="F381" s="40"/>
      <c r="G381" s="40"/>
      <c r="H381" s="40"/>
      <c r="I381" s="40"/>
      <c r="J381" s="252">
        <f>'Baseline Health'!G114</f>
        <v>7</v>
      </c>
      <c r="K381" s="41"/>
    </row>
    <row r="382" spans="2:11" x14ac:dyDescent="0.2">
      <c r="B382" s="38"/>
      <c r="C382" s="40" t="s">
        <v>297</v>
      </c>
      <c r="D382" s="40"/>
      <c r="E382" s="40"/>
      <c r="F382" s="40"/>
      <c r="G382" s="40"/>
      <c r="H382" s="40"/>
      <c r="I382" s="40"/>
      <c r="J382" s="266">
        <v>0</v>
      </c>
      <c r="K382" s="41"/>
    </row>
    <row r="383" spans="2:11" x14ac:dyDescent="0.2">
      <c r="B383" s="38"/>
      <c r="C383" s="40" t="s">
        <v>261</v>
      </c>
      <c r="D383" s="40"/>
      <c r="E383" s="40"/>
      <c r="F383" s="40"/>
      <c r="G383" s="40"/>
      <c r="H383" s="40"/>
      <c r="I383" s="40"/>
      <c r="J383" s="248">
        <f>IF((J382-J381)&lt;1,0,IF((J382-J381)&lt;3,1,IF((J382-J381)&lt;5,2,IF((J382-J381)&lt;7,3,4))))</f>
        <v>0</v>
      </c>
      <c r="K383" s="41"/>
    </row>
    <row r="384" spans="2:11" x14ac:dyDescent="0.2">
      <c r="B384" s="38"/>
      <c r="C384" s="40" t="s">
        <v>893</v>
      </c>
      <c r="D384" s="40"/>
      <c r="E384" s="40"/>
      <c r="F384" s="40"/>
      <c r="G384" s="40"/>
      <c r="H384" s="40"/>
      <c r="I384" s="40"/>
      <c r="J384" s="40"/>
      <c r="K384" s="41"/>
    </row>
    <row r="385" spans="2:11" ht="30" customHeight="1" x14ac:dyDescent="0.2">
      <c r="B385" s="38"/>
      <c r="C385" s="399"/>
      <c r="D385" s="400"/>
      <c r="E385" s="400"/>
      <c r="F385" s="400"/>
      <c r="G385" s="400"/>
      <c r="H385" s="400"/>
      <c r="I385" s="400"/>
      <c r="J385" s="401"/>
      <c r="K385" s="41"/>
    </row>
    <row r="386" spans="2:11" x14ac:dyDescent="0.2">
      <c r="B386" s="38"/>
      <c r="C386" s="40"/>
      <c r="D386" s="40"/>
      <c r="E386" s="40"/>
      <c r="F386" s="40"/>
      <c r="G386" s="40"/>
      <c r="H386" s="40"/>
      <c r="I386" s="40"/>
      <c r="J386" s="40"/>
      <c r="K386" s="41"/>
    </row>
    <row r="387" spans="2:11" x14ac:dyDescent="0.2">
      <c r="B387" s="38"/>
      <c r="C387" s="179" t="s">
        <v>889</v>
      </c>
      <c r="D387" s="40"/>
      <c r="E387" s="40"/>
      <c r="F387" s="40"/>
      <c r="G387" s="40"/>
      <c r="H387" s="40"/>
      <c r="I387" s="40"/>
      <c r="J387" s="245">
        <f>IF(OR(J375="Not Calculated",J383="Not Calculated")=TRUE,"Not Calculated",AVERAGE(J375,J383))</f>
        <v>2</v>
      </c>
      <c r="K387" s="41"/>
    </row>
    <row r="388" spans="2:11" x14ac:dyDescent="0.2">
      <c r="B388" s="38"/>
      <c r="C388" s="40"/>
      <c r="D388" s="40"/>
      <c r="E388" s="40"/>
      <c r="F388" s="40"/>
      <c r="G388" s="40"/>
      <c r="H388" s="40"/>
      <c r="I388" s="40"/>
      <c r="J388" s="40"/>
      <c r="K388" s="41"/>
    </row>
    <row r="389" spans="2:11" x14ac:dyDescent="0.2">
      <c r="B389" s="38"/>
      <c r="C389" s="40"/>
      <c r="D389" s="40"/>
      <c r="E389" s="40"/>
      <c r="F389" s="40"/>
      <c r="G389" s="40"/>
      <c r="H389" s="40"/>
      <c r="I389" s="40"/>
      <c r="J389" s="40"/>
      <c r="K389" s="41"/>
    </row>
    <row r="390" spans="2:11" ht="16" x14ac:dyDescent="0.2">
      <c r="B390" s="38"/>
      <c r="C390" s="45" t="s">
        <v>860</v>
      </c>
      <c r="D390" s="40"/>
      <c r="E390" s="40"/>
      <c r="F390" s="40"/>
      <c r="G390" s="40"/>
      <c r="H390" s="40"/>
      <c r="I390" s="40"/>
      <c r="J390" s="40"/>
      <c r="K390" s="41"/>
    </row>
    <row r="391" spans="2:11" x14ac:dyDescent="0.2">
      <c r="B391" s="38"/>
      <c r="C391" s="380" t="s">
        <v>849</v>
      </c>
      <c r="D391" s="380"/>
      <c r="E391" s="380"/>
      <c r="F391" s="380"/>
      <c r="G391" s="380"/>
      <c r="H391" s="380"/>
      <c r="I391" s="380"/>
      <c r="J391" s="181"/>
      <c r="K391" s="41"/>
    </row>
    <row r="392" spans="2:11" x14ac:dyDescent="0.2">
      <c r="B392" s="38"/>
      <c r="C392" s="380"/>
      <c r="D392" s="380"/>
      <c r="E392" s="380"/>
      <c r="F392" s="380"/>
      <c r="G392" s="380"/>
      <c r="H392" s="380"/>
      <c r="I392" s="380"/>
      <c r="J392" s="264">
        <v>0</v>
      </c>
      <c r="K392" s="41"/>
    </row>
    <row r="393" spans="2:11" x14ac:dyDescent="0.2">
      <c r="B393" s="38"/>
      <c r="C393" s="40" t="s">
        <v>853</v>
      </c>
      <c r="D393" s="291"/>
      <c r="E393" s="291"/>
      <c r="F393" s="291"/>
      <c r="G393" s="291"/>
      <c r="H393" s="291"/>
      <c r="I393" s="291"/>
      <c r="J393" s="255">
        <f>'Baseline Health'!$G$102</f>
        <v>0</v>
      </c>
      <c r="K393" s="41"/>
    </row>
    <row r="394" spans="2:11" ht="15" customHeight="1" x14ac:dyDescent="0.2">
      <c r="B394" s="38"/>
      <c r="C394" s="40" t="s">
        <v>850</v>
      </c>
      <c r="D394" s="291"/>
      <c r="E394" s="291"/>
      <c r="F394" s="291"/>
      <c r="G394" s="291"/>
      <c r="H394" s="291"/>
      <c r="I394" s="291"/>
      <c r="J394" s="244" t="str">
        <f>IF('Baseline Health'!$G$102=0,"Not Calculated",100*J392/'Baseline Health'!$G$102)</f>
        <v>Not Calculated</v>
      </c>
      <c r="K394" s="41"/>
    </row>
    <row r="395" spans="2:11" ht="15" customHeight="1" x14ac:dyDescent="0.2">
      <c r="B395" s="38"/>
      <c r="C395" s="40" t="s">
        <v>260</v>
      </c>
      <c r="D395" s="40"/>
      <c r="E395" s="40"/>
      <c r="F395" s="40"/>
      <c r="G395" s="40"/>
      <c r="H395" s="40"/>
      <c r="I395" s="40"/>
      <c r="J395" s="43">
        <f>IF(J394&lt;=0,0,IF(J394&lt;=1,1,IF(J394&lt;=5,2,IF(J394&lt;=10,3,4))))</f>
        <v>4</v>
      </c>
      <c r="K395" s="41"/>
    </row>
    <row r="396" spans="2:11" ht="9.75" customHeight="1" x14ac:dyDescent="0.2">
      <c r="B396" s="38"/>
      <c r="C396" s="279" t="str">
        <f>"0:"</f>
        <v>0:</v>
      </c>
      <c r="D396" s="278" t="s">
        <v>932</v>
      </c>
      <c r="E396" s="291"/>
      <c r="F396" s="291"/>
      <c r="G396" s="291"/>
      <c r="H396" s="291"/>
      <c r="I396" s="291"/>
      <c r="J396" s="244"/>
      <c r="K396" s="41"/>
    </row>
    <row r="397" spans="2:11" ht="9.75" customHeight="1" x14ac:dyDescent="0.2">
      <c r="B397" s="38"/>
      <c r="C397" s="280" t="str">
        <f>"1:"</f>
        <v>1:</v>
      </c>
      <c r="D397" s="278" t="s">
        <v>934</v>
      </c>
      <c r="E397" s="291"/>
      <c r="F397" s="291"/>
      <c r="G397" s="291"/>
      <c r="H397" s="291"/>
      <c r="I397" s="291"/>
      <c r="J397" s="244"/>
      <c r="K397" s="41"/>
    </row>
    <row r="398" spans="2:11" ht="9.75" customHeight="1" x14ac:dyDescent="0.2">
      <c r="B398" s="38"/>
      <c r="C398" s="280" t="str">
        <f>"2:"</f>
        <v>2:</v>
      </c>
      <c r="D398" s="278" t="s">
        <v>933</v>
      </c>
      <c r="E398" s="291"/>
      <c r="F398" s="291"/>
      <c r="G398" s="291"/>
      <c r="H398" s="291"/>
      <c r="I398" s="291"/>
      <c r="J398" s="244"/>
      <c r="K398" s="41"/>
    </row>
    <row r="399" spans="2:11" ht="9.75" customHeight="1" x14ac:dyDescent="0.2">
      <c r="B399" s="38"/>
      <c r="C399" s="280" t="str">
        <f>"3:"</f>
        <v>3:</v>
      </c>
      <c r="D399" s="278" t="s">
        <v>935</v>
      </c>
      <c r="E399" s="291"/>
      <c r="F399" s="291"/>
      <c r="G399" s="291"/>
      <c r="H399" s="291"/>
      <c r="I399" s="291"/>
      <c r="J399" s="244"/>
      <c r="K399" s="41"/>
    </row>
    <row r="400" spans="2:11" ht="9.75" customHeight="1" x14ac:dyDescent="0.2">
      <c r="B400" s="38"/>
      <c r="C400" s="280" t="str">
        <f>"4:"</f>
        <v>4:</v>
      </c>
      <c r="D400" s="278" t="s">
        <v>936</v>
      </c>
      <c r="E400" s="40"/>
      <c r="F400" s="40"/>
      <c r="G400" s="40"/>
      <c r="H400" s="40"/>
      <c r="I400" s="40"/>
      <c r="J400" s="40"/>
      <c r="K400" s="41"/>
    </row>
    <row r="401" spans="2:11" x14ac:dyDescent="0.2">
      <c r="B401" s="38"/>
      <c r="C401" s="40" t="s">
        <v>893</v>
      </c>
      <c r="D401" s="40"/>
      <c r="E401" s="40"/>
      <c r="F401" s="40"/>
      <c r="G401" s="40"/>
      <c r="H401" s="40"/>
      <c r="I401" s="40"/>
      <c r="J401" s="40"/>
      <c r="K401" s="41"/>
    </row>
    <row r="402" spans="2:11" ht="30" customHeight="1" x14ac:dyDescent="0.2">
      <c r="B402" s="38"/>
      <c r="C402" s="399"/>
      <c r="D402" s="400"/>
      <c r="E402" s="400"/>
      <c r="F402" s="400"/>
      <c r="G402" s="400"/>
      <c r="H402" s="400"/>
      <c r="I402" s="400"/>
      <c r="J402" s="401"/>
      <c r="K402" s="41"/>
    </row>
    <row r="403" spans="2:11" x14ac:dyDescent="0.2">
      <c r="B403" s="38"/>
      <c r="C403" s="40"/>
      <c r="D403" s="40"/>
      <c r="E403" s="40"/>
      <c r="F403" s="40"/>
      <c r="G403" s="40"/>
      <c r="H403" s="40"/>
      <c r="I403" s="40"/>
      <c r="J403" s="40"/>
      <c r="K403" s="41"/>
    </row>
    <row r="404" spans="2:11" x14ac:dyDescent="0.2">
      <c r="B404" s="38"/>
      <c r="C404" s="179" t="s">
        <v>890</v>
      </c>
      <c r="D404" s="40"/>
      <c r="E404" s="40"/>
      <c r="F404" s="40"/>
      <c r="G404" s="40"/>
      <c r="H404" s="40"/>
      <c r="I404" s="40"/>
      <c r="J404" s="245">
        <f>J395</f>
        <v>4</v>
      </c>
      <c r="K404" s="41"/>
    </row>
    <row r="405" spans="2:11" x14ac:dyDescent="0.2">
      <c r="B405" s="38"/>
      <c r="C405" s="40"/>
      <c r="D405" s="40"/>
      <c r="E405" s="40"/>
      <c r="F405" s="40"/>
      <c r="G405" s="40"/>
      <c r="H405" s="40"/>
      <c r="I405" s="40"/>
      <c r="J405" s="40"/>
      <c r="K405" s="41"/>
    </row>
    <row r="406" spans="2:11" x14ac:dyDescent="0.2">
      <c r="B406" s="38"/>
      <c r="C406" s="40"/>
      <c r="D406" s="40"/>
      <c r="E406" s="40"/>
      <c r="F406" s="40"/>
      <c r="G406" s="40"/>
      <c r="H406" s="40"/>
      <c r="I406" s="40"/>
      <c r="J406" s="40"/>
      <c r="K406" s="41"/>
    </row>
    <row r="407" spans="2:11" ht="16" x14ac:dyDescent="0.2">
      <c r="B407" s="38"/>
      <c r="C407" s="45" t="s">
        <v>861</v>
      </c>
      <c r="D407" s="40"/>
      <c r="E407" s="40"/>
      <c r="F407" s="40"/>
      <c r="G407" s="40"/>
      <c r="H407" s="40"/>
      <c r="I407" s="40"/>
      <c r="J407" s="40"/>
      <c r="K407" s="41"/>
    </row>
    <row r="408" spans="2:11" x14ac:dyDescent="0.2">
      <c r="B408" s="38"/>
      <c r="C408" s="40" t="s">
        <v>298</v>
      </c>
      <c r="D408" s="40"/>
      <c r="E408" s="40"/>
      <c r="F408" s="40"/>
      <c r="G408" s="40"/>
      <c r="H408" s="40"/>
      <c r="I408" s="40"/>
      <c r="J408" s="269">
        <v>0</v>
      </c>
      <c r="K408" s="41"/>
    </row>
    <row r="409" spans="2:11" x14ac:dyDescent="0.2">
      <c r="B409" s="38"/>
      <c r="C409" s="40" t="s">
        <v>260</v>
      </c>
      <c r="D409" s="40"/>
      <c r="E409" s="40"/>
      <c r="F409" s="40"/>
      <c r="G409" s="40"/>
      <c r="H409" s="40"/>
      <c r="I409" s="40"/>
      <c r="J409" s="253">
        <f>IF(J408&lt;=0,0,IF(J408&lt;=(J161*0.01),1,IF(J408&lt;=(J161*0.05),2,IF(J408&lt;=(J161*0.1),3,4))))</f>
        <v>0</v>
      </c>
      <c r="K409" s="41"/>
    </row>
    <row r="410" spans="2:11" ht="9.75" customHeight="1" x14ac:dyDescent="0.2">
      <c r="B410" s="38"/>
      <c r="C410" s="279" t="str">
        <f>"0:"</f>
        <v>0:</v>
      </c>
      <c r="D410" s="278" t="s">
        <v>939</v>
      </c>
      <c r="E410" s="278"/>
      <c r="F410" s="40"/>
      <c r="G410" s="40"/>
      <c r="H410" s="40"/>
      <c r="I410" s="40"/>
      <c r="J410" s="282"/>
      <c r="K410" s="41"/>
    </row>
    <row r="411" spans="2:11" ht="9.75" customHeight="1" x14ac:dyDescent="0.2">
      <c r="B411" s="38"/>
      <c r="C411" s="280" t="str">
        <f>"1:"</f>
        <v>1:</v>
      </c>
      <c r="D411" s="278" t="s">
        <v>940</v>
      </c>
      <c r="E411" s="278"/>
      <c r="F411" s="40"/>
      <c r="G411" s="40"/>
      <c r="H411" s="40"/>
      <c r="I411" s="40"/>
      <c r="J411" s="282"/>
      <c r="K411" s="41"/>
    </row>
    <row r="412" spans="2:11" ht="9.75" customHeight="1" x14ac:dyDescent="0.2">
      <c r="B412" s="38"/>
      <c r="C412" s="280" t="str">
        <f>"2:"</f>
        <v>2:</v>
      </c>
      <c r="D412" s="278" t="s">
        <v>941</v>
      </c>
      <c r="E412" s="278"/>
      <c r="F412" s="40"/>
      <c r="G412" s="40"/>
      <c r="H412" s="40"/>
      <c r="I412" s="40"/>
      <c r="J412" s="282"/>
      <c r="K412" s="41"/>
    </row>
    <row r="413" spans="2:11" ht="9.75" customHeight="1" x14ac:dyDescent="0.2">
      <c r="B413" s="38"/>
      <c r="C413" s="280" t="str">
        <f>"3:"</f>
        <v>3:</v>
      </c>
      <c r="D413" s="278" t="s">
        <v>942</v>
      </c>
      <c r="E413" s="278"/>
      <c r="F413" s="40"/>
      <c r="G413" s="40"/>
      <c r="H413" s="40"/>
      <c r="I413" s="40"/>
      <c r="J413" s="282"/>
      <c r="K413" s="41"/>
    </row>
    <row r="414" spans="2:11" ht="9.75" customHeight="1" x14ac:dyDescent="0.2">
      <c r="B414" s="38"/>
      <c r="C414" s="280" t="str">
        <f>"4:"</f>
        <v>4:</v>
      </c>
      <c r="D414" s="278" t="s">
        <v>943</v>
      </c>
      <c r="E414" s="278"/>
      <c r="F414" s="40"/>
      <c r="G414" s="40"/>
      <c r="H414" s="40"/>
      <c r="I414" s="40"/>
      <c r="J414" s="40"/>
      <c r="K414" s="41"/>
    </row>
    <row r="415" spans="2:11" x14ac:dyDescent="0.2">
      <c r="B415" s="38"/>
      <c r="C415" s="40" t="s">
        <v>893</v>
      </c>
      <c r="D415" s="40"/>
      <c r="E415" s="40"/>
      <c r="F415" s="40"/>
      <c r="G415" s="40"/>
      <c r="H415" s="40"/>
      <c r="I415" s="40"/>
      <c r="J415" s="40"/>
      <c r="K415" s="41"/>
    </row>
    <row r="416" spans="2:11" ht="30" customHeight="1" x14ac:dyDescent="0.2">
      <c r="B416" s="38"/>
      <c r="C416" s="399"/>
      <c r="D416" s="400"/>
      <c r="E416" s="400"/>
      <c r="F416" s="400"/>
      <c r="G416" s="400"/>
      <c r="H416" s="400"/>
      <c r="I416" s="400"/>
      <c r="J416" s="401"/>
      <c r="K416" s="41"/>
    </row>
    <row r="417" spans="2:11" x14ac:dyDescent="0.2">
      <c r="B417" s="38"/>
      <c r="C417" s="40"/>
      <c r="D417" s="40"/>
      <c r="E417" s="40"/>
      <c r="F417" s="40"/>
      <c r="G417" s="40"/>
      <c r="H417" s="40"/>
      <c r="I417" s="40"/>
      <c r="J417" s="40"/>
      <c r="K417" s="41"/>
    </row>
    <row r="418" spans="2:11" x14ac:dyDescent="0.2">
      <c r="B418" s="38"/>
      <c r="C418" s="179" t="s">
        <v>891</v>
      </c>
      <c r="D418" s="40"/>
      <c r="E418" s="40"/>
      <c r="F418" s="40"/>
      <c r="G418" s="40"/>
      <c r="H418" s="40"/>
      <c r="I418" s="40"/>
      <c r="J418" s="245">
        <f>J409</f>
        <v>0</v>
      </c>
      <c r="K418" s="41"/>
    </row>
    <row r="419" spans="2:11" x14ac:dyDescent="0.2">
      <c r="B419" s="38"/>
      <c r="C419" s="40"/>
      <c r="D419" s="40"/>
      <c r="E419" s="40"/>
      <c r="F419" s="40"/>
      <c r="G419" s="40"/>
      <c r="H419" s="40"/>
      <c r="I419" s="40"/>
      <c r="J419" s="40"/>
      <c r="K419" s="41"/>
    </row>
    <row r="420" spans="2:11" ht="20" customHeight="1" x14ac:dyDescent="0.2">
      <c r="B420" s="38"/>
      <c r="C420" s="410" t="s">
        <v>881</v>
      </c>
      <c r="D420" s="410"/>
      <c r="E420" s="410"/>
      <c r="F420" s="410"/>
      <c r="G420" s="410"/>
      <c r="H420" s="410"/>
      <c r="I420" s="410"/>
      <c r="J420" s="40"/>
      <c r="K420" s="41"/>
    </row>
    <row r="421" spans="2:11" ht="20" customHeight="1" x14ac:dyDescent="0.2">
      <c r="B421" s="38"/>
      <c r="C421" s="410"/>
      <c r="D421" s="410"/>
      <c r="E421" s="410"/>
      <c r="F421" s="410"/>
      <c r="G421" s="410"/>
      <c r="H421" s="410"/>
      <c r="I421" s="410"/>
      <c r="J421" s="244">
        <f>IF(OR(J288="Not Calculated",J307="Not Calculated",J326="Not Calculated",J349="Not Calculated",J367="Not Calculated",J387="Not Calculated",J404="Not Calculated",J418="Not Calculated")=TRUE,"Not Calculated",AVERAGE(J288,J307,J326,J349,J367,J387,J404,J418))</f>
        <v>2.1875</v>
      </c>
      <c r="K421" s="41"/>
    </row>
    <row r="422" spans="2:11" ht="16" thickBot="1" x14ac:dyDescent="0.25">
      <c r="B422" s="46"/>
      <c r="C422" s="47"/>
      <c r="D422" s="47"/>
      <c r="E422" s="47"/>
      <c r="F422" s="47"/>
      <c r="G422" s="47"/>
      <c r="H422" s="47"/>
      <c r="I422" s="47"/>
      <c r="J422" s="47"/>
      <c r="K422" s="49"/>
    </row>
    <row r="423" spans="2:11" ht="16" thickBot="1" x14ac:dyDescent="0.25"/>
    <row r="424" spans="2:11" x14ac:dyDescent="0.2">
      <c r="B424" s="33"/>
      <c r="C424" s="34"/>
      <c r="D424" s="34"/>
      <c r="E424" s="34"/>
      <c r="F424" s="34"/>
      <c r="G424" s="34"/>
      <c r="H424" s="34"/>
      <c r="I424" s="34"/>
      <c r="J424" s="34"/>
      <c r="K424" s="37"/>
    </row>
    <row r="425" spans="2:11" ht="21" x14ac:dyDescent="0.25">
      <c r="B425" s="38"/>
      <c r="C425" s="40"/>
      <c r="D425" s="40"/>
      <c r="E425" s="40"/>
      <c r="F425" s="40"/>
      <c r="G425" s="172" t="s">
        <v>230</v>
      </c>
      <c r="H425" s="40"/>
      <c r="I425" s="40"/>
      <c r="J425" s="40"/>
      <c r="K425" s="41"/>
    </row>
    <row r="426" spans="2:11" x14ac:dyDescent="0.2">
      <c r="B426" s="38"/>
      <c r="C426" s="40"/>
      <c r="D426" s="40"/>
      <c r="E426" s="40"/>
      <c r="F426" s="40"/>
      <c r="G426" s="40"/>
      <c r="H426" s="40"/>
      <c r="I426" s="40"/>
      <c r="J426" s="40"/>
      <c r="K426" s="41"/>
    </row>
    <row r="427" spans="2:11" ht="16" x14ac:dyDescent="0.2">
      <c r="B427" s="38"/>
      <c r="C427" s="45" t="s">
        <v>299</v>
      </c>
      <c r="D427" s="40"/>
      <c r="E427" s="40"/>
      <c r="F427" s="40"/>
      <c r="G427" s="40"/>
      <c r="H427" s="40"/>
      <c r="I427" s="40"/>
      <c r="J427" s="40"/>
      <c r="K427" s="41"/>
    </row>
    <row r="428" spans="2:11" x14ac:dyDescent="0.2">
      <c r="B428" s="38"/>
      <c r="C428" s="40" t="s">
        <v>300</v>
      </c>
      <c r="D428" s="40"/>
      <c r="E428" s="40"/>
      <c r="F428" s="40"/>
      <c r="G428" s="40"/>
      <c r="H428" s="40"/>
      <c r="I428" s="40"/>
      <c r="J428" s="270">
        <f>'Community Characteristics'!H14</f>
        <v>0</v>
      </c>
      <c r="K428" s="41"/>
    </row>
    <row r="429" spans="2:11" x14ac:dyDescent="0.2">
      <c r="B429" s="38"/>
      <c r="C429" s="40" t="s">
        <v>260</v>
      </c>
      <c r="D429" s="40"/>
      <c r="E429" s="40"/>
      <c r="F429" s="40"/>
      <c r="G429" s="40"/>
      <c r="H429" s="40"/>
      <c r="I429" s="40"/>
      <c r="J429" s="248">
        <f>IF(J428&lt;=0,0,IF(J428&lt;=1,1,IF(J428&lt;=5,2,IF(J428&lt;=10,3,4))))</f>
        <v>0</v>
      </c>
      <c r="K429" s="41"/>
    </row>
    <row r="430" spans="2:11" s="98" customFormat="1" ht="9.75" customHeight="1" x14ac:dyDescent="0.2">
      <c r="B430" s="288"/>
      <c r="C430" s="279" t="str">
        <f>"0:"</f>
        <v>0:</v>
      </c>
      <c r="D430" s="290" t="s">
        <v>944</v>
      </c>
      <c r="E430" s="245"/>
      <c r="F430" s="245"/>
      <c r="G430" s="245"/>
      <c r="H430" s="245"/>
      <c r="I430" s="245"/>
      <c r="J430" s="245"/>
      <c r="K430" s="289"/>
    </row>
    <row r="431" spans="2:11" s="98" customFormat="1" ht="9.75" customHeight="1" x14ac:dyDescent="0.2">
      <c r="B431" s="288"/>
      <c r="C431" s="280" t="str">
        <f>"1:"</f>
        <v>1:</v>
      </c>
      <c r="D431" s="290" t="s">
        <v>945</v>
      </c>
      <c r="E431" s="245"/>
      <c r="F431" s="245"/>
      <c r="G431" s="245"/>
      <c r="H431" s="245"/>
      <c r="I431" s="245"/>
      <c r="J431" s="245"/>
      <c r="K431" s="289"/>
    </row>
    <row r="432" spans="2:11" s="98" customFormat="1" ht="9.75" customHeight="1" x14ac:dyDescent="0.2">
      <c r="B432" s="288"/>
      <c r="C432" s="280" t="str">
        <f>"2:"</f>
        <v>2:</v>
      </c>
      <c r="D432" s="290" t="s">
        <v>946</v>
      </c>
      <c r="E432" s="245"/>
      <c r="F432" s="245"/>
      <c r="G432" s="245"/>
      <c r="H432" s="245"/>
      <c r="I432" s="245"/>
      <c r="J432" s="245"/>
      <c r="K432" s="289"/>
    </row>
    <row r="433" spans="2:11" s="98" customFormat="1" ht="9.75" customHeight="1" x14ac:dyDescent="0.2">
      <c r="B433" s="288"/>
      <c r="C433" s="280" t="str">
        <f>"3:"</f>
        <v>3:</v>
      </c>
      <c r="D433" s="290" t="s">
        <v>947</v>
      </c>
      <c r="E433" s="245"/>
      <c r="F433" s="245"/>
      <c r="G433" s="245"/>
      <c r="H433" s="245"/>
      <c r="I433" s="245"/>
      <c r="J433" s="245"/>
      <c r="K433" s="289"/>
    </row>
    <row r="434" spans="2:11" s="98" customFormat="1" ht="9.75" customHeight="1" x14ac:dyDescent="0.2">
      <c r="B434" s="288"/>
      <c r="C434" s="280" t="str">
        <f>"4:"</f>
        <v>4:</v>
      </c>
      <c r="D434" s="290" t="s">
        <v>948</v>
      </c>
      <c r="E434" s="245"/>
      <c r="F434" s="245"/>
      <c r="G434" s="245"/>
      <c r="H434" s="245"/>
      <c r="I434" s="245"/>
      <c r="J434" s="247"/>
      <c r="K434" s="289"/>
    </row>
    <row r="435" spans="2:11" x14ac:dyDescent="0.2">
      <c r="B435" s="38"/>
      <c r="C435" s="40" t="s">
        <v>257</v>
      </c>
      <c r="D435" s="40"/>
      <c r="E435" s="40"/>
      <c r="F435" s="40"/>
      <c r="G435" s="40"/>
      <c r="H435" s="40"/>
      <c r="I435" s="40"/>
      <c r="J435" s="266" t="s">
        <v>872</v>
      </c>
      <c r="K435" s="41"/>
    </row>
    <row r="436" spans="2:11" x14ac:dyDescent="0.2">
      <c r="B436" s="38"/>
      <c r="C436" s="40" t="s">
        <v>261</v>
      </c>
      <c r="D436" s="40"/>
      <c r="E436" s="40"/>
      <c r="F436" s="40"/>
      <c r="G436" s="40"/>
      <c r="H436" s="40"/>
      <c r="I436" s="40"/>
      <c r="J436" s="245">
        <f>IF(J435=$B$973,$A$973,IF(J435=$B$974,$A$974,IF(J435=$B$975,$A$975,IF(J435=$B$976,$A$976,IF(J435=$B$977,$A$977,"Not Calculated")))))</f>
        <v>2</v>
      </c>
      <c r="K436" s="41"/>
    </row>
    <row r="437" spans="2:11" x14ac:dyDescent="0.2">
      <c r="B437" s="38"/>
      <c r="C437" s="40" t="s">
        <v>893</v>
      </c>
      <c r="D437" s="40"/>
      <c r="E437" s="40"/>
      <c r="F437" s="40"/>
      <c r="G437" s="40"/>
      <c r="H437" s="40"/>
      <c r="I437" s="40"/>
      <c r="J437" s="40"/>
      <c r="K437" s="41"/>
    </row>
    <row r="438" spans="2:11" ht="30" customHeight="1" x14ac:dyDescent="0.2">
      <c r="B438" s="38"/>
      <c r="C438" s="399" t="s">
        <v>566</v>
      </c>
      <c r="D438" s="400"/>
      <c r="E438" s="400"/>
      <c r="F438" s="400"/>
      <c r="G438" s="400"/>
      <c r="H438" s="400"/>
      <c r="I438" s="400"/>
      <c r="J438" s="401"/>
      <c r="K438" s="41"/>
    </row>
    <row r="439" spans="2:11" x14ac:dyDescent="0.2">
      <c r="B439" s="38"/>
      <c r="C439" s="40"/>
      <c r="D439" s="40"/>
      <c r="E439" s="40"/>
      <c r="F439" s="40"/>
      <c r="G439" s="40"/>
      <c r="H439" s="40"/>
      <c r="I439" s="40"/>
      <c r="J439" s="40"/>
      <c r="K439" s="41"/>
    </row>
    <row r="440" spans="2:11" x14ac:dyDescent="0.2">
      <c r="B440" s="38"/>
      <c r="C440" s="179" t="s">
        <v>301</v>
      </c>
      <c r="D440" s="40"/>
      <c r="E440" s="40"/>
      <c r="F440" s="40"/>
      <c r="G440" s="40"/>
      <c r="H440" s="40"/>
      <c r="I440" s="40"/>
      <c r="J440" s="245">
        <f>IF(OR(J429="Not Calculated",J436="Not Calculated")=TRUE,"Not Calculated",AVERAGE(J429,J436))</f>
        <v>1</v>
      </c>
      <c r="K440" s="41"/>
    </row>
    <row r="441" spans="2:11" x14ac:dyDescent="0.2">
      <c r="B441" s="38"/>
      <c r="C441" s="40"/>
      <c r="D441" s="40"/>
      <c r="E441" s="40"/>
      <c r="F441" s="40"/>
      <c r="G441" s="40"/>
      <c r="H441" s="40"/>
      <c r="I441" s="40"/>
      <c r="J441" s="40"/>
      <c r="K441" s="41"/>
    </row>
    <row r="442" spans="2:11" x14ac:dyDescent="0.2">
      <c r="B442" s="38"/>
      <c r="C442" s="40"/>
      <c r="D442" s="40"/>
      <c r="E442" s="40"/>
      <c r="F442" s="40"/>
      <c r="G442" s="40"/>
      <c r="H442" s="40"/>
      <c r="I442" s="40"/>
      <c r="J442" s="40"/>
      <c r="K442" s="41"/>
    </row>
    <row r="443" spans="2:11" ht="16" x14ac:dyDescent="0.2">
      <c r="B443" s="38"/>
      <c r="C443" s="45" t="s">
        <v>303</v>
      </c>
      <c r="D443" s="40"/>
      <c r="E443" s="40"/>
      <c r="F443" s="40"/>
      <c r="G443" s="40"/>
      <c r="H443" s="40"/>
      <c r="I443" s="40"/>
      <c r="J443" s="40"/>
      <c r="K443" s="41"/>
    </row>
    <row r="444" spans="2:11" ht="15" customHeight="1" x14ac:dyDescent="0.2">
      <c r="B444" s="38"/>
      <c r="C444" s="380" t="s">
        <v>305</v>
      </c>
      <c r="D444" s="380"/>
      <c r="E444" s="380"/>
      <c r="F444" s="380"/>
      <c r="G444" s="380"/>
      <c r="H444" s="380"/>
      <c r="I444" s="380"/>
      <c r="J444" s="40"/>
      <c r="K444" s="41"/>
    </row>
    <row r="445" spans="2:11" x14ac:dyDescent="0.2">
      <c r="B445" s="38"/>
      <c r="C445" s="380"/>
      <c r="D445" s="380"/>
      <c r="E445" s="380"/>
      <c r="F445" s="380"/>
      <c r="G445" s="380"/>
      <c r="H445" s="380"/>
      <c r="I445" s="380"/>
      <c r="J445" s="270">
        <v>100</v>
      </c>
      <c r="K445" s="41"/>
    </row>
    <row r="446" spans="2:11" x14ac:dyDescent="0.2">
      <c r="B446" s="38"/>
      <c r="C446" s="40" t="s">
        <v>260</v>
      </c>
      <c r="D446" s="40"/>
      <c r="E446" s="40"/>
      <c r="F446" s="40"/>
      <c r="G446" s="40"/>
      <c r="H446" s="40"/>
      <c r="I446" s="40"/>
      <c r="J446" s="248">
        <f>IF(J445&lt;=0,0,IF(J445&lt;=1,1,IF(J445&lt;=5,2,IF(J445&lt;=10,3,4))))</f>
        <v>4</v>
      </c>
      <c r="K446" s="41"/>
    </row>
    <row r="447" spans="2:11" ht="9.75" customHeight="1" x14ac:dyDescent="0.2">
      <c r="B447" s="38"/>
      <c r="C447" s="279" t="str">
        <f>"0:"</f>
        <v>0:</v>
      </c>
      <c r="D447" s="278" t="s">
        <v>944</v>
      </c>
      <c r="E447" s="40"/>
      <c r="F447" s="40"/>
      <c r="G447" s="40"/>
      <c r="H447" s="40"/>
      <c r="I447" s="40"/>
      <c r="J447" s="245"/>
      <c r="K447" s="41"/>
    </row>
    <row r="448" spans="2:11" ht="9.75" customHeight="1" x14ac:dyDescent="0.2">
      <c r="B448" s="38"/>
      <c r="C448" s="280" t="str">
        <f>"1:"</f>
        <v>1:</v>
      </c>
      <c r="D448" s="278" t="s">
        <v>945</v>
      </c>
      <c r="E448" s="40"/>
      <c r="F448" s="40"/>
      <c r="G448" s="40"/>
      <c r="H448" s="40"/>
      <c r="I448" s="40"/>
      <c r="J448" s="245"/>
      <c r="K448" s="41"/>
    </row>
    <row r="449" spans="2:11" ht="9.75" customHeight="1" x14ac:dyDescent="0.2">
      <c r="B449" s="38"/>
      <c r="C449" s="280" t="str">
        <f>"2:"</f>
        <v>2:</v>
      </c>
      <c r="D449" s="278" t="s">
        <v>946</v>
      </c>
      <c r="E449" s="40"/>
      <c r="F449" s="40"/>
      <c r="G449" s="40"/>
      <c r="H449" s="40"/>
      <c r="I449" s="40"/>
      <c r="J449" s="245"/>
      <c r="K449" s="41"/>
    </row>
    <row r="450" spans="2:11" ht="9.75" customHeight="1" x14ac:dyDescent="0.2">
      <c r="B450" s="38"/>
      <c r="C450" s="280" t="str">
        <f>"3:"</f>
        <v>3:</v>
      </c>
      <c r="D450" s="278" t="s">
        <v>947</v>
      </c>
      <c r="E450" s="40"/>
      <c r="F450" s="40"/>
      <c r="G450" s="40"/>
      <c r="H450" s="40"/>
      <c r="I450" s="40"/>
      <c r="J450" s="245"/>
      <c r="K450" s="41"/>
    </row>
    <row r="451" spans="2:11" ht="9.75" customHeight="1" x14ac:dyDescent="0.2">
      <c r="B451" s="38"/>
      <c r="C451" s="280" t="str">
        <f>"4:"</f>
        <v>4:</v>
      </c>
      <c r="D451" s="278" t="s">
        <v>948</v>
      </c>
      <c r="E451" s="40"/>
      <c r="F451" s="40"/>
      <c r="G451" s="40"/>
      <c r="H451" s="40"/>
      <c r="I451" s="40"/>
      <c r="J451" s="247"/>
      <c r="K451" s="41"/>
    </row>
    <row r="452" spans="2:11" x14ac:dyDescent="0.2">
      <c r="B452" s="38"/>
      <c r="C452" s="40" t="s">
        <v>257</v>
      </c>
      <c r="D452" s="40"/>
      <c r="E452" s="40"/>
      <c r="F452" s="40"/>
      <c r="G452" s="40"/>
      <c r="H452" s="40"/>
      <c r="I452" s="40"/>
      <c r="J452" s="266" t="s">
        <v>872</v>
      </c>
      <c r="K452" s="41"/>
    </row>
    <row r="453" spans="2:11" x14ac:dyDescent="0.2">
      <c r="B453" s="38"/>
      <c r="C453" s="40" t="s">
        <v>261</v>
      </c>
      <c r="D453" s="40"/>
      <c r="E453" s="40"/>
      <c r="F453" s="40"/>
      <c r="G453" s="40"/>
      <c r="H453" s="40"/>
      <c r="I453" s="40"/>
      <c r="J453" s="245">
        <f>IF(J452=$B$973,$A$973,IF(J452=$B$974,$A$974,IF(J452=$B$975,$A$975,IF(J452=$B$976,$A$976,IF(J452=$B$977,$A$977,"Not Calculated")))))</f>
        <v>2</v>
      </c>
      <c r="K453" s="41"/>
    </row>
    <row r="454" spans="2:11" x14ac:dyDescent="0.2">
      <c r="B454" s="38"/>
      <c r="C454" s="40" t="s">
        <v>893</v>
      </c>
      <c r="D454" s="40"/>
      <c r="E454" s="40"/>
      <c r="F454" s="40"/>
      <c r="G454" s="40"/>
      <c r="H454" s="40"/>
      <c r="I454" s="40"/>
      <c r="J454" s="40"/>
      <c r="K454" s="41"/>
    </row>
    <row r="455" spans="2:11" ht="30" customHeight="1" x14ac:dyDescent="0.2">
      <c r="B455" s="38"/>
      <c r="C455" s="399" t="s">
        <v>577</v>
      </c>
      <c r="D455" s="400"/>
      <c r="E455" s="400"/>
      <c r="F455" s="400"/>
      <c r="G455" s="400"/>
      <c r="H455" s="400"/>
      <c r="I455" s="400"/>
      <c r="J455" s="401"/>
      <c r="K455" s="41"/>
    </row>
    <row r="456" spans="2:11" x14ac:dyDescent="0.2">
      <c r="B456" s="38"/>
      <c r="C456" s="40"/>
      <c r="D456" s="40"/>
      <c r="E456" s="40"/>
      <c r="F456" s="40"/>
      <c r="G456" s="40"/>
      <c r="H456" s="40"/>
      <c r="I456" s="40"/>
      <c r="J456" s="40"/>
      <c r="K456" s="41"/>
    </row>
    <row r="457" spans="2:11" x14ac:dyDescent="0.2">
      <c r="B457" s="38"/>
      <c r="C457" s="179" t="s">
        <v>304</v>
      </c>
      <c r="D457" s="40"/>
      <c r="E457" s="40"/>
      <c r="F457" s="40"/>
      <c r="G457" s="40"/>
      <c r="H457" s="40"/>
      <c r="I457" s="40"/>
      <c r="J457" s="245">
        <f>IF(OR(J446="Not Calculated",J453="Not Calculated")=TRUE,"Not Calculated",AVERAGE(J446,J453))</f>
        <v>3</v>
      </c>
      <c r="K457" s="41"/>
    </row>
    <row r="458" spans="2:11" x14ac:dyDescent="0.2">
      <c r="B458" s="38"/>
      <c r="C458" s="40"/>
      <c r="D458" s="40"/>
      <c r="E458" s="40"/>
      <c r="F458" s="40"/>
      <c r="G458" s="40"/>
      <c r="H458" s="40"/>
      <c r="I458" s="40"/>
      <c r="J458" s="40"/>
      <c r="K458" s="41"/>
    </row>
    <row r="459" spans="2:11" x14ac:dyDescent="0.2">
      <c r="B459" s="38"/>
      <c r="C459" s="40"/>
      <c r="D459" s="40"/>
      <c r="E459" s="40"/>
      <c r="F459" s="40"/>
      <c r="G459" s="40"/>
      <c r="H459" s="40"/>
      <c r="I459" s="40"/>
      <c r="J459" s="40"/>
      <c r="K459" s="41"/>
    </row>
    <row r="460" spans="2:11" ht="16" x14ac:dyDescent="0.2">
      <c r="B460" s="38"/>
      <c r="C460" s="45" t="s">
        <v>306</v>
      </c>
      <c r="D460" s="40"/>
      <c r="E460" s="40"/>
      <c r="F460" s="40"/>
      <c r="G460" s="40"/>
      <c r="H460" s="40"/>
      <c r="I460" s="40"/>
      <c r="J460" s="40"/>
      <c r="K460" s="41"/>
    </row>
    <row r="461" spans="2:11" x14ac:dyDescent="0.2">
      <c r="B461" s="38"/>
      <c r="C461" s="40" t="s">
        <v>949</v>
      </c>
      <c r="D461" s="40"/>
      <c r="E461" s="40"/>
      <c r="F461" s="40"/>
      <c r="G461" s="40"/>
      <c r="H461" s="40"/>
      <c r="I461" s="40"/>
      <c r="J461" s="270">
        <v>100</v>
      </c>
      <c r="K461" s="41"/>
    </row>
    <row r="462" spans="2:11" x14ac:dyDescent="0.2">
      <c r="B462" s="38"/>
      <c r="C462" s="40" t="s">
        <v>260</v>
      </c>
      <c r="D462" s="40"/>
      <c r="E462" s="40"/>
      <c r="F462" s="40"/>
      <c r="G462" s="40"/>
      <c r="H462" s="40"/>
      <c r="I462" s="40"/>
      <c r="J462" s="248">
        <f>IF(J461&lt;=0,0,IF(J461&lt;=1,1,IF(J461&lt;=5,2,IF(J461&lt;=10,3,4))))</f>
        <v>4</v>
      </c>
      <c r="K462" s="41"/>
    </row>
    <row r="463" spans="2:11" ht="9.75" customHeight="1" x14ac:dyDescent="0.2">
      <c r="B463" s="38"/>
      <c r="C463" s="279" t="str">
        <f>"0:"</f>
        <v>0:</v>
      </c>
      <c r="D463" s="290" t="s">
        <v>944</v>
      </c>
      <c r="E463" s="40"/>
      <c r="F463" s="40"/>
      <c r="G463" s="40"/>
      <c r="H463" s="40"/>
      <c r="I463" s="40"/>
      <c r="J463" s="245"/>
      <c r="K463" s="41"/>
    </row>
    <row r="464" spans="2:11" ht="9.75" customHeight="1" x14ac:dyDescent="0.2">
      <c r="B464" s="38"/>
      <c r="C464" s="280" t="str">
        <f>"1:"</f>
        <v>1:</v>
      </c>
      <c r="D464" s="290" t="s">
        <v>945</v>
      </c>
      <c r="E464" s="40"/>
      <c r="F464" s="40"/>
      <c r="G464" s="40"/>
      <c r="H464" s="40"/>
      <c r="I464" s="40"/>
      <c r="J464" s="245"/>
      <c r="K464" s="41"/>
    </row>
    <row r="465" spans="2:11" ht="9.75" customHeight="1" x14ac:dyDescent="0.2">
      <c r="B465" s="38"/>
      <c r="C465" s="280" t="str">
        <f>"2:"</f>
        <v>2:</v>
      </c>
      <c r="D465" s="290" t="s">
        <v>946</v>
      </c>
      <c r="E465" s="40"/>
      <c r="F465" s="40"/>
      <c r="G465" s="40"/>
      <c r="H465" s="40"/>
      <c r="I465" s="40"/>
      <c r="J465" s="245"/>
      <c r="K465" s="41"/>
    </row>
    <row r="466" spans="2:11" ht="9.75" customHeight="1" x14ac:dyDescent="0.2">
      <c r="B466" s="38"/>
      <c r="C466" s="280" t="str">
        <f>"3:"</f>
        <v>3:</v>
      </c>
      <c r="D466" s="290" t="s">
        <v>947</v>
      </c>
      <c r="E466" s="40"/>
      <c r="F466" s="40"/>
      <c r="G466" s="40"/>
      <c r="H466" s="40"/>
      <c r="I466" s="40"/>
      <c r="J466" s="245"/>
      <c r="K466" s="41"/>
    </row>
    <row r="467" spans="2:11" ht="9.75" customHeight="1" x14ac:dyDescent="0.2">
      <c r="B467" s="38"/>
      <c r="C467" s="280" t="str">
        <f>"4:"</f>
        <v>4:</v>
      </c>
      <c r="D467" s="290" t="s">
        <v>948</v>
      </c>
      <c r="E467" s="40"/>
      <c r="F467" s="40"/>
      <c r="G467" s="40"/>
      <c r="H467" s="40"/>
      <c r="I467" s="40"/>
      <c r="J467" s="247"/>
      <c r="K467" s="41"/>
    </row>
    <row r="468" spans="2:11" x14ac:dyDescent="0.2">
      <c r="B468" s="38"/>
      <c r="C468" s="40" t="s">
        <v>257</v>
      </c>
      <c r="D468" s="40"/>
      <c r="E468" s="40"/>
      <c r="F468" s="40"/>
      <c r="G468" s="40"/>
      <c r="H468" s="40"/>
      <c r="I468" s="40"/>
      <c r="J468" s="266" t="s">
        <v>872</v>
      </c>
      <c r="K468" s="41"/>
    </row>
    <row r="469" spans="2:11" ht="15" customHeight="1" x14ac:dyDescent="0.2">
      <c r="B469" s="38"/>
      <c r="C469" s="40" t="s">
        <v>261</v>
      </c>
      <c r="D469" s="40"/>
      <c r="E469" s="40"/>
      <c r="F469" s="40"/>
      <c r="G469" s="40"/>
      <c r="H469" s="40"/>
      <c r="I469" s="40"/>
      <c r="J469" s="245">
        <f>IF(J468=$B$973,$A$973,IF(J468=$B$974,$A$974,IF(J468=$B$975,$A$975,IF(J468=$B$976,$A$976,IF(J468=$B$977,$A$977,"Not Calculated")))))</f>
        <v>2</v>
      </c>
      <c r="K469" s="41"/>
    </row>
    <row r="470" spans="2:11" x14ac:dyDescent="0.2">
      <c r="B470" s="38"/>
      <c r="C470" s="40" t="s">
        <v>893</v>
      </c>
      <c r="D470" s="40"/>
      <c r="E470" s="40"/>
      <c r="F470" s="40"/>
      <c r="G470" s="40"/>
      <c r="H470" s="40"/>
      <c r="I470" s="40"/>
      <c r="J470" s="40"/>
      <c r="K470" s="41"/>
    </row>
    <row r="471" spans="2:11" ht="30" customHeight="1" x14ac:dyDescent="0.2">
      <c r="B471" s="38"/>
      <c r="C471" s="399"/>
      <c r="D471" s="400"/>
      <c r="E471" s="400"/>
      <c r="F471" s="400"/>
      <c r="G471" s="400"/>
      <c r="H471" s="400"/>
      <c r="I471" s="400"/>
      <c r="J471" s="401"/>
      <c r="K471" s="41"/>
    </row>
    <row r="472" spans="2:11" x14ac:dyDescent="0.2">
      <c r="B472" s="38"/>
      <c r="C472" s="40"/>
      <c r="D472" s="40"/>
      <c r="E472" s="40"/>
      <c r="F472" s="40"/>
      <c r="G472" s="40"/>
      <c r="H472" s="40"/>
      <c r="I472" s="40"/>
      <c r="J472" s="40"/>
      <c r="K472" s="41"/>
    </row>
    <row r="473" spans="2:11" x14ac:dyDescent="0.2">
      <c r="B473" s="38"/>
      <c r="C473" s="179" t="s">
        <v>307</v>
      </c>
      <c r="D473" s="40"/>
      <c r="E473" s="40"/>
      <c r="F473" s="40"/>
      <c r="G473" s="40"/>
      <c r="H473" s="40"/>
      <c r="I473" s="40"/>
      <c r="J473" s="245">
        <f>IF(OR(J462="Not Calculated",J469="Not Calculated")=TRUE,"Not Calculated",AVERAGE(J462,J469))</f>
        <v>3</v>
      </c>
      <c r="K473" s="41"/>
    </row>
    <row r="474" spans="2:11" x14ac:dyDescent="0.2">
      <c r="B474" s="38"/>
      <c r="C474" s="40"/>
      <c r="D474" s="40"/>
      <c r="E474" s="40"/>
      <c r="F474" s="40"/>
      <c r="G474" s="40"/>
      <c r="H474" s="40"/>
      <c r="I474" s="40"/>
      <c r="J474" s="40"/>
      <c r="K474" s="41"/>
    </row>
    <row r="475" spans="2:11" x14ac:dyDescent="0.2">
      <c r="B475" s="38"/>
      <c r="C475" s="40"/>
      <c r="D475" s="40"/>
      <c r="E475" s="40"/>
      <c r="F475" s="40"/>
      <c r="G475" s="40"/>
      <c r="H475" s="40"/>
      <c r="I475" s="40"/>
      <c r="J475" s="40"/>
      <c r="K475" s="41"/>
    </row>
    <row r="476" spans="2:11" ht="16" x14ac:dyDescent="0.2">
      <c r="B476" s="38"/>
      <c r="C476" s="45" t="s">
        <v>308</v>
      </c>
      <c r="D476" s="40"/>
      <c r="E476" s="40"/>
      <c r="F476" s="40"/>
      <c r="G476" s="40"/>
      <c r="H476" s="40"/>
      <c r="I476" s="40"/>
      <c r="J476" s="40"/>
      <c r="K476" s="41"/>
    </row>
    <row r="477" spans="2:11" ht="15" customHeight="1" x14ac:dyDescent="0.2">
      <c r="B477" s="38"/>
      <c r="C477" s="380" t="s">
        <v>310</v>
      </c>
      <c r="D477" s="380"/>
      <c r="E477" s="380"/>
      <c r="F477" s="380"/>
      <c r="G477" s="380"/>
      <c r="H477" s="380"/>
      <c r="I477" s="380"/>
      <c r="J477" s="40"/>
      <c r="K477" s="41"/>
    </row>
    <row r="478" spans="2:11" x14ac:dyDescent="0.2">
      <c r="B478" s="38"/>
      <c r="C478" s="380"/>
      <c r="D478" s="380"/>
      <c r="E478" s="380"/>
      <c r="F478" s="380"/>
      <c r="G478" s="380"/>
      <c r="H478" s="380"/>
      <c r="I478" s="380"/>
      <c r="J478" s="131">
        <v>3</v>
      </c>
      <c r="K478" s="41"/>
    </row>
    <row r="479" spans="2:11" x14ac:dyDescent="0.2">
      <c r="B479" s="38"/>
      <c r="C479" s="40" t="s">
        <v>261</v>
      </c>
      <c r="D479" s="40"/>
      <c r="E479" s="40"/>
      <c r="F479" s="40"/>
      <c r="G479" s="40"/>
      <c r="H479" s="40"/>
      <c r="I479" s="40"/>
      <c r="J479" s="245">
        <f>IF(J478&lt;=0,0,IF(J478&lt;=1,1,IF(J478&lt;=7,2,IF(J478&lt;=14,3,4))))</f>
        <v>2</v>
      </c>
      <c r="K479" s="41"/>
    </row>
    <row r="480" spans="2:11" s="51" customFormat="1" ht="9.75" customHeight="1" x14ac:dyDescent="0.2">
      <c r="B480" s="283"/>
      <c r="C480" s="279" t="str">
        <f>"0:"</f>
        <v>0:</v>
      </c>
      <c r="D480" s="284" t="s">
        <v>950</v>
      </c>
      <c r="E480" s="285"/>
      <c r="F480" s="285"/>
      <c r="G480" s="285"/>
      <c r="H480" s="285"/>
      <c r="I480" s="285"/>
      <c r="J480" s="43"/>
      <c r="K480" s="286"/>
    </row>
    <row r="481" spans="2:11" s="51" customFormat="1" ht="9.75" customHeight="1" x14ac:dyDescent="0.2">
      <c r="B481" s="283"/>
      <c r="C481" s="280" t="str">
        <f>"1:"</f>
        <v>1:</v>
      </c>
      <c r="D481" s="284" t="s">
        <v>951</v>
      </c>
      <c r="E481" s="285"/>
      <c r="F481" s="285"/>
      <c r="G481" s="285"/>
      <c r="H481" s="285"/>
      <c r="I481" s="285"/>
      <c r="J481" s="43"/>
      <c r="K481" s="286"/>
    </row>
    <row r="482" spans="2:11" s="51" customFormat="1" ht="9.75" customHeight="1" x14ac:dyDescent="0.2">
      <c r="B482" s="283"/>
      <c r="C482" s="280" t="str">
        <f>"2:"</f>
        <v>2:</v>
      </c>
      <c r="D482" s="284" t="s">
        <v>952</v>
      </c>
      <c r="E482" s="285"/>
      <c r="F482" s="285"/>
      <c r="G482" s="285"/>
      <c r="H482" s="285"/>
      <c r="I482" s="285"/>
      <c r="J482" s="43"/>
      <c r="K482" s="286"/>
    </row>
    <row r="483" spans="2:11" s="51" customFormat="1" ht="9.75" customHeight="1" x14ac:dyDescent="0.2">
      <c r="B483" s="283"/>
      <c r="C483" s="280" t="str">
        <f>"3:"</f>
        <v>3:</v>
      </c>
      <c r="D483" s="284" t="s">
        <v>953</v>
      </c>
      <c r="E483" s="285"/>
      <c r="F483" s="285"/>
      <c r="G483" s="285"/>
      <c r="H483" s="285"/>
      <c r="I483" s="285"/>
      <c r="J483" s="43"/>
      <c r="K483" s="286"/>
    </row>
    <row r="484" spans="2:11" s="51" customFormat="1" ht="9.75" customHeight="1" x14ac:dyDescent="0.2">
      <c r="B484" s="283"/>
      <c r="C484" s="280" t="str">
        <f>"4:"</f>
        <v>4:</v>
      </c>
      <c r="D484" s="284" t="s">
        <v>954</v>
      </c>
      <c r="E484" s="285"/>
      <c r="F484" s="285"/>
      <c r="G484" s="285"/>
      <c r="H484" s="285"/>
      <c r="I484" s="285"/>
      <c r="J484" s="43"/>
      <c r="K484" s="286"/>
    </row>
    <row r="485" spans="2:11" x14ac:dyDescent="0.2">
      <c r="B485" s="38"/>
      <c r="C485" s="40" t="s">
        <v>893</v>
      </c>
      <c r="D485" s="40"/>
      <c r="E485" s="40"/>
      <c r="F485" s="40"/>
      <c r="G485" s="40"/>
      <c r="H485" s="40"/>
      <c r="I485" s="40"/>
      <c r="J485" s="40"/>
      <c r="K485" s="41"/>
    </row>
    <row r="486" spans="2:11" ht="30" customHeight="1" x14ac:dyDescent="0.2">
      <c r="B486" s="38"/>
      <c r="C486" s="399" t="s">
        <v>1341</v>
      </c>
      <c r="D486" s="400"/>
      <c r="E486" s="400"/>
      <c r="F486" s="400"/>
      <c r="G486" s="400"/>
      <c r="H486" s="400"/>
      <c r="I486" s="400"/>
      <c r="J486" s="401"/>
      <c r="K486" s="41"/>
    </row>
    <row r="487" spans="2:11" x14ac:dyDescent="0.2">
      <c r="B487" s="38"/>
      <c r="C487" s="40"/>
      <c r="D487" s="40"/>
      <c r="E487" s="40"/>
      <c r="F487" s="40"/>
      <c r="G487" s="40"/>
      <c r="H487" s="40"/>
      <c r="I487" s="40"/>
      <c r="J487" s="40"/>
      <c r="K487" s="41"/>
    </row>
    <row r="488" spans="2:11" x14ac:dyDescent="0.2">
      <c r="B488" s="38"/>
      <c r="C488" s="179" t="s">
        <v>309</v>
      </c>
      <c r="D488" s="40"/>
      <c r="E488" s="40"/>
      <c r="F488" s="40"/>
      <c r="G488" s="40"/>
      <c r="H488" s="40"/>
      <c r="I488" s="40"/>
      <c r="J488" s="245">
        <f>J479</f>
        <v>2</v>
      </c>
      <c r="K488" s="41"/>
    </row>
    <row r="489" spans="2:11" x14ac:dyDescent="0.2">
      <c r="B489" s="38"/>
      <c r="C489" s="40"/>
      <c r="D489" s="40"/>
      <c r="E489" s="40"/>
      <c r="F489" s="40"/>
      <c r="G489" s="40"/>
      <c r="H489" s="40"/>
      <c r="I489" s="40"/>
      <c r="J489" s="40"/>
      <c r="K489" s="41"/>
    </row>
    <row r="490" spans="2:11" x14ac:dyDescent="0.2">
      <c r="B490" s="38"/>
      <c r="C490" s="40"/>
      <c r="D490" s="40"/>
      <c r="E490" s="40"/>
      <c r="F490" s="40"/>
      <c r="G490" s="40"/>
      <c r="H490" s="40"/>
      <c r="I490" s="40"/>
      <c r="J490" s="40"/>
      <c r="K490" s="41"/>
    </row>
    <row r="491" spans="2:11" ht="16" x14ac:dyDescent="0.2">
      <c r="B491" s="38"/>
      <c r="C491" s="45" t="s">
        <v>311</v>
      </c>
      <c r="D491" s="40"/>
      <c r="E491" s="40"/>
      <c r="F491" s="40"/>
      <c r="G491" s="40"/>
      <c r="H491" s="40"/>
      <c r="I491" s="40"/>
      <c r="J491" s="40"/>
      <c r="K491" s="41"/>
    </row>
    <row r="492" spans="2:11" x14ac:dyDescent="0.2">
      <c r="B492" s="38"/>
      <c r="C492" s="40" t="s">
        <v>312</v>
      </c>
      <c r="D492" s="40"/>
      <c r="E492" s="40"/>
      <c r="F492" s="40"/>
      <c r="G492" s="40"/>
      <c r="H492" s="40"/>
      <c r="I492" s="40"/>
      <c r="J492" s="270">
        <v>100</v>
      </c>
      <c r="K492" s="41"/>
    </row>
    <row r="493" spans="2:11" x14ac:dyDescent="0.2">
      <c r="B493" s="38"/>
      <c r="C493" s="40" t="s">
        <v>260</v>
      </c>
      <c r="D493" s="40"/>
      <c r="E493" s="40"/>
      <c r="F493" s="40"/>
      <c r="G493" s="40"/>
      <c r="H493" s="40"/>
      <c r="I493" s="40"/>
      <c r="J493" s="248">
        <f>IF(J492&lt;=0,0,IF(J492&lt;=1,1,IF(J492&lt;=5,2,IF(J492&lt;=10,3,4))))</f>
        <v>4</v>
      </c>
      <c r="K493" s="41"/>
    </row>
    <row r="494" spans="2:11" ht="9.75" customHeight="1" x14ac:dyDescent="0.2">
      <c r="B494" s="38"/>
      <c r="C494" s="279" t="str">
        <f>"0:"</f>
        <v>0:</v>
      </c>
      <c r="D494" s="290" t="s">
        <v>955</v>
      </c>
      <c r="E494" s="40"/>
      <c r="F494" s="40"/>
      <c r="G494" s="40"/>
      <c r="H494" s="40"/>
      <c r="I494" s="40"/>
      <c r="J494" s="245"/>
      <c r="K494" s="41"/>
    </row>
    <row r="495" spans="2:11" ht="9.75" customHeight="1" x14ac:dyDescent="0.2">
      <c r="B495" s="38"/>
      <c r="C495" s="280" t="str">
        <f>"1:"</f>
        <v>1:</v>
      </c>
      <c r="D495" s="290" t="s">
        <v>956</v>
      </c>
      <c r="E495" s="40"/>
      <c r="F495" s="40"/>
      <c r="G495" s="40"/>
      <c r="H495" s="40"/>
      <c r="I495" s="40"/>
      <c r="J495" s="245"/>
      <c r="K495" s="41"/>
    </row>
    <row r="496" spans="2:11" ht="9.75" customHeight="1" x14ac:dyDescent="0.2">
      <c r="B496" s="38"/>
      <c r="C496" s="280" t="str">
        <f>"2:"</f>
        <v>2:</v>
      </c>
      <c r="D496" s="290" t="s">
        <v>957</v>
      </c>
      <c r="E496" s="40"/>
      <c r="F496" s="40"/>
      <c r="G496" s="40"/>
      <c r="H496" s="40"/>
      <c r="I496" s="40"/>
      <c r="J496" s="245"/>
      <c r="K496" s="41"/>
    </row>
    <row r="497" spans="2:11" ht="9.75" customHeight="1" x14ac:dyDescent="0.2">
      <c r="B497" s="38"/>
      <c r="C497" s="280" t="str">
        <f>"3:"</f>
        <v>3:</v>
      </c>
      <c r="D497" s="290" t="s">
        <v>958</v>
      </c>
      <c r="E497" s="40"/>
      <c r="F497" s="40"/>
      <c r="G497" s="40"/>
      <c r="H497" s="40"/>
      <c r="I497" s="40"/>
      <c r="J497" s="245"/>
      <c r="K497" s="41"/>
    </row>
    <row r="498" spans="2:11" ht="9.75" customHeight="1" x14ac:dyDescent="0.2">
      <c r="B498" s="38"/>
      <c r="C498" s="280" t="str">
        <f>"4:"</f>
        <v>4:</v>
      </c>
      <c r="D498" s="290" t="s">
        <v>959</v>
      </c>
      <c r="E498" s="40"/>
      <c r="F498" s="40"/>
      <c r="G498" s="40"/>
      <c r="H498" s="40"/>
      <c r="I498" s="40"/>
      <c r="J498" s="247"/>
      <c r="K498" s="41"/>
    </row>
    <row r="499" spans="2:11" x14ac:dyDescent="0.2">
      <c r="B499" s="38"/>
      <c r="C499" s="40" t="s">
        <v>313</v>
      </c>
      <c r="D499" s="40"/>
      <c r="E499" s="40"/>
      <c r="F499" s="40"/>
      <c r="G499" s="40"/>
      <c r="H499" s="40"/>
      <c r="I499" s="40"/>
      <c r="J499" s="266" t="s">
        <v>872</v>
      </c>
      <c r="K499" s="41"/>
    </row>
    <row r="500" spans="2:11" x14ac:dyDescent="0.2">
      <c r="B500" s="38"/>
      <c r="C500" s="40" t="s">
        <v>261</v>
      </c>
      <c r="D500" s="40"/>
      <c r="E500" s="40"/>
      <c r="F500" s="40"/>
      <c r="G500" s="40"/>
      <c r="H500" s="40"/>
      <c r="I500" s="40"/>
      <c r="J500" s="245">
        <f>IF(J499=$B$973,$A$973,IF(J499=$B$974,$A$974,IF(J499=$B$975,$A$975,IF(J499=$B$976,$A$976,IF(J499=$B$977,$A$977,"Not Calculated")))))</f>
        <v>2</v>
      </c>
      <c r="K500" s="41"/>
    </row>
    <row r="501" spans="2:11" x14ac:dyDescent="0.2">
      <c r="B501" s="38"/>
      <c r="C501" s="40" t="s">
        <v>893</v>
      </c>
      <c r="D501" s="40"/>
      <c r="E501" s="40"/>
      <c r="F501" s="40"/>
      <c r="G501" s="40"/>
      <c r="H501" s="40"/>
      <c r="I501" s="40"/>
      <c r="J501" s="40"/>
      <c r="K501" s="41"/>
    </row>
    <row r="502" spans="2:11" ht="30" customHeight="1" x14ac:dyDescent="0.2">
      <c r="B502" s="38"/>
      <c r="C502" s="399"/>
      <c r="D502" s="400"/>
      <c r="E502" s="400"/>
      <c r="F502" s="400"/>
      <c r="G502" s="400"/>
      <c r="H502" s="400"/>
      <c r="I502" s="400"/>
      <c r="J502" s="401"/>
      <c r="K502" s="41"/>
    </row>
    <row r="503" spans="2:11" x14ac:dyDescent="0.2">
      <c r="B503" s="38"/>
      <c r="C503" s="40"/>
      <c r="D503" s="40"/>
      <c r="E503" s="40"/>
      <c r="F503" s="40"/>
      <c r="G503" s="40"/>
      <c r="H503" s="40"/>
      <c r="I503" s="40"/>
      <c r="J503" s="40"/>
      <c r="K503" s="41"/>
    </row>
    <row r="504" spans="2:11" x14ac:dyDescent="0.2">
      <c r="B504" s="38"/>
      <c r="C504" s="179" t="s">
        <v>321</v>
      </c>
      <c r="D504" s="40"/>
      <c r="E504" s="40"/>
      <c r="F504" s="40"/>
      <c r="G504" s="40"/>
      <c r="H504" s="40"/>
      <c r="I504" s="40"/>
      <c r="J504" s="245">
        <f>IF(OR(J493="Not Calculated",J500="Not Calculated")=TRUE,"Not Calculated",AVERAGE(J493,J500))</f>
        <v>3</v>
      </c>
      <c r="K504" s="41"/>
    </row>
    <row r="505" spans="2:11" x14ac:dyDescent="0.2">
      <c r="B505" s="38"/>
      <c r="C505" s="40"/>
      <c r="D505" s="40"/>
      <c r="E505" s="40"/>
      <c r="F505" s="40"/>
      <c r="G505" s="40"/>
      <c r="H505" s="40"/>
      <c r="I505" s="40"/>
      <c r="J505" s="40"/>
      <c r="K505" s="41"/>
    </row>
    <row r="506" spans="2:11" x14ac:dyDescent="0.2">
      <c r="B506" s="38"/>
      <c r="C506" s="40"/>
      <c r="D506" s="40"/>
      <c r="E506" s="40"/>
      <c r="F506" s="40"/>
      <c r="G506" s="40"/>
      <c r="H506" s="40"/>
      <c r="I506" s="40"/>
      <c r="J506" s="40"/>
      <c r="K506" s="41"/>
    </row>
    <row r="507" spans="2:11" ht="16" x14ac:dyDescent="0.2">
      <c r="B507" s="38"/>
      <c r="C507" s="45" t="s">
        <v>314</v>
      </c>
      <c r="D507" s="40"/>
      <c r="E507" s="40"/>
      <c r="F507" s="40"/>
      <c r="G507" s="40"/>
      <c r="H507" s="40"/>
      <c r="I507" s="40"/>
      <c r="J507" s="40"/>
      <c r="K507" s="41"/>
    </row>
    <row r="508" spans="2:11" x14ac:dyDescent="0.2">
      <c r="B508" s="38"/>
      <c r="C508" s="40" t="s">
        <v>316</v>
      </c>
      <c r="D508" s="40"/>
      <c r="E508" s="40"/>
      <c r="F508" s="40"/>
      <c r="G508" s="40"/>
      <c r="H508" s="40"/>
      <c r="I508" s="40"/>
      <c r="J508" s="269">
        <v>0</v>
      </c>
      <c r="K508" s="41"/>
    </row>
    <row r="509" spans="2:11" x14ac:dyDescent="0.2">
      <c r="B509" s="38"/>
      <c r="C509" s="40" t="s">
        <v>260</v>
      </c>
      <c r="D509" s="40"/>
      <c r="E509" s="40"/>
      <c r="F509" s="40"/>
      <c r="G509" s="40"/>
      <c r="H509" s="40"/>
      <c r="I509" s="40"/>
      <c r="J509" s="248">
        <f>IF(J508&lt;=0,0,IF(J508&lt;=1000,1,IF(J508&lt;=5000,2,IF(J508&lt;=25000,3,4))))</f>
        <v>0</v>
      </c>
      <c r="K509" s="41"/>
    </row>
    <row r="510" spans="2:11" s="51" customFormat="1" ht="9.75" customHeight="1" x14ac:dyDescent="0.2">
      <c r="B510" s="283"/>
      <c r="C510" s="279" t="str">
        <f>"0:"</f>
        <v>0:</v>
      </c>
      <c r="D510" s="284" t="s">
        <v>960</v>
      </c>
      <c r="E510" s="285"/>
      <c r="F510" s="285"/>
      <c r="G510" s="285"/>
      <c r="H510" s="285"/>
      <c r="I510" s="285"/>
      <c r="J510" s="43"/>
      <c r="K510" s="286"/>
    </row>
    <row r="511" spans="2:11" s="51" customFormat="1" ht="9.75" customHeight="1" x14ac:dyDescent="0.2">
      <c r="B511" s="283"/>
      <c r="C511" s="280" t="str">
        <f>"1:"</f>
        <v>1:</v>
      </c>
      <c r="D511" s="284" t="s">
        <v>961</v>
      </c>
      <c r="E511" s="285"/>
      <c r="F511" s="285"/>
      <c r="G511" s="285"/>
      <c r="H511" s="285"/>
      <c r="I511" s="285"/>
      <c r="J511" s="43"/>
      <c r="K511" s="286"/>
    </row>
    <row r="512" spans="2:11" s="51" customFormat="1" ht="9.75" customHeight="1" x14ac:dyDescent="0.2">
      <c r="B512" s="283"/>
      <c r="C512" s="280" t="str">
        <f>"2:"</f>
        <v>2:</v>
      </c>
      <c r="D512" s="284" t="s">
        <v>962</v>
      </c>
      <c r="E512" s="285"/>
      <c r="F512" s="285"/>
      <c r="G512" s="285"/>
      <c r="H512" s="285"/>
      <c r="I512" s="285"/>
      <c r="J512" s="43"/>
      <c r="K512" s="286"/>
    </row>
    <row r="513" spans="2:11" s="51" customFormat="1" ht="9.75" customHeight="1" x14ac:dyDescent="0.2">
      <c r="B513" s="283"/>
      <c r="C513" s="280" t="str">
        <f>"3:"</f>
        <v>3:</v>
      </c>
      <c r="D513" s="284" t="s">
        <v>963</v>
      </c>
      <c r="E513" s="285"/>
      <c r="F513" s="285"/>
      <c r="G513" s="285"/>
      <c r="H513" s="285"/>
      <c r="I513" s="285"/>
      <c r="J513" s="43"/>
      <c r="K513" s="286"/>
    </row>
    <row r="514" spans="2:11" s="51" customFormat="1" ht="9.75" customHeight="1" x14ac:dyDescent="0.2">
      <c r="B514" s="283"/>
      <c r="C514" s="280" t="str">
        <f>"4:"</f>
        <v>4:</v>
      </c>
      <c r="D514" s="284" t="s">
        <v>964</v>
      </c>
      <c r="E514" s="285"/>
      <c r="F514" s="285"/>
      <c r="G514" s="285"/>
      <c r="H514" s="285"/>
      <c r="I514" s="285"/>
      <c r="J514" s="287"/>
      <c r="K514" s="286"/>
    </row>
    <row r="515" spans="2:11" x14ac:dyDescent="0.2">
      <c r="B515" s="38"/>
      <c r="C515" s="40" t="s">
        <v>315</v>
      </c>
      <c r="D515" s="40"/>
      <c r="E515" s="40"/>
      <c r="F515" s="40"/>
      <c r="G515" s="40"/>
      <c r="H515" s="40"/>
      <c r="I515" s="40"/>
      <c r="J515" s="266" t="s">
        <v>870</v>
      </c>
      <c r="K515" s="41"/>
    </row>
    <row r="516" spans="2:11" x14ac:dyDescent="0.2">
      <c r="B516" s="38"/>
      <c r="C516" s="40" t="s">
        <v>261</v>
      </c>
      <c r="D516" s="40"/>
      <c r="E516" s="40"/>
      <c r="F516" s="40"/>
      <c r="G516" s="40"/>
      <c r="H516" s="40"/>
      <c r="I516" s="40"/>
      <c r="J516" s="245">
        <f>IF(J515=$B$973,$A$973,IF(J515=$B$974,$A$974,IF(J515=$B$975,$A$975,IF(J515=$B$976,$A$976,IF(J515=$B$977,$A$977,"Not Calculated")))))</f>
        <v>0</v>
      </c>
      <c r="K516" s="41"/>
    </row>
    <row r="517" spans="2:11" x14ac:dyDescent="0.2">
      <c r="B517" s="38"/>
      <c r="C517" s="40" t="s">
        <v>893</v>
      </c>
      <c r="D517" s="40"/>
      <c r="E517" s="40"/>
      <c r="F517" s="40"/>
      <c r="G517" s="40"/>
      <c r="H517" s="40"/>
      <c r="I517" s="40"/>
      <c r="J517" s="40"/>
      <c r="K517" s="41"/>
    </row>
    <row r="518" spans="2:11" ht="30" customHeight="1" x14ac:dyDescent="0.2">
      <c r="B518" s="38"/>
      <c r="C518" s="399"/>
      <c r="D518" s="400"/>
      <c r="E518" s="400"/>
      <c r="F518" s="400"/>
      <c r="G518" s="400"/>
      <c r="H518" s="400"/>
      <c r="I518" s="400"/>
      <c r="J518" s="401"/>
      <c r="K518" s="41"/>
    </row>
    <row r="519" spans="2:11" x14ac:dyDescent="0.2">
      <c r="B519" s="38"/>
      <c r="C519" s="40"/>
      <c r="D519" s="40"/>
      <c r="E519" s="40"/>
      <c r="F519" s="40"/>
      <c r="G519" s="40"/>
      <c r="H519" s="40"/>
      <c r="I519" s="40"/>
      <c r="J519" s="40"/>
      <c r="K519" s="41"/>
    </row>
    <row r="520" spans="2:11" x14ac:dyDescent="0.2">
      <c r="B520" s="38"/>
      <c r="C520" s="179" t="s">
        <v>320</v>
      </c>
      <c r="D520" s="40"/>
      <c r="E520" s="40"/>
      <c r="F520" s="40"/>
      <c r="G520" s="40"/>
      <c r="H520" s="40"/>
      <c r="I520" s="40"/>
      <c r="J520" s="245">
        <f>IF(OR(J509="Not Calculated",J516="Not Calculated")=TRUE,"Not Calculated",AVERAGE(J509,J516))</f>
        <v>0</v>
      </c>
      <c r="K520" s="41"/>
    </row>
    <row r="521" spans="2:11" x14ac:dyDescent="0.2">
      <c r="B521" s="38"/>
      <c r="C521" s="40"/>
      <c r="D521" s="40"/>
      <c r="E521" s="40"/>
      <c r="F521" s="40"/>
      <c r="G521" s="40"/>
      <c r="H521" s="40"/>
      <c r="I521" s="40"/>
      <c r="J521" s="40"/>
      <c r="K521" s="41"/>
    </row>
    <row r="522" spans="2:11" x14ac:dyDescent="0.2">
      <c r="B522" s="38"/>
      <c r="C522" s="40"/>
      <c r="D522" s="40"/>
      <c r="E522" s="40"/>
      <c r="F522" s="40"/>
      <c r="G522" s="40"/>
      <c r="H522" s="40"/>
      <c r="I522" s="40"/>
      <c r="J522" s="40"/>
      <c r="K522" s="41"/>
    </row>
    <row r="523" spans="2:11" ht="16" x14ac:dyDescent="0.2">
      <c r="B523" s="38"/>
      <c r="C523" s="45" t="s">
        <v>317</v>
      </c>
      <c r="D523" s="40"/>
      <c r="E523" s="40"/>
      <c r="F523" s="40"/>
      <c r="G523" s="40"/>
      <c r="H523" s="40"/>
      <c r="I523" s="40"/>
      <c r="J523" s="40"/>
      <c r="K523" s="41"/>
    </row>
    <row r="524" spans="2:11" ht="15" customHeight="1" x14ac:dyDescent="0.2">
      <c r="B524" s="38"/>
      <c r="C524" s="380" t="s">
        <v>318</v>
      </c>
      <c r="D524" s="380"/>
      <c r="E524" s="380"/>
      <c r="F524" s="380"/>
      <c r="G524" s="380"/>
      <c r="H524" s="380"/>
      <c r="I524" s="380"/>
      <c r="J524" s="40"/>
      <c r="K524" s="41"/>
    </row>
    <row r="525" spans="2:11" x14ac:dyDescent="0.2">
      <c r="B525" s="38"/>
      <c r="C525" s="380"/>
      <c r="D525" s="380"/>
      <c r="E525" s="380"/>
      <c r="F525" s="380"/>
      <c r="G525" s="380"/>
      <c r="H525" s="380"/>
      <c r="I525" s="380"/>
      <c r="J525" s="274">
        <v>1</v>
      </c>
      <c r="K525" s="41"/>
    </row>
    <row r="526" spans="2:11" x14ac:dyDescent="0.2">
      <c r="B526" s="38"/>
      <c r="C526" s="40" t="s">
        <v>260</v>
      </c>
      <c r="D526" s="40"/>
      <c r="E526" s="40"/>
      <c r="F526" s="40"/>
      <c r="G526" s="40"/>
      <c r="H526" s="40"/>
      <c r="I526" s="40"/>
      <c r="J526" s="248">
        <f>IF(J525&lt;=0,0,IF(J525&lt;=1,1,IF(J525&lt;=5,2,IF(J525&lt;=10,3,4))))</f>
        <v>1</v>
      </c>
      <c r="K526" s="41"/>
    </row>
    <row r="527" spans="2:11" s="51" customFormat="1" ht="9.75" customHeight="1" x14ac:dyDescent="0.2">
      <c r="B527" s="283"/>
      <c r="C527" s="279" t="str">
        <f>"0:"</f>
        <v>0:</v>
      </c>
      <c r="D527" s="284" t="s">
        <v>965</v>
      </c>
      <c r="E527" s="285"/>
      <c r="F527" s="285"/>
      <c r="G527" s="285"/>
      <c r="H527" s="285"/>
      <c r="I527" s="285"/>
      <c r="J527" s="43"/>
      <c r="K527" s="286"/>
    </row>
    <row r="528" spans="2:11" s="51" customFormat="1" ht="9.75" customHeight="1" x14ac:dyDescent="0.2">
      <c r="B528" s="283"/>
      <c r="C528" s="280" t="str">
        <f>"1:"</f>
        <v>1:</v>
      </c>
      <c r="D528" s="284" t="s">
        <v>966</v>
      </c>
      <c r="E528" s="285"/>
      <c r="F528" s="285"/>
      <c r="G528" s="285"/>
      <c r="H528" s="285"/>
      <c r="I528" s="285"/>
      <c r="J528" s="43"/>
      <c r="K528" s="286"/>
    </row>
    <row r="529" spans="2:11" s="51" customFormat="1" ht="9.75" customHeight="1" x14ac:dyDescent="0.2">
      <c r="B529" s="283"/>
      <c r="C529" s="280" t="str">
        <f>"2:"</f>
        <v>2:</v>
      </c>
      <c r="D529" s="284" t="s">
        <v>967</v>
      </c>
      <c r="E529" s="285"/>
      <c r="F529" s="285"/>
      <c r="G529" s="285"/>
      <c r="H529" s="285"/>
      <c r="I529" s="285"/>
      <c r="J529" s="43"/>
      <c r="K529" s="286"/>
    </row>
    <row r="530" spans="2:11" s="51" customFormat="1" ht="9.75" customHeight="1" x14ac:dyDescent="0.2">
      <c r="B530" s="283"/>
      <c r="C530" s="280" t="str">
        <f>"3:"</f>
        <v>3:</v>
      </c>
      <c r="D530" s="284" t="s">
        <v>968</v>
      </c>
      <c r="E530" s="285"/>
      <c r="F530" s="285"/>
      <c r="G530" s="285"/>
      <c r="H530" s="285"/>
      <c r="I530" s="285"/>
      <c r="J530" s="43"/>
      <c r="K530" s="286"/>
    </row>
    <row r="531" spans="2:11" s="51" customFormat="1" ht="9.75" customHeight="1" x14ac:dyDescent="0.2">
      <c r="B531" s="283"/>
      <c r="C531" s="280" t="str">
        <f>"4:"</f>
        <v>4:</v>
      </c>
      <c r="D531" s="284" t="s">
        <v>969</v>
      </c>
      <c r="E531" s="285"/>
      <c r="F531" s="285"/>
      <c r="G531" s="285"/>
      <c r="H531" s="285"/>
      <c r="I531" s="285"/>
      <c r="J531" s="287"/>
      <c r="K531" s="286"/>
    </row>
    <row r="532" spans="2:11" x14ac:dyDescent="0.2">
      <c r="B532" s="38"/>
      <c r="C532" s="40" t="s">
        <v>257</v>
      </c>
      <c r="D532" s="40"/>
      <c r="E532" s="40"/>
      <c r="F532" s="40"/>
      <c r="G532" s="40"/>
      <c r="H532" s="40"/>
      <c r="I532" s="40"/>
      <c r="J532" s="266" t="s">
        <v>872</v>
      </c>
      <c r="K532" s="41"/>
    </row>
    <row r="533" spans="2:11" x14ac:dyDescent="0.2">
      <c r="B533" s="38"/>
      <c r="C533" s="40" t="s">
        <v>261</v>
      </c>
      <c r="D533" s="40"/>
      <c r="E533" s="40"/>
      <c r="F533" s="40"/>
      <c r="G533" s="40"/>
      <c r="H533" s="40"/>
      <c r="I533" s="40"/>
      <c r="J533" s="245">
        <f>IF(J532=$B$973,$A$973,IF(J532=$B$974,$A$974,IF(J532=$B$975,$A$975,IF(J532=$B$976,$A$976,IF(J532=$B$977,$A$977,"Not Calculated")))))</f>
        <v>2</v>
      </c>
      <c r="K533" s="41"/>
    </row>
    <row r="534" spans="2:11" x14ac:dyDescent="0.2">
      <c r="B534" s="38"/>
      <c r="C534" s="40" t="s">
        <v>893</v>
      </c>
      <c r="D534" s="40"/>
      <c r="E534" s="40"/>
      <c r="F534" s="40"/>
      <c r="G534" s="40"/>
      <c r="H534" s="40"/>
      <c r="I534" s="40"/>
      <c r="J534" s="40"/>
      <c r="K534" s="41"/>
    </row>
    <row r="535" spans="2:11" ht="45" customHeight="1" x14ac:dyDescent="0.2">
      <c r="B535" s="38"/>
      <c r="C535" s="399" t="s">
        <v>578</v>
      </c>
      <c r="D535" s="400"/>
      <c r="E535" s="400"/>
      <c r="F535" s="400"/>
      <c r="G535" s="400"/>
      <c r="H535" s="400"/>
      <c r="I535" s="400"/>
      <c r="J535" s="401"/>
      <c r="K535" s="41"/>
    </row>
    <row r="536" spans="2:11" x14ac:dyDescent="0.2">
      <c r="B536" s="38"/>
      <c r="C536" s="40"/>
      <c r="D536" s="40"/>
      <c r="E536" s="40"/>
      <c r="F536" s="40"/>
      <c r="G536" s="40"/>
      <c r="H536" s="40"/>
      <c r="I536" s="40"/>
      <c r="J536" s="40"/>
      <c r="K536" s="41"/>
    </row>
    <row r="537" spans="2:11" x14ac:dyDescent="0.2">
      <c r="B537" s="38"/>
      <c r="C537" s="179" t="s">
        <v>319</v>
      </c>
      <c r="D537" s="40"/>
      <c r="E537" s="40"/>
      <c r="F537" s="40"/>
      <c r="G537" s="40"/>
      <c r="H537" s="40"/>
      <c r="I537" s="40"/>
      <c r="J537" s="245">
        <f>IF(OR(J526="Not Calculated",J533="Not Calculated")=TRUE,"Not Calculated",AVERAGE(J526,J533))</f>
        <v>1.5</v>
      </c>
      <c r="K537" s="41"/>
    </row>
    <row r="538" spans="2:11" x14ac:dyDescent="0.2">
      <c r="B538" s="38"/>
      <c r="C538" s="40"/>
      <c r="D538" s="40"/>
      <c r="E538" s="40"/>
      <c r="F538" s="40"/>
      <c r="G538" s="40"/>
      <c r="H538" s="40"/>
      <c r="I538" s="40"/>
      <c r="J538" s="40"/>
      <c r="K538" s="41"/>
    </row>
    <row r="539" spans="2:11" ht="18" x14ac:dyDescent="0.2">
      <c r="B539" s="38"/>
      <c r="C539" s="180" t="s">
        <v>302</v>
      </c>
      <c r="D539" s="40"/>
      <c r="E539" s="40"/>
      <c r="F539" s="40"/>
      <c r="G539" s="40"/>
      <c r="H539" s="40"/>
      <c r="I539" s="40"/>
      <c r="J539" s="244">
        <f>IF(OR(J440="Not Calculated",J457="Not Calculated",J473="Not Calculated",J488="Not Calculated",J504="Not Calculated",J520="Not Calculated",J537="Not Calculated")=TRUE,"Not Calculated",AVERAGE(J440,J457,J473,J488,J504,J520,J537))</f>
        <v>1.9285714285714286</v>
      </c>
      <c r="K539" s="41"/>
    </row>
    <row r="540" spans="2:11" ht="16" thickBot="1" x14ac:dyDescent="0.25">
      <c r="B540" s="46"/>
      <c r="C540" s="47"/>
      <c r="D540" s="47"/>
      <c r="E540" s="47"/>
      <c r="F540" s="47"/>
      <c r="G540" s="47"/>
      <c r="H540" s="47"/>
      <c r="I540" s="47"/>
      <c r="J540" s="47"/>
      <c r="K540" s="49"/>
    </row>
    <row r="541" spans="2:11" ht="16" thickBot="1" x14ac:dyDescent="0.25"/>
    <row r="542" spans="2:11" x14ac:dyDescent="0.2">
      <c r="B542" s="33"/>
      <c r="C542" s="34"/>
      <c r="D542" s="34"/>
      <c r="E542" s="34"/>
      <c r="F542" s="34"/>
      <c r="G542" s="34"/>
      <c r="H542" s="34"/>
      <c r="I542" s="34"/>
      <c r="J542" s="34"/>
      <c r="K542" s="37"/>
    </row>
    <row r="543" spans="2:11" ht="21" x14ac:dyDescent="0.25">
      <c r="B543" s="38"/>
      <c r="C543" s="40"/>
      <c r="D543" s="40"/>
      <c r="E543" s="40"/>
      <c r="F543" s="40"/>
      <c r="G543" s="172" t="s">
        <v>29</v>
      </c>
      <c r="H543" s="40"/>
      <c r="I543" s="40"/>
      <c r="J543" s="40"/>
      <c r="K543" s="41"/>
    </row>
    <row r="544" spans="2:11" ht="15" customHeight="1" x14ac:dyDescent="0.2">
      <c r="B544" s="38"/>
      <c r="C544" s="40"/>
      <c r="D544" s="40"/>
      <c r="E544" s="40"/>
      <c r="F544" s="40"/>
      <c r="G544" s="40"/>
      <c r="H544" s="40"/>
      <c r="I544" s="40"/>
      <c r="J544" s="40"/>
      <c r="K544" s="41"/>
    </row>
    <row r="545" spans="2:14" ht="16" x14ac:dyDescent="0.2">
      <c r="B545" s="38"/>
      <c r="C545" s="45" t="s">
        <v>88</v>
      </c>
      <c r="D545" s="40"/>
      <c r="E545" s="40"/>
      <c r="F545" s="40"/>
      <c r="G545" s="40"/>
      <c r="H545" s="40"/>
      <c r="I545" s="40"/>
      <c r="J545" s="40"/>
      <c r="K545" s="41"/>
    </row>
    <row r="546" spans="2:14" x14ac:dyDescent="0.2">
      <c r="B546" s="38"/>
      <c r="C546" s="40" t="s">
        <v>448</v>
      </c>
      <c r="D546" s="40"/>
      <c r="E546" s="40"/>
      <c r="F546" s="40"/>
      <c r="G546" s="40"/>
      <c r="H546" s="40"/>
      <c r="I546" s="40"/>
      <c r="J546" s="251">
        <f>'Baseline Health'!G123</f>
        <v>0</v>
      </c>
      <c r="K546" s="41"/>
    </row>
    <row r="547" spans="2:14" x14ac:dyDescent="0.2">
      <c r="B547" s="38"/>
      <c r="C547" s="40" t="s">
        <v>322</v>
      </c>
      <c r="D547" s="40"/>
      <c r="E547" s="40"/>
      <c r="F547" s="40"/>
      <c r="G547" s="40"/>
      <c r="H547" s="40"/>
      <c r="I547" s="40"/>
      <c r="J547" s="264">
        <f>J546*0.1</f>
        <v>0</v>
      </c>
      <c r="K547" s="41"/>
    </row>
    <row r="548" spans="2:14" x14ac:dyDescent="0.2">
      <c r="B548" s="38"/>
      <c r="C548" s="40" t="s">
        <v>428</v>
      </c>
      <c r="D548" s="40"/>
      <c r="E548" s="40"/>
      <c r="F548" s="40"/>
      <c r="G548" s="40"/>
      <c r="H548" s="40"/>
      <c r="I548" s="40"/>
      <c r="J548" s="264">
        <f>J546*0.5</f>
        <v>0</v>
      </c>
      <c r="K548" s="41"/>
    </row>
    <row r="549" spans="2:14" x14ac:dyDescent="0.2">
      <c r="B549" s="38"/>
      <c r="C549" s="40" t="s">
        <v>260</v>
      </c>
      <c r="D549" s="40"/>
      <c r="E549" s="40"/>
      <c r="F549" s="40"/>
      <c r="G549" s="40"/>
      <c r="H549" s="40"/>
      <c r="I549" s="40"/>
      <c r="J549" s="245" t="str">
        <f>IF(OR(J546=0,J546="Not Calculated")=TRUE,"Not Calculated",IF(J546-J547=0,4,(IF(((J546+J548)/(J546-J547))&lt;=1,0,IF(((J546+J548)/(J546-J547))&lt;=1.05,1,IF(((J546+J548)/(J546-J547))&lt;=1.5, 2,IF(((J546+J548)/(J546-J547))&lt;=2,3,4)))))))</f>
        <v>Not Calculated</v>
      </c>
      <c r="K549" s="41"/>
    </row>
    <row r="550" spans="2:14" ht="9.75" customHeight="1" x14ac:dyDescent="0.2">
      <c r="B550" s="38"/>
      <c r="C550" s="279" t="str">
        <f>"0:"</f>
        <v>0:</v>
      </c>
      <c r="D550" s="278" t="s">
        <v>918</v>
      </c>
      <c r="E550" s="40"/>
      <c r="F550" s="40"/>
      <c r="G550" s="40"/>
      <c r="H550" s="40"/>
      <c r="I550" s="40"/>
      <c r="J550" s="251"/>
      <c r="K550" s="41"/>
    </row>
    <row r="551" spans="2:14" ht="9.75" customHeight="1" x14ac:dyDescent="0.2">
      <c r="B551" s="38"/>
      <c r="C551" s="280" t="str">
        <f>"1:"</f>
        <v>1:</v>
      </c>
      <c r="D551" s="278" t="s">
        <v>923</v>
      </c>
      <c r="E551" s="40"/>
      <c r="F551" s="40"/>
      <c r="G551" s="40"/>
      <c r="H551" s="40"/>
      <c r="I551" s="40"/>
      <c r="J551" s="251"/>
      <c r="K551" s="41"/>
    </row>
    <row r="552" spans="2:14" ht="9.75" customHeight="1" x14ac:dyDescent="0.2">
      <c r="B552" s="38"/>
      <c r="C552" s="280" t="str">
        <f>"2:"</f>
        <v>2:</v>
      </c>
      <c r="D552" s="278" t="s">
        <v>924</v>
      </c>
      <c r="E552" s="40"/>
      <c r="F552" s="40"/>
      <c r="G552" s="40"/>
      <c r="H552" s="40"/>
      <c r="I552" s="40"/>
      <c r="J552" s="251"/>
      <c r="K552" s="41"/>
    </row>
    <row r="553" spans="2:14" ht="9.75" customHeight="1" x14ac:dyDescent="0.2">
      <c r="B553" s="38"/>
      <c r="C553" s="280" t="str">
        <f>"3:"</f>
        <v>3:</v>
      </c>
      <c r="D553" s="278" t="s">
        <v>925</v>
      </c>
      <c r="E553" s="40"/>
      <c r="F553" s="40"/>
      <c r="G553" s="40"/>
      <c r="H553" s="40"/>
      <c r="I553" s="40"/>
      <c r="J553" s="251"/>
      <c r="K553" s="41"/>
    </row>
    <row r="554" spans="2:14" ht="9.75" customHeight="1" x14ac:dyDescent="0.2">
      <c r="B554" s="38"/>
      <c r="C554" s="280" t="str">
        <f>"4:"</f>
        <v>4:</v>
      </c>
      <c r="D554" s="278" t="s">
        <v>926</v>
      </c>
      <c r="E554" s="40"/>
      <c r="F554" s="40"/>
      <c r="G554" s="40"/>
      <c r="H554" s="40"/>
      <c r="I554" s="40"/>
      <c r="J554" s="40"/>
      <c r="K554" s="41"/>
      <c r="N554" s="12" t="s">
        <v>661</v>
      </c>
    </row>
    <row r="555" spans="2:14" x14ac:dyDescent="0.2">
      <c r="B555" s="38"/>
      <c r="C555" s="174" t="s">
        <v>662</v>
      </c>
      <c r="D555" s="40"/>
      <c r="E555" s="40"/>
      <c r="F555" s="40"/>
      <c r="G555" s="40"/>
      <c r="H555" s="40"/>
      <c r="I555" s="40"/>
      <c r="J555" s="265" t="s">
        <v>661</v>
      </c>
      <c r="K555" s="41"/>
      <c r="N555" s="12" t="s">
        <v>894</v>
      </c>
    </row>
    <row r="556" spans="2:14" x14ac:dyDescent="0.2">
      <c r="B556" s="38"/>
      <c r="C556" s="174" t="s">
        <v>660</v>
      </c>
      <c r="D556" s="40"/>
      <c r="E556" s="40"/>
      <c r="F556" s="40"/>
      <c r="G556" s="40"/>
      <c r="H556" s="40"/>
      <c r="I556" s="40"/>
      <c r="J556" s="247" t="str">
        <f>IF(J555=N554,"N/A",IF(J555=N555,0,IF(J555=N556,1,IF(J555=N557,2,IF(J555=N558,3,IF(J555=N559,4,"N/A"))))))</f>
        <v>N/A</v>
      </c>
      <c r="K556" s="41"/>
      <c r="N556" s="12" t="s">
        <v>899</v>
      </c>
    </row>
    <row r="557" spans="2:14" x14ac:dyDescent="0.2">
      <c r="B557" s="38"/>
      <c r="C557" s="40" t="s">
        <v>257</v>
      </c>
      <c r="D557" s="40"/>
      <c r="E557" s="40"/>
      <c r="F557" s="40"/>
      <c r="G557" s="40"/>
      <c r="H557" s="40"/>
      <c r="I557" s="40"/>
      <c r="J557" s="266" t="s">
        <v>872</v>
      </c>
      <c r="K557" s="41"/>
      <c r="N557" s="12" t="s">
        <v>900</v>
      </c>
    </row>
    <row r="558" spans="2:14" x14ac:dyDescent="0.2">
      <c r="B558" s="38"/>
      <c r="C558" s="40" t="s">
        <v>261</v>
      </c>
      <c r="D558" s="40"/>
      <c r="E558" s="40"/>
      <c r="F558" s="40"/>
      <c r="G558" s="40"/>
      <c r="H558" s="40"/>
      <c r="I558" s="40"/>
      <c r="J558" s="245">
        <f>IF(J557=$B$973,$A$973,IF(J557=$B$974,$A$974,IF(J557=$B$975,$A$975,IF(J557=$B$976,$A$976,IF(J557=$B$977,$A$977,"Not Calculated")))))</f>
        <v>2</v>
      </c>
      <c r="K558" s="41"/>
      <c r="N558" s="12" t="s">
        <v>901</v>
      </c>
    </row>
    <row r="559" spans="2:14" x14ac:dyDescent="0.2">
      <c r="B559" s="38"/>
      <c r="C559" s="40" t="s">
        <v>893</v>
      </c>
      <c r="D559" s="40"/>
      <c r="E559" s="40"/>
      <c r="F559" s="40"/>
      <c r="G559" s="40"/>
      <c r="H559" s="40"/>
      <c r="I559" s="40"/>
      <c r="J559" s="40"/>
      <c r="K559" s="41"/>
      <c r="N559" s="12" t="s">
        <v>902</v>
      </c>
    </row>
    <row r="560" spans="2:14" ht="75" customHeight="1" x14ac:dyDescent="0.2">
      <c r="B560" s="38"/>
      <c r="C560" s="399" t="s">
        <v>579</v>
      </c>
      <c r="D560" s="400"/>
      <c r="E560" s="400"/>
      <c r="F560" s="400"/>
      <c r="G560" s="400"/>
      <c r="H560" s="400"/>
      <c r="I560" s="400"/>
      <c r="J560" s="401"/>
      <c r="K560" s="41"/>
    </row>
    <row r="561" spans="2:11" x14ac:dyDescent="0.2">
      <c r="B561" s="38"/>
      <c r="C561" s="40"/>
      <c r="D561" s="40"/>
      <c r="E561" s="40"/>
      <c r="F561" s="40"/>
      <c r="G561" s="40"/>
      <c r="H561" s="40"/>
      <c r="I561" s="40"/>
      <c r="J561" s="40"/>
      <c r="K561" s="41"/>
    </row>
    <row r="562" spans="2:11" x14ac:dyDescent="0.2">
      <c r="B562" s="38"/>
      <c r="C562" s="179" t="s">
        <v>323</v>
      </c>
      <c r="D562" s="40"/>
      <c r="E562" s="40"/>
      <c r="F562" s="40"/>
      <c r="G562" s="40"/>
      <c r="H562" s="40"/>
      <c r="I562" s="40"/>
      <c r="J562" s="245" t="str">
        <f>IF(J556="N/A",IF(OR(J549="Not Calculated",J558="Not Calculated")=TRUE,"Not Calculated",AVERAGE(J549,J558)),AVERAGE(J556,J558))</f>
        <v>Not Calculated</v>
      </c>
      <c r="K562" s="41"/>
    </row>
    <row r="563" spans="2:11" x14ac:dyDescent="0.2">
      <c r="B563" s="38"/>
      <c r="C563" s="40"/>
      <c r="D563" s="40"/>
      <c r="E563" s="40"/>
      <c r="F563" s="40"/>
      <c r="G563" s="40"/>
      <c r="H563" s="40"/>
      <c r="I563" s="40"/>
      <c r="J563" s="40"/>
      <c r="K563" s="41"/>
    </row>
    <row r="564" spans="2:11" x14ac:dyDescent="0.2">
      <c r="B564" s="38"/>
      <c r="C564" s="40"/>
      <c r="D564" s="40"/>
      <c r="E564" s="40"/>
      <c r="F564" s="40"/>
      <c r="G564" s="40"/>
      <c r="H564" s="40"/>
      <c r="I564" s="40"/>
      <c r="J564" s="40"/>
      <c r="K564" s="41"/>
    </row>
    <row r="565" spans="2:11" ht="16" x14ac:dyDescent="0.2">
      <c r="B565" s="38"/>
      <c r="C565" s="45" t="s">
        <v>89</v>
      </c>
      <c r="D565" s="40"/>
      <c r="E565" s="40"/>
      <c r="F565" s="40"/>
      <c r="G565" s="40"/>
      <c r="H565" s="40"/>
      <c r="I565" s="40"/>
      <c r="J565" s="40"/>
      <c r="K565" s="41"/>
    </row>
    <row r="566" spans="2:11" ht="15" customHeight="1" x14ac:dyDescent="0.2">
      <c r="B566" s="38"/>
      <c r="C566" s="380" t="s">
        <v>333</v>
      </c>
      <c r="D566" s="380"/>
      <c r="E566" s="380"/>
      <c r="F566" s="380"/>
      <c r="G566" s="380"/>
      <c r="H566" s="380"/>
      <c r="I566" s="380"/>
      <c r="J566" s="40"/>
      <c r="K566" s="41"/>
    </row>
    <row r="567" spans="2:11" x14ac:dyDescent="0.2">
      <c r="B567" s="38"/>
      <c r="C567" s="380"/>
      <c r="D567" s="380"/>
      <c r="E567" s="380"/>
      <c r="F567" s="380"/>
      <c r="G567" s="380"/>
      <c r="H567" s="380"/>
      <c r="I567" s="380"/>
      <c r="J567" s="40"/>
      <c r="K567" s="41"/>
    </row>
    <row r="568" spans="2:11" x14ac:dyDescent="0.2">
      <c r="B568" s="38"/>
      <c r="C568" s="380"/>
      <c r="D568" s="380"/>
      <c r="E568" s="380"/>
      <c r="F568" s="380"/>
      <c r="G568" s="380"/>
      <c r="H568" s="380"/>
      <c r="I568" s="380"/>
      <c r="J568" s="251">
        <f>'Baseline Health'!G132</f>
        <v>0</v>
      </c>
      <c r="K568" s="41"/>
    </row>
    <row r="569" spans="2:11" ht="15" customHeight="1" x14ac:dyDescent="0.2">
      <c r="B569" s="38"/>
      <c r="C569" s="380" t="s">
        <v>334</v>
      </c>
      <c r="D569" s="380"/>
      <c r="E569" s="380"/>
      <c r="F569" s="380"/>
      <c r="G569" s="380"/>
      <c r="H569" s="380"/>
      <c r="I569" s="380"/>
      <c r="J569" s="245"/>
      <c r="K569" s="41"/>
    </row>
    <row r="570" spans="2:11" x14ac:dyDescent="0.2">
      <c r="B570" s="38"/>
      <c r="C570" s="380"/>
      <c r="D570" s="380"/>
      <c r="E570" s="380"/>
      <c r="F570" s="380"/>
      <c r="G570" s="380"/>
      <c r="H570" s="380"/>
      <c r="I570" s="380"/>
      <c r="J570" s="245"/>
      <c r="K570" s="41"/>
    </row>
    <row r="571" spans="2:11" x14ac:dyDescent="0.2">
      <c r="B571" s="38"/>
      <c r="C571" s="380"/>
      <c r="D571" s="380"/>
      <c r="E571" s="380"/>
      <c r="F571" s="380"/>
      <c r="G571" s="380"/>
      <c r="H571" s="380"/>
      <c r="I571" s="380"/>
      <c r="J571" s="264">
        <f>J568</f>
        <v>0</v>
      </c>
      <c r="K571" s="41"/>
    </row>
    <row r="572" spans="2:11" x14ac:dyDescent="0.2">
      <c r="B572" s="38"/>
      <c r="C572" s="40" t="s">
        <v>260</v>
      </c>
      <c r="D572" s="40"/>
      <c r="E572" s="40"/>
      <c r="F572" s="40"/>
      <c r="G572" s="40"/>
      <c r="H572" s="40"/>
      <c r="I572" s="40"/>
      <c r="J572" s="245" t="str">
        <f>IF(OR(J568=0,J568="Not Calculated")=TRUE,"Not Calculated",IF(((J568+J571)/J568)&lt;=1,0,IF(((J568+J571)/J568)&lt;=1.05,1,IF(((J568+J571)/J568)&lt;=1.5, 2,IF(((J568+J571)/J568)&lt;=2,3,4)))))</f>
        <v>Not Calculated</v>
      </c>
      <c r="K572" s="41"/>
    </row>
    <row r="573" spans="2:11" ht="9.75" customHeight="1" x14ac:dyDescent="0.2">
      <c r="B573" s="38"/>
      <c r="C573" s="279" t="str">
        <f>"0:"</f>
        <v>0:</v>
      </c>
      <c r="D573" s="281" t="s">
        <v>918</v>
      </c>
      <c r="E573" s="291"/>
      <c r="F573" s="291"/>
      <c r="G573" s="291"/>
      <c r="H573" s="291"/>
      <c r="I573" s="291"/>
      <c r="J573" s="251"/>
      <c r="K573" s="41"/>
    </row>
    <row r="574" spans="2:11" ht="9.75" customHeight="1" x14ac:dyDescent="0.2">
      <c r="B574" s="38"/>
      <c r="C574" s="280" t="str">
        <f>"1:"</f>
        <v>1:</v>
      </c>
      <c r="D574" s="281" t="s">
        <v>919</v>
      </c>
      <c r="E574" s="291"/>
      <c r="F574" s="291"/>
      <c r="G574" s="291"/>
      <c r="H574" s="291"/>
      <c r="I574" s="291"/>
      <c r="J574" s="251"/>
      <c r="K574" s="41"/>
    </row>
    <row r="575" spans="2:11" ht="9.75" customHeight="1" x14ac:dyDescent="0.2">
      <c r="B575" s="38"/>
      <c r="C575" s="280" t="str">
        <f>"2:"</f>
        <v>2:</v>
      </c>
      <c r="D575" s="281" t="s">
        <v>920</v>
      </c>
      <c r="E575" s="291"/>
      <c r="F575" s="291"/>
      <c r="G575" s="291"/>
      <c r="H575" s="291"/>
      <c r="I575" s="291"/>
      <c r="J575" s="251"/>
      <c r="K575" s="41"/>
    </row>
    <row r="576" spans="2:11" ht="9.75" customHeight="1" x14ac:dyDescent="0.2">
      <c r="B576" s="38"/>
      <c r="C576" s="280" t="str">
        <f>"3:"</f>
        <v>3:</v>
      </c>
      <c r="D576" s="281" t="s">
        <v>921</v>
      </c>
      <c r="E576" s="291"/>
      <c r="F576" s="291"/>
      <c r="G576" s="291"/>
      <c r="H576" s="291"/>
      <c r="I576" s="291"/>
      <c r="J576" s="251"/>
      <c r="K576" s="41"/>
    </row>
    <row r="577" spans="2:14" ht="9.75" customHeight="1" x14ac:dyDescent="0.2">
      <c r="B577" s="38"/>
      <c r="C577" s="280" t="str">
        <f>"4:"</f>
        <v>4:</v>
      </c>
      <c r="D577" s="281" t="s">
        <v>922</v>
      </c>
      <c r="E577" s="40"/>
      <c r="F577" s="40"/>
      <c r="G577" s="40"/>
      <c r="H577" s="40"/>
      <c r="I577" s="40"/>
      <c r="J577" s="40"/>
      <c r="K577" s="41"/>
      <c r="N577" s="12" t="s">
        <v>661</v>
      </c>
    </row>
    <row r="578" spans="2:14" ht="15" customHeight="1" x14ac:dyDescent="0.2">
      <c r="B578" s="38"/>
      <c r="C578" s="174" t="s">
        <v>662</v>
      </c>
      <c r="D578" s="40"/>
      <c r="E578" s="40"/>
      <c r="F578" s="40"/>
      <c r="G578" s="40"/>
      <c r="H578" s="40"/>
      <c r="I578" s="40"/>
      <c r="J578" s="265" t="s">
        <v>661</v>
      </c>
      <c r="K578" s="41"/>
      <c r="N578" s="12" t="s">
        <v>894</v>
      </c>
    </row>
    <row r="579" spans="2:14" ht="15" customHeight="1" x14ac:dyDescent="0.2">
      <c r="B579" s="38"/>
      <c r="C579" s="174" t="s">
        <v>660</v>
      </c>
      <c r="D579" s="40"/>
      <c r="E579" s="40"/>
      <c r="F579" s="40"/>
      <c r="G579" s="40"/>
      <c r="H579" s="40"/>
      <c r="I579" s="40"/>
      <c r="J579" s="247" t="str">
        <f>IF(J578=N577,"N/A",IF(J578=N578,0,IF(J578=N579,1,IF(J578=N580,2,IF(J578=N581,3,IF(J578=N582,4,"N/A"))))))</f>
        <v>N/A</v>
      </c>
      <c r="K579" s="41"/>
      <c r="N579" s="12" t="s">
        <v>895</v>
      </c>
    </row>
    <row r="580" spans="2:14" x14ac:dyDescent="0.2">
      <c r="B580" s="38"/>
      <c r="C580" s="40" t="s">
        <v>257</v>
      </c>
      <c r="D580" s="40"/>
      <c r="E580" s="40"/>
      <c r="F580" s="40"/>
      <c r="G580" s="40"/>
      <c r="H580" s="40"/>
      <c r="I580" s="40"/>
      <c r="J580" s="266" t="s">
        <v>872</v>
      </c>
      <c r="K580" s="41"/>
      <c r="N580" s="12" t="s">
        <v>896</v>
      </c>
    </row>
    <row r="581" spans="2:14" x14ac:dyDescent="0.2">
      <c r="B581" s="38"/>
      <c r="C581" s="40" t="s">
        <v>261</v>
      </c>
      <c r="D581" s="40"/>
      <c r="E581" s="40"/>
      <c r="F581" s="40"/>
      <c r="G581" s="40"/>
      <c r="H581" s="40"/>
      <c r="I581" s="40"/>
      <c r="J581" s="245">
        <f>IF(J580=$B$973,$A$973,IF(J580=$B$974,$A$974,IF(J580=$B$975,$A$975,IF(J580=$B$976,$A$976,IF(J580=$B$977,$A$977,"Not Calculated")))))</f>
        <v>2</v>
      </c>
      <c r="K581" s="41"/>
      <c r="N581" s="12" t="s">
        <v>897</v>
      </c>
    </row>
    <row r="582" spans="2:14" x14ac:dyDescent="0.2">
      <c r="B582" s="38"/>
      <c r="C582" s="40" t="s">
        <v>893</v>
      </c>
      <c r="D582" s="40"/>
      <c r="E582" s="40"/>
      <c r="F582" s="40"/>
      <c r="G582" s="40"/>
      <c r="H582" s="40"/>
      <c r="I582" s="40"/>
      <c r="J582" s="40"/>
      <c r="K582" s="41"/>
      <c r="N582" s="12" t="s">
        <v>898</v>
      </c>
    </row>
    <row r="583" spans="2:14" ht="75" customHeight="1" x14ac:dyDescent="0.2">
      <c r="B583" s="38"/>
      <c r="C583" s="399" t="s">
        <v>580</v>
      </c>
      <c r="D583" s="400"/>
      <c r="E583" s="400"/>
      <c r="F583" s="400"/>
      <c r="G583" s="400"/>
      <c r="H583" s="400"/>
      <c r="I583" s="400"/>
      <c r="J583" s="401"/>
      <c r="K583" s="41"/>
    </row>
    <row r="584" spans="2:14" x14ac:dyDescent="0.2">
      <c r="B584" s="38"/>
      <c r="C584" s="40"/>
      <c r="D584" s="40"/>
      <c r="E584" s="40"/>
      <c r="F584" s="40"/>
      <c r="G584" s="40"/>
      <c r="H584" s="40"/>
      <c r="I584" s="40"/>
      <c r="J584" s="40"/>
      <c r="K584" s="41"/>
    </row>
    <row r="585" spans="2:14" x14ac:dyDescent="0.2">
      <c r="B585" s="38"/>
      <c r="C585" s="179" t="s">
        <v>324</v>
      </c>
      <c r="D585" s="40"/>
      <c r="E585" s="40"/>
      <c r="F585" s="40"/>
      <c r="G585" s="40"/>
      <c r="H585" s="40"/>
      <c r="I585" s="40"/>
      <c r="J585" s="245" t="str">
        <f>IF(J579="N/A",IF(OR(J572="Not Calculated",J581="Not Calculated")=TRUE,"Not Calculated",AVERAGE(J572,J581)),AVERAGE(J579,J581))</f>
        <v>Not Calculated</v>
      </c>
      <c r="K585" s="41"/>
    </row>
    <row r="586" spans="2:14" x14ac:dyDescent="0.2">
      <c r="B586" s="38"/>
      <c r="C586" s="40"/>
      <c r="D586" s="40"/>
      <c r="E586" s="40"/>
      <c r="F586" s="40"/>
      <c r="G586" s="40"/>
      <c r="H586" s="40"/>
      <c r="I586" s="40"/>
      <c r="J586" s="40"/>
      <c r="K586" s="41"/>
    </row>
    <row r="587" spans="2:14" x14ac:dyDescent="0.2">
      <c r="B587" s="38"/>
      <c r="C587" s="40"/>
      <c r="D587" s="40"/>
      <c r="E587" s="40"/>
      <c r="F587" s="40"/>
      <c r="G587" s="40"/>
      <c r="H587" s="40"/>
      <c r="I587" s="40"/>
      <c r="J587" s="40"/>
      <c r="K587" s="41"/>
    </row>
    <row r="588" spans="2:14" ht="16" x14ac:dyDescent="0.2">
      <c r="B588" s="38"/>
      <c r="C588" s="45" t="s">
        <v>115</v>
      </c>
      <c r="D588" s="40"/>
      <c r="E588" s="40"/>
      <c r="F588" s="40"/>
      <c r="G588" s="40"/>
      <c r="H588" s="40"/>
      <c r="I588" s="40"/>
      <c r="J588" s="40"/>
      <c r="K588" s="41"/>
    </row>
    <row r="589" spans="2:14" x14ac:dyDescent="0.2">
      <c r="B589" s="38"/>
      <c r="C589" s="40" t="s">
        <v>335</v>
      </c>
      <c r="D589" s="40"/>
      <c r="E589" s="40"/>
      <c r="F589" s="40"/>
      <c r="G589" s="40"/>
      <c r="H589" s="40"/>
      <c r="I589" s="40"/>
      <c r="J589" s="264">
        <f>'Baseline Health'!G6*0.001</f>
        <v>0</v>
      </c>
      <c r="K589" s="41"/>
    </row>
    <row r="590" spans="2:14" x14ac:dyDescent="0.2">
      <c r="B590" s="38"/>
      <c r="C590" s="40" t="s">
        <v>260</v>
      </c>
      <c r="D590" s="40"/>
      <c r="E590" s="40"/>
      <c r="F590" s="40"/>
      <c r="G590" s="40"/>
      <c r="H590" s="40"/>
      <c r="I590" s="40"/>
      <c r="J590" s="255">
        <f>IF(J589&lt;=0,0,IF(J589&lt;=1000,1,IF(J589&lt;=5000,2,IF(J589&lt;=25000,3,4))))</f>
        <v>0</v>
      </c>
      <c r="K590" s="41"/>
    </row>
    <row r="591" spans="2:14" ht="9.75" customHeight="1" x14ac:dyDescent="0.2">
      <c r="B591" s="38"/>
      <c r="C591" s="279" t="str">
        <f>"0:"</f>
        <v>0:</v>
      </c>
      <c r="D591" s="284" t="s">
        <v>970</v>
      </c>
      <c r="E591" s="40"/>
      <c r="F591" s="40"/>
      <c r="G591" s="40"/>
      <c r="H591" s="40"/>
      <c r="I591" s="40"/>
      <c r="J591" s="251"/>
      <c r="K591" s="41"/>
    </row>
    <row r="592" spans="2:14" ht="9.75" customHeight="1" x14ac:dyDescent="0.2">
      <c r="B592" s="38"/>
      <c r="C592" s="280" t="str">
        <f>"1:"</f>
        <v>1:</v>
      </c>
      <c r="D592" s="284" t="s">
        <v>961</v>
      </c>
      <c r="E592" s="40"/>
      <c r="F592" s="40"/>
      <c r="G592" s="40"/>
      <c r="H592" s="40"/>
      <c r="I592" s="40"/>
      <c r="J592" s="251"/>
      <c r="K592" s="41"/>
    </row>
    <row r="593" spans="2:11" ht="9.75" customHeight="1" x14ac:dyDescent="0.2">
      <c r="B593" s="38"/>
      <c r="C593" s="280" t="str">
        <f>"2:"</f>
        <v>2:</v>
      </c>
      <c r="D593" s="284" t="s">
        <v>971</v>
      </c>
      <c r="E593" s="40"/>
      <c r="F593" s="40"/>
      <c r="G593" s="40"/>
      <c r="H593" s="40"/>
      <c r="I593" s="40"/>
      <c r="J593" s="251"/>
      <c r="K593" s="41"/>
    </row>
    <row r="594" spans="2:11" ht="9.75" customHeight="1" x14ac:dyDescent="0.2">
      <c r="B594" s="38"/>
      <c r="C594" s="280" t="str">
        <f>"3:"</f>
        <v>3:</v>
      </c>
      <c r="D594" s="284" t="s">
        <v>963</v>
      </c>
      <c r="E594" s="40"/>
      <c r="F594" s="40"/>
      <c r="G594" s="40"/>
      <c r="H594" s="40"/>
      <c r="I594" s="40"/>
      <c r="J594" s="251"/>
      <c r="K594" s="41"/>
    </row>
    <row r="595" spans="2:11" ht="9.75" customHeight="1" x14ac:dyDescent="0.2">
      <c r="B595" s="38"/>
      <c r="C595" s="280" t="str">
        <f>"4:"</f>
        <v>4:</v>
      </c>
      <c r="D595" s="284" t="s">
        <v>964</v>
      </c>
      <c r="E595" s="40"/>
      <c r="F595" s="40"/>
      <c r="G595" s="40"/>
      <c r="H595" s="40"/>
      <c r="I595" s="40"/>
      <c r="J595" s="40"/>
      <c r="K595" s="41"/>
    </row>
    <row r="596" spans="2:11" ht="15" customHeight="1" x14ac:dyDescent="0.2">
      <c r="B596" s="38"/>
      <c r="C596" s="40" t="s">
        <v>257</v>
      </c>
      <c r="D596" s="40"/>
      <c r="E596" s="40"/>
      <c r="F596" s="40"/>
      <c r="G596" s="40"/>
      <c r="H596" s="40"/>
      <c r="I596" s="40"/>
      <c r="J596" s="266" t="s">
        <v>872</v>
      </c>
      <c r="K596" s="41"/>
    </row>
    <row r="597" spans="2:11" ht="15" customHeight="1" x14ac:dyDescent="0.2">
      <c r="B597" s="38"/>
      <c r="C597" s="40" t="s">
        <v>261</v>
      </c>
      <c r="D597" s="40"/>
      <c r="E597" s="40"/>
      <c r="F597" s="40"/>
      <c r="G597" s="40"/>
      <c r="H597" s="40"/>
      <c r="I597" s="40"/>
      <c r="J597" s="245">
        <f>IF(J596=$B$973,$A$973,IF(J596=$B$974,$A$974,IF(J596=$B$975,$A$975,IF(J596=$B$976,$A$976,IF(J596=$B$977,$A$977,"Not Calculated")))))</f>
        <v>2</v>
      </c>
      <c r="K597" s="41"/>
    </row>
    <row r="598" spans="2:11" x14ac:dyDescent="0.2">
      <c r="B598" s="38"/>
      <c r="C598" s="40" t="s">
        <v>893</v>
      </c>
      <c r="D598" s="40"/>
      <c r="E598" s="40"/>
      <c r="F598" s="40"/>
      <c r="G598" s="40"/>
      <c r="H598" s="40"/>
      <c r="I598" s="40"/>
      <c r="J598" s="40"/>
      <c r="K598" s="41"/>
    </row>
    <row r="599" spans="2:11" ht="45" customHeight="1" x14ac:dyDescent="0.2">
      <c r="B599" s="38"/>
      <c r="C599" s="399" t="s">
        <v>581</v>
      </c>
      <c r="D599" s="400"/>
      <c r="E599" s="400"/>
      <c r="F599" s="400"/>
      <c r="G599" s="400"/>
      <c r="H599" s="400"/>
      <c r="I599" s="400"/>
      <c r="J599" s="401"/>
      <c r="K599" s="41"/>
    </row>
    <row r="600" spans="2:11" x14ac:dyDescent="0.2">
      <c r="B600" s="38"/>
      <c r="C600" s="40"/>
      <c r="D600" s="40"/>
      <c r="E600" s="40"/>
      <c r="F600" s="40"/>
      <c r="G600" s="40"/>
      <c r="H600" s="40"/>
      <c r="I600" s="40"/>
      <c r="J600" s="40"/>
      <c r="K600" s="41"/>
    </row>
    <row r="601" spans="2:11" x14ac:dyDescent="0.2">
      <c r="B601" s="38"/>
      <c r="C601" s="179" t="s">
        <v>325</v>
      </c>
      <c r="D601" s="40"/>
      <c r="E601" s="40"/>
      <c r="F601" s="40"/>
      <c r="G601" s="40"/>
      <c r="H601" s="40"/>
      <c r="I601" s="40"/>
      <c r="J601" s="245">
        <f>IF(J590="Not Calculated","Not Calculated",AVERAGE(J590,J597))</f>
        <v>1</v>
      </c>
      <c r="K601" s="41"/>
    </row>
    <row r="602" spans="2:11" x14ac:dyDescent="0.2">
      <c r="B602" s="38"/>
      <c r="C602" s="40"/>
      <c r="D602" s="40"/>
      <c r="E602" s="40"/>
      <c r="F602" s="40"/>
      <c r="G602" s="40"/>
      <c r="H602" s="40"/>
      <c r="I602" s="40"/>
      <c r="J602" s="40"/>
      <c r="K602" s="41"/>
    </row>
    <row r="603" spans="2:11" x14ac:dyDescent="0.2">
      <c r="B603" s="38"/>
      <c r="C603" s="40"/>
      <c r="D603" s="40"/>
      <c r="E603" s="40"/>
      <c r="F603" s="40"/>
      <c r="G603" s="40"/>
      <c r="H603" s="40"/>
      <c r="I603" s="40"/>
      <c r="J603" s="40"/>
      <c r="K603" s="41"/>
    </row>
    <row r="604" spans="2:11" ht="16" x14ac:dyDescent="0.2">
      <c r="B604" s="38"/>
      <c r="C604" s="45" t="s">
        <v>326</v>
      </c>
      <c r="D604" s="40"/>
      <c r="E604" s="40"/>
      <c r="F604" s="40"/>
      <c r="G604" s="40"/>
      <c r="H604" s="40"/>
      <c r="I604" s="40"/>
      <c r="J604" s="40"/>
      <c r="K604" s="41"/>
    </row>
    <row r="605" spans="2:11" x14ac:dyDescent="0.2">
      <c r="B605" s="38"/>
      <c r="C605" s="40" t="s">
        <v>336</v>
      </c>
      <c r="D605" s="40"/>
      <c r="E605" s="40"/>
      <c r="F605" s="40"/>
      <c r="G605" s="40"/>
      <c r="H605" s="40"/>
      <c r="I605" s="40"/>
      <c r="J605" s="271">
        <v>0</v>
      </c>
      <c r="K605" s="41"/>
    </row>
    <row r="606" spans="2:11" x14ac:dyDescent="0.2">
      <c r="B606" s="38"/>
      <c r="C606" s="40" t="s">
        <v>260</v>
      </c>
      <c r="D606" s="40"/>
      <c r="E606" s="40"/>
      <c r="F606" s="40"/>
      <c r="G606" s="40"/>
      <c r="H606" s="40"/>
      <c r="I606" s="40"/>
      <c r="J606" s="248">
        <f>IF(J605&lt;=0,0,IF(J605&lt;=10,1,IF(J605&lt;=25,2,IF(J605&lt;=50,3,4))))</f>
        <v>0</v>
      </c>
      <c r="K606" s="41"/>
    </row>
    <row r="607" spans="2:11" ht="9.75" customHeight="1" x14ac:dyDescent="0.2">
      <c r="B607" s="38"/>
      <c r="C607" s="279" t="str">
        <f>"0:"</f>
        <v>0:</v>
      </c>
      <c r="D607" s="290" t="s">
        <v>944</v>
      </c>
      <c r="E607" s="40"/>
      <c r="F607" s="40"/>
      <c r="G607" s="40"/>
      <c r="H607" s="40"/>
      <c r="I607" s="40"/>
      <c r="J607" s="244"/>
      <c r="K607" s="41"/>
    </row>
    <row r="608" spans="2:11" ht="9.75" customHeight="1" x14ac:dyDescent="0.2">
      <c r="B608" s="38"/>
      <c r="C608" s="280" t="str">
        <f>"1:"</f>
        <v>1:</v>
      </c>
      <c r="D608" s="290" t="s">
        <v>947</v>
      </c>
      <c r="E608" s="40"/>
      <c r="F608" s="40"/>
      <c r="G608" s="40"/>
      <c r="H608" s="40"/>
      <c r="I608" s="40"/>
      <c r="J608" s="244"/>
      <c r="K608" s="41"/>
    </row>
    <row r="609" spans="2:11" ht="9.75" customHeight="1" x14ac:dyDescent="0.2">
      <c r="B609" s="38"/>
      <c r="C609" s="280" t="str">
        <f>"2:"</f>
        <v>2:</v>
      </c>
      <c r="D609" s="290" t="s">
        <v>972</v>
      </c>
      <c r="E609" s="40"/>
      <c r="F609" s="40"/>
      <c r="G609" s="40"/>
      <c r="H609" s="40"/>
      <c r="I609" s="40"/>
      <c r="J609" s="244"/>
      <c r="K609" s="41"/>
    </row>
    <row r="610" spans="2:11" ht="9.75" customHeight="1" x14ac:dyDescent="0.2">
      <c r="B610" s="38"/>
      <c r="C610" s="280" t="str">
        <f>"3:"</f>
        <v>3:</v>
      </c>
      <c r="D610" s="290" t="s">
        <v>973</v>
      </c>
      <c r="E610" s="40"/>
      <c r="F610" s="40"/>
      <c r="G610" s="40"/>
      <c r="H610" s="40"/>
      <c r="I610" s="40"/>
      <c r="J610" s="244"/>
      <c r="K610" s="41"/>
    </row>
    <row r="611" spans="2:11" ht="9.75" customHeight="1" x14ac:dyDescent="0.2">
      <c r="B611" s="38"/>
      <c r="C611" s="280" t="str">
        <f>"4:"</f>
        <v>4:</v>
      </c>
      <c r="D611" s="290" t="s">
        <v>974</v>
      </c>
      <c r="E611" s="40"/>
      <c r="F611" s="40"/>
      <c r="G611" s="40"/>
      <c r="H611" s="40"/>
      <c r="I611" s="40"/>
      <c r="J611" s="40"/>
      <c r="K611" s="41"/>
    </row>
    <row r="612" spans="2:11" x14ac:dyDescent="0.2">
      <c r="B612" s="38"/>
      <c r="C612" s="40" t="s">
        <v>893</v>
      </c>
      <c r="D612" s="40"/>
      <c r="E612" s="40"/>
      <c r="F612" s="40"/>
      <c r="G612" s="40"/>
      <c r="H612" s="40"/>
      <c r="I612" s="40"/>
      <c r="J612" s="40"/>
      <c r="K612" s="41"/>
    </row>
    <row r="613" spans="2:11" ht="30" customHeight="1" x14ac:dyDescent="0.2">
      <c r="B613" s="38"/>
      <c r="C613" s="399"/>
      <c r="D613" s="400"/>
      <c r="E613" s="400"/>
      <c r="F613" s="400"/>
      <c r="G613" s="400"/>
      <c r="H613" s="400"/>
      <c r="I613" s="400"/>
      <c r="J613" s="401"/>
      <c r="K613" s="41"/>
    </row>
    <row r="614" spans="2:11" x14ac:dyDescent="0.2">
      <c r="B614" s="38"/>
      <c r="C614" s="40"/>
      <c r="D614" s="40"/>
      <c r="E614" s="40"/>
      <c r="F614" s="40"/>
      <c r="G614" s="40"/>
      <c r="H614" s="40"/>
      <c r="I614" s="40"/>
      <c r="J614" s="40"/>
      <c r="K614" s="41"/>
    </row>
    <row r="615" spans="2:11" x14ac:dyDescent="0.2">
      <c r="B615" s="38"/>
      <c r="C615" s="179" t="s">
        <v>327</v>
      </c>
      <c r="D615" s="40"/>
      <c r="E615" s="40"/>
      <c r="F615" s="40"/>
      <c r="G615" s="40"/>
      <c r="H615" s="40"/>
      <c r="I615" s="40"/>
      <c r="J615" s="245">
        <f>J606</f>
        <v>0</v>
      </c>
      <c r="K615" s="41"/>
    </row>
    <row r="616" spans="2:11" x14ac:dyDescent="0.2">
      <c r="B616" s="38"/>
      <c r="C616" s="40"/>
      <c r="D616" s="40"/>
      <c r="E616" s="40"/>
      <c r="F616" s="40"/>
      <c r="G616" s="40"/>
      <c r="H616" s="40"/>
      <c r="I616" s="40"/>
      <c r="J616" s="40"/>
      <c r="K616" s="41"/>
    </row>
    <row r="617" spans="2:11" x14ac:dyDescent="0.2">
      <c r="B617" s="38"/>
      <c r="C617" s="40"/>
      <c r="D617" s="40"/>
      <c r="E617" s="40"/>
      <c r="F617" s="40"/>
      <c r="G617" s="40"/>
      <c r="H617" s="40"/>
      <c r="I617" s="40"/>
      <c r="J617" s="40"/>
      <c r="K617" s="41"/>
    </row>
    <row r="618" spans="2:11" ht="16" x14ac:dyDescent="0.2">
      <c r="B618" s="38"/>
      <c r="C618" s="45" t="s">
        <v>92</v>
      </c>
      <c r="D618" s="40"/>
      <c r="E618" s="40"/>
      <c r="F618" s="40"/>
      <c r="G618" s="40"/>
      <c r="H618" s="40"/>
      <c r="I618" s="40"/>
      <c r="J618" s="40"/>
      <c r="K618" s="41"/>
    </row>
    <row r="619" spans="2:11" x14ac:dyDescent="0.2">
      <c r="B619" s="38"/>
      <c r="C619" s="40" t="s">
        <v>337</v>
      </c>
      <c r="D619" s="40"/>
      <c r="E619" s="40"/>
      <c r="F619" s="40"/>
      <c r="G619" s="40"/>
      <c r="H619" s="40"/>
      <c r="I619" s="40"/>
      <c r="J619" s="251">
        <f>'Baseline Health'!G137</f>
        <v>1</v>
      </c>
      <c r="K619" s="41"/>
    </row>
    <row r="620" spans="2:11" ht="15" customHeight="1" x14ac:dyDescent="0.2">
      <c r="B620" s="38"/>
      <c r="C620" s="380" t="s">
        <v>338</v>
      </c>
      <c r="D620" s="380"/>
      <c r="E620" s="380"/>
      <c r="F620" s="380"/>
      <c r="G620" s="380"/>
      <c r="H620" s="380"/>
      <c r="I620" s="380"/>
      <c r="J620" s="251"/>
      <c r="K620" s="41"/>
    </row>
    <row r="621" spans="2:11" x14ac:dyDescent="0.2">
      <c r="B621" s="38"/>
      <c r="C621" s="380"/>
      <c r="D621" s="380"/>
      <c r="E621" s="380"/>
      <c r="F621" s="380"/>
      <c r="G621" s="380"/>
      <c r="H621" s="380"/>
      <c r="I621" s="380"/>
      <c r="J621" s="264">
        <v>50</v>
      </c>
      <c r="K621" s="41"/>
    </row>
    <row r="622" spans="2:11" x14ac:dyDescent="0.2">
      <c r="B622" s="38"/>
      <c r="C622" s="40" t="s">
        <v>260</v>
      </c>
      <c r="D622" s="40"/>
      <c r="E622" s="40"/>
      <c r="F622" s="40"/>
      <c r="G622" s="40"/>
      <c r="H622" s="40"/>
      <c r="I622" s="40"/>
      <c r="J622" s="245">
        <f>IF(OR(J619=0,J619="Not Calculated")=TRUE,"Not Calculated",IF(((J619+J621)/J619)&lt;=1,0,IF(((J619+J621)/J619)&lt;=1.05,1,IF(((J619+J621)/J619)&lt;=1.5, 2,IF(((J619+J621)/J619)&lt;=2,3,4)))))</f>
        <v>4</v>
      </c>
      <c r="K622" s="41"/>
    </row>
    <row r="623" spans="2:11" ht="9.75" customHeight="1" x14ac:dyDescent="0.2">
      <c r="B623" s="38"/>
      <c r="C623" s="279" t="str">
        <f>"0:"</f>
        <v>0:</v>
      </c>
      <c r="D623" s="281" t="s">
        <v>918</v>
      </c>
      <c r="E623" s="291"/>
      <c r="F623" s="291"/>
      <c r="G623" s="291"/>
      <c r="H623" s="291"/>
      <c r="I623" s="291"/>
      <c r="J623" s="251"/>
      <c r="K623" s="41"/>
    </row>
    <row r="624" spans="2:11" ht="9.75" customHeight="1" x14ac:dyDescent="0.2">
      <c r="B624" s="38"/>
      <c r="C624" s="280" t="str">
        <f>"1:"</f>
        <v>1:</v>
      </c>
      <c r="D624" s="281" t="s">
        <v>919</v>
      </c>
      <c r="E624" s="291"/>
      <c r="F624" s="291"/>
      <c r="G624" s="291"/>
      <c r="H624" s="291"/>
      <c r="I624" s="291"/>
      <c r="J624" s="251"/>
      <c r="K624" s="41"/>
    </row>
    <row r="625" spans="2:14" ht="9.75" customHeight="1" x14ac:dyDescent="0.2">
      <c r="B625" s="38"/>
      <c r="C625" s="280" t="str">
        <f>"2:"</f>
        <v>2:</v>
      </c>
      <c r="D625" s="281" t="s">
        <v>920</v>
      </c>
      <c r="E625" s="291"/>
      <c r="F625" s="291"/>
      <c r="G625" s="291"/>
      <c r="H625" s="291"/>
      <c r="I625" s="291"/>
      <c r="J625" s="251"/>
      <c r="K625" s="41"/>
    </row>
    <row r="626" spans="2:14" ht="9.75" customHeight="1" x14ac:dyDescent="0.2">
      <c r="B626" s="38"/>
      <c r="C626" s="280" t="str">
        <f>"3:"</f>
        <v>3:</v>
      </c>
      <c r="D626" s="281" t="s">
        <v>921</v>
      </c>
      <c r="E626" s="291"/>
      <c r="F626" s="291"/>
      <c r="G626" s="291"/>
      <c r="H626" s="291"/>
      <c r="I626" s="291"/>
      <c r="J626" s="251"/>
      <c r="K626" s="41"/>
    </row>
    <row r="627" spans="2:14" ht="9.75" customHeight="1" x14ac:dyDescent="0.2">
      <c r="B627" s="38"/>
      <c r="C627" s="280" t="str">
        <f>"4:"</f>
        <v>4:</v>
      </c>
      <c r="D627" s="281" t="s">
        <v>922</v>
      </c>
      <c r="E627" s="40"/>
      <c r="F627" s="40"/>
      <c r="G627" s="40"/>
      <c r="H627" s="40"/>
      <c r="I627" s="40"/>
      <c r="J627" s="40"/>
      <c r="K627" s="41"/>
      <c r="N627" s="12" t="s">
        <v>661</v>
      </c>
    </row>
    <row r="628" spans="2:14" x14ac:dyDescent="0.2">
      <c r="B628" s="38"/>
      <c r="C628" s="174" t="s">
        <v>662</v>
      </c>
      <c r="D628" s="40"/>
      <c r="E628" s="40"/>
      <c r="F628" s="40"/>
      <c r="G628" s="40"/>
      <c r="H628" s="40"/>
      <c r="I628" s="40"/>
      <c r="J628" s="265" t="s">
        <v>661</v>
      </c>
      <c r="K628" s="41"/>
      <c r="N628" s="12" t="s">
        <v>894</v>
      </c>
    </row>
    <row r="629" spans="2:14" x14ac:dyDescent="0.2">
      <c r="B629" s="38"/>
      <c r="C629" s="174" t="s">
        <v>660</v>
      </c>
      <c r="D629" s="40"/>
      <c r="E629" s="40"/>
      <c r="F629" s="40"/>
      <c r="G629" s="40"/>
      <c r="H629" s="40"/>
      <c r="I629" s="40"/>
      <c r="J629" s="247" t="str">
        <f>IF(J628=N627,"N/A",IF(J628=N628,0,IF(J628=N629,1,IF(J628=N630,2,IF(J628=N631,3,IF(J628=N632,4,"N/A"))))))</f>
        <v>N/A</v>
      </c>
      <c r="K629" s="41"/>
      <c r="N629" s="12" t="s">
        <v>895</v>
      </c>
    </row>
    <row r="630" spans="2:14" x14ac:dyDescent="0.2">
      <c r="B630" s="38"/>
      <c r="C630" s="40" t="s">
        <v>257</v>
      </c>
      <c r="D630" s="40"/>
      <c r="E630" s="40"/>
      <c r="F630" s="40"/>
      <c r="G630" s="40"/>
      <c r="H630" s="40"/>
      <c r="I630" s="40"/>
      <c r="J630" s="266" t="s">
        <v>872</v>
      </c>
      <c r="K630" s="41"/>
      <c r="N630" s="12" t="s">
        <v>896</v>
      </c>
    </row>
    <row r="631" spans="2:14" x14ac:dyDescent="0.2">
      <c r="B631" s="38"/>
      <c r="C631" s="40" t="s">
        <v>261</v>
      </c>
      <c r="D631" s="40"/>
      <c r="E631" s="40"/>
      <c r="F631" s="40"/>
      <c r="G631" s="40"/>
      <c r="H631" s="40"/>
      <c r="I631" s="40"/>
      <c r="J631" s="245">
        <f>IF(J630=$B$973,$A$973,IF(J630=$B$974,$A$974,IF(J630=$B$975,$A$975,IF(J630=$B$976,$A$976,IF(J630=$B$977,$A$977,"Not Calculated")))))</f>
        <v>2</v>
      </c>
      <c r="K631" s="41"/>
      <c r="N631" s="12" t="s">
        <v>897</v>
      </c>
    </row>
    <row r="632" spans="2:14" x14ac:dyDescent="0.2">
      <c r="B632" s="38"/>
      <c r="C632" s="40" t="s">
        <v>893</v>
      </c>
      <c r="D632" s="40"/>
      <c r="E632" s="40"/>
      <c r="F632" s="40"/>
      <c r="G632" s="40"/>
      <c r="H632" s="40"/>
      <c r="I632" s="40"/>
      <c r="J632" s="40"/>
      <c r="K632" s="41"/>
      <c r="N632" s="12" t="s">
        <v>898</v>
      </c>
    </row>
    <row r="633" spans="2:14" ht="30" customHeight="1" x14ac:dyDescent="0.2">
      <c r="B633" s="38"/>
      <c r="C633" s="399" t="s">
        <v>582</v>
      </c>
      <c r="D633" s="400"/>
      <c r="E633" s="400"/>
      <c r="F633" s="400"/>
      <c r="G633" s="400"/>
      <c r="H633" s="400"/>
      <c r="I633" s="400"/>
      <c r="J633" s="401"/>
      <c r="K633" s="41"/>
    </row>
    <row r="634" spans="2:14" x14ac:dyDescent="0.2">
      <c r="B634" s="38"/>
      <c r="C634" s="40"/>
      <c r="D634" s="40"/>
      <c r="E634" s="40"/>
      <c r="F634" s="40"/>
      <c r="G634" s="40"/>
      <c r="H634" s="40"/>
      <c r="I634" s="40"/>
      <c r="J634" s="40"/>
      <c r="K634" s="41"/>
    </row>
    <row r="635" spans="2:14" x14ac:dyDescent="0.2">
      <c r="B635" s="38"/>
      <c r="C635" s="179" t="s">
        <v>328</v>
      </c>
      <c r="D635" s="40"/>
      <c r="E635" s="40"/>
      <c r="F635" s="40"/>
      <c r="G635" s="40"/>
      <c r="H635" s="40"/>
      <c r="I635" s="40"/>
      <c r="J635" s="245">
        <f>IF(J629="N/A",IF(OR(J622="Not Calculated",J631="Not Calculated")=TRUE,"Not Calculated",AVERAGE(J622,J631)),AVERAGE(J629,J631))</f>
        <v>3</v>
      </c>
      <c r="K635" s="41"/>
    </row>
    <row r="636" spans="2:14" x14ac:dyDescent="0.2">
      <c r="B636" s="38"/>
      <c r="C636" s="40"/>
      <c r="D636" s="40"/>
      <c r="E636" s="40"/>
      <c r="F636" s="40"/>
      <c r="G636" s="40"/>
      <c r="H636" s="40"/>
      <c r="I636" s="40"/>
      <c r="J636" s="40"/>
      <c r="K636" s="41"/>
    </row>
    <row r="637" spans="2:14" x14ac:dyDescent="0.2">
      <c r="B637" s="38"/>
      <c r="C637" s="40"/>
      <c r="D637" s="40"/>
      <c r="E637" s="40"/>
      <c r="F637" s="40"/>
      <c r="G637" s="40"/>
      <c r="H637" s="40"/>
      <c r="I637" s="40"/>
      <c r="J637" s="40"/>
      <c r="K637" s="41"/>
    </row>
    <row r="638" spans="2:14" ht="16" x14ac:dyDescent="0.2">
      <c r="B638" s="38"/>
      <c r="C638" s="45" t="s">
        <v>329</v>
      </c>
      <c r="D638" s="40"/>
      <c r="E638" s="40"/>
      <c r="F638" s="40"/>
      <c r="G638" s="40"/>
      <c r="H638" s="40"/>
      <c r="I638" s="40"/>
      <c r="J638" s="40"/>
      <c r="K638" s="41"/>
    </row>
    <row r="639" spans="2:14" ht="15" customHeight="1" x14ac:dyDescent="0.2">
      <c r="B639" s="38"/>
      <c r="C639" s="380" t="s">
        <v>339</v>
      </c>
      <c r="D639" s="380"/>
      <c r="E639" s="380"/>
      <c r="F639" s="380"/>
      <c r="G639" s="380"/>
      <c r="H639" s="380"/>
      <c r="I639" s="380"/>
      <c r="J639" s="40"/>
      <c r="K639" s="41"/>
    </row>
    <row r="640" spans="2:14" x14ac:dyDescent="0.2">
      <c r="B640" s="38"/>
      <c r="C640" s="380"/>
      <c r="D640" s="380"/>
      <c r="E640" s="380"/>
      <c r="F640" s="380"/>
      <c r="G640" s="380"/>
      <c r="H640" s="380"/>
      <c r="I640" s="380"/>
      <c r="J640" s="250">
        <f>'Baseline Health'!G145</f>
        <v>0</v>
      </c>
      <c r="K640" s="41"/>
    </row>
    <row r="641" spans="2:14" ht="15" customHeight="1" x14ac:dyDescent="0.2">
      <c r="B641" s="38"/>
      <c r="C641" s="380" t="s">
        <v>340</v>
      </c>
      <c r="D641" s="380"/>
      <c r="E641" s="380"/>
      <c r="F641" s="380"/>
      <c r="G641" s="380"/>
      <c r="H641" s="380"/>
      <c r="I641" s="380"/>
      <c r="J641" s="245"/>
      <c r="K641" s="41"/>
    </row>
    <row r="642" spans="2:14" x14ac:dyDescent="0.2">
      <c r="B642" s="38"/>
      <c r="C642" s="380"/>
      <c r="D642" s="380"/>
      <c r="E642" s="380"/>
      <c r="F642" s="380"/>
      <c r="G642" s="380"/>
      <c r="H642" s="380"/>
      <c r="I642" s="380"/>
      <c r="J642" s="245"/>
      <c r="K642" s="41"/>
    </row>
    <row r="643" spans="2:14" x14ac:dyDescent="0.2">
      <c r="B643" s="38"/>
      <c r="C643" s="380"/>
      <c r="D643" s="380"/>
      <c r="E643" s="380"/>
      <c r="F643" s="380"/>
      <c r="G643" s="380"/>
      <c r="H643" s="380"/>
      <c r="I643" s="380"/>
      <c r="J643" s="272">
        <v>37.5</v>
      </c>
      <c r="K643" s="41"/>
    </row>
    <row r="644" spans="2:14" x14ac:dyDescent="0.2">
      <c r="B644" s="38"/>
      <c r="C644" s="40" t="s">
        <v>260</v>
      </c>
      <c r="D644" s="40"/>
      <c r="E644" s="40"/>
      <c r="F644" s="40"/>
      <c r="G644" s="40"/>
      <c r="H644" s="40"/>
      <c r="I644" s="40"/>
      <c r="J644" s="245" t="str">
        <f>IF(OR(J640=0,J640="Not Calculated")=TRUE,"Not Calculated",IF(((J640+J643)/J640)&lt;=1,0,IF(((J640+J643)/J640)&lt;=1.05,1,IF(((J640+J643)/J640)&lt;=1.5, 2,IF(((J640+J643)/J640)&lt;=2,3,4)))))</f>
        <v>Not Calculated</v>
      </c>
      <c r="K644" s="41"/>
    </row>
    <row r="645" spans="2:14" ht="9.75" customHeight="1" x14ac:dyDescent="0.2">
      <c r="B645" s="38"/>
      <c r="C645" s="279" t="str">
        <f>"0:"</f>
        <v>0:</v>
      </c>
      <c r="D645" s="281" t="s">
        <v>918</v>
      </c>
      <c r="E645" s="291"/>
      <c r="F645" s="291"/>
      <c r="G645" s="291"/>
      <c r="H645" s="291"/>
      <c r="I645" s="291"/>
      <c r="J645" s="250"/>
      <c r="K645" s="41"/>
    </row>
    <row r="646" spans="2:14" ht="9.75" customHeight="1" x14ac:dyDescent="0.2">
      <c r="B646" s="38"/>
      <c r="C646" s="280" t="str">
        <f>"1:"</f>
        <v>1:</v>
      </c>
      <c r="D646" s="281" t="s">
        <v>919</v>
      </c>
      <c r="E646" s="291"/>
      <c r="F646" s="291"/>
      <c r="G646" s="291"/>
      <c r="H646" s="291"/>
      <c r="I646" s="291"/>
      <c r="J646" s="250"/>
      <c r="K646" s="41"/>
    </row>
    <row r="647" spans="2:14" ht="9.75" customHeight="1" x14ac:dyDescent="0.2">
      <c r="B647" s="38"/>
      <c r="C647" s="280" t="str">
        <f>"2:"</f>
        <v>2:</v>
      </c>
      <c r="D647" s="281" t="s">
        <v>920</v>
      </c>
      <c r="E647" s="291"/>
      <c r="F647" s="291"/>
      <c r="G647" s="291"/>
      <c r="H647" s="291"/>
      <c r="I647" s="291"/>
      <c r="J647" s="250"/>
      <c r="K647" s="41"/>
    </row>
    <row r="648" spans="2:14" ht="9.75" customHeight="1" x14ac:dyDescent="0.2">
      <c r="B648" s="38"/>
      <c r="C648" s="280" t="str">
        <f>"3:"</f>
        <v>3:</v>
      </c>
      <c r="D648" s="281" t="s">
        <v>921</v>
      </c>
      <c r="E648" s="291"/>
      <c r="F648" s="291"/>
      <c r="G648" s="291"/>
      <c r="H648" s="291"/>
      <c r="I648" s="291"/>
      <c r="J648" s="250"/>
      <c r="K648" s="41"/>
    </row>
    <row r="649" spans="2:14" ht="9.75" customHeight="1" x14ac:dyDescent="0.2">
      <c r="B649" s="38"/>
      <c r="C649" s="280" t="str">
        <f>"4:"</f>
        <v>4:</v>
      </c>
      <c r="D649" s="281" t="s">
        <v>922</v>
      </c>
      <c r="E649" s="40"/>
      <c r="F649" s="40"/>
      <c r="G649" s="40"/>
      <c r="H649" s="40"/>
      <c r="I649" s="40"/>
      <c r="J649" s="40"/>
      <c r="K649" s="41"/>
      <c r="N649" s="12" t="s">
        <v>661</v>
      </c>
    </row>
    <row r="650" spans="2:14" x14ac:dyDescent="0.2">
      <c r="B650" s="38"/>
      <c r="C650" s="174" t="s">
        <v>662</v>
      </c>
      <c r="D650" s="40"/>
      <c r="E650" s="40"/>
      <c r="F650" s="40"/>
      <c r="G650" s="40"/>
      <c r="H650" s="40"/>
      <c r="I650" s="40"/>
      <c r="J650" s="265" t="s">
        <v>661</v>
      </c>
      <c r="K650" s="41"/>
      <c r="N650" s="12" t="s">
        <v>894</v>
      </c>
    </row>
    <row r="651" spans="2:14" x14ac:dyDescent="0.2">
      <c r="B651" s="38"/>
      <c r="C651" s="174" t="s">
        <v>660</v>
      </c>
      <c r="D651" s="40"/>
      <c r="E651" s="40"/>
      <c r="F651" s="40"/>
      <c r="G651" s="40"/>
      <c r="H651" s="40"/>
      <c r="I651" s="40"/>
      <c r="J651" s="247" t="str">
        <f>IF(J650=N649,"N/A",IF(J650=N650,0,IF(J650=N651,1,IF(J650=N652,2,IF(J650=N653,3,IF(J650=N654,4,"N/A"))))))</f>
        <v>N/A</v>
      </c>
      <c r="K651" s="41"/>
      <c r="N651" s="12" t="s">
        <v>895</v>
      </c>
    </row>
    <row r="652" spans="2:14" ht="15" customHeight="1" x14ac:dyDescent="0.2">
      <c r="B652" s="38"/>
      <c r="C652" s="40" t="s">
        <v>257</v>
      </c>
      <c r="D652" s="40"/>
      <c r="E652" s="40"/>
      <c r="F652" s="40"/>
      <c r="G652" s="40"/>
      <c r="H652" s="40"/>
      <c r="I652" s="40"/>
      <c r="J652" s="266" t="s">
        <v>872</v>
      </c>
      <c r="K652" s="41"/>
      <c r="N652" s="12" t="s">
        <v>896</v>
      </c>
    </row>
    <row r="653" spans="2:14" x14ac:dyDescent="0.2">
      <c r="B653" s="38"/>
      <c r="C653" s="40" t="s">
        <v>261</v>
      </c>
      <c r="D653" s="40"/>
      <c r="E653" s="40"/>
      <c r="F653" s="40"/>
      <c r="G653" s="40"/>
      <c r="H653" s="40"/>
      <c r="I653" s="40"/>
      <c r="J653" s="245">
        <f>IF(J652=$B$973,$A$973,IF(J652=$B$974,$A$974,IF(J652=$B$975,$A$975,IF(J652=$B$976,$A$976,IF(J652=$B$977,$A$977,"Not Calculated")))))</f>
        <v>2</v>
      </c>
      <c r="K653" s="41"/>
      <c r="N653" s="12" t="s">
        <v>897</v>
      </c>
    </row>
    <row r="654" spans="2:14" x14ac:dyDescent="0.2">
      <c r="B654" s="38"/>
      <c r="C654" s="40" t="s">
        <v>893</v>
      </c>
      <c r="D654" s="40"/>
      <c r="E654" s="40"/>
      <c r="F654" s="40"/>
      <c r="G654" s="40"/>
      <c r="H654" s="40"/>
      <c r="I654" s="40"/>
      <c r="J654" s="40"/>
      <c r="K654" s="41"/>
      <c r="N654" s="12" t="s">
        <v>898</v>
      </c>
    </row>
    <row r="655" spans="2:14" ht="60" customHeight="1" x14ac:dyDescent="0.2">
      <c r="B655" s="38"/>
      <c r="C655" s="399" t="s">
        <v>583</v>
      </c>
      <c r="D655" s="400"/>
      <c r="E655" s="400"/>
      <c r="F655" s="400"/>
      <c r="G655" s="400"/>
      <c r="H655" s="400"/>
      <c r="I655" s="400"/>
      <c r="J655" s="401"/>
      <c r="K655" s="41"/>
    </row>
    <row r="656" spans="2:14" x14ac:dyDescent="0.2">
      <c r="B656" s="38"/>
      <c r="C656" s="40"/>
      <c r="D656" s="40"/>
      <c r="E656" s="40"/>
      <c r="F656" s="40"/>
      <c r="G656" s="40"/>
      <c r="H656" s="40"/>
      <c r="I656" s="40"/>
      <c r="J656" s="40"/>
      <c r="K656" s="41"/>
    </row>
    <row r="657" spans="2:14" x14ac:dyDescent="0.2">
      <c r="B657" s="38"/>
      <c r="C657" s="179" t="s">
        <v>330</v>
      </c>
      <c r="D657" s="40"/>
      <c r="E657" s="40"/>
      <c r="F657" s="40"/>
      <c r="G657" s="40"/>
      <c r="H657" s="40"/>
      <c r="I657" s="40"/>
      <c r="J657" s="245" t="str">
        <f>IF(J651="N/A",IF(OR(J644="Not Calculated",J653="Not Calculated")=TRUE,"Not Calculated",AVERAGE(J644,J653)),AVERAGE(J651,J653))</f>
        <v>Not Calculated</v>
      </c>
      <c r="K657" s="41"/>
    </row>
    <row r="658" spans="2:14" x14ac:dyDescent="0.2">
      <c r="B658" s="38"/>
      <c r="C658" s="40"/>
      <c r="D658" s="40"/>
      <c r="E658" s="40"/>
      <c r="F658" s="40"/>
      <c r="G658" s="40"/>
      <c r="H658" s="40"/>
      <c r="I658" s="40"/>
      <c r="J658" s="40"/>
      <c r="K658" s="41"/>
    </row>
    <row r="659" spans="2:14" x14ac:dyDescent="0.2">
      <c r="B659" s="38"/>
      <c r="C659" s="40"/>
      <c r="D659" s="40"/>
      <c r="E659" s="40"/>
      <c r="F659" s="40"/>
      <c r="G659" s="40"/>
      <c r="H659" s="40"/>
      <c r="I659" s="40"/>
      <c r="J659" s="40"/>
      <c r="K659" s="41"/>
    </row>
    <row r="660" spans="2:14" ht="16" x14ac:dyDescent="0.2">
      <c r="B660" s="38"/>
      <c r="C660" s="45" t="s">
        <v>97</v>
      </c>
      <c r="D660" s="40"/>
      <c r="E660" s="40"/>
      <c r="F660" s="40"/>
      <c r="G660" s="40"/>
      <c r="H660" s="40"/>
      <c r="I660" s="40"/>
      <c r="J660" s="40"/>
      <c r="K660" s="41"/>
    </row>
    <row r="661" spans="2:14" x14ac:dyDescent="0.2">
      <c r="B661" s="38"/>
      <c r="C661" s="40" t="s">
        <v>449</v>
      </c>
      <c r="D661" s="40"/>
      <c r="E661" s="40"/>
      <c r="F661" s="40"/>
      <c r="G661" s="40"/>
      <c r="H661" s="40"/>
      <c r="I661" s="40"/>
      <c r="J661" s="263">
        <f>'Baseline Health'!G150</f>
        <v>0</v>
      </c>
      <c r="K661" s="41"/>
    </row>
    <row r="662" spans="2:14" x14ac:dyDescent="0.2">
      <c r="B662" s="38"/>
      <c r="C662" s="40" t="s">
        <v>341</v>
      </c>
      <c r="D662" s="40"/>
      <c r="E662" s="40"/>
      <c r="F662" s="40"/>
      <c r="G662" s="40"/>
      <c r="H662" s="40"/>
      <c r="I662" s="40"/>
      <c r="J662" s="273">
        <v>0</v>
      </c>
      <c r="K662" s="41"/>
    </row>
    <row r="663" spans="2:14" x14ac:dyDescent="0.2">
      <c r="B663" s="38"/>
      <c r="C663" s="40" t="s">
        <v>450</v>
      </c>
      <c r="D663" s="40"/>
      <c r="E663" s="40"/>
      <c r="F663" s="40"/>
      <c r="G663" s="40"/>
      <c r="H663" s="40"/>
      <c r="I663" s="40"/>
      <c r="J663" s="263">
        <f>J26</f>
        <v>2</v>
      </c>
      <c r="K663" s="41"/>
    </row>
    <row r="664" spans="2:14" ht="15" customHeight="1" x14ac:dyDescent="0.2">
      <c r="B664" s="38"/>
      <c r="C664" s="291"/>
      <c r="D664" s="380" t="s">
        <v>342</v>
      </c>
      <c r="E664" s="380"/>
      <c r="F664" s="380"/>
      <c r="G664" s="380"/>
      <c r="H664" s="380"/>
      <c r="I664" s="380"/>
      <c r="J664" s="245"/>
      <c r="K664" s="41"/>
    </row>
    <row r="665" spans="2:14" x14ac:dyDescent="0.2">
      <c r="B665" s="38"/>
      <c r="C665" s="291"/>
      <c r="D665" s="380"/>
      <c r="E665" s="380"/>
      <c r="F665" s="380"/>
      <c r="G665" s="380"/>
      <c r="H665" s="380"/>
      <c r="I665" s="380"/>
      <c r="J665" s="245"/>
      <c r="K665" s="41"/>
    </row>
    <row r="666" spans="2:14" x14ac:dyDescent="0.2">
      <c r="B666" s="38"/>
      <c r="C666" s="40" t="s">
        <v>260</v>
      </c>
      <c r="D666" s="40"/>
      <c r="E666" s="40"/>
      <c r="F666" s="40"/>
      <c r="G666" s="40"/>
      <c r="H666" s="40"/>
      <c r="I666" s="40"/>
      <c r="J666" s="245" t="str">
        <f>IF(OR(J661=0,J661="Not Calculated")=TRUE,"Not Calculated",IF(((J661+J663)/(J661-J662))&lt;=1,0,IF(((J661+J663)/(J661-J662))&lt;=1.1,1,IF(((J661+J663)/(J661-J662))&lt;=1.5, 2,IF(((J661+J663)/(J661-J662))&lt;=2,3,4)))))</f>
        <v>Not Calculated</v>
      </c>
      <c r="K666" s="41"/>
    </row>
    <row r="667" spans="2:14" ht="9.75" customHeight="1" x14ac:dyDescent="0.2">
      <c r="B667" s="38"/>
      <c r="C667" s="279" t="str">
        <f>"0:"</f>
        <v>0:</v>
      </c>
      <c r="D667" s="278" t="s">
        <v>918</v>
      </c>
      <c r="E667" s="291"/>
      <c r="F667" s="291"/>
      <c r="G667" s="291"/>
      <c r="H667" s="291"/>
      <c r="I667" s="291"/>
      <c r="J667" s="245"/>
      <c r="K667" s="41"/>
    </row>
    <row r="668" spans="2:14" ht="9.75" customHeight="1" x14ac:dyDescent="0.2">
      <c r="B668" s="38"/>
      <c r="C668" s="280" t="str">
        <f>"1:"</f>
        <v>1:</v>
      </c>
      <c r="D668" s="278" t="s">
        <v>923</v>
      </c>
      <c r="E668" s="291"/>
      <c r="F668" s="291"/>
      <c r="G668" s="291"/>
      <c r="H668" s="291"/>
      <c r="I668" s="291"/>
      <c r="J668" s="245"/>
      <c r="K668" s="41"/>
    </row>
    <row r="669" spans="2:14" ht="9.75" customHeight="1" x14ac:dyDescent="0.2">
      <c r="B669" s="38"/>
      <c r="C669" s="280" t="str">
        <f>"2:"</f>
        <v>2:</v>
      </c>
      <c r="D669" s="278" t="s">
        <v>924</v>
      </c>
      <c r="E669" s="291"/>
      <c r="F669" s="291"/>
      <c r="G669" s="291"/>
      <c r="H669" s="291"/>
      <c r="I669" s="291"/>
      <c r="J669" s="245"/>
      <c r="K669" s="41"/>
    </row>
    <row r="670" spans="2:14" ht="9.75" customHeight="1" x14ac:dyDescent="0.2">
      <c r="B670" s="38"/>
      <c r="C670" s="280" t="str">
        <f>"3:"</f>
        <v>3:</v>
      </c>
      <c r="D670" s="278" t="s">
        <v>925</v>
      </c>
      <c r="E670" s="291"/>
      <c r="F670" s="291"/>
      <c r="G670" s="291"/>
      <c r="H670" s="291"/>
      <c r="I670" s="291"/>
      <c r="J670" s="245"/>
      <c r="K670" s="41"/>
    </row>
    <row r="671" spans="2:14" ht="9.75" customHeight="1" x14ac:dyDescent="0.2">
      <c r="B671" s="38"/>
      <c r="C671" s="280" t="str">
        <f>"4:"</f>
        <v>4:</v>
      </c>
      <c r="D671" s="278" t="s">
        <v>926</v>
      </c>
      <c r="E671" s="40"/>
      <c r="F671" s="40"/>
      <c r="G671" s="40"/>
      <c r="H671" s="40"/>
      <c r="I671" s="40"/>
      <c r="J671" s="40"/>
      <c r="K671" s="41"/>
      <c r="N671" s="12" t="s">
        <v>661</v>
      </c>
    </row>
    <row r="672" spans="2:14" ht="15" customHeight="1" x14ac:dyDescent="0.2">
      <c r="B672" s="38"/>
      <c r="C672" s="174" t="s">
        <v>662</v>
      </c>
      <c r="D672" s="40"/>
      <c r="E672" s="40"/>
      <c r="F672" s="40"/>
      <c r="G672" s="40"/>
      <c r="H672" s="40"/>
      <c r="I672" s="40"/>
      <c r="J672" s="265" t="s">
        <v>661</v>
      </c>
      <c r="K672" s="41"/>
      <c r="N672" s="12" t="s">
        <v>894</v>
      </c>
    </row>
    <row r="673" spans="2:14" ht="15" customHeight="1" x14ac:dyDescent="0.2">
      <c r="B673" s="38"/>
      <c r="C673" s="174" t="s">
        <v>660</v>
      </c>
      <c r="D673" s="40"/>
      <c r="E673" s="40"/>
      <c r="F673" s="40"/>
      <c r="G673" s="40"/>
      <c r="H673" s="40"/>
      <c r="I673" s="40"/>
      <c r="J673" s="246" t="str">
        <f>IF(J672=N671,"N/A",IF(J672=N672,0,IF(J672=N673,1,IF(J672=N674,2,IF(J672=N675,3,IF(J672=N676,4,"N/A"))))))</f>
        <v>N/A</v>
      </c>
      <c r="K673" s="41"/>
      <c r="N673" s="12" t="s">
        <v>908</v>
      </c>
    </row>
    <row r="674" spans="2:14" ht="15" customHeight="1" x14ac:dyDescent="0.2">
      <c r="B674" s="38"/>
      <c r="C674" s="40" t="s">
        <v>257</v>
      </c>
      <c r="D674" s="40"/>
      <c r="E674" s="40"/>
      <c r="F674" s="40"/>
      <c r="G674" s="40"/>
      <c r="H674" s="40"/>
      <c r="I674" s="40"/>
      <c r="J674" s="266" t="s">
        <v>882</v>
      </c>
      <c r="K674" s="41"/>
      <c r="N674" s="12" t="s">
        <v>900</v>
      </c>
    </row>
    <row r="675" spans="2:14" x14ac:dyDescent="0.2">
      <c r="B675" s="38"/>
      <c r="C675" s="40" t="s">
        <v>261</v>
      </c>
      <c r="D675" s="40"/>
      <c r="E675" s="40"/>
      <c r="F675" s="40"/>
      <c r="G675" s="40"/>
      <c r="H675" s="40"/>
      <c r="I675" s="40"/>
      <c r="J675" s="245">
        <f>IF(J674=$B$973,$A$973,IF(J674=$B$974,$A$974,IF(J674=$B$975,$A$975,IF(J674=$B$976,$A$976,IF(J674=$B$977,$A$977,"Not Calculated")))))</f>
        <v>1</v>
      </c>
      <c r="K675" s="41"/>
      <c r="N675" s="12" t="s">
        <v>901</v>
      </c>
    </row>
    <row r="676" spans="2:14" ht="15" customHeight="1" x14ac:dyDescent="0.2">
      <c r="B676" s="38"/>
      <c r="C676" s="40" t="s">
        <v>893</v>
      </c>
      <c r="D676" s="40"/>
      <c r="E676" s="40"/>
      <c r="F676" s="40"/>
      <c r="G676" s="40"/>
      <c r="H676" s="40"/>
      <c r="I676" s="40"/>
      <c r="J676" s="40"/>
      <c r="K676" s="41"/>
      <c r="N676" s="12" t="s">
        <v>909</v>
      </c>
    </row>
    <row r="677" spans="2:14" ht="30" customHeight="1" x14ac:dyDescent="0.2">
      <c r="B677" s="38"/>
      <c r="C677" s="399"/>
      <c r="D677" s="400"/>
      <c r="E677" s="400"/>
      <c r="F677" s="400"/>
      <c r="G677" s="400"/>
      <c r="H677" s="400"/>
      <c r="I677" s="400"/>
      <c r="J677" s="401"/>
      <c r="K677" s="41"/>
    </row>
    <row r="678" spans="2:14" x14ac:dyDescent="0.2">
      <c r="B678" s="38"/>
      <c r="C678" s="40"/>
      <c r="D678" s="40"/>
      <c r="E678" s="40"/>
      <c r="F678" s="40"/>
      <c r="G678" s="40"/>
      <c r="H678" s="40"/>
      <c r="I678" s="40"/>
      <c r="J678" s="40"/>
      <c r="K678" s="41"/>
    </row>
    <row r="679" spans="2:14" x14ac:dyDescent="0.2">
      <c r="B679" s="38"/>
      <c r="C679" s="179" t="s">
        <v>331</v>
      </c>
      <c r="D679" s="40"/>
      <c r="E679" s="40"/>
      <c r="F679" s="40"/>
      <c r="G679" s="40"/>
      <c r="H679" s="40"/>
      <c r="I679" s="40"/>
      <c r="J679" s="245" t="str">
        <f>IF(J673="N/A",IF(OR(J666="Not Calculated",J675="Not Calculated")=TRUE,"Not Calculated",AVERAGE(J666,J675)),AVERAGE(J673,J675))</f>
        <v>Not Calculated</v>
      </c>
      <c r="K679" s="41"/>
    </row>
    <row r="680" spans="2:14" x14ac:dyDescent="0.2">
      <c r="B680" s="38"/>
      <c r="C680" s="40"/>
      <c r="D680" s="40"/>
      <c r="E680" s="40"/>
      <c r="F680" s="40"/>
      <c r="G680" s="40"/>
      <c r="H680" s="40"/>
      <c r="I680" s="40"/>
      <c r="J680" s="40"/>
      <c r="K680" s="41"/>
    </row>
    <row r="681" spans="2:14" ht="18" x14ac:dyDescent="0.2">
      <c r="B681" s="38"/>
      <c r="C681" s="180" t="s">
        <v>332</v>
      </c>
      <c r="D681" s="40"/>
      <c r="E681" s="40"/>
      <c r="F681" s="40"/>
      <c r="G681" s="40"/>
      <c r="H681" s="40"/>
      <c r="I681" s="40"/>
      <c r="J681" s="244" t="str">
        <f>IF(OR(J562="Not Calculated",J585="Not Calculated",J601="Not Calculated",J615="Not Calculated",J635="Not Calculated",J657="Not Calculated",J679="Not Calculated")=TRUE,"Not Calculated",AVERAGE(J562,J585,J601,J615,J635,J657,J679))</f>
        <v>Not Calculated</v>
      </c>
      <c r="K681" s="41"/>
    </row>
    <row r="682" spans="2:14" ht="16" thickBot="1" x14ac:dyDescent="0.25">
      <c r="B682" s="46"/>
      <c r="C682" s="47"/>
      <c r="D682" s="47"/>
      <c r="E682" s="47"/>
      <c r="F682" s="47"/>
      <c r="G682" s="47"/>
      <c r="H682" s="47"/>
      <c r="I682" s="47"/>
      <c r="J682" s="47"/>
      <c r="K682" s="49"/>
    </row>
    <row r="683" spans="2:14" ht="16" thickBot="1" x14ac:dyDescent="0.25"/>
    <row r="684" spans="2:14" x14ac:dyDescent="0.2">
      <c r="B684" s="33"/>
      <c r="C684" s="34"/>
      <c r="D684" s="34"/>
      <c r="E684" s="34"/>
      <c r="F684" s="34"/>
      <c r="G684" s="34"/>
      <c r="H684" s="34"/>
      <c r="I684" s="34"/>
      <c r="J684" s="34"/>
      <c r="K684" s="37"/>
    </row>
    <row r="685" spans="2:14" ht="21" x14ac:dyDescent="0.25">
      <c r="B685" s="38"/>
      <c r="C685" s="40"/>
      <c r="D685" s="40"/>
      <c r="E685" s="40"/>
      <c r="F685" s="40"/>
      <c r="G685" s="172" t="s">
        <v>346</v>
      </c>
      <c r="H685" s="40"/>
      <c r="I685" s="40"/>
      <c r="J685" s="40"/>
      <c r="K685" s="41"/>
    </row>
    <row r="686" spans="2:14" x14ac:dyDescent="0.2">
      <c r="B686" s="38"/>
      <c r="C686" s="40"/>
      <c r="D686" s="40"/>
      <c r="E686" s="40"/>
      <c r="F686" s="40"/>
      <c r="G686" s="40"/>
      <c r="H686" s="40"/>
      <c r="I686" s="40"/>
      <c r="J686" s="40"/>
      <c r="K686" s="41"/>
    </row>
    <row r="687" spans="2:14" ht="16" x14ac:dyDescent="0.2">
      <c r="B687" s="38"/>
      <c r="C687" s="182" t="s">
        <v>986</v>
      </c>
      <c r="D687" s="40"/>
      <c r="E687" s="40"/>
      <c r="F687" s="40"/>
      <c r="G687" s="40"/>
      <c r="H687" s="40"/>
      <c r="I687" s="40"/>
      <c r="J687" s="257" t="str">
        <f>IF(OR($J$133="Not Calculated",$J$261="Not Calculated",$J$421="Not Calculated",$J$539="Not Calculated",$J$681="Not Calculated")=TRUE,"Not Calculated",AVERAGE($J$133,$J$261,$J$421,$J$539,$J$681))</f>
        <v>Not Calculated</v>
      </c>
      <c r="K687" s="41"/>
    </row>
    <row r="688" spans="2:14" x14ac:dyDescent="0.2">
      <c r="B688" s="38"/>
      <c r="C688" s="40"/>
      <c r="D688" s="40" t="s">
        <v>343</v>
      </c>
      <c r="E688" s="40"/>
      <c r="F688" s="40"/>
      <c r="G688" s="40"/>
      <c r="H688" s="40"/>
      <c r="I688" s="40"/>
      <c r="J688" s="40"/>
      <c r="K688" s="41"/>
    </row>
    <row r="689" spans="2:11" ht="15" customHeight="1" x14ac:dyDescent="0.2">
      <c r="B689" s="38"/>
      <c r="C689" s="40"/>
      <c r="D689" s="40"/>
      <c r="E689" s="40"/>
      <c r="F689" s="40"/>
      <c r="G689" s="40"/>
      <c r="H689" s="40"/>
      <c r="I689" s="40"/>
      <c r="J689" s="40"/>
      <c r="K689" s="41"/>
    </row>
    <row r="690" spans="2:11" ht="16" x14ac:dyDescent="0.2">
      <c r="B690" s="38"/>
      <c r="C690" s="182" t="s">
        <v>987</v>
      </c>
      <c r="D690" s="40"/>
      <c r="E690" s="40"/>
      <c r="F690" s="40"/>
      <c r="G690" s="40"/>
      <c r="H690" s="40"/>
      <c r="I690" s="40"/>
      <c r="J690" s="257" t="str">
        <f>IF(OR($J$133="Not Calculated",$J$261="Not Calculated",$J$539="Not Calculated",$J$681="Not Calculated")=TRUE,"Not Calculated",AVERAGE($J$133,$J$261,$J$539,$J$681))</f>
        <v>Not Calculated</v>
      </c>
      <c r="K690" s="41"/>
    </row>
    <row r="691" spans="2:11" ht="15" customHeight="1" x14ac:dyDescent="0.2">
      <c r="B691" s="38"/>
      <c r="C691" s="40"/>
      <c r="D691" s="40" t="s">
        <v>344</v>
      </c>
      <c r="E691" s="40"/>
      <c r="F691" s="40"/>
      <c r="G691" s="40"/>
      <c r="H691" s="40"/>
      <c r="I691" s="40"/>
      <c r="J691" s="40"/>
      <c r="K691" s="41"/>
    </row>
    <row r="692" spans="2:11" x14ac:dyDescent="0.2">
      <c r="B692" s="38"/>
      <c r="C692" s="40"/>
      <c r="D692" s="40"/>
      <c r="E692" s="40"/>
      <c r="F692" s="40"/>
      <c r="G692" s="40"/>
      <c r="H692" s="40"/>
      <c r="I692" s="40"/>
      <c r="J692" s="40"/>
      <c r="K692" s="41"/>
    </row>
    <row r="693" spans="2:11" ht="16" x14ac:dyDescent="0.2">
      <c r="B693" s="38"/>
      <c r="C693" s="182" t="s">
        <v>988</v>
      </c>
      <c r="D693" s="40"/>
      <c r="E693" s="40"/>
      <c r="F693" s="40"/>
      <c r="G693" s="40"/>
      <c r="H693" s="40"/>
      <c r="I693" s="40"/>
      <c r="J693" s="257" t="str">
        <f>IF(OR($J$133="Not Calculated",$J$261="Not Calculated",$J$421="Not Calculated")=TRUE,"Not Calculated",AVERAGE($J$133,$J$261,$J$421))</f>
        <v>Not Calculated</v>
      </c>
      <c r="K693" s="41"/>
    </row>
    <row r="694" spans="2:11" x14ac:dyDescent="0.2">
      <c r="B694" s="38"/>
      <c r="C694" s="40"/>
      <c r="D694" s="40" t="s">
        <v>345</v>
      </c>
      <c r="E694" s="40"/>
      <c r="F694" s="40"/>
      <c r="G694" s="40"/>
      <c r="H694" s="40"/>
      <c r="I694" s="40"/>
      <c r="J694" s="40"/>
      <c r="K694" s="41"/>
    </row>
    <row r="695" spans="2:11" ht="16" thickBot="1" x14ac:dyDescent="0.25">
      <c r="B695" s="46"/>
      <c r="C695" s="47"/>
      <c r="D695" s="47"/>
      <c r="E695" s="47"/>
      <c r="F695" s="47"/>
      <c r="G695" s="47"/>
      <c r="H695" s="47"/>
      <c r="I695" s="47"/>
      <c r="J695" s="47"/>
      <c r="K695" s="49"/>
    </row>
    <row r="696" spans="2:11" ht="16" thickBot="1" x14ac:dyDescent="0.25"/>
    <row r="697" spans="2:11" x14ac:dyDescent="0.2">
      <c r="B697" s="183"/>
      <c r="C697" s="184"/>
      <c r="D697" s="184"/>
      <c r="E697" s="184"/>
      <c r="F697" s="184"/>
      <c r="G697" s="184"/>
      <c r="H697" s="184"/>
      <c r="I697" s="184"/>
      <c r="J697" s="184"/>
      <c r="K697" s="185"/>
    </row>
    <row r="698" spans="2:11" ht="21" x14ac:dyDescent="0.25">
      <c r="B698" s="186"/>
      <c r="C698" s="187"/>
      <c r="D698" s="187"/>
      <c r="E698" s="187"/>
      <c r="F698" s="187"/>
      <c r="G698" s="188" t="s">
        <v>231</v>
      </c>
      <c r="H698" s="187"/>
      <c r="I698" s="187"/>
      <c r="J698" s="187"/>
      <c r="K698" s="189"/>
    </row>
    <row r="699" spans="2:11" x14ac:dyDescent="0.2">
      <c r="B699" s="186"/>
      <c r="C699" s="187"/>
      <c r="D699" s="187"/>
      <c r="E699" s="187"/>
      <c r="F699" s="187"/>
      <c r="G699" s="187"/>
      <c r="H699" s="187"/>
      <c r="I699" s="187"/>
      <c r="J699" s="187"/>
      <c r="K699" s="189"/>
    </row>
    <row r="700" spans="2:11" ht="16" x14ac:dyDescent="0.2">
      <c r="B700" s="186"/>
      <c r="C700" s="190" t="s">
        <v>989</v>
      </c>
      <c r="D700" s="187"/>
      <c r="E700" s="187"/>
      <c r="F700" s="187"/>
      <c r="G700" s="187"/>
      <c r="H700" s="187"/>
      <c r="I700" s="187"/>
      <c r="J700" s="256" t="str">
        <f>IF(OR(J687="Not Calculated",$E$17="Not Calculated")=TRUE,"Not Calculated",(J687*$E$17*100/16))</f>
        <v>Not Calculated</v>
      </c>
      <c r="K700" s="189"/>
    </row>
    <row r="701" spans="2:11" x14ac:dyDescent="0.2">
      <c r="B701" s="186"/>
      <c r="C701" s="187"/>
      <c r="D701" s="187" t="s">
        <v>377</v>
      </c>
      <c r="E701" s="187"/>
      <c r="F701" s="187"/>
      <c r="G701" s="187"/>
      <c r="H701" s="187"/>
      <c r="I701" s="187"/>
      <c r="J701" s="187"/>
      <c r="K701" s="189"/>
    </row>
    <row r="702" spans="2:11" x14ac:dyDescent="0.2">
      <c r="B702" s="186"/>
      <c r="C702" s="187"/>
      <c r="D702" s="187"/>
      <c r="E702" s="187"/>
      <c r="F702" s="187"/>
      <c r="G702" s="187"/>
      <c r="H702" s="187"/>
      <c r="I702" s="187"/>
      <c r="J702" s="187"/>
      <c r="K702" s="189"/>
    </row>
    <row r="703" spans="2:11" ht="16" x14ac:dyDescent="0.2">
      <c r="B703" s="186"/>
      <c r="C703" s="190" t="s">
        <v>990</v>
      </c>
      <c r="D703" s="187"/>
      <c r="E703" s="187"/>
      <c r="F703" s="187"/>
      <c r="G703" s="187"/>
      <c r="H703" s="187"/>
      <c r="I703" s="187"/>
      <c r="J703" s="256" t="str">
        <f>IF(OR(J690="Not Calculated",$E$17="Not Calculated")=TRUE,"Not Calculated",(J690*$E$17*100/16))</f>
        <v>Not Calculated</v>
      </c>
      <c r="K703" s="189"/>
    </row>
    <row r="704" spans="2:11" x14ac:dyDescent="0.2">
      <c r="B704" s="186"/>
      <c r="C704" s="187"/>
      <c r="D704" s="187" t="s">
        <v>378</v>
      </c>
      <c r="E704" s="187"/>
      <c r="F704" s="187"/>
      <c r="G704" s="187"/>
      <c r="H704" s="187"/>
      <c r="I704" s="187"/>
      <c r="J704" s="187"/>
      <c r="K704" s="189"/>
    </row>
    <row r="705" spans="2:11" x14ac:dyDescent="0.2">
      <c r="B705" s="186"/>
      <c r="C705" s="187"/>
      <c r="D705" s="187"/>
      <c r="E705" s="187"/>
      <c r="F705" s="187"/>
      <c r="G705" s="187"/>
      <c r="H705" s="187"/>
      <c r="I705" s="187"/>
      <c r="J705" s="187"/>
      <c r="K705" s="189"/>
    </row>
    <row r="706" spans="2:11" ht="16" x14ac:dyDescent="0.2">
      <c r="B706" s="186"/>
      <c r="C706" s="190" t="s">
        <v>991</v>
      </c>
      <c r="D706" s="187"/>
      <c r="E706" s="187"/>
      <c r="F706" s="187"/>
      <c r="G706" s="187"/>
      <c r="H706" s="187"/>
      <c r="I706" s="187"/>
      <c r="J706" s="256" t="str">
        <f>IF(OR(J693="Not Calculated",$E$17="Not Calculated")=TRUE,"Not Calculated",(J693*$E$17*100/16))</f>
        <v>Not Calculated</v>
      </c>
      <c r="K706" s="189"/>
    </row>
    <row r="707" spans="2:11" x14ac:dyDescent="0.2">
      <c r="B707" s="186"/>
      <c r="C707" s="187"/>
      <c r="D707" s="187" t="s">
        <v>379</v>
      </c>
      <c r="E707" s="187"/>
      <c r="F707" s="187"/>
      <c r="G707" s="187"/>
      <c r="H707" s="187"/>
      <c r="I707" s="187"/>
      <c r="J707" s="187"/>
      <c r="K707" s="189"/>
    </row>
    <row r="708" spans="2:11" ht="16" thickBot="1" x14ac:dyDescent="0.25">
      <c r="B708" s="191"/>
      <c r="C708" s="192"/>
      <c r="D708" s="192"/>
      <c r="E708" s="192"/>
      <c r="F708" s="192"/>
      <c r="G708" s="192"/>
      <c r="H708" s="192"/>
      <c r="I708" s="192"/>
      <c r="J708" s="192"/>
      <c r="K708" s="193"/>
    </row>
    <row r="709" spans="2:11" ht="16" thickBot="1" x14ac:dyDescent="0.25"/>
    <row r="710" spans="2:11" x14ac:dyDescent="0.2">
      <c r="B710" s="53"/>
      <c r="C710" s="54"/>
      <c r="D710" s="54"/>
      <c r="E710" s="54"/>
      <c r="F710" s="54"/>
      <c r="G710" s="54"/>
      <c r="H710" s="54"/>
      <c r="I710" s="54"/>
      <c r="J710" s="54"/>
      <c r="K710" s="56"/>
    </row>
    <row r="711" spans="2:11" ht="21" x14ac:dyDescent="0.25">
      <c r="B711" s="57"/>
      <c r="C711" s="59"/>
      <c r="D711" s="59"/>
      <c r="E711" s="59"/>
      <c r="F711" s="59"/>
      <c r="G711" s="194" t="s">
        <v>232</v>
      </c>
      <c r="H711" s="59"/>
      <c r="I711" s="59"/>
      <c r="J711" s="59"/>
      <c r="K711" s="61"/>
    </row>
    <row r="712" spans="2:11" x14ac:dyDescent="0.2">
      <c r="B712" s="57"/>
      <c r="C712" s="59"/>
      <c r="D712" s="59"/>
      <c r="E712" s="59"/>
      <c r="F712" s="59"/>
      <c r="G712" s="59"/>
      <c r="H712" s="59"/>
      <c r="I712" s="59"/>
      <c r="J712" s="59"/>
      <c r="K712" s="61"/>
    </row>
    <row r="713" spans="2:11" ht="16" x14ac:dyDescent="0.2">
      <c r="B713" s="57"/>
      <c r="C713" s="195" t="s">
        <v>363</v>
      </c>
      <c r="D713" s="59"/>
      <c r="E713" s="59"/>
      <c r="F713" s="59"/>
      <c r="G713" s="59"/>
      <c r="H713" s="59"/>
      <c r="I713" s="59"/>
      <c r="J713" s="59"/>
      <c r="K713" s="61"/>
    </row>
    <row r="714" spans="2:11" ht="15" customHeight="1" x14ac:dyDescent="0.2">
      <c r="B714" s="57"/>
      <c r="C714" s="411" t="s">
        <v>364</v>
      </c>
      <c r="D714" s="411"/>
      <c r="E714" s="411"/>
      <c r="F714" s="411"/>
      <c r="G714" s="411"/>
      <c r="H714" s="411"/>
      <c r="I714" s="411"/>
      <c r="J714" s="411"/>
      <c r="K714" s="61"/>
    </row>
    <row r="715" spans="2:11" x14ac:dyDescent="0.2">
      <c r="B715" s="57"/>
      <c r="C715" s="411"/>
      <c r="D715" s="411"/>
      <c r="E715" s="411"/>
      <c r="F715" s="411"/>
      <c r="G715" s="411"/>
      <c r="H715" s="411"/>
      <c r="I715" s="411"/>
      <c r="J715" s="411"/>
      <c r="K715" s="61"/>
    </row>
    <row r="716" spans="2:11" x14ac:dyDescent="0.2">
      <c r="B716" s="57"/>
      <c r="C716" s="411"/>
      <c r="D716" s="411"/>
      <c r="E716" s="411"/>
      <c r="F716" s="411"/>
      <c r="G716" s="411"/>
      <c r="H716" s="411"/>
      <c r="I716" s="411"/>
      <c r="J716" s="411"/>
      <c r="K716" s="61"/>
    </row>
    <row r="717" spans="2:11" x14ac:dyDescent="0.2">
      <c r="B717" s="57"/>
      <c r="C717" s="196" t="s">
        <v>30</v>
      </c>
      <c r="D717" s="59"/>
      <c r="E717" s="59"/>
      <c r="F717" s="59"/>
      <c r="G717" s="431" t="s">
        <v>190</v>
      </c>
      <c r="H717" s="431"/>
      <c r="I717" s="59"/>
      <c r="J717" s="260">
        <f>IF(G717=$B$994,$A$994,IF(G717=$B$995,$A$995,"Not Calculated"))</f>
        <v>1</v>
      </c>
      <c r="K717" s="61"/>
    </row>
    <row r="718" spans="2:11" x14ac:dyDescent="0.2">
      <c r="B718" s="57"/>
      <c r="C718" s="196" t="s">
        <v>32</v>
      </c>
      <c r="D718" s="59"/>
      <c r="E718" s="59"/>
      <c r="F718" s="59"/>
      <c r="G718" s="431" t="s">
        <v>190</v>
      </c>
      <c r="H718" s="431"/>
      <c r="I718" s="59"/>
      <c r="J718" s="260">
        <f t="shared" ref="J718:J725" si="0">IF(G718=$B$994,$A$994,IF(G718=$B$995,$A$995,"Not Calculated"))</f>
        <v>1</v>
      </c>
      <c r="K718" s="61"/>
    </row>
    <row r="719" spans="2:11" x14ac:dyDescent="0.2">
      <c r="B719" s="57"/>
      <c r="C719" s="196" t="s">
        <v>34</v>
      </c>
      <c r="D719" s="59"/>
      <c r="E719" s="59"/>
      <c r="F719" s="59"/>
      <c r="G719" s="431" t="s">
        <v>190</v>
      </c>
      <c r="H719" s="431"/>
      <c r="I719" s="59"/>
      <c r="J719" s="260">
        <f t="shared" si="0"/>
        <v>1</v>
      </c>
      <c r="K719" s="61"/>
    </row>
    <row r="720" spans="2:11" x14ac:dyDescent="0.2">
      <c r="B720" s="57"/>
      <c r="C720" s="196" t="s">
        <v>35</v>
      </c>
      <c r="D720" s="59"/>
      <c r="E720" s="59"/>
      <c r="F720" s="59"/>
      <c r="G720" s="431" t="s">
        <v>190</v>
      </c>
      <c r="H720" s="431"/>
      <c r="I720" s="59"/>
      <c r="J720" s="260">
        <f t="shared" si="0"/>
        <v>1</v>
      </c>
      <c r="K720" s="61"/>
    </row>
    <row r="721" spans="2:11" x14ac:dyDescent="0.2">
      <c r="B721" s="57"/>
      <c r="C721" s="196" t="s">
        <v>37</v>
      </c>
      <c r="D721" s="59"/>
      <c r="E721" s="59"/>
      <c r="F721" s="59"/>
      <c r="G721" s="431" t="s">
        <v>190</v>
      </c>
      <c r="H721" s="431"/>
      <c r="I721" s="59"/>
      <c r="J721" s="260">
        <f t="shared" si="0"/>
        <v>1</v>
      </c>
      <c r="K721" s="61"/>
    </row>
    <row r="722" spans="2:11" x14ac:dyDescent="0.2">
      <c r="B722" s="57"/>
      <c r="C722" s="196" t="s">
        <v>38</v>
      </c>
      <c r="D722" s="59"/>
      <c r="E722" s="59"/>
      <c r="F722" s="59"/>
      <c r="G722" s="431" t="s">
        <v>190</v>
      </c>
      <c r="H722" s="431"/>
      <c r="I722" s="59"/>
      <c r="J722" s="260">
        <f t="shared" si="0"/>
        <v>1</v>
      </c>
      <c r="K722" s="61"/>
    </row>
    <row r="723" spans="2:11" x14ac:dyDescent="0.2">
      <c r="B723" s="57"/>
      <c r="C723" s="196" t="s">
        <v>40</v>
      </c>
      <c r="D723" s="59"/>
      <c r="E723" s="59"/>
      <c r="F723" s="59"/>
      <c r="G723" s="431" t="s">
        <v>190</v>
      </c>
      <c r="H723" s="431"/>
      <c r="I723" s="59"/>
      <c r="J723" s="260">
        <f t="shared" si="0"/>
        <v>1</v>
      </c>
      <c r="K723" s="61"/>
    </row>
    <row r="724" spans="2:11" x14ac:dyDescent="0.2">
      <c r="B724" s="57"/>
      <c r="C724" s="196" t="s">
        <v>41</v>
      </c>
      <c r="D724" s="59"/>
      <c r="E724" s="59"/>
      <c r="F724" s="59"/>
      <c r="G724" s="431" t="s">
        <v>190</v>
      </c>
      <c r="H724" s="431"/>
      <c r="I724" s="59"/>
      <c r="J724" s="260">
        <f t="shared" si="0"/>
        <v>1</v>
      </c>
      <c r="K724" s="61"/>
    </row>
    <row r="725" spans="2:11" x14ac:dyDescent="0.2">
      <c r="B725" s="57"/>
      <c r="C725" s="196" t="s">
        <v>43</v>
      </c>
      <c r="D725" s="59"/>
      <c r="E725" s="59"/>
      <c r="F725" s="59"/>
      <c r="G725" s="431" t="s">
        <v>190</v>
      </c>
      <c r="H725" s="431"/>
      <c r="I725" s="59"/>
      <c r="J725" s="260">
        <f t="shared" si="0"/>
        <v>1</v>
      </c>
      <c r="K725" s="61"/>
    </row>
    <row r="726" spans="2:11" x14ac:dyDescent="0.2">
      <c r="B726" s="57"/>
      <c r="C726" s="59"/>
      <c r="D726" s="59"/>
      <c r="E726" s="59"/>
      <c r="F726" s="59"/>
      <c r="G726" s="59"/>
      <c r="H726" s="59"/>
      <c r="I726" s="59"/>
      <c r="J726" s="59"/>
      <c r="K726" s="61"/>
    </row>
    <row r="727" spans="2:11" x14ac:dyDescent="0.2">
      <c r="B727" s="57"/>
      <c r="C727" s="59"/>
      <c r="D727" s="59"/>
      <c r="E727" s="59"/>
      <c r="F727" s="59"/>
      <c r="G727" s="59"/>
      <c r="H727" s="59"/>
      <c r="I727" s="59"/>
      <c r="J727" s="59"/>
      <c r="K727" s="61"/>
    </row>
    <row r="728" spans="2:11" ht="16" x14ac:dyDescent="0.2">
      <c r="B728" s="57"/>
      <c r="C728" s="195" t="s">
        <v>115</v>
      </c>
      <c r="D728" s="59"/>
      <c r="E728" s="59"/>
      <c r="F728" s="59"/>
      <c r="G728" s="59"/>
      <c r="H728" s="59"/>
      <c r="I728" s="59"/>
      <c r="J728" s="59"/>
      <c r="K728" s="61"/>
    </row>
    <row r="729" spans="2:11" ht="15" customHeight="1" x14ac:dyDescent="0.2">
      <c r="B729" s="57"/>
      <c r="C729" s="411" t="s">
        <v>365</v>
      </c>
      <c r="D729" s="411"/>
      <c r="E729" s="411"/>
      <c r="F729" s="411"/>
      <c r="G729" s="411"/>
      <c r="H729" s="411"/>
      <c r="I729" s="411"/>
      <c r="J729" s="411"/>
      <c r="K729" s="61"/>
    </row>
    <row r="730" spans="2:11" x14ac:dyDescent="0.2">
      <c r="B730" s="57"/>
      <c r="C730" s="411"/>
      <c r="D730" s="411"/>
      <c r="E730" s="411"/>
      <c r="F730" s="411"/>
      <c r="G730" s="411"/>
      <c r="H730" s="411"/>
      <c r="I730" s="411"/>
      <c r="J730" s="411"/>
      <c r="K730" s="61"/>
    </row>
    <row r="731" spans="2:11" x14ac:dyDescent="0.2">
      <c r="B731" s="57"/>
      <c r="C731" s="411"/>
      <c r="D731" s="411"/>
      <c r="E731" s="411"/>
      <c r="F731" s="411"/>
      <c r="G731" s="411"/>
      <c r="H731" s="411"/>
      <c r="I731" s="411"/>
      <c r="J731" s="411"/>
      <c r="K731" s="61"/>
    </row>
    <row r="732" spans="2:11" x14ac:dyDescent="0.2">
      <c r="B732" s="57"/>
      <c r="C732" s="196" t="s">
        <v>30</v>
      </c>
      <c r="D732" s="59"/>
      <c r="E732" s="59"/>
      <c r="F732" s="59"/>
      <c r="G732" s="431" t="s">
        <v>202</v>
      </c>
      <c r="H732" s="431"/>
      <c r="I732" s="59"/>
      <c r="J732" s="260">
        <f>IF(G732=$B$994,$A$994,IF(G732=$B$995,$A$995,"Not Calculated"))</f>
        <v>0</v>
      </c>
      <c r="K732" s="61"/>
    </row>
    <row r="733" spans="2:11" x14ac:dyDescent="0.2">
      <c r="B733" s="57"/>
      <c r="C733" s="196" t="s">
        <v>32</v>
      </c>
      <c r="D733" s="59"/>
      <c r="E733" s="59"/>
      <c r="F733" s="59"/>
      <c r="G733" s="431" t="s">
        <v>202</v>
      </c>
      <c r="H733" s="431"/>
      <c r="I733" s="59"/>
      <c r="J733" s="260">
        <f t="shared" ref="J733:J740" si="1">IF(G733=$B$994,$A$994,IF(G733=$B$995,$A$995,"Not Calculated"))</f>
        <v>0</v>
      </c>
      <c r="K733" s="61"/>
    </row>
    <row r="734" spans="2:11" ht="15" customHeight="1" x14ac:dyDescent="0.2">
      <c r="B734" s="57"/>
      <c r="C734" s="196" t="s">
        <v>34</v>
      </c>
      <c r="D734" s="59"/>
      <c r="E734" s="59"/>
      <c r="F734" s="59"/>
      <c r="G734" s="431" t="s">
        <v>190</v>
      </c>
      <c r="H734" s="431"/>
      <c r="I734" s="59"/>
      <c r="J734" s="260">
        <f t="shared" si="1"/>
        <v>1</v>
      </c>
      <c r="K734" s="61"/>
    </row>
    <row r="735" spans="2:11" x14ac:dyDescent="0.2">
      <c r="B735" s="57"/>
      <c r="C735" s="196" t="s">
        <v>35</v>
      </c>
      <c r="D735" s="59"/>
      <c r="E735" s="59"/>
      <c r="F735" s="59"/>
      <c r="G735" s="431" t="s">
        <v>190</v>
      </c>
      <c r="H735" s="431"/>
      <c r="I735" s="59"/>
      <c r="J735" s="260">
        <f t="shared" si="1"/>
        <v>1</v>
      </c>
      <c r="K735" s="61"/>
    </row>
    <row r="736" spans="2:11" x14ac:dyDescent="0.2">
      <c r="B736" s="57"/>
      <c r="C736" s="196" t="s">
        <v>37</v>
      </c>
      <c r="D736" s="59"/>
      <c r="E736" s="59"/>
      <c r="F736" s="59"/>
      <c r="G736" s="431" t="s">
        <v>202</v>
      </c>
      <c r="H736" s="431"/>
      <c r="I736" s="59"/>
      <c r="J736" s="260">
        <f t="shared" si="1"/>
        <v>0</v>
      </c>
      <c r="K736" s="61"/>
    </row>
    <row r="737" spans="2:11" x14ac:dyDescent="0.2">
      <c r="B737" s="57"/>
      <c r="C737" s="196" t="s">
        <v>38</v>
      </c>
      <c r="D737" s="59"/>
      <c r="E737" s="59"/>
      <c r="F737" s="59"/>
      <c r="G737" s="431" t="s">
        <v>202</v>
      </c>
      <c r="H737" s="431"/>
      <c r="I737" s="59"/>
      <c r="J737" s="260">
        <f t="shared" si="1"/>
        <v>0</v>
      </c>
      <c r="K737" s="61"/>
    </row>
    <row r="738" spans="2:11" x14ac:dyDescent="0.2">
      <c r="B738" s="57"/>
      <c r="C738" s="196" t="s">
        <v>40</v>
      </c>
      <c r="D738" s="59"/>
      <c r="E738" s="59"/>
      <c r="F738" s="59"/>
      <c r="G738" s="431" t="s">
        <v>190</v>
      </c>
      <c r="H738" s="431"/>
      <c r="I738" s="59"/>
      <c r="J738" s="260">
        <f t="shared" si="1"/>
        <v>1</v>
      </c>
      <c r="K738" s="61"/>
    </row>
    <row r="739" spans="2:11" x14ac:dyDescent="0.2">
      <c r="B739" s="57"/>
      <c r="C739" s="196" t="s">
        <v>41</v>
      </c>
      <c r="D739" s="59"/>
      <c r="E739" s="59"/>
      <c r="F739" s="59"/>
      <c r="G739" s="431" t="s">
        <v>202</v>
      </c>
      <c r="H739" s="431"/>
      <c r="I739" s="59"/>
      <c r="J739" s="260">
        <f t="shared" si="1"/>
        <v>0</v>
      </c>
      <c r="K739" s="61"/>
    </row>
    <row r="740" spans="2:11" x14ac:dyDescent="0.2">
      <c r="B740" s="57"/>
      <c r="C740" s="196" t="s">
        <v>43</v>
      </c>
      <c r="D740" s="59"/>
      <c r="E740" s="59"/>
      <c r="F740" s="59"/>
      <c r="G740" s="431" t="s">
        <v>190</v>
      </c>
      <c r="H740" s="431"/>
      <c r="I740" s="59"/>
      <c r="J740" s="260">
        <f t="shared" si="1"/>
        <v>1</v>
      </c>
      <c r="K740" s="61"/>
    </row>
    <row r="741" spans="2:11" x14ac:dyDescent="0.2">
      <c r="B741" s="57"/>
      <c r="C741" s="59"/>
      <c r="D741" s="59"/>
      <c r="E741" s="59"/>
      <c r="F741" s="59"/>
      <c r="G741" s="59"/>
      <c r="H741" s="59"/>
      <c r="I741" s="59"/>
      <c r="J741" s="59"/>
      <c r="K741" s="61"/>
    </row>
    <row r="742" spans="2:11" x14ac:dyDescent="0.2">
      <c r="B742" s="57"/>
      <c r="C742" s="59"/>
      <c r="D742" s="59"/>
      <c r="E742" s="59"/>
      <c r="F742" s="59"/>
      <c r="G742" s="59"/>
      <c r="H742" s="59"/>
      <c r="I742" s="59"/>
      <c r="J742" s="59"/>
      <c r="K742" s="61"/>
    </row>
    <row r="743" spans="2:11" ht="16" x14ac:dyDescent="0.2">
      <c r="B743" s="57"/>
      <c r="C743" s="195" t="s">
        <v>366</v>
      </c>
      <c r="D743" s="59"/>
      <c r="E743" s="59"/>
      <c r="F743" s="59"/>
      <c r="G743" s="59"/>
      <c r="H743" s="59"/>
      <c r="I743" s="59"/>
      <c r="J743" s="59"/>
      <c r="K743" s="61"/>
    </row>
    <row r="744" spans="2:11" ht="15" customHeight="1" x14ac:dyDescent="0.2">
      <c r="B744" s="57"/>
      <c r="C744" s="411" t="s">
        <v>367</v>
      </c>
      <c r="D744" s="411"/>
      <c r="E744" s="411"/>
      <c r="F744" s="411"/>
      <c r="G744" s="411"/>
      <c r="H744" s="411"/>
      <c r="I744" s="411"/>
      <c r="J744" s="411"/>
      <c r="K744" s="61"/>
    </row>
    <row r="745" spans="2:11" x14ac:dyDescent="0.2">
      <c r="B745" s="57"/>
      <c r="C745" s="411"/>
      <c r="D745" s="411"/>
      <c r="E745" s="411"/>
      <c r="F745" s="411"/>
      <c r="G745" s="411"/>
      <c r="H745" s="411"/>
      <c r="I745" s="411"/>
      <c r="J745" s="411"/>
      <c r="K745" s="61"/>
    </row>
    <row r="746" spans="2:11" x14ac:dyDescent="0.2">
      <c r="B746" s="57"/>
      <c r="C746" s="411"/>
      <c r="D746" s="411"/>
      <c r="E746" s="411"/>
      <c r="F746" s="411"/>
      <c r="G746" s="411"/>
      <c r="H746" s="411"/>
      <c r="I746" s="411"/>
      <c r="J746" s="411"/>
      <c r="K746" s="61"/>
    </row>
    <row r="747" spans="2:11" x14ac:dyDescent="0.2">
      <c r="B747" s="57"/>
      <c r="C747" s="196" t="s">
        <v>30</v>
      </c>
      <c r="D747" s="59"/>
      <c r="E747" s="59"/>
      <c r="F747" s="59"/>
      <c r="G747" s="431" t="s">
        <v>202</v>
      </c>
      <c r="H747" s="431"/>
      <c r="I747" s="59"/>
      <c r="J747" s="260">
        <f>IF(G747=$B$994,$A$994,IF(G747=$B$995,$A$995,"Not Calculated"))</f>
        <v>0</v>
      </c>
      <c r="K747" s="61"/>
    </row>
    <row r="748" spans="2:11" x14ac:dyDescent="0.2">
      <c r="B748" s="57"/>
      <c r="C748" s="196" t="s">
        <v>32</v>
      </c>
      <c r="D748" s="59"/>
      <c r="E748" s="59"/>
      <c r="F748" s="59"/>
      <c r="G748" s="431" t="s">
        <v>202</v>
      </c>
      <c r="H748" s="431"/>
      <c r="I748" s="59"/>
      <c r="J748" s="260">
        <f t="shared" ref="J748:J755" si="2">IF(G748=$B$994,$A$994,IF(G748=$B$995,$A$995,"Not Calculated"))</f>
        <v>0</v>
      </c>
      <c r="K748" s="61"/>
    </row>
    <row r="749" spans="2:11" ht="15" customHeight="1" x14ac:dyDescent="0.2">
      <c r="B749" s="57"/>
      <c r="C749" s="196" t="s">
        <v>34</v>
      </c>
      <c r="D749" s="59"/>
      <c r="E749" s="59"/>
      <c r="F749" s="59"/>
      <c r="G749" s="431" t="s">
        <v>202</v>
      </c>
      <c r="H749" s="431"/>
      <c r="I749" s="59"/>
      <c r="J749" s="260">
        <f t="shared" si="2"/>
        <v>0</v>
      </c>
      <c r="K749" s="61"/>
    </row>
    <row r="750" spans="2:11" x14ac:dyDescent="0.2">
      <c r="B750" s="57"/>
      <c r="C750" s="196" t="s">
        <v>35</v>
      </c>
      <c r="D750" s="59"/>
      <c r="E750" s="59"/>
      <c r="F750" s="59"/>
      <c r="G750" s="431" t="s">
        <v>202</v>
      </c>
      <c r="H750" s="431"/>
      <c r="I750" s="59"/>
      <c r="J750" s="260">
        <f t="shared" si="2"/>
        <v>0</v>
      </c>
      <c r="K750" s="61"/>
    </row>
    <row r="751" spans="2:11" x14ac:dyDescent="0.2">
      <c r="B751" s="57"/>
      <c r="C751" s="196" t="s">
        <v>37</v>
      </c>
      <c r="D751" s="59"/>
      <c r="E751" s="59"/>
      <c r="F751" s="59"/>
      <c r="G751" s="431" t="s">
        <v>202</v>
      </c>
      <c r="H751" s="431"/>
      <c r="I751" s="59"/>
      <c r="J751" s="260">
        <f t="shared" si="2"/>
        <v>0</v>
      </c>
      <c r="K751" s="61"/>
    </row>
    <row r="752" spans="2:11" x14ac:dyDescent="0.2">
      <c r="B752" s="57"/>
      <c r="C752" s="196" t="s">
        <v>38</v>
      </c>
      <c r="D752" s="59"/>
      <c r="E752" s="59"/>
      <c r="F752" s="59"/>
      <c r="G752" s="431" t="s">
        <v>202</v>
      </c>
      <c r="H752" s="431"/>
      <c r="I752" s="59"/>
      <c r="J752" s="260">
        <f t="shared" si="2"/>
        <v>0</v>
      </c>
      <c r="K752" s="61"/>
    </row>
    <row r="753" spans="2:11" x14ac:dyDescent="0.2">
      <c r="B753" s="57"/>
      <c r="C753" s="196" t="s">
        <v>40</v>
      </c>
      <c r="D753" s="59"/>
      <c r="E753" s="59"/>
      <c r="F753" s="59"/>
      <c r="G753" s="431" t="s">
        <v>202</v>
      </c>
      <c r="H753" s="431"/>
      <c r="I753" s="59"/>
      <c r="J753" s="260">
        <f t="shared" si="2"/>
        <v>0</v>
      </c>
      <c r="K753" s="61"/>
    </row>
    <row r="754" spans="2:11" x14ac:dyDescent="0.2">
      <c r="B754" s="57"/>
      <c r="C754" s="196" t="s">
        <v>41</v>
      </c>
      <c r="D754" s="59"/>
      <c r="E754" s="59"/>
      <c r="F754" s="59"/>
      <c r="G754" s="431" t="s">
        <v>202</v>
      </c>
      <c r="H754" s="431"/>
      <c r="I754" s="59"/>
      <c r="J754" s="260">
        <f t="shared" si="2"/>
        <v>0</v>
      </c>
      <c r="K754" s="61"/>
    </row>
    <row r="755" spans="2:11" x14ac:dyDescent="0.2">
      <c r="B755" s="57"/>
      <c r="C755" s="196" t="s">
        <v>43</v>
      </c>
      <c r="D755" s="59"/>
      <c r="E755" s="59"/>
      <c r="F755" s="59"/>
      <c r="G755" s="431" t="s">
        <v>202</v>
      </c>
      <c r="H755" s="431"/>
      <c r="I755" s="59"/>
      <c r="J755" s="260">
        <f t="shared" si="2"/>
        <v>0</v>
      </c>
      <c r="K755" s="61"/>
    </row>
    <row r="756" spans="2:11" x14ac:dyDescent="0.2">
      <c r="B756" s="57"/>
      <c r="C756" s="59"/>
      <c r="D756" s="59"/>
      <c r="E756" s="59"/>
      <c r="F756" s="59"/>
      <c r="G756" s="59"/>
      <c r="H756" s="59"/>
      <c r="I756" s="59"/>
      <c r="J756" s="59"/>
      <c r="K756" s="61"/>
    </row>
    <row r="757" spans="2:11" x14ac:dyDescent="0.2">
      <c r="B757" s="57"/>
      <c r="C757" s="59"/>
      <c r="D757" s="59"/>
      <c r="E757" s="59"/>
      <c r="F757" s="59"/>
      <c r="G757" s="59"/>
      <c r="H757" s="59"/>
      <c r="I757" s="59"/>
      <c r="J757" s="59"/>
      <c r="K757" s="61"/>
    </row>
    <row r="758" spans="2:11" ht="16" x14ac:dyDescent="0.2">
      <c r="B758" s="57"/>
      <c r="C758" s="195" t="s">
        <v>368</v>
      </c>
      <c r="D758" s="59"/>
      <c r="E758" s="59"/>
      <c r="F758" s="59"/>
      <c r="G758" s="59"/>
      <c r="H758" s="59"/>
      <c r="I758" s="59"/>
      <c r="J758" s="59"/>
      <c r="K758" s="61"/>
    </row>
    <row r="759" spans="2:11" ht="15" customHeight="1" x14ac:dyDescent="0.2">
      <c r="B759" s="57"/>
      <c r="C759" s="411" t="s">
        <v>369</v>
      </c>
      <c r="D759" s="411"/>
      <c r="E759" s="411"/>
      <c r="F759" s="411"/>
      <c r="G759" s="411"/>
      <c r="H759" s="411"/>
      <c r="I759" s="411"/>
      <c r="J759" s="411"/>
      <c r="K759" s="61"/>
    </row>
    <row r="760" spans="2:11" x14ac:dyDescent="0.2">
      <c r="B760" s="57"/>
      <c r="C760" s="411"/>
      <c r="D760" s="411"/>
      <c r="E760" s="411"/>
      <c r="F760" s="411"/>
      <c r="G760" s="411"/>
      <c r="H760" s="411"/>
      <c r="I760" s="411"/>
      <c r="J760" s="411"/>
      <c r="K760" s="61"/>
    </row>
    <row r="761" spans="2:11" x14ac:dyDescent="0.2">
      <c r="B761" s="57"/>
      <c r="C761" s="411"/>
      <c r="D761" s="411"/>
      <c r="E761" s="411"/>
      <c r="F761" s="411"/>
      <c r="G761" s="411"/>
      <c r="H761" s="411"/>
      <c r="I761" s="411"/>
      <c r="J761" s="411"/>
      <c r="K761" s="61"/>
    </row>
    <row r="762" spans="2:11" x14ac:dyDescent="0.2">
      <c r="B762" s="57"/>
      <c r="C762" s="196" t="s">
        <v>30</v>
      </c>
      <c r="D762" s="59"/>
      <c r="E762" s="59"/>
      <c r="F762" s="59"/>
      <c r="G762" s="431" t="s">
        <v>190</v>
      </c>
      <c r="H762" s="431"/>
      <c r="I762" s="59"/>
      <c r="J762" s="260">
        <f>IF(G762=$B$994,$A$994,IF(G762=$B$995,$A$995,"Not Calculated"))</f>
        <v>1</v>
      </c>
      <c r="K762" s="61"/>
    </row>
    <row r="763" spans="2:11" x14ac:dyDescent="0.2">
      <c r="B763" s="57"/>
      <c r="C763" s="196" t="s">
        <v>32</v>
      </c>
      <c r="D763" s="59"/>
      <c r="E763" s="59"/>
      <c r="F763" s="59"/>
      <c r="G763" s="431" t="s">
        <v>190</v>
      </c>
      <c r="H763" s="431"/>
      <c r="I763" s="59"/>
      <c r="J763" s="260">
        <f t="shared" ref="J763:J770" si="3">IF(G763=$B$994,$A$994,IF(G763=$B$995,$A$995,"Not Calculated"))</f>
        <v>1</v>
      </c>
      <c r="K763" s="61"/>
    </row>
    <row r="764" spans="2:11" ht="15" customHeight="1" x14ac:dyDescent="0.2">
      <c r="B764" s="57"/>
      <c r="C764" s="196" t="s">
        <v>34</v>
      </c>
      <c r="D764" s="59"/>
      <c r="E764" s="59"/>
      <c r="F764" s="59"/>
      <c r="G764" s="431" t="s">
        <v>190</v>
      </c>
      <c r="H764" s="431"/>
      <c r="I764" s="59"/>
      <c r="J764" s="260">
        <f t="shared" si="3"/>
        <v>1</v>
      </c>
      <c r="K764" s="61"/>
    </row>
    <row r="765" spans="2:11" x14ac:dyDescent="0.2">
      <c r="B765" s="57"/>
      <c r="C765" s="196" t="s">
        <v>35</v>
      </c>
      <c r="D765" s="59"/>
      <c r="E765" s="59"/>
      <c r="F765" s="59"/>
      <c r="G765" s="431" t="s">
        <v>190</v>
      </c>
      <c r="H765" s="431"/>
      <c r="I765" s="59"/>
      <c r="J765" s="260">
        <f t="shared" si="3"/>
        <v>1</v>
      </c>
      <c r="K765" s="61"/>
    </row>
    <row r="766" spans="2:11" x14ac:dyDescent="0.2">
      <c r="B766" s="57"/>
      <c r="C766" s="196" t="s">
        <v>37</v>
      </c>
      <c r="D766" s="59"/>
      <c r="E766" s="59"/>
      <c r="F766" s="59"/>
      <c r="G766" s="431" t="s">
        <v>190</v>
      </c>
      <c r="H766" s="431"/>
      <c r="I766" s="59"/>
      <c r="J766" s="260">
        <f t="shared" si="3"/>
        <v>1</v>
      </c>
      <c r="K766" s="61"/>
    </row>
    <row r="767" spans="2:11" x14ac:dyDescent="0.2">
      <c r="B767" s="57"/>
      <c r="C767" s="196" t="s">
        <v>38</v>
      </c>
      <c r="D767" s="59"/>
      <c r="E767" s="59"/>
      <c r="F767" s="59"/>
      <c r="G767" s="431" t="s">
        <v>190</v>
      </c>
      <c r="H767" s="431"/>
      <c r="I767" s="59"/>
      <c r="J767" s="260">
        <f t="shared" si="3"/>
        <v>1</v>
      </c>
      <c r="K767" s="61"/>
    </row>
    <row r="768" spans="2:11" x14ac:dyDescent="0.2">
      <c r="B768" s="57"/>
      <c r="C768" s="196" t="s">
        <v>40</v>
      </c>
      <c r="D768" s="59"/>
      <c r="E768" s="59"/>
      <c r="F768" s="59"/>
      <c r="G768" s="431" t="s">
        <v>190</v>
      </c>
      <c r="H768" s="431"/>
      <c r="I768" s="59"/>
      <c r="J768" s="260">
        <f t="shared" si="3"/>
        <v>1</v>
      </c>
      <c r="K768" s="61"/>
    </row>
    <row r="769" spans="2:11" x14ac:dyDescent="0.2">
      <c r="B769" s="57"/>
      <c r="C769" s="196" t="s">
        <v>41</v>
      </c>
      <c r="D769" s="59"/>
      <c r="E769" s="59"/>
      <c r="F769" s="59"/>
      <c r="G769" s="431" t="s">
        <v>190</v>
      </c>
      <c r="H769" s="431"/>
      <c r="I769" s="59"/>
      <c r="J769" s="260">
        <f t="shared" si="3"/>
        <v>1</v>
      </c>
      <c r="K769" s="61"/>
    </row>
    <row r="770" spans="2:11" x14ac:dyDescent="0.2">
      <c r="B770" s="57"/>
      <c r="C770" s="196" t="s">
        <v>43</v>
      </c>
      <c r="D770" s="59"/>
      <c r="E770" s="59"/>
      <c r="F770" s="59"/>
      <c r="G770" s="431" t="s">
        <v>190</v>
      </c>
      <c r="H770" s="431"/>
      <c r="I770" s="59"/>
      <c r="J770" s="260">
        <f t="shared" si="3"/>
        <v>1</v>
      </c>
      <c r="K770" s="61"/>
    </row>
    <row r="771" spans="2:11" x14ac:dyDescent="0.2">
      <c r="B771" s="57"/>
      <c r="C771" s="59"/>
      <c r="D771" s="59"/>
      <c r="E771" s="59"/>
      <c r="F771" s="59"/>
      <c r="G771" s="59"/>
      <c r="H771" s="59"/>
      <c r="I771" s="59"/>
      <c r="J771" s="59"/>
      <c r="K771" s="61"/>
    </row>
    <row r="772" spans="2:11" x14ac:dyDescent="0.2">
      <c r="B772" s="57"/>
      <c r="C772" s="59"/>
      <c r="D772" s="59"/>
      <c r="E772" s="59"/>
      <c r="F772" s="59"/>
      <c r="G772" s="59"/>
      <c r="H772" s="59"/>
      <c r="I772" s="59"/>
      <c r="J772" s="59"/>
      <c r="K772" s="61"/>
    </row>
    <row r="773" spans="2:11" ht="16" x14ac:dyDescent="0.2">
      <c r="B773" s="57"/>
      <c r="C773" s="197" t="s">
        <v>30</v>
      </c>
      <c r="D773" s="59"/>
      <c r="E773" s="59"/>
      <c r="F773" s="59"/>
      <c r="G773" s="59"/>
      <c r="H773" s="59"/>
      <c r="I773" s="59"/>
      <c r="J773" s="59"/>
      <c r="K773" s="61"/>
    </row>
    <row r="774" spans="2:11" x14ac:dyDescent="0.2">
      <c r="B774" s="57"/>
      <c r="C774" s="59"/>
      <c r="D774" s="59" t="s">
        <v>370</v>
      </c>
      <c r="E774" s="59"/>
      <c r="F774" s="59"/>
      <c r="G774" s="59"/>
      <c r="H774" s="59"/>
      <c r="I774" s="59"/>
      <c r="J774" s="60">
        <f>'Baseline At-Risk Pops'!H8</f>
        <v>0</v>
      </c>
      <c r="K774" s="61"/>
    </row>
    <row r="775" spans="2:11" x14ac:dyDescent="0.2">
      <c r="B775" s="57"/>
      <c r="C775" s="59"/>
      <c r="D775" s="59" t="s">
        <v>371</v>
      </c>
      <c r="E775" s="59"/>
      <c r="F775" s="59"/>
      <c r="G775" s="59"/>
      <c r="H775" s="59"/>
      <c r="I775" s="59"/>
      <c r="J775" s="60">
        <f>SUM(J717,J732,J747,J762)</f>
        <v>2</v>
      </c>
      <c r="K775" s="61"/>
    </row>
    <row r="776" spans="2:11" x14ac:dyDescent="0.2">
      <c r="B776" s="57"/>
      <c r="C776" s="59"/>
      <c r="D776" s="196" t="s">
        <v>372</v>
      </c>
      <c r="E776" s="59"/>
      <c r="F776" s="59"/>
      <c r="G776" s="59"/>
      <c r="H776" s="59"/>
      <c r="I776" s="59"/>
      <c r="J776" s="60">
        <f>AVERAGE(J774,J775)</f>
        <v>1</v>
      </c>
      <c r="K776" s="61"/>
    </row>
    <row r="777" spans="2:11" ht="16" x14ac:dyDescent="0.2">
      <c r="B777" s="57"/>
      <c r="C777" s="197" t="s">
        <v>32</v>
      </c>
      <c r="D777" s="59"/>
      <c r="E777" s="59"/>
      <c r="F777" s="59"/>
      <c r="G777" s="59"/>
      <c r="H777" s="59"/>
      <c r="I777" s="59"/>
      <c r="J777" s="60"/>
      <c r="K777" s="61"/>
    </row>
    <row r="778" spans="2:11" x14ac:dyDescent="0.2">
      <c r="B778" s="57"/>
      <c r="C778" s="59"/>
      <c r="D778" s="59" t="s">
        <v>370</v>
      </c>
      <c r="E778" s="59"/>
      <c r="F778" s="59"/>
      <c r="G778" s="59"/>
      <c r="H778" s="59"/>
      <c r="I778" s="59"/>
      <c r="J778" s="60">
        <f>'Baseline At-Risk Pops'!H14</f>
        <v>0</v>
      </c>
      <c r="K778" s="61"/>
    </row>
    <row r="779" spans="2:11" ht="15" customHeight="1" x14ac:dyDescent="0.2">
      <c r="B779" s="57"/>
      <c r="C779" s="59"/>
      <c r="D779" s="59" t="s">
        <v>371</v>
      </c>
      <c r="E779" s="59"/>
      <c r="F779" s="59"/>
      <c r="G779" s="59"/>
      <c r="H779" s="59"/>
      <c r="I779" s="59"/>
      <c r="J779" s="60">
        <f>SUM(J718,J733,J748,J763)</f>
        <v>2</v>
      </c>
      <c r="K779" s="61"/>
    </row>
    <row r="780" spans="2:11" x14ac:dyDescent="0.2">
      <c r="B780" s="57"/>
      <c r="C780" s="59"/>
      <c r="D780" s="196" t="s">
        <v>372</v>
      </c>
      <c r="E780" s="59"/>
      <c r="F780" s="59"/>
      <c r="G780" s="59"/>
      <c r="H780" s="59"/>
      <c r="I780" s="59"/>
      <c r="J780" s="60">
        <f>AVERAGE(J778,J779)</f>
        <v>1</v>
      </c>
      <c r="K780" s="61"/>
    </row>
    <row r="781" spans="2:11" ht="16" x14ac:dyDescent="0.2">
      <c r="B781" s="57"/>
      <c r="C781" s="197" t="s">
        <v>34</v>
      </c>
      <c r="D781" s="59"/>
      <c r="E781" s="59"/>
      <c r="F781" s="59"/>
      <c r="G781" s="59"/>
      <c r="H781" s="59"/>
      <c r="I781" s="59"/>
      <c r="J781" s="60"/>
      <c r="K781" s="61"/>
    </row>
    <row r="782" spans="2:11" ht="16" x14ac:dyDescent="0.2">
      <c r="B782" s="57"/>
      <c r="C782" s="197"/>
      <c r="D782" s="59" t="s">
        <v>370</v>
      </c>
      <c r="E782" s="59"/>
      <c r="F782" s="59"/>
      <c r="G782" s="59"/>
      <c r="H782" s="59"/>
      <c r="I782" s="59"/>
      <c r="J782" s="60">
        <f>'Baseline At-Risk Pops'!H21</f>
        <v>0</v>
      </c>
      <c r="K782" s="61"/>
    </row>
    <row r="783" spans="2:11" x14ac:dyDescent="0.2">
      <c r="B783" s="57"/>
      <c r="C783" s="59"/>
      <c r="D783" s="59" t="s">
        <v>371</v>
      </c>
      <c r="E783" s="59"/>
      <c r="F783" s="59"/>
      <c r="G783" s="59"/>
      <c r="H783" s="59"/>
      <c r="I783" s="59"/>
      <c r="J783" s="60">
        <f>SUM(J719,J734,J749,J764)</f>
        <v>3</v>
      </c>
      <c r="K783" s="61"/>
    </row>
    <row r="784" spans="2:11" x14ac:dyDescent="0.2">
      <c r="B784" s="57"/>
      <c r="C784" s="59"/>
      <c r="D784" s="196" t="s">
        <v>372</v>
      </c>
      <c r="E784" s="59"/>
      <c r="F784" s="59"/>
      <c r="G784" s="59"/>
      <c r="H784" s="59"/>
      <c r="I784" s="59"/>
      <c r="J784" s="60">
        <f>AVERAGE(J782,J783)</f>
        <v>1.5</v>
      </c>
      <c r="K784" s="61"/>
    </row>
    <row r="785" spans="2:11" ht="16" x14ac:dyDescent="0.2">
      <c r="B785" s="57"/>
      <c r="C785" s="197" t="s">
        <v>35</v>
      </c>
      <c r="D785" s="59"/>
      <c r="E785" s="59"/>
      <c r="F785" s="59"/>
      <c r="G785" s="59"/>
      <c r="H785" s="59"/>
      <c r="I785" s="59"/>
      <c r="J785" s="60"/>
      <c r="K785" s="61"/>
    </row>
    <row r="786" spans="2:11" x14ac:dyDescent="0.2">
      <c r="B786" s="57"/>
      <c r="C786" s="59"/>
      <c r="D786" s="59" t="s">
        <v>370</v>
      </c>
      <c r="E786" s="59"/>
      <c r="F786" s="59"/>
      <c r="G786" s="59"/>
      <c r="H786" s="59"/>
      <c r="I786" s="59"/>
      <c r="J786" s="60">
        <f>'Baseline At-Risk Pops'!H27</f>
        <v>0</v>
      </c>
      <c r="K786" s="61"/>
    </row>
    <row r="787" spans="2:11" x14ac:dyDescent="0.2">
      <c r="B787" s="57"/>
      <c r="C787" s="59"/>
      <c r="D787" s="59" t="s">
        <v>371</v>
      </c>
      <c r="E787" s="59"/>
      <c r="F787" s="59"/>
      <c r="G787" s="59"/>
      <c r="H787" s="59"/>
      <c r="I787" s="59"/>
      <c r="J787" s="60">
        <f>SUM(J720,J735,J750,J765)</f>
        <v>3</v>
      </c>
      <c r="K787" s="61"/>
    </row>
    <row r="788" spans="2:11" x14ac:dyDescent="0.2">
      <c r="B788" s="57"/>
      <c r="C788" s="59"/>
      <c r="D788" s="196" t="s">
        <v>372</v>
      </c>
      <c r="E788" s="59"/>
      <c r="F788" s="59"/>
      <c r="G788" s="59"/>
      <c r="H788" s="59"/>
      <c r="I788" s="59"/>
      <c r="J788" s="60">
        <f>AVERAGE(J786,J787)</f>
        <v>1.5</v>
      </c>
      <c r="K788" s="61"/>
    </row>
    <row r="789" spans="2:11" ht="16" x14ac:dyDescent="0.2">
      <c r="B789" s="57"/>
      <c r="C789" s="197" t="s">
        <v>37</v>
      </c>
      <c r="D789" s="59"/>
      <c r="E789" s="59"/>
      <c r="F789" s="59"/>
      <c r="G789" s="59"/>
      <c r="H789" s="59"/>
      <c r="I789" s="59"/>
      <c r="J789" s="60"/>
      <c r="K789" s="61"/>
    </row>
    <row r="790" spans="2:11" x14ac:dyDescent="0.2">
      <c r="B790" s="57"/>
      <c r="C790" s="59"/>
      <c r="D790" s="59" t="s">
        <v>370</v>
      </c>
      <c r="E790" s="59"/>
      <c r="F790" s="59"/>
      <c r="G790" s="59"/>
      <c r="H790" s="59"/>
      <c r="I790" s="59"/>
      <c r="J790" s="60">
        <f>'Baseline At-Risk Pops'!H34</f>
        <v>0</v>
      </c>
      <c r="K790" s="61"/>
    </row>
    <row r="791" spans="2:11" x14ac:dyDescent="0.2">
      <c r="B791" s="57"/>
      <c r="C791" s="59"/>
      <c r="D791" s="59" t="s">
        <v>371</v>
      </c>
      <c r="E791" s="59"/>
      <c r="F791" s="59"/>
      <c r="G791" s="59"/>
      <c r="H791" s="59"/>
      <c r="I791" s="59"/>
      <c r="J791" s="60">
        <f>SUM(J721,J736,J751,J766)</f>
        <v>2</v>
      </c>
      <c r="K791" s="61"/>
    </row>
    <row r="792" spans="2:11" x14ac:dyDescent="0.2">
      <c r="B792" s="57"/>
      <c r="C792" s="59"/>
      <c r="D792" s="196" t="s">
        <v>372</v>
      </c>
      <c r="E792" s="59"/>
      <c r="F792" s="59"/>
      <c r="G792" s="59"/>
      <c r="H792" s="59"/>
      <c r="I792" s="59"/>
      <c r="J792" s="60">
        <f>AVERAGE(J790,J791)</f>
        <v>1</v>
      </c>
      <c r="K792" s="61"/>
    </row>
    <row r="793" spans="2:11" ht="16" x14ac:dyDescent="0.2">
      <c r="B793" s="57"/>
      <c r="C793" s="197" t="s">
        <v>38</v>
      </c>
      <c r="D793" s="59"/>
      <c r="E793" s="59"/>
      <c r="F793" s="59"/>
      <c r="G793" s="59"/>
      <c r="H793" s="59"/>
      <c r="I793" s="59"/>
      <c r="J793" s="60"/>
      <c r="K793" s="61"/>
    </row>
    <row r="794" spans="2:11" x14ac:dyDescent="0.2">
      <c r="B794" s="57"/>
      <c r="C794" s="59"/>
      <c r="D794" s="59" t="s">
        <v>370</v>
      </c>
      <c r="E794" s="59"/>
      <c r="F794" s="59"/>
      <c r="G794" s="59"/>
      <c r="H794" s="59"/>
      <c r="I794" s="59"/>
      <c r="J794" s="60">
        <f>'Baseline At-Risk Pops'!H40</f>
        <v>0</v>
      </c>
      <c r="K794" s="61"/>
    </row>
    <row r="795" spans="2:11" x14ac:dyDescent="0.2">
      <c r="B795" s="57"/>
      <c r="C795" s="59"/>
      <c r="D795" s="59" t="s">
        <v>371</v>
      </c>
      <c r="E795" s="59"/>
      <c r="F795" s="59"/>
      <c r="G795" s="59"/>
      <c r="H795" s="59"/>
      <c r="I795" s="59"/>
      <c r="J795" s="60">
        <f>SUM(J722,J737,J752,J767)</f>
        <v>2</v>
      </c>
      <c r="K795" s="61"/>
    </row>
    <row r="796" spans="2:11" x14ac:dyDescent="0.2">
      <c r="B796" s="57"/>
      <c r="C796" s="59"/>
      <c r="D796" s="196" t="s">
        <v>372</v>
      </c>
      <c r="E796" s="59"/>
      <c r="F796" s="59"/>
      <c r="G796" s="59"/>
      <c r="H796" s="59"/>
      <c r="I796" s="59"/>
      <c r="J796" s="60">
        <f>AVERAGE(J794,J795)</f>
        <v>1</v>
      </c>
      <c r="K796" s="61"/>
    </row>
    <row r="797" spans="2:11" ht="16" x14ac:dyDescent="0.2">
      <c r="B797" s="57"/>
      <c r="C797" s="197" t="s">
        <v>40</v>
      </c>
      <c r="D797" s="59"/>
      <c r="E797" s="59"/>
      <c r="F797" s="59"/>
      <c r="G797" s="59"/>
      <c r="H797" s="59"/>
      <c r="I797" s="59"/>
      <c r="J797" s="60"/>
      <c r="K797" s="61"/>
    </row>
    <row r="798" spans="2:11" x14ac:dyDescent="0.2">
      <c r="B798" s="57"/>
      <c r="C798" s="59"/>
      <c r="D798" s="59" t="s">
        <v>370</v>
      </c>
      <c r="E798" s="59"/>
      <c r="F798" s="59"/>
      <c r="G798" s="59"/>
      <c r="H798" s="59"/>
      <c r="I798" s="59"/>
      <c r="J798" s="60">
        <f>'Baseline At-Risk Pops'!H46</f>
        <v>0</v>
      </c>
      <c r="K798" s="61"/>
    </row>
    <row r="799" spans="2:11" x14ac:dyDescent="0.2">
      <c r="B799" s="57"/>
      <c r="C799" s="59"/>
      <c r="D799" s="59" t="s">
        <v>371</v>
      </c>
      <c r="E799" s="59"/>
      <c r="F799" s="59"/>
      <c r="G799" s="59"/>
      <c r="H799" s="59"/>
      <c r="I799" s="59"/>
      <c r="J799" s="60">
        <f>SUM(J723,J738,J753,J768)</f>
        <v>3</v>
      </c>
      <c r="K799" s="61"/>
    </row>
    <row r="800" spans="2:11" x14ac:dyDescent="0.2">
      <c r="B800" s="57"/>
      <c r="C800" s="59"/>
      <c r="D800" s="196" t="s">
        <v>372</v>
      </c>
      <c r="E800" s="59"/>
      <c r="F800" s="59"/>
      <c r="G800" s="59"/>
      <c r="H800" s="59"/>
      <c r="I800" s="59"/>
      <c r="J800" s="60">
        <f>AVERAGE(J798,J799)</f>
        <v>1.5</v>
      </c>
      <c r="K800" s="61"/>
    </row>
    <row r="801" spans="2:11" ht="16" x14ac:dyDescent="0.2">
      <c r="B801" s="57"/>
      <c r="C801" s="197" t="s">
        <v>41</v>
      </c>
      <c r="D801" s="59"/>
      <c r="E801" s="59"/>
      <c r="F801" s="59"/>
      <c r="G801" s="59"/>
      <c r="H801" s="59"/>
      <c r="I801" s="59"/>
      <c r="J801" s="60"/>
      <c r="K801" s="61"/>
    </row>
    <row r="802" spans="2:11" ht="16" x14ac:dyDescent="0.2">
      <c r="B802" s="57"/>
      <c r="C802" s="197"/>
      <c r="D802" s="59" t="s">
        <v>370</v>
      </c>
      <c r="E802" s="59"/>
      <c r="F802" s="59"/>
      <c r="G802" s="59"/>
      <c r="H802" s="59"/>
      <c r="I802" s="59"/>
      <c r="J802" s="60">
        <f>'Baseline At-Risk Pops'!H52</f>
        <v>0</v>
      </c>
      <c r="K802" s="61"/>
    </row>
    <row r="803" spans="2:11" x14ac:dyDescent="0.2">
      <c r="B803" s="57"/>
      <c r="C803" s="59"/>
      <c r="D803" s="59" t="s">
        <v>371</v>
      </c>
      <c r="E803" s="59"/>
      <c r="F803" s="59"/>
      <c r="G803" s="59"/>
      <c r="H803" s="59"/>
      <c r="I803" s="59"/>
      <c r="J803" s="60">
        <f>SUM(J724,J739,J754,J769)</f>
        <v>2</v>
      </c>
      <c r="K803" s="61"/>
    </row>
    <row r="804" spans="2:11" x14ac:dyDescent="0.2">
      <c r="B804" s="57"/>
      <c r="C804" s="59"/>
      <c r="D804" s="196" t="s">
        <v>372</v>
      </c>
      <c r="E804" s="59"/>
      <c r="F804" s="59"/>
      <c r="G804" s="59"/>
      <c r="H804" s="59"/>
      <c r="I804" s="59"/>
      <c r="J804" s="60">
        <f>AVERAGE(J802,J803)</f>
        <v>1</v>
      </c>
      <c r="K804" s="61"/>
    </row>
    <row r="805" spans="2:11" ht="16" x14ac:dyDescent="0.2">
      <c r="B805" s="57"/>
      <c r="C805" s="197" t="s">
        <v>43</v>
      </c>
      <c r="D805" s="59"/>
      <c r="E805" s="59"/>
      <c r="F805" s="59"/>
      <c r="G805" s="59"/>
      <c r="H805" s="59"/>
      <c r="I805" s="59"/>
      <c r="J805" s="60"/>
      <c r="K805" s="61"/>
    </row>
    <row r="806" spans="2:11" x14ac:dyDescent="0.2">
      <c r="B806" s="57"/>
      <c r="C806" s="59"/>
      <c r="D806" s="59" t="s">
        <v>370</v>
      </c>
      <c r="E806" s="59"/>
      <c r="F806" s="59"/>
      <c r="G806" s="59"/>
      <c r="H806" s="59"/>
      <c r="I806" s="59"/>
      <c r="J806" s="60">
        <f>'Baseline At-Risk Pops'!H58</f>
        <v>0</v>
      </c>
      <c r="K806" s="61"/>
    </row>
    <row r="807" spans="2:11" x14ac:dyDescent="0.2">
      <c r="B807" s="57"/>
      <c r="C807" s="59"/>
      <c r="D807" s="59" t="s">
        <v>371</v>
      </c>
      <c r="E807" s="59"/>
      <c r="F807" s="59"/>
      <c r="G807" s="59"/>
      <c r="H807" s="59"/>
      <c r="I807" s="59"/>
      <c r="J807" s="60">
        <f>SUM(J725,J740,J755,J770)</f>
        <v>3</v>
      </c>
      <c r="K807" s="61"/>
    </row>
    <row r="808" spans="2:11" x14ac:dyDescent="0.2">
      <c r="B808" s="57"/>
      <c r="C808" s="59"/>
      <c r="D808" s="196" t="s">
        <v>372</v>
      </c>
      <c r="E808" s="59"/>
      <c r="F808" s="59"/>
      <c r="G808" s="59"/>
      <c r="H808" s="59"/>
      <c r="I808" s="59"/>
      <c r="J808" s="60">
        <f>AVERAGE(J806,J807)</f>
        <v>1.5</v>
      </c>
      <c r="K808" s="61"/>
    </row>
    <row r="809" spans="2:11" x14ac:dyDescent="0.2">
      <c r="B809" s="57"/>
      <c r="C809" s="59"/>
      <c r="D809" s="59"/>
      <c r="E809" s="59"/>
      <c r="F809" s="59"/>
      <c r="G809" s="59"/>
      <c r="H809" s="59"/>
      <c r="I809" s="59"/>
      <c r="J809" s="59"/>
      <c r="K809" s="61"/>
    </row>
    <row r="810" spans="2:11" x14ac:dyDescent="0.2">
      <c r="B810" s="57"/>
      <c r="C810" s="59"/>
      <c r="D810" s="59"/>
      <c r="E810" s="59"/>
      <c r="F810" s="59"/>
      <c r="G810" s="59"/>
      <c r="H810" s="59"/>
      <c r="I810" s="59"/>
      <c r="J810" s="59"/>
      <c r="K810" s="61"/>
    </row>
    <row r="811" spans="2:11" ht="16" x14ac:dyDescent="0.2">
      <c r="B811" s="57"/>
      <c r="C811" s="198" t="s">
        <v>373</v>
      </c>
      <c r="D811" s="59"/>
      <c r="E811" s="59"/>
      <c r="F811" s="59"/>
      <c r="G811" s="59"/>
      <c r="H811" s="59"/>
      <c r="I811" s="59"/>
      <c r="J811" s="261">
        <f>AVERAGE(J776,J780,J784,J788,J792,J796,J800,J804,J808)</f>
        <v>1.2222222222222223</v>
      </c>
      <c r="K811" s="61"/>
    </row>
    <row r="812" spans="2:11" ht="16" thickBot="1" x14ac:dyDescent="0.25">
      <c r="B812" s="73"/>
      <c r="C812" s="74"/>
      <c r="D812" s="74"/>
      <c r="E812" s="74"/>
      <c r="F812" s="74"/>
      <c r="G812" s="74"/>
      <c r="H812" s="74"/>
      <c r="I812" s="74"/>
      <c r="J812" s="74"/>
      <c r="K812" s="76"/>
    </row>
    <row r="813" spans="2:11" ht="16" thickBot="1" x14ac:dyDescent="0.25"/>
    <row r="814" spans="2:11" x14ac:dyDescent="0.2">
      <c r="B814" s="199"/>
      <c r="C814" s="200"/>
      <c r="D814" s="200"/>
      <c r="E814" s="200"/>
      <c r="F814" s="200"/>
      <c r="G814" s="200"/>
      <c r="H814" s="200"/>
      <c r="I814" s="200"/>
      <c r="J814" s="200"/>
      <c r="K814" s="201"/>
    </row>
    <row r="815" spans="2:11" ht="21" x14ac:dyDescent="0.25">
      <c r="B815" s="202"/>
      <c r="C815" s="203"/>
      <c r="D815" s="203"/>
      <c r="E815" s="203"/>
      <c r="F815" s="203"/>
      <c r="G815" s="204" t="s">
        <v>233</v>
      </c>
      <c r="H815" s="203"/>
      <c r="I815" s="203"/>
      <c r="J815" s="203"/>
      <c r="K815" s="205"/>
    </row>
    <row r="816" spans="2:11" x14ac:dyDescent="0.2">
      <c r="B816" s="202"/>
      <c r="C816" s="203"/>
      <c r="D816" s="203"/>
      <c r="E816" s="203"/>
      <c r="F816" s="203"/>
      <c r="G816" s="203"/>
      <c r="H816" s="203"/>
      <c r="I816" s="203"/>
      <c r="J816" s="203"/>
      <c r="K816" s="205"/>
    </row>
    <row r="817" spans="2:11" ht="16" x14ac:dyDescent="0.2">
      <c r="B817" s="202"/>
      <c r="C817" s="206" t="s">
        <v>992</v>
      </c>
      <c r="D817" s="203"/>
      <c r="E817" s="203"/>
      <c r="F817" s="203"/>
      <c r="G817" s="203"/>
      <c r="H817" s="203"/>
      <c r="I817" s="203"/>
      <c r="J817" s="262" t="str">
        <f>IF(J700="Not Calculated","Not Calculated",J700*(($J$811/4)+1))</f>
        <v>Not Calculated</v>
      </c>
      <c r="K817" s="205"/>
    </row>
    <row r="818" spans="2:11" x14ac:dyDescent="0.2">
      <c r="B818" s="202"/>
      <c r="C818" s="203"/>
      <c r="D818" s="203" t="s">
        <v>1119</v>
      </c>
      <c r="E818" s="203"/>
      <c r="F818" s="203"/>
      <c r="G818" s="203"/>
      <c r="H818" s="203"/>
      <c r="I818" s="203"/>
      <c r="J818" s="203"/>
      <c r="K818" s="205"/>
    </row>
    <row r="819" spans="2:11" x14ac:dyDescent="0.2">
      <c r="B819" s="202"/>
      <c r="C819" s="203"/>
      <c r="D819" s="203"/>
      <c r="E819" s="203"/>
      <c r="F819" s="203"/>
      <c r="G819" s="203"/>
      <c r="H819" s="203"/>
      <c r="I819" s="203"/>
      <c r="J819" s="203"/>
      <c r="K819" s="205"/>
    </row>
    <row r="820" spans="2:11" ht="16" x14ac:dyDescent="0.2">
      <c r="B820" s="202"/>
      <c r="C820" s="206" t="s">
        <v>993</v>
      </c>
      <c r="D820" s="203"/>
      <c r="E820" s="203"/>
      <c r="F820" s="203"/>
      <c r="G820" s="203"/>
      <c r="H820" s="203"/>
      <c r="I820" s="203"/>
      <c r="J820" s="262" t="str">
        <f>IF(J703="Not Calculated","Not Calculated",J703*(($J$811/4)+1))</f>
        <v>Not Calculated</v>
      </c>
      <c r="K820" s="205"/>
    </row>
    <row r="821" spans="2:11" x14ac:dyDescent="0.2">
      <c r="B821" s="202"/>
      <c r="C821" s="203"/>
      <c r="D821" s="203" t="s">
        <v>1120</v>
      </c>
      <c r="E821" s="203"/>
      <c r="F821" s="203"/>
      <c r="G821" s="203"/>
      <c r="H821" s="203"/>
      <c r="I821" s="203"/>
      <c r="J821" s="203"/>
      <c r="K821" s="205"/>
    </row>
    <row r="822" spans="2:11" x14ac:dyDescent="0.2">
      <c r="B822" s="202"/>
      <c r="C822" s="203"/>
      <c r="D822" s="203"/>
      <c r="E822" s="203"/>
      <c r="F822" s="203"/>
      <c r="G822" s="203"/>
      <c r="H822" s="203"/>
      <c r="I822" s="203"/>
      <c r="J822" s="203"/>
      <c r="K822" s="205"/>
    </row>
    <row r="823" spans="2:11" ht="16" x14ac:dyDescent="0.2">
      <c r="B823" s="202"/>
      <c r="C823" s="206" t="s">
        <v>994</v>
      </c>
      <c r="D823" s="203"/>
      <c r="E823" s="203"/>
      <c r="F823" s="203"/>
      <c r="G823" s="203"/>
      <c r="H823" s="203"/>
      <c r="I823" s="203"/>
      <c r="J823" s="262" t="str">
        <f>IF(J706="Not Calculated","Not Calculated",J706*(($J$811/4)+1))</f>
        <v>Not Calculated</v>
      </c>
      <c r="K823" s="205"/>
    </row>
    <row r="824" spans="2:11" x14ac:dyDescent="0.2">
      <c r="B824" s="202"/>
      <c r="C824" s="203"/>
      <c r="D824" s="203" t="s">
        <v>1121</v>
      </c>
      <c r="E824" s="203"/>
      <c r="F824" s="203"/>
      <c r="G824" s="203"/>
      <c r="H824" s="203"/>
      <c r="I824" s="203"/>
      <c r="J824" s="203"/>
      <c r="K824" s="205"/>
    </row>
    <row r="825" spans="2:11" ht="16" thickBot="1" x14ac:dyDescent="0.25">
      <c r="B825" s="207"/>
      <c r="C825" s="208"/>
      <c r="D825" s="208"/>
      <c r="E825" s="208"/>
      <c r="F825" s="208"/>
      <c r="G825" s="208"/>
      <c r="H825" s="208"/>
      <c r="I825" s="208"/>
      <c r="J825" s="208"/>
      <c r="K825" s="209"/>
    </row>
    <row r="826" spans="2:11" ht="16" thickBot="1" x14ac:dyDescent="0.25"/>
    <row r="827" spans="2:11" x14ac:dyDescent="0.2">
      <c r="B827" s="77"/>
      <c r="C827" s="78"/>
      <c r="D827" s="78"/>
      <c r="E827" s="78"/>
      <c r="F827" s="78"/>
      <c r="G827" s="78"/>
      <c r="H827" s="78"/>
      <c r="I827" s="78"/>
      <c r="J827" s="78"/>
      <c r="K827" s="80"/>
    </row>
    <row r="828" spans="2:11" ht="21" x14ac:dyDescent="0.25">
      <c r="B828" s="81"/>
      <c r="C828" s="85"/>
      <c r="D828" s="85"/>
      <c r="E828" s="85"/>
      <c r="F828" s="85"/>
      <c r="G828" s="210" t="s">
        <v>806</v>
      </c>
      <c r="H828" s="85"/>
      <c r="I828" s="85"/>
      <c r="J828" s="85"/>
      <c r="K828" s="87"/>
    </row>
    <row r="829" spans="2:11" x14ac:dyDescent="0.2">
      <c r="B829" s="81"/>
      <c r="C829" s="85"/>
      <c r="D829" s="85"/>
      <c r="E829" s="85"/>
      <c r="F829" s="85"/>
      <c r="G829" s="85"/>
      <c r="H829" s="85"/>
      <c r="I829" s="85"/>
      <c r="J829" s="85"/>
      <c r="K829" s="87"/>
    </row>
    <row r="830" spans="2:11" ht="15" customHeight="1" x14ac:dyDescent="0.2">
      <c r="B830" s="81"/>
      <c r="C830" s="424" t="s">
        <v>808</v>
      </c>
      <c r="D830" s="424"/>
      <c r="E830" s="424"/>
      <c r="F830" s="424"/>
      <c r="G830" s="424"/>
      <c r="H830" s="424"/>
      <c r="I830" s="424"/>
      <c r="J830" s="424"/>
      <c r="K830" s="87"/>
    </row>
    <row r="831" spans="2:11" x14ac:dyDescent="0.2">
      <c r="B831" s="81"/>
      <c r="C831" s="424"/>
      <c r="D831" s="424"/>
      <c r="E831" s="424"/>
      <c r="F831" s="424"/>
      <c r="G831" s="424"/>
      <c r="H831" s="424"/>
      <c r="I831" s="424"/>
      <c r="J831" s="424"/>
      <c r="K831" s="87"/>
    </row>
    <row r="832" spans="2:11" x14ac:dyDescent="0.2">
      <c r="B832" s="81"/>
      <c r="C832" s="85"/>
      <c r="D832" s="85"/>
      <c r="E832" s="85"/>
      <c r="F832" s="85"/>
      <c r="G832" s="85"/>
      <c r="H832" s="85"/>
      <c r="I832" s="85"/>
      <c r="J832" s="85"/>
      <c r="K832" s="87"/>
    </row>
    <row r="833" spans="2:11" ht="16" x14ac:dyDescent="0.2">
      <c r="B833" s="81"/>
      <c r="C833" s="211" t="s">
        <v>654</v>
      </c>
      <c r="D833" s="85"/>
      <c r="E833" s="85"/>
      <c r="F833" s="85"/>
      <c r="G833" s="85"/>
      <c r="H833" s="85"/>
      <c r="I833" s="85"/>
      <c r="J833" s="85"/>
      <c r="K833" s="87"/>
    </row>
    <row r="834" spans="2:11" x14ac:dyDescent="0.2">
      <c r="B834" s="81"/>
      <c r="C834" s="85" t="s">
        <v>380</v>
      </c>
      <c r="D834" s="85"/>
      <c r="E834" s="85"/>
      <c r="F834" s="85"/>
      <c r="G834" s="406" t="s">
        <v>234</v>
      </c>
      <c r="H834" s="407"/>
      <c r="I834" s="85"/>
      <c r="J834" s="83">
        <f>IF(G834=$B$998,$A$998,IF(G834=$B$999,$A$999,IF(G834=$B$1000,$A$1000,IF(G834=$B$1001,$A$1001,IF(G834=$B$1002,$A$1002,"Not Calculated")))))</f>
        <v>4</v>
      </c>
      <c r="K834" s="87"/>
    </row>
    <row r="835" spans="2:11" x14ac:dyDescent="0.2">
      <c r="B835" s="81"/>
      <c r="C835" s="85" t="s">
        <v>134</v>
      </c>
      <c r="D835" s="85"/>
      <c r="E835" s="85"/>
      <c r="F835" s="85"/>
      <c r="G835" s="85"/>
      <c r="H835" s="85"/>
      <c r="I835" s="85"/>
      <c r="J835" s="240">
        <f>'Baseline PHP'!J16</f>
        <v>0</v>
      </c>
      <c r="K835" s="87"/>
    </row>
    <row r="836" spans="2:11" x14ac:dyDescent="0.2">
      <c r="B836" s="81"/>
      <c r="C836" s="85"/>
      <c r="D836" s="85"/>
      <c r="E836" s="85"/>
      <c r="F836" s="85"/>
      <c r="G836" s="85"/>
      <c r="H836" s="85"/>
      <c r="I836" s="85"/>
      <c r="J836" s="85"/>
      <c r="K836" s="87"/>
    </row>
    <row r="837" spans="2:11" ht="16" x14ac:dyDescent="0.2">
      <c r="B837" s="81"/>
      <c r="C837" s="211" t="s">
        <v>655</v>
      </c>
      <c r="D837" s="85"/>
      <c r="E837" s="85"/>
      <c r="F837" s="85"/>
      <c r="G837" s="85"/>
      <c r="H837" s="85"/>
      <c r="I837" s="85"/>
      <c r="J837" s="85"/>
      <c r="K837" s="87"/>
    </row>
    <row r="838" spans="2:11" x14ac:dyDescent="0.2">
      <c r="B838" s="81"/>
      <c r="C838" s="85" t="s">
        <v>380</v>
      </c>
      <c r="D838" s="85"/>
      <c r="E838" s="85"/>
      <c r="F838" s="85"/>
      <c r="G838" s="406" t="s">
        <v>234</v>
      </c>
      <c r="H838" s="407"/>
      <c r="I838" s="85"/>
      <c r="J838" s="83">
        <f>IF(G838=$B$998,$A$998,IF(G838=$B$999,$A$999,IF(G838=$B$1000,$A$1000,IF(G838=$B$1001,$A$1001,IF(G838=$B$1002,$A$1002,"Not Calculated")))))</f>
        <v>4</v>
      </c>
      <c r="K838" s="87"/>
    </row>
    <row r="839" spans="2:11" x14ac:dyDescent="0.2">
      <c r="B839" s="81"/>
      <c r="C839" s="85" t="s">
        <v>134</v>
      </c>
      <c r="D839" s="85"/>
      <c r="E839" s="85"/>
      <c r="F839" s="85"/>
      <c r="G839" s="85"/>
      <c r="H839" s="85"/>
      <c r="I839" s="85"/>
      <c r="J839" s="240">
        <f>'Baseline PHP'!J28</f>
        <v>0</v>
      </c>
      <c r="K839" s="87"/>
    </row>
    <row r="840" spans="2:11" x14ac:dyDescent="0.2">
      <c r="B840" s="81"/>
      <c r="C840" s="85"/>
      <c r="D840" s="85"/>
      <c r="E840" s="85"/>
      <c r="F840" s="85"/>
      <c r="G840" s="85"/>
      <c r="H840" s="85"/>
      <c r="I840" s="85"/>
      <c r="J840" s="85"/>
      <c r="K840" s="87"/>
    </row>
    <row r="841" spans="2:11" ht="16" x14ac:dyDescent="0.2">
      <c r="B841" s="81"/>
      <c r="C841" s="211" t="s">
        <v>645</v>
      </c>
      <c r="D841" s="85"/>
      <c r="E841" s="85"/>
      <c r="F841" s="85"/>
      <c r="G841" s="85"/>
      <c r="H841" s="85"/>
      <c r="I841" s="85"/>
      <c r="J841" s="85"/>
      <c r="K841" s="87"/>
    </row>
    <row r="842" spans="2:11" x14ac:dyDescent="0.2">
      <c r="B842" s="81"/>
      <c r="C842" s="85" t="s">
        <v>380</v>
      </c>
      <c r="D842" s="85"/>
      <c r="E842" s="85"/>
      <c r="F842" s="85"/>
      <c r="G842" s="406" t="s">
        <v>234</v>
      </c>
      <c r="H842" s="407"/>
      <c r="I842" s="85"/>
      <c r="J842" s="83">
        <f>IF(G842=$B$998,$A$998,IF(G842=$B$999,$A$999,IF(G842=$B$1000,$A$1000,IF(G842=$B$1001,$A$1001,IF(G842=$B$1002,$A$1002,"Not Calculated")))))</f>
        <v>4</v>
      </c>
      <c r="K842" s="87"/>
    </row>
    <row r="843" spans="2:11" x14ac:dyDescent="0.2">
      <c r="B843" s="81"/>
      <c r="C843" s="85" t="s">
        <v>134</v>
      </c>
      <c r="D843" s="85"/>
      <c r="E843" s="85"/>
      <c r="F843" s="85"/>
      <c r="G843" s="85"/>
      <c r="H843" s="85"/>
      <c r="I843" s="85"/>
      <c r="J843" s="240">
        <f>'Baseline PHP'!J44</f>
        <v>0</v>
      </c>
      <c r="K843" s="87"/>
    </row>
    <row r="844" spans="2:11" x14ac:dyDescent="0.2">
      <c r="B844" s="81"/>
      <c r="C844" s="85"/>
      <c r="D844" s="85"/>
      <c r="E844" s="85"/>
      <c r="F844" s="85"/>
      <c r="G844" s="85"/>
      <c r="H844" s="85"/>
      <c r="I844" s="85"/>
      <c r="J844" s="85"/>
      <c r="K844" s="87"/>
    </row>
    <row r="845" spans="2:11" ht="16" x14ac:dyDescent="0.2">
      <c r="B845" s="81"/>
      <c r="C845" s="211" t="s">
        <v>646</v>
      </c>
      <c r="D845" s="85"/>
      <c r="E845" s="85"/>
      <c r="F845" s="85"/>
      <c r="G845" s="85"/>
      <c r="H845" s="85"/>
      <c r="I845" s="85"/>
      <c r="J845" s="85"/>
      <c r="K845" s="87"/>
    </row>
    <row r="846" spans="2:11" x14ac:dyDescent="0.2">
      <c r="B846" s="81"/>
      <c r="C846" s="85" t="s">
        <v>380</v>
      </c>
      <c r="D846" s="85"/>
      <c r="E846" s="85"/>
      <c r="F846" s="85"/>
      <c r="G846" s="406" t="s">
        <v>234</v>
      </c>
      <c r="H846" s="407"/>
      <c r="I846" s="85"/>
      <c r="J846" s="83">
        <f>IF(G846=$B$998,$A$998,IF(G846=$B$999,$A$999,IF(G846=$B$1000,$A$1000,IF(G846=$B$1001,$A$1001,IF(G846=$B$1002,$A$1002,"Not Calculated")))))</f>
        <v>4</v>
      </c>
      <c r="K846" s="87"/>
    </row>
    <row r="847" spans="2:11" x14ac:dyDescent="0.2">
      <c r="B847" s="81"/>
      <c r="C847" s="85" t="s">
        <v>134</v>
      </c>
      <c r="D847" s="85"/>
      <c r="E847" s="85"/>
      <c r="F847" s="85"/>
      <c r="G847" s="85"/>
      <c r="H847" s="85"/>
      <c r="I847" s="85"/>
      <c r="J847" s="240">
        <f>'Baseline PHP'!J60</f>
        <v>0</v>
      </c>
      <c r="K847" s="87"/>
    </row>
    <row r="848" spans="2:11" x14ac:dyDescent="0.2">
      <c r="B848" s="81"/>
      <c r="C848" s="85"/>
      <c r="D848" s="85"/>
      <c r="E848" s="85"/>
      <c r="F848" s="85"/>
      <c r="G848" s="85"/>
      <c r="H848" s="85"/>
      <c r="I848" s="85"/>
      <c r="J848" s="85"/>
      <c r="K848" s="87"/>
    </row>
    <row r="849" spans="2:11" ht="16" x14ac:dyDescent="0.2">
      <c r="B849" s="81"/>
      <c r="C849" s="211" t="s">
        <v>648</v>
      </c>
      <c r="D849" s="85"/>
      <c r="E849" s="85"/>
      <c r="F849" s="85"/>
      <c r="G849" s="85"/>
      <c r="H849" s="85"/>
      <c r="I849" s="85"/>
      <c r="J849" s="85"/>
      <c r="K849" s="87"/>
    </row>
    <row r="850" spans="2:11" ht="15" customHeight="1" x14ac:dyDescent="0.2">
      <c r="B850" s="81"/>
      <c r="C850" s="85" t="s">
        <v>380</v>
      </c>
      <c r="D850" s="85"/>
      <c r="E850" s="85"/>
      <c r="F850" s="85"/>
      <c r="G850" s="406" t="s">
        <v>235</v>
      </c>
      <c r="H850" s="407"/>
      <c r="I850" s="85"/>
      <c r="J850" s="83">
        <f>IF(G850=$B$998,$A$998,IF(G850=$B$999,$A$999,IF(G850=$B$1000,$A$1000,IF(G850=$B$1001,$A$1001,IF(G850=$B$1002,$A$1002,"Not Calculated")))))</f>
        <v>2</v>
      </c>
      <c r="K850" s="87"/>
    </row>
    <row r="851" spans="2:11" x14ac:dyDescent="0.2">
      <c r="B851" s="81"/>
      <c r="C851" s="85" t="s">
        <v>134</v>
      </c>
      <c r="D851" s="85"/>
      <c r="E851" s="85"/>
      <c r="F851" s="85"/>
      <c r="G851" s="85"/>
      <c r="H851" s="85"/>
      <c r="I851" s="85"/>
      <c r="J851" s="240">
        <f>'Baseline PHP'!J76</f>
        <v>0</v>
      </c>
      <c r="K851" s="87"/>
    </row>
    <row r="852" spans="2:11" x14ac:dyDescent="0.2">
      <c r="B852" s="81"/>
      <c r="C852" s="85"/>
      <c r="D852" s="85"/>
      <c r="E852" s="85"/>
      <c r="F852" s="85"/>
      <c r="G852" s="85"/>
      <c r="H852" s="85"/>
      <c r="I852" s="85"/>
      <c r="J852" s="85"/>
      <c r="K852" s="87"/>
    </row>
    <row r="853" spans="2:11" ht="16" x14ac:dyDescent="0.2">
      <c r="B853" s="81"/>
      <c r="C853" s="211" t="s">
        <v>647</v>
      </c>
      <c r="D853" s="85"/>
      <c r="E853" s="85"/>
      <c r="F853" s="85"/>
      <c r="G853" s="85"/>
      <c r="H853" s="85"/>
      <c r="I853" s="85"/>
      <c r="J853" s="85"/>
      <c r="K853" s="87"/>
    </row>
    <row r="854" spans="2:11" x14ac:dyDescent="0.2">
      <c r="B854" s="81"/>
      <c r="C854" s="85" t="s">
        <v>380</v>
      </c>
      <c r="D854" s="85"/>
      <c r="E854" s="85"/>
      <c r="F854" s="85"/>
      <c r="G854" s="406" t="s">
        <v>234</v>
      </c>
      <c r="H854" s="407"/>
      <c r="I854" s="85"/>
      <c r="J854" s="83">
        <f>IF(G854=$B$998,$A$998,IF(G854=$B$999,$A$999,IF(G854=$B$1000,$A$1000,IF(G854=$B$1001,$A$1001,IF(G854=$B$1002,$A$1002,"Not Calculated")))))</f>
        <v>4</v>
      </c>
      <c r="K854" s="87"/>
    </row>
    <row r="855" spans="2:11" x14ac:dyDescent="0.2">
      <c r="B855" s="81"/>
      <c r="C855" s="85" t="s">
        <v>134</v>
      </c>
      <c r="D855" s="85"/>
      <c r="E855" s="85"/>
      <c r="F855" s="85"/>
      <c r="G855" s="85"/>
      <c r="H855" s="85"/>
      <c r="I855" s="85"/>
      <c r="J855" s="240">
        <f>'Baseline PHP'!J88</f>
        <v>0</v>
      </c>
      <c r="K855" s="87"/>
    </row>
    <row r="856" spans="2:11" x14ac:dyDescent="0.2">
      <c r="B856" s="81"/>
      <c r="C856" s="85"/>
      <c r="D856" s="85"/>
      <c r="E856" s="85"/>
      <c r="F856" s="85"/>
      <c r="G856" s="85"/>
      <c r="H856" s="85"/>
      <c r="I856" s="85"/>
      <c r="J856" s="85"/>
      <c r="K856" s="87"/>
    </row>
    <row r="857" spans="2:11" ht="16" x14ac:dyDescent="0.2">
      <c r="B857" s="81"/>
      <c r="C857" s="211" t="s">
        <v>115</v>
      </c>
      <c r="D857" s="85"/>
      <c r="E857" s="85"/>
      <c r="F857" s="85"/>
      <c r="G857" s="85"/>
      <c r="H857" s="85"/>
      <c r="I857" s="85"/>
      <c r="J857" s="85"/>
      <c r="K857" s="87"/>
    </row>
    <row r="858" spans="2:11" x14ac:dyDescent="0.2">
      <c r="B858" s="81"/>
      <c r="C858" s="85" t="s">
        <v>380</v>
      </c>
      <c r="D858" s="85"/>
      <c r="E858" s="85"/>
      <c r="F858" s="85"/>
      <c r="G858" s="406" t="s">
        <v>235</v>
      </c>
      <c r="H858" s="407"/>
      <c r="I858" s="85"/>
      <c r="J858" s="83">
        <f>IF(G858=$B$998,$A$998,IF(G858=$B$999,$A$999,IF(G858=$B$1000,$A$1000,IF(G858=$B$1001,$A$1001,IF(G858=$B$1002,$A$1002,"Not Calculated")))))</f>
        <v>2</v>
      </c>
      <c r="K858" s="87"/>
    </row>
    <row r="859" spans="2:11" x14ac:dyDescent="0.2">
      <c r="B859" s="81"/>
      <c r="C859" s="85" t="s">
        <v>134</v>
      </c>
      <c r="D859" s="85"/>
      <c r="E859" s="85"/>
      <c r="F859" s="85"/>
      <c r="G859" s="85"/>
      <c r="H859" s="85"/>
      <c r="I859" s="85"/>
      <c r="J859" s="240">
        <f>'Baseline PHP'!J102</f>
        <v>0</v>
      </c>
      <c r="K859" s="87"/>
    </row>
    <row r="860" spans="2:11" x14ac:dyDescent="0.2">
      <c r="B860" s="81"/>
      <c r="C860" s="85"/>
      <c r="D860" s="85"/>
      <c r="E860" s="85"/>
      <c r="F860" s="85"/>
      <c r="G860" s="85"/>
      <c r="H860" s="85"/>
      <c r="I860" s="85"/>
      <c r="J860" s="85"/>
      <c r="K860" s="87"/>
    </row>
    <row r="861" spans="2:11" ht="16" x14ac:dyDescent="0.2">
      <c r="B861" s="81"/>
      <c r="C861" s="211" t="s">
        <v>649</v>
      </c>
      <c r="D861" s="85"/>
      <c r="E861" s="85"/>
      <c r="F861" s="85"/>
      <c r="G861" s="85"/>
      <c r="H861" s="85"/>
      <c r="I861" s="85"/>
      <c r="J861" s="85"/>
      <c r="K861" s="87"/>
    </row>
    <row r="862" spans="2:11" x14ac:dyDescent="0.2">
      <c r="B862" s="81"/>
      <c r="C862" s="85" t="s">
        <v>380</v>
      </c>
      <c r="D862" s="85"/>
      <c r="E862" s="85"/>
      <c r="F862" s="85"/>
      <c r="G862" s="406" t="s">
        <v>235</v>
      </c>
      <c r="H862" s="407"/>
      <c r="I862" s="85"/>
      <c r="J862" s="83">
        <f>IF(G862=$B$998,$A$998,IF(G862=$B$999,$A$999,IF(G862=$B$1000,$A$1000,IF(G862=$B$1001,$A$1001,IF(G862=$B$1002,$A$1002,"Not Calculated")))))</f>
        <v>2</v>
      </c>
      <c r="K862" s="87"/>
    </row>
    <row r="863" spans="2:11" x14ac:dyDescent="0.2">
      <c r="B863" s="81"/>
      <c r="C863" s="85" t="s">
        <v>134</v>
      </c>
      <c r="D863" s="85"/>
      <c r="E863" s="85"/>
      <c r="F863" s="85"/>
      <c r="G863" s="85"/>
      <c r="H863" s="85"/>
      <c r="I863" s="85"/>
      <c r="J863" s="240">
        <f>'Baseline PHP'!J118</f>
        <v>0</v>
      </c>
      <c r="K863" s="87"/>
    </row>
    <row r="864" spans="2:11" x14ac:dyDescent="0.2">
      <c r="B864" s="81"/>
      <c r="C864" s="85"/>
      <c r="D864" s="85"/>
      <c r="E864" s="85"/>
      <c r="F864" s="85"/>
      <c r="G864" s="85"/>
      <c r="H864" s="85"/>
      <c r="I864" s="85"/>
      <c r="J864" s="85"/>
      <c r="K864" s="87"/>
    </row>
    <row r="865" spans="2:11" ht="16" x14ac:dyDescent="0.2">
      <c r="B865" s="81"/>
      <c r="C865" s="211" t="s">
        <v>656</v>
      </c>
      <c r="D865" s="85"/>
      <c r="E865" s="85"/>
      <c r="F865" s="85"/>
      <c r="G865" s="85"/>
      <c r="H865" s="85"/>
      <c r="I865" s="85"/>
      <c r="J865" s="85"/>
      <c r="K865" s="87"/>
    </row>
    <row r="866" spans="2:11" x14ac:dyDescent="0.2">
      <c r="B866" s="81"/>
      <c r="C866" s="85" t="s">
        <v>380</v>
      </c>
      <c r="D866" s="85"/>
      <c r="E866" s="85"/>
      <c r="F866" s="85"/>
      <c r="G866" s="406" t="s">
        <v>235</v>
      </c>
      <c r="H866" s="407"/>
      <c r="I866" s="85"/>
      <c r="J866" s="83">
        <f>IF(G866=$B$998,$A$998,IF(G866=$B$999,$A$999,IF(G866=$B$1000,$A$1000,IF(G866=$B$1001,$A$1001,IF(G866=$B$1002,$A$1002,"Not Calculated")))))</f>
        <v>2</v>
      </c>
      <c r="K866" s="87"/>
    </row>
    <row r="867" spans="2:11" x14ac:dyDescent="0.2">
      <c r="B867" s="81"/>
      <c r="C867" s="85" t="s">
        <v>134</v>
      </c>
      <c r="D867" s="85"/>
      <c r="E867" s="85"/>
      <c r="F867" s="85"/>
      <c r="G867" s="85"/>
      <c r="H867" s="85"/>
      <c r="I867" s="85"/>
      <c r="J867" s="240">
        <f>'Baseline PHP'!J136</f>
        <v>0</v>
      </c>
      <c r="K867" s="87"/>
    </row>
    <row r="868" spans="2:11" x14ac:dyDescent="0.2">
      <c r="B868" s="81"/>
      <c r="C868" s="85"/>
      <c r="D868" s="85"/>
      <c r="E868" s="85"/>
      <c r="F868" s="85"/>
      <c r="G868" s="85"/>
      <c r="H868" s="85"/>
      <c r="I868" s="85"/>
      <c r="J868" s="85"/>
      <c r="K868" s="87"/>
    </row>
    <row r="869" spans="2:11" ht="16" x14ac:dyDescent="0.2">
      <c r="B869" s="81"/>
      <c r="C869" s="211" t="s">
        <v>121</v>
      </c>
      <c r="D869" s="85"/>
      <c r="E869" s="85"/>
      <c r="F869" s="85"/>
      <c r="G869" s="85"/>
      <c r="H869" s="85"/>
      <c r="I869" s="85"/>
      <c r="J869" s="85"/>
      <c r="K869" s="87"/>
    </row>
    <row r="870" spans="2:11" x14ac:dyDescent="0.2">
      <c r="B870" s="81"/>
      <c r="C870" s="85" t="s">
        <v>380</v>
      </c>
      <c r="D870" s="85"/>
      <c r="E870" s="85"/>
      <c r="F870" s="85"/>
      <c r="G870" s="406" t="s">
        <v>235</v>
      </c>
      <c r="H870" s="407"/>
      <c r="I870" s="85"/>
      <c r="J870" s="83">
        <f>IF(G870=$B$998,$A$998,IF(G870=$B$999,$A$999,IF(G870=$B$1000,$A$1000,IF(G870=$B$1001,$A$1001,IF(G870=$B$1002,$A$1002,"Not Calculated")))))</f>
        <v>2</v>
      </c>
      <c r="K870" s="87"/>
    </row>
    <row r="871" spans="2:11" x14ac:dyDescent="0.2">
      <c r="B871" s="81"/>
      <c r="C871" s="85" t="s">
        <v>134</v>
      </c>
      <c r="D871" s="85"/>
      <c r="E871" s="85"/>
      <c r="F871" s="85"/>
      <c r="G871" s="85"/>
      <c r="H871" s="85"/>
      <c r="I871" s="85"/>
      <c r="J871" s="240">
        <f>'Baseline PHP'!J150</f>
        <v>0</v>
      </c>
      <c r="K871" s="87"/>
    </row>
    <row r="872" spans="2:11" x14ac:dyDescent="0.2">
      <c r="B872" s="81"/>
      <c r="C872" s="85"/>
      <c r="D872" s="85"/>
      <c r="E872" s="85"/>
      <c r="F872" s="85"/>
      <c r="G872" s="85"/>
      <c r="H872" s="85"/>
      <c r="I872" s="85"/>
      <c r="J872" s="85"/>
      <c r="K872" s="87"/>
    </row>
    <row r="873" spans="2:11" ht="16" x14ac:dyDescent="0.2">
      <c r="B873" s="81"/>
      <c r="C873" s="211" t="s">
        <v>657</v>
      </c>
      <c r="D873" s="85"/>
      <c r="E873" s="85"/>
      <c r="F873" s="85"/>
      <c r="G873" s="85"/>
      <c r="H873" s="85"/>
      <c r="I873" s="85"/>
      <c r="J873" s="85"/>
      <c r="K873" s="87"/>
    </row>
    <row r="874" spans="2:11" x14ac:dyDescent="0.2">
      <c r="B874" s="81"/>
      <c r="C874" s="85" t="s">
        <v>380</v>
      </c>
      <c r="D874" s="85"/>
      <c r="E874" s="85"/>
      <c r="F874" s="85"/>
      <c r="G874" s="406" t="s">
        <v>236</v>
      </c>
      <c r="H874" s="407"/>
      <c r="I874" s="85"/>
      <c r="J874" s="83">
        <f>IF(G874=$B$998,$A$998,IF(G874=$B$999,$A$999,IF(G874=$B$1000,$A$1000,IF(G874=$B$1001,$A$1001,IF(G874=$B$1002,$A$1002,"Not Calculated")))))</f>
        <v>0</v>
      </c>
      <c r="K874" s="87"/>
    </row>
    <row r="875" spans="2:11" x14ac:dyDescent="0.2">
      <c r="B875" s="81"/>
      <c r="C875" s="85" t="s">
        <v>134</v>
      </c>
      <c r="D875" s="85"/>
      <c r="E875" s="85"/>
      <c r="F875" s="85"/>
      <c r="G875" s="85"/>
      <c r="H875" s="85"/>
      <c r="I875" s="85"/>
      <c r="J875" s="240">
        <f>'Baseline PHP'!J164</f>
        <v>0</v>
      </c>
      <c r="K875" s="87"/>
    </row>
    <row r="876" spans="2:11" x14ac:dyDescent="0.2">
      <c r="B876" s="81"/>
      <c r="C876" s="85"/>
      <c r="D876" s="85"/>
      <c r="E876" s="85"/>
      <c r="F876" s="85"/>
      <c r="G876" s="85"/>
      <c r="H876" s="85"/>
      <c r="I876" s="85"/>
      <c r="J876" s="85"/>
      <c r="K876" s="87"/>
    </row>
    <row r="877" spans="2:11" ht="16" x14ac:dyDescent="0.2">
      <c r="B877" s="81"/>
      <c r="C877" s="211" t="s">
        <v>650</v>
      </c>
      <c r="D877" s="85"/>
      <c r="E877" s="85"/>
      <c r="F877" s="85"/>
      <c r="G877" s="85"/>
      <c r="H877" s="85"/>
      <c r="I877" s="85"/>
      <c r="J877" s="85"/>
      <c r="K877" s="87"/>
    </row>
    <row r="878" spans="2:11" x14ac:dyDescent="0.2">
      <c r="B878" s="81"/>
      <c r="C878" s="85" t="s">
        <v>380</v>
      </c>
      <c r="D878" s="85"/>
      <c r="E878" s="85"/>
      <c r="F878" s="85"/>
      <c r="G878" s="406" t="s">
        <v>237</v>
      </c>
      <c r="H878" s="407"/>
      <c r="I878" s="85"/>
      <c r="J878" s="83">
        <f>IF(G878=$B$998,$A$998,IF(G878=$B$999,$A$999,IF(G878=$B$1000,$A$1000,IF(G878=$B$1001,$A$1001,IF(G878=$B$1002,$A$1002,"Not Calculated")))))</f>
        <v>1</v>
      </c>
      <c r="K878" s="87"/>
    </row>
    <row r="879" spans="2:11" x14ac:dyDescent="0.2">
      <c r="B879" s="81"/>
      <c r="C879" s="85" t="s">
        <v>134</v>
      </c>
      <c r="D879" s="85"/>
      <c r="E879" s="85"/>
      <c r="F879" s="85"/>
      <c r="G879" s="85"/>
      <c r="H879" s="85"/>
      <c r="I879" s="85"/>
      <c r="J879" s="240">
        <f>'Baseline PHP'!J180</f>
        <v>0</v>
      </c>
      <c r="K879" s="87"/>
    </row>
    <row r="880" spans="2:11" x14ac:dyDescent="0.2">
      <c r="B880" s="81"/>
      <c r="C880" s="85"/>
      <c r="D880" s="85"/>
      <c r="E880" s="85"/>
      <c r="F880" s="85"/>
      <c r="G880" s="85"/>
      <c r="H880" s="85"/>
      <c r="I880" s="85"/>
      <c r="J880" s="85"/>
      <c r="K880" s="87"/>
    </row>
    <row r="881" spans="2:11" ht="16" x14ac:dyDescent="0.2">
      <c r="B881" s="81"/>
      <c r="C881" s="211" t="s">
        <v>651</v>
      </c>
      <c r="D881" s="85"/>
      <c r="E881" s="85"/>
      <c r="F881" s="85"/>
      <c r="G881" s="85"/>
      <c r="H881" s="85"/>
      <c r="I881" s="85"/>
      <c r="J881" s="85"/>
      <c r="K881" s="87"/>
    </row>
    <row r="882" spans="2:11" x14ac:dyDescent="0.2">
      <c r="B882" s="81"/>
      <c r="C882" s="85" t="s">
        <v>380</v>
      </c>
      <c r="D882" s="85"/>
      <c r="E882" s="85"/>
      <c r="F882" s="85"/>
      <c r="G882" s="406" t="s">
        <v>235</v>
      </c>
      <c r="H882" s="407"/>
      <c r="I882" s="85"/>
      <c r="J882" s="83">
        <f>IF(G882=$B$998,$A$998,IF(G882=$B$999,$A$999,IF(G882=$B$1000,$A$1000,IF(G882=$B$1001,$A$1001,IF(G882=$B$1002,$A$1002,"Not Calculated")))))</f>
        <v>2</v>
      </c>
      <c r="K882" s="87"/>
    </row>
    <row r="883" spans="2:11" x14ac:dyDescent="0.2">
      <c r="B883" s="81"/>
      <c r="C883" s="85" t="s">
        <v>134</v>
      </c>
      <c r="D883" s="85"/>
      <c r="E883" s="85"/>
      <c r="F883" s="85"/>
      <c r="G883" s="85"/>
      <c r="H883" s="85"/>
      <c r="I883" s="85"/>
      <c r="J883" s="240">
        <f>'Baseline PHP'!J194</f>
        <v>0</v>
      </c>
      <c r="K883" s="87"/>
    </row>
    <row r="884" spans="2:11" x14ac:dyDescent="0.2">
      <c r="B884" s="81"/>
      <c r="C884" s="85"/>
      <c r="D884" s="85"/>
      <c r="E884" s="85"/>
      <c r="F884" s="85"/>
      <c r="G884" s="85"/>
      <c r="H884" s="85"/>
      <c r="I884" s="85"/>
      <c r="J884" s="85"/>
      <c r="K884" s="87"/>
    </row>
    <row r="885" spans="2:11" ht="16" x14ac:dyDescent="0.2">
      <c r="B885" s="81"/>
      <c r="C885" s="211" t="s">
        <v>652</v>
      </c>
      <c r="D885" s="85"/>
      <c r="E885" s="85"/>
      <c r="F885" s="85"/>
      <c r="G885" s="85"/>
      <c r="H885" s="85"/>
      <c r="I885" s="85"/>
      <c r="J885" s="85"/>
      <c r="K885" s="87"/>
    </row>
    <row r="886" spans="2:11" x14ac:dyDescent="0.2">
      <c r="B886" s="81"/>
      <c r="C886" s="85" t="s">
        <v>380</v>
      </c>
      <c r="D886" s="85"/>
      <c r="E886" s="85"/>
      <c r="F886" s="85"/>
      <c r="G886" s="406" t="s">
        <v>237</v>
      </c>
      <c r="H886" s="407"/>
      <c r="I886" s="85"/>
      <c r="J886" s="83">
        <f>IF(G886=$B$998,$A$998,IF(G886=$B$999,$A$999,IF(G886=$B$1000,$A$1000,IF(G886=$B$1001,$A$1001,IF(G886=$B$1002,$A$1002,"Not Calculated")))))</f>
        <v>1</v>
      </c>
      <c r="K886" s="87"/>
    </row>
    <row r="887" spans="2:11" x14ac:dyDescent="0.2">
      <c r="B887" s="81"/>
      <c r="C887" s="85" t="s">
        <v>134</v>
      </c>
      <c r="D887" s="85"/>
      <c r="E887" s="85"/>
      <c r="F887" s="85"/>
      <c r="G887" s="85"/>
      <c r="H887" s="85"/>
      <c r="I887" s="85"/>
      <c r="J887" s="240">
        <f>'Baseline PHP'!J208</f>
        <v>0</v>
      </c>
      <c r="K887" s="87"/>
    </row>
    <row r="888" spans="2:11" x14ac:dyDescent="0.2">
      <c r="B888" s="81"/>
      <c r="C888" s="85"/>
      <c r="D888" s="85"/>
      <c r="E888" s="85"/>
      <c r="F888" s="85"/>
      <c r="G888" s="85"/>
      <c r="H888" s="85"/>
      <c r="I888" s="85"/>
      <c r="J888" s="85"/>
      <c r="K888" s="87"/>
    </row>
    <row r="889" spans="2:11" ht="16" x14ac:dyDescent="0.2">
      <c r="B889" s="81"/>
      <c r="C889" s="211" t="s">
        <v>653</v>
      </c>
      <c r="D889" s="85"/>
      <c r="E889" s="85"/>
      <c r="F889" s="85"/>
      <c r="G889" s="85"/>
      <c r="H889" s="85"/>
      <c r="I889" s="85"/>
      <c r="J889" s="85"/>
      <c r="K889" s="87"/>
    </row>
    <row r="890" spans="2:11" x14ac:dyDescent="0.2">
      <c r="B890" s="81"/>
      <c r="C890" s="85" t="s">
        <v>380</v>
      </c>
      <c r="D890" s="85"/>
      <c r="E890" s="85"/>
      <c r="F890" s="85"/>
      <c r="G890" s="406" t="s">
        <v>235</v>
      </c>
      <c r="H890" s="407"/>
      <c r="I890" s="85"/>
      <c r="J890" s="83">
        <f>IF(G890=$B$998,$A$998,IF(G890=$B$999,$A$999,IF(G890=$B$1000,$A$1000,IF(G890=$B$1001,$A$1001,IF(G890=$B$1002,$A$1002,"Not Calculated")))))</f>
        <v>2</v>
      </c>
      <c r="K890" s="87"/>
    </row>
    <row r="891" spans="2:11" x14ac:dyDescent="0.2">
      <c r="B891" s="81"/>
      <c r="C891" s="85" t="s">
        <v>134</v>
      </c>
      <c r="D891" s="85"/>
      <c r="E891" s="85"/>
      <c r="F891" s="85"/>
      <c r="G891" s="85"/>
      <c r="H891" s="85"/>
      <c r="I891" s="85"/>
      <c r="J891" s="240">
        <f>'Baseline PHP'!J222</f>
        <v>0</v>
      </c>
      <c r="K891" s="87"/>
    </row>
    <row r="892" spans="2:11" x14ac:dyDescent="0.2">
      <c r="B892" s="81"/>
      <c r="C892" s="85"/>
      <c r="D892" s="85"/>
      <c r="E892" s="85"/>
      <c r="F892" s="85"/>
      <c r="G892" s="85"/>
      <c r="H892" s="85"/>
      <c r="I892" s="85"/>
      <c r="J892" s="85"/>
      <c r="K892" s="87"/>
    </row>
    <row r="893" spans="2:11" x14ac:dyDescent="0.2">
      <c r="B893" s="81"/>
      <c r="C893" s="85"/>
      <c r="D893" s="85"/>
      <c r="E893" s="85"/>
      <c r="F893" s="85"/>
      <c r="G893" s="85"/>
      <c r="H893" s="85"/>
      <c r="I893" s="85"/>
      <c r="J893" s="85"/>
      <c r="K893" s="87"/>
    </row>
    <row r="894" spans="2:11" ht="16" x14ac:dyDescent="0.2">
      <c r="B894" s="81"/>
      <c r="C894" s="212" t="s">
        <v>813</v>
      </c>
      <c r="D894" s="85"/>
      <c r="E894" s="85"/>
      <c r="F894" s="85"/>
      <c r="G894" s="85"/>
      <c r="H894" s="85"/>
      <c r="I894" s="85"/>
      <c r="J894" s="241">
        <f>IF(OR(J854="Not Calculated",J858="Not Calculated",J862="Not Calculated",J866="Not Calculated",J870="Not Calculated",J874="Not Calculated",J878="Not Calculated",J882="Not Calculated",J886="Not Calculated",J890="Not Calculated",J834="Not Calculated",J838="Not Calculated",J842="Not Calculated",J846="Not Calculated",J850="Not Calculated",J855="Not Calculated",J859="Not Calculated",J863="Not Calculated",J867="Not Calculated",J871="Not Calculated",J875="Not Calculated",J879="Not Calculated",J883="Not Calculated",J887="Not Calculated",J891="Not Calculated",J835="Not Calculated",J839="Not Calculated",J843="Not Calculated",J847="Not Calculated",J851="Not Calculated")=TRUE,"Not Calculated",((J834*J835)+(J838*J839)+(J842*J843)+(J846*J847)+(J850*J851)+(J854*J855)+(J858*J859)+(J862*J863)+(J866*J867)+(J870*J871)+(J874*J875)+(J878*J879)+(J882*J883)+(J886*J887)+(J890*J891))/(J834+J838+J842+J846+J850+J854+J858+J862+J866+J870+J874+J878+J882+J886+J890))</f>
        <v>0</v>
      </c>
      <c r="K894" s="87"/>
    </row>
    <row r="895" spans="2:11" ht="16" thickBot="1" x14ac:dyDescent="0.25">
      <c r="B895" s="213"/>
      <c r="C895" s="94"/>
      <c r="D895" s="94"/>
      <c r="E895" s="94"/>
      <c r="F895" s="94"/>
      <c r="G895" s="94"/>
      <c r="H895" s="94"/>
      <c r="I895" s="94"/>
      <c r="J895" s="94"/>
      <c r="K895" s="96"/>
    </row>
    <row r="896" spans="2:11" ht="16" thickBot="1" x14ac:dyDescent="0.25"/>
    <row r="897" spans="2:11" x14ac:dyDescent="0.2">
      <c r="B897" s="77"/>
      <c r="C897" s="78"/>
      <c r="D897" s="78"/>
      <c r="E897" s="78"/>
      <c r="F897" s="78"/>
      <c r="G897" s="78"/>
      <c r="H897" s="78"/>
      <c r="I897" s="78"/>
      <c r="J897" s="78"/>
      <c r="K897" s="80"/>
    </row>
    <row r="898" spans="2:11" ht="21" x14ac:dyDescent="0.25">
      <c r="B898" s="81"/>
      <c r="C898" s="85"/>
      <c r="D898" s="85"/>
      <c r="E898" s="85"/>
      <c r="F898" s="85"/>
      <c r="G898" s="210" t="s">
        <v>807</v>
      </c>
      <c r="H898" s="85"/>
      <c r="I898" s="85"/>
      <c r="J898" s="85"/>
      <c r="K898" s="87"/>
    </row>
    <row r="899" spans="2:11" x14ac:dyDescent="0.2">
      <c r="B899" s="81"/>
      <c r="C899" s="85"/>
      <c r="D899" s="85"/>
      <c r="E899" s="85"/>
      <c r="F899" s="85"/>
      <c r="G899" s="85"/>
      <c r="H899" s="85"/>
      <c r="I899" s="85"/>
      <c r="J899" s="85"/>
      <c r="K899" s="87"/>
    </row>
    <row r="900" spans="2:11" ht="15" customHeight="1" x14ac:dyDescent="0.2">
      <c r="B900" s="81"/>
      <c r="C900" s="424" t="s">
        <v>809</v>
      </c>
      <c r="D900" s="424"/>
      <c r="E900" s="424"/>
      <c r="F900" s="424"/>
      <c r="G900" s="424"/>
      <c r="H900" s="424"/>
      <c r="I900" s="424"/>
      <c r="J900" s="424"/>
      <c r="K900" s="87"/>
    </row>
    <row r="901" spans="2:11" x14ac:dyDescent="0.2">
      <c r="B901" s="81"/>
      <c r="C901" s="424"/>
      <c r="D901" s="424"/>
      <c r="E901" s="424"/>
      <c r="F901" s="424"/>
      <c r="G901" s="424"/>
      <c r="H901" s="424"/>
      <c r="I901" s="424"/>
      <c r="J901" s="424"/>
      <c r="K901" s="87"/>
    </row>
    <row r="902" spans="2:11" x14ac:dyDescent="0.2">
      <c r="B902" s="81"/>
      <c r="C902" s="85"/>
      <c r="D902" s="85"/>
      <c r="E902" s="85"/>
      <c r="F902" s="85"/>
      <c r="G902" s="85"/>
      <c r="H902" s="85"/>
      <c r="I902" s="85"/>
      <c r="J902" s="85"/>
      <c r="K902" s="87"/>
    </row>
    <row r="903" spans="2:11" ht="16" x14ac:dyDescent="0.2">
      <c r="B903" s="81"/>
      <c r="C903" s="211" t="s">
        <v>810</v>
      </c>
      <c r="D903" s="85"/>
      <c r="E903" s="85"/>
      <c r="F903" s="85"/>
      <c r="G903" s="85"/>
      <c r="H903" s="85"/>
      <c r="I903" s="85"/>
      <c r="J903" s="85"/>
      <c r="K903" s="87"/>
    </row>
    <row r="904" spans="2:11" x14ac:dyDescent="0.2">
      <c r="B904" s="81"/>
      <c r="C904" s="85" t="s">
        <v>380</v>
      </c>
      <c r="D904" s="85"/>
      <c r="E904" s="85"/>
      <c r="F904" s="85"/>
      <c r="G904" s="406" t="s">
        <v>234</v>
      </c>
      <c r="H904" s="407"/>
      <c r="I904" s="85"/>
      <c r="J904" s="83">
        <f>IF(G904=$B$998,$A$998,IF(G904=$B$999,$A$999,IF(G904=$B$1000,$A$1000,IF(G904=$B$1001,$A$1001,IF(G904=$B$1002,$A$1002,"Not Calculated")))))</f>
        <v>4</v>
      </c>
      <c r="K904" s="87"/>
    </row>
    <row r="905" spans="2:11" x14ac:dyDescent="0.2">
      <c r="B905" s="81"/>
      <c r="C905" s="85" t="s">
        <v>134</v>
      </c>
      <c r="D905" s="85"/>
      <c r="E905" s="85"/>
      <c r="F905" s="85"/>
      <c r="G905" s="85"/>
      <c r="H905" s="85"/>
      <c r="I905" s="85"/>
      <c r="J905" s="240">
        <f>'Baseline HP'!J22</f>
        <v>0</v>
      </c>
      <c r="K905" s="87"/>
    </row>
    <row r="906" spans="2:11" x14ac:dyDescent="0.2">
      <c r="B906" s="81"/>
      <c r="C906" s="85"/>
      <c r="D906" s="85"/>
      <c r="E906" s="85"/>
      <c r="F906" s="85"/>
      <c r="G906" s="85"/>
      <c r="H906" s="85"/>
      <c r="I906" s="85"/>
      <c r="J906" s="85"/>
      <c r="K906" s="87"/>
    </row>
    <row r="907" spans="2:11" ht="16" x14ac:dyDescent="0.2">
      <c r="B907" s="81"/>
      <c r="C907" s="211" t="s">
        <v>811</v>
      </c>
      <c r="D907" s="85"/>
      <c r="E907" s="85"/>
      <c r="F907" s="85"/>
      <c r="G907" s="85"/>
      <c r="H907" s="85"/>
      <c r="I907" s="85"/>
      <c r="J907" s="85"/>
      <c r="K907" s="87"/>
    </row>
    <row r="908" spans="2:11" x14ac:dyDescent="0.2">
      <c r="B908" s="81"/>
      <c r="C908" s="85" t="s">
        <v>380</v>
      </c>
      <c r="D908" s="85"/>
      <c r="E908" s="85"/>
      <c r="F908" s="85"/>
      <c r="G908" s="406" t="s">
        <v>234</v>
      </c>
      <c r="H908" s="407"/>
      <c r="I908" s="85"/>
      <c r="J908" s="83">
        <f>IF(G908=$B$998,$A$998,IF(G908=$B$999,$A$999,IF(G908=$B$1000,$A$1000,IF(G908=$B$1001,$A$1001,IF(G908=$B$1002,$A$1002,"Not Calculated")))))</f>
        <v>4</v>
      </c>
      <c r="K908" s="87"/>
    </row>
    <row r="909" spans="2:11" x14ac:dyDescent="0.2">
      <c r="B909" s="81"/>
      <c r="C909" s="85" t="s">
        <v>134</v>
      </c>
      <c r="D909" s="85"/>
      <c r="E909" s="85"/>
      <c r="F909" s="85"/>
      <c r="G909" s="85"/>
      <c r="H909" s="85"/>
      <c r="I909" s="85"/>
      <c r="J909" s="240">
        <f>'Baseline HP'!J32</f>
        <v>0</v>
      </c>
      <c r="K909" s="87"/>
    </row>
    <row r="910" spans="2:11" x14ac:dyDescent="0.2">
      <c r="B910" s="81"/>
      <c r="C910" s="85"/>
      <c r="D910" s="85"/>
      <c r="E910" s="85"/>
      <c r="F910" s="85"/>
      <c r="G910" s="85"/>
      <c r="H910" s="85"/>
      <c r="I910" s="85"/>
      <c r="J910" s="85"/>
      <c r="K910" s="87"/>
    </row>
    <row r="911" spans="2:11" ht="16" x14ac:dyDescent="0.2">
      <c r="B911" s="81"/>
      <c r="C911" s="211" t="s">
        <v>645</v>
      </c>
      <c r="D911" s="85"/>
      <c r="E911" s="85"/>
      <c r="F911" s="85"/>
      <c r="G911" s="85"/>
      <c r="H911" s="85"/>
      <c r="I911" s="85"/>
      <c r="J911" s="85"/>
      <c r="K911" s="87"/>
    </row>
    <row r="912" spans="2:11" x14ac:dyDescent="0.2">
      <c r="B912" s="81"/>
      <c r="C912" s="85" t="s">
        <v>380</v>
      </c>
      <c r="D912" s="85"/>
      <c r="E912" s="85"/>
      <c r="F912" s="85"/>
      <c r="G912" s="406" t="s">
        <v>234</v>
      </c>
      <c r="H912" s="407"/>
      <c r="I912" s="85"/>
      <c r="J912" s="83">
        <f>IF(G912=$B$998,$A$998,IF(G912=$B$999,$A$999,IF(G912=$B$1000,$A$1000,IF(G912=$B$1001,$A$1001,IF(G912=$B$1002,$A$1002,"Not Calculated")))))</f>
        <v>4</v>
      </c>
      <c r="K912" s="87"/>
    </row>
    <row r="913" spans="2:11" x14ac:dyDescent="0.2">
      <c r="B913" s="81"/>
      <c r="C913" s="85" t="s">
        <v>134</v>
      </c>
      <c r="D913" s="85"/>
      <c r="E913" s="85"/>
      <c r="F913" s="85"/>
      <c r="G913" s="85"/>
      <c r="H913" s="85"/>
      <c r="I913" s="85"/>
      <c r="J913" s="240">
        <f>'Baseline HP'!J46</f>
        <v>0</v>
      </c>
      <c r="K913" s="87"/>
    </row>
    <row r="914" spans="2:11" x14ac:dyDescent="0.2">
      <c r="B914" s="81"/>
      <c r="C914" s="85"/>
      <c r="D914" s="85"/>
      <c r="E914" s="85"/>
      <c r="F914" s="85"/>
      <c r="G914" s="85"/>
      <c r="H914" s="85"/>
      <c r="I914" s="85"/>
      <c r="J914" s="85"/>
      <c r="K914" s="87"/>
    </row>
    <row r="915" spans="2:11" ht="16" x14ac:dyDescent="0.2">
      <c r="B915" s="81"/>
      <c r="C915" s="211" t="s">
        <v>648</v>
      </c>
      <c r="D915" s="85"/>
      <c r="E915" s="85"/>
      <c r="F915" s="85"/>
      <c r="G915" s="85"/>
      <c r="H915" s="85"/>
      <c r="I915" s="85"/>
      <c r="J915" s="85"/>
      <c r="K915" s="87"/>
    </row>
    <row r="916" spans="2:11" ht="15" customHeight="1" x14ac:dyDescent="0.2">
      <c r="B916" s="81"/>
      <c r="C916" s="85" t="s">
        <v>380</v>
      </c>
      <c r="D916" s="85"/>
      <c r="E916" s="85"/>
      <c r="F916" s="85"/>
      <c r="G916" s="406" t="s">
        <v>235</v>
      </c>
      <c r="H916" s="407"/>
      <c r="I916" s="85"/>
      <c r="J916" s="83">
        <f>IF(G916=$B$998,$A$998,IF(G916=$B$999,$A$999,IF(G916=$B$1000,$A$1000,IF(G916=$B$1001,$A$1001,IF(G916=$B$1002,$A$1002,"Not Calculated")))))</f>
        <v>2</v>
      </c>
      <c r="K916" s="87"/>
    </row>
    <row r="917" spans="2:11" x14ac:dyDescent="0.2">
      <c r="B917" s="81"/>
      <c r="C917" s="85" t="s">
        <v>134</v>
      </c>
      <c r="D917" s="85"/>
      <c r="E917" s="85"/>
      <c r="F917" s="85"/>
      <c r="G917" s="85"/>
      <c r="H917" s="85"/>
      <c r="I917" s="85"/>
      <c r="J917" s="240">
        <f>'Baseline HP'!J58</f>
        <v>0</v>
      </c>
      <c r="K917" s="87"/>
    </row>
    <row r="918" spans="2:11" x14ac:dyDescent="0.2">
      <c r="B918" s="81"/>
      <c r="C918" s="85"/>
      <c r="D918" s="85"/>
      <c r="E918" s="85"/>
      <c r="F918" s="85"/>
      <c r="G918" s="85"/>
      <c r="H918" s="85"/>
      <c r="I918" s="85"/>
      <c r="J918" s="85"/>
      <c r="K918" s="87"/>
    </row>
    <row r="919" spans="2:11" ht="16" x14ac:dyDescent="0.2">
      <c r="B919" s="81"/>
      <c r="C919" s="211" t="s">
        <v>647</v>
      </c>
      <c r="D919" s="85"/>
      <c r="E919" s="85"/>
      <c r="F919" s="85"/>
      <c r="G919" s="85"/>
      <c r="H919" s="85"/>
      <c r="I919" s="85"/>
      <c r="J919" s="85"/>
      <c r="K919" s="87"/>
    </row>
    <row r="920" spans="2:11" x14ac:dyDescent="0.2">
      <c r="B920" s="81"/>
      <c r="C920" s="85" t="s">
        <v>380</v>
      </c>
      <c r="D920" s="85"/>
      <c r="E920" s="85"/>
      <c r="F920" s="85"/>
      <c r="G920" s="406" t="s">
        <v>234</v>
      </c>
      <c r="H920" s="407"/>
      <c r="I920" s="85"/>
      <c r="J920" s="83">
        <f>IF(G920=$B$998,$A$998,IF(G920=$B$999,$A$999,IF(G920=$B$1000,$A$1000,IF(G920=$B$1001,$A$1001,IF(G920=$B$1002,$A$1002,"Not Calculated")))))</f>
        <v>4</v>
      </c>
      <c r="K920" s="87"/>
    </row>
    <row r="921" spans="2:11" x14ac:dyDescent="0.2">
      <c r="B921" s="81"/>
      <c r="C921" s="85" t="s">
        <v>134</v>
      </c>
      <c r="D921" s="85"/>
      <c r="E921" s="85"/>
      <c r="F921" s="85"/>
      <c r="G921" s="85"/>
      <c r="H921" s="85"/>
      <c r="I921" s="85"/>
      <c r="J921" s="240">
        <f>'Baseline HP'!J68</f>
        <v>0</v>
      </c>
      <c r="K921" s="87"/>
    </row>
    <row r="922" spans="2:11" x14ac:dyDescent="0.2">
      <c r="B922" s="81"/>
      <c r="C922" s="85"/>
      <c r="D922" s="85"/>
      <c r="E922" s="85"/>
      <c r="F922" s="85"/>
      <c r="G922" s="85"/>
      <c r="H922" s="85"/>
      <c r="I922" s="85"/>
      <c r="J922" s="85"/>
      <c r="K922" s="87"/>
    </row>
    <row r="923" spans="2:11" ht="16" x14ac:dyDescent="0.2">
      <c r="B923" s="81"/>
      <c r="C923" s="211" t="s">
        <v>121</v>
      </c>
      <c r="D923" s="85"/>
      <c r="E923" s="85"/>
      <c r="F923" s="85"/>
      <c r="G923" s="85"/>
      <c r="H923" s="85"/>
      <c r="I923" s="85"/>
      <c r="J923" s="85"/>
      <c r="K923" s="87"/>
    </row>
    <row r="924" spans="2:11" x14ac:dyDescent="0.2">
      <c r="B924" s="81"/>
      <c r="C924" s="85" t="s">
        <v>380</v>
      </c>
      <c r="D924" s="85"/>
      <c r="E924" s="85"/>
      <c r="F924" s="85"/>
      <c r="G924" s="406" t="s">
        <v>235</v>
      </c>
      <c r="H924" s="407"/>
      <c r="I924" s="85"/>
      <c r="J924" s="83">
        <f>IF(G924=$B$998,$A$998,IF(G924=$B$999,$A$999,IF(G924=$B$1000,$A$1000,IF(G924=$B$1001,$A$1001,IF(G924=$B$1002,$A$1002,"Not Calculated")))))</f>
        <v>2</v>
      </c>
      <c r="K924" s="87"/>
    </row>
    <row r="925" spans="2:11" x14ac:dyDescent="0.2">
      <c r="B925" s="81"/>
      <c r="C925" s="85" t="s">
        <v>134</v>
      </c>
      <c r="D925" s="85"/>
      <c r="E925" s="85"/>
      <c r="F925" s="85"/>
      <c r="G925" s="85"/>
      <c r="H925" s="85"/>
      <c r="I925" s="85"/>
      <c r="J925" s="240">
        <f>'Baseline HP'!J84</f>
        <v>0</v>
      </c>
      <c r="K925" s="87"/>
    </row>
    <row r="926" spans="2:11" x14ac:dyDescent="0.2">
      <c r="B926" s="81"/>
      <c r="C926" s="85"/>
      <c r="D926" s="85"/>
      <c r="E926" s="85"/>
      <c r="F926" s="85"/>
      <c r="G926" s="85"/>
      <c r="H926" s="85"/>
      <c r="I926" s="85"/>
      <c r="J926" s="85"/>
      <c r="K926" s="87"/>
    </row>
    <row r="927" spans="2:11" ht="16" x14ac:dyDescent="0.2">
      <c r="B927" s="81"/>
      <c r="C927" s="211" t="s">
        <v>652</v>
      </c>
      <c r="D927" s="85"/>
      <c r="E927" s="85"/>
      <c r="F927" s="85"/>
      <c r="G927" s="85"/>
      <c r="H927" s="85"/>
      <c r="I927" s="85"/>
      <c r="J927" s="85"/>
      <c r="K927" s="87"/>
    </row>
    <row r="928" spans="2:11" x14ac:dyDescent="0.2">
      <c r="B928" s="81"/>
      <c r="C928" s="85" t="s">
        <v>380</v>
      </c>
      <c r="D928" s="85"/>
      <c r="E928" s="85"/>
      <c r="F928" s="85"/>
      <c r="G928" s="406" t="s">
        <v>237</v>
      </c>
      <c r="H928" s="407"/>
      <c r="I928" s="85"/>
      <c r="J928" s="83">
        <f>IF(G928=$B$998,$A$998,IF(G928=$B$999,$A$999,IF(G928=$B$1000,$A$1000,IF(G928=$B$1001,$A$1001,IF(G928=$B$1002,$A$1002,"Not Calculated")))))</f>
        <v>1</v>
      </c>
      <c r="K928" s="87"/>
    </row>
    <row r="929" spans="2:11" x14ac:dyDescent="0.2">
      <c r="B929" s="81"/>
      <c r="C929" s="85" t="s">
        <v>134</v>
      </c>
      <c r="D929" s="85"/>
      <c r="E929" s="85"/>
      <c r="F929" s="85"/>
      <c r="G929" s="85"/>
      <c r="H929" s="85"/>
      <c r="I929" s="85"/>
      <c r="J929" s="240">
        <f>'Baseline HP'!J94</f>
        <v>0</v>
      </c>
      <c r="K929" s="87"/>
    </row>
    <row r="930" spans="2:11" x14ac:dyDescent="0.2">
      <c r="B930" s="81"/>
      <c r="C930" s="85"/>
      <c r="D930" s="85"/>
      <c r="E930" s="85"/>
      <c r="F930" s="85"/>
      <c r="G930" s="85"/>
      <c r="H930" s="85"/>
      <c r="I930" s="85"/>
      <c r="J930" s="85"/>
      <c r="K930" s="87"/>
    </row>
    <row r="931" spans="2:11" ht="16" x14ac:dyDescent="0.2">
      <c r="B931" s="81"/>
      <c r="C931" s="211" t="s">
        <v>653</v>
      </c>
      <c r="D931" s="85"/>
      <c r="E931" s="85"/>
      <c r="F931" s="85"/>
      <c r="G931" s="85"/>
      <c r="H931" s="85"/>
      <c r="I931" s="85"/>
      <c r="J931" s="85"/>
      <c r="K931" s="87"/>
    </row>
    <row r="932" spans="2:11" x14ac:dyDescent="0.2">
      <c r="B932" s="81"/>
      <c r="C932" s="85" t="s">
        <v>380</v>
      </c>
      <c r="D932" s="85"/>
      <c r="E932" s="85"/>
      <c r="F932" s="85"/>
      <c r="G932" s="406" t="s">
        <v>235</v>
      </c>
      <c r="H932" s="407"/>
      <c r="I932" s="85"/>
      <c r="J932" s="83">
        <f>IF(G932=$B$998,$A$998,IF(G932=$B$999,$A$999,IF(G932=$B$1000,$A$1000,IF(G932=$B$1001,$A$1001,IF(G932=$B$1002,$A$1002,"Not Calculated")))))</f>
        <v>2</v>
      </c>
      <c r="K932" s="87"/>
    </row>
    <row r="933" spans="2:11" x14ac:dyDescent="0.2">
      <c r="B933" s="81"/>
      <c r="C933" s="85" t="s">
        <v>134</v>
      </c>
      <c r="D933" s="85"/>
      <c r="E933" s="85"/>
      <c r="F933" s="85"/>
      <c r="G933" s="85"/>
      <c r="H933" s="85"/>
      <c r="I933" s="85"/>
      <c r="J933" s="240">
        <f>'Baseline HP'!J108</f>
        <v>0</v>
      </c>
      <c r="K933" s="87"/>
    </row>
    <row r="934" spans="2:11" x14ac:dyDescent="0.2">
      <c r="B934" s="81"/>
      <c r="C934" s="85"/>
      <c r="D934" s="85"/>
      <c r="E934" s="85"/>
      <c r="F934" s="85"/>
      <c r="G934" s="85"/>
      <c r="H934" s="85"/>
      <c r="I934" s="85"/>
      <c r="J934" s="85"/>
      <c r="K934" s="87"/>
    </row>
    <row r="935" spans="2:11" x14ac:dyDescent="0.2">
      <c r="B935" s="81"/>
      <c r="C935" s="85"/>
      <c r="D935" s="85"/>
      <c r="E935" s="85"/>
      <c r="F935" s="85"/>
      <c r="G935" s="85"/>
      <c r="H935" s="85"/>
      <c r="I935" s="85"/>
      <c r="J935" s="85"/>
      <c r="K935" s="87"/>
    </row>
    <row r="936" spans="2:11" ht="16" x14ac:dyDescent="0.2">
      <c r="B936" s="81"/>
      <c r="C936" s="212" t="s">
        <v>812</v>
      </c>
      <c r="D936" s="85"/>
      <c r="E936" s="85"/>
      <c r="F936" s="85"/>
      <c r="G936" s="85"/>
      <c r="H936" s="85"/>
      <c r="I936" s="85"/>
      <c r="J936" s="241">
        <f>IF(OR(J920="Not Calculated",J924="Not Calculated",J928="Not Calculated",J932="Not Calculated",J904="Not Calculated",J908="Not Calculated",J912="Not Calculated",J916="Not Calculated",J921="Not Calculated",J925="Not Calculated",J929="Not Calculated",J933="Not Calculated",J905="Not Calculated",J909="Not Calculated",J913="Not Calculated",J917="Not Calculated")=TRUE,"Not Calculated",((J904*J905)+(J908*J909)+(J912*J913)+(J916*J917)+(J920*J921)+(J924*J925)+(J928*J929)+(J932*J933))/(J904+J908+J912+J916+J920+J924+J928+J932))</f>
        <v>0</v>
      </c>
      <c r="K936" s="87"/>
    </row>
    <row r="937" spans="2:11" ht="16" thickBot="1" x14ac:dyDescent="0.25">
      <c r="B937" s="213"/>
      <c r="C937" s="94"/>
      <c r="D937" s="94"/>
      <c r="E937" s="94"/>
      <c r="F937" s="94"/>
      <c r="G937" s="94"/>
      <c r="H937" s="94"/>
      <c r="I937" s="94"/>
      <c r="J937" s="94"/>
      <c r="K937" s="96"/>
    </row>
    <row r="938" spans="2:11" ht="16" thickBot="1" x14ac:dyDescent="0.25"/>
    <row r="939" spans="2:11" x14ac:dyDescent="0.2">
      <c r="B939" s="77"/>
      <c r="C939" s="78"/>
      <c r="D939" s="78"/>
      <c r="E939" s="78"/>
      <c r="F939" s="78"/>
      <c r="G939" s="78"/>
      <c r="H939" s="78"/>
      <c r="I939" s="78"/>
      <c r="J939" s="78"/>
      <c r="K939" s="80"/>
    </row>
    <row r="940" spans="2:11" ht="21" x14ac:dyDescent="0.25">
      <c r="B940" s="81"/>
      <c r="C940" s="85"/>
      <c r="D940" s="85"/>
      <c r="E940" s="85"/>
      <c r="F940" s="85"/>
      <c r="G940" s="210" t="s">
        <v>815</v>
      </c>
      <c r="H940" s="85"/>
      <c r="I940" s="85"/>
      <c r="J940" s="85"/>
      <c r="K940" s="87"/>
    </row>
    <row r="941" spans="2:11" ht="21" x14ac:dyDescent="0.25">
      <c r="B941" s="81"/>
      <c r="C941" s="85"/>
      <c r="D941" s="85"/>
      <c r="E941" s="85"/>
      <c r="F941" s="85"/>
      <c r="G941" s="210"/>
      <c r="H941" s="85"/>
      <c r="I941" s="85"/>
      <c r="J941" s="85"/>
      <c r="K941" s="87"/>
    </row>
    <row r="942" spans="2:11" ht="16" x14ac:dyDescent="0.2">
      <c r="B942" s="81"/>
      <c r="C942" s="212" t="s">
        <v>995</v>
      </c>
      <c r="D942" s="85"/>
      <c r="E942" s="85"/>
      <c r="F942" s="85"/>
      <c r="G942" s="85"/>
      <c r="H942" s="85"/>
      <c r="I942" s="85"/>
      <c r="J942" s="241">
        <f>IF(OR(J936="Not Calculated",J894="Not Calculated")=TRUE,"Not Calculated",AVERAGE(J936,J894))</f>
        <v>0</v>
      </c>
      <c r="K942" s="87"/>
    </row>
    <row r="943" spans="2:11" ht="16" x14ac:dyDescent="0.2">
      <c r="B943" s="81"/>
      <c r="C943" s="212"/>
      <c r="D943" s="85" t="s">
        <v>814</v>
      </c>
      <c r="E943" s="85"/>
      <c r="F943" s="85"/>
      <c r="G943" s="85"/>
      <c r="H943" s="85"/>
      <c r="I943" s="85"/>
      <c r="J943" s="241"/>
      <c r="K943" s="87"/>
    </row>
    <row r="944" spans="2:11" ht="17" thickBot="1" x14ac:dyDescent="0.25">
      <c r="B944" s="213"/>
      <c r="C944" s="227"/>
      <c r="D944" s="94"/>
      <c r="E944" s="94"/>
      <c r="F944" s="94"/>
      <c r="G944" s="94"/>
      <c r="H944" s="94"/>
      <c r="I944" s="94"/>
      <c r="J944" s="228"/>
      <c r="K944" s="96"/>
    </row>
    <row r="945" spans="2:11" ht="16" thickBot="1" x14ac:dyDescent="0.25"/>
    <row r="946" spans="2:11" x14ac:dyDescent="0.2">
      <c r="B946" s="214"/>
      <c r="C946" s="215"/>
      <c r="D946" s="215"/>
      <c r="E946" s="215"/>
      <c r="F946" s="215"/>
      <c r="G946" s="215"/>
      <c r="H946" s="215"/>
      <c r="I946" s="215"/>
      <c r="J946" s="215"/>
      <c r="K946" s="216"/>
    </row>
    <row r="947" spans="2:11" ht="21" x14ac:dyDescent="0.25">
      <c r="B947" s="217"/>
      <c r="C947" s="218"/>
      <c r="D947" s="218"/>
      <c r="E947" s="218"/>
      <c r="F947" s="218"/>
      <c r="G947" s="219" t="s">
        <v>239</v>
      </c>
      <c r="H947" s="218"/>
      <c r="I947" s="218"/>
      <c r="J947" s="218"/>
      <c r="K947" s="220"/>
    </row>
    <row r="948" spans="2:11" x14ac:dyDescent="0.2">
      <c r="B948" s="217"/>
      <c r="C948" s="218"/>
      <c r="D948" s="218"/>
      <c r="E948" s="218"/>
      <c r="F948" s="218"/>
      <c r="G948" s="218"/>
      <c r="H948" s="218"/>
      <c r="I948" s="218"/>
      <c r="J948" s="218"/>
      <c r="K948" s="220"/>
    </row>
    <row r="949" spans="2:11" ht="16" x14ac:dyDescent="0.2">
      <c r="B949" s="217"/>
      <c r="C949" s="221" t="s">
        <v>393</v>
      </c>
      <c r="D949" s="218"/>
      <c r="E949" s="218"/>
      <c r="F949" s="218"/>
      <c r="G949" s="218"/>
      <c r="H949" s="218"/>
      <c r="I949" s="218"/>
      <c r="J949" s="242" t="str">
        <f>IF(OR(J817="Not Calculated",J942="Not Calculated")=TRUE,"Not Calculated",J817/J942)</f>
        <v>Not Calculated</v>
      </c>
      <c r="K949" s="220"/>
    </row>
    <row r="950" spans="2:11" x14ac:dyDescent="0.2">
      <c r="B950" s="217"/>
      <c r="C950" s="218"/>
      <c r="D950" s="218" t="s">
        <v>816</v>
      </c>
      <c r="E950" s="218"/>
      <c r="F950" s="218"/>
      <c r="G950" s="218"/>
      <c r="H950" s="218"/>
      <c r="I950" s="218"/>
      <c r="J950" s="218"/>
      <c r="K950" s="220"/>
    </row>
    <row r="951" spans="2:11" x14ac:dyDescent="0.2">
      <c r="B951" s="217"/>
      <c r="C951" s="218"/>
      <c r="D951" s="218"/>
      <c r="E951" s="218"/>
      <c r="F951" s="218"/>
      <c r="G951" s="218"/>
      <c r="H951" s="218"/>
      <c r="I951" s="218"/>
      <c r="J951" s="218"/>
      <c r="K951" s="220"/>
    </row>
    <row r="952" spans="2:11" ht="16" x14ac:dyDescent="0.2">
      <c r="B952" s="217"/>
      <c r="C952" s="221" t="s">
        <v>996</v>
      </c>
      <c r="D952" s="218"/>
      <c r="E952" s="218"/>
      <c r="F952" s="218"/>
      <c r="G952" s="218"/>
      <c r="H952" s="218"/>
      <c r="I952" s="218"/>
      <c r="J952" s="242" t="str">
        <f>IF(OR(J820="Not Calculated",J894="Not Calculated")=TRUE,"Not Calculated",J820/J894)</f>
        <v>Not Calculated</v>
      </c>
      <c r="K952" s="220"/>
    </row>
    <row r="953" spans="2:11" x14ac:dyDescent="0.2">
      <c r="B953" s="217"/>
      <c r="C953" s="218"/>
      <c r="D953" s="218" t="s">
        <v>817</v>
      </c>
      <c r="E953" s="218"/>
      <c r="F953" s="218"/>
      <c r="G953" s="218"/>
      <c r="H953" s="218"/>
      <c r="I953" s="218"/>
      <c r="J953" s="218"/>
      <c r="K953" s="220"/>
    </row>
    <row r="954" spans="2:11" x14ac:dyDescent="0.2">
      <c r="B954" s="217"/>
      <c r="C954" s="218"/>
      <c r="D954" s="218"/>
      <c r="E954" s="218"/>
      <c r="F954" s="218"/>
      <c r="G954" s="218"/>
      <c r="H954" s="218"/>
      <c r="I954" s="218"/>
      <c r="J954" s="218"/>
      <c r="K954" s="220"/>
    </row>
    <row r="955" spans="2:11" ht="16" x14ac:dyDescent="0.2">
      <c r="B955" s="217"/>
      <c r="C955" s="221" t="s">
        <v>997</v>
      </c>
      <c r="D955" s="218"/>
      <c r="E955" s="218"/>
      <c r="F955" s="218"/>
      <c r="G955" s="218"/>
      <c r="H955" s="218"/>
      <c r="I955" s="218"/>
      <c r="J955" s="242" t="str">
        <f>IF(OR(J936="Not Calculated",J823="Not Calculated")=TRUE,"Not Calculated",J823/J936)</f>
        <v>Not Calculated</v>
      </c>
      <c r="K955" s="220"/>
    </row>
    <row r="956" spans="2:11" x14ac:dyDescent="0.2">
      <c r="B956" s="217"/>
      <c r="C956" s="218"/>
      <c r="D956" s="218" t="s">
        <v>818</v>
      </c>
      <c r="E956" s="218"/>
      <c r="F956" s="218"/>
      <c r="G956" s="218"/>
      <c r="H956" s="218"/>
      <c r="I956" s="218"/>
      <c r="J956" s="218"/>
      <c r="K956" s="220"/>
    </row>
    <row r="957" spans="2:11" ht="16" thickBot="1" x14ac:dyDescent="0.25">
      <c r="B957" s="222"/>
      <c r="C957" s="223"/>
      <c r="D957" s="223"/>
      <c r="E957" s="223"/>
      <c r="F957" s="223"/>
      <c r="G957" s="223"/>
      <c r="H957" s="223"/>
      <c r="I957" s="223"/>
      <c r="J957" s="223"/>
      <c r="K957" s="224"/>
    </row>
    <row r="959" spans="2:11" ht="15" customHeight="1" x14ac:dyDescent="0.2">
      <c r="F959" s="405"/>
      <c r="G959" s="405"/>
      <c r="H959" s="405"/>
    </row>
    <row r="960" spans="2:11" x14ac:dyDescent="0.2">
      <c r="F960" s="405"/>
      <c r="G960" s="405"/>
      <c r="H960" s="405"/>
    </row>
    <row r="965" spans="1:3" ht="15" hidden="1" customHeight="1" x14ac:dyDescent="0.2">
      <c r="A965" s="12" t="s">
        <v>228</v>
      </c>
    </row>
    <row r="966" spans="1:3" ht="15" hidden="1" customHeight="1" x14ac:dyDescent="0.2">
      <c r="A966" s="12">
        <v>0</v>
      </c>
      <c r="B966" s="12" t="s">
        <v>250</v>
      </c>
      <c r="C966" s="12" t="s">
        <v>240</v>
      </c>
    </row>
    <row r="967" spans="1:3" ht="15" hidden="1" customHeight="1" x14ac:dyDescent="0.2">
      <c r="A967" s="12">
        <v>1</v>
      </c>
      <c r="B967" s="12" t="s">
        <v>251</v>
      </c>
      <c r="C967" s="12" t="s">
        <v>241</v>
      </c>
    </row>
    <row r="968" spans="1:3" ht="15" hidden="1" customHeight="1" x14ac:dyDescent="0.2">
      <c r="A968" s="12">
        <v>2</v>
      </c>
      <c r="B968" s="12" t="s">
        <v>252</v>
      </c>
      <c r="C968" s="12" t="s">
        <v>242</v>
      </c>
    </row>
    <row r="969" spans="1:3" ht="15" hidden="1" customHeight="1" x14ac:dyDescent="0.2">
      <c r="A969" s="12">
        <v>3</v>
      </c>
      <c r="B969" s="12" t="s">
        <v>253</v>
      </c>
      <c r="C969" s="12" t="s">
        <v>227</v>
      </c>
    </row>
    <row r="970" spans="1:3" ht="15" hidden="1" customHeight="1" x14ac:dyDescent="0.2">
      <c r="A970" s="12">
        <v>4</v>
      </c>
      <c r="B970" s="12" t="s">
        <v>254</v>
      </c>
      <c r="C970" s="12" t="s">
        <v>243</v>
      </c>
    </row>
    <row r="971" spans="1:3" ht="15" hidden="1" customHeight="1" x14ac:dyDescent="0.2"/>
    <row r="972" spans="1:3" ht="15" hidden="1" customHeight="1" x14ac:dyDescent="0.2">
      <c r="A972" s="12" t="s">
        <v>259</v>
      </c>
    </row>
    <row r="973" spans="1:3" ht="15" hidden="1" customHeight="1" x14ac:dyDescent="0.2">
      <c r="A973" s="12">
        <v>0</v>
      </c>
      <c r="B973" s="225" t="s">
        <v>870</v>
      </c>
    </row>
    <row r="974" spans="1:3" ht="15" hidden="1" customHeight="1" x14ac:dyDescent="0.2">
      <c r="A974" s="12">
        <v>1</v>
      </c>
      <c r="B974" s="12" t="s">
        <v>880</v>
      </c>
    </row>
    <row r="975" spans="1:3" ht="15" hidden="1" customHeight="1" x14ac:dyDescent="0.2">
      <c r="A975" s="12">
        <v>2</v>
      </c>
      <c r="B975" s="12" t="s">
        <v>872</v>
      </c>
    </row>
    <row r="976" spans="1:3" ht="15" hidden="1" customHeight="1" x14ac:dyDescent="0.2">
      <c r="A976" s="12">
        <v>3</v>
      </c>
      <c r="B976" s="12" t="s">
        <v>873</v>
      </c>
    </row>
    <row r="977" spans="1:2" ht="15" hidden="1" customHeight="1" x14ac:dyDescent="0.2">
      <c r="A977" s="12">
        <v>4</v>
      </c>
      <c r="B977" s="12" t="s">
        <v>874</v>
      </c>
    </row>
    <row r="978" spans="1:2" ht="15" hidden="1" customHeight="1" x14ac:dyDescent="0.2"/>
    <row r="979" spans="1:2" ht="15" hidden="1" customHeight="1" x14ac:dyDescent="0.2">
      <c r="A979" s="12" t="s">
        <v>294</v>
      </c>
    </row>
    <row r="980" spans="1:2" ht="15" hidden="1" customHeight="1" x14ac:dyDescent="0.2">
      <c r="A980" s="12">
        <v>0</v>
      </c>
      <c r="B980" s="225" t="s">
        <v>870</v>
      </c>
    </row>
    <row r="981" spans="1:2" ht="15" hidden="1" customHeight="1" x14ac:dyDescent="0.2">
      <c r="A981" s="12">
        <v>1</v>
      </c>
      <c r="B981" s="12" t="s">
        <v>875</v>
      </c>
    </row>
    <row r="982" spans="1:2" ht="15" hidden="1" customHeight="1" x14ac:dyDescent="0.2">
      <c r="A982" s="12">
        <v>2</v>
      </c>
      <c r="B982" s="12" t="s">
        <v>876</v>
      </c>
    </row>
    <row r="983" spans="1:2" ht="15" hidden="1" customHeight="1" x14ac:dyDescent="0.2">
      <c r="A983" s="12">
        <v>3</v>
      </c>
      <c r="B983" s="12" t="s">
        <v>877</v>
      </c>
    </row>
    <row r="984" spans="1:2" ht="15" hidden="1" customHeight="1" x14ac:dyDescent="0.2">
      <c r="A984" s="12">
        <v>4</v>
      </c>
      <c r="B984" s="12" t="s">
        <v>878</v>
      </c>
    </row>
    <row r="985" spans="1:2" ht="15" hidden="1" customHeight="1" x14ac:dyDescent="0.2"/>
    <row r="986" spans="1:2" ht="15" hidden="1" customHeight="1" x14ac:dyDescent="0.2">
      <c r="A986" s="12" t="s">
        <v>244</v>
      </c>
    </row>
    <row r="987" spans="1:2" ht="15" hidden="1" customHeight="1" x14ac:dyDescent="0.2">
      <c r="A987" s="12">
        <v>0</v>
      </c>
      <c r="B987" s="12" t="s">
        <v>245</v>
      </c>
    </row>
    <row r="988" spans="1:2" ht="15" hidden="1" customHeight="1" x14ac:dyDescent="0.2">
      <c r="A988" s="12">
        <v>1</v>
      </c>
      <c r="B988" s="12" t="s">
        <v>246</v>
      </c>
    </row>
    <row r="989" spans="1:2" ht="15" hidden="1" customHeight="1" x14ac:dyDescent="0.2">
      <c r="A989" s="12">
        <v>2</v>
      </c>
      <c r="B989" s="12" t="s">
        <v>247</v>
      </c>
    </row>
    <row r="990" spans="1:2" ht="15" hidden="1" customHeight="1" x14ac:dyDescent="0.2">
      <c r="A990" s="12">
        <v>3</v>
      </c>
      <c r="B990" s="12" t="s">
        <v>229</v>
      </c>
    </row>
    <row r="991" spans="1:2" ht="15" hidden="1" customHeight="1" x14ac:dyDescent="0.2">
      <c r="A991" s="12">
        <v>4</v>
      </c>
      <c r="B991" s="12" t="s">
        <v>248</v>
      </c>
    </row>
    <row r="992" spans="1:2" ht="15" hidden="1" customHeight="1" x14ac:dyDescent="0.2"/>
    <row r="993" spans="1:11" ht="15" hidden="1" customHeight="1" x14ac:dyDescent="0.2">
      <c r="A993" s="12" t="s">
        <v>381</v>
      </c>
    </row>
    <row r="994" spans="1:11" ht="15" hidden="1" customHeight="1" x14ac:dyDescent="0.2">
      <c r="A994" s="12">
        <v>0</v>
      </c>
      <c r="B994" s="12" t="s">
        <v>202</v>
      </c>
    </row>
    <row r="995" spans="1:11" ht="15" hidden="1" customHeight="1" x14ac:dyDescent="0.2">
      <c r="A995" s="12">
        <v>1</v>
      </c>
      <c r="B995" s="12" t="s">
        <v>190</v>
      </c>
    </row>
    <row r="996" spans="1:11" ht="15" hidden="1" customHeight="1" x14ac:dyDescent="0.2"/>
    <row r="997" spans="1:11" ht="15" hidden="1" customHeight="1" x14ac:dyDescent="0.2">
      <c r="A997" s="12" t="s">
        <v>249</v>
      </c>
    </row>
    <row r="998" spans="1:11" ht="15" hidden="1" customHeight="1" x14ac:dyDescent="0.2">
      <c r="A998" s="12">
        <v>0</v>
      </c>
      <c r="B998" s="12" t="s">
        <v>236</v>
      </c>
    </row>
    <row r="999" spans="1:11" ht="15" hidden="1" customHeight="1" x14ac:dyDescent="0.2">
      <c r="A999" s="12">
        <v>1</v>
      </c>
      <c r="B999" s="12" t="s">
        <v>237</v>
      </c>
    </row>
    <row r="1000" spans="1:11" ht="15" hidden="1" customHeight="1" x14ac:dyDescent="0.2">
      <c r="A1000" s="12">
        <v>2</v>
      </c>
      <c r="B1000" s="12" t="s">
        <v>235</v>
      </c>
    </row>
    <row r="1001" spans="1:11" ht="15" hidden="1" customHeight="1" x14ac:dyDescent="0.2">
      <c r="A1001" s="12">
        <v>3</v>
      </c>
      <c r="B1001" s="12" t="s">
        <v>238</v>
      </c>
    </row>
    <row r="1002" spans="1:11" ht="15" hidden="1" customHeight="1" x14ac:dyDescent="0.2">
      <c r="A1002" s="12">
        <v>4</v>
      </c>
      <c r="B1002" s="12" t="s">
        <v>234</v>
      </c>
    </row>
    <row r="1003" spans="1:11" ht="15" customHeight="1" x14ac:dyDescent="0.2">
      <c r="B1003" s="12" t="s">
        <v>685</v>
      </c>
    </row>
    <row r="1004" spans="1:11" ht="30" customHeight="1" x14ac:dyDescent="0.2">
      <c r="B1004" s="402" t="s">
        <v>750</v>
      </c>
      <c r="C1004" s="403"/>
      <c r="D1004" s="403"/>
      <c r="E1004" s="403"/>
      <c r="F1004" s="403"/>
      <c r="G1004" s="403"/>
      <c r="H1004" s="403"/>
      <c r="I1004" s="403"/>
      <c r="J1004" s="403"/>
      <c r="K1004" s="404"/>
    </row>
    <row r="1005" spans="1:11" ht="15" customHeight="1" x14ac:dyDescent="0.2">
      <c r="B1005" s="396"/>
      <c r="C1005" s="397"/>
      <c r="D1005" s="397"/>
      <c r="E1005" s="397"/>
      <c r="F1005" s="397"/>
      <c r="G1005" s="397"/>
      <c r="H1005" s="397"/>
      <c r="I1005" s="397"/>
      <c r="J1005" s="397"/>
      <c r="K1005" s="398"/>
    </row>
    <row r="1006" spans="1:11" ht="15" customHeight="1" x14ac:dyDescent="0.2">
      <c r="B1006" s="396" t="s">
        <v>692</v>
      </c>
      <c r="C1006" s="397"/>
      <c r="D1006" s="397"/>
      <c r="E1006" s="397"/>
      <c r="F1006" s="397"/>
      <c r="G1006" s="397"/>
      <c r="H1006" s="397"/>
      <c r="I1006" s="397"/>
      <c r="J1006" s="397"/>
      <c r="K1006" s="398"/>
    </row>
    <row r="1007" spans="1:11" ht="15" customHeight="1" x14ac:dyDescent="0.2">
      <c r="B1007" s="396"/>
      <c r="C1007" s="397"/>
      <c r="D1007" s="397"/>
      <c r="E1007" s="397"/>
      <c r="F1007" s="397"/>
      <c r="G1007" s="397"/>
      <c r="H1007" s="397"/>
      <c r="I1007" s="397"/>
      <c r="J1007" s="397"/>
      <c r="K1007" s="398"/>
    </row>
    <row r="1008" spans="1:11" ht="45" customHeight="1" x14ac:dyDescent="0.2">
      <c r="B1008" s="396" t="s">
        <v>753</v>
      </c>
      <c r="C1008" s="397"/>
      <c r="D1008" s="397"/>
      <c r="E1008" s="397"/>
      <c r="F1008" s="397"/>
      <c r="G1008" s="397"/>
      <c r="H1008" s="397"/>
      <c r="I1008" s="397"/>
      <c r="J1008" s="397"/>
      <c r="K1008" s="398"/>
    </row>
    <row r="1009" spans="2:11" ht="15" customHeight="1" x14ac:dyDescent="0.2">
      <c r="B1009" s="396"/>
      <c r="C1009" s="397"/>
      <c r="D1009" s="397"/>
      <c r="E1009" s="397"/>
      <c r="F1009" s="397"/>
      <c r="G1009" s="397"/>
      <c r="H1009" s="397"/>
      <c r="I1009" s="397"/>
      <c r="J1009" s="397"/>
      <c r="K1009" s="398"/>
    </row>
    <row r="1010" spans="2:11" ht="45" customHeight="1" x14ac:dyDescent="0.2">
      <c r="B1010" s="396" t="s">
        <v>752</v>
      </c>
      <c r="C1010" s="397"/>
      <c r="D1010" s="397"/>
      <c r="E1010" s="397"/>
      <c r="F1010" s="397"/>
      <c r="G1010" s="397"/>
      <c r="H1010" s="397"/>
      <c r="I1010" s="397"/>
      <c r="J1010" s="397"/>
      <c r="K1010" s="398"/>
    </row>
    <row r="1011" spans="2:11" ht="15" customHeight="1" x14ac:dyDescent="0.2">
      <c r="B1011" s="396"/>
      <c r="C1011" s="397"/>
      <c r="D1011" s="397"/>
      <c r="E1011" s="397"/>
      <c r="F1011" s="397"/>
      <c r="G1011" s="397"/>
      <c r="H1011" s="397"/>
      <c r="I1011" s="397"/>
      <c r="J1011" s="397"/>
      <c r="K1011" s="398"/>
    </row>
    <row r="1012" spans="2:11" ht="45" customHeight="1" x14ac:dyDescent="0.2">
      <c r="B1012" s="396" t="s">
        <v>751</v>
      </c>
      <c r="C1012" s="397"/>
      <c r="D1012" s="397"/>
      <c r="E1012" s="397"/>
      <c r="F1012" s="397"/>
      <c r="G1012" s="397"/>
      <c r="H1012" s="397"/>
      <c r="I1012" s="397"/>
      <c r="J1012" s="397"/>
      <c r="K1012" s="398"/>
    </row>
    <row r="1013" spans="2:11" ht="15" customHeight="1" x14ac:dyDescent="0.2">
      <c r="B1013" s="396"/>
      <c r="C1013" s="397"/>
      <c r="D1013" s="397"/>
      <c r="E1013" s="397"/>
      <c r="F1013" s="397"/>
      <c r="G1013" s="397"/>
      <c r="H1013" s="397"/>
      <c r="I1013" s="397"/>
      <c r="J1013" s="397"/>
      <c r="K1013" s="398"/>
    </row>
    <row r="1014" spans="2:11" ht="15" customHeight="1" x14ac:dyDescent="0.2">
      <c r="B1014" s="396"/>
      <c r="C1014" s="397"/>
      <c r="D1014" s="397"/>
      <c r="E1014" s="397"/>
      <c r="F1014" s="397"/>
      <c r="G1014" s="397"/>
      <c r="H1014" s="397"/>
      <c r="I1014" s="397"/>
      <c r="J1014" s="397"/>
      <c r="K1014" s="398"/>
    </row>
    <row r="1015" spans="2:11" ht="15" customHeight="1" x14ac:dyDescent="0.2">
      <c r="B1015" s="396"/>
      <c r="C1015" s="397"/>
      <c r="D1015" s="397"/>
      <c r="E1015" s="397"/>
      <c r="F1015" s="397"/>
      <c r="G1015" s="397"/>
      <c r="H1015" s="397"/>
      <c r="I1015" s="397"/>
      <c r="J1015" s="397"/>
      <c r="K1015" s="398"/>
    </row>
    <row r="1016" spans="2:11" ht="15" customHeight="1" x14ac:dyDescent="0.2">
      <c r="B1016" s="396"/>
      <c r="C1016" s="397"/>
      <c r="D1016" s="397"/>
      <c r="E1016" s="397"/>
      <c r="F1016" s="397"/>
      <c r="G1016" s="397"/>
      <c r="H1016" s="397"/>
      <c r="I1016" s="397"/>
      <c r="J1016" s="397"/>
      <c r="K1016" s="398"/>
    </row>
    <row r="1017" spans="2:11" ht="15" customHeight="1" x14ac:dyDescent="0.2">
      <c r="B1017" s="396"/>
      <c r="C1017" s="397"/>
      <c r="D1017" s="397"/>
      <c r="E1017" s="397"/>
      <c r="F1017" s="397"/>
      <c r="G1017" s="397"/>
      <c r="H1017" s="397"/>
      <c r="I1017" s="397"/>
      <c r="J1017" s="397"/>
      <c r="K1017" s="398"/>
    </row>
    <row r="1018" spans="2:11" ht="15" customHeight="1" x14ac:dyDescent="0.2">
      <c r="B1018" s="396"/>
      <c r="C1018" s="397"/>
      <c r="D1018" s="397"/>
      <c r="E1018" s="397"/>
      <c r="F1018" s="397"/>
      <c r="G1018" s="397"/>
      <c r="H1018" s="397"/>
      <c r="I1018" s="397"/>
      <c r="J1018" s="397"/>
      <c r="K1018" s="398"/>
    </row>
    <row r="1019" spans="2:11" ht="15" customHeight="1" x14ac:dyDescent="0.2">
      <c r="B1019" s="396"/>
      <c r="C1019" s="397"/>
      <c r="D1019" s="397"/>
      <c r="E1019" s="397"/>
      <c r="F1019" s="397"/>
      <c r="G1019" s="397"/>
      <c r="H1019" s="397"/>
      <c r="I1019" s="397"/>
      <c r="J1019" s="397"/>
      <c r="K1019" s="398"/>
    </row>
    <row r="1020" spans="2:11" ht="15" customHeight="1" x14ac:dyDescent="0.2">
      <c r="B1020" s="396"/>
      <c r="C1020" s="397"/>
      <c r="D1020" s="397"/>
      <c r="E1020" s="397"/>
      <c r="F1020" s="397"/>
      <c r="G1020" s="397"/>
      <c r="H1020" s="397"/>
      <c r="I1020" s="397"/>
      <c r="J1020" s="397"/>
      <c r="K1020" s="398"/>
    </row>
    <row r="1021" spans="2:11" ht="15" customHeight="1" x14ac:dyDescent="0.2">
      <c r="B1021" s="396"/>
      <c r="C1021" s="397"/>
      <c r="D1021" s="397"/>
      <c r="E1021" s="397"/>
      <c r="F1021" s="397"/>
      <c r="G1021" s="397"/>
      <c r="H1021" s="397"/>
      <c r="I1021" s="397"/>
      <c r="J1021" s="397"/>
      <c r="K1021" s="398"/>
    </row>
    <row r="1022" spans="2:11" ht="15" customHeight="1" x14ac:dyDescent="0.2">
      <c r="B1022" s="396"/>
      <c r="C1022" s="397"/>
      <c r="D1022" s="397"/>
      <c r="E1022" s="397"/>
      <c r="F1022" s="397"/>
      <c r="G1022" s="397"/>
      <c r="H1022" s="397"/>
      <c r="I1022" s="397"/>
      <c r="J1022" s="397"/>
      <c r="K1022" s="398"/>
    </row>
    <row r="1023" spans="2:11" ht="15" customHeight="1" x14ac:dyDescent="0.2">
      <c r="B1023" s="396"/>
      <c r="C1023" s="397"/>
      <c r="D1023" s="397"/>
      <c r="E1023" s="397"/>
      <c r="F1023" s="397"/>
      <c r="G1023" s="397"/>
      <c r="H1023" s="397"/>
      <c r="I1023" s="397"/>
      <c r="J1023" s="397"/>
      <c r="K1023" s="398"/>
    </row>
    <row r="1024" spans="2:11" ht="15" customHeight="1" x14ac:dyDescent="0.2">
      <c r="B1024" s="396"/>
      <c r="C1024" s="397"/>
      <c r="D1024" s="397"/>
      <c r="E1024" s="397"/>
      <c r="F1024" s="397"/>
      <c r="G1024" s="397"/>
      <c r="H1024" s="397"/>
      <c r="I1024" s="397"/>
      <c r="J1024" s="397"/>
      <c r="K1024" s="398"/>
    </row>
    <row r="1025" spans="2:11" ht="15" customHeight="1" x14ac:dyDescent="0.2">
      <c r="B1025" s="396"/>
      <c r="C1025" s="397"/>
      <c r="D1025" s="397"/>
      <c r="E1025" s="397"/>
      <c r="F1025" s="397"/>
      <c r="G1025" s="397"/>
      <c r="H1025" s="397"/>
      <c r="I1025" s="397"/>
      <c r="J1025" s="397"/>
      <c r="K1025" s="398"/>
    </row>
    <row r="1026" spans="2:11" ht="15" customHeight="1" x14ac:dyDescent="0.2">
      <c r="B1026" s="396"/>
      <c r="C1026" s="397"/>
      <c r="D1026" s="397"/>
      <c r="E1026" s="397"/>
      <c r="F1026" s="397"/>
      <c r="G1026" s="397"/>
      <c r="H1026" s="397"/>
      <c r="I1026" s="397"/>
      <c r="J1026" s="397"/>
      <c r="K1026" s="398"/>
    </row>
    <row r="1027" spans="2:11" ht="15" customHeight="1" x14ac:dyDescent="0.2">
      <c r="B1027" s="396"/>
      <c r="C1027" s="397"/>
      <c r="D1027" s="397"/>
      <c r="E1027" s="397"/>
      <c r="F1027" s="397"/>
      <c r="G1027" s="397"/>
      <c r="H1027" s="397"/>
      <c r="I1027" s="397"/>
      <c r="J1027" s="397"/>
      <c r="K1027" s="398"/>
    </row>
    <row r="1028" spans="2:11" ht="15" customHeight="1" x14ac:dyDescent="0.2">
      <c r="B1028" s="396"/>
      <c r="C1028" s="397"/>
      <c r="D1028" s="397"/>
      <c r="E1028" s="397"/>
      <c r="F1028" s="397"/>
      <c r="G1028" s="397"/>
      <c r="H1028" s="397"/>
      <c r="I1028" s="397"/>
      <c r="J1028" s="397"/>
      <c r="K1028" s="398"/>
    </row>
    <row r="1029" spans="2:11" ht="15" customHeight="1" x14ac:dyDescent="0.2">
      <c r="B1029" s="393"/>
      <c r="C1029" s="394"/>
      <c r="D1029" s="394"/>
      <c r="E1029" s="394"/>
      <c r="F1029" s="394"/>
      <c r="G1029" s="394"/>
      <c r="H1029" s="394"/>
      <c r="I1029" s="394"/>
      <c r="J1029" s="394"/>
      <c r="K1029" s="395"/>
    </row>
  </sheetData>
  <sheetProtection formatCells="0" formatColumns="0" formatRows="0" selectLockedCells="1"/>
  <mergeCells count="152">
    <mergeCell ref="C385:J385"/>
    <mergeCell ref="C324:J324"/>
    <mergeCell ref="C330:I331"/>
    <mergeCell ref="C455:J455"/>
    <mergeCell ref="C402:J402"/>
    <mergeCell ref="C416:J416"/>
    <mergeCell ref="B5:K5"/>
    <mergeCell ref="B6:K6"/>
    <mergeCell ref="B7:K7"/>
    <mergeCell ref="B8:K8"/>
    <mergeCell ref="B9:K9"/>
    <mergeCell ref="B10:K10"/>
    <mergeCell ref="C76:J76"/>
    <mergeCell ref="E15:J15"/>
    <mergeCell ref="C38:J38"/>
    <mergeCell ref="C420:I421"/>
    <mergeCell ref="C176:J176"/>
    <mergeCell ref="C196:J196"/>
    <mergeCell ref="C155:J155"/>
    <mergeCell ref="C120:J122"/>
    <mergeCell ref="C123:J124"/>
    <mergeCell ref="C129:J129"/>
    <mergeCell ref="C95:J95"/>
    <mergeCell ref="C114:J114"/>
    <mergeCell ref="C57:J57"/>
    <mergeCell ref="C292:I293"/>
    <mergeCell ref="C347:J347"/>
    <mergeCell ref="C365:J365"/>
    <mergeCell ref="C371:I372"/>
    <mergeCell ref="C305:J305"/>
    <mergeCell ref="C257:J257"/>
    <mergeCell ref="C286:J286"/>
    <mergeCell ref="C311:I312"/>
    <mergeCell ref="C216:J216"/>
    <mergeCell ref="C237:J237"/>
    <mergeCell ref="C340:I341"/>
    <mergeCell ref="D343:I344"/>
    <mergeCell ref="C613:J613"/>
    <mergeCell ref="C560:J560"/>
    <mergeCell ref="C566:I568"/>
    <mergeCell ref="C569:I571"/>
    <mergeCell ref="C583:J583"/>
    <mergeCell ref="C524:I525"/>
    <mergeCell ref="C535:J535"/>
    <mergeCell ref="C391:I392"/>
    <mergeCell ref="C518:J518"/>
    <mergeCell ref="C471:J471"/>
    <mergeCell ref="C477:I478"/>
    <mergeCell ref="C486:J486"/>
    <mergeCell ref="C502:J502"/>
    <mergeCell ref="C438:J438"/>
    <mergeCell ref="C444:I445"/>
    <mergeCell ref="G717:H717"/>
    <mergeCell ref="G718:H718"/>
    <mergeCell ref="C729:J731"/>
    <mergeCell ref="G732:H732"/>
    <mergeCell ref="G733:H733"/>
    <mergeCell ref="C620:I621"/>
    <mergeCell ref="C633:J633"/>
    <mergeCell ref="C639:I640"/>
    <mergeCell ref="C641:I643"/>
    <mergeCell ref="G739:H739"/>
    <mergeCell ref="G740:H740"/>
    <mergeCell ref="G737:H737"/>
    <mergeCell ref="G738:H738"/>
    <mergeCell ref="G734:H734"/>
    <mergeCell ref="G735:H735"/>
    <mergeCell ref="G724:H724"/>
    <mergeCell ref="G725:H725"/>
    <mergeCell ref="G719:H719"/>
    <mergeCell ref="G720:H720"/>
    <mergeCell ref="G721:H721"/>
    <mergeCell ref="G722:H722"/>
    <mergeCell ref="G723:H723"/>
    <mergeCell ref="G752:H752"/>
    <mergeCell ref="G753:H753"/>
    <mergeCell ref="C759:J761"/>
    <mergeCell ref="G762:H762"/>
    <mergeCell ref="G763:H763"/>
    <mergeCell ref="G764:H764"/>
    <mergeCell ref="G765:H765"/>
    <mergeCell ref="G750:H750"/>
    <mergeCell ref="G751:H751"/>
    <mergeCell ref="G838:H838"/>
    <mergeCell ref="G842:H842"/>
    <mergeCell ref="G769:H769"/>
    <mergeCell ref="G770:H770"/>
    <mergeCell ref="G767:H767"/>
    <mergeCell ref="G768:H768"/>
    <mergeCell ref="G766:H766"/>
    <mergeCell ref="G754:H754"/>
    <mergeCell ref="G755:H755"/>
    <mergeCell ref="G850:H850"/>
    <mergeCell ref="G862:H862"/>
    <mergeCell ref="G866:H866"/>
    <mergeCell ref="G854:H854"/>
    <mergeCell ref="C599:J599"/>
    <mergeCell ref="F959:H960"/>
    <mergeCell ref="G736:H736"/>
    <mergeCell ref="C744:J746"/>
    <mergeCell ref="G747:H747"/>
    <mergeCell ref="G748:H748"/>
    <mergeCell ref="G749:H749"/>
    <mergeCell ref="G886:H886"/>
    <mergeCell ref="G890:H890"/>
    <mergeCell ref="G882:H882"/>
    <mergeCell ref="G870:H870"/>
    <mergeCell ref="C714:J716"/>
    <mergeCell ref="C655:J655"/>
    <mergeCell ref="D664:I665"/>
    <mergeCell ref="C677:J677"/>
    <mergeCell ref="G846:H846"/>
    <mergeCell ref="C830:J831"/>
    <mergeCell ref="G834:H834"/>
    <mergeCell ref="G858:H858"/>
    <mergeCell ref="G874:H874"/>
    <mergeCell ref="B1004:K1004"/>
    <mergeCell ref="B1005:K1005"/>
    <mergeCell ref="B1006:K1006"/>
    <mergeCell ref="B1007:K1007"/>
    <mergeCell ref="B1008:K1008"/>
    <mergeCell ref="B1009:K1009"/>
    <mergeCell ref="B1010:K1010"/>
    <mergeCell ref="C900:J901"/>
    <mergeCell ref="G904:H904"/>
    <mergeCell ref="G908:H908"/>
    <mergeCell ref="G912:H912"/>
    <mergeCell ref="G924:H924"/>
    <mergeCell ref="G878:H878"/>
    <mergeCell ref="G916:H916"/>
    <mergeCell ref="G920:H920"/>
    <mergeCell ref="G928:H928"/>
    <mergeCell ref="G932:H932"/>
    <mergeCell ref="B1029:K1029"/>
    <mergeCell ref="B1013:K1013"/>
    <mergeCell ref="B1014:K1014"/>
    <mergeCell ref="B1015:K1015"/>
    <mergeCell ref="B1016:K1016"/>
    <mergeCell ref="B1017:K1017"/>
    <mergeCell ref="B1018:K1018"/>
    <mergeCell ref="B1019:K1019"/>
    <mergeCell ref="B1020:K1020"/>
    <mergeCell ref="B1021:K1021"/>
    <mergeCell ref="B1011:K1011"/>
    <mergeCell ref="B1012:K1012"/>
    <mergeCell ref="B1022:K1022"/>
    <mergeCell ref="B1023:K1023"/>
    <mergeCell ref="B1024:K1024"/>
    <mergeCell ref="B1025:K1025"/>
    <mergeCell ref="B1026:K1026"/>
    <mergeCell ref="B1027:K1027"/>
    <mergeCell ref="B1028:K1028"/>
  </mergeCells>
  <dataValidations count="23">
    <dataValidation type="list" allowBlank="1" showInputMessage="1" showErrorMessage="1" sqref="E15:J15" xr:uid="{00000000-0002-0000-1A00-000000000000}">
      <formula1>$C$966:$C$970</formula1>
    </dataValidation>
    <dataValidation type="list" allowBlank="1" showInputMessage="1" showErrorMessage="1" sqref="G834:H834 G912:H912 G908:H908 G916:H916 G920:H920 G924:H924 G928:H928 G932:H932 G904:H904 G842:H842 G838:H838 G846:H846 G850:H850 G854:H854 G858:H858 G862:H862 G866:H866 G870:H870 G874:H874 G878:H878 G882:H882 G886:H886 G890:H890" xr:uid="{00000000-0002-0000-1A00-000001000000}">
      <formula1>$B$998:$B$1002</formula1>
    </dataValidation>
    <dataValidation type="list" allowBlank="1" showInputMessage="1" showErrorMessage="1" sqref="G747:H755 G732:H740 G717:H725 G762:H770" xr:uid="{00000000-0002-0000-1A00-000002000000}">
      <formula1>$B$994:$B$995</formula1>
    </dataValidation>
    <dataValidation type="list" allowBlank="1" showInputMessage="1" showErrorMessage="1" sqref="J302 J362" xr:uid="{00000000-0002-0000-1A00-000003000000}">
      <formula1>$B$980:$B$984</formula1>
    </dataValidation>
    <dataValidation type="list" allowBlank="1" showInputMessage="1" showErrorMessage="1" sqref="C123:J124" xr:uid="{00000000-0002-0000-1A00-000004000000}">
      <formula1>$B$987:$B$991</formula1>
    </dataValidation>
    <dataValidation type="list" allowBlank="1" showInputMessage="1" showErrorMessage="1" sqref="J35 J234 J630 J674 J596 J580 J557 J532 J515 J499 J468 J452 J435 J254 J73 J92 J111 J126 J152 J173 J193 J54 J213 J652 J283" xr:uid="{00000000-0002-0000-1A00-000005000000}">
      <formula1>$B$973:$B$977</formula1>
    </dataValidation>
    <dataValidation type="list" allowBlank="1" showInputMessage="1" showErrorMessage="1" sqref="J33" xr:uid="{00000000-0002-0000-1A00-000006000000}">
      <formula1>$N$32:$N$37</formula1>
    </dataValidation>
    <dataValidation type="list" allowBlank="1" showInputMessage="1" showErrorMessage="1" sqref="J52" xr:uid="{00000000-0002-0000-1A00-000007000000}">
      <formula1>$N$51:$N$56</formula1>
    </dataValidation>
    <dataValidation type="list" allowBlank="1" showInputMessage="1" showErrorMessage="1" sqref="J71" xr:uid="{00000000-0002-0000-1A00-000008000000}">
      <formula1>$N$70:$N$75</formula1>
    </dataValidation>
    <dataValidation type="list" allowBlank="1" showInputMessage="1" showErrorMessage="1" sqref="J90" xr:uid="{00000000-0002-0000-1A00-000009000000}">
      <formula1>$N$89:$N$94</formula1>
    </dataValidation>
    <dataValidation type="list" allowBlank="1" showInputMessage="1" showErrorMessage="1" sqref="J109" xr:uid="{00000000-0002-0000-1A00-00000A000000}">
      <formula1>$N$108:$N$113</formula1>
    </dataValidation>
    <dataValidation type="list" allowBlank="1" showInputMessage="1" showErrorMessage="1" sqref="J150" xr:uid="{00000000-0002-0000-1A00-00000B000000}">
      <formula1>$N$149:$N$154</formula1>
    </dataValidation>
    <dataValidation type="list" allowBlank="1" showInputMessage="1" showErrorMessage="1" sqref="J171" xr:uid="{00000000-0002-0000-1A00-00000C000000}">
      <formula1>$N$170:$N$175</formula1>
    </dataValidation>
    <dataValidation type="list" allowBlank="1" showInputMessage="1" showErrorMessage="1" sqref="J191" xr:uid="{00000000-0002-0000-1A00-00000D000000}">
      <formula1>$N$190:$N$195</formula1>
    </dataValidation>
    <dataValidation type="list" allowBlank="1" showInputMessage="1" showErrorMessage="1" sqref="J211" xr:uid="{00000000-0002-0000-1A00-00000E000000}">
      <formula1>$N$210:$N$215</formula1>
    </dataValidation>
    <dataValidation type="list" allowBlank="1" showInputMessage="1" showErrorMessage="1" sqref="J232" xr:uid="{00000000-0002-0000-1A00-00000F000000}">
      <formula1>$N$231:$N$236</formula1>
    </dataValidation>
    <dataValidation type="list" allowBlank="1" showInputMessage="1" showErrorMessage="1" sqref="J252" xr:uid="{00000000-0002-0000-1A00-000010000000}">
      <formula1>$N$251:$N$256</formula1>
    </dataValidation>
    <dataValidation type="list" allowBlank="1" showInputMessage="1" showErrorMessage="1" sqref="J281" xr:uid="{00000000-0002-0000-1A00-000011000000}">
      <formula1>$N$280:$N$285</formula1>
    </dataValidation>
    <dataValidation type="list" allowBlank="1" showInputMessage="1" showErrorMessage="1" sqref="J555" xr:uid="{00000000-0002-0000-1A00-000012000000}">
      <formula1>$N$554:$N$559</formula1>
    </dataValidation>
    <dataValidation type="list" allowBlank="1" showInputMessage="1" showErrorMessage="1" sqref="J578" xr:uid="{00000000-0002-0000-1A00-000013000000}">
      <formula1>$N$577:$N$582</formula1>
    </dataValidation>
    <dataValidation type="list" allowBlank="1" showInputMessage="1" showErrorMessage="1" sqref="J628" xr:uid="{00000000-0002-0000-1A00-000014000000}">
      <formula1>$N$627:$N$632</formula1>
    </dataValidation>
    <dataValidation type="list" allowBlank="1" showInputMessage="1" showErrorMessage="1" sqref="J650" xr:uid="{00000000-0002-0000-1A00-000015000000}">
      <formula1>$N$649:$N$654</formula1>
    </dataValidation>
    <dataValidation type="list" allowBlank="1" showInputMessage="1" showErrorMessage="1" sqref="J672" xr:uid="{00000000-0002-0000-1A00-000016000000}">
      <formula1>$N$671:$N$676</formula1>
    </dataValidation>
  </dataValidations>
  <pageMargins left="0.7" right="0.7" top="0.75" bottom="0.75" header="0.3" footer="0.3"/>
  <pageSetup scale="70"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dimension ref="A1:N1029"/>
  <sheetViews>
    <sheetView showGridLines="0" showRowColHeaders="0" zoomScaleNormal="100" workbookViewId="0">
      <selection activeCell="Q648" sqref="Q648"/>
    </sheetView>
  </sheetViews>
  <sheetFormatPr baseColWidth="10" defaultColWidth="9.1640625" defaultRowHeight="15" x14ac:dyDescent="0.2"/>
  <cols>
    <col min="1" max="1" width="9.1640625" style="12"/>
    <col min="2" max="3" width="9.1640625" style="12" customWidth="1"/>
    <col min="4" max="4" width="9.1640625" style="12"/>
    <col min="5" max="5" width="9.1640625" style="12" customWidth="1"/>
    <col min="6" max="9" width="9.1640625" style="12"/>
    <col min="10" max="10" width="25.6640625" style="12" customWidth="1"/>
    <col min="11" max="13" width="9.1640625" style="12"/>
    <col min="14" max="14" width="9.1640625" style="12" hidden="1" customWidth="1"/>
    <col min="15" max="16384" width="9.1640625" style="12"/>
  </cols>
  <sheetData>
    <row r="1" spans="2:13" x14ac:dyDescent="0.2">
      <c r="I1" s="29"/>
    </row>
    <row r="2" spans="2:13" ht="33" x14ac:dyDescent="0.2">
      <c r="G2" s="16" t="s">
        <v>1038</v>
      </c>
      <c r="I2" s="29"/>
    </row>
    <row r="3" spans="2:13" ht="23" x14ac:dyDescent="0.25">
      <c r="G3" s="30" t="s">
        <v>1039</v>
      </c>
      <c r="I3" s="29"/>
      <c r="L3" s="157"/>
      <c r="M3" s="157"/>
    </row>
    <row r="4" spans="2:13" x14ac:dyDescent="0.2">
      <c r="G4" s="98"/>
      <c r="I4" s="29"/>
      <c r="L4" s="158"/>
      <c r="M4" s="157"/>
    </row>
    <row r="5" spans="2:13" ht="90" customHeight="1" x14ac:dyDescent="0.2">
      <c r="B5" s="426" t="s">
        <v>1055</v>
      </c>
      <c r="C5" s="427"/>
      <c r="D5" s="427"/>
      <c r="E5" s="427"/>
      <c r="F5" s="427"/>
      <c r="G5" s="427"/>
      <c r="H5" s="427"/>
      <c r="I5" s="427"/>
      <c r="J5" s="427"/>
      <c r="K5" s="427"/>
      <c r="L5" s="158"/>
      <c r="M5" s="157"/>
    </row>
    <row r="6" spans="2:13" x14ac:dyDescent="0.2">
      <c r="B6" s="426"/>
      <c r="C6" s="426"/>
      <c r="D6" s="426"/>
      <c r="E6" s="426"/>
      <c r="F6" s="426"/>
      <c r="G6" s="426"/>
      <c r="H6" s="426"/>
      <c r="I6" s="426"/>
      <c r="J6" s="426"/>
      <c r="K6" s="426"/>
      <c r="L6" s="158"/>
    </row>
    <row r="7" spans="2:13" ht="60" customHeight="1" x14ac:dyDescent="0.2">
      <c r="B7" s="425" t="s">
        <v>664</v>
      </c>
      <c r="C7" s="341"/>
      <c r="D7" s="341"/>
      <c r="E7" s="341"/>
      <c r="F7" s="341"/>
      <c r="G7" s="341"/>
      <c r="H7" s="341"/>
      <c r="I7" s="341"/>
      <c r="J7" s="341"/>
      <c r="K7" s="341"/>
    </row>
    <row r="8" spans="2:13" x14ac:dyDescent="0.2">
      <c r="B8" s="426"/>
      <c r="C8" s="426"/>
      <c r="D8" s="426"/>
      <c r="E8" s="426"/>
      <c r="F8" s="426"/>
      <c r="G8" s="426"/>
      <c r="H8" s="426"/>
      <c r="I8" s="426"/>
      <c r="J8" s="426"/>
      <c r="K8" s="426"/>
    </row>
    <row r="9" spans="2:13" ht="30" customHeight="1" x14ac:dyDescent="0.2">
      <c r="B9" s="445" t="s">
        <v>665</v>
      </c>
      <c r="C9" s="446"/>
      <c r="D9" s="446"/>
      <c r="E9" s="446"/>
      <c r="F9" s="446"/>
      <c r="G9" s="446"/>
      <c r="H9" s="446"/>
      <c r="I9" s="446"/>
      <c r="J9" s="446"/>
      <c r="K9" s="446"/>
    </row>
    <row r="10" spans="2:13" ht="30" customHeight="1" x14ac:dyDescent="0.2">
      <c r="B10" s="399" t="s">
        <v>1078</v>
      </c>
      <c r="C10" s="400"/>
      <c r="D10" s="400"/>
      <c r="E10" s="400"/>
      <c r="F10" s="400"/>
      <c r="G10" s="400"/>
      <c r="H10" s="400"/>
      <c r="I10" s="400"/>
      <c r="J10" s="400"/>
      <c r="K10" s="401"/>
    </row>
    <row r="11" spans="2:13" ht="16" thickBot="1" x14ac:dyDescent="0.25"/>
    <row r="12" spans="2:13" x14ac:dyDescent="0.2">
      <c r="B12" s="159"/>
      <c r="C12" s="160"/>
      <c r="D12" s="160"/>
      <c r="E12" s="160"/>
      <c r="F12" s="160"/>
      <c r="G12" s="160"/>
      <c r="H12" s="160"/>
      <c r="I12" s="160"/>
      <c r="J12" s="160"/>
      <c r="K12" s="161"/>
    </row>
    <row r="13" spans="2:13" ht="21" x14ac:dyDescent="0.25">
      <c r="B13" s="162"/>
      <c r="C13" s="163"/>
      <c r="D13" s="163"/>
      <c r="E13" s="163"/>
      <c r="F13" s="163"/>
      <c r="G13" s="164" t="s">
        <v>226</v>
      </c>
      <c r="H13" s="163"/>
      <c r="I13" s="163"/>
      <c r="J13" s="163"/>
      <c r="K13" s="165"/>
    </row>
    <row r="14" spans="2:13" ht="21" x14ac:dyDescent="0.25">
      <c r="B14" s="162"/>
      <c r="C14" s="163"/>
      <c r="D14" s="163"/>
      <c r="E14" s="163"/>
      <c r="F14" s="163"/>
      <c r="G14" s="164"/>
      <c r="H14" s="163"/>
      <c r="I14" s="163"/>
      <c r="J14" s="163"/>
      <c r="K14" s="165"/>
    </row>
    <row r="15" spans="2:13" ht="26.25" customHeight="1" x14ac:dyDescent="0.2">
      <c r="B15" s="162"/>
      <c r="C15" s="163" t="s">
        <v>255</v>
      </c>
      <c r="D15" s="163"/>
      <c r="E15" s="412" t="s">
        <v>240</v>
      </c>
      <c r="F15" s="437"/>
      <c r="G15" s="437"/>
      <c r="H15" s="437"/>
      <c r="I15" s="437"/>
      <c r="J15" s="438"/>
      <c r="K15" s="165"/>
    </row>
    <row r="16" spans="2:13" x14ac:dyDescent="0.2">
      <c r="B16" s="162"/>
      <c r="C16" s="163"/>
      <c r="D16" s="163"/>
      <c r="E16" s="163"/>
      <c r="F16" s="163"/>
      <c r="G16" s="163"/>
      <c r="H16" s="163"/>
      <c r="I16" s="163"/>
      <c r="J16" s="163"/>
      <c r="K16" s="165"/>
    </row>
    <row r="17" spans="2:14" x14ac:dyDescent="0.2">
      <c r="B17" s="162"/>
      <c r="C17" s="166" t="s">
        <v>256</v>
      </c>
      <c r="D17" s="163"/>
      <c r="E17" s="167">
        <f>IF(E15=$C$966,$A$966,IF(E15=$C$967,$A$967,IF(E15=$C$968,$A$968,IF(E15=$C$969,$A$969,IF(E15=$C$970,$A$970,"Not Calculated")))))</f>
        <v>0</v>
      </c>
      <c r="F17" s="163"/>
      <c r="G17" s="163"/>
      <c r="H17" s="163"/>
      <c r="I17" s="163"/>
      <c r="J17" s="163"/>
      <c r="K17" s="165"/>
    </row>
    <row r="18" spans="2:14" x14ac:dyDescent="0.2">
      <c r="B18" s="162"/>
      <c r="C18" s="163"/>
      <c r="D18" s="163"/>
      <c r="E18" s="167" t="str">
        <f>IF(E15=$C$966,$B$966,IF(E15=$C$967,$B$967,IF(E15=$C$968,$B$968,IF(E15=$C$969,$B$969,IF(E15=$C$970,$B$970,"Not Calculated")))))</f>
        <v>Improbable</v>
      </c>
      <c r="F18" s="163"/>
      <c r="G18" s="163"/>
      <c r="H18" s="163"/>
      <c r="I18" s="163"/>
      <c r="J18" s="163"/>
      <c r="K18" s="165"/>
    </row>
    <row r="19" spans="2:14" ht="16" thickBot="1" x14ac:dyDescent="0.25">
      <c r="B19" s="168"/>
      <c r="C19" s="169"/>
      <c r="D19" s="169"/>
      <c r="E19" s="169"/>
      <c r="F19" s="169"/>
      <c r="G19" s="169"/>
      <c r="H19" s="169"/>
      <c r="I19" s="169"/>
      <c r="J19" s="169"/>
      <c r="K19" s="170"/>
    </row>
    <row r="20" spans="2:14" ht="16" thickBot="1" x14ac:dyDescent="0.25"/>
    <row r="21" spans="2:14" x14ac:dyDescent="0.2">
      <c r="B21" s="33"/>
      <c r="C21" s="34"/>
      <c r="D21" s="34"/>
      <c r="E21" s="34"/>
      <c r="F21" s="34"/>
      <c r="G21" s="34"/>
      <c r="H21" s="34"/>
      <c r="I21" s="34"/>
      <c r="J21" s="34"/>
      <c r="K21" s="37"/>
    </row>
    <row r="22" spans="2:14" ht="21" x14ac:dyDescent="0.25">
      <c r="B22" s="38"/>
      <c r="C22" s="171"/>
      <c r="D22" s="40"/>
      <c r="E22" s="40"/>
      <c r="F22" s="40"/>
      <c r="G22" s="172" t="s">
        <v>26</v>
      </c>
      <c r="H22" s="40"/>
      <c r="I22" s="40"/>
      <c r="J22" s="40"/>
      <c r="K22" s="41"/>
    </row>
    <row r="23" spans="2:14" x14ac:dyDescent="0.2">
      <c r="B23" s="38"/>
      <c r="C23" s="40"/>
      <c r="D23" s="40"/>
      <c r="E23" s="40"/>
      <c r="F23" s="40"/>
      <c r="G23" s="40"/>
      <c r="H23" s="40"/>
      <c r="I23" s="40"/>
      <c r="J23" s="40"/>
      <c r="K23" s="41"/>
    </row>
    <row r="24" spans="2:14" ht="16" x14ac:dyDescent="0.2">
      <c r="B24" s="38"/>
      <c r="C24" s="45" t="s">
        <v>61</v>
      </c>
      <c r="D24" s="40"/>
      <c r="E24" s="40"/>
      <c r="F24" s="40"/>
      <c r="G24" s="40"/>
      <c r="H24" s="40"/>
      <c r="I24" s="40"/>
      <c r="J24" s="40"/>
      <c r="K24" s="41"/>
    </row>
    <row r="25" spans="2:14" x14ac:dyDescent="0.2">
      <c r="B25" s="38"/>
      <c r="C25" s="40" t="s">
        <v>434</v>
      </c>
      <c r="D25" s="40"/>
      <c r="E25" s="40"/>
      <c r="F25" s="40"/>
      <c r="G25" s="40"/>
      <c r="H25" s="40"/>
      <c r="I25" s="40"/>
      <c r="J25" s="252">
        <f>'Baseline Health'!G11</f>
        <v>0</v>
      </c>
      <c r="K25" s="41"/>
    </row>
    <row r="26" spans="2:14" x14ac:dyDescent="0.2">
      <c r="B26" s="38"/>
      <c r="C26" s="40" t="s">
        <v>288</v>
      </c>
      <c r="D26" s="40"/>
      <c r="E26" s="40"/>
      <c r="F26" s="40"/>
      <c r="G26" s="40"/>
      <c r="H26" s="40"/>
      <c r="I26" s="40"/>
      <c r="J26" s="264">
        <v>0</v>
      </c>
      <c r="K26" s="41"/>
    </row>
    <row r="27" spans="2:14" x14ac:dyDescent="0.2">
      <c r="B27" s="38"/>
      <c r="C27" s="40" t="s">
        <v>260</v>
      </c>
      <c r="D27" s="40"/>
      <c r="E27" s="40"/>
      <c r="F27" s="40"/>
      <c r="G27" s="40"/>
      <c r="H27" s="40"/>
      <c r="I27" s="40"/>
      <c r="J27" s="248" t="str">
        <f>IF(OR(J25=0,J25="Not Calculated")=TRUE,"Not Calculated",(IF(((J26+J25)/J25)&lt;=1,0,IF(((J26+J25)/J25)&lt;=1.05,1,IF(((J26+J25)/J25)&lt;=1.5, 2,IF(((J26+J25)/J25)&lt;=2,3,4))))))</f>
        <v>Not Calculated</v>
      </c>
      <c r="K27" s="41"/>
    </row>
    <row r="28" spans="2:14" ht="9.75" customHeight="1" x14ac:dyDescent="0.2">
      <c r="B28" s="38"/>
      <c r="C28" s="279" t="str">
        <f>"0:"</f>
        <v>0:</v>
      </c>
      <c r="D28" s="281" t="s">
        <v>918</v>
      </c>
      <c r="E28" s="40"/>
      <c r="F28" s="40"/>
      <c r="G28" s="40"/>
      <c r="H28" s="40"/>
      <c r="I28" s="40"/>
      <c r="J28" s="40"/>
      <c r="K28" s="41"/>
    </row>
    <row r="29" spans="2:14" ht="9.75" customHeight="1" x14ac:dyDescent="0.2">
      <c r="B29" s="38"/>
      <c r="C29" s="280" t="str">
        <f>"1:"</f>
        <v>1:</v>
      </c>
      <c r="D29" s="281" t="s">
        <v>919</v>
      </c>
      <c r="E29" s="40"/>
      <c r="F29" s="40"/>
      <c r="G29" s="40"/>
      <c r="H29" s="40"/>
      <c r="I29" s="40"/>
      <c r="J29" s="40"/>
      <c r="K29" s="41"/>
    </row>
    <row r="30" spans="2:14" ht="9.75" customHeight="1" x14ac:dyDescent="0.2">
      <c r="B30" s="38"/>
      <c r="C30" s="280" t="str">
        <f>"2:"</f>
        <v>2:</v>
      </c>
      <c r="D30" s="281" t="s">
        <v>920</v>
      </c>
      <c r="E30" s="40"/>
      <c r="F30" s="40"/>
      <c r="G30" s="40"/>
      <c r="H30" s="40"/>
      <c r="I30" s="40"/>
      <c r="J30" s="40"/>
      <c r="K30" s="41"/>
    </row>
    <row r="31" spans="2:14" ht="9.75" customHeight="1" x14ac:dyDescent="0.2">
      <c r="B31" s="38"/>
      <c r="C31" s="280" t="str">
        <f>"3:"</f>
        <v>3:</v>
      </c>
      <c r="D31" s="281" t="s">
        <v>921</v>
      </c>
      <c r="E31" s="40"/>
      <c r="F31" s="40"/>
      <c r="G31" s="40"/>
      <c r="H31" s="40"/>
      <c r="I31" s="40"/>
      <c r="J31" s="40"/>
      <c r="K31" s="41"/>
    </row>
    <row r="32" spans="2:14" ht="9.75" customHeight="1" x14ac:dyDescent="0.2">
      <c r="B32" s="38"/>
      <c r="C32" s="280" t="str">
        <f>"4:"</f>
        <v>4:</v>
      </c>
      <c r="D32" s="281" t="s">
        <v>922</v>
      </c>
      <c r="E32" s="40"/>
      <c r="F32" s="40"/>
      <c r="G32" s="40"/>
      <c r="H32" s="40"/>
      <c r="I32" s="40"/>
      <c r="J32" s="40"/>
      <c r="K32" s="41"/>
      <c r="N32" s="12" t="s">
        <v>661</v>
      </c>
    </row>
    <row r="33" spans="2:14" x14ac:dyDescent="0.2">
      <c r="B33" s="38"/>
      <c r="C33" s="174" t="s">
        <v>662</v>
      </c>
      <c r="D33" s="40"/>
      <c r="E33" s="40"/>
      <c r="F33" s="40"/>
      <c r="G33" s="40"/>
      <c r="H33" s="40"/>
      <c r="I33" s="40"/>
      <c r="J33" s="265" t="s">
        <v>661</v>
      </c>
      <c r="K33" s="41"/>
      <c r="N33" s="12" t="s">
        <v>894</v>
      </c>
    </row>
    <row r="34" spans="2:14" x14ac:dyDescent="0.2">
      <c r="B34" s="38"/>
      <c r="C34" s="174" t="s">
        <v>660</v>
      </c>
      <c r="D34" s="40"/>
      <c r="E34" s="40"/>
      <c r="F34" s="40"/>
      <c r="G34" s="40"/>
      <c r="H34" s="40"/>
      <c r="I34" s="40"/>
      <c r="J34" s="246" t="str">
        <f>IF(J33=N32,"N/A",IF(J33=N33,0,IF(J33=N34,1,IF(J33=N35,2,IF(J33=N36,3,IF(J33=N37,4,"N/A"))))))</f>
        <v>N/A</v>
      </c>
      <c r="K34" s="41"/>
      <c r="N34" s="12" t="s">
        <v>895</v>
      </c>
    </row>
    <row r="35" spans="2:14" x14ac:dyDescent="0.2">
      <c r="B35" s="38"/>
      <c r="C35" s="40" t="s">
        <v>257</v>
      </c>
      <c r="D35" s="40"/>
      <c r="E35" s="40"/>
      <c r="F35" s="40"/>
      <c r="G35" s="40"/>
      <c r="H35" s="40"/>
      <c r="I35" s="40"/>
      <c r="J35" s="266" t="s">
        <v>870</v>
      </c>
      <c r="K35" s="41"/>
      <c r="N35" s="12" t="s">
        <v>896</v>
      </c>
    </row>
    <row r="36" spans="2:14" x14ac:dyDescent="0.2">
      <c r="B36" s="38"/>
      <c r="C36" s="40" t="s">
        <v>261</v>
      </c>
      <c r="D36" s="40"/>
      <c r="E36" s="40"/>
      <c r="F36" s="40"/>
      <c r="G36" s="40"/>
      <c r="H36" s="40"/>
      <c r="I36" s="40"/>
      <c r="J36" s="245">
        <f>IF(J35=$B$973,$A$973,IF(J35=$B$974,$A$974,IF(J35=$B$975,$A$975,IF(J35=$B$976,$A$976,IF(J35=$B$977,$A$977,"Not Calculated")))))</f>
        <v>0</v>
      </c>
      <c r="K36" s="41"/>
      <c r="N36" s="12" t="s">
        <v>897</v>
      </c>
    </row>
    <row r="37" spans="2:14" x14ac:dyDescent="0.2">
      <c r="B37" s="38"/>
      <c r="C37" s="40" t="s">
        <v>893</v>
      </c>
      <c r="D37" s="40"/>
      <c r="E37" s="40"/>
      <c r="F37" s="40"/>
      <c r="G37" s="40"/>
      <c r="H37" s="40"/>
      <c r="I37" s="40"/>
      <c r="J37" s="175"/>
      <c r="K37" s="41"/>
      <c r="N37" s="12" t="s">
        <v>898</v>
      </c>
    </row>
    <row r="38" spans="2:14" s="178" customFormat="1" ht="30" customHeight="1" x14ac:dyDescent="0.2">
      <c r="B38" s="176"/>
      <c r="C38" s="415"/>
      <c r="D38" s="400"/>
      <c r="E38" s="400"/>
      <c r="F38" s="400"/>
      <c r="G38" s="400"/>
      <c r="H38" s="400"/>
      <c r="I38" s="400"/>
      <c r="J38" s="401"/>
      <c r="K38" s="177"/>
    </row>
    <row r="39" spans="2:14" x14ac:dyDescent="0.2">
      <c r="B39" s="38"/>
      <c r="C39" s="40"/>
      <c r="D39" s="40"/>
      <c r="E39" s="40"/>
      <c r="F39" s="40"/>
      <c r="G39" s="40"/>
      <c r="H39" s="40"/>
      <c r="I39" s="40"/>
      <c r="J39" s="40"/>
      <c r="K39" s="41"/>
    </row>
    <row r="40" spans="2:14" x14ac:dyDescent="0.2">
      <c r="B40" s="38"/>
      <c r="C40" s="179" t="s">
        <v>258</v>
      </c>
      <c r="D40" s="40"/>
      <c r="E40" s="40"/>
      <c r="F40" s="40"/>
      <c r="G40" s="40"/>
      <c r="H40" s="40"/>
      <c r="I40" s="40"/>
      <c r="J40" s="245" t="str">
        <f>IF(J34="N/A",IF(OR(J27="Not Calculated",J36="Not Calculated")=TRUE,"Not Calculated",AVERAGE(J27,J36)),AVERAGE(J34,J36))</f>
        <v>Not Calculated</v>
      </c>
      <c r="K40" s="41"/>
    </row>
    <row r="41" spans="2:14" x14ac:dyDescent="0.2">
      <c r="B41" s="38"/>
      <c r="C41" s="179"/>
      <c r="D41" s="40"/>
      <c r="E41" s="40"/>
      <c r="F41" s="40"/>
      <c r="G41" s="40"/>
      <c r="H41" s="40"/>
      <c r="I41" s="40"/>
      <c r="J41" s="245"/>
      <c r="K41" s="41"/>
    </row>
    <row r="42" spans="2:14" x14ac:dyDescent="0.2">
      <c r="B42" s="38"/>
      <c r="C42" s="40"/>
      <c r="D42" s="40"/>
      <c r="E42" s="40"/>
      <c r="F42" s="40"/>
      <c r="G42" s="40"/>
      <c r="H42" s="40"/>
      <c r="I42" s="40"/>
      <c r="J42" s="40"/>
      <c r="K42" s="41"/>
    </row>
    <row r="43" spans="2:14" ht="16" x14ac:dyDescent="0.2">
      <c r="B43" s="38"/>
      <c r="C43" s="45" t="s">
        <v>51</v>
      </c>
      <c r="D43" s="40"/>
      <c r="E43" s="40"/>
      <c r="F43" s="40"/>
      <c r="G43" s="40"/>
      <c r="H43" s="40"/>
      <c r="I43" s="40"/>
      <c r="J43" s="40"/>
      <c r="K43" s="41"/>
    </row>
    <row r="44" spans="2:14" x14ac:dyDescent="0.2">
      <c r="B44" s="38"/>
      <c r="C44" s="40" t="s">
        <v>435</v>
      </c>
      <c r="D44" s="40"/>
      <c r="E44" s="40"/>
      <c r="F44" s="40"/>
      <c r="G44" s="40"/>
      <c r="H44" s="40"/>
      <c r="I44" s="40"/>
      <c r="J44" s="252">
        <f>'Baseline Health'!G17</f>
        <v>0</v>
      </c>
      <c r="K44" s="41"/>
    </row>
    <row r="45" spans="2:14" x14ac:dyDescent="0.2">
      <c r="B45" s="38"/>
      <c r="C45" s="40" t="s">
        <v>287</v>
      </c>
      <c r="D45" s="40"/>
      <c r="E45" s="40"/>
      <c r="F45" s="40"/>
      <c r="G45" s="40"/>
      <c r="H45" s="40"/>
      <c r="I45" s="40"/>
      <c r="J45" s="264">
        <v>0</v>
      </c>
      <c r="K45" s="41"/>
    </row>
    <row r="46" spans="2:14" x14ac:dyDescent="0.2">
      <c r="B46" s="38"/>
      <c r="C46" s="40" t="s">
        <v>260</v>
      </c>
      <c r="D46" s="40"/>
      <c r="E46" s="40"/>
      <c r="F46" s="40"/>
      <c r="G46" s="40"/>
      <c r="H46" s="40"/>
      <c r="I46" s="40"/>
      <c r="J46" s="248" t="str">
        <f>IF(OR(J44=0,J44="Not Calculated")=TRUE,"Not Calculated",(IF(((J45+J44)/J44)&lt;=1,0,IF(((J45+J44)/J44)&lt;=1.05,1,IF(((J45+J44)/J44)&lt;=1.5, 2,IF(((J45+J44)/J44)&lt;=2,3,4))))))</f>
        <v>Not Calculated</v>
      </c>
      <c r="K46" s="41"/>
    </row>
    <row r="47" spans="2:14" ht="9.75" customHeight="1" x14ac:dyDescent="0.2">
      <c r="B47" s="38"/>
      <c r="C47" s="279" t="str">
        <f>"0:"</f>
        <v>0:</v>
      </c>
      <c r="D47" s="281" t="s">
        <v>918</v>
      </c>
      <c r="E47" s="40"/>
      <c r="F47" s="40"/>
      <c r="G47" s="40"/>
      <c r="H47" s="40"/>
      <c r="I47" s="40"/>
      <c r="J47" s="40"/>
      <c r="K47" s="41"/>
    </row>
    <row r="48" spans="2:14" ht="9.75" customHeight="1" x14ac:dyDescent="0.2">
      <c r="B48" s="38"/>
      <c r="C48" s="280" t="str">
        <f>"1:"</f>
        <v>1:</v>
      </c>
      <c r="D48" s="281" t="s">
        <v>919</v>
      </c>
      <c r="E48" s="40"/>
      <c r="F48" s="40"/>
      <c r="G48" s="40"/>
      <c r="H48" s="40"/>
      <c r="I48" s="40"/>
      <c r="J48" s="40"/>
      <c r="K48" s="41"/>
    </row>
    <row r="49" spans="2:14" ht="9.75" customHeight="1" x14ac:dyDescent="0.2">
      <c r="B49" s="38"/>
      <c r="C49" s="280" t="str">
        <f>"2:"</f>
        <v>2:</v>
      </c>
      <c r="D49" s="281" t="s">
        <v>920</v>
      </c>
      <c r="E49" s="40"/>
      <c r="F49" s="40"/>
      <c r="G49" s="40"/>
      <c r="H49" s="40"/>
      <c r="I49" s="40"/>
      <c r="J49" s="40"/>
      <c r="K49" s="41"/>
    </row>
    <row r="50" spans="2:14" ht="9.75" customHeight="1" x14ac:dyDescent="0.2">
      <c r="B50" s="38"/>
      <c r="C50" s="280" t="str">
        <f>"3:"</f>
        <v>3:</v>
      </c>
      <c r="D50" s="281" t="s">
        <v>921</v>
      </c>
      <c r="E50" s="40"/>
      <c r="F50" s="40"/>
      <c r="G50" s="40"/>
      <c r="H50" s="40"/>
      <c r="I50" s="40"/>
      <c r="J50" s="40"/>
      <c r="K50" s="41"/>
    </row>
    <row r="51" spans="2:14" ht="9.75" customHeight="1" x14ac:dyDescent="0.2">
      <c r="B51" s="38"/>
      <c r="C51" s="280" t="str">
        <f>"4:"</f>
        <v>4:</v>
      </c>
      <c r="D51" s="281" t="s">
        <v>922</v>
      </c>
      <c r="E51" s="40"/>
      <c r="F51" s="40"/>
      <c r="G51" s="40"/>
      <c r="H51" s="40"/>
      <c r="I51" s="40"/>
      <c r="J51" s="40"/>
      <c r="K51" s="41"/>
      <c r="N51" s="12" t="s">
        <v>661</v>
      </c>
    </row>
    <row r="52" spans="2:14" x14ac:dyDescent="0.2">
      <c r="B52" s="38"/>
      <c r="C52" s="174" t="s">
        <v>662</v>
      </c>
      <c r="D52" s="40"/>
      <c r="E52" s="40"/>
      <c r="F52" s="40"/>
      <c r="G52" s="40"/>
      <c r="H52" s="40"/>
      <c r="I52" s="40"/>
      <c r="J52" s="265" t="s">
        <v>661</v>
      </c>
      <c r="K52" s="41"/>
      <c r="N52" s="12" t="s">
        <v>894</v>
      </c>
    </row>
    <row r="53" spans="2:14" x14ac:dyDescent="0.2">
      <c r="B53" s="38"/>
      <c r="C53" s="174" t="s">
        <v>660</v>
      </c>
      <c r="D53" s="40"/>
      <c r="E53" s="40"/>
      <c r="F53" s="40"/>
      <c r="G53" s="40"/>
      <c r="H53" s="40"/>
      <c r="I53" s="40"/>
      <c r="J53" s="246" t="str">
        <f>IF(J52=N51,"N/A",IF(J52=N52,0,IF(J52=N53,1,IF(J52=N54,2,IF(J52=N55,3,IF(J52=N56,4,"N/A"))))))</f>
        <v>N/A</v>
      </c>
      <c r="K53" s="41"/>
      <c r="N53" s="12" t="s">
        <v>895</v>
      </c>
    </row>
    <row r="54" spans="2:14" x14ac:dyDescent="0.2">
      <c r="B54" s="38"/>
      <c r="C54" s="40" t="s">
        <v>257</v>
      </c>
      <c r="D54" s="40"/>
      <c r="E54" s="40"/>
      <c r="F54" s="40"/>
      <c r="G54" s="40"/>
      <c r="H54" s="40"/>
      <c r="I54" s="40"/>
      <c r="J54" s="266" t="s">
        <v>870</v>
      </c>
      <c r="K54" s="41"/>
      <c r="N54" s="12" t="s">
        <v>896</v>
      </c>
    </row>
    <row r="55" spans="2:14" x14ac:dyDescent="0.2">
      <c r="B55" s="38"/>
      <c r="C55" s="40" t="s">
        <v>261</v>
      </c>
      <c r="D55" s="40"/>
      <c r="E55" s="40"/>
      <c r="F55" s="40"/>
      <c r="G55" s="40"/>
      <c r="H55" s="40"/>
      <c r="I55" s="40"/>
      <c r="J55" s="245">
        <f>IF(J54=$B$973,$A$973,IF(J54=$B$974,$A$974,IF(J54=$B$975,$A$975,IF(J54=$B$976,$A$976,IF(J54=$B$977,$A$977,"Not Calculated")))))</f>
        <v>0</v>
      </c>
      <c r="K55" s="41"/>
      <c r="N55" s="12" t="s">
        <v>897</v>
      </c>
    </row>
    <row r="56" spans="2:14" x14ac:dyDescent="0.2">
      <c r="B56" s="38"/>
      <c r="C56" s="40" t="s">
        <v>893</v>
      </c>
      <c r="D56" s="40"/>
      <c r="E56" s="40"/>
      <c r="F56" s="40"/>
      <c r="G56" s="40"/>
      <c r="H56" s="40"/>
      <c r="I56" s="40"/>
      <c r="J56" s="175"/>
      <c r="K56" s="41"/>
      <c r="N56" s="12" t="s">
        <v>898</v>
      </c>
    </row>
    <row r="57" spans="2:14" s="178" customFormat="1" ht="30" customHeight="1" x14ac:dyDescent="0.2">
      <c r="B57" s="176"/>
      <c r="C57" s="415" t="s">
        <v>767</v>
      </c>
      <c r="D57" s="400"/>
      <c r="E57" s="400"/>
      <c r="F57" s="400"/>
      <c r="G57" s="400"/>
      <c r="H57" s="400"/>
      <c r="I57" s="400"/>
      <c r="J57" s="401"/>
      <c r="K57" s="177"/>
    </row>
    <row r="58" spans="2:14" x14ac:dyDescent="0.2">
      <c r="B58" s="38"/>
      <c r="C58" s="40"/>
      <c r="D58" s="40"/>
      <c r="E58" s="40"/>
      <c r="F58" s="40"/>
      <c r="G58" s="40"/>
      <c r="H58" s="40"/>
      <c r="I58" s="40"/>
      <c r="J58" s="40"/>
      <c r="K58" s="41"/>
    </row>
    <row r="59" spans="2:14" x14ac:dyDescent="0.2">
      <c r="B59" s="38"/>
      <c r="C59" s="179" t="s">
        <v>263</v>
      </c>
      <c r="D59" s="40"/>
      <c r="E59" s="40"/>
      <c r="F59" s="40"/>
      <c r="G59" s="40"/>
      <c r="H59" s="40"/>
      <c r="I59" s="40"/>
      <c r="J59" s="245" t="str">
        <f>IF(J53="N/A",IF(OR(J46="Not Calculated",J55="Not Calculated")=TRUE,"Not Calculated",AVERAGE(J46,J55)),AVERAGE(J53,J55))</f>
        <v>Not Calculated</v>
      </c>
      <c r="K59" s="41"/>
    </row>
    <row r="60" spans="2:14" x14ac:dyDescent="0.2">
      <c r="B60" s="38"/>
      <c r="C60" s="40"/>
      <c r="D60" s="40"/>
      <c r="E60" s="40"/>
      <c r="F60" s="40"/>
      <c r="G60" s="40"/>
      <c r="H60" s="40"/>
      <c r="I60" s="40"/>
      <c r="J60" s="40"/>
      <c r="K60" s="41"/>
    </row>
    <row r="61" spans="2:14" x14ac:dyDescent="0.2">
      <c r="B61" s="38"/>
      <c r="C61" s="40"/>
      <c r="D61" s="40"/>
      <c r="E61" s="40"/>
      <c r="F61" s="40"/>
      <c r="G61" s="40"/>
      <c r="H61" s="40"/>
      <c r="I61" s="40"/>
      <c r="J61" s="40"/>
      <c r="K61" s="41"/>
    </row>
    <row r="62" spans="2:14" ht="16" x14ac:dyDescent="0.2">
      <c r="B62" s="38"/>
      <c r="C62" s="45" t="s">
        <v>54</v>
      </c>
      <c r="D62" s="40"/>
      <c r="E62" s="40"/>
      <c r="F62" s="40"/>
      <c r="G62" s="40"/>
      <c r="H62" s="40"/>
      <c r="I62" s="40"/>
      <c r="J62" s="40"/>
      <c r="K62" s="41"/>
    </row>
    <row r="63" spans="2:14" x14ac:dyDescent="0.2">
      <c r="B63" s="38"/>
      <c r="C63" s="40" t="s">
        <v>436</v>
      </c>
      <c r="D63" s="40"/>
      <c r="E63" s="40"/>
      <c r="F63" s="40"/>
      <c r="G63" s="40"/>
      <c r="H63" s="40"/>
      <c r="I63" s="40"/>
      <c r="J63" s="252">
        <f>'Baseline Health'!G23</f>
        <v>0</v>
      </c>
      <c r="K63" s="41"/>
    </row>
    <row r="64" spans="2:14" x14ac:dyDescent="0.2">
      <c r="B64" s="38"/>
      <c r="C64" s="40" t="s">
        <v>289</v>
      </c>
      <c r="D64" s="40"/>
      <c r="E64" s="40"/>
      <c r="F64" s="40"/>
      <c r="G64" s="40"/>
      <c r="H64" s="40"/>
      <c r="I64" s="40"/>
      <c r="J64" s="264">
        <v>0</v>
      </c>
      <c r="K64" s="41"/>
    </row>
    <row r="65" spans="2:14" x14ac:dyDescent="0.2">
      <c r="B65" s="38"/>
      <c r="C65" s="40" t="s">
        <v>260</v>
      </c>
      <c r="D65" s="40"/>
      <c r="E65" s="40"/>
      <c r="F65" s="40"/>
      <c r="G65" s="40"/>
      <c r="H65" s="40"/>
      <c r="I65" s="40"/>
      <c r="J65" s="248" t="str">
        <f>IF(OR(J63=0,J63="Not Calculated")=TRUE,"Not Calculated",(IF(((J64+J63)/J63)&lt;=1,0,IF(((J64+J63)/J63)&lt;=1.05,1,IF(((J64+J63)/J63)&lt;=1.5, 2,IF(((J64+J63)/J63)&lt;=2,3,4))))))</f>
        <v>Not Calculated</v>
      </c>
      <c r="K65" s="41"/>
    </row>
    <row r="66" spans="2:14" ht="9.75" customHeight="1" x14ac:dyDescent="0.2">
      <c r="B66" s="38"/>
      <c r="C66" s="279" t="str">
        <f>"0:"</f>
        <v>0:</v>
      </c>
      <c r="D66" s="281" t="s">
        <v>918</v>
      </c>
      <c r="E66" s="40"/>
      <c r="F66" s="40"/>
      <c r="G66" s="40"/>
      <c r="H66" s="40"/>
      <c r="I66" s="40"/>
      <c r="J66" s="40"/>
      <c r="K66" s="41"/>
    </row>
    <row r="67" spans="2:14" ht="9.75" customHeight="1" x14ac:dyDescent="0.2">
      <c r="B67" s="38"/>
      <c r="C67" s="280" t="str">
        <f>"1:"</f>
        <v>1:</v>
      </c>
      <c r="D67" s="281" t="s">
        <v>919</v>
      </c>
      <c r="E67" s="40"/>
      <c r="F67" s="40"/>
      <c r="G67" s="40"/>
      <c r="H67" s="40"/>
      <c r="I67" s="40"/>
      <c r="J67" s="40"/>
      <c r="K67" s="41"/>
    </row>
    <row r="68" spans="2:14" ht="9.75" customHeight="1" x14ac:dyDescent="0.2">
      <c r="B68" s="38"/>
      <c r="C68" s="280" t="str">
        <f>"2:"</f>
        <v>2:</v>
      </c>
      <c r="D68" s="281" t="s">
        <v>920</v>
      </c>
      <c r="E68" s="40"/>
      <c r="F68" s="40"/>
      <c r="G68" s="40"/>
      <c r="H68" s="40"/>
      <c r="I68" s="40"/>
      <c r="J68" s="40"/>
      <c r="K68" s="41"/>
    </row>
    <row r="69" spans="2:14" ht="9.75" customHeight="1" x14ac:dyDescent="0.2">
      <c r="B69" s="38"/>
      <c r="C69" s="280" t="str">
        <f>"3:"</f>
        <v>3:</v>
      </c>
      <c r="D69" s="281" t="s">
        <v>921</v>
      </c>
      <c r="E69" s="40"/>
      <c r="F69" s="40"/>
      <c r="G69" s="40"/>
      <c r="H69" s="40"/>
      <c r="I69" s="40"/>
      <c r="J69" s="40"/>
      <c r="K69" s="41"/>
    </row>
    <row r="70" spans="2:14" ht="9.75" customHeight="1" x14ac:dyDescent="0.2">
      <c r="B70" s="38"/>
      <c r="C70" s="280" t="str">
        <f>"4:"</f>
        <v>4:</v>
      </c>
      <c r="D70" s="281" t="s">
        <v>922</v>
      </c>
      <c r="E70" s="40"/>
      <c r="F70" s="40"/>
      <c r="G70" s="40"/>
      <c r="H70" s="40"/>
      <c r="I70" s="40"/>
      <c r="J70" s="40"/>
      <c r="K70" s="41"/>
      <c r="N70" s="12" t="s">
        <v>661</v>
      </c>
    </row>
    <row r="71" spans="2:14" x14ac:dyDescent="0.2">
      <c r="B71" s="38"/>
      <c r="C71" s="174" t="s">
        <v>662</v>
      </c>
      <c r="D71" s="40"/>
      <c r="E71" s="40"/>
      <c r="F71" s="40"/>
      <c r="G71" s="40"/>
      <c r="H71" s="40"/>
      <c r="I71" s="40"/>
      <c r="J71" s="265" t="s">
        <v>661</v>
      </c>
      <c r="K71" s="41"/>
      <c r="N71" s="12" t="s">
        <v>894</v>
      </c>
    </row>
    <row r="72" spans="2:14" x14ac:dyDescent="0.2">
      <c r="B72" s="38"/>
      <c r="C72" s="174" t="s">
        <v>660</v>
      </c>
      <c r="D72" s="40"/>
      <c r="E72" s="40"/>
      <c r="F72" s="40"/>
      <c r="G72" s="40"/>
      <c r="H72" s="40"/>
      <c r="I72" s="40"/>
      <c r="J72" s="246" t="str">
        <f>IF(J71=N70,"N/A",IF(J71=N71,0,IF(J71=N72,1,IF(J71=N73,2,IF(J71=N74,3,IF(J71=N75,4,"N/A"))))))</f>
        <v>N/A</v>
      </c>
      <c r="K72" s="41"/>
      <c r="N72" s="12" t="s">
        <v>895</v>
      </c>
    </row>
    <row r="73" spans="2:14" x14ac:dyDescent="0.2">
      <c r="B73" s="38"/>
      <c r="C73" s="40" t="s">
        <v>257</v>
      </c>
      <c r="D73" s="40"/>
      <c r="E73" s="40"/>
      <c r="F73" s="40"/>
      <c r="G73" s="40"/>
      <c r="H73" s="40"/>
      <c r="I73" s="40"/>
      <c r="J73" s="266" t="s">
        <v>870</v>
      </c>
      <c r="K73" s="41"/>
      <c r="N73" s="12" t="s">
        <v>896</v>
      </c>
    </row>
    <row r="74" spans="2:14" x14ac:dyDescent="0.2">
      <c r="B74" s="38"/>
      <c r="C74" s="40" t="s">
        <v>261</v>
      </c>
      <c r="D74" s="40"/>
      <c r="E74" s="40"/>
      <c r="F74" s="40"/>
      <c r="G74" s="40"/>
      <c r="H74" s="40"/>
      <c r="I74" s="40"/>
      <c r="J74" s="245">
        <f>IF(J73=$B$973,$A$973,IF(J73=$B$974,$A$974,IF(J73=$B$975,$A$975,IF(J73=$B$976,$A$976,IF(J73=$B$977,$A$977,"Not Calculated")))))</f>
        <v>0</v>
      </c>
      <c r="K74" s="41"/>
      <c r="N74" s="12" t="s">
        <v>897</v>
      </c>
    </row>
    <row r="75" spans="2:14" x14ac:dyDescent="0.2">
      <c r="B75" s="38"/>
      <c r="C75" s="40" t="s">
        <v>893</v>
      </c>
      <c r="D75" s="40"/>
      <c r="E75" s="40"/>
      <c r="F75" s="40"/>
      <c r="G75" s="40"/>
      <c r="H75" s="40"/>
      <c r="I75" s="40"/>
      <c r="J75" s="175"/>
      <c r="K75" s="41"/>
      <c r="N75" s="12" t="s">
        <v>898</v>
      </c>
    </row>
    <row r="76" spans="2:14" s="178" customFormat="1" ht="30" customHeight="1" x14ac:dyDescent="0.2">
      <c r="B76" s="176"/>
      <c r="C76" s="415" t="s">
        <v>767</v>
      </c>
      <c r="D76" s="400"/>
      <c r="E76" s="400"/>
      <c r="F76" s="400"/>
      <c r="G76" s="400"/>
      <c r="H76" s="400"/>
      <c r="I76" s="400"/>
      <c r="J76" s="401"/>
      <c r="K76" s="177"/>
    </row>
    <row r="77" spans="2:14" ht="15" customHeight="1" x14ac:dyDescent="0.2">
      <c r="B77" s="38"/>
      <c r="C77" s="40"/>
      <c r="D77" s="40"/>
      <c r="E77" s="40"/>
      <c r="F77" s="40"/>
      <c r="G77" s="40"/>
      <c r="H77" s="40"/>
      <c r="I77" s="40"/>
      <c r="J77" s="40"/>
      <c r="K77" s="41"/>
    </row>
    <row r="78" spans="2:14" x14ac:dyDescent="0.2">
      <c r="B78" s="38"/>
      <c r="C78" s="179" t="s">
        <v>264</v>
      </c>
      <c r="D78" s="40"/>
      <c r="E78" s="40"/>
      <c r="F78" s="40"/>
      <c r="G78" s="40"/>
      <c r="H78" s="40"/>
      <c r="I78" s="40"/>
      <c r="J78" s="245" t="str">
        <f>IF(J72="N/A",IF(OR(J65="Not Calculated",J74="Not Calculated")=TRUE,"Not Calculated",AVERAGE(J65,J74)),AVERAGE(J72,J74))</f>
        <v>Not Calculated</v>
      </c>
      <c r="K78" s="41"/>
    </row>
    <row r="79" spans="2:14" x14ac:dyDescent="0.2">
      <c r="B79" s="38"/>
      <c r="C79" s="40"/>
      <c r="D79" s="40"/>
      <c r="E79" s="40"/>
      <c r="F79" s="40"/>
      <c r="G79" s="40"/>
      <c r="H79" s="40"/>
      <c r="I79" s="40"/>
      <c r="J79" s="40"/>
      <c r="K79" s="41"/>
    </row>
    <row r="80" spans="2:14" x14ac:dyDescent="0.2">
      <c r="B80" s="38"/>
      <c r="C80" s="40"/>
      <c r="D80" s="40"/>
      <c r="E80" s="40"/>
      <c r="F80" s="40"/>
      <c r="G80" s="40"/>
      <c r="H80" s="40"/>
      <c r="I80" s="40"/>
      <c r="J80" s="40"/>
      <c r="K80" s="41"/>
    </row>
    <row r="81" spans="2:14" ht="16" x14ac:dyDescent="0.2">
      <c r="B81" s="38"/>
      <c r="C81" s="45" t="s">
        <v>57</v>
      </c>
      <c r="D81" s="40"/>
      <c r="E81" s="40"/>
      <c r="F81" s="40"/>
      <c r="G81" s="40"/>
      <c r="H81" s="40"/>
      <c r="I81" s="40"/>
      <c r="J81" s="40"/>
      <c r="K81" s="41"/>
    </row>
    <row r="82" spans="2:14" x14ac:dyDescent="0.2">
      <c r="B82" s="38"/>
      <c r="C82" s="40" t="s">
        <v>437</v>
      </c>
      <c r="D82" s="40"/>
      <c r="E82" s="40"/>
      <c r="F82" s="40"/>
      <c r="G82" s="40"/>
      <c r="H82" s="40"/>
      <c r="I82" s="40"/>
      <c r="J82" s="252">
        <f>'Baseline Health'!G29</f>
        <v>0</v>
      </c>
      <c r="K82" s="41"/>
    </row>
    <row r="83" spans="2:14" x14ac:dyDescent="0.2">
      <c r="B83" s="38"/>
      <c r="C83" s="40" t="s">
        <v>290</v>
      </c>
      <c r="D83" s="40"/>
      <c r="E83" s="40"/>
      <c r="F83" s="40"/>
      <c r="G83" s="40"/>
      <c r="H83" s="40"/>
      <c r="I83" s="40"/>
      <c r="J83" s="264">
        <v>0</v>
      </c>
      <c r="K83" s="41"/>
    </row>
    <row r="84" spans="2:14" x14ac:dyDescent="0.2">
      <c r="B84" s="38"/>
      <c r="C84" s="40" t="s">
        <v>260</v>
      </c>
      <c r="D84" s="40"/>
      <c r="E84" s="40"/>
      <c r="F84" s="40"/>
      <c r="G84" s="40"/>
      <c r="H84" s="40"/>
      <c r="I84" s="40"/>
      <c r="J84" s="248" t="str">
        <f>IF(OR(J82=0,J82="Not Calculated")=TRUE,"Not Calculated",(IF(((J83+J82)/J82)&lt;=1,0,IF(((J83+J82)/J82)&lt;=1.05,1,IF(((J83+J82)/J82)&lt;=1.5, 2,IF(((J83+J82)/J82)&lt;=2,3,4))))))</f>
        <v>Not Calculated</v>
      </c>
      <c r="K84" s="41"/>
    </row>
    <row r="85" spans="2:14" ht="9.75" customHeight="1" x14ac:dyDescent="0.2">
      <c r="B85" s="38"/>
      <c r="C85" s="279" t="str">
        <f>"0:"</f>
        <v>0:</v>
      </c>
      <c r="D85" s="281" t="s">
        <v>918</v>
      </c>
      <c r="E85" s="40"/>
      <c r="F85" s="40"/>
      <c r="G85" s="40"/>
      <c r="H85" s="40"/>
      <c r="I85" s="40"/>
      <c r="J85" s="40"/>
      <c r="K85" s="41"/>
    </row>
    <row r="86" spans="2:14" ht="9.75" customHeight="1" x14ac:dyDescent="0.2">
      <c r="B86" s="38"/>
      <c r="C86" s="280" t="str">
        <f>"1:"</f>
        <v>1:</v>
      </c>
      <c r="D86" s="281" t="s">
        <v>919</v>
      </c>
      <c r="E86" s="40"/>
      <c r="F86" s="40"/>
      <c r="G86" s="40"/>
      <c r="H86" s="40"/>
      <c r="I86" s="40"/>
      <c r="J86" s="40"/>
      <c r="K86" s="41"/>
    </row>
    <row r="87" spans="2:14" ht="9.75" customHeight="1" x14ac:dyDescent="0.2">
      <c r="B87" s="38"/>
      <c r="C87" s="280" t="str">
        <f>"2:"</f>
        <v>2:</v>
      </c>
      <c r="D87" s="281" t="s">
        <v>920</v>
      </c>
      <c r="E87" s="40"/>
      <c r="F87" s="40"/>
      <c r="G87" s="40"/>
      <c r="H87" s="40"/>
      <c r="I87" s="40"/>
      <c r="J87" s="40"/>
      <c r="K87" s="41"/>
    </row>
    <row r="88" spans="2:14" ht="9.75" customHeight="1" x14ac:dyDescent="0.2">
      <c r="B88" s="38"/>
      <c r="C88" s="280" t="str">
        <f>"3:"</f>
        <v>3:</v>
      </c>
      <c r="D88" s="281" t="s">
        <v>921</v>
      </c>
      <c r="E88" s="40"/>
      <c r="F88" s="40"/>
      <c r="G88" s="40"/>
      <c r="H88" s="40"/>
      <c r="I88" s="40"/>
      <c r="J88" s="40"/>
      <c r="K88" s="41"/>
    </row>
    <row r="89" spans="2:14" ht="9.75" customHeight="1" x14ac:dyDescent="0.2">
      <c r="B89" s="38"/>
      <c r="C89" s="280" t="str">
        <f>"4:"</f>
        <v>4:</v>
      </c>
      <c r="D89" s="281" t="s">
        <v>922</v>
      </c>
      <c r="E89" s="40"/>
      <c r="F89" s="40"/>
      <c r="G89" s="40"/>
      <c r="H89" s="40"/>
      <c r="I89" s="40"/>
      <c r="J89" s="40"/>
      <c r="K89" s="41"/>
      <c r="N89" s="12" t="s">
        <v>661</v>
      </c>
    </row>
    <row r="90" spans="2:14" x14ac:dyDescent="0.2">
      <c r="B90" s="38"/>
      <c r="C90" s="174" t="s">
        <v>662</v>
      </c>
      <c r="D90" s="40"/>
      <c r="E90" s="40"/>
      <c r="F90" s="40"/>
      <c r="G90" s="40"/>
      <c r="H90" s="40"/>
      <c r="I90" s="40"/>
      <c r="J90" s="265" t="s">
        <v>661</v>
      </c>
      <c r="K90" s="41"/>
      <c r="N90" s="12" t="s">
        <v>894</v>
      </c>
    </row>
    <row r="91" spans="2:14" x14ac:dyDescent="0.2">
      <c r="B91" s="38"/>
      <c r="C91" s="174" t="s">
        <v>660</v>
      </c>
      <c r="D91" s="40"/>
      <c r="E91" s="40"/>
      <c r="F91" s="40"/>
      <c r="G91" s="40"/>
      <c r="H91" s="40"/>
      <c r="I91" s="40"/>
      <c r="J91" s="246" t="str">
        <f>IF(J90=N89,"N/A",IF(J90=N90,0,IF(J90=N91,1,IF(J90=N92,2,IF(J90=N93,3,IF(J90=N94,4,"N/A"))))))</f>
        <v>N/A</v>
      </c>
      <c r="K91" s="41"/>
      <c r="N91" s="12" t="s">
        <v>895</v>
      </c>
    </row>
    <row r="92" spans="2:14" x14ac:dyDescent="0.2">
      <c r="B92" s="38"/>
      <c r="C92" s="40" t="s">
        <v>257</v>
      </c>
      <c r="D92" s="40"/>
      <c r="E92" s="40"/>
      <c r="F92" s="40"/>
      <c r="G92" s="40"/>
      <c r="H92" s="40"/>
      <c r="I92" s="40"/>
      <c r="J92" s="266" t="s">
        <v>870</v>
      </c>
      <c r="K92" s="41"/>
      <c r="N92" s="12" t="s">
        <v>896</v>
      </c>
    </row>
    <row r="93" spans="2:14" x14ac:dyDescent="0.2">
      <c r="B93" s="38"/>
      <c r="C93" s="40" t="s">
        <v>261</v>
      </c>
      <c r="D93" s="40"/>
      <c r="E93" s="40"/>
      <c r="F93" s="40"/>
      <c r="G93" s="40"/>
      <c r="H93" s="40"/>
      <c r="I93" s="40"/>
      <c r="J93" s="245">
        <f>IF(J92=$B$973,$A$973,IF(J92=$B$974,$A$974,IF(J92=$B$975,$A$975,IF(J92=$B$976,$A$976,IF(J92=$B$977,$A$977,"Not Calculated")))))</f>
        <v>0</v>
      </c>
      <c r="K93" s="41"/>
      <c r="N93" s="12" t="s">
        <v>897</v>
      </c>
    </row>
    <row r="94" spans="2:14" x14ac:dyDescent="0.2">
      <c r="B94" s="38"/>
      <c r="C94" s="40" t="s">
        <v>893</v>
      </c>
      <c r="D94" s="40"/>
      <c r="E94" s="40"/>
      <c r="F94" s="40"/>
      <c r="G94" s="40"/>
      <c r="H94" s="40"/>
      <c r="I94" s="40"/>
      <c r="J94" s="175"/>
      <c r="K94" s="41"/>
      <c r="N94" s="12" t="s">
        <v>898</v>
      </c>
    </row>
    <row r="95" spans="2:14" s="178" customFormat="1" ht="30" customHeight="1" x14ac:dyDescent="0.2">
      <c r="B95" s="176"/>
      <c r="C95" s="415"/>
      <c r="D95" s="400"/>
      <c r="E95" s="400"/>
      <c r="F95" s="400"/>
      <c r="G95" s="400"/>
      <c r="H95" s="400"/>
      <c r="I95" s="400"/>
      <c r="J95" s="401"/>
      <c r="K95" s="177"/>
    </row>
    <row r="96" spans="2:14" x14ac:dyDescent="0.2">
      <c r="B96" s="38"/>
      <c r="C96" s="40"/>
      <c r="D96" s="40"/>
      <c r="E96" s="40"/>
      <c r="F96" s="40"/>
      <c r="G96" s="40"/>
      <c r="H96" s="40"/>
      <c r="I96" s="40"/>
      <c r="J96" s="40"/>
      <c r="K96" s="41"/>
    </row>
    <row r="97" spans="2:14" x14ac:dyDescent="0.2">
      <c r="B97" s="38"/>
      <c r="C97" s="179" t="s">
        <v>265</v>
      </c>
      <c r="D97" s="40"/>
      <c r="E97" s="40"/>
      <c r="F97" s="40"/>
      <c r="G97" s="40"/>
      <c r="H97" s="40"/>
      <c r="I97" s="40"/>
      <c r="J97" s="245" t="str">
        <f>IF(J91="N/A",IF(OR(J84="Not Calculated",J93="Not Calculated")=TRUE,"Not Calculated",AVERAGE(J84,J93)),AVERAGE(J91,J93))</f>
        <v>Not Calculated</v>
      </c>
      <c r="K97" s="41"/>
    </row>
    <row r="98" spans="2:14" x14ac:dyDescent="0.2">
      <c r="B98" s="38"/>
      <c r="C98" s="40"/>
      <c r="D98" s="40"/>
      <c r="E98" s="40"/>
      <c r="F98" s="40"/>
      <c r="G98" s="40"/>
      <c r="H98" s="40"/>
      <c r="I98" s="40"/>
      <c r="J98" s="40"/>
      <c r="K98" s="41"/>
    </row>
    <row r="99" spans="2:14" x14ac:dyDescent="0.2">
      <c r="B99" s="38"/>
      <c r="C99" s="40"/>
      <c r="D99" s="40"/>
      <c r="E99" s="40"/>
      <c r="F99" s="40"/>
      <c r="G99" s="40"/>
      <c r="H99" s="40"/>
      <c r="I99" s="40"/>
      <c r="J99" s="40"/>
      <c r="K99" s="41"/>
    </row>
    <row r="100" spans="2:14" ht="16" x14ac:dyDescent="0.2">
      <c r="B100" s="38"/>
      <c r="C100" s="45" t="s">
        <v>60</v>
      </c>
      <c r="D100" s="40"/>
      <c r="E100" s="40"/>
      <c r="F100" s="40"/>
      <c r="G100" s="40"/>
      <c r="H100" s="40"/>
      <c r="I100" s="40"/>
      <c r="J100" s="40"/>
      <c r="K100" s="41"/>
    </row>
    <row r="101" spans="2:14" x14ac:dyDescent="0.2">
      <c r="B101" s="38"/>
      <c r="C101" s="40" t="s">
        <v>438</v>
      </c>
      <c r="D101" s="40"/>
      <c r="E101" s="40"/>
      <c r="F101" s="40"/>
      <c r="G101" s="40"/>
      <c r="H101" s="40"/>
      <c r="I101" s="40"/>
      <c r="J101" s="252">
        <f>'Baseline Health'!G35</f>
        <v>0</v>
      </c>
      <c r="K101" s="41"/>
    </row>
    <row r="102" spans="2:14" x14ac:dyDescent="0.2">
      <c r="B102" s="38"/>
      <c r="C102" s="40" t="s">
        <v>291</v>
      </c>
      <c r="D102" s="40"/>
      <c r="E102" s="40"/>
      <c r="F102" s="40"/>
      <c r="G102" s="40"/>
      <c r="H102" s="40"/>
      <c r="I102" s="40"/>
      <c r="J102" s="264">
        <v>0</v>
      </c>
      <c r="K102" s="41"/>
    </row>
    <row r="103" spans="2:14" x14ac:dyDescent="0.2">
      <c r="B103" s="38"/>
      <c r="C103" s="40" t="s">
        <v>260</v>
      </c>
      <c r="D103" s="40"/>
      <c r="E103" s="40"/>
      <c r="F103" s="40"/>
      <c r="G103" s="40"/>
      <c r="H103" s="40"/>
      <c r="I103" s="40"/>
      <c r="J103" s="248" t="str">
        <f>IF(OR(J101=0,J101="Not Calculated")=TRUE,"Not Calculated",(IF(((J102+J101)/J101)&lt;=1,0,IF(((J102+J101)/J101)&lt;=1.05,1,IF(((J102+J101)/J101)&lt;=1.5, 2,IF(((J102+J101)/J101)&lt;=2,3,4))))))</f>
        <v>Not Calculated</v>
      </c>
      <c r="K103" s="41"/>
    </row>
    <row r="104" spans="2:14" ht="9.75" customHeight="1" x14ac:dyDescent="0.2">
      <c r="B104" s="38"/>
      <c r="C104" s="279" t="str">
        <f>"0:"</f>
        <v>0:</v>
      </c>
      <c r="D104" s="281" t="s">
        <v>918</v>
      </c>
      <c r="E104" s="40"/>
      <c r="F104" s="40"/>
      <c r="G104" s="40"/>
      <c r="H104" s="40"/>
      <c r="I104" s="40"/>
      <c r="J104" s="40"/>
      <c r="K104" s="41"/>
    </row>
    <row r="105" spans="2:14" ht="9.75" customHeight="1" x14ac:dyDescent="0.2">
      <c r="B105" s="38"/>
      <c r="C105" s="280" t="str">
        <f>"1:"</f>
        <v>1:</v>
      </c>
      <c r="D105" s="281" t="s">
        <v>919</v>
      </c>
      <c r="E105" s="40"/>
      <c r="F105" s="40"/>
      <c r="G105" s="40"/>
      <c r="H105" s="40"/>
      <c r="I105" s="40"/>
      <c r="J105" s="40"/>
      <c r="K105" s="41"/>
    </row>
    <row r="106" spans="2:14" ht="9.75" customHeight="1" x14ac:dyDescent="0.2">
      <c r="B106" s="38"/>
      <c r="C106" s="280" t="str">
        <f>"2:"</f>
        <v>2:</v>
      </c>
      <c r="D106" s="281" t="s">
        <v>920</v>
      </c>
      <c r="E106" s="40"/>
      <c r="F106" s="40"/>
      <c r="G106" s="40"/>
      <c r="H106" s="40"/>
      <c r="I106" s="40"/>
      <c r="J106" s="40"/>
      <c r="K106" s="41"/>
    </row>
    <row r="107" spans="2:14" ht="9.75" customHeight="1" x14ac:dyDescent="0.2">
      <c r="B107" s="38"/>
      <c r="C107" s="280" t="str">
        <f>"3:"</f>
        <v>3:</v>
      </c>
      <c r="D107" s="281" t="s">
        <v>921</v>
      </c>
      <c r="E107" s="40"/>
      <c r="F107" s="40"/>
      <c r="G107" s="40"/>
      <c r="H107" s="40"/>
      <c r="I107" s="40"/>
      <c r="J107" s="40"/>
      <c r="K107" s="41"/>
    </row>
    <row r="108" spans="2:14" ht="9.75" customHeight="1" x14ac:dyDescent="0.2">
      <c r="B108" s="38"/>
      <c r="C108" s="280" t="str">
        <f>"4:"</f>
        <v>4:</v>
      </c>
      <c r="D108" s="281" t="s">
        <v>922</v>
      </c>
      <c r="E108" s="40"/>
      <c r="F108" s="40"/>
      <c r="G108" s="40"/>
      <c r="H108" s="40"/>
      <c r="I108" s="40"/>
      <c r="J108" s="40"/>
      <c r="K108" s="41"/>
      <c r="N108" s="12" t="s">
        <v>661</v>
      </c>
    </row>
    <row r="109" spans="2:14" x14ac:dyDescent="0.2">
      <c r="B109" s="38"/>
      <c r="C109" s="174" t="s">
        <v>662</v>
      </c>
      <c r="D109" s="40"/>
      <c r="E109" s="40"/>
      <c r="F109" s="40"/>
      <c r="G109" s="40"/>
      <c r="H109" s="40"/>
      <c r="I109" s="40"/>
      <c r="J109" s="265" t="s">
        <v>661</v>
      </c>
      <c r="K109" s="41"/>
      <c r="N109" s="12" t="s">
        <v>894</v>
      </c>
    </row>
    <row r="110" spans="2:14" x14ac:dyDescent="0.2">
      <c r="B110" s="38"/>
      <c r="C110" s="174" t="s">
        <v>660</v>
      </c>
      <c r="D110" s="40"/>
      <c r="E110" s="40"/>
      <c r="F110" s="40"/>
      <c r="G110" s="40"/>
      <c r="H110" s="40"/>
      <c r="I110" s="40"/>
      <c r="J110" s="246" t="str">
        <f>IF(J109=N108,"N/A",IF(J109=N109,0,IF(J109=N110,1,IF(J109=N111,2,IF(J109=N112,3,IF(J109=N113,4,"N/A"))))))</f>
        <v>N/A</v>
      </c>
      <c r="K110" s="41"/>
      <c r="N110" s="12" t="s">
        <v>895</v>
      </c>
    </row>
    <row r="111" spans="2:14" x14ac:dyDescent="0.2">
      <c r="B111" s="38"/>
      <c r="C111" s="40" t="s">
        <v>257</v>
      </c>
      <c r="D111" s="40"/>
      <c r="E111" s="40"/>
      <c r="F111" s="40"/>
      <c r="G111" s="40"/>
      <c r="H111" s="40"/>
      <c r="I111" s="40"/>
      <c r="J111" s="266" t="s">
        <v>870</v>
      </c>
      <c r="K111" s="41"/>
      <c r="N111" s="12" t="s">
        <v>896</v>
      </c>
    </row>
    <row r="112" spans="2:14" x14ac:dyDescent="0.2">
      <c r="B112" s="38"/>
      <c r="C112" s="40" t="s">
        <v>261</v>
      </c>
      <c r="D112" s="40"/>
      <c r="E112" s="40"/>
      <c r="F112" s="40"/>
      <c r="G112" s="40"/>
      <c r="H112" s="40"/>
      <c r="I112" s="40"/>
      <c r="J112" s="245">
        <f>IF(J111=$B$973,$A$973,IF(J111=$B$974,$A$974,IF(J111=$B$975,$A$975,IF(J111=$B$976,$A$976,IF(J111=$B$977,$A$977,"Not Calculated")))))</f>
        <v>0</v>
      </c>
      <c r="K112" s="41"/>
      <c r="N112" s="12" t="s">
        <v>897</v>
      </c>
    </row>
    <row r="113" spans="2:14" x14ac:dyDescent="0.2">
      <c r="B113" s="38"/>
      <c r="C113" s="40" t="s">
        <v>893</v>
      </c>
      <c r="D113" s="40"/>
      <c r="E113" s="40"/>
      <c r="F113" s="40"/>
      <c r="G113" s="40"/>
      <c r="H113" s="40"/>
      <c r="I113" s="40"/>
      <c r="J113" s="175"/>
      <c r="K113" s="41"/>
      <c r="N113" s="12" t="s">
        <v>898</v>
      </c>
    </row>
    <row r="114" spans="2:14" s="178" customFormat="1" ht="30" customHeight="1" x14ac:dyDescent="0.2">
      <c r="B114" s="176"/>
      <c r="C114" s="415" t="s">
        <v>768</v>
      </c>
      <c r="D114" s="400"/>
      <c r="E114" s="400"/>
      <c r="F114" s="400"/>
      <c r="G114" s="400"/>
      <c r="H114" s="400"/>
      <c r="I114" s="400"/>
      <c r="J114" s="400"/>
      <c r="K114" s="177"/>
    </row>
    <row r="115" spans="2:14" x14ac:dyDescent="0.2">
      <c r="B115" s="38"/>
      <c r="C115" s="40"/>
      <c r="D115" s="40"/>
      <c r="E115" s="40"/>
      <c r="F115" s="40"/>
      <c r="G115" s="40"/>
      <c r="H115" s="40"/>
      <c r="I115" s="40"/>
      <c r="J115" s="40"/>
      <c r="K115" s="41"/>
    </row>
    <row r="116" spans="2:14" x14ac:dyDescent="0.2">
      <c r="B116" s="38"/>
      <c r="C116" s="179" t="s">
        <v>266</v>
      </c>
      <c r="D116" s="40"/>
      <c r="E116" s="40"/>
      <c r="F116" s="40"/>
      <c r="G116" s="40"/>
      <c r="H116" s="40"/>
      <c r="I116" s="40"/>
      <c r="J116" s="245" t="str">
        <f>IF(J110="N/A",IF(OR(J103="Not Calculated",J112="Not Calculated")=TRUE,"Not Calculated",AVERAGE(J103,J112)),AVERAGE(J110,J112))</f>
        <v>Not Calculated</v>
      </c>
      <c r="K116" s="41"/>
    </row>
    <row r="117" spans="2:14" x14ac:dyDescent="0.2">
      <c r="B117" s="38"/>
      <c r="C117" s="40"/>
      <c r="D117" s="40"/>
      <c r="E117" s="40"/>
      <c r="F117" s="40"/>
      <c r="G117" s="40"/>
      <c r="H117" s="40"/>
      <c r="I117" s="40"/>
      <c r="J117" s="40"/>
      <c r="K117" s="41"/>
    </row>
    <row r="118" spans="2:14" x14ac:dyDescent="0.2">
      <c r="B118" s="38"/>
      <c r="C118" s="40"/>
      <c r="D118" s="40"/>
      <c r="E118" s="40"/>
      <c r="F118" s="40"/>
      <c r="G118" s="40"/>
      <c r="H118" s="40"/>
      <c r="I118" s="40"/>
      <c r="J118" s="40"/>
      <c r="K118" s="41"/>
    </row>
    <row r="119" spans="2:14" ht="16" x14ac:dyDescent="0.2">
      <c r="B119" s="38"/>
      <c r="C119" s="45" t="s">
        <v>262</v>
      </c>
      <c r="D119" s="40"/>
      <c r="E119" s="40"/>
      <c r="F119" s="40"/>
      <c r="G119" s="40"/>
      <c r="H119" s="40"/>
      <c r="I119" s="40"/>
      <c r="J119" s="40"/>
      <c r="K119" s="41"/>
    </row>
    <row r="120" spans="2:14" ht="15" customHeight="1" x14ac:dyDescent="0.2">
      <c r="B120" s="38"/>
      <c r="C120" s="422" t="s">
        <v>268</v>
      </c>
      <c r="D120" s="422"/>
      <c r="E120" s="422"/>
      <c r="F120" s="422"/>
      <c r="G120" s="422"/>
      <c r="H120" s="422"/>
      <c r="I120" s="422"/>
      <c r="J120" s="422"/>
      <c r="K120" s="41"/>
    </row>
    <row r="121" spans="2:14" x14ac:dyDescent="0.2">
      <c r="B121" s="38"/>
      <c r="C121" s="422"/>
      <c r="D121" s="422"/>
      <c r="E121" s="422"/>
      <c r="F121" s="422"/>
      <c r="G121" s="422"/>
      <c r="H121" s="422"/>
      <c r="I121" s="422"/>
      <c r="J121" s="422"/>
      <c r="K121" s="41"/>
    </row>
    <row r="122" spans="2:14" x14ac:dyDescent="0.2">
      <c r="B122" s="38"/>
      <c r="C122" s="423"/>
      <c r="D122" s="423"/>
      <c r="E122" s="423"/>
      <c r="F122" s="423"/>
      <c r="G122" s="423"/>
      <c r="H122" s="423"/>
      <c r="I122" s="423"/>
      <c r="J122" s="423"/>
      <c r="K122" s="41"/>
    </row>
    <row r="123" spans="2:14" ht="15" customHeight="1" x14ac:dyDescent="0.2">
      <c r="B123" s="38"/>
      <c r="C123" s="416" t="s">
        <v>245</v>
      </c>
      <c r="D123" s="417"/>
      <c r="E123" s="417"/>
      <c r="F123" s="417"/>
      <c r="G123" s="417"/>
      <c r="H123" s="417"/>
      <c r="I123" s="417"/>
      <c r="J123" s="418"/>
      <c r="K123" s="41"/>
    </row>
    <row r="124" spans="2:14" x14ac:dyDescent="0.2">
      <c r="B124" s="38"/>
      <c r="C124" s="419"/>
      <c r="D124" s="420"/>
      <c r="E124" s="420"/>
      <c r="F124" s="420"/>
      <c r="G124" s="420"/>
      <c r="H124" s="420"/>
      <c r="I124" s="420"/>
      <c r="J124" s="421"/>
      <c r="K124" s="41"/>
    </row>
    <row r="125" spans="2:14" ht="15" customHeight="1" x14ac:dyDescent="0.2">
      <c r="B125" s="38"/>
      <c r="C125" s="40" t="s">
        <v>260</v>
      </c>
      <c r="D125" s="40"/>
      <c r="E125" s="40"/>
      <c r="F125" s="40"/>
      <c r="G125" s="40"/>
      <c r="H125" s="40"/>
      <c r="I125" s="40"/>
      <c r="J125" s="247">
        <f>IF(C123=B987,A987,IF(C123=B988,A988,IF(C123=B989,A989,IF(C123=B990,A990,IF(C123=B991,A991,"Not Calculated")))))</f>
        <v>0</v>
      </c>
      <c r="K125" s="41"/>
    </row>
    <row r="126" spans="2:14" ht="15" customHeight="1" x14ac:dyDescent="0.2">
      <c r="B126" s="38"/>
      <c r="C126" s="40" t="s">
        <v>257</v>
      </c>
      <c r="D126" s="40"/>
      <c r="E126" s="40"/>
      <c r="F126" s="40"/>
      <c r="G126" s="40"/>
      <c r="H126" s="40"/>
      <c r="I126" s="40"/>
      <c r="J126" s="266" t="s">
        <v>870</v>
      </c>
      <c r="K126" s="41"/>
    </row>
    <row r="127" spans="2:14" x14ac:dyDescent="0.2">
      <c r="B127" s="38"/>
      <c r="C127" s="40" t="s">
        <v>261</v>
      </c>
      <c r="D127" s="40"/>
      <c r="E127" s="40"/>
      <c r="F127" s="40"/>
      <c r="G127" s="40"/>
      <c r="H127" s="40"/>
      <c r="I127" s="40"/>
      <c r="J127" s="245">
        <f>IF(J126=$B$973,$A$973,IF(J126=$B$974,$A$974,IF(J126=$B$975,$A$975,IF(J126=$B$976,$A$976,IF(J126=$B$977,$A$977,"Not Calculated")))))</f>
        <v>0</v>
      </c>
      <c r="K127" s="41"/>
    </row>
    <row r="128" spans="2:14" ht="15" customHeight="1" x14ac:dyDescent="0.2">
      <c r="B128" s="38"/>
      <c r="C128" s="40" t="s">
        <v>893</v>
      </c>
      <c r="D128" s="40"/>
      <c r="E128" s="40"/>
      <c r="F128" s="40"/>
      <c r="G128" s="40"/>
      <c r="H128" s="40"/>
      <c r="I128" s="40"/>
      <c r="J128" s="175"/>
      <c r="K128" s="41"/>
    </row>
    <row r="129" spans="2:11" s="178" customFormat="1" ht="30" customHeight="1" x14ac:dyDescent="0.2">
      <c r="B129" s="176"/>
      <c r="C129" s="415"/>
      <c r="D129" s="400"/>
      <c r="E129" s="400"/>
      <c r="F129" s="400"/>
      <c r="G129" s="400"/>
      <c r="H129" s="400"/>
      <c r="I129" s="400"/>
      <c r="J129" s="401"/>
      <c r="K129" s="177"/>
    </row>
    <row r="130" spans="2:11" ht="15" customHeight="1" x14ac:dyDescent="0.2">
      <c r="B130" s="38"/>
      <c r="C130" s="40"/>
      <c r="D130" s="40"/>
      <c r="E130" s="40"/>
      <c r="F130" s="40"/>
      <c r="G130" s="40"/>
      <c r="H130" s="40"/>
      <c r="I130" s="40"/>
      <c r="J130" s="40"/>
      <c r="K130" s="41"/>
    </row>
    <row r="131" spans="2:11" x14ac:dyDescent="0.2">
      <c r="B131" s="38"/>
      <c r="C131" s="179" t="s">
        <v>267</v>
      </c>
      <c r="D131" s="40"/>
      <c r="E131" s="40"/>
      <c r="F131" s="40"/>
      <c r="G131" s="40"/>
      <c r="H131" s="40"/>
      <c r="I131" s="40"/>
      <c r="J131" s="245">
        <f>IF(OR(J125="Not Calculated",J127="Not Calculated")=TRUE,"Not Calculated",AVERAGE(J125,J127))</f>
        <v>0</v>
      </c>
      <c r="K131" s="41"/>
    </row>
    <row r="132" spans="2:11" x14ac:dyDescent="0.2">
      <c r="B132" s="38"/>
      <c r="C132" s="179"/>
      <c r="D132" s="40"/>
      <c r="E132" s="40"/>
      <c r="F132" s="40"/>
      <c r="G132" s="40"/>
      <c r="H132" s="40"/>
      <c r="I132" s="40"/>
      <c r="J132" s="245"/>
      <c r="K132" s="41"/>
    </row>
    <row r="133" spans="2:11" ht="18" x14ac:dyDescent="0.2">
      <c r="B133" s="38"/>
      <c r="C133" s="180" t="s">
        <v>269</v>
      </c>
      <c r="D133" s="40"/>
      <c r="E133" s="40"/>
      <c r="F133" s="40"/>
      <c r="G133" s="40"/>
      <c r="H133" s="40"/>
      <c r="I133" s="40"/>
      <c r="J133" s="244" t="str">
        <f>IF(OR(J40="Not Calculated",J59="Not Calculated",J78="Not Calculated",J97="Not Calculated",J116="Not Calculated",J131="Not Calculated",)=TRUE,"Not Calculated",AVERAGE(J40,J59,J78,J97,J116,J131))</f>
        <v>Not Calculated</v>
      </c>
      <c r="K133" s="41"/>
    </row>
    <row r="134" spans="2:11" ht="16" thickBot="1" x14ac:dyDescent="0.25">
      <c r="B134" s="46"/>
      <c r="C134" s="47"/>
      <c r="D134" s="47"/>
      <c r="E134" s="47"/>
      <c r="F134" s="47"/>
      <c r="G134" s="47"/>
      <c r="H134" s="47"/>
      <c r="I134" s="47"/>
      <c r="J134" s="47"/>
      <c r="K134" s="49"/>
    </row>
    <row r="135" spans="2:11" ht="16" thickBot="1" x14ac:dyDescent="0.25"/>
    <row r="136" spans="2:11" x14ac:dyDescent="0.2">
      <c r="B136" s="33"/>
      <c r="C136" s="34"/>
      <c r="D136" s="34"/>
      <c r="E136" s="34"/>
      <c r="F136" s="34"/>
      <c r="G136" s="34"/>
      <c r="H136" s="34"/>
      <c r="I136" s="34"/>
      <c r="J136" s="34"/>
      <c r="K136" s="37"/>
    </row>
    <row r="137" spans="2:11" ht="21" x14ac:dyDescent="0.25">
      <c r="B137" s="38"/>
      <c r="C137" s="171"/>
      <c r="D137" s="40"/>
      <c r="E137" s="40"/>
      <c r="F137" s="40"/>
      <c r="G137" s="172" t="s">
        <v>27</v>
      </c>
      <c r="H137" s="40"/>
      <c r="I137" s="40"/>
      <c r="J137" s="40"/>
      <c r="K137" s="41"/>
    </row>
    <row r="138" spans="2:11" x14ac:dyDescent="0.2">
      <c r="B138" s="38"/>
      <c r="C138" s="40"/>
      <c r="D138" s="40"/>
      <c r="E138" s="40"/>
      <c r="F138" s="40"/>
      <c r="G138" s="40"/>
      <c r="H138" s="40"/>
      <c r="I138" s="40"/>
      <c r="J138" s="40"/>
      <c r="K138" s="41"/>
    </row>
    <row r="139" spans="2:11" ht="16" x14ac:dyDescent="0.2">
      <c r="B139" s="38"/>
      <c r="C139" s="45" t="s">
        <v>72</v>
      </c>
      <c r="D139" s="40"/>
      <c r="E139" s="40"/>
      <c r="F139" s="40"/>
      <c r="G139" s="40"/>
      <c r="H139" s="40"/>
      <c r="I139" s="40"/>
      <c r="J139" s="40"/>
      <c r="K139" s="41"/>
    </row>
    <row r="140" spans="2:11" x14ac:dyDescent="0.2">
      <c r="B140" s="38"/>
      <c r="C140" s="40" t="s">
        <v>440</v>
      </c>
      <c r="D140" s="40"/>
      <c r="E140" s="40"/>
      <c r="F140" s="40"/>
      <c r="G140" s="40"/>
      <c r="H140" s="40"/>
      <c r="I140" s="40"/>
      <c r="J140" s="252">
        <f>'Baseline Health'!G45</f>
        <v>0</v>
      </c>
      <c r="K140" s="41"/>
    </row>
    <row r="141" spans="2:11" x14ac:dyDescent="0.2">
      <c r="B141" s="38"/>
      <c r="C141" s="40" t="s">
        <v>270</v>
      </c>
      <c r="D141" s="40"/>
      <c r="E141" s="40"/>
      <c r="F141" s="40"/>
      <c r="G141" s="40"/>
      <c r="H141" s="40"/>
      <c r="I141" s="40"/>
      <c r="J141" s="264">
        <v>0</v>
      </c>
      <c r="K141" s="41"/>
    </row>
    <row r="142" spans="2:11" x14ac:dyDescent="0.2">
      <c r="B142" s="38"/>
      <c r="C142" s="40" t="s">
        <v>439</v>
      </c>
      <c r="D142" s="40"/>
      <c r="E142" s="40"/>
      <c r="F142" s="40"/>
      <c r="G142" s="40"/>
      <c r="H142" s="40"/>
      <c r="I142" s="40"/>
      <c r="J142" s="251">
        <f>J83/20</f>
        <v>0</v>
      </c>
      <c r="K142" s="41"/>
    </row>
    <row r="143" spans="2:11" x14ac:dyDescent="0.2">
      <c r="B143" s="38"/>
      <c r="C143" s="40"/>
      <c r="D143" s="40" t="s">
        <v>351</v>
      </c>
      <c r="E143" s="40"/>
      <c r="F143" s="40"/>
      <c r="G143" s="40"/>
      <c r="H143" s="40"/>
      <c r="I143" s="40"/>
      <c r="J143" s="40"/>
      <c r="K143" s="41"/>
    </row>
    <row r="144" spans="2:11" x14ac:dyDescent="0.2">
      <c r="B144" s="38"/>
      <c r="C144" s="40" t="s">
        <v>260</v>
      </c>
      <c r="D144" s="40"/>
      <c r="E144" s="40"/>
      <c r="F144" s="40"/>
      <c r="G144" s="40"/>
      <c r="H144" s="40"/>
      <c r="I144" s="40"/>
      <c r="J144" s="245" t="str">
        <f>IF(OR(J140=0,J140="Not Calculated")=TRUE,"Not Calculated",IF((J140-J141)&lt;=0,4,IF(((J140+J142)/(J140-J141))&lt;=1,0,IF(((J140+J142)/(J140-J141))&lt;=1.05,1,IF(((J140+J142)/(J140-J141))&lt;=1.5, 2,IF(((J140+J142)/(J140-J141))&lt;=2,3,4))))))</f>
        <v>Not Calculated</v>
      </c>
      <c r="K144" s="41"/>
    </row>
    <row r="145" spans="2:14" ht="9.75" customHeight="1" x14ac:dyDescent="0.2">
      <c r="B145" s="38"/>
      <c r="C145" s="279" t="str">
        <f>"0:"</f>
        <v>0:</v>
      </c>
      <c r="D145" s="278" t="s">
        <v>918</v>
      </c>
      <c r="E145" s="40"/>
      <c r="F145" s="40"/>
      <c r="G145" s="40"/>
      <c r="H145" s="40"/>
      <c r="I145" s="40"/>
      <c r="J145" s="40"/>
      <c r="K145" s="41"/>
    </row>
    <row r="146" spans="2:14" ht="9.75" customHeight="1" x14ac:dyDescent="0.2">
      <c r="B146" s="38"/>
      <c r="C146" s="280" t="str">
        <f>"1:"</f>
        <v>1:</v>
      </c>
      <c r="D146" s="278" t="s">
        <v>923</v>
      </c>
      <c r="E146" s="40"/>
      <c r="F146" s="40"/>
      <c r="G146" s="40"/>
      <c r="H146" s="40"/>
      <c r="I146" s="40"/>
      <c r="J146" s="40"/>
      <c r="K146" s="41"/>
    </row>
    <row r="147" spans="2:14" ht="9.75" customHeight="1" x14ac:dyDescent="0.2">
      <c r="B147" s="38"/>
      <c r="C147" s="280" t="str">
        <f>"2:"</f>
        <v>2:</v>
      </c>
      <c r="D147" s="278" t="s">
        <v>924</v>
      </c>
      <c r="E147" s="40"/>
      <c r="F147" s="40"/>
      <c r="G147" s="40"/>
      <c r="H147" s="40"/>
      <c r="I147" s="40"/>
      <c r="J147" s="40"/>
      <c r="K147" s="41"/>
    </row>
    <row r="148" spans="2:14" ht="9.75" customHeight="1" x14ac:dyDescent="0.2">
      <c r="B148" s="38"/>
      <c r="C148" s="280" t="str">
        <f>"3:"</f>
        <v>3:</v>
      </c>
      <c r="D148" s="278" t="s">
        <v>925</v>
      </c>
      <c r="E148" s="40"/>
      <c r="F148" s="40"/>
      <c r="G148" s="40"/>
      <c r="H148" s="40"/>
      <c r="I148" s="40"/>
      <c r="J148" s="40"/>
      <c r="K148" s="41"/>
    </row>
    <row r="149" spans="2:14" ht="9.75" customHeight="1" x14ac:dyDescent="0.2">
      <c r="B149" s="38"/>
      <c r="C149" s="280" t="str">
        <f>"4:"</f>
        <v>4:</v>
      </c>
      <c r="D149" s="278" t="s">
        <v>926</v>
      </c>
      <c r="E149" s="40"/>
      <c r="F149" s="40"/>
      <c r="G149" s="40"/>
      <c r="H149" s="40"/>
      <c r="I149" s="40"/>
      <c r="J149" s="40"/>
      <c r="K149" s="41"/>
      <c r="N149" s="12" t="s">
        <v>661</v>
      </c>
    </row>
    <row r="150" spans="2:14" x14ac:dyDescent="0.2">
      <c r="B150" s="38"/>
      <c r="C150" s="174" t="s">
        <v>662</v>
      </c>
      <c r="D150" s="40"/>
      <c r="E150" s="40"/>
      <c r="F150" s="40"/>
      <c r="G150" s="40"/>
      <c r="H150" s="40"/>
      <c r="I150" s="40"/>
      <c r="J150" s="265" t="s">
        <v>661</v>
      </c>
      <c r="K150" s="41"/>
      <c r="N150" s="12" t="s">
        <v>894</v>
      </c>
    </row>
    <row r="151" spans="2:14" x14ac:dyDescent="0.2">
      <c r="B151" s="38"/>
      <c r="C151" s="174" t="s">
        <v>660</v>
      </c>
      <c r="D151" s="40"/>
      <c r="E151" s="40"/>
      <c r="F151" s="40"/>
      <c r="G151" s="40"/>
      <c r="H151" s="40"/>
      <c r="I151" s="40"/>
      <c r="J151" s="246" t="str">
        <f>IF(J150=N149,"N/A",IF(J150=N150,0,IF(J150=N151,1,IF(J150=N152,2,IF(J150=N153,3,IF(J150=N154,4,"N/A"))))))</f>
        <v>N/A</v>
      </c>
      <c r="K151" s="41"/>
      <c r="N151" s="12" t="s">
        <v>899</v>
      </c>
    </row>
    <row r="152" spans="2:14" x14ac:dyDescent="0.2">
      <c r="B152" s="38"/>
      <c r="C152" s="40" t="s">
        <v>257</v>
      </c>
      <c r="D152" s="40"/>
      <c r="E152" s="40"/>
      <c r="F152" s="40"/>
      <c r="G152" s="40"/>
      <c r="H152" s="40"/>
      <c r="I152" s="40"/>
      <c r="J152" s="266" t="s">
        <v>870</v>
      </c>
      <c r="K152" s="41"/>
      <c r="N152" s="12" t="s">
        <v>900</v>
      </c>
    </row>
    <row r="153" spans="2:14" x14ac:dyDescent="0.2">
      <c r="B153" s="38"/>
      <c r="C153" s="40" t="s">
        <v>261</v>
      </c>
      <c r="D153" s="40"/>
      <c r="E153" s="40"/>
      <c r="F153" s="40"/>
      <c r="G153" s="40"/>
      <c r="H153" s="40"/>
      <c r="I153" s="40"/>
      <c r="J153" s="245">
        <f>IF(J152=$B$973,$A$973,IF(J152=$B$974,$A$974,IF(J152=$B$975,$A$975,IF(J152=$B$976,$A$976,IF(J152=$B$977,$A$977,"Not Calculated")))))</f>
        <v>0</v>
      </c>
      <c r="K153" s="41"/>
      <c r="N153" s="12" t="s">
        <v>901</v>
      </c>
    </row>
    <row r="154" spans="2:14" x14ac:dyDescent="0.2">
      <c r="B154" s="38"/>
      <c r="C154" s="40" t="s">
        <v>893</v>
      </c>
      <c r="D154" s="40"/>
      <c r="E154" s="40"/>
      <c r="F154" s="40"/>
      <c r="G154" s="40"/>
      <c r="H154" s="40"/>
      <c r="I154" s="40"/>
      <c r="J154" s="40"/>
      <c r="K154" s="41"/>
      <c r="N154" s="12" t="s">
        <v>902</v>
      </c>
    </row>
    <row r="155" spans="2:14" ht="30" customHeight="1" x14ac:dyDescent="0.2">
      <c r="B155" s="38"/>
      <c r="C155" s="399"/>
      <c r="D155" s="400"/>
      <c r="E155" s="400"/>
      <c r="F155" s="400"/>
      <c r="G155" s="400"/>
      <c r="H155" s="400"/>
      <c r="I155" s="400"/>
      <c r="J155" s="401"/>
      <c r="K155" s="41"/>
    </row>
    <row r="156" spans="2:14" x14ac:dyDescent="0.2">
      <c r="B156" s="38"/>
      <c r="C156" s="40"/>
      <c r="D156" s="40"/>
      <c r="E156" s="40"/>
      <c r="F156" s="40"/>
      <c r="G156" s="40"/>
      <c r="H156" s="40"/>
      <c r="I156" s="40"/>
      <c r="J156" s="40"/>
      <c r="K156" s="41"/>
    </row>
    <row r="157" spans="2:14" x14ac:dyDescent="0.2">
      <c r="B157" s="38"/>
      <c r="C157" s="179" t="s">
        <v>271</v>
      </c>
      <c r="D157" s="40"/>
      <c r="E157" s="40"/>
      <c r="F157" s="40"/>
      <c r="G157" s="40"/>
      <c r="H157" s="40"/>
      <c r="I157" s="40"/>
      <c r="J157" s="245" t="str">
        <f>IF(J151="N/A",IF(OR(J144="Not Calculated",J153="Not Calculated")=TRUE,"Not Calculated",AVERAGE(J144,J153)),AVERAGE(J151,J153))</f>
        <v>Not Calculated</v>
      </c>
      <c r="K157" s="41"/>
    </row>
    <row r="158" spans="2:14" x14ac:dyDescent="0.2">
      <c r="B158" s="38"/>
      <c r="C158" s="40"/>
      <c r="D158" s="40"/>
      <c r="E158" s="40"/>
      <c r="F158" s="40"/>
      <c r="G158" s="40"/>
      <c r="H158" s="40"/>
      <c r="I158" s="40"/>
      <c r="J158" s="40"/>
      <c r="K158" s="41"/>
    </row>
    <row r="159" spans="2:14" x14ac:dyDescent="0.2">
      <c r="B159" s="38"/>
      <c r="C159" s="40"/>
      <c r="D159" s="40"/>
      <c r="E159" s="40"/>
      <c r="F159" s="40"/>
      <c r="G159" s="40"/>
      <c r="H159" s="40"/>
      <c r="I159" s="40"/>
      <c r="J159" s="40"/>
      <c r="K159" s="41"/>
    </row>
    <row r="160" spans="2:14" ht="16" x14ac:dyDescent="0.2">
      <c r="B160" s="38"/>
      <c r="C160" s="45" t="s">
        <v>273</v>
      </c>
      <c r="D160" s="40"/>
      <c r="E160" s="40"/>
      <c r="F160" s="40"/>
      <c r="G160" s="40"/>
      <c r="H160" s="40"/>
      <c r="I160" s="40"/>
      <c r="J160" s="40"/>
      <c r="K160" s="41"/>
    </row>
    <row r="161" spans="2:14" x14ac:dyDescent="0.2">
      <c r="B161" s="38"/>
      <c r="C161" s="40" t="s">
        <v>441</v>
      </c>
      <c r="D161" s="40"/>
      <c r="E161" s="40"/>
      <c r="F161" s="40"/>
      <c r="G161" s="40"/>
      <c r="H161" s="40"/>
      <c r="I161" s="40"/>
      <c r="J161" s="252">
        <f>'Baseline Health'!G51</f>
        <v>0</v>
      </c>
      <c r="K161" s="41"/>
    </row>
    <row r="162" spans="2:14" x14ac:dyDescent="0.2">
      <c r="B162" s="38"/>
      <c r="C162" s="40" t="s">
        <v>280</v>
      </c>
      <c r="D162" s="40"/>
      <c r="E162" s="40"/>
      <c r="F162" s="40"/>
      <c r="G162" s="40"/>
      <c r="H162" s="40"/>
      <c r="I162" s="40"/>
      <c r="J162" s="264">
        <v>0</v>
      </c>
      <c r="K162" s="41"/>
    </row>
    <row r="163" spans="2:14" x14ac:dyDescent="0.2">
      <c r="B163" s="38"/>
      <c r="C163" s="40" t="s">
        <v>442</v>
      </c>
      <c r="D163" s="40"/>
      <c r="E163" s="40"/>
      <c r="F163" s="40"/>
      <c r="G163" s="40"/>
      <c r="H163" s="40"/>
      <c r="I163" s="40"/>
      <c r="J163" s="251">
        <f>(J64)/4.5</f>
        <v>0</v>
      </c>
      <c r="K163" s="41"/>
    </row>
    <row r="164" spans="2:14" x14ac:dyDescent="0.2">
      <c r="B164" s="38"/>
      <c r="C164" s="40"/>
      <c r="D164" s="40" t="s">
        <v>353</v>
      </c>
      <c r="E164" s="40"/>
      <c r="F164" s="40"/>
      <c r="G164" s="40"/>
      <c r="H164" s="40"/>
      <c r="I164" s="40"/>
      <c r="J164" s="40"/>
      <c r="K164" s="41"/>
    </row>
    <row r="165" spans="2:14" x14ac:dyDescent="0.2">
      <c r="B165" s="38"/>
      <c r="C165" s="40" t="s">
        <v>260</v>
      </c>
      <c r="D165" s="40"/>
      <c r="E165" s="40"/>
      <c r="F165" s="40"/>
      <c r="G165" s="40"/>
      <c r="H165" s="40"/>
      <c r="I165" s="40"/>
      <c r="J165" s="245" t="str">
        <f>IF(OR(J161=0,J161="Not Calculated")=TRUE,"Not Calculated",IF((J161-J162)&lt;=0,4,IF(((J161+J163)/(J161-J162))&lt;=1,0,IF(((J161+J163)/(J161-J162))&lt;=1.05,1,IF(((J161+J163)/(J161-J162))&lt;=1.5, 2,IF(((J161+J163)/(J161-J162))&lt;=2,3,4))))))</f>
        <v>Not Calculated</v>
      </c>
      <c r="K165" s="41"/>
    </row>
    <row r="166" spans="2:14" ht="9.75" customHeight="1" x14ac:dyDescent="0.2">
      <c r="B166" s="38"/>
      <c r="C166" s="279" t="str">
        <f>"0:"</f>
        <v>0:</v>
      </c>
      <c r="D166" s="278" t="s">
        <v>918</v>
      </c>
      <c r="E166" s="40"/>
      <c r="F166" s="40"/>
      <c r="G166" s="40"/>
      <c r="H166" s="40"/>
      <c r="I166" s="40"/>
      <c r="J166" s="40"/>
      <c r="K166" s="41"/>
    </row>
    <row r="167" spans="2:14" ht="9.75" customHeight="1" x14ac:dyDescent="0.2">
      <c r="B167" s="38"/>
      <c r="C167" s="280" t="str">
        <f>"1:"</f>
        <v>1:</v>
      </c>
      <c r="D167" s="278" t="s">
        <v>923</v>
      </c>
      <c r="E167" s="40"/>
      <c r="F167" s="40"/>
      <c r="G167" s="40"/>
      <c r="H167" s="40"/>
      <c r="I167" s="40"/>
      <c r="J167" s="40"/>
      <c r="K167" s="41"/>
    </row>
    <row r="168" spans="2:14" ht="9.75" customHeight="1" x14ac:dyDescent="0.2">
      <c r="B168" s="38"/>
      <c r="C168" s="280" t="str">
        <f>"2:"</f>
        <v>2:</v>
      </c>
      <c r="D168" s="278" t="s">
        <v>924</v>
      </c>
      <c r="E168" s="40"/>
      <c r="F168" s="40"/>
      <c r="G168" s="40"/>
      <c r="H168" s="40"/>
      <c r="I168" s="40"/>
      <c r="J168" s="40"/>
      <c r="K168" s="41"/>
    </row>
    <row r="169" spans="2:14" ht="9.75" customHeight="1" x14ac:dyDescent="0.2">
      <c r="B169" s="38"/>
      <c r="C169" s="280" t="str">
        <f>"3:"</f>
        <v>3:</v>
      </c>
      <c r="D169" s="278" t="s">
        <v>925</v>
      </c>
      <c r="E169" s="40"/>
      <c r="F169" s="40"/>
      <c r="G169" s="40"/>
      <c r="H169" s="40"/>
      <c r="I169" s="40"/>
      <c r="J169" s="40"/>
      <c r="K169" s="41"/>
    </row>
    <row r="170" spans="2:14" ht="9.75" customHeight="1" x14ac:dyDescent="0.2">
      <c r="B170" s="38"/>
      <c r="C170" s="280" t="str">
        <f>"4:"</f>
        <v>4:</v>
      </c>
      <c r="D170" s="278" t="s">
        <v>926</v>
      </c>
      <c r="E170" s="40"/>
      <c r="F170" s="40"/>
      <c r="G170" s="40"/>
      <c r="H170" s="40"/>
      <c r="I170" s="40"/>
      <c r="J170" s="40"/>
      <c r="K170" s="41"/>
      <c r="N170" s="12" t="s">
        <v>661</v>
      </c>
    </row>
    <row r="171" spans="2:14" x14ac:dyDescent="0.2">
      <c r="B171" s="38"/>
      <c r="C171" s="174" t="s">
        <v>662</v>
      </c>
      <c r="D171" s="40"/>
      <c r="E171" s="40"/>
      <c r="F171" s="40"/>
      <c r="G171" s="40"/>
      <c r="H171" s="40"/>
      <c r="I171" s="40"/>
      <c r="J171" s="265" t="s">
        <v>661</v>
      </c>
      <c r="K171" s="41"/>
      <c r="N171" s="12" t="s">
        <v>894</v>
      </c>
    </row>
    <row r="172" spans="2:14" x14ac:dyDescent="0.2">
      <c r="B172" s="38"/>
      <c r="C172" s="174" t="s">
        <v>660</v>
      </c>
      <c r="D172" s="40"/>
      <c r="E172" s="40"/>
      <c r="F172" s="40"/>
      <c r="G172" s="40"/>
      <c r="H172" s="40"/>
      <c r="I172" s="40"/>
      <c r="J172" s="246" t="str">
        <f>IF(J171=N170,"N/A",IF(J171=N171,0,IF(J171=N172,1,IF(J171=N173,2,IF(J171=N174,3,IF(J171=N175,4,"N/A"))))))</f>
        <v>N/A</v>
      </c>
      <c r="K172" s="41"/>
      <c r="N172" s="12" t="s">
        <v>899</v>
      </c>
    </row>
    <row r="173" spans="2:14" x14ac:dyDescent="0.2">
      <c r="B173" s="38"/>
      <c r="C173" s="40" t="s">
        <v>257</v>
      </c>
      <c r="D173" s="40"/>
      <c r="E173" s="40"/>
      <c r="F173" s="40"/>
      <c r="G173" s="40"/>
      <c r="H173" s="40"/>
      <c r="I173" s="40"/>
      <c r="J173" s="266" t="s">
        <v>870</v>
      </c>
      <c r="K173" s="41"/>
      <c r="N173" s="12" t="s">
        <v>900</v>
      </c>
    </row>
    <row r="174" spans="2:14" x14ac:dyDescent="0.2">
      <c r="B174" s="38"/>
      <c r="C174" s="40" t="s">
        <v>261</v>
      </c>
      <c r="D174" s="40"/>
      <c r="E174" s="40"/>
      <c r="F174" s="40"/>
      <c r="G174" s="40"/>
      <c r="H174" s="40"/>
      <c r="I174" s="40"/>
      <c r="J174" s="245">
        <f>IF(J173=$B$973,$A$973,IF(J173=$B$974,$A$974,IF(J173=$B$975,$A$975,IF(J173=$B$976,$A$976,IF(J173=$B$977,$A$977,"Not Calculated")))))</f>
        <v>0</v>
      </c>
      <c r="K174" s="41"/>
      <c r="N174" s="12" t="s">
        <v>901</v>
      </c>
    </row>
    <row r="175" spans="2:14" x14ac:dyDescent="0.2">
      <c r="B175" s="38"/>
      <c r="C175" s="40" t="s">
        <v>893</v>
      </c>
      <c r="D175" s="40"/>
      <c r="E175" s="40"/>
      <c r="F175" s="40"/>
      <c r="G175" s="40"/>
      <c r="H175" s="40"/>
      <c r="I175" s="40"/>
      <c r="J175" s="40"/>
      <c r="K175" s="41"/>
      <c r="N175" s="12" t="s">
        <v>902</v>
      </c>
    </row>
    <row r="176" spans="2:14" ht="30" customHeight="1" x14ac:dyDescent="0.2">
      <c r="B176" s="38"/>
      <c r="C176" s="399"/>
      <c r="D176" s="400"/>
      <c r="E176" s="400"/>
      <c r="F176" s="400"/>
      <c r="G176" s="400"/>
      <c r="H176" s="400"/>
      <c r="I176" s="400"/>
      <c r="J176" s="401"/>
      <c r="K176" s="41"/>
    </row>
    <row r="177" spans="2:14" x14ac:dyDescent="0.2">
      <c r="B177" s="38"/>
      <c r="C177" s="40"/>
      <c r="D177" s="40"/>
      <c r="E177" s="40"/>
      <c r="F177" s="40"/>
      <c r="G177" s="40"/>
      <c r="H177" s="40"/>
      <c r="I177" s="40"/>
      <c r="J177" s="40"/>
      <c r="K177" s="41"/>
    </row>
    <row r="178" spans="2:14" x14ac:dyDescent="0.2">
      <c r="B178" s="38"/>
      <c r="C178" s="179" t="s">
        <v>274</v>
      </c>
      <c r="D178" s="40"/>
      <c r="E178" s="40"/>
      <c r="F178" s="40"/>
      <c r="G178" s="40"/>
      <c r="H178" s="40"/>
      <c r="I178" s="40"/>
      <c r="J178" s="245" t="str">
        <f>IF(J172="N/A",IF(OR(J165="Not Calculated",J174="Not Calculated")=TRUE,"Not Calculated",AVERAGE(J165,J174)),AVERAGE(J172,J174))</f>
        <v>Not Calculated</v>
      </c>
      <c r="K178" s="41"/>
    </row>
    <row r="179" spans="2:14" x14ac:dyDescent="0.2">
      <c r="B179" s="38"/>
      <c r="C179" s="40"/>
      <c r="D179" s="40"/>
      <c r="E179" s="40"/>
      <c r="F179" s="40"/>
      <c r="G179" s="40"/>
      <c r="H179" s="40"/>
      <c r="I179" s="40"/>
      <c r="J179" s="40"/>
      <c r="K179" s="41"/>
    </row>
    <row r="180" spans="2:14" x14ac:dyDescent="0.2">
      <c r="B180" s="38"/>
      <c r="C180" s="40"/>
      <c r="D180" s="40"/>
      <c r="E180" s="40"/>
      <c r="F180" s="40"/>
      <c r="G180" s="40"/>
      <c r="H180" s="40"/>
      <c r="I180" s="40"/>
      <c r="J180" s="40"/>
      <c r="K180" s="41"/>
    </row>
    <row r="181" spans="2:14" ht="16" x14ac:dyDescent="0.2">
      <c r="B181" s="38"/>
      <c r="C181" s="45" t="s">
        <v>74</v>
      </c>
      <c r="D181" s="40"/>
      <c r="E181" s="40"/>
      <c r="F181" s="40"/>
      <c r="G181" s="40"/>
      <c r="H181" s="40"/>
      <c r="I181" s="40"/>
      <c r="J181" s="40"/>
      <c r="K181" s="41"/>
    </row>
    <row r="182" spans="2:14" x14ac:dyDescent="0.2">
      <c r="B182" s="38"/>
      <c r="C182" s="40" t="s">
        <v>443</v>
      </c>
      <c r="D182" s="40"/>
      <c r="E182" s="40"/>
      <c r="F182" s="40"/>
      <c r="G182" s="40"/>
      <c r="H182" s="40"/>
      <c r="I182" s="40"/>
      <c r="J182" s="252">
        <f>'Baseline Health'!G59</f>
        <v>0</v>
      </c>
      <c r="K182" s="41"/>
    </row>
    <row r="183" spans="2:14" x14ac:dyDescent="0.2">
      <c r="B183" s="38"/>
      <c r="C183" s="40" t="s">
        <v>281</v>
      </c>
      <c r="D183" s="40"/>
      <c r="E183" s="40"/>
      <c r="F183" s="40"/>
      <c r="G183" s="40"/>
      <c r="H183" s="40"/>
      <c r="I183" s="40"/>
      <c r="J183" s="264">
        <v>0</v>
      </c>
      <c r="K183" s="41"/>
    </row>
    <row r="184" spans="2:14" x14ac:dyDescent="0.2">
      <c r="B184" s="38"/>
      <c r="C184" s="40" t="s">
        <v>354</v>
      </c>
      <c r="D184" s="40"/>
      <c r="E184" s="40"/>
      <c r="F184" s="40"/>
      <c r="G184" s="40"/>
      <c r="H184" s="40"/>
      <c r="I184" s="40"/>
      <c r="J184" s="264">
        <v>0</v>
      </c>
      <c r="K184" s="41"/>
    </row>
    <row r="185" spans="2:14" x14ac:dyDescent="0.2">
      <c r="B185" s="38"/>
      <c r="C185" s="40" t="s">
        <v>260</v>
      </c>
      <c r="D185" s="40"/>
      <c r="E185" s="40"/>
      <c r="F185" s="40"/>
      <c r="G185" s="40"/>
      <c r="H185" s="40"/>
      <c r="I185" s="40"/>
      <c r="J185" s="245" t="str">
        <f>IF(OR(J182=0,J182="Not Calculated")=TRUE,"Not Calculated",IF(J182-J183=0,4,IF(((J182+J184)/(J182-J183))&lt;=1,0,IF(((J182+J184)/(J182-J183))&lt;=1.05,1,IF(((J182+J184)/(J182-J183))&lt;=1.5, 2,IF(((J182+J184)/(J182-J183))&lt;=2,3,4))))))</f>
        <v>Not Calculated</v>
      </c>
      <c r="K185" s="41"/>
    </row>
    <row r="186" spans="2:14" ht="9.75" customHeight="1" x14ac:dyDescent="0.2">
      <c r="B186" s="38"/>
      <c r="C186" s="279" t="str">
        <f>"0:"</f>
        <v>0:</v>
      </c>
      <c r="D186" s="278" t="s">
        <v>918</v>
      </c>
      <c r="E186" s="40"/>
      <c r="F186" s="40"/>
      <c r="G186" s="40"/>
      <c r="H186" s="40"/>
      <c r="I186" s="40"/>
      <c r="J186" s="40"/>
      <c r="K186" s="41"/>
    </row>
    <row r="187" spans="2:14" ht="9.75" customHeight="1" x14ac:dyDescent="0.2">
      <c r="B187" s="38"/>
      <c r="C187" s="280" t="str">
        <f>"1:"</f>
        <v>1:</v>
      </c>
      <c r="D187" s="278" t="s">
        <v>923</v>
      </c>
      <c r="E187" s="40"/>
      <c r="F187" s="40"/>
      <c r="G187" s="40"/>
      <c r="H187" s="40"/>
      <c r="I187" s="40"/>
      <c r="J187" s="40"/>
      <c r="K187" s="41"/>
    </row>
    <row r="188" spans="2:14" ht="9.75" customHeight="1" x14ac:dyDescent="0.2">
      <c r="B188" s="38"/>
      <c r="C188" s="280" t="str">
        <f>"2:"</f>
        <v>2:</v>
      </c>
      <c r="D188" s="278" t="s">
        <v>924</v>
      </c>
      <c r="E188" s="40"/>
      <c r="F188" s="40"/>
      <c r="G188" s="40"/>
      <c r="H188" s="40"/>
      <c r="I188" s="40"/>
      <c r="J188" s="40"/>
      <c r="K188" s="41"/>
    </row>
    <row r="189" spans="2:14" ht="9.75" customHeight="1" x14ac:dyDescent="0.2">
      <c r="B189" s="38"/>
      <c r="C189" s="280" t="str">
        <f>"3:"</f>
        <v>3:</v>
      </c>
      <c r="D189" s="278" t="s">
        <v>925</v>
      </c>
      <c r="E189" s="40"/>
      <c r="F189" s="40"/>
      <c r="G189" s="40"/>
      <c r="H189" s="40"/>
      <c r="I189" s="40"/>
      <c r="J189" s="40"/>
      <c r="K189" s="41"/>
    </row>
    <row r="190" spans="2:14" ht="9.75" customHeight="1" x14ac:dyDescent="0.2">
      <c r="B190" s="38"/>
      <c r="C190" s="280" t="str">
        <f>"4:"</f>
        <v>4:</v>
      </c>
      <c r="D190" s="278" t="s">
        <v>926</v>
      </c>
      <c r="E190" s="40"/>
      <c r="F190" s="40"/>
      <c r="G190" s="40"/>
      <c r="H190" s="40"/>
      <c r="I190" s="40"/>
      <c r="J190" s="40"/>
      <c r="K190" s="41"/>
      <c r="N190" s="12" t="s">
        <v>661</v>
      </c>
    </row>
    <row r="191" spans="2:14" x14ac:dyDescent="0.2">
      <c r="B191" s="38"/>
      <c r="C191" s="174" t="s">
        <v>662</v>
      </c>
      <c r="D191" s="40"/>
      <c r="E191" s="40"/>
      <c r="F191" s="40"/>
      <c r="G191" s="40"/>
      <c r="H191" s="40"/>
      <c r="I191" s="40"/>
      <c r="J191" s="265" t="s">
        <v>661</v>
      </c>
      <c r="K191" s="41"/>
      <c r="N191" s="12" t="s">
        <v>894</v>
      </c>
    </row>
    <row r="192" spans="2:14" x14ac:dyDescent="0.2">
      <c r="B192" s="38"/>
      <c r="C192" s="174" t="s">
        <v>660</v>
      </c>
      <c r="D192" s="40"/>
      <c r="E192" s="40"/>
      <c r="F192" s="40"/>
      <c r="G192" s="40"/>
      <c r="H192" s="40"/>
      <c r="I192" s="40"/>
      <c r="J192" s="246" t="str">
        <f>IF(J191=N190,"N/A",IF(J191=N191,0,IF(J191=N192,1,IF(J191=N193,2,IF(J191=N194,3,IF(J191=N195,4,"N/A"))))))</f>
        <v>N/A</v>
      </c>
      <c r="K192" s="41"/>
      <c r="N192" s="12" t="s">
        <v>899</v>
      </c>
    </row>
    <row r="193" spans="2:14" x14ac:dyDescent="0.2">
      <c r="B193" s="38"/>
      <c r="C193" s="40" t="s">
        <v>257</v>
      </c>
      <c r="D193" s="40"/>
      <c r="E193" s="40"/>
      <c r="F193" s="40"/>
      <c r="G193" s="40"/>
      <c r="H193" s="40"/>
      <c r="I193" s="40"/>
      <c r="J193" s="266" t="s">
        <v>870</v>
      </c>
      <c r="K193" s="41"/>
      <c r="N193" s="12" t="s">
        <v>900</v>
      </c>
    </row>
    <row r="194" spans="2:14" x14ac:dyDescent="0.2">
      <c r="B194" s="38"/>
      <c r="C194" s="40" t="s">
        <v>261</v>
      </c>
      <c r="D194" s="40"/>
      <c r="E194" s="40"/>
      <c r="F194" s="40"/>
      <c r="G194" s="40"/>
      <c r="H194" s="40"/>
      <c r="I194" s="40"/>
      <c r="J194" s="245">
        <f>IF(J193=$B$973,$A$973,IF(J193=$B$974,$A$974,IF(J193=$B$975,$A$975,IF(J193=$B$976,$A$976,IF(J193=$B$977,$A$977,"Not Calculated")))))</f>
        <v>0</v>
      </c>
      <c r="K194" s="41"/>
      <c r="N194" s="12" t="s">
        <v>901</v>
      </c>
    </row>
    <row r="195" spans="2:14" x14ac:dyDescent="0.2">
      <c r="B195" s="38"/>
      <c r="C195" s="40" t="s">
        <v>893</v>
      </c>
      <c r="D195" s="40"/>
      <c r="E195" s="40"/>
      <c r="F195" s="40"/>
      <c r="G195" s="40"/>
      <c r="H195" s="40"/>
      <c r="I195" s="40"/>
      <c r="J195" s="40"/>
      <c r="K195" s="41"/>
      <c r="N195" s="12" t="s">
        <v>902</v>
      </c>
    </row>
    <row r="196" spans="2:14" ht="30" customHeight="1" x14ac:dyDescent="0.2">
      <c r="B196" s="38"/>
      <c r="C196" s="399" t="s">
        <v>767</v>
      </c>
      <c r="D196" s="400"/>
      <c r="E196" s="400"/>
      <c r="F196" s="400"/>
      <c r="G196" s="400"/>
      <c r="H196" s="400"/>
      <c r="I196" s="400"/>
      <c r="J196" s="401"/>
      <c r="K196" s="41"/>
    </row>
    <row r="197" spans="2:14" x14ac:dyDescent="0.2">
      <c r="B197" s="38"/>
      <c r="C197" s="40"/>
      <c r="D197" s="40"/>
      <c r="E197" s="40"/>
      <c r="F197" s="40"/>
      <c r="G197" s="40"/>
      <c r="H197" s="40"/>
      <c r="I197" s="40"/>
      <c r="J197" s="40"/>
      <c r="K197" s="41"/>
    </row>
    <row r="198" spans="2:14" x14ac:dyDescent="0.2">
      <c r="B198" s="38"/>
      <c r="C198" s="179" t="s">
        <v>275</v>
      </c>
      <c r="D198" s="40"/>
      <c r="E198" s="40"/>
      <c r="F198" s="40"/>
      <c r="G198" s="40"/>
      <c r="H198" s="40"/>
      <c r="I198" s="40"/>
      <c r="J198" s="245" t="str">
        <f>IF(J192="N/A",IF(OR(J185="Not Calculated",J194="Not Calculated")=TRUE,"Not Calculated",AVERAGE(J185,J194)),AVERAGE(J192,J194))</f>
        <v>Not Calculated</v>
      </c>
      <c r="K198" s="41"/>
    </row>
    <row r="199" spans="2:14" x14ac:dyDescent="0.2">
      <c r="B199" s="38"/>
      <c r="C199" s="40"/>
      <c r="D199" s="40"/>
      <c r="E199" s="40"/>
      <c r="F199" s="40"/>
      <c r="G199" s="40"/>
      <c r="H199" s="40"/>
      <c r="I199" s="40"/>
      <c r="J199" s="40"/>
      <c r="K199" s="41"/>
    </row>
    <row r="200" spans="2:14" x14ac:dyDescent="0.2">
      <c r="B200" s="38"/>
      <c r="C200" s="40"/>
      <c r="D200" s="40"/>
      <c r="E200" s="40"/>
      <c r="F200" s="40"/>
      <c r="G200" s="40"/>
      <c r="H200" s="40"/>
      <c r="I200" s="40"/>
      <c r="J200" s="40"/>
      <c r="K200" s="41"/>
    </row>
    <row r="201" spans="2:14" ht="16" x14ac:dyDescent="0.2">
      <c r="B201" s="38"/>
      <c r="C201" s="45" t="s">
        <v>75</v>
      </c>
      <c r="D201" s="40"/>
      <c r="E201" s="40"/>
      <c r="F201" s="40"/>
      <c r="G201" s="40"/>
      <c r="H201" s="40"/>
      <c r="I201" s="40"/>
      <c r="J201" s="40"/>
      <c r="K201" s="41"/>
    </row>
    <row r="202" spans="2:14" x14ac:dyDescent="0.2">
      <c r="B202" s="38"/>
      <c r="C202" s="40" t="s">
        <v>444</v>
      </c>
      <c r="D202" s="40"/>
      <c r="E202" s="40"/>
      <c r="F202" s="40"/>
      <c r="G202" s="40"/>
      <c r="H202" s="40"/>
      <c r="I202" s="40"/>
      <c r="J202" s="252">
        <f>'Baseline Health'!G65</f>
        <v>0</v>
      </c>
      <c r="K202" s="41"/>
    </row>
    <row r="203" spans="2:14" x14ac:dyDescent="0.2">
      <c r="B203" s="38"/>
      <c r="C203" s="40" t="s">
        <v>282</v>
      </c>
      <c r="D203" s="40"/>
      <c r="E203" s="40"/>
      <c r="F203" s="40"/>
      <c r="G203" s="40"/>
      <c r="H203" s="40"/>
      <c r="I203" s="40"/>
      <c r="J203" s="264">
        <v>0</v>
      </c>
      <c r="K203" s="41"/>
    </row>
    <row r="204" spans="2:14" x14ac:dyDescent="0.2">
      <c r="B204" s="38"/>
      <c r="C204" s="40" t="s">
        <v>355</v>
      </c>
      <c r="D204" s="40"/>
      <c r="E204" s="40"/>
      <c r="F204" s="40"/>
      <c r="G204" s="40"/>
      <c r="H204" s="40"/>
      <c r="I204" s="40"/>
      <c r="J204" s="264">
        <v>0</v>
      </c>
      <c r="K204" s="41"/>
    </row>
    <row r="205" spans="2:14" x14ac:dyDescent="0.2">
      <c r="B205" s="38"/>
      <c r="C205" s="40" t="s">
        <v>260</v>
      </c>
      <c r="D205" s="40"/>
      <c r="E205" s="40"/>
      <c r="F205" s="40"/>
      <c r="G205" s="40"/>
      <c r="H205" s="40"/>
      <c r="I205" s="40"/>
      <c r="J205" s="245" t="str">
        <f>IF(OR(J202=0,J202="Not Calculated")=TRUE,"Not Calculated",IF(J202-J203=0,4,IF(((J202+J204)/(J202-J203))&lt;=1,0,IF(((J202+J204)/(J202-J203))&lt;=1.05,1,IF(((J202+J204)/(J202-J203))&lt;=1.5, 2,IF(((J202+J204)/(J202-J203))&lt;=2,3,4))))))</f>
        <v>Not Calculated</v>
      </c>
      <c r="K205" s="41"/>
    </row>
    <row r="206" spans="2:14" ht="9.75" customHeight="1" x14ac:dyDescent="0.2">
      <c r="B206" s="38"/>
      <c r="C206" s="279" t="str">
        <f>"0:"</f>
        <v>0:</v>
      </c>
      <c r="D206" s="278" t="s">
        <v>918</v>
      </c>
      <c r="E206" s="40"/>
      <c r="F206" s="40"/>
      <c r="G206" s="40"/>
      <c r="H206" s="40"/>
      <c r="I206" s="40"/>
      <c r="J206" s="40"/>
      <c r="K206" s="41"/>
    </row>
    <row r="207" spans="2:14" ht="9.75" customHeight="1" x14ac:dyDescent="0.2">
      <c r="B207" s="38"/>
      <c r="C207" s="280" t="str">
        <f>"1:"</f>
        <v>1:</v>
      </c>
      <c r="D207" s="278" t="s">
        <v>923</v>
      </c>
      <c r="E207" s="40"/>
      <c r="F207" s="40"/>
      <c r="G207" s="40"/>
      <c r="H207" s="40"/>
      <c r="I207" s="40"/>
      <c r="J207" s="40"/>
      <c r="K207" s="41"/>
    </row>
    <row r="208" spans="2:14" ht="9.75" customHeight="1" x14ac:dyDescent="0.2">
      <c r="B208" s="38"/>
      <c r="C208" s="280" t="str">
        <f>"2:"</f>
        <v>2:</v>
      </c>
      <c r="D208" s="278" t="s">
        <v>924</v>
      </c>
      <c r="E208" s="40"/>
      <c r="F208" s="40"/>
      <c r="G208" s="40"/>
      <c r="H208" s="40"/>
      <c r="I208" s="40"/>
      <c r="J208" s="40"/>
      <c r="K208" s="41"/>
    </row>
    <row r="209" spans="2:14" ht="9.75" customHeight="1" x14ac:dyDescent="0.2">
      <c r="B209" s="38"/>
      <c r="C209" s="280" t="str">
        <f>"3:"</f>
        <v>3:</v>
      </c>
      <c r="D209" s="278" t="s">
        <v>925</v>
      </c>
      <c r="E209" s="40"/>
      <c r="F209" s="40"/>
      <c r="G209" s="40"/>
      <c r="H209" s="40"/>
      <c r="I209" s="40"/>
      <c r="J209" s="40"/>
      <c r="K209" s="41"/>
    </row>
    <row r="210" spans="2:14" ht="9.75" customHeight="1" x14ac:dyDescent="0.2">
      <c r="B210" s="38"/>
      <c r="C210" s="280" t="str">
        <f>"4:"</f>
        <v>4:</v>
      </c>
      <c r="D210" s="278" t="s">
        <v>926</v>
      </c>
      <c r="E210" s="40"/>
      <c r="F210" s="40"/>
      <c r="G210" s="40"/>
      <c r="H210" s="40"/>
      <c r="I210" s="40"/>
      <c r="J210" s="40"/>
      <c r="K210" s="41"/>
      <c r="N210" s="12" t="s">
        <v>661</v>
      </c>
    </row>
    <row r="211" spans="2:14" x14ac:dyDescent="0.2">
      <c r="B211" s="38"/>
      <c r="C211" s="174" t="s">
        <v>662</v>
      </c>
      <c r="D211" s="40"/>
      <c r="E211" s="40"/>
      <c r="F211" s="40"/>
      <c r="G211" s="40"/>
      <c r="H211" s="40"/>
      <c r="I211" s="40"/>
      <c r="J211" s="265" t="s">
        <v>661</v>
      </c>
      <c r="K211" s="41"/>
      <c r="N211" s="12" t="s">
        <v>894</v>
      </c>
    </row>
    <row r="212" spans="2:14" x14ac:dyDescent="0.2">
      <c r="B212" s="38"/>
      <c r="C212" s="174" t="s">
        <v>660</v>
      </c>
      <c r="D212" s="40"/>
      <c r="E212" s="40"/>
      <c r="F212" s="40"/>
      <c r="G212" s="40"/>
      <c r="H212" s="40"/>
      <c r="I212" s="40"/>
      <c r="J212" s="246" t="str">
        <f>IF(J211=N210,"N/A",IF(J211=N211,0,IF(J211=N212,1,IF(J211=N213,2,IF(J211=N214,3,IF(J211=N215,4,"N/A"))))))</f>
        <v>N/A</v>
      </c>
      <c r="K212" s="41"/>
      <c r="N212" s="12" t="s">
        <v>899</v>
      </c>
    </row>
    <row r="213" spans="2:14" x14ac:dyDescent="0.2">
      <c r="B213" s="38"/>
      <c r="C213" s="40" t="s">
        <v>257</v>
      </c>
      <c r="D213" s="40"/>
      <c r="E213" s="40"/>
      <c r="F213" s="40"/>
      <c r="G213" s="40"/>
      <c r="H213" s="40"/>
      <c r="I213" s="40"/>
      <c r="J213" s="266" t="s">
        <v>870</v>
      </c>
      <c r="K213" s="41"/>
      <c r="N213" s="12" t="s">
        <v>900</v>
      </c>
    </row>
    <row r="214" spans="2:14" x14ac:dyDescent="0.2">
      <c r="B214" s="38"/>
      <c r="C214" s="40" t="s">
        <v>261</v>
      </c>
      <c r="D214" s="40"/>
      <c r="E214" s="40"/>
      <c r="F214" s="40"/>
      <c r="G214" s="40"/>
      <c r="H214" s="40"/>
      <c r="I214" s="40"/>
      <c r="J214" s="245">
        <f>IF(J213=$B$973,$A$973,IF(J213=$B$974,$A$974,IF(J213=$B$975,$A$975,IF(J213=$B$976,$A$976,IF(J213=$B$977,$A$977,"Not Calculated")))))</f>
        <v>0</v>
      </c>
      <c r="K214" s="41"/>
      <c r="N214" s="12" t="s">
        <v>901</v>
      </c>
    </row>
    <row r="215" spans="2:14" x14ac:dyDescent="0.2">
      <c r="B215" s="38"/>
      <c r="C215" s="40" t="s">
        <v>893</v>
      </c>
      <c r="D215" s="40"/>
      <c r="E215" s="40"/>
      <c r="F215" s="40"/>
      <c r="G215" s="40"/>
      <c r="H215" s="40"/>
      <c r="I215" s="40"/>
      <c r="J215" s="40"/>
      <c r="K215" s="41"/>
      <c r="N215" s="12" t="s">
        <v>902</v>
      </c>
    </row>
    <row r="216" spans="2:14" ht="30" customHeight="1" x14ac:dyDescent="0.2">
      <c r="B216" s="38"/>
      <c r="C216" s="399"/>
      <c r="D216" s="400"/>
      <c r="E216" s="400"/>
      <c r="F216" s="400"/>
      <c r="G216" s="400"/>
      <c r="H216" s="400"/>
      <c r="I216" s="400"/>
      <c r="J216" s="401"/>
      <c r="K216" s="41"/>
    </row>
    <row r="217" spans="2:14" x14ac:dyDescent="0.2">
      <c r="B217" s="38"/>
      <c r="C217" s="40"/>
      <c r="D217" s="40"/>
      <c r="E217" s="40"/>
      <c r="F217" s="40"/>
      <c r="G217" s="40"/>
      <c r="H217" s="40"/>
      <c r="I217" s="40"/>
      <c r="J217" s="40"/>
      <c r="K217" s="41"/>
    </row>
    <row r="218" spans="2:14" x14ac:dyDescent="0.2">
      <c r="B218" s="38"/>
      <c r="C218" s="179" t="s">
        <v>276</v>
      </c>
      <c r="D218" s="40"/>
      <c r="E218" s="40"/>
      <c r="F218" s="40"/>
      <c r="G218" s="40"/>
      <c r="H218" s="40"/>
      <c r="I218" s="40"/>
      <c r="J218" s="245" t="str">
        <f>IF(J212="N/A",IF(OR(J205="Not Calculated",J214="Not Calculated")=TRUE,"Not Calculated",AVERAGE(J205,J214)),AVERAGE(J212,J214))</f>
        <v>Not Calculated</v>
      </c>
      <c r="K218" s="41"/>
    </row>
    <row r="219" spans="2:14" x14ac:dyDescent="0.2">
      <c r="B219" s="38"/>
      <c r="C219" s="40"/>
      <c r="D219" s="40"/>
      <c r="E219" s="40"/>
      <c r="F219" s="40"/>
      <c r="G219" s="40"/>
      <c r="H219" s="40"/>
      <c r="I219" s="40"/>
      <c r="J219" s="40"/>
      <c r="K219" s="41"/>
    </row>
    <row r="220" spans="2:14" x14ac:dyDescent="0.2">
      <c r="B220" s="38"/>
      <c r="C220" s="40"/>
      <c r="D220" s="40"/>
      <c r="E220" s="40"/>
      <c r="F220" s="40"/>
      <c r="G220" s="40"/>
      <c r="H220" s="40"/>
      <c r="I220" s="40"/>
      <c r="J220" s="40"/>
      <c r="K220" s="41"/>
    </row>
    <row r="221" spans="2:14" ht="16" x14ac:dyDescent="0.2">
      <c r="B221" s="38"/>
      <c r="C221" s="45" t="s">
        <v>76</v>
      </c>
      <c r="D221" s="40"/>
      <c r="E221" s="40"/>
      <c r="F221" s="40"/>
      <c r="G221" s="40"/>
      <c r="H221" s="40"/>
      <c r="I221" s="40"/>
      <c r="J221" s="40"/>
      <c r="K221" s="41"/>
    </row>
    <row r="222" spans="2:14" ht="15" customHeight="1" x14ac:dyDescent="0.2">
      <c r="B222" s="38"/>
      <c r="C222" s="40" t="s">
        <v>356</v>
      </c>
      <c r="D222" s="40"/>
      <c r="E222" s="40"/>
      <c r="F222" s="40"/>
      <c r="G222" s="40"/>
      <c r="H222" s="40"/>
      <c r="I222" s="40"/>
      <c r="J222" s="252">
        <f>'Baseline Health'!G71</f>
        <v>0</v>
      </c>
      <c r="K222" s="41"/>
    </row>
    <row r="223" spans="2:14" x14ac:dyDescent="0.2">
      <c r="B223" s="38"/>
      <c r="C223" s="40" t="s">
        <v>357</v>
      </c>
      <c r="D223" s="40"/>
      <c r="E223" s="40"/>
      <c r="F223" s="40"/>
      <c r="G223" s="40"/>
      <c r="H223" s="40"/>
      <c r="I223" s="40"/>
      <c r="J223" s="264">
        <v>0</v>
      </c>
      <c r="K223" s="41"/>
    </row>
    <row r="224" spans="2:14" x14ac:dyDescent="0.2">
      <c r="B224" s="38"/>
      <c r="C224" s="40" t="s">
        <v>445</v>
      </c>
      <c r="D224" s="40"/>
      <c r="E224" s="40"/>
      <c r="F224" s="40"/>
      <c r="G224" s="40"/>
      <c r="H224" s="40"/>
      <c r="I224" s="40"/>
      <c r="J224" s="251">
        <f>J102</f>
        <v>0</v>
      </c>
      <c r="K224" s="41"/>
    </row>
    <row r="225" spans="2:14" x14ac:dyDescent="0.2">
      <c r="B225" s="38"/>
      <c r="C225" s="40"/>
      <c r="D225" s="40" t="s">
        <v>446</v>
      </c>
      <c r="E225" s="40"/>
      <c r="F225" s="40"/>
      <c r="G225" s="40"/>
      <c r="H225" s="40"/>
      <c r="I225" s="40"/>
      <c r="J225" s="40"/>
      <c r="K225" s="41"/>
    </row>
    <row r="226" spans="2:14" x14ac:dyDescent="0.2">
      <c r="B226" s="38"/>
      <c r="C226" s="40" t="s">
        <v>260</v>
      </c>
      <c r="D226" s="40"/>
      <c r="E226" s="40"/>
      <c r="F226" s="40"/>
      <c r="G226" s="40"/>
      <c r="H226" s="40"/>
      <c r="I226" s="40"/>
      <c r="J226" s="245" t="str">
        <f>IF(OR(J222=0,J222="Not Calculated")=TRUE,"Not Calculated",IF(J222-J223=0,4,IF(((J222+J224)/(J222-J223))&lt;=1,0,IF(((J222+J224)/(J222-J223))&lt;=1.05,1,IF(((J222+J224)/(J222-J223))&lt;=1.5, 2,IF(((J222+J224)/(J222-J223))&lt;=2,3,4))))))</f>
        <v>Not Calculated</v>
      </c>
      <c r="K226" s="41"/>
    </row>
    <row r="227" spans="2:14" ht="9.75" customHeight="1" x14ac:dyDescent="0.2">
      <c r="B227" s="38"/>
      <c r="C227" s="279" t="str">
        <f>"0:"</f>
        <v>0:</v>
      </c>
      <c r="D227" s="278" t="s">
        <v>918</v>
      </c>
      <c r="E227" s="40"/>
      <c r="F227" s="40"/>
      <c r="G227" s="40"/>
      <c r="H227" s="40"/>
      <c r="I227" s="40"/>
      <c r="J227" s="40"/>
      <c r="K227" s="41"/>
    </row>
    <row r="228" spans="2:14" ht="9.75" customHeight="1" x14ac:dyDescent="0.2">
      <c r="B228" s="38"/>
      <c r="C228" s="280" t="str">
        <f>"1:"</f>
        <v>1:</v>
      </c>
      <c r="D228" s="278" t="s">
        <v>923</v>
      </c>
      <c r="E228" s="40"/>
      <c r="F228" s="40"/>
      <c r="G228" s="40"/>
      <c r="H228" s="40"/>
      <c r="I228" s="40"/>
      <c r="J228" s="40"/>
      <c r="K228" s="41"/>
    </row>
    <row r="229" spans="2:14" ht="9.75" customHeight="1" x14ac:dyDescent="0.2">
      <c r="B229" s="38"/>
      <c r="C229" s="280" t="str">
        <f>"2:"</f>
        <v>2:</v>
      </c>
      <c r="D229" s="278" t="s">
        <v>924</v>
      </c>
      <c r="E229" s="40"/>
      <c r="F229" s="40"/>
      <c r="G229" s="40"/>
      <c r="H229" s="40"/>
      <c r="I229" s="40"/>
      <c r="J229" s="40"/>
      <c r="K229" s="41"/>
    </row>
    <row r="230" spans="2:14" ht="9.75" customHeight="1" x14ac:dyDescent="0.2">
      <c r="B230" s="38"/>
      <c r="C230" s="280" t="str">
        <f>"3:"</f>
        <v>3:</v>
      </c>
      <c r="D230" s="278" t="s">
        <v>925</v>
      </c>
      <c r="E230" s="40"/>
      <c r="F230" s="40"/>
      <c r="G230" s="40"/>
      <c r="H230" s="40"/>
      <c r="I230" s="40"/>
      <c r="J230" s="40"/>
      <c r="K230" s="41"/>
    </row>
    <row r="231" spans="2:14" ht="9.75" customHeight="1" x14ac:dyDescent="0.2">
      <c r="B231" s="38"/>
      <c r="C231" s="280" t="str">
        <f>"4:"</f>
        <v>4:</v>
      </c>
      <c r="D231" s="278" t="s">
        <v>926</v>
      </c>
      <c r="E231" s="40"/>
      <c r="F231" s="40"/>
      <c r="G231" s="40"/>
      <c r="H231" s="40"/>
      <c r="I231" s="40"/>
      <c r="J231" s="40"/>
      <c r="K231" s="41"/>
      <c r="N231" s="12" t="s">
        <v>661</v>
      </c>
    </row>
    <row r="232" spans="2:14" x14ac:dyDescent="0.2">
      <c r="B232" s="38"/>
      <c r="C232" s="174" t="s">
        <v>662</v>
      </c>
      <c r="D232" s="40"/>
      <c r="E232" s="40"/>
      <c r="F232" s="40"/>
      <c r="G232" s="40"/>
      <c r="H232" s="40"/>
      <c r="I232" s="40"/>
      <c r="J232" s="265" t="s">
        <v>661</v>
      </c>
      <c r="K232" s="41"/>
      <c r="N232" s="12" t="s">
        <v>894</v>
      </c>
    </row>
    <row r="233" spans="2:14" x14ac:dyDescent="0.2">
      <c r="B233" s="38"/>
      <c r="C233" s="174" t="s">
        <v>660</v>
      </c>
      <c r="D233" s="40"/>
      <c r="E233" s="40"/>
      <c r="F233" s="40"/>
      <c r="G233" s="40"/>
      <c r="H233" s="40"/>
      <c r="I233" s="40"/>
      <c r="J233" s="246" t="str">
        <f>IF(J232=N231,"N/A",IF(J232=N232,0,IF(J232=N233,1,IF(J232=N234,2,IF(J232=N235,3,IF(J232=N236,4,"N/A"))))))</f>
        <v>N/A</v>
      </c>
      <c r="K233" s="41"/>
      <c r="N233" s="12" t="s">
        <v>899</v>
      </c>
    </row>
    <row r="234" spans="2:14" x14ac:dyDescent="0.2">
      <c r="B234" s="38"/>
      <c r="C234" s="40" t="s">
        <v>257</v>
      </c>
      <c r="D234" s="40"/>
      <c r="E234" s="40"/>
      <c r="F234" s="40"/>
      <c r="G234" s="40"/>
      <c r="H234" s="40"/>
      <c r="I234" s="40"/>
      <c r="J234" s="266" t="s">
        <v>870</v>
      </c>
      <c r="K234" s="41"/>
      <c r="N234" s="12" t="s">
        <v>900</v>
      </c>
    </row>
    <row r="235" spans="2:14" x14ac:dyDescent="0.2">
      <c r="B235" s="38"/>
      <c r="C235" s="40" t="s">
        <v>261</v>
      </c>
      <c r="D235" s="40"/>
      <c r="E235" s="40"/>
      <c r="F235" s="40"/>
      <c r="G235" s="40"/>
      <c r="H235" s="40"/>
      <c r="I235" s="40"/>
      <c r="J235" s="245">
        <f>IF(J234=$B$973,$A$973,IF(J234=$B$974,$A$974,IF(J234=$B$975,$A$975,IF(J234=$B$976,$A$976,IF(J234=$B$977,$A$977,"Not Calculated")))))</f>
        <v>0</v>
      </c>
      <c r="K235" s="41"/>
      <c r="N235" s="12" t="s">
        <v>901</v>
      </c>
    </row>
    <row r="236" spans="2:14" x14ac:dyDescent="0.2">
      <c r="B236" s="38"/>
      <c r="C236" s="40" t="s">
        <v>893</v>
      </c>
      <c r="D236" s="40"/>
      <c r="E236" s="40"/>
      <c r="F236" s="40"/>
      <c r="G236" s="40"/>
      <c r="H236" s="40"/>
      <c r="I236" s="40"/>
      <c r="J236" s="40"/>
      <c r="K236" s="41"/>
      <c r="N236" s="12" t="s">
        <v>902</v>
      </c>
    </row>
    <row r="237" spans="2:14" ht="30" customHeight="1" x14ac:dyDescent="0.2">
      <c r="B237" s="38"/>
      <c r="C237" s="399"/>
      <c r="D237" s="400"/>
      <c r="E237" s="400"/>
      <c r="F237" s="400"/>
      <c r="G237" s="400"/>
      <c r="H237" s="400"/>
      <c r="I237" s="400"/>
      <c r="J237" s="401"/>
      <c r="K237" s="41"/>
    </row>
    <row r="238" spans="2:14" x14ac:dyDescent="0.2">
      <c r="B238" s="38"/>
      <c r="C238" s="40"/>
      <c r="D238" s="40"/>
      <c r="E238" s="40"/>
      <c r="F238" s="40"/>
      <c r="G238" s="40"/>
      <c r="H238" s="40"/>
      <c r="I238" s="40"/>
      <c r="J238" s="40"/>
      <c r="K238" s="41"/>
    </row>
    <row r="239" spans="2:14" x14ac:dyDescent="0.2">
      <c r="B239" s="38"/>
      <c r="C239" s="179" t="s">
        <v>277</v>
      </c>
      <c r="D239" s="40"/>
      <c r="E239" s="40"/>
      <c r="F239" s="40"/>
      <c r="G239" s="40"/>
      <c r="H239" s="40"/>
      <c r="I239" s="40"/>
      <c r="J239" s="245" t="str">
        <f>IF(J233="N/A",IF(OR(J226="Not Calculated",J235="Not Calculated")=TRUE,"Not Calculated",AVERAGE(J226,J235)),AVERAGE(J233,J235))</f>
        <v>Not Calculated</v>
      </c>
      <c r="K239" s="41"/>
    </row>
    <row r="240" spans="2:14" x14ac:dyDescent="0.2">
      <c r="B240" s="38"/>
      <c r="C240" s="40"/>
      <c r="D240" s="40"/>
      <c r="E240" s="40"/>
      <c r="F240" s="40"/>
      <c r="G240" s="40"/>
      <c r="H240" s="40"/>
      <c r="I240" s="40"/>
      <c r="J240" s="40"/>
      <c r="K240" s="41"/>
    </row>
    <row r="241" spans="2:14" x14ac:dyDescent="0.2">
      <c r="B241" s="38"/>
      <c r="C241" s="40"/>
      <c r="D241" s="40"/>
      <c r="E241" s="40"/>
      <c r="F241" s="40"/>
      <c r="G241" s="40"/>
      <c r="H241" s="40"/>
      <c r="I241" s="40"/>
      <c r="J241" s="40"/>
      <c r="K241" s="41"/>
    </row>
    <row r="242" spans="2:14" ht="16" x14ac:dyDescent="0.2">
      <c r="B242" s="38"/>
      <c r="C242" s="45" t="s">
        <v>278</v>
      </c>
      <c r="D242" s="40"/>
      <c r="E242" s="40"/>
      <c r="F242" s="40"/>
      <c r="G242" s="40"/>
      <c r="H242" s="40"/>
      <c r="I242" s="40"/>
      <c r="J242" s="40"/>
      <c r="K242" s="41"/>
    </row>
    <row r="243" spans="2:14" ht="15" customHeight="1" x14ac:dyDescent="0.2">
      <c r="B243" s="38"/>
      <c r="C243" s="40" t="s">
        <v>447</v>
      </c>
      <c r="D243" s="40"/>
      <c r="E243" s="40"/>
      <c r="F243" s="40"/>
      <c r="G243" s="40"/>
      <c r="H243" s="40"/>
      <c r="I243" s="40"/>
      <c r="J243" s="254">
        <f>'Baseline Health'!G77</f>
        <v>0</v>
      </c>
      <c r="K243" s="41"/>
    </row>
    <row r="244" spans="2:14" x14ac:dyDescent="0.2">
      <c r="B244" s="38"/>
      <c r="C244" s="40" t="s">
        <v>358</v>
      </c>
      <c r="D244" s="40"/>
      <c r="E244" s="40"/>
      <c r="F244" s="40"/>
      <c r="G244" s="40"/>
      <c r="H244" s="40"/>
      <c r="I244" s="40"/>
      <c r="J244" s="264">
        <v>0</v>
      </c>
      <c r="K244" s="41"/>
    </row>
    <row r="245" spans="2:14" x14ac:dyDescent="0.2">
      <c r="B245" s="38"/>
      <c r="C245" s="40" t="s">
        <v>360</v>
      </c>
      <c r="D245" s="291"/>
      <c r="E245" s="291"/>
      <c r="F245" s="291"/>
      <c r="G245" s="291"/>
      <c r="H245" s="291"/>
      <c r="I245" s="291"/>
      <c r="J245" s="264">
        <v>0</v>
      </c>
      <c r="K245" s="41"/>
    </row>
    <row r="246" spans="2:14" x14ac:dyDescent="0.2">
      <c r="B246" s="38"/>
      <c r="C246" s="40" t="s">
        <v>260</v>
      </c>
      <c r="D246" s="40"/>
      <c r="E246" s="40"/>
      <c r="F246" s="40"/>
      <c r="G246" s="40"/>
      <c r="H246" s="40"/>
      <c r="I246" s="40"/>
      <c r="J246" s="245" t="str">
        <f>IF(OR(J243=0,J243="Not Calculated")=TRUE,"Not Calculated",IF(J243-J244=0,4,(IF(((J243+J245)/(J243-J244))&lt;=1,0,IF(((J243+J245)/(J243-J244))&lt;=1.05,1,IF(((J243+J245)/(J243-J244))&lt;=1.5,2,IF(((J243+J245)/(J243-J244))&lt;=2,3,4)))))))</f>
        <v>Not Calculated</v>
      </c>
      <c r="K246" s="41"/>
    </row>
    <row r="247" spans="2:14" ht="9.75" customHeight="1" x14ac:dyDescent="0.2">
      <c r="B247" s="38"/>
      <c r="C247" s="279" t="str">
        <f>"0:"</f>
        <v>0:</v>
      </c>
      <c r="D247" s="278" t="s">
        <v>918</v>
      </c>
      <c r="E247" s="40"/>
      <c r="F247" s="40"/>
      <c r="G247" s="40"/>
      <c r="H247" s="40"/>
      <c r="I247" s="40"/>
      <c r="J247" s="40"/>
      <c r="K247" s="41"/>
    </row>
    <row r="248" spans="2:14" ht="9.75" customHeight="1" x14ac:dyDescent="0.2">
      <c r="B248" s="38"/>
      <c r="C248" s="280" t="str">
        <f>"1:"</f>
        <v>1:</v>
      </c>
      <c r="D248" s="278" t="s">
        <v>923</v>
      </c>
      <c r="E248" s="40"/>
      <c r="F248" s="40"/>
      <c r="G248" s="40"/>
      <c r="H248" s="40"/>
      <c r="I248" s="40"/>
      <c r="J248" s="40"/>
      <c r="K248" s="41"/>
    </row>
    <row r="249" spans="2:14" ht="9.75" customHeight="1" x14ac:dyDescent="0.2">
      <c r="B249" s="38"/>
      <c r="C249" s="280" t="str">
        <f>"2:"</f>
        <v>2:</v>
      </c>
      <c r="D249" s="278" t="s">
        <v>924</v>
      </c>
      <c r="E249" s="40"/>
      <c r="F249" s="40"/>
      <c r="G249" s="40"/>
      <c r="H249" s="40"/>
      <c r="I249" s="40"/>
      <c r="J249" s="40"/>
      <c r="K249" s="41"/>
    </row>
    <row r="250" spans="2:14" ht="9.75" customHeight="1" x14ac:dyDescent="0.2">
      <c r="B250" s="38"/>
      <c r="C250" s="280" t="str">
        <f>"3:"</f>
        <v>3:</v>
      </c>
      <c r="D250" s="278" t="s">
        <v>925</v>
      </c>
      <c r="E250" s="40"/>
      <c r="F250" s="40"/>
      <c r="G250" s="40"/>
      <c r="H250" s="40"/>
      <c r="I250" s="40"/>
      <c r="J250" s="40"/>
      <c r="K250" s="41"/>
    </row>
    <row r="251" spans="2:14" ht="9.75" customHeight="1" x14ac:dyDescent="0.2">
      <c r="B251" s="38"/>
      <c r="C251" s="280" t="str">
        <f>"4:"</f>
        <v>4:</v>
      </c>
      <c r="D251" s="278" t="s">
        <v>926</v>
      </c>
      <c r="E251" s="40"/>
      <c r="F251" s="40"/>
      <c r="G251" s="40"/>
      <c r="H251" s="40"/>
      <c r="I251" s="40"/>
      <c r="J251" s="40"/>
      <c r="K251" s="41"/>
      <c r="N251" s="12" t="s">
        <v>661</v>
      </c>
    </row>
    <row r="252" spans="2:14" x14ac:dyDescent="0.2">
      <c r="B252" s="38"/>
      <c r="C252" s="174" t="s">
        <v>662</v>
      </c>
      <c r="D252" s="40"/>
      <c r="E252" s="40"/>
      <c r="F252" s="40"/>
      <c r="G252" s="40"/>
      <c r="H252" s="40"/>
      <c r="I252" s="40"/>
      <c r="J252" s="265" t="s">
        <v>661</v>
      </c>
      <c r="K252" s="41"/>
      <c r="N252" s="12" t="s">
        <v>894</v>
      </c>
    </row>
    <row r="253" spans="2:14" x14ac:dyDescent="0.2">
      <c r="B253" s="38"/>
      <c r="C253" s="174" t="s">
        <v>660</v>
      </c>
      <c r="D253" s="40"/>
      <c r="E253" s="40"/>
      <c r="F253" s="40"/>
      <c r="G253" s="40"/>
      <c r="H253" s="40"/>
      <c r="I253" s="40"/>
      <c r="J253" s="246" t="str">
        <f>IF(J252=N251,"N/A",IF(J252=N252,0,IF(J252=N253,1,IF(J252=N254,2,IF(J252=N255,3,IF(J252=N256,4,"N/A"))))))</f>
        <v>N/A</v>
      </c>
      <c r="K253" s="41"/>
      <c r="N253" s="12" t="s">
        <v>899</v>
      </c>
    </row>
    <row r="254" spans="2:14" x14ac:dyDescent="0.2">
      <c r="B254" s="38"/>
      <c r="C254" s="40" t="s">
        <v>257</v>
      </c>
      <c r="D254" s="40"/>
      <c r="E254" s="40"/>
      <c r="F254" s="40"/>
      <c r="G254" s="40"/>
      <c r="H254" s="40"/>
      <c r="I254" s="40"/>
      <c r="J254" s="266" t="s">
        <v>870</v>
      </c>
      <c r="K254" s="41"/>
      <c r="N254" s="12" t="s">
        <v>900</v>
      </c>
    </row>
    <row r="255" spans="2:14" x14ac:dyDescent="0.2">
      <c r="B255" s="38"/>
      <c r="C255" s="40" t="s">
        <v>261</v>
      </c>
      <c r="D255" s="40"/>
      <c r="E255" s="40"/>
      <c r="F255" s="40"/>
      <c r="G255" s="40"/>
      <c r="H255" s="40"/>
      <c r="I255" s="40"/>
      <c r="J255" s="245">
        <f>IF(J254=$B$973,$A$973,IF(J254=$B$974,$A$974,IF(J254=$B$975,$A$975,IF(J254=$B$976,$A$976,IF(J254=$B$977,$A$977,"Not Calculated")))))</f>
        <v>0</v>
      </c>
      <c r="K255" s="41"/>
      <c r="N255" s="12" t="s">
        <v>901</v>
      </c>
    </row>
    <row r="256" spans="2:14" x14ac:dyDescent="0.2">
      <c r="B256" s="38"/>
      <c r="C256" s="40" t="s">
        <v>893</v>
      </c>
      <c r="D256" s="40"/>
      <c r="E256" s="40"/>
      <c r="F256" s="40"/>
      <c r="G256" s="40"/>
      <c r="H256" s="40"/>
      <c r="I256" s="40"/>
      <c r="J256" s="40"/>
      <c r="K256" s="41"/>
      <c r="N256" s="12" t="s">
        <v>902</v>
      </c>
    </row>
    <row r="257" spans="2:11" ht="30" customHeight="1" x14ac:dyDescent="0.2">
      <c r="B257" s="38"/>
      <c r="C257" s="399"/>
      <c r="D257" s="400"/>
      <c r="E257" s="400"/>
      <c r="F257" s="400"/>
      <c r="G257" s="400"/>
      <c r="H257" s="400"/>
      <c r="I257" s="400"/>
      <c r="J257" s="401"/>
      <c r="K257" s="41"/>
    </row>
    <row r="258" spans="2:11" x14ac:dyDescent="0.2">
      <c r="B258" s="38"/>
      <c r="C258" s="40"/>
      <c r="D258" s="40"/>
      <c r="E258" s="40"/>
      <c r="F258" s="40"/>
      <c r="G258" s="40"/>
      <c r="H258" s="40"/>
      <c r="I258" s="40"/>
      <c r="J258" s="40"/>
      <c r="K258" s="41"/>
    </row>
    <row r="259" spans="2:11" x14ac:dyDescent="0.2">
      <c r="B259" s="38"/>
      <c r="C259" s="179" t="s">
        <v>279</v>
      </c>
      <c r="D259" s="40"/>
      <c r="E259" s="40"/>
      <c r="F259" s="40"/>
      <c r="G259" s="40"/>
      <c r="H259" s="40"/>
      <c r="I259" s="40"/>
      <c r="J259" s="245" t="str">
        <f>IF(J253="N/A",IF(OR(J246="Not Calculated",J255="Not Calculated")=TRUE,"Not Calculated",AVERAGE(J246,J255)),AVERAGE(J253,J255))</f>
        <v>Not Calculated</v>
      </c>
      <c r="K259" s="41"/>
    </row>
    <row r="260" spans="2:11" x14ac:dyDescent="0.2">
      <c r="B260" s="38"/>
      <c r="C260" s="40"/>
      <c r="D260" s="40"/>
      <c r="E260" s="40"/>
      <c r="F260" s="40"/>
      <c r="G260" s="40"/>
      <c r="H260" s="40"/>
      <c r="I260" s="40"/>
      <c r="J260" s="40"/>
      <c r="K260" s="41"/>
    </row>
    <row r="261" spans="2:11" ht="18" x14ac:dyDescent="0.2">
      <c r="B261" s="38"/>
      <c r="C261" s="180" t="s">
        <v>272</v>
      </c>
      <c r="D261" s="40"/>
      <c r="E261" s="40"/>
      <c r="F261" s="40"/>
      <c r="G261" s="40"/>
      <c r="H261" s="40"/>
      <c r="I261" s="40"/>
      <c r="J261" s="244" t="str">
        <f>IF(OR(J157="Not Calculated",J178="Not Calculated",J198="Not Calculated",J218="Not Calculated",J239="Not Calculated",J259="Not Calculated",)=TRUE,"Not Calculated",AVERAGE(J157,J178,J198,J218,J239,J259))</f>
        <v>Not Calculated</v>
      </c>
      <c r="K261" s="41"/>
    </row>
    <row r="262" spans="2:11" ht="16" thickBot="1" x14ac:dyDescent="0.25">
      <c r="B262" s="46"/>
      <c r="C262" s="47"/>
      <c r="D262" s="47"/>
      <c r="E262" s="47"/>
      <c r="F262" s="47"/>
      <c r="G262" s="47"/>
      <c r="H262" s="47"/>
      <c r="I262" s="47"/>
      <c r="J262" s="47"/>
      <c r="K262" s="49"/>
    </row>
    <row r="263" spans="2:11" ht="16" thickBot="1" x14ac:dyDescent="0.25"/>
    <row r="264" spans="2:11" x14ac:dyDescent="0.2">
      <c r="B264" s="33"/>
      <c r="C264" s="34"/>
      <c r="D264" s="34"/>
      <c r="E264" s="34"/>
      <c r="F264" s="34"/>
      <c r="G264" s="34"/>
      <c r="H264" s="34"/>
      <c r="I264" s="34"/>
      <c r="J264" s="34"/>
      <c r="K264" s="37"/>
    </row>
    <row r="265" spans="2:11" ht="21" x14ac:dyDescent="0.25">
      <c r="B265" s="38"/>
      <c r="C265" s="40"/>
      <c r="D265" s="40"/>
      <c r="E265" s="40"/>
      <c r="F265" s="40"/>
      <c r="G265" s="172" t="s">
        <v>864</v>
      </c>
      <c r="H265" s="40"/>
      <c r="I265" s="40"/>
      <c r="J265" s="40"/>
      <c r="K265" s="41"/>
    </row>
    <row r="266" spans="2:11" ht="15" customHeight="1" x14ac:dyDescent="0.2">
      <c r="B266" s="38"/>
      <c r="C266" s="40"/>
      <c r="D266" s="40"/>
      <c r="E266" s="40"/>
      <c r="F266" s="40"/>
      <c r="G266" s="40"/>
      <c r="H266" s="40"/>
      <c r="I266" s="40"/>
      <c r="J266" s="40"/>
      <c r="K266" s="41"/>
    </row>
    <row r="267" spans="2:11" ht="16" x14ac:dyDescent="0.2">
      <c r="B267" s="38"/>
      <c r="C267" s="45" t="s">
        <v>80</v>
      </c>
      <c r="D267" s="40"/>
      <c r="E267" s="40"/>
      <c r="F267" s="40"/>
      <c r="G267" s="40"/>
      <c r="H267" s="40"/>
      <c r="I267" s="40"/>
      <c r="J267" s="40"/>
      <c r="K267" s="41"/>
    </row>
    <row r="268" spans="2:11" x14ac:dyDescent="0.2">
      <c r="B268" s="38"/>
      <c r="C268" s="40" t="s">
        <v>283</v>
      </c>
      <c r="D268" s="40"/>
      <c r="E268" s="40"/>
      <c r="F268" s="40"/>
      <c r="G268" s="40"/>
      <c r="H268" s="40"/>
      <c r="I268" s="40"/>
      <c r="J268" s="250">
        <f>'Baseline Health'!G88</f>
        <v>0</v>
      </c>
      <c r="K268" s="41"/>
    </row>
    <row r="269" spans="2:11" x14ac:dyDescent="0.2">
      <c r="B269" s="38"/>
      <c r="C269" s="40" t="s">
        <v>284</v>
      </c>
      <c r="D269" s="40"/>
      <c r="E269" s="40"/>
      <c r="F269" s="40"/>
      <c r="G269" s="40"/>
      <c r="H269" s="40"/>
      <c r="I269" s="40"/>
      <c r="J269" s="264">
        <v>0</v>
      </c>
      <c r="K269" s="41"/>
    </row>
    <row r="270" spans="2:11" x14ac:dyDescent="0.2">
      <c r="B270" s="38"/>
      <c r="C270" s="40" t="s">
        <v>285</v>
      </c>
      <c r="D270" s="40"/>
      <c r="E270" s="40"/>
      <c r="F270" s="40"/>
      <c r="G270" s="40"/>
      <c r="H270" s="40"/>
      <c r="I270" s="40"/>
      <c r="J270" s="259">
        <f>'Baseline Health'!G93</f>
        <v>0</v>
      </c>
      <c r="K270" s="41"/>
    </row>
    <row r="271" spans="2:11" x14ac:dyDescent="0.2">
      <c r="B271" s="38"/>
      <c r="C271" s="40" t="s">
        <v>286</v>
      </c>
      <c r="D271" s="40"/>
      <c r="E271" s="40"/>
      <c r="F271" s="40"/>
      <c r="G271" s="40"/>
      <c r="H271" s="40"/>
      <c r="I271" s="40"/>
      <c r="J271" s="250">
        <f>J184</f>
        <v>0</v>
      </c>
      <c r="K271" s="41"/>
    </row>
    <row r="272" spans="2:11" x14ac:dyDescent="0.2">
      <c r="B272" s="38"/>
      <c r="C272" s="40"/>
      <c r="D272" s="40" t="s">
        <v>432</v>
      </c>
      <c r="E272" s="40"/>
      <c r="F272" s="40"/>
      <c r="G272" s="40"/>
      <c r="H272" s="40"/>
      <c r="I272" s="40"/>
      <c r="J272" s="40"/>
      <c r="K272" s="41"/>
    </row>
    <row r="273" spans="2:14" x14ac:dyDescent="0.2">
      <c r="B273" s="38"/>
      <c r="C273" s="40" t="s">
        <v>292</v>
      </c>
      <c r="D273" s="40"/>
      <c r="E273" s="40"/>
      <c r="F273" s="40"/>
      <c r="G273" s="40"/>
      <c r="H273" s="40"/>
      <c r="I273" s="40"/>
      <c r="J273" s="258" t="str">
        <f>'Baseline Health'!G97</f>
        <v>N/A</v>
      </c>
      <c r="K273" s="41"/>
    </row>
    <row r="274" spans="2:14" x14ac:dyDescent="0.2">
      <c r="B274" s="38"/>
      <c r="C274" s="40" t="s">
        <v>293</v>
      </c>
      <c r="D274" s="40"/>
      <c r="E274" s="40"/>
      <c r="F274" s="40"/>
      <c r="G274" s="40"/>
      <c r="H274" s="40"/>
      <c r="I274" s="40"/>
      <c r="J274" s="258" t="str">
        <f>IF(J273="N/A","N/A",IF(J268-J269=0,"No Nurses",((J270+J271)/(J268-J269))))</f>
        <v>N/A</v>
      </c>
      <c r="K274" s="41"/>
    </row>
    <row r="275" spans="2:14" x14ac:dyDescent="0.2">
      <c r="B275" s="38"/>
      <c r="C275" s="40" t="s">
        <v>260</v>
      </c>
      <c r="D275" s="40"/>
      <c r="E275" s="40"/>
      <c r="F275" s="40"/>
      <c r="G275" s="40"/>
      <c r="H275" s="40"/>
      <c r="I275" s="40"/>
      <c r="J275" s="245">
        <f>IF(J273=0,"Not Calculated",IF(J274="N/A",0,IF(J274="No Nurses",4,IF((J274/J273)&lt;=1,0,IF((J274/J273)&lt;=1.1,1,IF((J274/J273)&lt;=1=1.25,2,IF((J274/J273)&lt;=1.5,3,4)))))))</f>
        <v>0</v>
      </c>
      <c r="K275" s="41"/>
    </row>
    <row r="276" spans="2:14" ht="9.75" customHeight="1" x14ac:dyDescent="0.2">
      <c r="B276" s="38"/>
      <c r="C276" s="279" t="str">
        <f>"0:"</f>
        <v>0:</v>
      </c>
      <c r="D276" s="278" t="s">
        <v>927</v>
      </c>
      <c r="E276" s="40"/>
      <c r="F276" s="40"/>
      <c r="G276" s="40"/>
      <c r="H276" s="40"/>
      <c r="I276" s="40"/>
      <c r="J276" s="258"/>
      <c r="K276" s="41"/>
    </row>
    <row r="277" spans="2:14" ht="9.75" customHeight="1" x14ac:dyDescent="0.2">
      <c r="B277" s="38"/>
      <c r="C277" s="280" t="str">
        <f>"1:"</f>
        <v>1:</v>
      </c>
      <c r="D277" s="278" t="s">
        <v>928</v>
      </c>
      <c r="E277" s="40"/>
      <c r="F277" s="40"/>
      <c r="G277" s="40"/>
      <c r="H277" s="40"/>
      <c r="I277" s="40"/>
      <c r="J277" s="258"/>
      <c r="K277" s="41"/>
    </row>
    <row r="278" spans="2:14" ht="9.75" customHeight="1" x14ac:dyDescent="0.2">
      <c r="B278" s="38"/>
      <c r="C278" s="280" t="str">
        <f>"2:"</f>
        <v>2:</v>
      </c>
      <c r="D278" s="278" t="s">
        <v>929</v>
      </c>
      <c r="E278" s="40"/>
      <c r="F278" s="40"/>
      <c r="G278" s="40"/>
      <c r="H278" s="40"/>
      <c r="I278" s="40"/>
      <c r="J278" s="258"/>
      <c r="K278" s="41"/>
    </row>
    <row r="279" spans="2:14" ht="9.75" customHeight="1" x14ac:dyDescent="0.2">
      <c r="B279" s="38"/>
      <c r="C279" s="280" t="str">
        <f>"3:"</f>
        <v>3:</v>
      </c>
      <c r="D279" s="278" t="s">
        <v>930</v>
      </c>
      <c r="E279" s="40"/>
      <c r="F279" s="40"/>
      <c r="G279" s="40"/>
      <c r="H279" s="40"/>
      <c r="I279" s="40"/>
      <c r="J279" s="258"/>
      <c r="K279" s="41"/>
    </row>
    <row r="280" spans="2:14" ht="9.75" customHeight="1" x14ac:dyDescent="0.2">
      <c r="B280" s="38"/>
      <c r="C280" s="280" t="str">
        <f>"4:"</f>
        <v>4:</v>
      </c>
      <c r="D280" s="278" t="s">
        <v>931</v>
      </c>
      <c r="E280" s="40"/>
      <c r="F280" s="40"/>
      <c r="G280" s="40"/>
      <c r="H280" s="40"/>
      <c r="I280" s="40"/>
      <c r="J280" s="40"/>
      <c r="K280" s="41"/>
      <c r="N280" s="12" t="s">
        <v>661</v>
      </c>
    </row>
    <row r="281" spans="2:14" x14ac:dyDescent="0.2">
      <c r="B281" s="38"/>
      <c r="C281" s="174" t="s">
        <v>662</v>
      </c>
      <c r="D281" s="40"/>
      <c r="E281" s="40"/>
      <c r="F281" s="40"/>
      <c r="G281" s="40"/>
      <c r="H281" s="40"/>
      <c r="I281" s="40"/>
      <c r="J281" s="265" t="s">
        <v>661</v>
      </c>
      <c r="K281" s="41"/>
      <c r="N281" s="12" t="s">
        <v>903</v>
      </c>
    </row>
    <row r="282" spans="2:14" x14ac:dyDescent="0.2">
      <c r="B282" s="38"/>
      <c r="C282" s="174" t="s">
        <v>660</v>
      </c>
      <c r="D282" s="40"/>
      <c r="E282" s="40"/>
      <c r="F282" s="40"/>
      <c r="G282" s="40"/>
      <c r="H282" s="40"/>
      <c r="I282" s="40"/>
      <c r="J282" s="246" t="str">
        <f>IF(J281=N280,"N/A",IF(J281=N281,0,IF(J281=N282,1,IF(J281=N283,2,IF(J281=N284,3,IF(J281=N285,4,"N/A"))))))</f>
        <v>N/A</v>
      </c>
      <c r="K282" s="41"/>
      <c r="N282" s="12" t="s">
        <v>904</v>
      </c>
    </row>
    <row r="283" spans="2:14" x14ac:dyDescent="0.2">
      <c r="B283" s="38"/>
      <c r="C283" s="40" t="s">
        <v>257</v>
      </c>
      <c r="D283" s="40"/>
      <c r="E283" s="40"/>
      <c r="F283" s="40"/>
      <c r="G283" s="40"/>
      <c r="H283" s="40"/>
      <c r="I283" s="40"/>
      <c r="J283" s="266" t="s">
        <v>870</v>
      </c>
      <c r="K283" s="41"/>
      <c r="N283" s="12" t="s">
        <v>905</v>
      </c>
    </row>
    <row r="284" spans="2:14" x14ac:dyDescent="0.2">
      <c r="B284" s="38"/>
      <c r="C284" s="40" t="s">
        <v>261</v>
      </c>
      <c r="D284" s="40"/>
      <c r="E284" s="40"/>
      <c r="F284" s="40"/>
      <c r="G284" s="40"/>
      <c r="H284" s="40"/>
      <c r="I284" s="40"/>
      <c r="J284" s="248">
        <f>IF(J283=$B$973,$A$973,IF(J283=$B$974,$A$974,IF(J283=$B$975,$A$975,IF(J283=$B$976,$A$976,IF(J283=$B$977,$A$977,"Not Calculated")))))</f>
        <v>0</v>
      </c>
      <c r="K284" s="41"/>
      <c r="N284" s="12" t="s">
        <v>906</v>
      </c>
    </row>
    <row r="285" spans="2:14" x14ac:dyDescent="0.2">
      <c r="B285" s="38"/>
      <c r="C285" s="40" t="s">
        <v>893</v>
      </c>
      <c r="D285" s="40"/>
      <c r="E285" s="40"/>
      <c r="F285" s="40"/>
      <c r="G285" s="40"/>
      <c r="H285" s="40"/>
      <c r="I285" s="40"/>
      <c r="J285" s="40"/>
      <c r="K285" s="41"/>
      <c r="N285" s="12" t="s">
        <v>907</v>
      </c>
    </row>
    <row r="286" spans="2:14" ht="30" customHeight="1" x14ac:dyDescent="0.2">
      <c r="B286" s="38"/>
      <c r="C286" s="399"/>
      <c r="D286" s="400"/>
      <c r="E286" s="400"/>
      <c r="F286" s="400"/>
      <c r="G286" s="400"/>
      <c r="H286" s="400"/>
      <c r="I286" s="400"/>
      <c r="J286" s="401"/>
      <c r="K286" s="41"/>
    </row>
    <row r="287" spans="2:14" x14ac:dyDescent="0.2">
      <c r="B287" s="38"/>
      <c r="C287" s="40"/>
      <c r="D287" s="40"/>
      <c r="E287" s="40"/>
      <c r="F287" s="40"/>
      <c r="G287" s="40"/>
      <c r="H287" s="40"/>
      <c r="I287" s="40"/>
      <c r="J287" s="40"/>
      <c r="K287" s="41"/>
    </row>
    <row r="288" spans="2:14" x14ac:dyDescent="0.2">
      <c r="B288" s="38"/>
      <c r="C288" s="179" t="s">
        <v>295</v>
      </c>
      <c r="D288" s="40"/>
      <c r="E288" s="40"/>
      <c r="F288" s="40"/>
      <c r="G288" s="40"/>
      <c r="H288" s="40"/>
      <c r="I288" s="40"/>
      <c r="J288" s="245">
        <f>IF(J282="N/A",IF(OR(J275="Not Calculated",J284="Not Calculated")=TRUE,"Not Calculated",AVERAGE(J275,J284)),AVERAGE(J282,J284))</f>
        <v>0</v>
      </c>
      <c r="K288" s="41"/>
    </row>
    <row r="289" spans="2:11" x14ac:dyDescent="0.2">
      <c r="B289" s="38"/>
      <c r="C289" s="40"/>
      <c r="D289" s="40"/>
      <c r="E289" s="40"/>
      <c r="F289" s="40"/>
      <c r="G289" s="40"/>
      <c r="H289" s="40"/>
      <c r="I289" s="40"/>
      <c r="J289" s="245"/>
      <c r="K289" s="41"/>
    </row>
    <row r="290" spans="2:11" x14ac:dyDescent="0.2">
      <c r="B290" s="38"/>
      <c r="C290" s="40"/>
      <c r="D290" s="40"/>
      <c r="E290" s="40"/>
      <c r="F290" s="40"/>
      <c r="G290" s="40"/>
      <c r="H290" s="40"/>
      <c r="I290" s="40"/>
      <c r="J290" s="40"/>
      <c r="K290" s="41"/>
    </row>
    <row r="291" spans="2:11" ht="16" x14ac:dyDescent="0.2">
      <c r="B291" s="38"/>
      <c r="C291" s="45" t="s">
        <v>856</v>
      </c>
      <c r="D291" s="40"/>
      <c r="E291" s="40"/>
      <c r="F291" s="40"/>
      <c r="G291" s="40"/>
      <c r="H291" s="40"/>
      <c r="I291" s="40"/>
      <c r="J291" s="40"/>
      <c r="K291" s="41"/>
    </row>
    <row r="292" spans="2:11" x14ac:dyDescent="0.2">
      <c r="B292" s="38"/>
      <c r="C292" s="380" t="s">
        <v>855</v>
      </c>
      <c r="D292" s="380"/>
      <c r="E292" s="380"/>
      <c r="F292" s="380"/>
      <c r="G292" s="380"/>
      <c r="H292" s="380"/>
      <c r="I292" s="380"/>
      <c r="J292" s="40"/>
      <c r="K292" s="41"/>
    </row>
    <row r="293" spans="2:11" x14ac:dyDescent="0.2">
      <c r="B293" s="38"/>
      <c r="C293" s="380"/>
      <c r="D293" s="380"/>
      <c r="E293" s="380"/>
      <c r="F293" s="380"/>
      <c r="G293" s="380"/>
      <c r="H293" s="380"/>
      <c r="I293" s="380"/>
      <c r="J293" s="264">
        <v>0</v>
      </c>
      <c r="K293" s="41"/>
    </row>
    <row r="294" spans="2:11" x14ac:dyDescent="0.2">
      <c r="B294" s="38"/>
      <c r="C294" s="40" t="s">
        <v>853</v>
      </c>
      <c r="D294" s="291"/>
      <c r="E294" s="291"/>
      <c r="F294" s="291"/>
      <c r="G294" s="291"/>
      <c r="H294" s="291"/>
      <c r="I294" s="291"/>
      <c r="J294" s="255">
        <f>'Baseline Health'!$G$102</f>
        <v>0</v>
      </c>
      <c r="K294" s="41"/>
    </row>
    <row r="295" spans="2:11" x14ac:dyDescent="0.2">
      <c r="B295" s="38"/>
      <c r="C295" s="40" t="s">
        <v>842</v>
      </c>
      <c r="D295" s="40"/>
      <c r="E295" s="40"/>
      <c r="F295" s="40"/>
      <c r="G295" s="40"/>
      <c r="H295" s="40"/>
      <c r="I295" s="40"/>
      <c r="J295" s="244" t="str">
        <f>IF('Baseline Health'!$G$102=0,"Not Calculated",100*J293/'Baseline Health'!$G$102)</f>
        <v>Not Calculated</v>
      </c>
      <c r="K295" s="41"/>
    </row>
    <row r="296" spans="2:11" x14ac:dyDescent="0.2">
      <c r="B296" s="38"/>
      <c r="C296" s="40" t="s">
        <v>260</v>
      </c>
      <c r="D296" s="40"/>
      <c r="E296" s="40"/>
      <c r="F296" s="40"/>
      <c r="G296" s="40"/>
      <c r="H296" s="40"/>
      <c r="I296" s="40"/>
      <c r="J296" s="245">
        <f>IF(J295&lt;=0,0,IF(J295&lt;=1,1,IF(J295&lt;=5,2,IF(J295&lt;=10,3,4))))</f>
        <v>4</v>
      </c>
      <c r="K296" s="41"/>
    </row>
    <row r="297" spans="2:11" ht="9.75" customHeight="1" x14ac:dyDescent="0.2">
      <c r="B297" s="38"/>
      <c r="C297" s="279" t="str">
        <f>"0:"</f>
        <v>0:</v>
      </c>
      <c r="D297" s="278" t="s">
        <v>932</v>
      </c>
      <c r="E297" s="40"/>
      <c r="F297" s="40"/>
      <c r="G297" s="40"/>
      <c r="H297" s="40"/>
      <c r="I297" s="40"/>
      <c r="J297" s="244"/>
      <c r="K297" s="41"/>
    </row>
    <row r="298" spans="2:11" ht="9.75" customHeight="1" x14ac:dyDescent="0.2">
      <c r="B298" s="38"/>
      <c r="C298" s="280" t="str">
        <f>"1:"</f>
        <v>1:</v>
      </c>
      <c r="D298" s="278" t="s">
        <v>934</v>
      </c>
      <c r="E298" s="40"/>
      <c r="F298" s="40"/>
      <c r="G298" s="40"/>
      <c r="H298" s="40"/>
      <c r="I298" s="40"/>
      <c r="J298" s="244"/>
      <c r="K298" s="41"/>
    </row>
    <row r="299" spans="2:11" ht="9.75" customHeight="1" x14ac:dyDescent="0.2">
      <c r="B299" s="38"/>
      <c r="C299" s="280" t="str">
        <f>"2:"</f>
        <v>2:</v>
      </c>
      <c r="D299" s="278" t="s">
        <v>933</v>
      </c>
      <c r="E299" s="40"/>
      <c r="F299" s="40"/>
      <c r="G299" s="40"/>
      <c r="H299" s="40"/>
      <c r="I299" s="40"/>
      <c r="J299" s="244"/>
      <c r="K299" s="41"/>
    </row>
    <row r="300" spans="2:11" ht="9.75" customHeight="1" x14ac:dyDescent="0.2">
      <c r="B300" s="38"/>
      <c r="C300" s="280" t="str">
        <f>"3:"</f>
        <v>3:</v>
      </c>
      <c r="D300" s="278" t="s">
        <v>935</v>
      </c>
      <c r="E300" s="40"/>
      <c r="F300" s="40"/>
      <c r="G300" s="40"/>
      <c r="H300" s="40"/>
      <c r="I300" s="40"/>
      <c r="J300" s="244"/>
      <c r="K300" s="41"/>
    </row>
    <row r="301" spans="2:11" ht="9.75" customHeight="1" x14ac:dyDescent="0.2">
      <c r="B301" s="38"/>
      <c r="C301" s="280" t="str">
        <f>"4:"</f>
        <v>4:</v>
      </c>
      <c r="D301" s="278" t="s">
        <v>936</v>
      </c>
      <c r="E301" s="40"/>
      <c r="F301" s="40"/>
      <c r="G301" s="40"/>
      <c r="H301" s="40"/>
      <c r="I301" s="40"/>
      <c r="J301" s="40"/>
      <c r="K301" s="41"/>
    </row>
    <row r="302" spans="2:11" x14ac:dyDescent="0.2">
      <c r="B302" s="38"/>
      <c r="C302" s="40" t="s">
        <v>257</v>
      </c>
      <c r="D302" s="40"/>
      <c r="E302" s="40"/>
      <c r="F302" s="40"/>
      <c r="G302" s="40"/>
      <c r="H302" s="40"/>
      <c r="I302" s="40"/>
      <c r="J302" s="266" t="s">
        <v>870</v>
      </c>
      <c r="K302" s="41"/>
    </row>
    <row r="303" spans="2:11" x14ac:dyDescent="0.2">
      <c r="B303" s="38"/>
      <c r="C303" s="40" t="s">
        <v>261</v>
      </c>
      <c r="D303" s="40"/>
      <c r="E303" s="40"/>
      <c r="F303" s="40"/>
      <c r="G303" s="40"/>
      <c r="H303" s="40"/>
      <c r="I303" s="40"/>
      <c r="J303" s="245">
        <f>IF(J302=$B$980,$A$980,IF(J302=$B$981,$A$981,IF(J302=$B$982,$A$982,IF(J302=$B$983,$A$983,IF(J302=$B$984,$A$984,"Not Calculated")))))</f>
        <v>0</v>
      </c>
      <c r="K303" s="41"/>
    </row>
    <row r="304" spans="2:11" x14ac:dyDescent="0.2">
      <c r="B304" s="38"/>
      <c r="C304" s="40" t="s">
        <v>893</v>
      </c>
      <c r="D304" s="40"/>
      <c r="E304" s="40"/>
      <c r="F304" s="40"/>
      <c r="G304" s="40"/>
      <c r="H304" s="40"/>
      <c r="I304" s="40"/>
      <c r="J304" s="40"/>
      <c r="K304" s="41"/>
    </row>
    <row r="305" spans="2:11" ht="30" customHeight="1" x14ac:dyDescent="0.2">
      <c r="B305" s="38"/>
      <c r="C305" s="399"/>
      <c r="D305" s="400"/>
      <c r="E305" s="400"/>
      <c r="F305" s="400"/>
      <c r="G305" s="400"/>
      <c r="H305" s="400"/>
      <c r="I305" s="400"/>
      <c r="J305" s="401"/>
      <c r="K305" s="41"/>
    </row>
    <row r="306" spans="2:11" x14ac:dyDescent="0.2">
      <c r="B306" s="38"/>
      <c r="C306" s="40"/>
      <c r="D306" s="40"/>
      <c r="E306" s="40"/>
      <c r="F306" s="40"/>
      <c r="G306" s="40"/>
      <c r="H306" s="40"/>
      <c r="I306" s="40"/>
      <c r="J306" s="40"/>
      <c r="K306" s="41"/>
    </row>
    <row r="307" spans="2:11" x14ac:dyDescent="0.2">
      <c r="B307" s="38"/>
      <c r="C307" s="179" t="s">
        <v>885</v>
      </c>
      <c r="D307" s="40"/>
      <c r="E307" s="40"/>
      <c r="F307" s="40"/>
      <c r="G307" s="40"/>
      <c r="H307" s="40"/>
      <c r="I307" s="40"/>
      <c r="J307" s="245">
        <f>IF(OR(J296="Not Calculated",J303="Not Calculated")=TRUE,"Not Calculated",AVERAGE(J296,J303))</f>
        <v>2</v>
      </c>
      <c r="K307" s="41"/>
    </row>
    <row r="308" spans="2:11" x14ac:dyDescent="0.2">
      <c r="B308" s="38"/>
      <c r="C308" s="40"/>
      <c r="D308" s="40"/>
      <c r="E308" s="40"/>
      <c r="F308" s="40"/>
      <c r="G308" s="40"/>
      <c r="H308" s="40"/>
      <c r="I308" s="40"/>
      <c r="J308" s="40"/>
      <c r="K308" s="41"/>
    </row>
    <row r="309" spans="2:11" x14ac:dyDescent="0.2">
      <c r="B309" s="38"/>
      <c r="C309" s="40"/>
      <c r="D309" s="40"/>
      <c r="E309" s="40"/>
      <c r="F309" s="40"/>
      <c r="G309" s="40"/>
      <c r="H309" s="40"/>
      <c r="I309" s="40"/>
      <c r="J309" s="40"/>
      <c r="K309" s="41"/>
    </row>
    <row r="310" spans="2:11" ht="16" x14ac:dyDescent="0.2">
      <c r="B310" s="38"/>
      <c r="C310" s="45" t="s">
        <v>857</v>
      </c>
      <c r="D310" s="40"/>
      <c r="E310" s="40"/>
      <c r="F310" s="40"/>
      <c r="G310" s="40"/>
      <c r="H310" s="40"/>
      <c r="I310" s="40"/>
      <c r="J310" s="40"/>
      <c r="K310" s="41"/>
    </row>
    <row r="311" spans="2:11" x14ac:dyDescent="0.2">
      <c r="B311" s="38"/>
      <c r="C311" s="380" t="s">
        <v>843</v>
      </c>
      <c r="D311" s="380"/>
      <c r="E311" s="380"/>
      <c r="F311" s="380"/>
      <c r="G311" s="380"/>
      <c r="H311" s="380"/>
      <c r="I311" s="380"/>
      <c r="J311" s="40"/>
      <c r="K311" s="41"/>
    </row>
    <row r="312" spans="2:11" x14ac:dyDescent="0.2">
      <c r="B312" s="38"/>
      <c r="C312" s="380"/>
      <c r="D312" s="380"/>
      <c r="E312" s="380"/>
      <c r="F312" s="380"/>
      <c r="G312" s="380"/>
      <c r="H312" s="380"/>
      <c r="I312" s="380"/>
      <c r="J312" s="264">
        <v>0</v>
      </c>
      <c r="K312" s="41"/>
    </row>
    <row r="313" spans="2:11" x14ac:dyDescent="0.2">
      <c r="B313" s="38"/>
      <c r="C313" s="40" t="s">
        <v>853</v>
      </c>
      <c r="D313" s="291"/>
      <c r="E313" s="291"/>
      <c r="F313" s="291"/>
      <c r="G313" s="291"/>
      <c r="H313" s="291"/>
      <c r="I313" s="291"/>
      <c r="J313" s="255">
        <f>'Baseline Health'!$G$102</f>
        <v>0</v>
      </c>
      <c r="K313" s="41"/>
    </row>
    <row r="314" spans="2:11" x14ac:dyDescent="0.2">
      <c r="B314" s="38"/>
      <c r="C314" s="40" t="s">
        <v>842</v>
      </c>
      <c r="D314" s="40"/>
      <c r="E314" s="40"/>
      <c r="F314" s="40"/>
      <c r="G314" s="40"/>
      <c r="H314" s="40"/>
      <c r="I314" s="40"/>
      <c r="J314" s="244" t="str">
        <f>IF('Baseline Health'!$G$102=0,"Not Calculated",100*J312/'Baseline Health'!$G$102)</f>
        <v>Not Calculated</v>
      </c>
      <c r="K314" s="41"/>
    </row>
    <row r="315" spans="2:11" x14ac:dyDescent="0.2">
      <c r="B315" s="38"/>
      <c r="C315" s="40" t="s">
        <v>260</v>
      </c>
      <c r="D315" s="40"/>
      <c r="E315" s="40"/>
      <c r="F315" s="40"/>
      <c r="G315" s="40"/>
      <c r="H315" s="40"/>
      <c r="I315" s="40"/>
      <c r="J315" s="245">
        <f>IF(J314&lt;=0,0,IF(J314&lt;=1,1,IF(J314&lt;=5,2,IF(J314&lt;=10,3,4))))</f>
        <v>4</v>
      </c>
      <c r="K315" s="41"/>
    </row>
    <row r="316" spans="2:11" ht="9.75" customHeight="1" x14ac:dyDescent="0.2">
      <c r="B316" s="38"/>
      <c r="C316" s="279" t="str">
        <f>"0:"</f>
        <v>0:</v>
      </c>
      <c r="D316" s="278" t="s">
        <v>932</v>
      </c>
      <c r="E316" s="40"/>
      <c r="F316" s="40"/>
      <c r="G316" s="40"/>
      <c r="H316" s="40"/>
      <c r="I316" s="40"/>
      <c r="J316" s="244"/>
      <c r="K316" s="41"/>
    </row>
    <row r="317" spans="2:11" ht="9.75" customHeight="1" x14ac:dyDescent="0.2">
      <c r="B317" s="38"/>
      <c r="C317" s="280" t="str">
        <f>"1:"</f>
        <v>1:</v>
      </c>
      <c r="D317" s="278" t="s">
        <v>934</v>
      </c>
      <c r="E317" s="40"/>
      <c r="F317" s="40"/>
      <c r="G317" s="40"/>
      <c r="H317" s="40"/>
      <c r="I317" s="40"/>
      <c r="J317" s="244"/>
      <c r="K317" s="41"/>
    </row>
    <row r="318" spans="2:11" ht="9.75" customHeight="1" x14ac:dyDescent="0.2">
      <c r="B318" s="38"/>
      <c r="C318" s="280" t="str">
        <f>"2:"</f>
        <v>2:</v>
      </c>
      <c r="D318" s="278" t="s">
        <v>933</v>
      </c>
      <c r="E318" s="40"/>
      <c r="F318" s="40"/>
      <c r="G318" s="40"/>
      <c r="H318" s="40"/>
      <c r="I318" s="40"/>
      <c r="J318" s="244"/>
      <c r="K318" s="41"/>
    </row>
    <row r="319" spans="2:11" ht="9.75" customHeight="1" x14ac:dyDescent="0.2">
      <c r="B319" s="38"/>
      <c r="C319" s="280" t="str">
        <f>"3:"</f>
        <v>3:</v>
      </c>
      <c r="D319" s="278" t="s">
        <v>935</v>
      </c>
      <c r="E319" s="40"/>
      <c r="F319" s="40"/>
      <c r="G319" s="40"/>
      <c r="H319" s="40"/>
      <c r="I319" s="40"/>
      <c r="J319" s="244"/>
      <c r="K319" s="41"/>
    </row>
    <row r="320" spans="2:11" ht="9.75" customHeight="1" x14ac:dyDescent="0.2">
      <c r="B320" s="38"/>
      <c r="C320" s="280" t="str">
        <f>"4:"</f>
        <v>4:</v>
      </c>
      <c r="D320" s="278" t="s">
        <v>936</v>
      </c>
      <c r="E320" s="40"/>
      <c r="F320" s="40"/>
      <c r="G320" s="40"/>
      <c r="H320" s="40"/>
      <c r="I320" s="40"/>
      <c r="J320" s="40"/>
      <c r="K320" s="41"/>
    </row>
    <row r="321" spans="2:11" x14ac:dyDescent="0.2">
      <c r="B321" s="38"/>
      <c r="C321" s="40" t="s">
        <v>296</v>
      </c>
      <c r="D321" s="40"/>
      <c r="E321" s="40"/>
      <c r="F321" s="40"/>
      <c r="G321" s="40"/>
      <c r="H321" s="40"/>
      <c r="I321" s="40"/>
      <c r="J321" s="266">
        <v>0</v>
      </c>
      <c r="K321" s="41"/>
    </row>
    <row r="322" spans="2:11" x14ac:dyDescent="0.2">
      <c r="B322" s="38"/>
      <c r="C322" s="40" t="s">
        <v>261</v>
      </c>
      <c r="D322" s="40"/>
      <c r="E322" s="40"/>
      <c r="F322" s="40"/>
      <c r="G322" s="40"/>
      <c r="H322" s="40"/>
      <c r="I322" s="40"/>
      <c r="J322" s="245">
        <f>IF(J321&lt;=0,0,IF(J321&lt;=2,1,IF(J321&lt;=6,2,IF(J321&lt;=12,3,4))))</f>
        <v>0</v>
      </c>
      <c r="K322" s="41"/>
    </row>
    <row r="323" spans="2:11" x14ac:dyDescent="0.2">
      <c r="B323" s="38"/>
      <c r="C323" s="40" t="s">
        <v>893</v>
      </c>
      <c r="D323" s="40"/>
      <c r="E323" s="40"/>
      <c r="F323" s="40"/>
      <c r="G323" s="40"/>
      <c r="H323" s="40"/>
      <c r="I323" s="40"/>
      <c r="J323" s="40"/>
      <c r="K323" s="41"/>
    </row>
    <row r="324" spans="2:11" ht="30" customHeight="1" x14ac:dyDescent="0.2">
      <c r="B324" s="38"/>
      <c r="C324" s="399"/>
      <c r="D324" s="400"/>
      <c r="E324" s="400"/>
      <c r="F324" s="400"/>
      <c r="G324" s="400"/>
      <c r="H324" s="400"/>
      <c r="I324" s="400"/>
      <c r="J324" s="401"/>
      <c r="K324" s="41"/>
    </row>
    <row r="325" spans="2:11" x14ac:dyDescent="0.2">
      <c r="B325" s="38"/>
      <c r="C325" s="40"/>
      <c r="D325" s="40"/>
      <c r="E325" s="40"/>
      <c r="F325" s="40"/>
      <c r="G325" s="40"/>
      <c r="H325" s="40"/>
      <c r="I325" s="40"/>
      <c r="J325" s="40"/>
      <c r="K325" s="41"/>
    </row>
    <row r="326" spans="2:11" x14ac:dyDescent="0.2">
      <c r="B326" s="38"/>
      <c r="C326" s="179" t="s">
        <v>886</v>
      </c>
      <c r="D326" s="40"/>
      <c r="E326" s="40"/>
      <c r="F326" s="40"/>
      <c r="G326" s="40"/>
      <c r="H326" s="40"/>
      <c r="I326" s="40"/>
      <c r="J326" s="245">
        <f>IF(OR(J315="Not Calculated",J322="Not Calculated")=TRUE,"Not Calculated",AVERAGE(J315,J322))</f>
        <v>2</v>
      </c>
      <c r="K326" s="41"/>
    </row>
    <row r="327" spans="2:11" x14ac:dyDescent="0.2">
      <c r="B327" s="38"/>
      <c r="C327" s="40"/>
      <c r="D327" s="40"/>
      <c r="E327" s="40"/>
      <c r="F327" s="40"/>
      <c r="G327" s="40"/>
      <c r="H327" s="40"/>
      <c r="I327" s="40"/>
      <c r="J327" s="40"/>
      <c r="K327" s="41"/>
    </row>
    <row r="328" spans="2:11" x14ac:dyDescent="0.2">
      <c r="B328" s="38"/>
      <c r="C328" s="40"/>
      <c r="D328" s="40"/>
      <c r="E328" s="40"/>
      <c r="F328" s="40"/>
      <c r="G328" s="40"/>
      <c r="H328" s="40"/>
      <c r="I328" s="40"/>
      <c r="J328" s="40"/>
      <c r="K328" s="41"/>
    </row>
    <row r="329" spans="2:11" ht="16" x14ac:dyDescent="0.2">
      <c r="B329" s="38"/>
      <c r="C329" s="45" t="s">
        <v>858</v>
      </c>
      <c r="D329" s="40"/>
      <c r="E329" s="40"/>
      <c r="F329" s="40"/>
      <c r="G329" s="40"/>
      <c r="H329" s="40"/>
      <c r="I329" s="40"/>
      <c r="J329" s="40"/>
      <c r="K329" s="41"/>
    </row>
    <row r="330" spans="2:11" ht="15" customHeight="1" x14ac:dyDescent="0.2">
      <c r="B330" s="38"/>
      <c r="C330" s="380" t="s">
        <v>844</v>
      </c>
      <c r="D330" s="380"/>
      <c r="E330" s="380"/>
      <c r="F330" s="380"/>
      <c r="G330" s="380"/>
      <c r="H330" s="380"/>
      <c r="I330" s="380"/>
      <c r="J330" s="40"/>
      <c r="K330" s="41"/>
    </row>
    <row r="331" spans="2:11" x14ac:dyDescent="0.2">
      <c r="B331" s="38"/>
      <c r="C331" s="380"/>
      <c r="D331" s="380"/>
      <c r="E331" s="380"/>
      <c r="F331" s="380"/>
      <c r="G331" s="380"/>
      <c r="H331" s="380"/>
      <c r="I331" s="380"/>
      <c r="J331" s="264">
        <v>0</v>
      </c>
      <c r="K331" s="41"/>
    </row>
    <row r="332" spans="2:11" x14ac:dyDescent="0.2">
      <c r="B332" s="38"/>
      <c r="C332" s="40" t="s">
        <v>853</v>
      </c>
      <c r="D332" s="291"/>
      <c r="E332" s="291"/>
      <c r="F332" s="291"/>
      <c r="G332" s="291"/>
      <c r="H332" s="291"/>
      <c r="I332" s="291"/>
      <c r="J332" s="255">
        <f>'Baseline Health'!$G$102</f>
        <v>0</v>
      </c>
      <c r="K332" s="41"/>
    </row>
    <row r="333" spans="2:11" x14ac:dyDescent="0.2">
      <c r="B333" s="38"/>
      <c r="C333" s="40" t="s">
        <v>845</v>
      </c>
      <c r="D333" s="40"/>
      <c r="E333" s="40"/>
      <c r="F333" s="40"/>
      <c r="G333" s="40"/>
      <c r="H333" s="40"/>
      <c r="I333" s="40"/>
      <c r="J333" s="244" t="str">
        <f>IF('Baseline Health'!$G$102=0,"Not Calculated",100*J331/'Baseline Health'!$G$102)</f>
        <v>Not Calculated</v>
      </c>
      <c r="K333" s="41"/>
    </row>
    <row r="334" spans="2:11" x14ac:dyDescent="0.2">
      <c r="B334" s="38"/>
      <c r="C334" s="40" t="s">
        <v>260</v>
      </c>
      <c r="D334" s="40"/>
      <c r="E334" s="40"/>
      <c r="F334" s="40"/>
      <c r="G334" s="40"/>
      <c r="H334" s="40"/>
      <c r="I334" s="40"/>
      <c r="J334" s="245">
        <f>IF(J333&lt;=0,0,IF(J333&lt;=1,1,IF(J333&lt;=5,2,IF(J333&lt;=10,3,4))))</f>
        <v>4</v>
      </c>
      <c r="K334" s="41"/>
    </row>
    <row r="335" spans="2:11" ht="9.75" customHeight="1" x14ac:dyDescent="0.2">
      <c r="B335" s="38"/>
      <c r="C335" s="279" t="str">
        <f>"0:"</f>
        <v>0:</v>
      </c>
      <c r="D335" s="278" t="s">
        <v>932</v>
      </c>
      <c r="E335" s="40"/>
      <c r="F335" s="40"/>
      <c r="G335" s="40"/>
      <c r="H335" s="40"/>
      <c r="I335" s="40"/>
      <c r="J335" s="244"/>
      <c r="K335" s="41"/>
    </row>
    <row r="336" spans="2:11" ht="9.75" customHeight="1" x14ac:dyDescent="0.2">
      <c r="B336" s="38"/>
      <c r="C336" s="280" t="str">
        <f>"1:"</f>
        <v>1:</v>
      </c>
      <c r="D336" s="278" t="s">
        <v>934</v>
      </c>
      <c r="E336" s="40"/>
      <c r="F336" s="40"/>
      <c r="G336" s="40"/>
      <c r="H336" s="40"/>
      <c r="I336" s="40"/>
      <c r="J336" s="244"/>
      <c r="K336" s="41"/>
    </row>
    <row r="337" spans="2:11" ht="9.75" customHeight="1" x14ac:dyDescent="0.2">
      <c r="B337" s="38"/>
      <c r="C337" s="280" t="str">
        <f>"2:"</f>
        <v>2:</v>
      </c>
      <c r="D337" s="278" t="s">
        <v>933</v>
      </c>
      <c r="E337" s="40"/>
      <c r="F337" s="40"/>
      <c r="G337" s="40"/>
      <c r="H337" s="40"/>
      <c r="I337" s="40"/>
      <c r="J337" s="244"/>
      <c r="K337" s="41"/>
    </row>
    <row r="338" spans="2:11" ht="9.75" customHeight="1" x14ac:dyDescent="0.2">
      <c r="B338" s="38"/>
      <c r="C338" s="280" t="str">
        <f>"3:"</f>
        <v>3:</v>
      </c>
      <c r="D338" s="278" t="s">
        <v>935</v>
      </c>
      <c r="E338" s="40"/>
      <c r="F338" s="40"/>
      <c r="G338" s="40"/>
      <c r="H338" s="40"/>
      <c r="I338" s="40"/>
      <c r="J338" s="244"/>
      <c r="K338" s="41"/>
    </row>
    <row r="339" spans="2:11" ht="9.75" customHeight="1" x14ac:dyDescent="0.2">
      <c r="B339" s="38"/>
      <c r="C339" s="280" t="str">
        <f>"4:"</f>
        <v>4:</v>
      </c>
      <c r="D339" s="278" t="s">
        <v>936</v>
      </c>
      <c r="E339" s="40"/>
      <c r="F339" s="40"/>
      <c r="G339" s="40"/>
      <c r="H339" s="40"/>
      <c r="I339" s="40"/>
      <c r="J339" s="40"/>
      <c r="K339" s="41"/>
    </row>
    <row r="340" spans="2:11" x14ac:dyDescent="0.2">
      <c r="B340" s="38"/>
      <c r="C340" s="380" t="s">
        <v>84</v>
      </c>
      <c r="D340" s="380"/>
      <c r="E340" s="380"/>
      <c r="F340" s="380"/>
      <c r="G340" s="380"/>
      <c r="H340" s="380"/>
      <c r="I340" s="380"/>
      <c r="J340" s="245"/>
      <c r="K340" s="41"/>
    </row>
    <row r="341" spans="2:11" x14ac:dyDescent="0.2">
      <c r="B341" s="38"/>
      <c r="C341" s="380"/>
      <c r="D341" s="380"/>
      <c r="E341" s="380"/>
      <c r="F341" s="380"/>
      <c r="G341" s="380"/>
      <c r="H341" s="380"/>
      <c r="I341" s="380"/>
      <c r="J341" s="245">
        <f>'Baseline Health'!G108</f>
        <v>40</v>
      </c>
      <c r="K341" s="41"/>
    </row>
    <row r="342" spans="2:11" x14ac:dyDescent="0.2">
      <c r="B342" s="38"/>
      <c r="C342" s="40" t="s">
        <v>833</v>
      </c>
      <c r="D342" s="40"/>
      <c r="E342" s="40"/>
      <c r="F342" s="40"/>
      <c r="G342" s="40"/>
      <c r="H342" s="40"/>
      <c r="I342" s="40"/>
      <c r="J342" s="245">
        <f>IF(J341&gt;J321,0,J321-J341)</f>
        <v>0</v>
      </c>
      <c r="K342" s="41"/>
    </row>
    <row r="343" spans="2:11" ht="15" customHeight="1" x14ac:dyDescent="0.2">
      <c r="B343" s="38"/>
      <c r="C343" s="40"/>
      <c r="D343" s="380" t="s">
        <v>834</v>
      </c>
      <c r="E343" s="380"/>
      <c r="F343" s="380"/>
      <c r="G343" s="380"/>
      <c r="H343" s="380"/>
      <c r="I343" s="380"/>
      <c r="J343" s="40"/>
      <c r="K343" s="41"/>
    </row>
    <row r="344" spans="2:11" x14ac:dyDescent="0.2">
      <c r="B344" s="38"/>
      <c r="C344" s="40"/>
      <c r="D344" s="380"/>
      <c r="E344" s="380"/>
      <c r="F344" s="380"/>
      <c r="G344" s="380"/>
      <c r="H344" s="380"/>
      <c r="I344" s="380"/>
      <c r="J344" s="40"/>
      <c r="K344" s="41"/>
    </row>
    <row r="345" spans="2:11" x14ac:dyDescent="0.2">
      <c r="B345" s="38"/>
      <c r="C345" s="40" t="s">
        <v>261</v>
      </c>
      <c r="D345" s="40"/>
      <c r="E345" s="40"/>
      <c r="F345" s="40"/>
      <c r="G345" s="40"/>
      <c r="H345" s="40"/>
      <c r="I345" s="40"/>
      <c r="J345" s="245">
        <f>IF(J342&lt;=0,0,IF(J342&lt;=2,1,IF(J342&lt;=6,2,IF(J342&lt;=12,3,4))))</f>
        <v>0</v>
      </c>
      <c r="K345" s="41"/>
    </row>
    <row r="346" spans="2:11" x14ac:dyDescent="0.2">
      <c r="B346" s="38"/>
      <c r="C346" s="40" t="s">
        <v>893</v>
      </c>
      <c r="D346" s="40"/>
      <c r="E346" s="40"/>
      <c r="F346" s="40"/>
      <c r="G346" s="40"/>
      <c r="H346" s="40"/>
      <c r="I346" s="40"/>
      <c r="J346" s="40"/>
      <c r="K346" s="41"/>
    </row>
    <row r="347" spans="2:11" ht="30" customHeight="1" x14ac:dyDescent="0.2">
      <c r="B347" s="38"/>
      <c r="C347" s="399"/>
      <c r="D347" s="400"/>
      <c r="E347" s="400"/>
      <c r="F347" s="400"/>
      <c r="G347" s="400"/>
      <c r="H347" s="400"/>
      <c r="I347" s="400"/>
      <c r="J347" s="401"/>
      <c r="K347" s="41"/>
    </row>
    <row r="348" spans="2:11" x14ac:dyDescent="0.2">
      <c r="B348" s="38"/>
      <c r="C348" s="40"/>
      <c r="D348" s="40"/>
      <c r="E348" s="40"/>
      <c r="F348" s="40"/>
      <c r="G348" s="40"/>
      <c r="H348" s="40"/>
      <c r="I348" s="40"/>
      <c r="J348" s="40"/>
      <c r="K348" s="41"/>
    </row>
    <row r="349" spans="2:11" x14ac:dyDescent="0.2">
      <c r="B349" s="38"/>
      <c r="C349" s="179" t="s">
        <v>887</v>
      </c>
      <c r="D349" s="40"/>
      <c r="E349" s="40"/>
      <c r="F349" s="40"/>
      <c r="G349" s="40"/>
      <c r="H349" s="40"/>
      <c r="I349" s="40"/>
      <c r="J349" s="245">
        <f>IF(OR(J334="Not Calculated",J345="Not Calculated")=TRUE,"Not Calculated",AVERAGE(J334,J345))</f>
        <v>2</v>
      </c>
      <c r="K349" s="41"/>
    </row>
    <row r="350" spans="2:11" x14ac:dyDescent="0.2">
      <c r="B350" s="38"/>
      <c r="C350" s="40"/>
      <c r="D350" s="40"/>
      <c r="E350" s="40"/>
      <c r="F350" s="40"/>
      <c r="G350" s="40"/>
      <c r="H350" s="40"/>
      <c r="I350" s="40"/>
      <c r="J350" s="40"/>
      <c r="K350" s="41"/>
    </row>
    <row r="351" spans="2:11" x14ac:dyDescent="0.2">
      <c r="B351" s="38"/>
      <c r="C351" s="40"/>
      <c r="D351" s="40"/>
      <c r="E351" s="40"/>
      <c r="F351" s="40"/>
      <c r="G351" s="40"/>
      <c r="H351" s="40"/>
      <c r="I351" s="40"/>
      <c r="J351" s="40"/>
      <c r="K351" s="41"/>
    </row>
    <row r="352" spans="2:11" ht="15" customHeight="1" x14ac:dyDescent="0.2">
      <c r="B352" s="38"/>
      <c r="C352" s="45" t="s">
        <v>859</v>
      </c>
      <c r="D352" s="40"/>
      <c r="E352" s="40"/>
      <c r="F352" s="40"/>
      <c r="G352" s="40"/>
      <c r="H352" s="40"/>
      <c r="I352" s="40"/>
      <c r="J352" s="40"/>
      <c r="K352" s="41"/>
    </row>
    <row r="353" spans="2:11" x14ac:dyDescent="0.2">
      <c r="B353" s="38"/>
      <c r="C353" s="40" t="s">
        <v>846</v>
      </c>
      <c r="D353" s="40"/>
      <c r="E353" s="40"/>
      <c r="F353" s="40"/>
      <c r="G353" s="40"/>
      <c r="H353" s="40"/>
      <c r="I353" s="40"/>
      <c r="J353" s="264">
        <v>0</v>
      </c>
      <c r="K353" s="41"/>
    </row>
    <row r="354" spans="2:11" x14ac:dyDescent="0.2">
      <c r="B354" s="38"/>
      <c r="C354" s="40" t="s">
        <v>854</v>
      </c>
      <c r="D354" s="40"/>
      <c r="E354" s="40"/>
      <c r="F354" s="40"/>
      <c r="G354" s="40"/>
      <c r="H354" s="40"/>
      <c r="I354" s="40"/>
      <c r="J354" s="255">
        <f>'Baseline Health'!$G$59</f>
        <v>0</v>
      </c>
      <c r="K354" s="41"/>
    </row>
    <row r="355" spans="2:11" x14ac:dyDescent="0.2">
      <c r="B355" s="38"/>
      <c r="C355" s="40" t="s">
        <v>847</v>
      </c>
      <c r="D355" s="40"/>
      <c r="E355" s="40"/>
      <c r="F355" s="40"/>
      <c r="G355" s="40"/>
      <c r="H355" s="40"/>
      <c r="I355" s="40"/>
      <c r="J355" s="244">
        <f>IF(J353=0,0,IF('Baseline Health'!G$59=0,"Not Calculated",100*J353/'Baseline Health'!$G$59))</f>
        <v>0</v>
      </c>
      <c r="K355" s="41"/>
    </row>
    <row r="356" spans="2:11" x14ac:dyDescent="0.2">
      <c r="B356" s="38"/>
      <c r="C356" s="40" t="s">
        <v>260</v>
      </c>
      <c r="D356" s="40"/>
      <c r="E356" s="40"/>
      <c r="F356" s="40"/>
      <c r="G356" s="40"/>
      <c r="H356" s="40"/>
      <c r="I356" s="40"/>
      <c r="J356" s="245">
        <f>IF(J355&lt;=0,0,IF(J355&lt;=5,1,IF(J355&lt;=10,2,IF(J355&lt;=25,3,4))))</f>
        <v>0</v>
      </c>
      <c r="K356" s="41"/>
    </row>
    <row r="357" spans="2:11" ht="9.75" customHeight="1" x14ac:dyDescent="0.2">
      <c r="B357" s="38"/>
      <c r="C357" s="279" t="str">
        <f>"0:"</f>
        <v>0:</v>
      </c>
      <c r="D357" s="278" t="s">
        <v>932</v>
      </c>
      <c r="E357" s="40"/>
      <c r="F357" s="40"/>
      <c r="G357" s="40"/>
      <c r="H357" s="40"/>
      <c r="I357" s="40"/>
      <c r="J357" s="244"/>
      <c r="K357" s="41"/>
    </row>
    <row r="358" spans="2:11" ht="9.75" customHeight="1" x14ac:dyDescent="0.2">
      <c r="B358" s="38"/>
      <c r="C358" s="280" t="str">
        <f>"1:"</f>
        <v>1:</v>
      </c>
      <c r="D358" s="278" t="s">
        <v>933</v>
      </c>
      <c r="E358" s="40"/>
      <c r="F358" s="40"/>
      <c r="G358" s="40"/>
      <c r="H358" s="40"/>
      <c r="I358" s="40"/>
      <c r="J358" s="244"/>
      <c r="K358" s="41"/>
    </row>
    <row r="359" spans="2:11" ht="9.75" customHeight="1" x14ac:dyDescent="0.2">
      <c r="B359" s="38"/>
      <c r="C359" s="280" t="str">
        <f>"2:"</f>
        <v>2:</v>
      </c>
      <c r="D359" s="278" t="s">
        <v>935</v>
      </c>
      <c r="E359" s="40"/>
      <c r="F359" s="40"/>
      <c r="G359" s="40"/>
      <c r="H359" s="40"/>
      <c r="I359" s="40"/>
      <c r="J359" s="244"/>
      <c r="K359" s="41"/>
    </row>
    <row r="360" spans="2:11" ht="9.75" customHeight="1" x14ac:dyDescent="0.2">
      <c r="B360" s="38"/>
      <c r="C360" s="280" t="str">
        <f>"3:"</f>
        <v>3:</v>
      </c>
      <c r="D360" s="278" t="s">
        <v>937</v>
      </c>
      <c r="E360" s="40"/>
      <c r="F360" s="40"/>
      <c r="G360" s="40"/>
      <c r="H360" s="40"/>
      <c r="I360" s="40"/>
      <c r="J360" s="244"/>
      <c r="K360" s="41"/>
    </row>
    <row r="361" spans="2:11" ht="9.75" customHeight="1" x14ac:dyDescent="0.2">
      <c r="B361" s="38"/>
      <c r="C361" s="280" t="str">
        <f>"4:"</f>
        <v>4:</v>
      </c>
      <c r="D361" s="278" t="s">
        <v>938</v>
      </c>
      <c r="E361" s="40"/>
      <c r="F361" s="40"/>
      <c r="G361" s="40"/>
      <c r="H361" s="40"/>
      <c r="I361" s="40"/>
      <c r="J361" s="40"/>
      <c r="K361" s="41"/>
    </row>
    <row r="362" spans="2:11" ht="15" customHeight="1" x14ac:dyDescent="0.2">
      <c r="B362" s="38"/>
      <c r="C362" s="40" t="s">
        <v>257</v>
      </c>
      <c r="D362" s="40"/>
      <c r="E362" s="40"/>
      <c r="F362" s="40"/>
      <c r="G362" s="40"/>
      <c r="H362" s="40"/>
      <c r="I362" s="40"/>
      <c r="J362" s="266" t="s">
        <v>870</v>
      </c>
      <c r="K362" s="41"/>
    </row>
    <row r="363" spans="2:11" x14ac:dyDescent="0.2">
      <c r="B363" s="38"/>
      <c r="C363" s="40" t="s">
        <v>261</v>
      </c>
      <c r="D363" s="40"/>
      <c r="E363" s="40"/>
      <c r="F363" s="40"/>
      <c r="G363" s="40"/>
      <c r="H363" s="40"/>
      <c r="I363" s="40"/>
      <c r="J363" s="245">
        <f>IF(J362=$B$980,$A$980,IF(J362=$B$981,$A$981,IF(J362=$B$982,$A$982,IF(J362=$B$983,$A$983,IF(J362=$B$984,$A$984,"Not Calculated")))))</f>
        <v>0</v>
      </c>
      <c r="K363" s="41"/>
    </row>
    <row r="364" spans="2:11" x14ac:dyDescent="0.2">
      <c r="B364" s="38"/>
      <c r="C364" s="40" t="s">
        <v>893</v>
      </c>
      <c r="D364" s="40"/>
      <c r="E364" s="40"/>
      <c r="F364" s="40"/>
      <c r="G364" s="40"/>
      <c r="H364" s="40"/>
      <c r="I364" s="40"/>
      <c r="J364" s="40"/>
      <c r="K364" s="41"/>
    </row>
    <row r="365" spans="2:11" ht="30" customHeight="1" x14ac:dyDescent="0.2">
      <c r="B365" s="38"/>
      <c r="C365" s="399"/>
      <c r="D365" s="400"/>
      <c r="E365" s="400"/>
      <c r="F365" s="400"/>
      <c r="G365" s="400"/>
      <c r="H365" s="400"/>
      <c r="I365" s="400"/>
      <c r="J365" s="401"/>
      <c r="K365" s="41"/>
    </row>
    <row r="366" spans="2:11" x14ac:dyDescent="0.2">
      <c r="B366" s="38"/>
      <c r="C366" s="40"/>
      <c r="D366" s="40"/>
      <c r="E366" s="40"/>
      <c r="F366" s="40"/>
      <c r="G366" s="40"/>
      <c r="H366" s="40"/>
      <c r="I366" s="40"/>
      <c r="J366" s="40"/>
      <c r="K366" s="41"/>
    </row>
    <row r="367" spans="2:11" x14ac:dyDescent="0.2">
      <c r="B367" s="38"/>
      <c r="C367" s="179" t="s">
        <v>888</v>
      </c>
      <c r="D367" s="40"/>
      <c r="E367" s="40"/>
      <c r="F367" s="40"/>
      <c r="G367" s="40"/>
      <c r="H367" s="40"/>
      <c r="I367" s="40"/>
      <c r="J367" s="245">
        <f>IF(OR(J356="Not Calculated",J363="Not Calculated")=TRUE,"Not Calculated",AVERAGE(J356,J363))</f>
        <v>0</v>
      </c>
      <c r="K367" s="41"/>
    </row>
    <row r="368" spans="2:11" x14ac:dyDescent="0.2">
      <c r="B368" s="38"/>
      <c r="C368" s="40"/>
      <c r="D368" s="40"/>
      <c r="E368" s="40"/>
      <c r="F368" s="40"/>
      <c r="G368" s="40"/>
      <c r="H368" s="40"/>
      <c r="I368" s="40"/>
      <c r="J368" s="40"/>
      <c r="K368" s="41"/>
    </row>
    <row r="369" spans="2:11" x14ac:dyDescent="0.2">
      <c r="B369" s="38"/>
      <c r="C369" s="40"/>
      <c r="D369" s="40"/>
      <c r="E369" s="40"/>
      <c r="F369" s="40"/>
      <c r="G369" s="40"/>
      <c r="H369" s="40"/>
      <c r="I369" s="40"/>
      <c r="J369" s="40"/>
      <c r="K369" s="41"/>
    </row>
    <row r="370" spans="2:11" ht="16" x14ac:dyDescent="0.2">
      <c r="B370" s="38"/>
      <c r="C370" s="45" t="s">
        <v>863</v>
      </c>
      <c r="D370" s="40"/>
      <c r="E370" s="40"/>
      <c r="F370" s="40"/>
      <c r="G370" s="40"/>
      <c r="H370" s="40"/>
      <c r="I370" s="40"/>
      <c r="J370" s="40"/>
      <c r="K370" s="41"/>
    </row>
    <row r="371" spans="2:11" ht="15" customHeight="1" x14ac:dyDescent="0.2">
      <c r="B371" s="38"/>
      <c r="C371" s="380" t="s">
        <v>848</v>
      </c>
      <c r="D371" s="380"/>
      <c r="E371" s="380"/>
      <c r="F371" s="380"/>
      <c r="G371" s="380"/>
      <c r="H371" s="380"/>
      <c r="I371" s="380"/>
      <c r="J371" s="181"/>
      <c r="K371" s="41"/>
    </row>
    <row r="372" spans="2:11" x14ac:dyDescent="0.2">
      <c r="B372" s="38"/>
      <c r="C372" s="380"/>
      <c r="D372" s="380"/>
      <c r="E372" s="380"/>
      <c r="F372" s="380"/>
      <c r="G372" s="380"/>
      <c r="H372" s="380"/>
      <c r="I372" s="380"/>
      <c r="J372" s="264">
        <v>0</v>
      </c>
      <c r="K372" s="41"/>
    </row>
    <row r="373" spans="2:11" x14ac:dyDescent="0.2">
      <c r="B373" s="38"/>
      <c r="C373" s="40" t="s">
        <v>853</v>
      </c>
      <c r="D373" s="291"/>
      <c r="E373" s="291"/>
      <c r="F373" s="291"/>
      <c r="G373" s="291"/>
      <c r="H373" s="291"/>
      <c r="I373" s="291"/>
      <c r="J373" s="255">
        <f>'Baseline Health'!$G$102</f>
        <v>0</v>
      </c>
      <c r="K373" s="41"/>
    </row>
    <row r="374" spans="2:11" x14ac:dyDescent="0.2">
      <c r="B374" s="38"/>
      <c r="C374" s="40" t="s">
        <v>842</v>
      </c>
      <c r="D374" s="291"/>
      <c r="E374" s="291"/>
      <c r="F374" s="291"/>
      <c r="G374" s="291"/>
      <c r="H374" s="291"/>
      <c r="I374" s="291"/>
      <c r="J374" s="244" t="str">
        <f>IF('Baseline Health'!$G$102=0,"Not Calculated",100*J372/'Baseline Health'!$G$102)</f>
        <v>Not Calculated</v>
      </c>
      <c r="K374" s="41"/>
    </row>
    <row r="375" spans="2:11" x14ac:dyDescent="0.2">
      <c r="B375" s="38"/>
      <c r="C375" s="40" t="s">
        <v>260</v>
      </c>
      <c r="D375" s="40"/>
      <c r="E375" s="40"/>
      <c r="F375" s="40"/>
      <c r="G375" s="40"/>
      <c r="H375" s="40"/>
      <c r="I375" s="40"/>
      <c r="J375" s="251">
        <f>IF(J374&lt;=0,0,IF(J374&lt;=1,1,IF(J374&lt;=5,2,IF(J374&lt;=10,3,4))))</f>
        <v>4</v>
      </c>
      <c r="K375" s="41"/>
    </row>
    <row r="376" spans="2:11" ht="9.75" customHeight="1" x14ac:dyDescent="0.2">
      <c r="B376" s="38"/>
      <c r="C376" s="279" t="str">
        <f>"0:"</f>
        <v>0:</v>
      </c>
      <c r="D376" s="278" t="s">
        <v>932</v>
      </c>
      <c r="E376" s="291"/>
      <c r="F376" s="291"/>
      <c r="G376" s="291"/>
      <c r="H376" s="291"/>
      <c r="I376" s="291"/>
      <c r="J376" s="244"/>
      <c r="K376" s="41"/>
    </row>
    <row r="377" spans="2:11" ht="9.75" customHeight="1" x14ac:dyDescent="0.2">
      <c r="B377" s="38"/>
      <c r="C377" s="280" t="str">
        <f>"1:"</f>
        <v>1:</v>
      </c>
      <c r="D377" s="278" t="s">
        <v>934</v>
      </c>
      <c r="E377" s="291"/>
      <c r="F377" s="291"/>
      <c r="G377" s="291"/>
      <c r="H377" s="291"/>
      <c r="I377" s="291"/>
      <c r="J377" s="244"/>
      <c r="K377" s="41"/>
    </row>
    <row r="378" spans="2:11" ht="9.75" customHeight="1" x14ac:dyDescent="0.2">
      <c r="B378" s="38"/>
      <c r="C378" s="280" t="str">
        <f>"2:"</f>
        <v>2:</v>
      </c>
      <c r="D378" s="278" t="s">
        <v>933</v>
      </c>
      <c r="E378" s="291"/>
      <c r="F378" s="291"/>
      <c r="G378" s="291"/>
      <c r="H378" s="291"/>
      <c r="I378" s="291"/>
      <c r="J378" s="244"/>
      <c r="K378" s="41"/>
    </row>
    <row r="379" spans="2:11" ht="9.75" customHeight="1" x14ac:dyDescent="0.2">
      <c r="B379" s="38"/>
      <c r="C379" s="280" t="str">
        <f>"3:"</f>
        <v>3:</v>
      </c>
      <c r="D379" s="278" t="s">
        <v>935</v>
      </c>
      <c r="E379" s="291"/>
      <c r="F379" s="291"/>
      <c r="G379" s="291"/>
      <c r="H379" s="291"/>
      <c r="I379" s="291"/>
      <c r="J379" s="244"/>
      <c r="K379" s="41"/>
    </row>
    <row r="380" spans="2:11" ht="9.75" customHeight="1" x14ac:dyDescent="0.2">
      <c r="B380" s="38"/>
      <c r="C380" s="280" t="str">
        <f>"4:"</f>
        <v>4:</v>
      </c>
      <c r="D380" s="278" t="s">
        <v>936</v>
      </c>
      <c r="E380" s="40"/>
      <c r="F380" s="40"/>
      <c r="G380" s="40"/>
      <c r="H380" s="40"/>
      <c r="I380" s="40"/>
      <c r="J380" s="40"/>
      <c r="K380" s="41"/>
    </row>
    <row r="381" spans="2:11" x14ac:dyDescent="0.2">
      <c r="B381" s="38"/>
      <c r="C381" s="40" t="s">
        <v>85</v>
      </c>
      <c r="D381" s="40"/>
      <c r="E381" s="40"/>
      <c r="F381" s="40"/>
      <c r="G381" s="40"/>
      <c r="H381" s="40"/>
      <c r="I381" s="40"/>
      <c r="J381" s="254">
        <f>'Baseline Health'!G114</f>
        <v>7</v>
      </c>
      <c r="K381" s="41"/>
    </row>
    <row r="382" spans="2:11" x14ac:dyDescent="0.2">
      <c r="B382" s="38"/>
      <c r="C382" s="40" t="s">
        <v>297</v>
      </c>
      <c r="D382" s="40"/>
      <c r="E382" s="40"/>
      <c r="F382" s="40"/>
      <c r="G382" s="40"/>
      <c r="H382" s="40"/>
      <c r="I382" s="40"/>
      <c r="J382" s="266">
        <v>0</v>
      </c>
      <c r="K382" s="41"/>
    </row>
    <row r="383" spans="2:11" x14ac:dyDescent="0.2">
      <c r="B383" s="38"/>
      <c r="C383" s="40" t="s">
        <v>261</v>
      </c>
      <c r="D383" s="40"/>
      <c r="E383" s="40"/>
      <c r="F383" s="40"/>
      <c r="G383" s="40"/>
      <c r="H383" s="40"/>
      <c r="I383" s="40"/>
      <c r="J383" s="248">
        <f>IF((J382-J381)&lt;1,0,IF((J382-J381)&lt;3,1,IF((J382-J381)&lt;5,2,IF((J382-J381)&lt;7,3,4))))</f>
        <v>0</v>
      </c>
      <c r="K383" s="41"/>
    </row>
    <row r="384" spans="2:11" x14ac:dyDescent="0.2">
      <c r="B384" s="38"/>
      <c r="C384" s="40" t="s">
        <v>893</v>
      </c>
      <c r="D384" s="40"/>
      <c r="E384" s="40"/>
      <c r="F384" s="40"/>
      <c r="G384" s="40"/>
      <c r="H384" s="40"/>
      <c r="I384" s="40"/>
      <c r="J384" s="40"/>
      <c r="K384" s="41"/>
    </row>
    <row r="385" spans="2:11" ht="30" customHeight="1" x14ac:dyDescent="0.2">
      <c r="B385" s="38"/>
      <c r="C385" s="399"/>
      <c r="D385" s="400"/>
      <c r="E385" s="400"/>
      <c r="F385" s="400"/>
      <c r="G385" s="400"/>
      <c r="H385" s="400"/>
      <c r="I385" s="400"/>
      <c r="J385" s="401"/>
      <c r="K385" s="41"/>
    </row>
    <row r="386" spans="2:11" x14ac:dyDescent="0.2">
      <c r="B386" s="38"/>
      <c r="C386" s="40"/>
      <c r="D386" s="40"/>
      <c r="E386" s="40"/>
      <c r="F386" s="40"/>
      <c r="G386" s="40"/>
      <c r="H386" s="40"/>
      <c r="I386" s="40"/>
      <c r="J386" s="40"/>
      <c r="K386" s="41"/>
    </row>
    <row r="387" spans="2:11" x14ac:dyDescent="0.2">
      <c r="B387" s="38"/>
      <c r="C387" s="179" t="s">
        <v>889</v>
      </c>
      <c r="D387" s="40"/>
      <c r="E387" s="40"/>
      <c r="F387" s="40"/>
      <c r="G387" s="40"/>
      <c r="H387" s="40"/>
      <c r="I387" s="40"/>
      <c r="J387" s="245">
        <f>IF(OR(J375="Not Calculated",J383="Not Calculated")=TRUE,"Not Calculated",AVERAGE(J375,J383))</f>
        <v>2</v>
      </c>
      <c r="K387" s="41"/>
    </row>
    <row r="388" spans="2:11" x14ac:dyDescent="0.2">
      <c r="B388" s="38"/>
      <c r="C388" s="40"/>
      <c r="D388" s="40"/>
      <c r="E388" s="40"/>
      <c r="F388" s="40"/>
      <c r="G388" s="40"/>
      <c r="H388" s="40"/>
      <c r="I388" s="40"/>
      <c r="J388" s="40"/>
      <c r="K388" s="41"/>
    </row>
    <row r="389" spans="2:11" x14ac:dyDescent="0.2">
      <c r="B389" s="38"/>
      <c r="C389" s="40"/>
      <c r="D389" s="40"/>
      <c r="E389" s="40"/>
      <c r="F389" s="40"/>
      <c r="G389" s="40"/>
      <c r="H389" s="40"/>
      <c r="I389" s="40"/>
      <c r="J389" s="40"/>
      <c r="K389" s="41"/>
    </row>
    <row r="390" spans="2:11" ht="16" x14ac:dyDescent="0.2">
      <c r="B390" s="38"/>
      <c r="C390" s="45" t="s">
        <v>860</v>
      </c>
      <c r="D390" s="40"/>
      <c r="E390" s="40"/>
      <c r="F390" s="40"/>
      <c r="G390" s="40"/>
      <c r="H390" s="40"/>
      <c r="I390" s="40"/>
      <c r="J390" s="40"/>
      <c r="K390" s="41"/>
    </row>
    <row r="391" spans="2:11" x14ac:dyDescent="0.2">
      <c r="B391" s="38"/>
      <c r="C391" s="380" t="s">
        <v>849</v>
      </c>
      <c r="D391" s="380"/>
      <c r="E391" s="380"/>
      <c r="F391" s="380"/>
      <c r="G391" s="380"/>
      <c r="H391" s="380"/>
      <c r="I391" s="380"/>
      <c r="J391" s="181"/>
      <c r="K391" s="41"/>
    </row>
    <row r="392" spans="2:11" x14ac:dyDescent="0.2">
      <c r="B392" s="38"/>
      <c r="C392" s="380"/>
      <c r="D392" s="380"/>
      <c r="E392" s="380"/>
      <c r="F392" s="380"/>
      <c r="G392" s="380"/>
      <c r="H392" s="380"/>
      <c r="I392" s="380"/>
      <c r="J392" s="264">
        <v>0</v>
      </c>
      <c r="K392" s="41"/>
    </row>
    <row r="393" spans="2:11" x14ac:dyDescent="0.2">
      <c r="B393" s="38"/>
      <c r="C393" s="40" t="s">
        <v>853</v>
      </c>
      <c r="D393" s="291"/>
      <c r="E393" s="291"/>
      <c r="F393" s="291"/>
      <c r="G393" s="291"/>
      <c r="H393" s="291"/>
      <c r="I393" s="291"/>
      <c r="J393" s="255">
        <f>'Baseline Health'!$G$102</f>
        <v>0</v>
      </c>
      <c r="K393" s="41"/>
    </row>
    <row r="394" spans="2:11" ht="15" customHeight="1" x14ac:dyDescent="0.2">
      <c r="B394" s="38"/>
      <c r="C394" s="40" t="s">
        <v>850</v>
      </c>
      <c r="D394" s="291"/>
      <c r="E394" s="291"/>
      <c r="F394" s="291"/>
      <c r="G394" s="291"/>
      <c r="H394" s="291"/>
      <c r="I394" s="291"/>
      <c r="J394" s="244" t="str">
        <f>IF('Baseline Health'!$G$102=0,"Not Calculated",100*J392/'Baseline Health'!$G$102)</f>
        <v>Not Calculated</v>
      </c>
      <c r="K394" s="41"/>
    </row>
    <row r="395" spans="2:11" ht="15" customHeight="1" x14ac:dyDescent="0.2">
      <c r="B395" s="38"/>
      <c r="C395" s="40" t="s">
        <v>260</v>
      </c>
      <c r="D395" s="40"/>
      <c r="E395" s="40"/>
      <c r="F395" s="40"/>
      <c r="G395" s="40"/>
      <c r="H395" s="40"/>
      <c r="I395" s="40"/>
      <c r="J395" s="43">
        <f>IF(J394&lt;=0,0,IF(J394&lt;=1,1,IF(J394&lt;=5,2,IF(J394&lt;=10,3,4))))</f>
        <v>4</v>
      </c>
      <c r="K395" s="41"/>
    </row>
    <row r="396" spans="2:11" ht="9.75" customHeight="1" x14ac:dyDescent="0.2">
      <c r="B396" s="38"/>
      <c r="C396" s="279" t="str">
        <f>"0:"</f>
        <v>0:</v>
      </c>
      <c r="D396" s="278" t="s">
        <v>932</v>
      </c>
      <c r="E396" s="291"/>
      <c r="F396" s="291"/>
      <c r="G396" s="291"/>
      <c r="H396" s="291"/>
      <c r="I396" s="291"/>
      <c r="J396" s="244"/>
      <c r="K396" s="41"/>
    </row>
    <row r="397" spans="2:11" ht="9.75" customHeight="1" x14ac:dyDescent="0.2">
      <c r="B397" s="38"/>
      <c r="C397" s="280" t="str">
        <f>"1:"</f>
        <v>1:</v>
      </c>
      <c r="D397" s="278" t="s">
        <v>934</v>
      </c>
      <c r="E397" s="291"/>
      <c r="F397" s="291"/>
      <c r="G397" s="291"/>
      <c r="H397" s="291"/>
      <c r="I397" s="291"/>
      <c r="J397" s="244"/>
      <c r="K397" s="41"/>
    </row>
    <row r="398" spans="2:11" ht="9.75" customHeight="1" x14ac:dyDescent="0.2">
      <c r="B398" s="38"/>
      <c r="C398" s="280" t="str">
        <f>"2:"</f>
        <v>2:</v>
      </c>
      <c r="D398" s="278" t="s">
        <v>933</v>
      </c>
      <c r="E398" s="291"/>
      <c r="F398" s="291"/>
      <c r="G398" s="291"/>
      <c r="H398" s="291"/>
      <c r="I398" s="291"/>
      <c r="J398" s="244"/>
      <c r="K398" s="41"/>
    </row>
    <row r="399" spans="2:11" ht="9.75" customHeight="1" x14ac:dyDescent="0.2">
      <c r="B399" s="38"/>
      <c r="C399" s="280" t="str">
        <f>"3:"</f>
        <v>3:</v>
      </c>
      <c r="D399" s="278" t="s">
        <v>935</v>
      </c>
      <c r="E399" s="291"/>
      <c r="F399" s="291"/>
      <c r="G399" s="291"/>
      <c r="H399" s="291"/>
      <c r="I399" s="291"/>
      <c r="J399" s="244"/>
      <c r="K399" s="41"/>
    </row>
    <row r="400" spans="2:11" ht="9.75" customHeight="1" x14ac:dyDescent="0.2">
      <c r="B400" s="38"/>
      <c r="C400" s="280" t="str">
        <f>"4:"</f>
        <v>4:</v>
      </c>
      <c r="D400" s="278" t="s">
        <v>936</v>
      </c>
      <c r="E400" s="40"/>
      <c r="F400" s="40"/>
      <c r="G400" s="40"/>
      <c r="H400" s="40"/>
      <c r="I400" s="40"/>
      <c r="J400" s="40"/>
      <c r="K400" s="41"/>
    </row>
    <row r="401" spans="2:11" x14ac:dyDescent="0.2">
      <c r="B401" s="38"/>
      <c r="C401" s="40" t="s">
        <v>893</v>
      </c>
      <c r="D401" s="40"/>
      <c r="E401" s="40"/>
      <c r="F401" s="40"/>
      <c r="G401" s="40"/>
      <c r="H401" s="40"/>
      <c r="I401" s="40"/>
      <c r="J401" s="40"/>
      <c r="K401" s="41"/>
    </row>
    <row r="402" spans="2:11" ht="30" customHeight="1" x14ac:dyDescent="0.2">
      <c r="B402" s="38"/>
      <c r="C402" s="399"/>
      <c r="D402" s="400"/>
      <c r="E402" s="400"/>
      <c r="F402" s="400"/>
      <c r="G402" s="400"/>
      <c r="H402" s="400"/>
      <c r="I402" s="400"/>
      <c r="J402" s="401"/>
      <c r="K402" s="41"/>
    </row>
    <row r="403" spans="2:11" x14ac:dyDescent="0.2">
      <c r="B403" s="38"/>
      <c r="C403" s="40"/>
      <c r="D403" s="40"/>
      <c r="E403" s="40"/>
      <c r="F403" s="40"/>
      <c r="G403" s="40"/>
      <c r="H403" s="40"/>
      <c r="I403" s="40"/>
      <c r="J403" s="40"/>
      <c r="K403" s="41"/>
    </row>
    <row r="404" spans="2:11" x14ac:dyDescent="0.2">
      <c r="B404" s="38"/>
      <c r="C404" s="179" t="s">
        <v>890</v>
      </c>
      <c r="D404" s="40"/>
      <c r="E404" s="40"/>
      <c r="F404" s="40"/>
      <c r="G404" s="40"/>
      <c r="H404" s="40"/>
      <c r="I404" s="40"/>
      <c r="J404" s="245">
        <f>J395</f>
        <v>4</v>
      </c>
      <c r="K404" s="41"/>
    </row>
    <row r="405" spans="2:11" x14ac:dyDescent="0.2">
      <c r="B405" s="38"/>
      <c r="C405" s="40"/>
      <c r="D405" s="40"/>
      <c r="E405" s="40"/>
      <c r="F405" s="40"/>
      <c r="G405" s="40"/>
      <c r="H405" s="40"/>
      <c r="I405" s="40"/>
      <c r="J405" s="40"/>
      <c r="K405" s="41"/>
    </row>
    <row r="406" spans="2:11" x14ac:dyDescent="0.2">
      <c r="B406" s="38"/>
      <c r="C406" s="40"/>
      <c r="D406" s="40"/>
      <c r="E406" s="40"/>
      <c r="F406" s="40"/>
      <c r="G406" s="40"/>
      <c r="H406" s="40"/>
      <c r="I406" s="40"/>
      <c r="J406" s="40"/>
      <c r="K406" s="41"/>
    </row>
    <row r="407" spans="2:11" ht="16" x14ac:dyDescent="0.2">
      <c r="B407" s="38"/>
      <c r="C407" s="45" t="s">
        <v>861</v>
      </c>
      <c r="D407" s="40"/>
      <c r="E407" s="40"/>
      <c r="F407" s="40"/>
      <c r="G407" s="40"/>
      <c r="H407" s="40"/>
      <c r="I407" s="40"/>
      <c r="J407" s="40"/>
      <c r="K407" s="41"/>
    </row>
    <row r="408" spans="2:11" x14ac:dyDescent="0.2">
      <c r="B408" s="38"/>
      <c r="C408" s="40" t="s">
        <v>298</v>
      </c>
      <c r="D408" s="40"/>
      <c r="E408" s="40"/>
      <c r="F408" s="40"/>
      <c r="G408" s="40"/>
      <c r="H408" s="40"/>
      <c r="I408" s="40"/>
      <c r="J408" s="269">
        <v>0</v>
      </c>
      <c r="K408" s="41"/>
    </row>
    <row r="409" spans="2:11" x14ac:dyDescent="0.2">
      <c r="B409" s="38"/>
      <c r="C409" s="40" t="s">
        <v>260</v>
      </c>
      <c r="D409" s="40"/>
      <c r="E409" s="40"/>
      <c r="F409" s="40"/>
      <c r="G409" s="40"/>
      <c r="H409" s="40"/>
      <c r="I409" s="40"/>
      <c r="J409" s="253">
        <f>IF(J408&lt;=0,0,IF(J408&lt;=(J161*0.01),1,IF(J408&lt;=(J161*0.05),2,IF(J408&lt;=(J161*0.1),3,4))))</f>
        <v>0</v>
      </c>
      <c r="K409" s="41"/>
    </row>
    <row r="410" spans="2:11" ht="9.75" customHeight="1" x14ac:dyDescent="0.2">
      <c r="B410" s="38"/>
      <c r="C410" s="279" t="str">
        <f>"0:"</f>
        <v>0:</v>
      </c>
      <c r="D410" s="278" t="s">
        <v>939</v>
      </c>
      <c r="E410" s="40"/>
      <c r="F410" s="40"/>
      <c r="G410" s="40"/>
      <c r="H410" s="40"/>
      <c r="I410" s="40"/>
      <c r="J410" s="282"/>
      <c r="K410" s="41"/>
    </row>
    <row r="411" spans="2:11" ht="9.75" customHeight="1" x14ac:dyDescent="0.2">
      <c r="B411" s="38"/>
      <c r="C411" s="280" t="str">
        <f>"1:"</f>
        <v>1:</v>
      </c>
      <c r="D411" s="278" t="s">
        <v>940</v>
      </c>
      <c r="E411" s="40"/>
      <c r="F411" s="40"/>
      <c r="G411" s="40"/>
      <c r="H411" s="40"/>
      <c r="I411" s="40"/>
      <c r="J411" s="282"/>
      <c r="K411" s="41"/>
    </row>
    <row r="412" spans="2:11" ht="9.75" customHeight="1" x14ac:dyDescent="0.2">
      <c r="B412" s="38"/>
      <c r="C412" s="280" t="str">
        <f>"2:"</f>
        <v>2:</v>
      </c>
      <c r="D412" s="278" t="s">
        <v>941</v>
      </c>
      <c r="E412" s="40"/>
      <c r="F412" s="40"/>
      <c r="G412" s="40"/>
      <c r="H412" s="40"/>
      <c r="I412" s="40"/>
      <c r="J412" s="282"/>
      <c r="K412" s="41"/>
    </row>
    <row r="413" spans="2:11" ht="9.75" customHeight="1" x14ac:dyDescent="0.2">
      <c r="B413" s="38"/>
      <c r="C413" s="280" t="str">
        <f>"3:"</f>
        <v>3:</v>
      </c>
      <c r="D413" s="278" t="s">
        <v>942</v>
      </c>
      <c r="E413" s="40"/>
      <c r="F413" s="40"/>
      <c r="G413" s="40"/>
      <c r="H413" s="40"/>
      <c r="I413" s="40"/>
      <c r="J413" s="282"/>
      <c r="K413" s="41"/>
    </row>
    <row r="414" spans="2:11" ht="9.75" customHeight="1" x14ac:dyDescent="0.2">
      <c r="B414" s="38"/>
      <c r="C414" s="280" t="str">
        <f>"4:"</f>
        <v>4:</v>
      </c>
      <c r="D414" s="278" t="s">
        <v>943</v>
      </c>
      <c r="E414" s="40"/>
      <c r="F414" s="40"/>
      <c r="G414" s="40"/>
      <c r="H414" s="40"/>
      <c r="I414" s="40"/>
      <c r="J414" s="40"/>
      <c r="K414" s="41"/>
    </row>
    <row r="415" spans="2:11" x14ac:dyDescent="0.2">
      <c r="B415" s="38"/>
      <c r="C415" s="40" t="s">
        <v>893</v>
      </c>
      <c r="D415" s="40"/>
      <c r="E415" s="40"/>
      <c r="F415" s="40"/>
      <c r="G415" s="40"/>
      <c r="H415" s="40"/>
      <c r="I415" s="40"/>
      <c r="J415" s="40"/>
      <c r="K415" s="41"/>
    </row>
    <row r="416" spans="2:11" ht="30" customHeight="1" x14ac:dyDescent="0.2">
      <c r="B416" s="38"/>
      <c r="C416" s="399"/>
      <c r="D416" s="400"/>
      <c r="E416" s="400"/>
      <c r="F416" s="400"/>
      <c r="G416" s="400"/>
      <c r="H416" s="400"/>
      <c r="I416" s="400"/>
      <c r="J416" s="401"/>
      <c r="K416" s="41"/>
    </row>
    <row r="417" spans="2:11" x14ac:dyDescent="0.2">
      <c r="B417" s="38"/>
      <c r="C417" s="40"/>
      <c r="D417" s="40"/>
      <c r="E417" s="40"/>
      <c r="F417" s="40"/>
      <c r="G417" s="40"/>
      <c r="H417" s="40"/>
      <c r="I417" s="40"/>
      <c r="J417" s="40"/>
      <c r="K417" s="41"/>
    </row>
    <row r="418" spans="2:11" x14ac:dyDescent="0.2">
      <c r="B418" s="38"/>
      <c r="C418" s="179" t="s">
        <v>891</v>
      </c>
      <c r="D418" s="40"/>
      <c r="E418" s="40"/>
      <c r="F418" s="40"/>
      <c r="G418" s="40"/>
      <c r="H418" s="40"/>
      <c r="I418" s="40"/>
      <c r="J418" s="245">
        <f>J409</f>
        <v>0</v>
      </c>
      <c r="K418" s="41"/>
    </row>
    <row r="419" spans="2:11" x14ac:dyDescent="0.2">
      <c r="B419" s="38"/>
      <c r="C419" s="40"/>
      <c r="D419" s="40"/>
      <c r="E419" s="40"/>
      <c r="F419" s="40"/>
      <c r="G419" s="40"/>
      <c r="H419" s="40"/>
      <c r="I419" s="40"/>
      <c r="J419" s="40"/>
      <c r="K419" s="41"/>
    </row>
    <row r="420" spans="2:11" ht="20" customHeight="1" x14ac:dyDescent="0.2">
      <c r="B420" s="38"/>
      <c r="C420" s="410" t="s">
        <v>881</v>
      </c>
      <c r="D420" s="410"/>
      <c r="E420" s="410"/>
      <c r="F420" s="410"/>
      <c r="G420" s="410"/>
      <c r="H420" s="410"/>
      <c r="I420" s="410"/>
      <c r="J420" s="40"/>
      <c r="K420" s="41"/>
    </row>
    <row r="421" spans="2:11" ht="20" customHeight="1" x14ac:dyDescent="0.2">
      <c r="B421" s="38"/>
      <c r="C421" s="410"/>
      <c r="D421" s="410"/>
      <c r="E421" s="410"/>
      <c r="F421" s="410"/>
      <c r="G421" s="410"/>
      <c r="H421" s="410"/>
      <c r="I421" s="410"/>
      <c r="J421" s="244">
        <f>IF(OR(J288="Not Calculated",J307="Not Calculated",J326="Not Calculated",J349="Not Calculated",J367="Not Calculated",J387="Not Calculated",J404="Not Calculated",J418="Not Calculated")=TRUE,"Not Calculated",AVERAGE(J288,J307,J326,J349,J367,J387,J404,J418))</f>
        <v>1.5</v>
      </c>
      <c r="K421" s="41"/>
    </row>
    <row r="422" spans="2:11" ht="16" thickBot="1" x14ac:dyDescent="0.25">
      <c r="B422" s="46"/>
      <c r="C422" s="47"/>
      <c r="D422" s="47"/>
      <c r="E422" s="47"/>
      <c r="F422" s="47"/>
      <c r="G422" s="47"/>
      <c r="H422" s="47"/>
      <c r="I422" s="47"/>
      <c r="J422" s="47"/>
      <c r="K422" s="49"/>
    </row>
    <row r="423" spans="2:11" ht="16" thickBot="1" x14ac:dyDescent="0.25"/>
    <row r="424" spans="2:11" x14ac:dyDescent="0.2">
      <c r="B424" s="33"/>
      <c r="C424" s="34"/>
      <c r="D424" s="34"/>
      <c r="E424" s="34"/>
      <c r="F424" s="34"/>
      <c r="G424" s="34"/>
      <c r="H424" s="34"/>
      <c r="I424" s="34"/>
      <c r="J424" s="34"/>
      <c r="K424" s="37"/>
    </row>
    <row r="425" spans="2:11" ht="21" x14ac:dyDescent="0.25">
      <c r="B425" s="38"/>
      <c r="C425" s="40"/>
      <c r="D425" s="40"/>
      <c r="E425" s="40"/>
      <c r="F425" s="40"/>
      <c r="G425" s="172" t="s">
        <v>230</v>
      </c>
      <c r="H425" s="40"/>
      <c r="I425" s="40"/>
      <c r="J425" s="40"/>
      <c r="K425" s="41"/>
    </row>
    <row r="426" spans="2:11" x14ac:dyDescent="0.2">
      <c r="B426" s="38"/>
      <c r="C426" s="40"/>
      <c r="D426" s="40"/>
      <c r="E426" s="40"/>
      <c r="F426" s="40"/>
      <c r="G426" s="40"/>
      <c r="H426" s="40"/>
      <c r="I426" s="40"/>
      <c r="J426" s="40"/>
      <c r="K426" s="41"/>
    </row>
    <row r="427" spans="2:11" ht="16" x14ac:dyDescent="0.2">
      <c r="B427" s="38"/>
      <c r="C427" s="45" t="s">
        <v>299</v>
      </c>
      <c r="D427" s="40"/>
      <c r="E427" s="40"/>
      <c r="F427" s="40"/>
      <c r="G427" s="40"/>
      <c r="H427" s="40"/>
      <c r="I427" s="40"/>
      <c r="J427" s="40"/>
      <c r="K427" s="41"/>
    </row>
    <row r="428" spans="2:11" x14ac:dyDescent="0.2">
      <c r="B428" s="38"/>
      <c r="C428" s="40" t="s">
        <v>300</v>
      </c>
      <c r="D428" s="40"/>
      <c r="E428" s="40"/>
      <c r="F428" s="40"/>
      <c r="G428" s="40"/>
      <c r="H428" s="40"/>
      <c r="I428" s="40"/>
      <c r="J428" s="270">
        <v>0</v>
      </c>
      <c r="K428" s="41"/>
    </row>
    <row r="429" spans="2:11" x14ac:dyDescent="0.2">
      <c r="B429" s="38"/>
      <c r="C429" s="40" t="s">
        <v>260</v>
      </c>
      <c r="D429" s="40"/>
      <c r="E429" s="40"/>
      <c r="F429" s="40"/>
      <c r="G429" s="40"/>
      <c r="H429" s="40"/>
      <c r="I429" s="40"/>
      <c r="J429" s="248">
        <f>IF(J428&lt;=0,0,IF(J428&lt;=1,1,IF(J428&lt;=5,2,IF(J428&lt;=10,3,4))))</f>
        <v>0</v>
      </c>
      <c r="K429" s="41"/>
    </row>
    <row r="430" spans="2:11" s="98" customFormat="1" ht="9.75" customHeight="1" x14ac:dyDescent="0.2">
      <c r="B430" s="288"/>
      <c r="C430" s="279" t="str">
        <f>"0:"</f>
        <v>0:</v>
      </c>
      <c r="D430" s="290" t="s">
        <v>944</v>
      </c>
      <c r="E430" s="245"/>
      <c r="F430" s="245"/>
      <c r="G430" s="245"/>
      <c r="H430" s="245"/>
      <c r="I430" s="245"/>
      <c r="J430" s="245"/>
      <c r="K430" s="289"/>
    </row>
    <row r="431" spans="2:11" s="98" customFormat="1" ht="9.75" customHeight="1" x14ac:dyDescent="0.2">
      <c r="B431" s="288"/>
      <c r="C431" s="280" t="str">
        <f>"1:"</f>
        <v>1:</v>
      </c>
      <c r="D431" s="290" t="s">
        <v>945</v>
      </c>
      <c r="E431" s="245"/>
      <c r="F431" s="245"/>
      <c r="G431" s="245"/>
      <c r="H431" s="245"/>
      <c r="I431" s="245"/>
      <c r="J431" s="245"/>
      <c r="K431" s="289"/>
    </row>
    <row r="432" spans="2:11" s="98" customFormat="1" ht="9.75" customHeight="1" x14ac:dyDescent="0.2">
      <c r="B432" s="288"/>
      <c r="C432" s="280" t="str">
        <f>"2:"</f>
        <v>2:</v>
      </c>
      <c r="D432" s="290" t="s">
        <v>946</v>
      </c>
      <c r="E432" s="245"/>
      <c r="F432" s="245"/>
      <c r="G432" s="245"/>
      <c r="H432" s="245"/>
      <c r="I432" s="245"/>
      <c r="J432" s="245"/>
      <c r="K432" s="289"/>
    </row>
    <row r="433" spans="2:11" s="98" customFormat="1" ht="9.75" customHeight="1" x14ac:dyDescent="0.2">
      <c r="B433" s="288"/>
      <c r="C433" s="280" t="str">
        <f>"3:"</f>
        <v>3:</v>
      </c>
      <c r="D433" s="290" t="s">
        <v>947</v>
      </c>
      <c r="E433" s="245"/>
      <c r="F433" s="245"/>
      <c r="G433" s="245"/>
      <c r="H433" s="245"/>
      <c r="I433" s="245"/>
      <c r="J433" s="245"/>
      <c r="K433" s="289"/>
    </row>
    <row r="434" spans="2:11" s="98" customFormat="1" ht="9.75" customHeight="1" x14ac:dyDescent="0.2">
      <c r="B434" s="288"/>
      <c r="C434" s="280" t="str">
        <f>"4:"</f>
        <v>4:</v>
      </c>
      <c r="D434" s="290" t="s">
        <v>948</v>
      </c>
      <c r="E434" s="245"/>
      <c r="F434" s="245"/>
      <c r="G434" s="245"/>
      <c r="H434" s="245"/>
      <c r="I434" s="245"/>
      <c r="J434" s="247"/>
      <c r="K434" s="289"/>
    </row>
    <row r="435" spans="2:11" x14ac:dyDescent="0.2">
      <c r="B435" s="38"/>
      <c r="C435" s="40" t="s">
        <v>257</v>
      </c>
      <c r="D435" s="40"/>
      <c r="E435" s="40"/>
      <c r="F435" s="40"/>
      <c r="G435" s="40"/>
      <c r="H435" s="40"/>
      <c r="I435" s="40"/>
      <c r="J435" s="266" t="s">
        <v>870</v>
      </c>
      <c r="K435" s="41"/>
    </row>
    <row r="436" spans="2:11" x14ac:dyDescent="0.2">
      <c r="B436" s="38"/>
      <c r="C436" s="40" t="s">
        <v>261</v>
      </c>
      <c r="D436" s="40"/>
      <c r="E436" s="40"/>
      <c r="F436" s="40"/>
      <c r="G436" s="40"/>
      <c r="H436" s="40"/>
      <c r="I436" s="40"/>
      <c r="J436" s="245">
        <f>IF(J435=$B$973,$A$973,IF(J435=$B$974,$A$974,IF(J435=$B$975,$A$975,IF(J435=$B$976,$A$976,IF(J435=$B$977,$A$977,"Not Calculated")))))</f>
        <v>0</v>
      </c>
      <c r="K436" s="41"/>
    </row>
    <row r="437" spans="2:11" x14ac:dyDescent="0.2">
      <c r="B437" s="38"/>
      <c r="C437" s="40" t="s">
        <v>893</v>
      </c>
      <c r="D437" s="40"/>
      <c r="E437" s="40"/>
      <c r="F437" s="40"/>
      <c r="G437" s="40"/>
      <c r="H437" s="40"/>
      <c r="I437" s="40"/>
      <c r="J437" s="40"/>
      <c r="K437" s="41"/>
    </row>
    <row r="438" spans="2:11" ht="30" customHeight="1" x14ac:dyDescent="0.2">
      <c r="B438" s="38"/>
      <c r="C438" s="399"/>
      <c r="D438" s="400"/>
      <c r="E438" s="400"/>
      <c r="F438" s="400"/>
      <c r="G438" s="400"/>
      <c r="H438" s="400"/>
      <c r="I438" s="400"/>
      <c r="J438" s="401"/>
      <c r="K438" s="41"/>
    </row>
    <row r="439" spans="2:11" x14ac:dyDescent="0.2">
      <c r="B439" s="38"/>
      <c r="C439" s="40"/>
      <c r="D439" s="40"/>
      <c r="E439" s="40"/>
      <c r="F439" s="40"/>
      <c r="G439" s="40"/>
      <c r="H439" s="40"/>
      <c r="I439" s="40"/>
      <c r="J439" s="40"/>
      <c r="K439" s="41"/>
    </row>
    <row r="440" spans="2:11" x14ac:dyDescent="0.2">
      <c r="B440" s="38"/>
      <c r="C440" s="179" t="s">
        <v>301</v>
      </c>
      <c r="D440" s="40"/>
      <c r="E440" s="40"/>
      <c r="F440" s="40"/>
      <c r="G440" s="40"/>
      <c r="H440" s="40"/>
      <c r="I440" s="40"/>
      <c r="J440" s="245">
        <f>IF(OR(J429="Not Calculated",J436="Not Calculated")=TRUE,"Not Calculated",AVERAGE(J429,J436))</f>
        <v>0</v>
      </c>
      <c r="K440" s="41"/>
    </row>
    <row r="441" spans="2:11" x14ac:dyDescent="0.2">
      <c r="B441" s="38"/>
      <c r="C441" s="40"/>
      <c r="D441" s="40"/>
      <c r="E441" s="40"/>
      <c r="F441" s="40"/>
      <c r="G441" s="40"/>
      <c r="H441" s="40"/>
      <c r="I441" s="40"/>
      <c r="J441" s="40"/>
      <c r="K441" s="41"/>
    </row>
    <row r="442" spans="2:11" x14ac:dyDescent="0.2">
      <c r="B442" s="38"/>
      <c r="C442" s="40"/>
      <c r="D442" s="40"/>
      <c r="E442" s="40"/>
      <c r="F442" s="40"/>
      <c r="G442" s="40"/>
      <c r="H442" s="40"/>
      <c r="I442" s="40"/>
      <c r="J442" s="40"/>
      <c r="K442" s="41"/>
    </row>
    <row r="443" spans="2:11" ht="16" x14ac:dyDescent="0.2">
      <c r="B443" s="38"/>
      <c r="C443" s="45" t="s">
        <v>303</v>
      </c>
      <c r="D443" s="40"/>
      <c r="E443" s="40"/>
      <c r="F443" s="40"/>
      <c r="G443" s="40"/>
      <c r="H443" s="40"/>
      <c r="I443" s="40"/>
      <c r="J443" s="40"/>
      <c r="K443" s="41"/>
    </row>
    <row r="444" spans="2:11" ht="15" customHeight="1" x14ac:dyDescent="0.2">
      <c r="B444" s="38"/>
      <c r="C444" s="380" t="s">
        <v>305</v>
      </c>
      <c r="D444" s="380"/>
      <c r="E444" s="380"/>
      <c r="F444" s="380"/>
      <c r="G444" s="380"/>
      <c r="H444" s="380"/>
      <c r="I444" s="380"/>
      <c r="J444" s="40"/>
      <c r="K444" s="41"/>
    </row>
    <row r="445" spans="2:11" x14ac:dyDescent="0.2">
      <c r="B445" s="38"/>
      <c r="C445" s="380"/>
      <c r="D445" s="380"/>
      <c r="E445" s="380"/>
      <c r="F445" s="380"/>
      <c r="G445" s="380"/>
      <c r="H445" s="380"/>
      <c r="I445" s="380"/>
      <c r="J445" s="270">
        <v>0</v>
      </c>
      <c r="K445" s="41"/>
    </row>
    <row r="446" spans="2:11" x14ac:dyDescent="0.2">
      <c r="B446" s="38"/>
      <c r="C446" s="40" t="s">
        <v>260</v>
      </c>
      <c r="D446" s="40"/>
      <c r="E446" s="40"/>
      <c r="F446" s="40"/>
      <c r="G446" s="40"/>
      <c r="H446" s="40"/>
      <c r="I446" s="40"/>
      <c r="J446" s="248">
        <f>IF(J445&lt;=0,0,IF(J445&lt;=1,1,IF(J445&lt;=5,2,IF(J445&lt;=10,3,4))))</f>
        <v>0</v>
      </c>
      <c r="K446" s="41"/>
    </row>
    <row r="447" spans="2:11" ht="9.75" customHeight="1" x14ac:dyDescent="0.2">
      <c r="B447" s="38"/>
      <c r="C447" s="279" t="str">
        <f>"0:"</f>
        <v>0:</v>
      </c>
      <c r="D447" s="278" t="s">
        <v>944</v>
      </c>
      <c r="E447" s="40"/>
      <c r="F447" s="40"/>
      <c r="G447" s="40"/>
      <c r="H447" s="40"/>
      <c r="I447" s="40"/>
      <c r="J447" s="245"/>
      <c r="K447" s="41"/>
    </row>
    <row r="448" spans="2:11" ht="9.75" customHeight="1" x14ac:dyDescent="0.2">
      <c r="B448" s="38"/>
      <c r="C448" s="280" t="str">
        <f>"1:"</f>
        <v>1:</v>
      </c>
      <c r="D448" s="278" t="s">
        <v>945</v>
      </c>
      <c r="E448" s="40"/>
      <c r="F448" s="40"/>
      <c r="G448" s="40"/>
      <c r="H448" s="40"/>
      <c r="I448" s="40"/>
      <c r="J448" s="245"/>
      <c r="K448" s="41"/>
    </row>
    <row r="449" spans="2:11" ht="9.75" customHeight="1" x14ac:dyDescent="0.2">
      <c r="B449" s="38"/>
      <c r="C449" s="280" t="str">
        <f>"2:"</f>
        <v>2:</v>
      </c>
      <c r="D449" s="278" t="s">
        <v>946</v>
      </c>
      <c r="E449" s="40"/>
      <c r="F449" s="40"/>
      <c r="G449" s="40"/>
      <c r="H449" s="40"/>
      <c r="I449" s="40"/>
      <c r="J449" s="245"/>
      <c r="K449" s="41"/>
    </row>
    <row r="450" spans="2:11" ht="9.75" customHeight="1" x14ac:dyDescent="0.2">
      <c r="B450" s="38"/>
      <c r="C450" s="280" t="str">
        <f>"3:"</f>
        <v>3:</v>
      </c>
      <c r="D450" s="278" t="s">
        <v>947</v>
      </c>
      <c r="E450" s="40"/>
      <c r="F450" s="40"/>
      <c r="G450" s="40"/>
      <c r="H450" s="40"/>
      <c r="I450" s="40"/>
      <c r="J450" s="245"/>
      <c r="K450" s="41"/>
    </row>
    <row r="451" spans="2:11" ht="9.75" customHeight="1" x14ac:dyDescent="0.2">
      <c r="B451" s="38"/>
      <c r="C451" s="280" t="str">
        <f>"4:"</f>
        <v>4:</v>
      </c>
      <c r="D451" s="278" t="s">
        <v>948</v>
      </c>
      <c r="E451" s="40"/>
      <c r="F451" s="40"/>
      <c r="G451" s="40"/>
      <c r="H451" s="40"/>
      <c r="I451" s="40"/>
      <c r="J451" s="247"/>
      <c r="K451" s="41"/>
    </row>
    <row r="452" spans="2:11" x14ac:dyDescent="0.2">
      <c r="B452" s="38"/>
      <c r="C452" s="40" t="s">
        <v>257</v>
      </c>
      <c r="D452" s="40"/>
      <c r="E452" s="40"/>
      <c r="F452" s="40"/>
      <c r="G452" s="40"/>
      <c r="H452" s="40"/>
      <c r="I452" s="40"/>
      <c r="J452" s="266" t="s">
        <v>870</v>
      </c>
      <c r="K452" s="41"/>
    </row>
    <row r="453" spans="2:11" x14ac:dyDescent="0.2">
      <c r="B453" s="38"/>
      <c r="C453" s="40" t="s">
        <v>261</v>
      </c>
      <c r="D453" s="40"/>
      <c r="E453" s="40"/>
      <c r="F453" s="40"/>
      <c r="G453" s="40"/>
      <c r="H453" s="40"/>
      <c r="I453" s="40"/>
      <c r="J453" s="245">
        <f>IF(J452=$B$973,$A$973,IF(J452=$B$974,$A$974,IF(J452=$B$975,$A$975,IF(J452=$B$976,$A$976,IF(J452=$B$977,$A$977,"Not Calculated")))))</f>
        <v>0</v>
      </c>
      <c r="K453" s="41"/>
    </row>
    <row r="454" spans="2:11" x14ac:dyDescent="0.2">
      <c r="B454" s="38"/>
      <c r="C454" s="40" t="s">
        <v>893</v>
      </c>
      <c r="D454" s="40"/>
      <c r="E454" s="40"/>
      <c r="F454" s="40"/>
      <c r="G454" s="40"/>
      <c r="H454" s="40"/>
      <c r="I454" s="40"/>
      <c r="J454" s="40"/>
      <c r="K454" s="41"/>
    </row>
    <row r="455" spans="2:11" ht="30" customHeight="1" x14ac:dyDescent="0.2">
      <c r="B455" s="38"/>
      <c r="C455" s="399"/>
      <c r="D455" s="400"/>
      <c r="E455" s="400"/>
      <c r="F455" s="400"/>
      <c r="G455" s="400"/>
      <c r="H455" s="400"/>
      <c r="I455" s="400"/>
      <c r="J455" s="401"/>
      <c r="K455" s="41"/>
    </row>
    <row r="456" spans="2:11" x14ac:dyDescent="0.2">
      <c r="B456" s="38"/>
      <c r="C456" s="40"/>
      <c r="D456" s="40"/>
      <c r="E456" s="40"/>
      <c r="F456" s="40"/>
      <c r="G456" s="40"/>
      <c r="H456" s="40"/>
      <c r="I456" s="40"/>
      <c r="J456" s="40"/>
      <c r="K456" s="41"/>
    </row>
    <row r="457" spans="2:11" x14ac:dyDescent="0.2">
      <c r="B457" s="38"/>
      <c r="C457" s="179" t="s">
        <v>304</v>
      </c>
      <c r="D457" s="40"/>
      <c r="E457" s="40"/>
      <c r="F457" s="40"/>
      <c r="G457" s="40"/>
      <c r="H457" s="40"/>
      <c r="I457" s="40"/>
      <c r="J457" s="245">
        <f>IF(OR(J446="Not Calculated",J453="Not Calculated")=TRUE,"Not Calculated",AVERAGE(J446,J453))</f>
        <v>0</v>
      </c>
      <c r="K457" s="41"/>
    </row>
    <row r="458" spans="2:11" x14ac:dyDescent="0.2">
      <c r="B458" s="38"/>
      <c r="C458" s="40"/>
      <c r="D458" s="40"/>
      <c r="E458" s="40"/>
      <c r="F458" s="40"/>
      <c r="G458" s="40"/>
      <c r="H458" s="40"/>
      <c r="I458" s="40"/>
      <c r="J458" s="40"/>
      <c r="K458" s="41"/>
    </row>
    <row r="459" spans="2:11" x14ac:dyDescent="0.2">
      <c r="B459" s="38"/>
      <c r="C459" s="40"/>
      <c r="D459" s="40"/>
      <c r="E459" s="40"/>
      <c r="F459" s="40"/>
      <c r="G459" s="40"/>
      <c r="H459" s="40"/>
      <c r="I459" s="40"/>
      <c r="J459" s="40"/>
      <c r="K459" s="41"/>
    </row>
    <row r="460" spans="2:11" ht="16" x14ac:dyDescent="0.2">
      <c r="B460" s="38"/>
      <c r="C460" s="45" t="s">
        <v>306</v>
      </c>
      <c r="D460" s="40"/>
      <c r="E460" s="40"/>
      <c r="F460" s="40"/>
      <c r="G460" s="40"/>
      <c r="H460" s="40"/>
      <c r="I460" s="40"/>
      <c r="J460" s="40"/>
      <c r="K460" s="41"/>
    </row>
    <row r="461" spans="2:11" x14ac:dyDescent="0.2">
      <c r="B461" s="38"/>
      <c r="C461" s="40" t="s">
        <v>949</v>
      </c>
      <c r="D461" s="40"/>
      <c r="E461" s="40"/>
      <c r="F461" s="40"/>
      <c r="G461" s="40"/>
      <c r="H461" s="40"/>
      <c r="I461" s="40"/>
      <c r="J461" s="270">
        <v>0</v>
      </c>
      <c r="K461" s="41"/>
    </row>
    <row r="462" spans="2:11" x14ac:dyDescent="0.2">
      <c r="B462" s="38"/>
      <c r="C462" s="40" t="s">
        <v>260</v>
      </c>
      <c r="D462" s="40"/>
      <c r="E462" s="40"/>
      <c r="F462" s="40"/>
      <c r="G462" s="40"/>
      <c r="H462" s="40"/>
      <c r="I462" s="40"/>
      <c r="J462" s="248">
        <f>IF(J461&lt;=0,0,IF(J461&lt;=1,1,IF(J461&lt;=5,2,IF(J461&lt;=10,3,4))))</f>
        <v>0</v>
      </c>
      <c r="K462" s="41"/>
    </row>
    <row r="463" spans="2:11" ht="9.75" customHeight="1" x14ac:dyDescent="0.2">
      <c r="B463" s="38"/>
      <c r="C463" s="279" t="str">
        <f>"0:"</f>
        <v>0:</v>
      </c>
      <c r="D463" s="290" t="s">
        <v>944</v>
      </c>
      <c r="E463" s="40"/>
      <c r="F463" s="40"/>
      <c r="G463" s="40"/>
      <c r="H463" s="40"/>
      <c r="I463" s="40"/>
      <c r="J463" s="245"/>
      <c r="K463" s="41"/>
    </row>
    <row r="464" spans="2:11" ht="9.75" customHeight="1" x14ac:dyDescent="0.2">
      <c r="B464" s="38"/>
      <c r="C464" s="280" t="str">
        <f>"1:"</f>
        <v>1:</v>
      </c>
      <c r="D464" s="290" t="s">
        <v>945</v>
      </c>
      <c r="E464" s="40"/>
      <c r="F464" s="40"/>
      <c r="G464" s="40"/>
      <c r="H464" s="40"/>
      <c r="I464" s="40"/>
      <c r="J464" s="245"/>
      <c r="K464" s="41"/>
    </row>
    <row r="465" spans="2:11" ht="9.75" customHeight="1" x14ac:dyDescent="0.2">
      <c r="B465" s="38"/>
      <c r="C465" s="280" t="str">
        <f>"2:"</f>
        <v>2:</v>
      </c>
      <c r="D465" s="290" t="s">
        <v>946</v>
      </c>
      <c r="E465" s="40"/>
      <c r="F465" s="40"/>
      <c r="G465" s="40"/>
      <c r="H465" s="40"/>
      <c r="I465" s="40"/>
      <c r="J465" s="245"/>
      <c r="K465" s="41"/>
    </row>
    <row r="466" spans="2:11" ht="9.75" customHeight="1" x14ac:dyDescent="0.2">
      <c r="B466" s="38"/>
      <c r="C466" s="280" t="str">
        <f>"3:"</f>
        <v>3:</v>
      </c>
      <c r="D466" s="290" t="s">
        <v>947</v>
      </c>
      <c r="E466" s="40"/>
      <c r="F466" s="40"/>
      <c r="G466" s="40"/>
      <c r="H466" s="40"/>
      <c r="I466" s="40"/>
      <c r="J466" s="245"/>
      <c r="K466" s="41"/>
    </row>
    <row r="467" spans="2:11" ht="9.75" customHeight="1" x14ac:dyDescent="0.2">
      <c r="B467" s="38"/>
      <c r="C467" s="280" t="str">
        <f>"4:"</f>
        <v>4:</v>
      </c>
      <c r="D467" s="290" t="s">
        <v>948</v>
      </c>
      <c r="E467" s="40"/>
      <c r="F467" s="40"/>
      <c r="G467" s="40"/>
      <c r="H467" s="40"/>
      <c r="I467" s="40"/>
      <c r="J467" s="247"/>
      <c r="K467" s="41"/>
    </row>
    <row r="468" spans="2:11" x14ac:dyDescent="0.2">
      <c r="B468" s="38"/>
      <c r="C468" s="40" t="s">
        <v>257</v>
      </c>
      <c r="D468" s="40"/>
      <c r="E468" s="40"/>
      <c r="F468" s="40"/>
      <c r="G468" s="40"/>
      <c r="H468" s="40"/>
      <c r="I468" s="40"/>
      <c r="J468" s="266" t="s">
        <v>870</v>
      </c>
      <c r="K468" s="41"/>
    </row>
    <row r="469" spans="2:11" ht="15" customHeight="1" x14ac:dyDescent="0.2">
      <c r="B469" s="38"/>
      <c r="C469" s="40" t="s">
        <v>261</v>
      </c>
      <c r="D469" s="40"/>
      <c r="E469" s="40"/>
      <c r="F469" s="40"/>
      <c r="G469" s="40"/>
      <c r="H469" s="40"/>
      <c r="I469" s="40"/>
      <c r="J469" s="245">
        <f>IF(J468=$B$973,$A$973,IF(J468=$B$974,$A$974,IF(J468=$B$975,$A$975,IF(J468=$B$976,$A$976,IF(J468=$B$977,$A$977,"Not Calculated")))))</f>
        <v>0</v>
      </c>
      <c r="K469" s="41"/>
    </row>
    <row r="470" spans="2:11" x14ac:dyDescent="0.2">
      <c r="B470" s="38"/>
      <c r="C470" s="40" t="s">
        <v>893</v>
      </c>
      <c r="D470" s="40"/>
      <c r="E470" s="40"/>
      <c r="F470" s="40"/>
      <c r="G470" s="40"/>
      <c r="H470" s="40"/>
      <c r="I470" s="40"/>
      <c r="J470" s="40"/>
      <c r="K470" s="41"/>
    </row>
    <row r="471" spans="2:11" ht="30" customHeight="1" x14ac:dyDescent="0.2">
      <c r="B471" s="38"/>
      <c r="C471" s="399"/>
      <c r="D471" s="400"/>
      <c r="E471" s="400"/>
      <c r="F471" s="400"/>
      <c r="G471" s="400"/>
      <c r="H471" s="400"/>
      <c r="I471" s="400"/>
      <c r="J471" s="401"/>
      <c r="K471" s="41"/>
    </row>
    <row r="472" spans="2:11" x14ac:dyDescent="0.2">
      <c r="B472" s="38"/>
      <c r="C472" s="40"/>
      <c r="D472" s="40"/>
      <c r="E472" s="40"/>
      <c r="F472" s="40"/>
      <c r="G472" s="40"/>
      <c r="H472" s="40"/>
      <c r="I472" s="40"/>
      <c r="J472" s="40"/>
      <c r="K472" s="41"/>
    </row>
    <row r="473" spans="2:11" x14ac:dyDescent="0.2">
      <c r="B473" s="38"/>
      <c r="C473" s="179" t="s">
        <v>307</v>
      </c>
      <c r="D473" s="40"/>
      <c r="E473" s="40"/>
      <c r="F473" s="40"/>
      <c r="G473" s="40"/>
      <c r="H473" s="40"/>
      <c r="I473" s="40"/>
      <c r="J473" s="245">
        <f>IF(OR(J462="Not Calculated",J469="Not Calculated")=TRUE,"Not Calculated",AVERAGE(J462,J469))</f>
        <v>0</v>
      </c>
      <c r="K473" s="41"/>
    </row>
    <row r="474" spans="2:11" x14ac:dyDescent="0.2">
      <c r="B474" s="38"/>
      <c r="C474" s="40"/>
      <c r="D474" s="40"/>
      <c r="E474" s="40"/>
      <c r="F474" s="40"/>
      <c r="G474" s="40"/>
      <c r="H474" s="40"/>
      <c r="I474" s="40"/>
      <c r="J474" s="40"/>
      <c r="K474" s="41"/>
    </row>
    <row r="475" spans="2:11" x14ac:dyDescent="0.2">
      <c r="B475" s="38"/>
      <c r="C475" s="40"/>
      <c r="D475" s="40"/>
      <c r="E475" s="40"/>
      <c r="F475" s="40"/>
      <c r="G475" s="40"/>
      <c r="H475" s="40"/>
      <c r="I475" s="40"/>
      <c r="J475" s="40"/>
      <c r="K475" s="41"/>
    </row>
    <row r="476" spans="2:11" ht="16" x14ac:dyDescent="0.2">
      <c r="B476" s="38"/>
      <c r="C476" s="45" t="s">
        <v>308</v>
      </c>
      <c r="D476" s="40"/>
      <c r="E476" s="40"/>
      <c r="F476" s="40"/>
      <c r="G476" s="40"/>
      <c r="H476" s="40"/>
      <c r="I476" s="40"/>
      <c r="J476" s="40"/>
      <c r="K476" s="41"/>
    </row>
    <row r="477" spans="2:11" ht="15" customHeight="1" x14ac:dyDescent="0.2">
      <c r="B477" s="38"/>
      <c r="C477" s="380" t="s">
        <v>310</v>
      </c>
      <c r="D477" s="380"/>
      <c r="E477" s="380"/>
      <c r="F477" s="380"/>
      <c r="G477" s="380"/>
      <c r="H477" s="380"/>
      <c r="I477" s="380"/>
      <c r="J477" s="40"/>
      <c r="K477" s="41"/>
    </row>
    <row r="478" spans="2:11" x14ac:dyDescent="0.2">
      <c r="B478" s="38"/>
      <c r="C478" s="380"/>
      <c r="D478" s="380"/>
      <c r="E478" s="380"/>
      <c r="F478" s="380"/>
      <c r="G478" s="380"/>
      <c r="H478" s="380"/>
      <c r="I478" s="380"/>
      <c r="J478" s="131">
        <v>0</v>
      </c>
      <c r="K478" s="41"/>
    </row>
    <row r="479" spans="2:11" x14ac:dyDescent="0.2">
      <c r="B479" s="38"/>
      <c r="C479" s="40" t="s">
        <v>261</v>
      </c>
      <c r="D479" s="40"/>
      <c r="E479" s="40"/>
      <c r="F479" s="40"/>
      <c r="G479" s="40"/>
      <c r="H479" s="40"/>
      <c r="I479" s="40"/>
      <c r="J479" s="245">
        <f>IF(J478&lt;=0,0,IF(J478&lt;=1,1,IF(J478&lt;=7,2,IF(J478&lt;=14,3,4))))</f>
        <v>0</v>
      </c>
      <c r="K479" s="41"/>
    </row>
    <row r="480" spans="2:11" s="51" customFormat="1" ht="9.75" customHeight="1" x14ac:dyDescent="0.2">
      <c r="B480" s="283"/>
      <c r="C480" s="279" t="str">
        <f>"0:"</f>
        <v>0:</v>
      </c>
      <c r="D480" s="284" t="s">
        <v>950</v>
      </c>
      <c r="E480" s="285"/>
      <c r="F480" s="285"/>
      <c r="G480" s="285"/>
      <c r="H480" s="285"/>
      <c r="I480" s="285"/>
      <c r="J480" s="43"/>
      <c r="K480" s="286"/>
    </row>
    <row r="481" spans="2:11" s="51" customFormat="1" ht="9.75" customHeight="1" x14ac:dyDescent="0.2">
      <c r="B481" s="283"/>
      <c r="C481" s="280" t="str">
        <f>"1:"</f>
        <v>1:</v>
      </c>
      <c r="D481" s="284" t="s">
        <v>951</v>
      </c>
      <c r="E481" s="285"/>
      <c r="F481" s="285"/>
      <c r="G481" s="285"/>
      <c r="H481" s="285"/>
      <c r="I481" s="285"/>
      <c r="J481" s="43"/>
      <c r="K481" s="286"/>
    </row>
    <row r="482" spans="2:11" s="51" customFormat="1" ht="9.75" customHeight="1" x14ac:dyDescent="0.2">
      <c r="B482" s="283"/>
      <c r="C482" s="280" t="str">
        <f>"2:"</f>
        <v>2:</v>
      </c>
      <c r="D482" s="284" t="s">
        <v>952</v>
      </c>
      <c r="E482" s="285"/>
      <c r="F482" s="285"/>
      <c r="G482" s="285"/>
      <c r="H482" s="285"/>
      <c r="I482" s="285"/>
      <c r="J482" s="43"/>
      <c r="K482" s="286"/>
    </row>
    <row r="483" spans="2:11" s="51" customFormat="1" ht="9.75" customHeight="1" x14ac:dyDescent="0.2">
      <c r="B483" s="283"/>
      <c r="C483" s="280" t="str">
        <f>"3:"</f>
        <v>3:</v>
      </c>
      <c r="D483" s="284" t="s">
        <v>953</v>
      </c>
      <c r="E483" s="285"/>
      <c r="F483" s="285"/>
      <c r="G483" s="285"/>
      <c r="H483" s="285"/>
      <c r="I483" s="285"/>
      <c r="J483" s="43"/>
      <c r="K483" s="286"/>
    </row>
    <row r="484" spans="2:11" s="51" customFormat="1" ht="9.75" customHeight="1" x14ac:dyDescent="0.2">
      <c r="B484" s="283"/>
      <c r="C484" s="280" t="str">
        <f>"4:"</f>
        <v>4:</v>
      </c>
      <c r="D484" s="284" t="s">
        <v>954</v>
      </c>
      <c r="E484" s="285"/>
      <c r="F484" s="285"/>
      <c r="G484" s="285"/>
      <c r="H484" s="285"/>
      <c r="I484" s="285"/>
      <c r="J484" s="43"/>
      <c r="K484" s="286"/>
    </row>
    <row r="485" spans="2:11" x14ac:dyDescent="0.2">
      <c r="B485" s="38"/>
      <c r="C485" s="40" t="s">
        <v>893</v>
      </c>
      <c r="D485" s="40"/>
      <c r="E485" s="40"/>
      <c r="F485" s="40"/>
      <c r="G485" s="40"/>
      <c r="H485" s="40"/>
      <c r="I485" s="40"/>
      <c r="J485" s="40"/>
      <c r="K485" s="41"/>
    </row>
    <row r="486" spans="2:11" ht="30" customHeight="1" x14ac:dyDescent="0.2">
      <c r="B486" s="38"/>
      <c r="C486" s="399"/>
      <c r="D486" s="400"/>
      <c r="E486" s="400"/>
      <c r="F486" s="400"/>
      <c r="G486" s="400"/>
      <c r="H486" s="400"/>
      <c r="I486" s="400"/>
      <c r="J486" s="401"/>
      <c r="K486" s="41"/>
    </row>
    <row r="487" spans="2:11" x14ac:dyDescent="0.2">
      <c r="B487" s="38"/>
      <c r="C487" s="40"/>
      <c r="D487" s="40"/>
      <c r="E487" s="40"/>
      <c r="F487" s="40"/>
      <c r="G487" s="40"/>
      <c r="H487" s="40"/>
      <c r="I487" s="40"/>
      <c r="J487" s="40"/>
      <c r="K487" s="41"/>
    </row>
    <row r="488" spans="2:11" x14ac:dyDescent="0.2">
      <c r="B488" s="38"/>
      <c r="C488" s="179" t="s">
        <v>309</v>
      </c>
      <c r="D488" s="40"/>
      <c r="E488" s="40"/>
      <c r="F488" s="40"/>
      <c r="G488" s="40"/>
      <c r="H488" s="40"/>
      <c r="I488" s="40"/>
      <c r="J488" s="245">
        <f>J479</f>
        <v>0</v>
      </c>
      <c r="K488" s="41"/>
    </row>
    <row r="489" spans="2:11" x14ac:dyDescent="0.2">
      <c r="B489" s="38"/>
      <c r="C489" s="40"/>
      <c r="D489" s="40"/>
      <c r="E489" s="40"/>
      <c r="F489" s="40"/>
      <c r="G489" s="40"/>
      <c r="H489" s="40"/>
      <c r="I489" s="40"/>
      <c r="J489" s="40"/>
      <c r="K489" s="41"/>
    </row>
    <row r="490" spans="2:11" x14ac:dyDescent="0.2">
      <c r="B490" s="38"/>
      <c r="C490" s="40"/>
      <c r="D490" s="40"/>
      <c r="E490" s="40"/>
      <c r="F490" s="40"/>
      <c r="G490" s="40"/>
      <c r="H490" s="40"/>
      <c r="I490" s="40"/>
      <c r="J490" s="40"/>
      <c r="K490" s="41"/>
    </row>
    <row r="491" spans="2:11" ht="16" x14ac:dyDescent="0.2">
      <c r="B491" s="38"/>
      <c r="C491" s="45" t="s">
        <v>311</v>
      </c>
      <c r="D491" s="40"/>
      <c r="E491" s="40"/>
      <c r="F491" s="40"/>
      <c r="G491" s="40"/>
      <c r="H491" s="40"/>
      <c r="I491" s="40"/>
      <c r="J491" s="40"/>
      <c r="K491" s="41"/>
    </row>
    <row r="492" spans="2:11" x14ac:dyDescent="0.2">
      <c r="B492" s="38"/>
      <c r="C492" s="40" t="s">
        <v>312</v>
      </c>
      <c r="D492" s="40"/>
      <c r="E492" s="40"/>
      <c r="F492" s="40"/>
      <c r="G492" s="40"/>
      <c r="H492" s="40"/>
      <c r="I492" s="40"/>
      <c r="J492" s="270">
        <v>0</v>
      </c>
      <c r="K492" s="41"/>
    </row>
    <row r="493" spans="2:11" x14ac:dyDescent="0.2">
      <c r="B493" s="38"/>
      <c r="C493" s="40" t="s">
        <v>260</v>
      </c>
      <c r="D493" s="40"/>
      <c r="E493" s="40"/>
      <c r="F493" s="40"/>
      <c r="G493" s="40"/>
      <c r="H493" s="40"/>
      <c r="I493" s="40"/>
      <c r="J493" s="248">
        <f>IF(J492&lt;=0,0,IF(J492&lt;=1,1,IF(J492&lt;=5,2,IF(J492&lt;=10,3,4))))</f>
        <v>0</v>
      </c>
      <c r="K493" s="41"/>
    </row>
    <row r="494" spans="2:11" ht="9.75" customHeight="1" x14ac:dyDescent="0.2">
      <c r="B494" s="38"/>
      <c r="C494" s="279" t="str">
        <f>"0:"</f>
        <v>0:</v>
      </c>
      <c r="D494" s="290" t="s">
        <v>955</v>
      </c>
      <c r="E494" s="40"/>
      <c r="F494" s="40"/>
      <c r="G494" s="40"/>
      <c r="H494" s="40"/>
      <c r="I494" s="40"/>
      <c r="J494" s="245"/>
      <c r="K494" s="41"/>
    </row>
    <row r="495" spans="2:11" ht="9.75" customHeight="1" x14ac:dyDescent="0.2">
      <c r="B495" s="38"/>
      <c r="C495" s="280" t="str">
        <f>"1:"</f>
        <v>1:</v>
      </c>
      <c r="D495" s="290" t="s">
        <v>956</v>
      </c>
      <c r="E495" s="40"/>
      <c r="F495" s="40"/>
      <c r="G495" s="40"/>
      <c r="H495" s="40"/>
      <c r="I495" s="40"/>
      <c r="J495" s="245"/>
      <c r="K495" s="41"/>
    </row>
    <row r="496" spans="2:11" ht="9.75" customHeight="1" x14ac:dyDescent="0.2">
      <c r="B496" s="38"/>
      <c r="C496" s="280" t="str">
        <f>"2:"</f>
        <v>2:</v>
      </c>
      <c r="D496" s="290" t="s">
        <v>957</v>
      </c>
      <c r="E496" s="40"/>
      <c r="F496" s="40"/>
      <c r="G496" s="40"/>
      <c r="H496" s="40"/>
      <c r="I496" s="40"/>
      <c r="J496" s="245"/>
      <c r="K496" s="41"/>
    </row>
    <row r="497" spans="2:11" ht="9.75" customHeight="1" x14ac:dyDescent="0.2">
      <c r="B497" s="38"/>
      <c r="C497" s="280" t="str">
        <f>"3:"</f>
        <v>3:</v>
      </c>
      <c r="D497" s="290" t="s">
        <v>958</v>
      </c>
      <c r="E497" s="40"/>
      <c r="F497" s="40"/>
      <c r="G497" s="40"/>
      <c r="H497" s="40"/>
      <c r="I497" s="40"/>
      <c r="J497" s="245"/>
      <c r="K497" s="41"/>
    </row>
    <row r="498" spans="2:11" ht="9.75" customHeight="1" x14ac:dyDescent="0.2">
      <c r="B498" s="38"/>
      <c r="C498" s="280" t="str">
        <f>"4:"</f>
        <v>4:</v>
      </c>
      <c r="D498" s="290" t="s">
        <v>959</v>
      </c>
      <c r="E498" s="40"/>
      <c r="F498" s="40"/>
      <c r="G498" s="40"/>
      <c r="H498" s="40"/>
      <c r="I498" s="40"/>
      <c r="J498" s="247"/>
      <c r="K498" s="41"/>
    </row>
    <row r="499" spans="2:11" x14ac:dyDescent="0.2">
      <c r="B499" s="38"/>
      <c r="C499" s="40" t="s">
        <v>313</v>
      </c>
      <c r="D499" s="40"/>
      <c r="E499" s="40"/>
      <c r="F499" s="40"/>
      <c r="G499" s="40"/>
      <c r="H499" s="40"/>
      <c r="I499" s="40"/>
      <c r="J499" s="266" t="s">
        <v>870</v>
      </c>
      <c r="K499" s="41"/>
    </row>
    <row r="500" spans="2:11" x14ac:dyDescent="0.2">
      <c r="B500" s="38"/>
      <c r="C500" s="40" t="s">
        <v>261</v>
      </c>
      <c r="D500" s="40"/>
      <c r="E500" s="40"/>
      <c r="F500" s="40"/>
      <c r="G500" s="40"/>
      <c r="H500" s="40"/>
      <c r="I500" s="40"/>
      <c r="J500" s="245">
        <f>IF(J499=$B$973,$A$973,IF(J499=$B$974,$A$974,IF(J499=$B$975,$A$975,IF(J499=$B$976,$A$976,IF(J499=$B$977,$A$977,"Not Calculated")))))</f>
        <v>0</v>
      </c>
      <c r="K500" s="41"/>
    </row>
    <row r="501" spans="2:11" x14ac:dyDescent="0.2">
      <c r="B501" s="38"/>
      <c r="C501" s="40" t="s">
        <v>893</v>
      </c>
      <c r="D501" s="40"/>
      <c r="E501" s="40"/>
      <c r="F501" s="40"/>
      <c r="G501" s="40"/>
      <c r="H501" s="40"/>
      <c r="I501" s="40"/>
      <c r="J501" s="40"/>
      <c r="K501" s="41"/>
    </row>
    <row r="502" spans="2:11" ht="30" customHeight="1" x14ac:dyDescent="0.2">
      <c r="B502" s="38"/>
      <c r="C502" s="399" t="s">
        <v>771</v>
      </c>
      <c r="D502" s="400"/>
      <c r="E502" s="400"/>
      <c r="F502" s="400"/>
      <c r="G502" s="400"/>
      <c r="H502" s="400"/>
      <c r="I502" s="400"/>
      <c r="J502" s="401"/>
      <c r="K502" s="41"/>
    </row>
    <row r="503" spans="2:11" x14ac:dyDescent="0.2">
      <c r="B503" s="38"/>
      <c r="C503" s="40"/>
      <c r="D503" s="40"/>
      <c r="E503" s="40"/>
      <c r="F503" s="40"/>
      <c r="G503" s="40"/>
      <c r="H503" s="40"/>
      <c r="I503" s="40"/>
      <c r="J503" s="40"/>
      <c r="K503" s="41"/>
    </row>
    <row r="504" spans="2:11" x14ac:dyDescent="0.2">
      <c r="B504" s="38"/>
      <c r="C504" s="179" t="s">
        <v>321</v>
      </c>
      <c r="D504" s="40"/>
      <c r="E504" s="40"/>
      <c r="F504" s="40"/>
      <c r="G504" s="40"/>
      <c r="H504" s="40"/>
      <c r="I504" s="40"/>
      <c r="J504" s="245">
        <f>IF(OR(J493="Not Calculated",J500="Not Calculated")=TRUE,"Not Calculated",AVERAGE(J493,J500))</f>
        <v>0</v>
      </c>
      <c r="K504" s="41"/>
    </row>
    <row r="505" spans="2:11" x14ac:dyDescent="0.2">
      <c r="B505" s="38"/>
      <c r="C505" s="40"/>
      <c r="D505" s="40"/>
      <c r="E505" s="40"/>
      <c r="F505" s="40"/>
      <c r="G505" s="40"/>
      <c r="H505" s="40"/>
      <c r="I505" s="40"/>
      <c r="J505" s="40"/>
      <c r="K505" s="41"/>
    </row>
    <row r="506" spans="2:11" x14ac:dyDescent="0.2">
      <c r="B506" s="38"/>
      <c r="C506" s="40"/>
      <c r="D506" s="40"/>
      <c r="E506" s="40"/>
      <c r="F506" s="40"/>
      <c r="G506" s="40"/>
      <c r="H506" s="40"/>
      <c r="I506" s="40"/>
      <c r="J506" s="40"/>
      <c r="K506" s="41"/>
    </row>
    <row r="507" spans="2:11" ht="16" x14ac:dyDescent="0.2">
      <c r="B507" s="38"/>
      <c r="C507" s="45" t="s">
        <v>314</v>
      </c>
      <c r="D507" s="40"/>
      <c r="E507" s="40"/>
      <c r="F507" s="40"/>
      <c r="G507" s="40"/>
      <c r="H507" s="40"/>
      <c r="I507" s="40"/>
      <c r="J507" s="40"/>
      <c r="K507" s="41"/>
    </row>
    <row r="508" spans="2:11" x14ac:dyDescent="0.2">
      <c r="B508" s="38"/>
      <c r="C508" s="40" t="s">
        <v>316</v>
      </c>
      <c r="D508" s="40"/>
      <c r="E508" s="40"/>
      <c r="F508" s="40"/>
      <c r="G508" s="40"/>
      <c r="H508" s="40"/>
      <c r="I508" s="40"/>
      <c r="J508" s="269">
        <v>0</v>
      </c>
      <c r="K508" s="41"/>
    </row>
    <row r="509" spans="2:11" x14ac:dyDescent="0.2">
      <c r="B509" s="38"/>
      <c r="C509" s="40" t="s">
        <v>260</v>
      </c>
      <c r="D509" s="40"/>
      <c r="E509" s="40"/>
      <c r="F509" s="40"/>
      <c r="G509" s="40"/>
      <c r="H509" s="40"/>
      <c r="I509" s="40"/>
      <c r="J509" s="248">
        <f>IF(J508&lt;=0,0,IF(J508&lt;=1000,1,IF(J508&lt;=5000,2,IF(J508&lt;=25000,3,4))))</f>
        <v>0</v>
      </c>
      <c r="K509" s="41"/>
    </row>
    <row r="510" spans="2:11" s="51" customFormat="1" ht="9.75" customHeight="1" x14ac:dyDescent="0.2">
      <c r="B510" s="283"/>
      <c r="C510" s="279" t="str">
        <f>"0:"</f>
        <v>0:</v>
      </c>
      <c r="D510" s="284" t="s">
        <v>960</v>
      </c>
      <c r="E510" s="285"/>
      <c r="F510" s="285"/>
      <c r="G510" s="285"/>
      <c r="H510" s="285"/>
      <c r="I510" s="285"/>
      <c r="J510" s="43"/>
      <c r="K510" s="286"/>
    </row>
    <row r="511" spans="2:11" s="51" customFormat="1" ht="9.75" customHeight="1" x14ac:dyDescent="0.2">
      <c r="B511" s="283"/>
      <c r="C511" s="280" t="str">
        <f>"1:"</f>
        <v>1:</v>
      </c>
      <c r="D511" s="284" t="s">
        <v>961</v>
      </c>
      <c r="E511" s="285"/>
      <c r="F511" s="285"/>
      <c r="G511" s="285"/>
      <c r="H511" s="285"/>
      <c r="I511" s="285"/>
      <c r="J511" s="43"/>
      <c r="K511" s="286"/>
    </row>
    <row r="512" spans="2:11" s="51" customFormat="1" ht="9.75" customHeight="1" x14ac:dyDescent="0.2">
      <c r="B512" s="283"/>
      <c r="C512" s="280" t="str">
        <f>"2:"</f>
        <v>2:</v>
      </c>
      <c r="D512" s="284" t="s">
        <v>962</v>
      </c>
      <c r="E512" s="285"/>
      <c r="F512" s="285"/>
      <c r="G512" s="285"/>
      <c r="H512" s="285"/>
      <c r="I512" s="285"/>
      <c r="J512" s="43"/>
      <c r="K512" s="286"/>
    </row>
    <row r="513" spans="2:11" s="51" customFormat="1" ht="9.75" customHeight="1" x14ac:dyDescent="0.2">
      <c r="B513" s="283"/>
      <c r="C513" s="280" t="str">
        <f>"3:"</f>
        <v>3:</v>
      </c>
      <c r="D513" s="284" t="s">
        <v>963</v>
      </c>
      <c r="E513" s="285"/>
      <c r="F513" s="285"/>
      <c r="G513" s="285"/>
      <c r="H513" s="285"/>
      <c r="I513" s="285"/>
      <c r="J513" s="43"/>
      <c r="K513" s="286"/>
    </row>
    <row r="514" spans="2:11" s="51" customFormat="1" ht="9.75" customHeight="1" x14ac:dyDescent="0.2">
      <c r="B514" s="283"/>
      <c r="C514" s="280" t="str">
        <f>"4:"</f>
        <v>4:</v>
      </c>
      <c r="D514" s="284" t="s">
        <v>964</v>
      </c>
      <c r="E514" s="285"/>
      <c r="F514" s="285"/>
      <c r="G514" s="285"/>
      <c r="H514" s="285"/>
      <c r="I514" s="285"/>
      <c r="J514" s="287"/>
      <c r="K514" s="286"/>
    </row>
    <row r="515" spans="2:11" x14ac:dyDescent="0.2">
      <c r="B515" s="38"/>
      <c r="C515" s="40" t="s">
        <v>315</v>
      </c>
      <c r="D515" s="40"/>
      <c r="E515" s="40"/>
      <c r="F515" s="40"/>
      <c r="G515" s="40"/>
      <c r="H515" s="40"/>
      <c r="I515" s="40"/>
      <c r="J515" s="266" t="s">
        <v>870</v>
      </c>
      <c r="K515" s="41"/>
    </row>
    <row r="516" spans="2:11" x14ac:dyDescent="0.2">
      <c r="B516" s="38"/>
      <c r="C516" s="40" t="s">
        <v>261</v>
      </c>
      <c r="D516" s="40"/>
      <c r="E516" s="40"/>
      <c r="F516" s="40"/>
      <c r="G516" s="40"/>
      <c r="H516" s="40"/>
      <c r="I516" s="40"/>
      <c r="J516" s="245">
        <f>IF(J515=$B$973,$A$973,IF(J515=$B$974,$A$974,IF(J515=$B$975,$A$975,IF(J515=$B$976,$A$976,IF(J515=$B$977,$A$977,"Not Calculated")))))</f>
        <v>0</v>
      </c>
      <c r="K516" s="41"/>
    </row>
    <row r="517" spans="2:11" x14ac:dyDescent="0.2">
      <c r="B517" s="38"/>
      <c r="C517" s="40" t="s">
        <v>893</v>
      </c>
      <c r="D517" s="40"/>
      <c r="E517" s="40"/>
      <c r="F517" s="40"/>
      <c r="G517" s="40"/>
      <c r="H517" s="40"/>
      <c r="I517" s="40"/>
      <c r="J517" s="40"/>
      <c r="K517" s="41"/>
    </row>
    <row r="518" spans="2:11" ht="30" customHeight="1" x14ac:dyDescent="0.2">
      <c r="B518" s="38"/>
      <c r="C518" s="399" t="s">
        <v>769</v>
      </c>
      <c r="D518" s="400"/>
      <c r="E518" s="400"/>
      <c r="F518" s="400"/>
      <c r="G518" s="400"/>
      <c r="H518" s="400"/>
      <c r="I518" s="400"/>
      <c r="J518" s="401"/>
      <c r="K518" s="41"/>
    </row>
    <row r="519" spans="2:11" x14ac:dyDescent="0.2">
      <c r="B519" s="38"/>
      <c r="C519" s="40"/>
      <c r="D519" s="40"/>
      <c r="E519" s="40"/>
      <c r="F519" s="40"/>
      <c r="G519" s="40"/>
      <c r="H519" s="40"/>
      <c r="I519" s="40"/>
      <c r="J519" s="40"/>
      <c r="K519" s="41"/>
    </row>
    <row r="520" spans="2:11" x14ac:dyDescent="0.2">
      <c r="B520" s="38"/>
      <c r="C520" s="179" t="s">
        <v>320</v>
      </c>
      <c r="D520" s="40"/>
      <c r="E520" s="40"/>
      <c r="F520" s="40"/>
      <c r="G520" s="40"/>
      <c r="H520" s="40"/>
      <c r="I520" s="40"/>
      <c r="J520" s="245">
        <f>IF(OR(J509="Not Calculated",J516="Not Calculated")=TRUE,"Not Calculated",AVERAGE(J509,J516))</f>
        <v>0</v>
      </c>
      <c r="K520" s="41"/>
    </row>
    <row r="521" spans="2:11" x14ac:dyDescent="0.2">
      <c r="B521" s="38"/>
      <c r="C521" s="40"/>
      <c r="D521" s="40"/>
      <c r="E521" s="40"/>
      <c r="F521" s="40"/>
      <c r="G521" s="40"/>
      <c r="H521" s="40"/>
      <c r="I521" s="40"/>
      <c r="J521" s="40"/>
      <c r="K521" s="41"/>
    </row>
    <row r="522" spans="2:11" x14ac:dyDescent="0.2">
      <c r="B522" s="38"/>
      <c r="C522" s="40"/>
      <c r="D522" s="40"/>
      <c r="E522" s="40"/>
      <c r="F522" s="40"/>
      <c r="G522" s="40"/>
      <c r="H522" s="40"/>
      <c r="I522" s="40"/>
      <c r="J522" s="40"/>
      <c r="K522" s="41"/>
    </row>
    <row r="523" spans="2:11" ht="16" x14ac:dyDescent="0.2">
      <c r="B523" s="38"/>
      <c r="C523" s="45" t="s">
        <v>317</v>
      </c>
      <c r="D523" s="40"/>
      <c r="E523" s="40"/>
      <c r="F523" s="40"/>
      <c r="G523" s="40"/>
      <c r="H523" s="40"/>
      <c r="I523" s="40"/>
      <c r="J523" s="40"/>
      <c r="K523" s="41"/>
    </row>
    <row r="524" spans="2:11" ht="15" customHeight="1" x14ac:dyDescent="0.2">
      <c r="B524" s="38"/>
      <c r="C524" s="380" t="s">
        <v>318</v>
      </c>
      <c r="D524" s="380"/>
      <c r="E524" s="380"/>
      <c r="F524" s="380"/>
      <c r="G524" s="380"/>
      <c r="H524" s="380"/>
      <c r="I524" s="380"/>
      <c r="J524" s="40"/>
      <c r="K524" s="41"/>
    </row>
    <row r="525" spans="2:11" x14ac:dyDescent="0.2">
      <c r="B525" s="38"/>
      <c r="C525" s="380"/>
      <c r="D525" s="380"/>
      <c r="E525" s="380"/>
      <c r="F525" s="380"/>
      <c r="G525" s="380"/>
      <c r="H525" s="380"/>
      <c r="I525" s="380"/>
      <c r="J525" s="274">
        <v>0</v>
      </c>
      <c r="K525" s="41"/>
    </row>
    <row r="526" spans="2:11" x14ac:dyDescent="0.2">
      <c r="B526" s="38"/>
      <c r="C526" s="40" t="s">
        <v>260</v>
      </c>
      <c r="D526" s="40"/>
      <c r="E526" s="40"/>
      <c r="F526" s="40"/>
      <c r="G526" s="40"/>
      <c r="H526" s="40"/>
      <c r="I526" s="40"/>
      <c r="J526" s="248">
        <f>IF(J525&lt;=0,0,IF(J525&lt;=1,1,IF(J525&lt;=5,2,IF(J525&lt;=10,3,4))))</f>
        <v>0</v>
      </c>
      <c r="K526" s="41"/>
    </row>
    <row r="527" spans="2:11" s="51" customFormat="1" ht="9.75" customHeight="1" x14ac:dyDescent="0.2">
      <c r="B527" s="283"/>
      <c r="C527" s="279" t="str">
        <f>"0:"</f>
        <v>0:</v>
      </c>
      <c r="D527" s="284" t="s">
        <v>965</v>
      </c>
      <c r="E527" s="285"/>
      <c r="F527" s="285"/>
      <c r="G527" s="285"/>
      <c r="H527" s="285"/>
      <c r="I527" s="285"/>
      <c r="J527" s="43"/>
      <c r="K527" s="286"/>
    </row>
    <row r="528" spans="2:11" s="51" customFormat="1" ht="9.75" customHeight="1" x14ac:dyDescent="0.2">
      <c r="B528" s="283"/>
      <c r="C528" s="280" t="str">
        <f>"1:"</f>
        <v>1:</v>
      </c>
      <c r="D528" s="284" t="s">
        <v>966</v>
      </c>
      <c r="E528" s="285"/>
      <c r="F528" s="285"/>
      <c r="G528" s="285"/>
      <c r="H528" s="285"/>
      <c r="I528" s="285"/>
      <c r="J528" s="43"/>
      <c r="K528" s="286"/>
    </row>
    <row r="529" spans="2:11" s="51" customFormat="1" ht="9.75" customHeight="1" x14ac:dyDescent="0.2">
      <c r="B529" s="283"/>
      <c r="C529" s="280" t="str">
        <f>"2:"</f>
        <v>2:</v>
      </c>
      <c r="D529" s="284" t="s">
        <v>967</v>
      </c>
      <c r="E529" s="285"/>
      <c r="F529" s="285"/>
      <c r="G529" s="285"/>
      <c r="H529" s="285"/>
      <c r="I529" s="285"/>
      <c r="J529" s="43"/>
      <c r="K529" s="286"/>
    </row>
    <row r="530" spans="2:11" s="51" customFormat="1" ht="9.75" customHeight="1" x14ac:dyDescent="0.2">
      <c r="B530" s="283"/>
      <c r="C530" s="280" t="str">
        <f>"3:"</f>
        <v>3:</v>
      </c>
      <c r="D530" s="284" t="s">
        <v>968</v>
      </c>
      <c r="E530" s="285"/>
      <c r="F530" s="285"/>
      <c r="G530" s="285"/>
      <c r="H530" s="285"/>
      <c r="I530" s="285"/>
      <c r="J530" s="43"/>
      <c r="K530" s="286"/>
    </row>
    <row r="531" spans="2:11" s="51" customFormat="1" ht="9.75" customHeight="1" x14ac:dyDescent="0.2">
      <c r="B531" s="283"/>
      <c r="C531" s="280" t="str">
        <f>"4:"</f>
        <v>4:</v>
      </c>
      <c r="D531" s="284" t="s">
        <v>969</v>
      </c>
      <c r="E531" s="285"/>
      <c r="F531" s="285"/>
      <c r="G531" s="285"/>
      <c r="H531" s="285"/>
      <c r="I531" s="285"/>
      <c r="J531" s="287"/>
      <c r="K531" s="286"/>
    </row>
    <row r="532" spans="2:11" x14ac:dyDescent="0.2">
      <c r="B532" s="38"/>
      <c r="C532" s="40" t="s">
        <v>257</v>
      </c>
      <c r="D532" s="40"/>
      <c r="E532" s="40"/>
      <c r="F532" s="40"/>
      <c r="G532" s="40"/>
      <c r="H532" s="40"/>
      <c r="I532" s="40"/>
      <c r="J532" s="266" t="s">
        <v>870</v>
      </c>
      <c r="K532" s="41"/>
    </row>
    <row r="533" spans="2:11" x14ac:dyDescent="0.2">
      <c r="B533" s="38"/>
      <c r="C533" s="40" t="s">
        <v>261</v>
      </c>
      <c r="D533" s="40"/>
      <c r="E533" s="40"/>
      <c r="F533" s="40"/>
      <c r="G533" s="40"/>
      <c r="H533" s="40"/>
      <c r="I533" s="40"/>
      <c r="J533" s="245">
        <f>IF(J532=$B$973,$A$973,IF(J532=$B$974,$A$974,IF(J532=$B$975,$A$975,IF(J532=$B$976,$A$976,IF(J532=$B$977,$A$977,"Not Calculated")))))</f>
        <v>0</v>
      </c>
      <c r="K533" s="41"/>
    </row>
    <row r="534" spans="2:11" x14ac:dyDescent="0.2">
      <c r="B534" s="38"/>
      <c r="C534" s="40" t="s">
        <v>893</v>
      </c>
      <c r="D534" s="40"/>
      <c r="E534" s="40"/>
      <c r="F534" s="40"/>
      <c r="G534" s="40"/>
      <c r="H534" s="40"/>
      <c r="I534" s="40"/>
      <c r="J534" s="40"/>
      <c r="K534" s="41"/>
    </row>
    <row r="535" spans="2:11" ht="45" customHeight="1" x14ac:dyDescent="0.2">
      <c r="B535" s="38"/>
      <c r="C535" s="399" t="s">
        <v>486</v>
      </c>
      <c r="D535" s="400"/>
      <c r="E535" s="400"/>
      <c r="F535" s="400"/>
      <c r="G535" s="400"/>
      <c r="H535" s="400"/>
      <c r="I535" s="400"/>
      <c r="J535" s="401"/>
      <c r="K535" s="41"/>
    </row>
    <row r="536" spans="2:11" x14ac:dyDescent="0.2">
      <c r="B536" s="38"/>
      <c r="C536" s="40"/>
      <c r="D536" s="40"/>
      <c r="E536" s="40"/>
      <c r="F536" s="40"/>
      <c r="G536" s="40"/>
      <c r="H536" s="40"/>
      <c r="I536" s="40"/>
      <c r="J536" s="40"/>
      <c r="K536" s="41"/>
    </row>
    <row r="537" spans="2:11" x14ac:dyDescent="0.2">
      <c r="B537" s="38"/>
      <c r="C537" s="179" t="s">
        <v>319</v>
      </c>
      <c r="D537" s="40"/>
      <c r="E537" s="40"/>
      <c r="F537" s="40"/>
      <c r="G537" s="40"/>
      <c r="H537" s="40"/>
      <c r="I537" s="40"/>
      <c r="J537" s="245">
        <f>IF(OR(J526="Not Calculated",J533="Not Calculated")=TRUE,"Not Calculated",AVERAGE(J526,J533))</f>
        <v>0</v>
      </c>
      <c r="K537" s="41"/>
    </row>
    <row r="538" spans="2:11" x14ac:dyDescent="0.2">
      <c r="B538" s="38"/>
      <c r="C538" s="40"/>
      <c r="D538" s="40"/>
      <c r="E538" s="40"/>
      <c r="F538" s="40"/>
      <c r="G538" s="40"/>
      <c r="H538" s="40"/>
      <c r="I538" s="40"/>
      <c r="J538" s="40"/>
      <c r="K538" s="41"/>
    </row>
    <row r="539" spans="2:11" ht="18" x14ac:dyDescent="0.2">
      <c r="B539" s="38"/>
      <c r="C539" s="180" t="s">
        <v>302</v>
      </c>
      <c r="D539" s="40"/>
      <c r="E539" s="40"/>
      <c r="F539" s="40"/>
      <c r="G539" s="40"/>
      <c r="H539" s="40"/>
      <c r="I539" s="40"/>
      <c r="J539" s="244">
        <f>IF(OR(J440="Not Calculated",J457="Not Calculated",J473="Not Calculated",J488="Not Calculated",J504="Not Calculated",J520="Not Calculated",J537="Not Calculated")=TRUE,"Not Calculated",AVERAGE(J440,J457,J473,J488,J504,J520,J537))</f>
        <v>0</v>
      </c>
      <c r="K539" s="41"/>
    </row>
    <row r="540" spans="2:11" ht="16" thickBot="1" x14ac:dyDescent="0.25">
      <c r="B540" s="46"/>
      <c r="C540" s="47"/>
      <c r="D540" s="47"/>
      <c r="E540" s="47"/>
      <c r="F540" s="47"/>
      <c r="G540" s="47"/>
      <c r="H540" s="47"/>
      <c r="I540" s="47"/>
      <c r="J540" s="47"/>
      <c r="K540" s="49"/>
    </row>
    <row r="541" spans="2:11" ht="16" thickBot="1" x14ac:dyDescent="0.25"/>
    <row r="542" spans="2:11" x14ac:dyDescent="0.2">
      <c r="B542" s="33"/>
      <c r="C542" s="34"/>
      <c r="D542" s="34"/>
      <c r="E542" s="34"/>
      <c r="F542" s="34"/>
      <c r="G542" s="34"/>
      <c r="H542" s="34"/>
      <c r="I542" s="34"/>
      <c r="J542" s="34"/>
      <c r="K542" s="37"/>
    </row>
    <row r="543" spans="2:11" ht="21" x14ac:dyDescent="0.25">
      <c r="B543" s="38"/>
      <c r="C543" s="40"/>
      <c r="D543" s="40"/>
      <c r="E543" s="40"/>
      <c r="F543" s="40"/>
      <c r="G543" s="172" t="s">
        <v>29</v>
      </c>
      <c r="H543" s="40"/>
      <c r="I543" s="40"/>
      <c r="J543" s="40"/>
      <c r="K543" s="41"/>
    </row>
    <row r="544" spans="2:11" ht="15" customHeight="1" x14ac:dyDescent="0.2">
      <c r="B544" s="38"/>
      <c r="C544" s="40"/>
      <c r="D544" s="40"/>
      <c r="E544" s="40"/>
      <c r="F544" s="40"/>
      <c r="G544" s="40"/>
      <c r="H544" s="40"/>
      <c r="I544" s="40"/>
      <c r="J544" s="40"/>
      <c r="K544" s="41"/>
    </row>
    <row r="545" spans="2:14" ht="16" x14ac:dyDescent="0.2">
      <c r="B545" s="38"/>
      <c r="C545" s="45" t="s">
        <v>88</v>
      </c>
      <c r="D545" s="40"/>
      <c r="E545" s="40"/>
      <c r="F545" s="40"/>
      <c r="G545" s="40"/>
      <c r="H545" s="40"/>
      <c r="I545" s="40"/>
      <c r="J545" s="40"/>
      <c r="K545" s="41"/>
    </row>
    <row r="546" spans="2:14" x14ac:dyDescent="0.2">
      <c r="B546" s="38"/>
      <c r="C546" s="40" t="s">
        <v>448</v>
      </c>
      <c r="D546" s="40"/>
      <c r="E546" s="40"/>
      <c r="F546" s="40"/>
      <c r="G546" s="40"/>
      <c r="H546" s="40"/>
      <c r="I546" s="40"/>
      <c r="J546" s="251">
        <f>'Baseline Health'!G123</f>
        <v>0</v>
      </c>
      <c r="K546" s="41"/>
    </row>
    <row r="547" spans="2:14" x14ac:dyDescent="0.2">
      <c r="B547" s="38"/>
      <c r="C547" s="40" t="s">
        <v>322</v>
      </c>
      <c r="D547" s="40"/>
      <c r="E547" s="40"/>
      <c r="F547" s="40"/>
      <c r="G547" s="40"/>
      <c r="H547" s="40"/>
      <c r="I547" s="40"/>
      <c r="J547" s="264">
        <v>0</v>
      </c>
      <c r="K547" s="41"/>
    </row>
    <row r="548" spans="2:14" x14ac:dyDescent="0.2">
      <c r="B548" s="38"/>
      <c r="C548" s="40" t="s">
        <v>428</v>
      </c>
      <c r="D548" s="40"/>
      <c r="E548" s="40"/>
      <c r="F548" s="40"/>
      <c r="G548" s="40"/>
      <c r="H548" s="40"/>
      <c r="I548" s="40"/>
      <c r="J548" s="264">
        <v>0</v>
      </c>
      <c r="K548" s="41"/>
    </row>
    <row r="549" spans="2:14" x14ac:dyDescent="0.2">
      <c r="B549" s="38"/>
      <c r="C549" s="40" t="s">
        <v>260</v>
      </c>
      <c r="D549" s="40"/>
      <c r="E549" s="40"/>
      <c r="F549" s="40"/>
      <c r="G549" s="40"/>
      <c r="H549" s="40"/>
      <c r="I549" s="40"/>
      <c r="J549" s="245" t="str">
        <f>IF(OR(J546=0,J546="Not Calculated")=TRUE,"Not Calculated",IF(J546-J547=0,4,(IF(((J546+J548)/(J546-J547))&lt;=1,0,IF(((J546+J548)/(J546-J547))&lt;=1.05,1,IF(((J546+J548)/(J546-J547))&lt;=1.5, 2,IF(((J546+J548)/(J546-J547))&lt;=2,3,4)))))))</f>
        <v>Not Calculated</v>
      </c>
      <c r="K549" s="41"/>
    </row>
    <row r="550" spans="2:14" ht="9.75" customHeight="1" x14ac:dyDescent="0.2">
      <c r="B550" s="38"/>
      <c r="C550" s="279" t="str">
        <f>"0:"</f>
        <v>0:</v>
      </c>
      <c r="D550" s="278" t="s">
        <v>918</v>
      </c>
      <c r="E550" s="40"/>
      <c r="F550" s="40"/>
      <c r="G550" s="40"/>
      <c r="H550" s="40"/>
      <c r="I550" s="40"/>
      <c r="J550" s="251"/>
      <c r="K550" s="41"/>
    </row>
    <row r="551" spans="2:14" ht="9.75" customHeight="1" x14ac:dyDescent="0.2">
      <c r="B551" s="38"/>
      <c r="C551" s="280" t="str">
        <f>"1:"</f>
        <v>1:</v>
      </c>
      <c r="D551" s="278" t="s">
        <v>923</v>
      </c>
      <c r="E551" s="40"/>
      <c r="F551" s="40"/>
      <c r="G551" s="40"/>
      <c r="H551" s="40"/>
      <c r="I551" s="40"/>
      <c r="J551" s="251"/>
      <c r="K551" s="41"/>
    </row>
    <row r="552" spans="2:14" ht="9.75" customHeight="1" x14ac:dyDescent="0.2">
      <c r="B552" s="38"/>
      <c r="C552" s="280" t="str">
        <f>"2:"</f>
        <v>2:</v>
      </c>
      <c r="D552" s="278" t="s">
        <v>924</v>
      </c>
      <c r="E552" s="40"/>
      <c r="F552" s="40"/>
      <c r="G552" s="40"/>
      <c r="H552" s="40"/>
      <c r="I552" s="40"/>
      <c r="J552" s="251"/>
      <c r="K552" s="41"/>
    </row>
    <row r="553" spans="2:14" ht="9.75" customHeight="1" x14ac:dyDescent="0.2">
      <c r="B553" s="38"/>
      <c r="C553" s="280" t="str">
        <f>"3:"</f>
        <v>3:</v>
      </c>
      <c r="D553" s="278" t="s">
        <v>925</v>
      </c>
      <c r="E553" s="40"/>
      <c r="F553" s="40"/>
      <c r="G553" s="40"/>
      <c r="H553" s="40"/>
      <c r="I553" s="40"/>
      <c r="J553" s="251"/>
      <c r="K553" s="41"/>
    </row>
    <row r="554" spans="2:14" ht="9.75" customHeight="1" x14ac:dyDescent="0.2">
      <c r="B554" s="38"/>
      <c r="C554" s="280" t="str">
        <f>"4:"</f>
        <v>4:</v>
      </c>
      <c r="D554" s="278" t="s">
        <v>926</v>
      </c>
      <c r="E554" s="40"/>
      <c r="F554" s="40"/>
      <c r="G554" s="40"/>
      <c r="H554" s="40"/>
      <c r="I554" s="40"/>
      <c r="J554" s="40"/>
      <c r="K554" s="41"/>
      <c r="N554" s="12" t="s">
        <v>661</v>
      </c>
    </row>
    <row r="555" spans="2:14" x14ac:dyDescent="0.2">
      <c r="B555" s="38"/>
      <c r="C555" s="174" t="s">
        <v>662</v>
      </c>
      <c r="D555" s="40"/>
      <c r="E555" s="40"/>
      <c r="F555" s="40"/>
      <c r="G555" s="40"/>
      <c r="H555" s="40"/>
      <c r="I555" s="40"/>
      <c r="J555" s="265" t="s">
        <v>661</v>
      </c>
      <c r="K555" s="41"/>
      <c r="N555" s="12" t="s">
        <v>894</v>
      </c>
    </row>
    <row r="556" spans="2:14" x14ac:dyDescent="0.2">
      <c r="B556" s="38"/>
      <c r="C556" s="174" t="s">
        <v>660</v>
      </c>
      <c r="D556" s="40"/>
      <c r="E556" s="40"/>
      <c r="F556" s="40"/>
      <c r="G556" s="40"/>
      <c r="H556" s="40"/>
      <c r="I556" s="40"/>
      <c r="J556" s="247" t="str">
        <f>IF(J555=N554,"N/A",IF(J555=N555,0,IF(J555=N556,1,IF(J555=N557,2,IF(J555=N558,3,IF(J555=N559,4,"N/A"))))))</f>
        <v>N/A</v>
      </c>
      <c r="K556" s="41"/>
      <c r="N556" s="12" t="s">
        <v>899</v>
      </c>
    </row>
    <row r="557" spans="2:14" x14ac:dyDescent="0.2">
      <c r="B557" s="38"/>
      <c r="C557" s="40" t="s">
        <v>257</v>
      </c>
      <c r="D557" s="40"/>
      <c r="E557" s="40"/>
      <c r="F557" s="40"/>
      <c r="G557" s="40"/>
      <c r="H557" s="40"/>
      <c r="I557" s="40"/>
      <c r="J557" s="266" t="s">
        <v>870</v>
      </c>
      <c r="K557" s="41"/>
      <c r="N557" s="12" t="s">
        <v>900</v>
      </c>
    </row>
    <row r="558" spans="2:14" x14ac:dyDescent="0.2">
      <c r="B558" s="38"/>
      <c r="C558" s="40" t="s">
        <v>261</v>
      </c>
      <c r="D558" s="40"/>
      <c r="E558" s="40"/>
      <c r="F558" s="40"/>
      <c r="G558" s="40"/>
      <c r="H558" s="40"/>
      <c r="I558" s="40"/>
      <c r="J558" s="245">
        <f>IF(J557=$B$973,$A$973,IF(J557=$B$974,$A$974,IF(J557=$B$975,$A$975,IF(J557=$B$976,$A$976,IF(J557=$B$977,$A$977,"Not Calculated")))))</f>
        <v>0</v>
      </c>
      <c r="K558" s="41"/>
      <c r="N558" s="12" t="s">
        <v>901</v>
      </c>
    </row>
    <row r="559" spans="2:14" x14ac:dyDescent="0.2">
      <c r="B559" s="38"/>
      <c r="C559" s="40" t="s">
        <v>893</v>
      </c>
      <c r="D559" s="40"/>
      <c r="E559" s="40"/>
      <c r="F559" s="40"/>
      <c r="G559" s="40"/>
      <c r="H559" s="40"/>
      <c r="I559" s="40"/>
      <c r="J559" s="40"/>
      <c r="K559" s="41"/>
      <c r="N559" s="12" t="s">
        <v>902</v>
      </c>
    </row>
    <row r="560" spans="2:14" ht="30" customHeight="1" x14ac:dyDescent="0.2">
      <c r="B560" s="38"/>
      <c r="C560" s="399"/>
      <c r="D560" s="400"/>
      <c r="E560" s="400"/>
      <c r="F560" s="400"/>
      <c r="G560" s="400"/>
      <c r="H560" s="400"/>
      <c r="I560" s="400"/>
      <c r="J560" s="401"/>
      <c r="K560" s="41"/>
    </row>
    <row r="561" spans="2:11" x14ac:dyDescent="0.2">
      <c r="B561" s="38"/>
      <c r="C561" s="40"/>
      <c r="D561" s="40"/>
      <c r="E561" s="40"/>
      <c r="F561" s="40"/>
      <c r="G561" s="40"/>
      <c r="H561" s="40"/>
      <c r="I561" s="40"/>
      <c r="J561" s="40"/>
      <c r="K561" s="41"/>
    </row>
    <row r="562" spans="2:11" x14ac:dyDescent="0.2">
      <c r="B562" s="38"/>
      <c r="C562" s="179" t="s">
        <v>323</v>
      </c>
      <c r="D562" s="40"/>
      <c r="E562" s="40"/>
      <c r="F562" s="40"/>
      <c r="G562" s="40"/>
      <c r="H562" s="40"/>
      <c r="I562" s="40"/>
      <c r="J562" s="245" t="str">
        <f>IF(J556="N/A",IF(OR(J549="Not Calculated",J558="Not Calculated")=TRUE,"Not Calculated",AVERAGE(J549,J558)),AVERAGE(J556,J558))</f>
        <v>Not Calculated</v>
      </c>
      <c r="K562" s="41"/>
    </row>
    <row r="563" spans="2:11" x14ac:dyDescent="0.2">
      <c r="B563" s="38"/>
      <c r="C563" s="40"/>
      <c r="D563" s="40"/>
      <c r="E563" s="40"/>
      <c r="F563" s="40"/>
      <c r="G563" s="40"/>
      <c r="H563" s="40"/>
      <c r="I563" s="40"/>
      <c r="J563" s="40"/>
      <c r="K563" s="41"/>
    </row>
    <row r="564" spans="2:11" x14ac:dyDescent="0.2">
      <c r="B564" s="38"/>
      <c r="C564" s="40"/>
      <c r="D564" s="40"/>
      <c r="E564" s="40"/>
      <c r="F564" s="40"/>
      <c r="G564" s="40"/>
      <c r="H564" s="40"/>
      <c r="I564" s="40"/>
      <c r="J564" s="40"/>
      <c r="K564" s="41"/>
    </row>
    <row r="565" spans="2:11" ht="16" x14ac:dyDescent="0.2">
      <c r="B565" s="38"/>
      <c r="C565" s="45" t="s">
        <v>89</v>
      </c>
      <c r="D565" s="40"/>
      <c r="E565" s="40"/>
      <c r="F565" s="40"/>
      <c r="G565" s="40"/>
      <c r="H565" s="40"/>
      <c r="I565" s="40"/>
      <c r="J565" s="40"/>
      <c r="K565" s="41"/>
    </row>
    <row r="566" spans="2:11" ht="15" customHeight="1" x14ac:dyDescent="0.2">
      <c r="B566" s="38"/>
      <c r="C566" s="380" t="s">
        <v>333</v>
      </c>
      <c r="D566" s="380"/>
      <c r="E566" s="380"/>
      <c r="F566" s="380"/>
      <c r="G566" s="380"/>
      <c r="H566" s="380"/>
      <c r="I566" s="380"/>
      <c r="J566" s="40"/>
      <c r="K566" s="41"/>
    </row>
    <row r="567" spans="2:11" x14ac:dyDescent="0.2">
      <c r="B567" s="38"/>
      <c r="C567" s="380"/>
      <c r="D567" s="380"/>
      <c r="E567" s="380"/>
      <c r="F567" s="380"/>
      <c r="G567" s="380"/>
      <c r="H567" s="380"/>
      <c r="I567" s="380"/>
      <c r="J567" s="40"/>
      <c r="K567" s="41"/>
    </row>
    <row r="568" spans="2:11" x14ac:dyDescent="0.2">
      <c r="B568" s="38"/>
      <c r="C568" s="380"/>
      <c r="D568" s="380"/>
      <c r="E568" s="380"/>
      <c r="F568" s="380"/>
      <c r="G568" s="380"/>
      <c r="H568" s="380"/>
      <c r="I568" s="380"/>
      <c r="J568" s="251">
        <f>'Baseline Health'!G132</f>
        <v>0</v>
      </c>
      <c r="K568" s="41"/>
    </row>
    <row r="569" spans="2:11" ht="15" customHeight="1" x14ac:dyDescent="0.2">
      <c r="B569" s="38"/>
      <c r="C569" s="380" t="s">
        <v>334</v>
      </c>
      <c r="D569" s="380"/>
      <c r="E569" s="380"/>
      <c r="F569" s="380"/>
      <c r="G569" s="380"/>
      <c r="H569" s="380"/>
      <c r="I569" s="380"/>
      <c r="J569" s="245"/>
      <c r="K569" s="41"/>
    </row>
    <row r="570" spans="2:11" x14ac:dyDescent="0.2">
      <c r="B570" s="38"/>
      <c r="C570" s="380"/>
      <c r="D570" s="380"/>
      <c r="E570" s="380"/>
      <c r="F570" s="380"/>
      <c r="G570" s="380"/>
      <c r="H570" s="380"/>
      <c r="I570" s="380"/>
      <c r="J570" s="245"/>
      <c r="K570" s="41"/>
    </row>
    <row r="571" spans="2:11" x14ac:dyDescent="0.2">
      <c r="B571" s="38"/>
      <c r="C571" s="380"/>
      <c r="D571" s="380"/>
      <c r="E571" s="380"/>
      <c r="F571" s="380"/>
      <c r="G571" s="380"/>
      <c r="H571" s="380"/>
      <c r="I571" s="380"/>
      <c r="J571" s="264">
        <v>0</v>
      </c>
      <c r="K571" s="41"/>
    </row>
    <row r="572" spans="2:11" x14ac:dyDescent="0.2">
      <c r="B572" s="38"/>
      <c r="C572" s="40" t="s">
        <v>260</v>
      </c>
      <c r="D572" s="40"/>
      <c r="E572" s="40"/>
      <c r="F572" s="40"/>
      <c r="G572" s="40"/>
      <c r="H572" s="40"/>
      <c r="I572" s="40"/>
      <c r="J572" s="245" t="str">
        <f>IF(OR(J568=0,J568="Not Calculated")=TRUE,"Not Calculated",IF(((J568+J571)/J568)&lt;=1,0,IF(((J568+J571)/J568)&lt;=1.05,1,IF(((J568+J571)/J568)&lt;=1.5, 2,IF(((J568+J571)/J568)&lt;=2,3,4)))))</f>
        <v>Not Calculated</v>
      </c>
      <c r="K572" s="41"/>
    </row>
    <row r="573" spans="2:11" ht="9.75" customHeight="1" x14ac:dyDescent="0.2">
      <c r="B573" s="38"/>
      <c r="C573" s="279" t="str">
        <f>"0:"</f>
        <v>0:</v>
      </c>
      <c r="D573" s="281" t="s">
        <v>918</v>
      </c>
      <c r="E573" s="291"/>
      <c r="F573" s="291"/>
      <c r="G573" s="291"/>
      <c r="H573" s="291"/>
      <c r="I573" s="291"/>
      <c r="J573" s="251"/>
      <c r="K573" s="41"/>
    </row>
    <row r="574" spans="2:11" ht="9.75" customHeight="1" x14ac:dyDescent="0.2">
      <c r="B574" s="38"/>
      <c r="C574" s="280" t="str">
        <f>"1:"</f>
        <v>1:</v>
      </c>
      <c r="D574" s="281" t="s">
        <v>919</v>
      </c>
      <c r="E574" s="291"/>
      <c r="F574" s="291"/>
      <c r="G574" s="291"/>
      <c r="H574" s="291"/>
      <c r="I574" s="291"/>
      <c r="J574" s="251"/>
      <c r="K574" s="41"/>
    </row>
    <row r="575" spans="2:11" ht="9.75" customHeight="1" x14ac:dyDescent="0.2">
      <c r="B575" s="38"/>
      <c r="C575" s="280" t="str">
        <f>"2:"</f>
        <v>2:</v>
      </c>
      <c r="D575" s="281" t="s">
        <v>920</v>
      </c>
      <c r="E575" s="291"/>
      <c r="F575" s="291"/>
      <c r="G575" s="291"/>
      <c r="H575" s="291"/>
      <c r="I575" s="291"/>
      <c r="J575" s="251"/>
      <c r="K575" s="41"/>
    </row>
    <row r="576" spans="2:11" ht="9.75" customHeight="1" x14ac:dyDescent="0.2">
      <c r="B576" s="38"/>
      <c r="C576" s="280" t="str">
        <f>"3:"</f>
        <v>3:</v>
      </c>
      <c r="D576" s="281" t="s">
        <v>921</v>
      </c>
      <c r="E576" s="291"/>
      <c r="F576" s="291"/>
      <c r="G576" s="291"/>
      <c r="H576" s="291"/>
      <c r="I576" s="291"/>
      <c r="J576" s="251"/>
      <c r="K576" s="41"/>
    </row>
    <row r="577" spans="2:14" ht="9.75" customHeight="1" x14ac:dyDescent="0.2">
      <c r="B577" s="38"/>
      <c r="C577" s="280" t="str">
        <f>"4:"</f>
        <v>4:</v>
      </c>
      <c r="D577" s="281" t="s">
        <v>922</v>
      </c>
      <c r="E577" s="40"/>
      <c r="F577" s="40"/>
      <c r="G577" s="40"/>
      <c r="H577" s="40"/>
      <c r="I577" s="40"/>
      <c r="J577" s="40"/>
      <c r="K577" s="41"/>
      <c r="N577" s="12" t="s">
        <v>661</v>
      </c>
    </row>
    <row r="578" spans="2:14" ht="15" customHeight="1" x14ac:dyDescent="0.2">
      <c r="B578" s="38"/>
      <c r="C578" s="174" t="s">
        <v>662</v>
      </c>
      <c r="D578" s="40"/>
      <c r="E578" s="40"/>
      <c r="F578" s="40"/>
      <c r="G578" s="40"/>
      <c r="H578" s="40"/>
      <c r="I578" s="40"/>
      <c r="J578" s="265" t="s">
        <v>661</v>
      </c>
      <c r="K578" s="41"/>
      <c r="N578" s="12" t="s">
        <v>894</v>
      </c>
    </row>
    <row r="579" spans="2:14" ht="15" customHeight="1" x14ac:dyDescent="0.2">
      <c r="B579" s="38"/>
      <c r="C579" s="174" t="s">
        <v>660</v>
      </c>
      <c r="D579" s="40"/>
      <c r="E579" s="40"/>
      <c r="F579" s="40"/>
      <c r="G579" s="40"/>
      <c r="H579" s="40"/>
      <c r="I579" s="40"/>
      <c r="J579" s="247" t="str">
        <f>IF(J578=N577,"N/A",IF(J578=N578,0,IF(J578=N579,1,IF(J578=N580,2,IF(J578=N581,3,IF(J578=N582,4,"N/A"))))))</f>
        <v>N/A</v>
      </c>
      <c r="K579" s="41"/>
      <c r="N579" s="12" t="s">
        <v>895</v>
      </c>
    </row>
    <row r="580" spans="2:14" x14ac:dyDescent="0.2">
      <c r="B580" s="38"/>
      <c r="C580" s="40" t="s">
        <v>257</v>
      </c>
      <c r="D580" s="40"/>
      <c r="E580" s="40"/>
      <c r="F580" s="40"/>
      <c r="G580" s="40"/>
      <c r="H580" s="40"/>
      <c r="I580" s="40"/>
      <c r="J580" s="266" t="s">
        <v>870</v>
      </c>
      <c r="K580" s="41"/>
      <c r="N580" s="12" t="s">
        <v>896</v>
      </c>
    </row>
    <row r="581" spans="2:14" x14ac:dyDescent="0.2">
      <c r="B581" s="38"/>
      <c r="C581" s="40" t="s">
        <v>261</v>
      </c>
      <c r="D581" s="40"/>
      <c r="E581" s="40"/>
      <c r="F581" s="40"/>
      <c r="G581" s="40"/>
      <c r="H581" s="40"/>
      <c r="I581" s="40"/>
      <c r="J581" s="245">
        <f>IF(J580=$B$973,$A$973,IF(J580=$B$974,$A$974,IF(J580=$B$975,$A$975,IF(J580=$B$976,$A$976,IF(J580=$B$977,$A$977,"Not Calculated")))))</f>
        <v>0</v>
      </c>
      <c r="K581" s="41"/>
      <c r="N581" s="12" t="s">
        <v>897</v>
      </c>
    </row>
    <row r="582" spans="2:14" x14ac:dyDescent="0.2">
      <c r="B582" s="38"/>
      <c r="C582" s="40" t="s">
        <v>893</v>
      </c>
      <c r="D582" s="40"/>
      <c r="E582" s="40"/>
      <c r="F582" s="40"/>
      <c r="G582" s="40"/>
      <c r="H582" s="40"/>
      <c r="I582" s="40"/>
      <c r="J582" s="40"/>
      <c r="K582" s="41"/>
      <c r="N582" s="12" t="s">
        <v>898</v>
      </c>
    </row>
    <row r="583" spans="2:14" ht="30" customHeight="1" x14ac:dyDescent="0.2">
      <c r="B583" s="38"/>
      <c r="C583" s="399"/>
      <c r="D583" s="400"/>
      <c r="E583" s="400"/>
      <c r="F583" s="400"/>
      <c r="G583" s="400"/>
      <c r="H583" s="400"/>
      <c r="I583" s="400"/>
      <c r="J583" s="401"/>
      <c r="K583" s="41"/>
    </row>
    <row r="584" spans="2:14" x14ac:dyDescent="0.2">
      <c r="B584" s="38"/>
      <c r="C584" s="40"/>
      <c r="D584" s="40"/>
      <c r="E584" s="40"/>
      <c r="F584" s="40"/>
      <c r="G584" s="40"/>
      <c r="H584" s="40"/>
      <c r="I584" s="40"/>
      <c r="J584" s="40"/>
      <c r="K584" s="41"/>
    </row>
    <row r="585" spans="2:14" x14ac:dyDescent="0.2">
      <c r="B585" s="38"/>
      <c r="C585" s="179" t="s">
        <v>324</v>
      </c>
      <c r="D585" s="40"/>
      <c r="E585" s="40"/>
      <c r="F585" s="40"/>
      <c r="G585" s="40"/>
      <c r="H585" s="40"/>
      <c r="I585" s="40"/>
      <c r="J585" s="245" t="str">
        <f>IF(J579="N/A",IF(OR(J572="Not Calculated",J581="Not Calculated")=TRUE,"Not Calculated",AVERAGE(J572,J581)),AVERAGE(J579,J581))</f>
        <v>Not Calculated</v>
      </c>
      <c r="K585" s="41"/>
    </row>
    <row r="586" spans="2:14" x14ac:dyDescent="0.2">
      <c r="B586" s="38"/>
      <c r="C586" s="40"/>
      <c r="D586" s="40"/>
      <c r="E586" s="40"/>
      <c r="F586" s="40"/>
      <c r="G586" s="40"/>
      <c r="H586" s="40"/>
      <c r="I586" s="40"/>
      <c r="J586" s="40"/>
      <c r="K586" s="41"/>
    </row>
    <row r="587" spans="2:14" x14ac:dyDescent="0.2">
      <c r="B587" s="38"/>
      <c r="C587" s="40"/>
      <c r="D587" s="40"/>
      <c r="E587" s="40"/>
      <c r="F587" s="40"/>
      <c r="G587" s="40"/>
      <c r="H587" s="40"/>
      <c r="I587" s="40"/>
      <c r="J587" s="40"/>
      <c r="K587" s="41"/>
    </row>
    <row r="588" spans="2:14" ht="16" x14ac:dyDescent="0.2">
      <c r="B588" s="38"/>
      <c r="C588" s="45" t="s">
        <v>115</v>
      </c>
      <c r="D588" s="40"/>
      <c r="E588" s="40"/>
      <c r="F588" s="40"/>
      <c r="G588" s="40"/>
      <c r="H588" s="40"/>
      <c r="I588" s="40"/>
      <c r="J588" s="40"/>
      <c r="K588" s="41"/>
    </row>
    <row r="589" spans="2:14" x14ac:dyDescent="0.2">
      <c r="B589" s="38"/>
      <c r="C589" s="40" t="s">
        <v>335</v>
      </c>
      <c r="D589" s="40"/>
      <c r="E589" s="40"/>
      <c r="F589" s="40"/>
      <c r="G589" s="40"/>
      <c r="H589" s="40"/>
      <c r="I589" s="40"/>
      <c r="J589" s="264">
        <v>0</v>
      </c>
      <c r="K589" s="41"/>
    </row>
    <row r="590" spans="2:14" x14ac:dyDescent="0.2">
      <c r="B590" s="38"/>
      <c r="C590" s="40" t="s">
        <v>260</v>
      </c>
      <c r="D590" s="40"/>
      <c r="E590" s="40"/>
      <c r="F590" s="40"/>
      <c r="G590" s="40"/>
      <c r="H590" s="40"/>
      <c r="I590" s="40"/>
      <c r="J590" s="255">
        <f>IF(J589&lt;=0,0,IF(J589&lt;=1000,1,IF(J589&lt;=5000,2,IF(J589&lt;=25000,3,4))))</f>
        <v>0</v>
      </c>
      <c r="K590" s="41"/>
    </row>
    <row r="591" spans="2:14" ht="9.75" customHeight="1" x14ac:dyDescent="0.2">
      <c r="B591" s="38"/>
      <c r="C591" s="279" t="str">
        <f>"0:"</f>
        <v>0:</v>
      </c>
      <c r="D591" s="284" t="s">
        <v>970</v>
      </c>
      <c r="E591" s="40"/>
      <c r="F591" s="40"/>
      <c r="G591" s="40"/>
      <c r="H591" s="40"/>
      <c r="I591" s="40"/>
      <c r="J591" s="251"/>
      <c r="K591" s="41"/>
    </row>
    <row r="592" spans="2:14" ht="9.75" customHeight="1" x14ac:dyDescent="0.2">
      <c r="B592" s="38"/>
      <c r="C592" s="280" t="str">
        <f>"1:"</f>
        <v>1:</v>
      </c>
      <c r="D592" s="284" t="s">
        <v>961</v>
      </c>
      <c r="E592" s="40"/>
      <c r="F592" s="40"/>
      <c r="G592" s="40"/>
      <c r="H592" s="40"/>
      <c r="I592" s="40"/>
      <c r="J592" s="251"/>
      <c r="K592" s="41"/>
    </row>
    <row r="593" spans="2:11" ht="9.75" customHeight="1" x14ac:dyDescent="0.2">
      <c r="B593" s="38"/>
      <c r="C593" s="280" t="str">
        <f>"2:"</f>
        <v>2:</v>
      </c>
      <c r="D593" s="284" t="s">
        <v>971</v>
      </c>
      <c r="E593" s="40"/>
      <c r="F593" s="40"/>
      <c r="G593" s="40"/>
      <c r="H593" s="40"/>
      <c r="I593" s="40"/>
      <c r="J593" s="251"/>
      <c r="K593" s="41"/>
    </row>
    <row r="594" spans="2:11" ht="9.75" customHeight="1" x14ac:dyDescent="0.2">
      <c r="B594" s="38"/>
      <c r="C594" s="280" t="str">
        <f>"3:"</f>
        <v>3:</v>
      </c>
      <c r="D594" s="284" t="s">
        <v>963</v>
      </c>
      <c r="E594" s="40"/>
      <c r="F594" s="40"/>
      <c r="G594" s="40"/>
      <c r="H594" s="40"/>
      <c r="I594" s="40"/>
      <c r="J594" s="251"/>
      <c r="K594" s="41"/>
    </row>
    <row r="595" spans="2:11" ht="9.75" customHeight="1" x14ac:dyDescent="0.2">
      <c r="B595" s="38"/>
      <c r="C595" s="280" t="str">
        <f>"4:"</f>
        <v>4:</v>
      </c>
      <c r="D595" s="284" t="s">
        <v>964</v>
      </c>
      <c r="E595" s="40"/>
      <c r="F595" s="40"/>
      <c r="G595" s="40"/>
      <c r="H595" s="40"/>
      <c r="I595" s="40"/>
      <c r="J595" s="40"/>
      <c r="K595" s="41"/>
    </row>
    <row r="596" spans="2:11" ht="15" customHeight="1" x14ac:dyDescent="0.2">
      <c r="B596" s="38"/>
      <c r="C596" s="40" t="s">
        <v>257</v>
      </c>
      <c r="D596" s="40"/>
      <c r="E596" s="40"/>
      <c r="F596" s="40"/>
      <c r="G596" s="40"/>
      <c r="H596" s="40"/>
      <c r="I596" s="40"/>
      <c r="J596" s="266" t="s">
        <v>870</v>
      </c>
      <c r="K596" s="41"/>
    </row>
    <row r="597" spans="2:11" ht="15" customHeight="1" x14ac:dyDescent="0.2">
      <c r="B597" s="38"/>
      <c r="C597" s="40" t="s">
        <v>261</v>
      </c>
      <c r="D597" s="40"/>
      <c r="E597" s="40"/>
      <c r="F597" s="40"/>
      <c r="G597" s="40"/>
      <c r="H597" s="40"/>
      <c r="I597" s="40"/>
      <c r="J597" s="245">
        <f>IF(J596=$B$973,$A$973,IF(J596=$B$974,$A$974,IF(J596=$B$975,$A$975,IF(J596=$B$976,$A$976,IF(J596=$B$977,$A$977,"Not Calculated")))))</f>
        <v>0</v>
      </c>
      <c r="K597" s="41"/>
    </row>
    <row r="598" spans="2:11" x14ac:dyDescent="0.2">
      <c r="B598" s="38"/>
      <c r="C598" s="40" t="s">
        <v>893</v>
      </c>
      <c r="D598" s="40"/>
      <c r="E598" s="40"/>
      <c r="F598" s="40"/>
      <c r="G598" s="40"/>
      <c r="H598" s="40"/>
      <c r="I598" s="40"/>
      <c r="J598" s="40"/>
      <c r="K598" s="41"/>
    </row>
    <row r="599" spans="2:11" ht="30" customHeight="1" x14ac:dyDescent="0.2">
      <c r="B599" s="38"/>
      <c r="C599" s="399"/>
      <c r="D599" s="400"/>
      <c r="E599" s="400"/>
      <c r="F599" s="400"/>
      <c r="G599" s="400"/>
      <c r="H599" s="400"/>
      <c r="I599" s="400"/>
      <c r="J599" s="401"/>
      <c r="K599" s="41"/>
    </row>
    <row r="600" spans="2:11" x14ac:dyDescent="0.2">
      <c r="B600" s="38"/>
      <c r="C600" s="40"/>
      <c r="D600" s="40"/>
      <c r="E600" s="40"/>
      <c r="F600" s="40"/>
      <c r="G600" s="40"/>
      <c r="H600" s="40"/>
      <c r="I600" s="40"/>
      <c r="J600" s="40"/>
      <c r="K600" s="41"/>
    </row>
    <row r="601" spans="2:11" x14ac:dyDescent="0.2">
      <c r="B601" s="38"/>
      <c r="C601" s="179" t="s">
        <v>325</v>
      </c>
      <c r="D601" s="40"/>
      <c r="E601" s="40"/>
      <c r="F601" s="40"/>
      <c r="G601" s="40"/>
      <c r="H601" s="40"/>
      <c r="I601" s="40"/>
      <c r="J601" s="245">
        <f>IF(J590="Not Calculated","Not Calculated",AVERAGE(J590,J597))</f>
        <v>0</v>
      </c>
      <c r="K601" s="41"/>
    </row>
    <row r="602" spans="2:11" x14ac:dyDescent="0.2">
      <c r="B602" s="38"/>
      <c r="C602" s="40"/>
      <c r="D602" s="40"/>
      <c r="E602" s="40"/>
      <c r="F602" s="40"/>
      <c r="G602" s="40"/>
      <c r="H602" s="40"/>
      <c r="I602" s="40"/>
      <c r="J602" s="40"/>
      <c r="K602" s="41"/>
    </row>
    <row r="603" spans="2:11" x14ac:dyDescent="0.2">
      <c r="B603" s="38"/>
      <c r="C603" s="40"/>
      <c r="D603" s="40"/>
      <c r="E603" s="40"/>
      <c r="F603" s="40"/>
      <c r="G603" s="40"/>
      <c r="H603" s="40"/>
      <c r="I603" s="40"/>
      <c r="J603" s="40"/>
      <c r="K603" s="41"/>
    </row>
    <row r="604" spans="2:11" ht="16" x14ac:dyDescent="0.2">
      <c r="B604" s="38"/>
      <c r="C604" s="45" t="s">
        <v>326</v>
      </c>
      <c r="D604" s="40"/>
      <c r="E604" s="40"/>
      <c r="F604" s="40"/>
      <c r="G604" s="40"/>
      <c r="H604" s="40"/>
      <c r="I604" s="40"/>
      <c r="J604" s="40"/>
      <c r="K604" s="41"/>
    </row>
    <row r="605" spans="2:11" x14ac:dyDescent="0.2">
      <c r="B605" s="38"/>
      <c r="C605" s="40" t="s">
        <v>336</v>
      </c>
      <c r="D605" s="40"/>
      <c r="E605" s="40"/>
      <c r="F605" s="40"/>
      <c r="G605" s="40"/>
      <c r="H605" s="40"/>
      <c r="I605" s="40"/>
      <c r="J605" s="271">
        <v>0</v>
      </c>
      <c r="K605" s="41"/>
    </row>
    <row r="606" spans="2:11" x14ac:dyDescent="0.2">
      <c r="B606" s="38"/>
      <c r="C606" s="40" t="s">
        <v>260</v>
      </c>
      <c r="D606" s="40"/>
      <c r="E606" s="40"/>
      <c r="F606" s="40"/>
      <c r="G606" s="40"/>
      <c r="H606" s="40"/>
      <c r="I606" s="40"/>
      <c r="J606" s="248">
        <f>IF(J605&lt;=0,0,IF(J605&lt;=10,1,IF(J605&lt;=25,2,IF(J605&lt;=50,3,4))))</f>
        <v>0</v>
      </c>
      <c r="K606" s="41"/>
    </row>
    <row r="607" spans="2:11" ht="9.75" customHeight="1" x14ac:dyDescent="0.2">
      <c r="B607" s="38"/>
      <c r="C607" s="279" t="str">
        <f>"0:"</f>
        <v>0:</v>
      </c>
      <c r="D607" s="290" t="s">
        <v>944</v>
      </c>
      <c r="E607" s="40"/>
      <c r="F607" s="40"/>
      <c r="G607" s="40"/>
      <c r="H607" s="40"/>
      <c r="I607" s="40"/>
      <c r="J607" s="244"/>
      <c r="K607" s="41"/>
    </row>
    <row r="608" spans="2:11" ht="9.75" customHeight="1" x14ac:dyDescent="0.2">
      <c r="B608" s="38"/>
      <c r="C608" s="280" t="str">
        <f>"1:"</f>
        <v>1:</v>
      </c>
      <c r="D608" s="290" t="s">
        <v>947</v>
      </c>
      <c r="E608" s="40"/>
      <c r="F608" s="40"/>
      <c r="G608" s="40"/>
      <c r="H608" s="40"/>
      <c r="I608" s="40"/>
      <c r="J608" s="244"/>
      <c r="K608" s="41"/>
    </row>
    <row r="609" spans="2:11" ht="9.75" customHeight="1" x14ac:dyDescent="0.2">
      <c r="B609" s="38"/>
      <c r="C609" s="280" t="str">
        <f>"2:"</f>
        <v>2:</v>
      </c>
      <c r="D609" s="290" t="s">
        <v>972</v>
      </c>
      <c r="E609" s="40"/>
      <c r="F609" s="40"/>
      <c r="G609" s="40"/>
      <c r="H609" s="40"/>
      <c r="I609" s="40"/>
      <c r="J609" s="244"/>
      <c r="K609" s="41"/>
    </row>
    <row r="610" spans="2:11" ht="9.75" customHeight="1" x14ac:dyDescent="0.2">
      <c r="B610" s="38"/>
      <c r="C610" s="280" t="str">
        <f>"3:"</f>
        <v>3:</v>
      </c>
      <c r="D610" s="290" t="s">
        <v>973</v>
      </c>
      <c r="E610" s="40"/>
      <c r="F610" s="40"/>
      <c r="G610" s="40"/>
      <c r="H610" s="40"/>
      <c r="I610" s="40"/>
      <c r="J610" s="244"/>
      <c r="K610" s="41"/>
    </row>
    <row r="611" spans="2:11" ht="9.75" customHeight="1" x14ac:dyDescent="0.2">
      <c r="B611" s="38"/>
      <c r="C611" s="280" t="str">
        <f>"4:"</f>
        <v>4:</v>
      </c>
      <c r="D611" s="290" t="s">
        <v>974</v>
      </c>
      <c r="E611" s="40"/>
      <c r="F611" s="40"/>
      <c r="G611" s="40"/>
      <c r="H611" s="40"/>
      <c r="I611" s="40"/>
      <c r="J611" s="40"/>
      <c r="K611" s="41"/>
    </row>
    <row r="612" spans="2:11" x14ac:dyDescent="0.2">
      <c r="B612" s="38"/>
      <c r="C612" s="40" t="s">
        <v>893</v>
      </c>
      <c r="D612" s="40"/>
      <c r="E612" s="40"/>
      <c r="F612" s="40"/>
      <c r="G612" s="40"/>
      <c r="H612" s="40"/>
      <c r="I612" s="40"/>
      <c r="J612" s="40"/>
      <c r="K612" s="41"/>
    </row>
    <row r="613" spans="2:11" ht="30" customHeight="1" x14ac:dyDescent="0.2">
      <c r="B613" s="38"/>
      <c r="C613" s="399"/>
      <c r="D613" s="400"/>
      <c r="E613" s="400"/>
      <c r="F613" s="400"/>
      <c r="G613" s="400"/>
      <c r="H613" s="400"/>
      <c r="I613" s="400"/>
      <c r="J613" s="401"/>
      <c r="K613" s="41"/>
    </row>
    <row r="614" spans="2:11" x14ac:dyDescent="0.2">
      <c r="B614" s="38"/>
      <c r="C614" s="40"/>
      <c r="D614" s="40"/>
      <c r="E614" s="40"/>
      <c r="F614" s="40"/>
      <c r="G614" s="40"/>
      <c r="H614" s="40"/>
      <c r="I614" s="40"/>
      <c r="J614" s="40"/>
      <c r="K614" s="41"/>
    </row>
    <row r="615" spans="2:11" x14ac:dyDescent="0.2">
      <c r="B615" s="38"/>
      <c r="C615" s="179" t="s">
        <v>327</v>
      </c>
      <c r="D615" s="40"/>
      <c r="E615" s="40"/>
      <c r="F615" s="40"/>
      <c r="G615" s="40"/>
      <c r="H615" s="40"/>
      <c r="I615" s="40"/>
      <c r="J615" s="245">
        <f>J606</f>
        <v>0</v>
      </c>
      <c r="K615" s="41"/>
    </row>
    <row r="616" spans="2:11" x14ac:dyDescent="0.2">
      <c r="B616" s="38"/>
      <c r="C616" s="40"/>
      <c r="D616" s="40"/>
      <c r="E616" s="40"/>
      <c r="F616" s="40"/>
      <c r="G616" s="40"/>
      <c r="H616" s="40"/>
      <c r="I616" s="40"/>
      <c r="J616" s="40"/>
      <c r="K616" s="41"/>
    </row>
    <row r="617" spans="2:11" x14ac:dyDescent="0.2">
      <c r="B617" s="38"/>
      <c r="C617" s="40"/>
      <c r="D617" s="40"/>
      <c r="E617" s="40"/>
      <c r="F617" s="40"/>
      <c r="G617" s="40"/>
      <c r="H617" s="40"/>
      <c r="I617" s="40"/>
      <c r="J617" s="40"/>
      <c r="K617" s="41"/>
    </row>
    <row r="618" spans="2:11" ht="16" x14ac:dyDescent="0.2">
      <c r="B618" s="38"/>
      <c r="C618" s="45" t="s">
        <v>92</v>
      </c>
      <c r="D618" s="40"/>
      <c r="E618" s="40"/>
      <c r="F618" s="40"/>
      <c r="G618" s="40"/>
      <c r="H618" s="40"/>
      <c r="I618" s="40"/>
      <c r="J618" s="40"/>
      <c r="K618" s="41"/>
    </row>
    <row r="619" spans="2:11" x14ac:dyDescent="0.2">
      <c r="B619" s="38"/>
      <c r="C619" s="40" t="s">
        <v>337</v>
      </c>
      <c r="D619" s="40"/>
      <c r="E619" s="40"/>
      <c r="F619" s="40"/>
      <c r="G619" s="40"/>
      <c r="H619" s="40"/>
      <c r="I619" s="40"/>
      <c r="J619" s="251">
        <f>'Baseline Health'!G137</f>
        <v>1</v>
      </c>
      <c r="K619" s="41"/>
    </row>
    <row r="620" spans="2:11" ht="15" customHeight="1" x14ac:dyDescent="0.2">
      <c r="B620" s="38"/>
      <c r="C620" s="380" t="s">
        <v>338</v>
      </c>
      <c r="D620" s="380"/>
      <c r="E620" s="380"/>
      <c r="F620" s="380"/>
      <c r="G620" s="380"/>
      <c r="H620" s="380"/>
      <c r="I620" s="380"/>
      <c r="J620" s="251"/>
      <c r="K620" s="41"/>
    </row>
    <row r="621" spans="2:11" x14ac:dyDescent="0.2">
      <c r="B621" s="38"/>
      <c r="C621" s="380"/>
      <c r="D621" s="380"/>
      <c r="E621" s="380"/>
      <c r="F621" s="380"/>
      <c r="G621" s="380"/>
      <c r="H621" s="380"/>
      <c r="I621" s="380"/>
      <c r="J621" s="264">
        <v>0</v>
      </c>
      <c r="K621" s="41"/>
    </row>
    <row r="622" spans="2:11" x14ac:dyDescent="0.2">
      <c r="B622" s="38"/>
      <c r="C622" s="40" t="s">
        <v>260</v>
      </c>
      <c r="D622" s="40"/>
      <c r="E622" s="40"/>
      <c r="F622" s="40"/>
      <c r="G622" s="40"/>
      <c r="H622" s="40"/>
      <c r="I622" s="40"/>
      <c r="J622" s="245">
        <f>IF(OR(J619=0,J619="Not Calculated")=TRUE,"Not Calculated",IF(((J619+J621)/J619)&lt;=1,0,IF(((J619+J621)/J619)&lt;=1.05,1,IF(((J619+J621)/J619)&lt;=1.5, 2,IF(((J619+J621)/J619)&lt;=2,3,4)))))</f>
        <v>0</v>
      </c>
      <c r="K622" s="41"/>
    </row>
    <row r="623" spans="2:11" ht="9.75" customHeight="1" x14ac:dyDescent="0.2">
      <c r="B623" s="38"/>
      <c r="C623" s="279" t="str">
        <f>"0:"</f>
        <v>0:</v>
      </c>
      <c r="D623" s="281" t="s">
        <v>918</v>
      </c>
      <c r="E623" s="291"/>
      <c r="F623" s="291"/>
      <c r="G623" s="291"/>
      <c r="H623" s="291"/>
      <c r="I623" s="291"/>
      <c r="J623" s="251"/>
      <c r="K623" s="41"/>
    </row>
    <row r="624" spans="2:11" ht="9.75" customHeight="1" x14ac:dyDescent="0.2">
      <c r="B624" s="38"/>
      <c r="C624" s="280" t="str">
        <f>"1:"</f>
        <v>1:</v>
      </c>
      <c r="D624" s="281" t="s">
        <v>919</v>
      </c>
      <c r="E624" s="291"/>
      <c r="F624" s="291"/>
      <c r="G624" s="291"/>
      <c r="H624" s="291"/>
      <c r="I624" s="291"/>
      <c r="J624" s="251"/>
      <c r="K624" s="41"/>
    </row>
    <row r="625" spans="2:14" ht="9.75" customHeight="1" x14ac:dyDescent="0.2">
      <c r="B625" s="38"/>
      <c r="C625" s="280" t="str">
        <f>"2:"</f>
        <v>2:</v>
      </c>
      <c r="D625" s="281" t="s">
        <v>920</v>
      </c>
      <c r="E625" s="291"/>
      <c r="F625" s="291"/>
      <c r="G625" s="291"/>
      <c r="H625" s="291"/>
      <c r="I625" s="291"/>
      <c r="J625" s="251"/>
      <c r="K625" s="41"/>
    </row>
    <row r="626" spans="2:14" ht="9.75" customHeight="1" x14ac:dyDescent="0.2">
      <c r="B626" s="38"/>
      <c r="C626" s="280" t="str">
        <f>"3:"</f>
        <v>3:</v>
      </c>
      <c r="D626" s="281" t="s">
        <v>921</v>
      </c>
      <c r="E626" s="291"/>
      <c r="F626" s="291"/>
      <c r="G626" s="291"/>
      <c r="H626" s="291"/>
      <c r="I626" s="291"/>
      <c r="J626" s="251"/>
      <c r="K626" s="41"/>
    </row>
    <row r="627" spans="2:14" ht="9.75" customHeight="1" x14ac:dyDescent="0.2">
      <c r="B627" s="38"/>
      <c r="C627" s="280" t="str">
        <f>"4:"</f>
        <v>4:</v>
      </c>
      <c r="D627" s="281" t="s">
        <v>922</v>
      </c>
      <c r="E627" s="40"/>
      <c r="F627" s="40"/>
      <c r="G627" s="40"/>
      <c r="H627" s="40"/>
      <c r="I627" s="40"/>
      <c r="J627" s="40"/>
      <c r="K627" s="41"/>
      <c r="N627" s="12" t="s">
        <v>661</v>
      </c>
    </row>
    <row r="628" spans="2:14" x14ac:dyDescent="0.2">
      <c r="B628" s="38"/>
      <c r="C628" s="174" t="s">
        <v>662</v>
      </c>
      <c r="D628" s="40"/>
      <c r="E628" s="40"/>
      <c r="F628" s="40"/>
      <c r="G628" s="40"/>
      <c r="H628" s="40"/>
      <c r="I628" s="40"/>
      <c r="J628" s="265" t="s">
        <v>661</v>
      </c>
      <c r="K628" s="41"/>
      <c r="N628" s="12" t="s">
        <v>894</v>
      </c>
    </row>
    <row r="629" spans="2:14" x14ac:dyDescent="0.2">
      <c r="B629" s="38"/>
      <c r="C629" s="174" t="s">
        <v>660</v>
      </c>
      <c r="D629" s="40"/>
      <c r="E629" s="40"/>
      <c r="F629" s="40"/>
      <c r="G629" s="40"/>
      <c r="H629" s="40"/>
      <c r="I629" s="40"/>
      <c r="J629" s="247" t="str">
        <f>IF(J628=N627,"N/A",IF(J628=N628,0,IF(J628=N629,1,IF(J628=N630,2,IF(J628=N631,3,IF(J628=N632,4,"N/A"))))))</f>
        <v>N/A</v>
      </c>
      <c r="K629" s="41"/>
      <c r="N629" s="12" t="s">
        <v>895</v>
      </c>
    </row>
    <row r="630" spans="2:14" x14ac:dyDescent="0.2">
      <c r="B630" s="38"/>
      <c r="C630" s="40" t="s">
        <v>257</v>
      </c>
      <c r="D630" s="40"/>
      <c r="E630" s="40"/>
      <c r="F630" s="40"/>
      <c r="G630" s="40"/>
      <c r="H630" s="40"/>
      <c r="I630" s="40"/>
      <c r="J630" s="266" t="s">
        <v>870</v>
      </c>
      <c r="K630" s="41"/>
      <c r="N630" s="12" t="s">
        <v>896</v>
      </c>
    </row>
    <row r="631" spans="2:14" x14ac:dyDescent="0.2">
      <c r="B631" s="38"/>
      <c r="C631" s="40" t="s">
        <v>261</v>
      </c>
      <c r="D631" s="40"/>
      <c r="E631" s="40"/>
      <c r="F631" s="40"/>
      <c r="G631" s="40"/>
      <c r="H631" s="40"/>
      <c r="I631" s="40"/>
      <c r="J631" s="245">
        <f>IF(J630=$B$973,$A$973,IF(J630=$B$974,$A$974,IF(J630=$B$975,$A$975,IF(J630=$B$976,$A$976,IF(J630=$B$977,$A$977,"Not Calculated")))))</f>
        <v>0</v>
      </c>
      <c r="K631" s="41"/>
      <c r="N631" s="12" t="s">
        <v>897</v>
      </c>
    </row>
    <row r="632" spans="2:14" x14ac:dyDescent="0.2">
      <c r="B632" s="38"/>
      <c r="C632" s="40" t="s">
        <v>893</v>
      </c>
      <c r="D632" s="40"/>
      <c r="E632" s="40"/>
      <c r="F632" s="40"/>
      <c r="G632" s="40"/>
      <c r="H632" s="40"/>
      <c r="I632" s="40"/>
      <c r="J632" s="40"/>
      <c r="K632" s="41"/>
      <c r="N632" s="12" t="s">
        <v>898</v>
      </c>
    </row>
    <row r="633" spans="2:14" ht="30" customHeight="1" x14ac:dyDescent="0.2">
      <c r="B633" s="38"/>
      <c r="C633" s="399"/>
      <c r="D633" s="400"/>
      <c r="E633" s="400"/>
      <c r="F633" s="400"/>
      <c r="G633" s="400"/>
      <c r="H633" s="400"/>
      <c r="I633" s="400"/>
      <c r="J633" s="401"/>
      <c r="K633" s="41"/>
    </row>
    <row r="634" spans="2:14" x14ac:dyDescent="0.2">
      <c r="B634" s="38"/>
      <c r="C634" s="40"/>
      <c r="D634" s="40"/>
      <c r="E634" s="40"/>
      <c r="F634" s="40"/>
      <c r="G634" s="40"/>
      <c r="H634" s="40"/>
      <c r="I634" s="40"/>
      <c r="J634" s="40"/>
      <c r="K634" s="41"/>
    </row>
    <row r="635" spans="2:14" x14ac:dyDescent="0.2">
      <c r="B635" s="38"/>
      <c r="C635" s="179" t="s">
        <v>328</v>
      </c>
      <c r="D635" s="40"/>
      <c r="E635" s="40"/>
      <c r="F635" s="40"/>
      <c r="G635" s="40"/>
      <c r="H635" s="40"/>
      <c r="I635" s="40"/>
      <c r="J635" s="245">
        <f>IF(J629="N/A",IF(OR(J622="Not Calculated",J631="Not Calculated")=TRUE,"Not Calculated",AVERAGE(J622,J631)),AVERAGE(J629,J631))</f>
        <v>0</v>
      </c>
      <c r="K635" s="41"/>
    </row>
    <row r="636" spans="2:14" x14ac:dyDescent="0.2">
      <c r="B636" s="38"/>
      <c r="C636" s="40"/>
      <c r="D636" s="40"/>
      <c r="E636" s="40"/>
      <c r="F636" s="40"/>
      <c r="G636" s="40"/>
      <c r="H636" s="40"/>
      <c r="I636" s="40"/>
      <c r="J636" s="40"/>
      <c r="K636" s="41"/>
    </row>
    <row r="637" spans="2:14" x14ac:dyDescent="0.2">
      <c r="B637" s="38"/>
      <c r="C637" s="40"/>
      <c r="D637" s="40"/>
      <c r="E637" s="40"/>
      <c r="F637" s="40"/>
      <c r="G637" s="40"/>
      <c r="H637" s="40"/>
      <c r="I637" s="40"/>
      <c r="J637" s="40"/>
      <c r="K637" s="41"/>
    </row>
    <row r="638" spans="2:14" ht="16" x14ac:dyDescent="0.2">
      <c r="B638" s="38"/>
      <c r="C638" s="45" t="s">
        <v>329</v>
      </c>
      <c r="D638" s="40"/>
      <c r="E638" s="40"/>
      <c r="F638" s="40"/>
      <c r="G638" s="40"/>
      <c r="H638" s="40"/>
      <c r="I638" s="40"/>
      <c r="J638" s="40"/>
      <c r="K638" s="41"/>
    </row>
    <row r="639" spans="2:14" ht="15" customHeight="1" x14ac:dyDescent="0.2">
      <c r="B639" s="38"/>
      <c r="C639" s="380" t="s">
        <v>339</v>
      </c>
      <c r="D639" s="380"/>
      <c r="E639" s="380"/>
      <c r="F639" s="380"/>
      <c r="G639" s="380"/>
      <c r="H639" s="380"/>
      <c r="I639" s="380"/>
      <c r="J639" s="40"/>
      <c r="K639" s="41"/>
    </row>
    <row r="640" spans="2:14" x14ac:dyDescent="0.2">
      <c r="B640" s="38"/>
      <c r="C640" s="380"/>
      <c r="D640" s="380"/>
      <c r="E640" s="380"/>
      <c r="F640" s="380"/>
      <c r="G640" s="380"/>
      <c r="H640" s="380"/>
      <c r="I640" s="380"/>
      <c r="J640" s="250">
        <f>'Baseline Health'!G145</f>
        <v>0</v>
      </c>
      <c r="K640" s="41"/>
    </row>
    <row r="641" spans="2:14" ht="15" customHeight="1" x14ac:dyDescent="0.2">
      <c r="B641" s="38"/>
      <c r="C641" s="380" t="s">
        <v>340</v>
      </c>
      <c r="D641" s="380"/>
      <c r="E641" s="380"/>
      <c r="F641" s="380"/>
      <c r="G641" s="380"/>
      <c r="H641" s="380"/>
      <c r="I641" s="380"/>
      <c r="J641" s="245"/>
      <c r="K641" s="41"/>
    </row>
    <row r="642" spans="2:14" x14ac:dyDescent="0.2">
      <c r="B642" s="38"/>
      <c r="C642" s="380"/>
      <c r="D642" s="380"/>
      <c r="E642" s="380"/>
      <c r="F642" s="380"/>
      <c r="G642" s="380"/>
      <c r="H642" s="380"/>
      <c r="I642" s="380"/>
      <c r="J642" s="245"/>
      <c r="K642" s="41"/>
    </row>
    <row r="643" spans="2:14" x14ac:dyDescent="0.2">
      <c r="B643" s="38"/>
      <c r="C643" s="380"/>
      <c r="D643" s="380"/>
      <c r="E643" s="380"/>
      <c r="F643" s="380"/>
      <c r="G643" s="380"/>
      <c r="H643" s="380"/>
      <c r="I643" s="380"/>
      <c r="J643" s="272">
        <v>0</v>
      </c>
      <c r="K643" s="41"/>
    </row>
    <row r="644" spans="2:14" x14ac:dyDescent="0.2">
      <c r="B644" s="38"/>
      <c r="C644" s="40" t="s">
        <v>260</v>
      </c>
      <c r="D644" s="40"/>
      <c r="E644" s="40"/>
      <c r="F644" s="40"/>
      <c r="G644" s="40"/>
      <c r="H644" s="40"/>
      <c r="I644" s="40"/>
      <c r="J644" s="245" t="str">
        <f>IF(OR(J640=0,J640="Not Calculated")=TRUE,"Not Calculated",IF(((J640+J643)/J640)&lt;=1,0,IF(((J640+J643)/J640)&lt;=1.05,1,IF(((J640+J643)/J640)&lt;=1.5, 2,IF(((J640+J643)/J640)&lt;=2,3,4)))))</f>
        <v>Not Calculated</v>
      </c>
      <c r="K644" s="41"/>
    </row>
    <row r="645" spans="2:14" ht="9.75" customHeight="1" x14ac:dyDescent="0.2">
      <c r="B645" s="38"/>
      <c r="C645" s="279" t="str">
        <f>"0:"</f>
        <v>0:</v>
      </c>
      <c r="D645" s="281" t="s">
        <v>918</v>
      </c>
      <c r="E645" s="291"/>
      <c r="F645" s="291"/>
      <c r="G645" s="291"/>
      <c r="H645" s="291"/>
      <c r="I645" s="291"/>
      <c r="J645" s="250"/>
      <c r="K645" s="41"/>
    </row>
    <row r="646" spans="2:14" ht="9.75" customHeight="1" x14ac:dyDescent="0.2">
      <c r="B646" s="38"/>
      <c r="C646" s="280" t="str">
        <f>"1:"</f>
        <v>1:</v>
      </c>
      <c r="D646" s="281" t="s">
        <v>919</v>
      </c>
      <c r="E646" s="291"/>
      <c r="F646" s="291"/>
      <c r="G646" s="291"/>
      <c r="H646" s="291"/>
      <c r="I646" s="291"/>
      <c r="J646" s="250"/>
      <c r="K646" s="41"/>
    </row>
    <row r="647" spans="2:14" ht="9.75" customHeight="1" x14ac:dyDescent="0.2">
      <c r="B647" s="38"/>
      <c r="C647" s="280" t="str">
        <f>"2:"</f>
        <v>2:</v>
      </c>
      <c r="D647" s="281" t="s">
        <v>920</v>
      </c>
      <c r="E647" s="291"/>
      <c r="F647" s="291"/>
      <c r="G647" s="291"/>
      <c r="H647" s="291"/>
      <c r="I647" s="291"/>
      <c r="J647" s="250"/>
      <c r="K647" s="41"/>
    </row>
    <row r="648" spans="2:14" ht="9.75" customHeight="1" x14ac:dyDescent="0.2">
      <c r="B648" s="38"/>
      <c r="C648" s="280" t="str">
        <f>"3:"</f>
        <v>3:</v>
      </c>
      <c r="D648" s="281" t="s">
        <v>921</v>
      </c>
      <c r="E648" s="291"/>
      <c r="F648" s="291"/>
      <c r="G648" s="291"/>
      <c r="H648" s="291"/>
      <c r="I648" s="291"/>
      <c r="J648" s="250"/>
      <c r="K648" s="41"/>
    </row>
    <row r="649" spans="2:14" ht="9.75" customHeight="1" x14ac:dyDescent="0.2">
      <c r="B649" s="38"/>
      <c r="C649" s="280" t="str">
        <f>"4:"</f>
        <v>4:</v>
      </c>
      <c r="D649" s="281" t="s">
        <v>922</v>
      </c>
      <c r="E649" s="40"/>
      <c r="F649" s="40"/>
      <c r="G649" s="40"/>
      <c r="H649" s="40"/>
      <c r="I649" s="40"/>
      <c r="J649" s="40"/>
      <c r="K649" s="41"/>
      <c r="N649" s="12" t="s">
        <v>661</v>
      </c>
    </row>
    <row r="650" spans="2:14" x14ac:dyDescent="0.2">
      <c r="B650" s="38"/>
      <c r="C650" s="174" t="s">
        <v>662</v>
      </c>
      <c r="D650" s="40"/>
      <c r="E650" s="40"/>
      <c r="F650" s="40"/>
      <c r="G650" s="40"/>
      <c r="H650" s="40"/>
      <c r="I650" s="40"/>
      <c r="J650" s="265" t="s">
        <v>661</v>
      </c>
      <c r="K650" s="41"/>
      <c r="N650" s="12" t="s">
        <v>894</v>
      </c>
    </row>
    <row r="651" spans="2:14" x14ac:dyDescent="0.2">
      <c r="B651" s="38"/>
      <c r="C651" s="174" t="s">
        <v>660</v>
      </c>
      <c r="D651" s="40"/>
      <c r="E651" s="40"/>
      <c r="F651" s="40"/>
      <c r="G651" s="40"/>
      <c r="H651" s="40"/>
      <c r="I651" s="40"/>
      <c r="J651" s="247" t="str">
        <f>IF(J650=N649,"N/A",IF(J650=N650,0,IF(J650=N651,1,IF(J650=N652,2,IF(J650=N653,3,IF(J650=N654,4,"N/A"))))))</f>
        <v>N/A</v>
      </c>
      <c r="K651" s="41"/>
      <c r="N651" s="12" t="s">
        <v>895</v>
      </c>
    </row>
    <row r="652" spans="2:14" ht="15" customHeight="1" x14ac:dyDescent="0.2">
      <c r="B652" s="38"/>
      <c r="C652" s="40" t="s">
        <v>257</v>
      </c>
      <c r="D652" s="40"/>
      <c r="E652" s="40"/>
      <c r="F652" s="40"/>
      <c r="G652" s="40"/>
      <c r="H652" s="40"/>
      <c r="I652" s="40"/>
      <c r="J652" s="266" t="s">
        <v>873</v>
      </c>
      <c r="K652" s="41"/>
      <c r="N652" s="12" t="s">
        <v>896</v>
      </c>
    </row>
    <row r="653" spans="2:14" x14ac:dyDescent="0.2">
      <c r="B653" s="38"/>
      <c r="C653" s="40" t="s">
        <v>261</v>
      </c>
      <c r="D653" s="40"/>
      <c r="E653" s="40"/>
      <c r="F653" s="40"/>
      <c r="G653" s="40"/>
      <c r="H653" s="40"/>
      <c r="I653" s="40"/>
      <c r="J653" s="245">
        <f>IF(J652=$B$973,$A$973,IF(J652=$B$974,$A$974,IF(J652=$B$975,$A$975,IF(J652=$B$976,$A$976,IF(J652=$B$977,$A$977,"Not Calculated")))))</f>
        <v>3</v>
      </c>
      <c r="K653" s="41"/>
      <c r="N653" s="12" t="s">
        <v>897</v>
      </c>
    </row>
    <row r="654" spans="2:14" x14ac:dyDescent="0.2">
      <c r="B654" s="38"/>
      <c r="C654" s="40" t="s">
        <v>893</v>
      </c>
      <c r="D654" s="40"/>
      <c r="E654" s="40"/>
      <c r="F654" s="40"/>
      <c r="G654" s="40"/>
      <c r="H654" s="40"/>
      <c r="I654" s="40"/>
      <c r="J654" s="40"/>
      <c r="K654" s="41"/>
      <c r="N654" s="12" t="s">
        <v>898</v>
      </c>
    </row>
    <row r="655" spans="2:14" ht="60" customHeight="1" x14ac:dyDescent="0.2">
      <c r="B655" s="38"/>
      <c r="C655" s="399" t="s">
        <v>1351</v>
      </c>
      <c r="D655" s="400"/>
      <c r="E655" s="400"/>
      <c r="F655" s="400"/>
      <c r="G655" s="400"/>
      <c r="H655" s="400"/>
      <c r="I655" s="400"/>
      <c r="J655" s="401"/>
      <c r="K655" s="41"/>
    </row>
    <row r="656" spans="2:14" x14ac:dyDescent="0.2">
      <c r="B656" s="38"/>
      <c r="C656" s="40"/>
      <c r="D656" s="40"/>
      <c r="E656" s="40"/>
      <c r="F656" s="40"/>
      <c r="G656" s="40"/>
      <c r="H656" s="40"/>
      <c r="I656" s="40"/>
      <c r="J656" s="40"/>
      <c r="K656" s="41"/>
    </row>
    <row r="657" spans="2:14" x14ac:dyDescent="0.2">
      <c r="B657" s="38"/>
      <c r="C657" s="179" t="s">
        <v>330</v>
      </c>
      <c r="D657" s="40"/>
      <c r="E657" s="40"/>
      <c r="F657" s="40"/>
      <c r="G657" s="40"/>
      <c r="H657" s="40"/>
      <c r="I657" s="40"/>
      <c r="J657" s="245" t="str">
        <f>IF(J651="N/A",IF(OR(J644="Not Calculated",J653="Not Calculated")=TRUE,"Not Calculated",AVERAGE(J644,J653)),AVERAGE(J651,J653))</f>
        <v>Not Calculated</v>
      </c>
      <c r="K657" s="41"/>
    </row>
    <row r="658" spans="2:14" x14ac:dyDescent="0.2">
      <c r="B658" s="38"/>
      <c r="C658" s="40"/>
      <c r="D658" s="40"/>
      <c r="E658" s="40"/>
      <c r="F658" s="40"/>
      <c r="G658" s="40"/>
      <c r="H658" s="40"/>
      <c r="I658" s="40"/>
      <c r="J658" s="40"/>
      <c r="K658" s="41"/>
    </row>
    <row r="659" spans="2:14" x14ac:dyDescent="0.2">
      <c r="B659" s="38"/>
      <c r="C659" s="40"/>
      <c r="D659" s="40"/>
      <c r="E659" s="40"/>
      <c r="F659" s="40"/>
      <c r="G659" s="40"/>
      <c r="H659" s="40"/>
      <c r="I659" s="40"/>
      <c r="J659" s="40"/>
      <c r="K659" s="41"/>
    </row>
    <row r="660" spans="2:14" ht="16" x14ac:dyDescent="0.2">
      <c r="B660" s="38"/>
      <c r="C660" s="45" t="s">
        <v>97</v>
      </c>
      <c r="D660" s="40"/>
      <c r="E660" s="40"/>
      <c r="F660" s="40"/>
      <c r="G660" s="40"/>
      <c r="H660" s="40"/>
      <c r="I660" s="40"/>
      <c r="J660" s="40"/>
      <c r="K660" s="41"/>
    </row>
    <row r="661" spans="2:14" x14ac:dyDescent="0.2">
      <c r="B661" s="38"/>
      <c r="C661" s="40" t="s">
        <v>449</v>
      </c>
      <c r="D661" s="40"/>
      <c r="E661" s="40"/>
      <c r="F661" s="40"/>
      <c r="G661" s="40"/>
      <c r="H661" s="40"/>
      <c r="I661" s="40"/>
      <c r="J661" s="263">
        <f>'Baseline Health'!G150</f>
        <v>0</v>
      </c>
      <c r="K661" s="41"/>
    </row>
    <row r="662" spans="2:14" x14ac:dyDescent="0.2">
      <c r="B662" s="38"/>
      <c r="C662" s="40" t="s">
        <v>341</v>
      </c>
      <c r="D662" s="40"/>
      <c r="E662" s="40"/>
      <c r="F662" s="40"/>
      <c r="G662" s="40"/>
      <c r="H662" s="40"/>
      <c r="I662" s="40"/>
      <c r="J662" s="273">
        <v>0</v>
      </c>
      <c r="K662" s="41"/>
    </row>
    <row r="663" spans="2:14" x14ac:dyDescent="0.2">
      <c r="B663" s="38"/>
      <c r="C663" s="40" t="s">
        <v>450</v>
      </c>
      <c r="D663" s="40"/>
      <c r="E663" s="40"/>
      <c r="F663" s="40"/>
      <c r="G663" s="40"/>
      <c r="H663" s="40"/>
      <c r="I663" s="40"/>
      <c r="J663" s="263">
        <f>J26</f>
        <v>0</v>
      </c>
      <c r="K663" s="41"/>
    </row>
    <row r="664" spans="2:14" ht="15" customHeight="1" x14ac:dyDescent="0.2">
      <c r="B664" s="38"/>
      <c r="C664" s="291"/>
      <c r="D664" s="380" t="s">
        <v>342</v>
      </c>
      <c r="E664" s="380"/>
      <c r="F664" s="380"/>
      <c r="G664" s="380"/>
      <c r="H664" s="380"/>
      <c r="I664" s="380"/>
      <c r="J664" s="245"/>
      <c r="K664" s="41"/>
    </row>
    <row r="665" spans="2:14" x14ac:dyDescent="0.2">
      <c r="B665" s="38"/>
      <c r="C665" s="291"/>
      <c r="D665" s="380"/>
      <c r="E665" s="380"/>
      <c r="F665" s="380"/>
      <c r="G665" s="380"/>
      <c r="H665" s="380"/>
      <c r="I665" s="380"/>
      <c r="J665" s="245"/>
      <c r="K665" s="41"/>
    </row>
    <row r="666" spans="2:14" x14ac:dyDescent="0.2">
      <c r="B666" s="38"/>
      <c r="C666" s="40" t="s">
        <v>260</v>
      </c>
      <c r="D666" s="40"/>
      <c r="E666" s="40"/>
      <c r="F666" s="40"/>
      <c r="G666" s="40"/>
      <c r="H666" s="40"/>
      <c r="I666" s="40"/>
      <c r="J666" s="245" t="str">
        <f>IF(OR(J661=0,J661="Not Calculated")=TRUE,"Not Calculated",IF(((J661+J663)/(J661-J662))&lt;=1,0,IF(((J661+J663)/(J661-J662))&lt;=1.1,1,IF(((J661+J663)/(J661-J662))&lt;=1.5, 2,IF(((J661+J663)/(J661-J662))&lt;=2,3,4)))))</f>
        <v>Not Calculated</v>
      </c>
      <c r="K666" s="41"/>
    </row>
    <row r="667" spans="2:14" ht="9.75" customHeight="1" x14ac:dyDescent="0.2">
      <c r="B667" s="38"/>
      <c r="C667" s="279" t="str">
        <f>"0:"</f>
        <v>0:</v>
      </c>
      <c r="D667" s="278" t="s">
        <v>918</v>
      </c>
      <c r="E667" s="291"/>
      <c r="F667" s="291"/>
      <c r="G667" s="291"/>
      <c r="H667" s="291"/>
      <c r="I667" s="291"/>
      <c r="J667" s="245"/>
      <c r="K667" s="41"/>
    </row>
    <row r="668" spans="2:14" ht="9.75" customHeight="1" x14ac:dyDescent="0.2">
      <c r="B668" s="38"/>
      <c r="C668" s="280" t="str">
        <f>"1:"</f>
        <v>1:</v>
      </c>
      <c r="D668" s="278" t="s">
        <v>923</v>
      </c>
      <c r="E668" s="291"/>
      <c r="F668" s="291"/>
      <c r="G668" s="291"/>
      <c r="H668" s="291"/>
      <c r="I668" s="291"/>
      <c r="J668" s="245"/>
      <c r="K668" s="41"/>
    </row>
    <row r="669" spans="2:14" ht="9.75" customHeight="1" x14ac:dyDescent="0.2">
      <c r="B669" s="38"/>
      <c r="C669" s="280" t="str">
        <f>"2:"</f>
        <v>2:</v>
      </c>
      <c r="D669" s="278" t="s">
        <v>924</v>
      </c>
      <c r="E669" s="291"/>
      <c r="F669" s="291"/>
      <c r="G669" s="291"/>
      <c r="H669" s="291"/>
      <c r="I669" s="291"/>
      <c r="J669" s="245"/>
      <c r="K669" s="41"/>
    </row>
    <row r="670" spans="2:14" ht="9.75" customHeight="1" x14ac:dyDescent="0.2">
      <c r="B670" s="38"/>
      <c r="C670" s="280" t="str">
        <f>"3:"</f>
        <v>3:</v>
      </c>
      <c r="D670" s="278" t="s">
        <v>925</v>
      </c>
      <c r="E670" s="291"/>
      <c r="F670" s="291"/>
      <c r="G670" s="291"/>
      <c r="H670" s="291"/>
      <c r="I670" s="291"/>
      <c r="J670" s="245"/>
      <c r="K670" s="41"/>
    </row>
    <row r="671" spans="2:14" ht="9.75" customHeight="1" x14ac:dyDescent="0.2">
      <c r="B671" s="38"/>
      <c r="C671" s="280" t="str">
        <f>"4:"</f>
        <v>4:</v>
      </c>
      <c r="D671" s="278" t="s">
        <v>926</v>
      </c>
      <c r="E671" s="40"/>
      <c r="F671" s="40"/>
      <c r="G671" s="40"/>
      <c r="H671" s="40"/>
      <c r="I671" s="40"/>
      <c r="J671" s="40"/>
      <c r="K671" s="41"/>
      <c r="N671" s="12" t="s">
        <v>661</v>
      </c>
    </row>
    <row r="672" spans="2:14" ht="15" customHeight="1" x14ac:dyDescent="0.2">
      <c r="B672" s="38"/>
      <c r="C672" s="174" t="s">
        <v>662</v>
      </c>
      <c r="D672" s="40"/>
      <c r="E672" s="40"/>
      <c r="F672" s="40"/>
      <c r="G672" s="40"/>
      <c r="H672" s="40"/>
      <c r="I672" s="40"/>
      <c r="J672" s="265" t="s">
        <v>661</v>
      </c>
      <c r="K672" s="41"/>
      <c r="N672" s="12" t="s">
        <v>894</v>
      </c>
    </row>
    <row r="673" spans="2:14" ht="15" customHeight="1" x14ac:dyDescent="0.2">
      <c r="B673" s="38"/>
      <c r="C673" s="174" t="s">
        <v>660</v>
      </c>
      <c r="D673" s="40"/>
      <c r="E673" s="40"/>
      <c r="F673" s="40"/>
      <c r="G673" s="40"/>
      <c r="H673" s="40"/>
      <c r="I673" s="40"/>
      <c r="J673" s="246" t="str">
        <f>IF(J672=N671,"N/A",IF(J672=N672,0,IF(J672=N673,1,IF(J672=N674,2,IF(J672=N675,3,IF(J672=N676,4,"N/A"))))))</f>
        <v>N/A</v>
      </c>
      <c r="K673" s="41"/>
      <c r="N673" s="12" t="s">
        <v>908</v>
      </c>
    </row>
    <row r="674" spans="2:14" ht="15" customHeight="1" x14ac:dyDescent="0.2">
      <c r="B674" s="38"/>
      <c r="C674" s="40" t="s">
        <v>257</v>
      </c>
      <c r="D674" s="40"/>
      <c r="E674" s="40"/>
      <c r="F674" s="40"/>
      <c r="G674" s="40"/>
      <c r="H674" s="40"/>
      <c r="I674" s="40"/>
      <c r="J674" s="266" t="s">
        <v>870</v>
      </c>
      <c r="K674" s="41"/>
      <c r="N674" s="12" t="s">
        <v>900</v>
      </c>
    </row>
    <row r="675" spans="2:14" x14ac:dyDescent="0.2">
      <c r="B675" s="38"/>
      <c r="C675" s="40" t="s">
        <v>261</v>
      </c>
      <c r="D675" s="40"/>
      <c r="E675" s="40"/>
      <c r="F675" s="40"/>
      <c r="G675" s="40"/>
      <c r="H675" s="40"/>
      <c r="I675" s="40"/>
      <c r="J675" s="245">
        <f>IF(J674=$B$973,$A$973,IF(J674=$B$974,$A$974,IF(J674=$B$975,$A$975,IF(J674=$B$976,$A$976,IF(J674=$B$977,$A$977,"Not Calculated")))))</f>
        <v>0</v>
      </c>
      <c r="K675" s="41"/>
      <c r="N675" s="12" t="s">
        <v>901</v>
      </c>
    </row>
    <row r="676" spans="2:14" ht="15" customHeight="1" x14ac:dyDescent="0.2">
      <c r="B676" s="38"/>
      <c r="C676" s="40" t="s">
        <v>893</v>
      </c>
      <c r="D676" s="40"/>
      <c r="E676" s="40"/>
      <c r="F676" s="40"/>
      <c r="G676" s="40"/>
      <c r="H676" s="40"/>
      <c r="I676" s="40"/>
      <c r="J676" s="40"/>
      <c r="K676" s="41"/>
      <c r="N676" s="12" t="s">
        <v>909</v>
      </c>
    </row>
    <row r="677" spans="2:14" ht="30" customHeight="1" x14ac:dyDescent="0.2">
      <c r="B677" s="38"/>
      <c r="C677" s="399"/>
      <c r="D677" s="400"/>
      <c r="E677" s="400"/>
      <c r="F677" s="400"/>
      <c r="G677" s="400"/>
      <c r="H677" s="400"/>
      <c r="I677" s="400"/>
      <c r="J677" s="401"/>
      <c r="K677" s="41"/>
    </row>
    <row r="678" spans="2:14" ht="15" customHeight="1" x14ac:dyDescent="0.2">
      <c r="B678" s="38"/>
      <c r="C678" s="40"/>
      <c r="D678" s="40"/>
      <c r="E678" s="40"/>
      <c r="F678" s="40"/>
      <c r="G678" s="40"/>
      <c r="H678" s="40"/>
      <c r="I678" s="40"/>
      <c r="J678" s="40"/>
      <c r="K678" s="41"/>
    </row>
    <row r="679" spans="2:14" x14ac:dyDescent="0.2">
      <c r="B679" s="38"/>
      <c r="C679" s="179" t="s">
        <v>331</v>
      </c>
      <c r="D679" s="40"/>
      <c r="E679" s="40"/>
      <c r="F679" s="40"/>
      <c r="G679" s="40"/>
      <c r="H679" s="40"/>
      <c r="I679" s="40"/>
      <c r="J679" s="245" t="str">
        <f>IF(J673="N/A",IF(OR(J666="Not Calculated",J675="Not Calculated")=TRUE,"Not Calculated",AVERAGE(J666,J675)),AVERAGE(J673,J675))</f>
        <v>Not Calculated</v>
      </c>
      <c r="K679" s="41"/>
    </row>
    <row r="680" spans="2:14" x14ac:dyDescent="0.2">
      <c r="B680" s="38"/>
      <c r="C680" s="40"/>
      <c r="D680" s="40"/>
      <c r="E680" s="40"/>
      <c r="F680" s="40"/>
      <c r="G680" s="40"/>
      <c r="H680" s="40"/>
      <c r="I680" s="40"/>
      <c r="J680" s="40"/>
      <c r="K680" s="41"/>
    </row>
    <row r="681" spans="2:14" ht="18" x14ac:dyDescent="0.2">
      <c r="B681" s="38"/>
      <c r="C681" s="180" t="s">
        <v>332</v>
      </c>
      <c r="D681" s="40"/>
      <c r="E681" s="40"/>
      <c r="F681" s="40"/>
      <c r="G681" s="40"/>
      <c r="H681" s="40"/>
      <c r="I681" s="40"/>
      <c r="J681" s="244" t="str">
        <f>IF(OR(J562="Not Calculated",J585="Not Calculated",J601="Not Calculated",J615="Not Calculated",J635="Not Calculated",J657="Not Calculated",J679="Not Calculated")=TRUE,"Not Calculated",AVERAGE(J562,J585,J601,J615,J635,J657,J679))</f>
        <v>Not Calculated</v>
      </c>
      <c r="K681" s="41"/>
    </row>
    <row r="682" spans="2:14" ht="16" thickBot="1" x14ac:dyDescent="0.25">
      <c r="B682" s="46"/>
      <c r="C682" s="47"/>
      <c r="D682" s="47"/>
      <c r="E682" s="47"/>
      <c r="F682" s="47"/>
      <c r="G682" s="47"/>
      <c r="H682" s="47"/>
      <c r="I682" s="47"/>
      <c r="J682" s="47"/>
      <c r="K682" s="49"/>
    </row>
    <row r="683" spans="2:14" ht="16" thickBot="1" x14ac:dyDescent="0.25"/>
    <row r="684" spans="2:14" x14ac:dyDescent="0.2">
      <c r="B684" s="33"/>
      <c r="C684" s="34"/>
      <c r="D684" s="34"/>
      <c r="E684" s="34"/>
      <c r="F684" s="34"/>
      <c r="G684" s="34"/>
      <c r="H684" s="34"/>
      <c r="I684" s="34"/>
      <c r="J684" s="34"/>
      <c r="K684" s="37"/>
    </row>
    <row r="685" spans="2:14" ht="21" x14ac:dyDescent="0.25">
      <c r="B685" s="38"/>
      <c r="C685" s="40"/>
      <c r="D685" s="40"/>
      <c r="E685" s="40"/>
      <c r="F685" s="40"/>
      <c r="G685" s="172" t="s">
        <v>346</v>
      </c>
      <c r="H685" s="40"/>
      <c r="I685" s="40"/>
      <c r="J685" s="40"/>
      <c r="K685" s="41"/>
    </row>
    <row r="686" spans="2:14" x14ac:dyDescent="0.2">
      <c r="B686" s="38"/>
      <c r="C686" s="40"/>
      <c r="D686" s="40"/>
      <c r="E686" s="40"/>
      <c r="F686" s="40"/>
      <c r="G686" s="40"/>
      <c r="H686" s="40"/>
      <c r="I686" s="40"/>
      <c r="J686" s="40"/>
      <c r="K686" s="41"/>
    </row>
    <row r="687" spans="2:14" ht="16" x14ac:dyDescent="0.2">
      <c r="B687" s="38"/>
      <c r="C687" s="182" t="s">
        <v>986</v>
      </c>
      <c r="D687" s="40"/>
      <c r="E687" s="40"/>
      <c r="F687" s="40"/>
      <c r="G687" s="40"/>
      <c r="H687" s="40"/>
      <c r="I687" s="40"/>
      <c r="J687" s="257" t="str">
        <f>IF(OR($J$133="Not Calculated",$J$261="Not Calculated",$J$421="Not Calculated",$J$539="Not Calculated",$J$681="Not Calculated")=TRUE,"Not Calculated",AVERAGE($J$133,$J$261,$J$421,$J$539,$J$681))</f>
        <v>Not Calculated</v>
      </c>
      <c r="K687" s="41"/>
    </row>
    <row r="688" spans="2:14" x14ac:dyDescent="0.2">
      <c r="B688" s="38"/>
      <c r="C688" s="40"/>
      <c r="D688" s="40" t="s">
        <v>343</v>
      </c>
      <c r="E688" s="40"/>
      <c r="F688" s="40"/>
      <c r="G688" s="40"/>
      <c r="H688" s="40"/>
      <c r="I688" s="40"/>
      <c r="J688" s="40"/>
      <c r="K688" s="41"/>
    </row>
    <row r="689" spans="2:11" ht="15" customHeight="1" x14ac:dyDescent="0.2">
      <c r="B689" s="38"/>
      <c r="C689" s="40"/>
      <c r="D689" s="40"/>
      <c r="E689" s="40"/>
      <c r="F689" s="40"/>
      <c r="G689" s="40"/>
      <c r="H689" s="40"/>
      <c r="I689" s="40"/>
      <c r="J689" s="40"/>
      <c r="K689" s="41"/>
    </row>
    <row r="690" spans="2:11" ht="16" x14ac:dyDescent="0.2">
      <c r="B690" s="38"/>
      <c r="C690" s="182" t="s">
        <v>987</v>
      </c>
      <c r="D690" s="40"/>
      <c r="E690" s="40"/>
      <c r="F690" s="40"/>
      <c r="G690" s="40"/>
      <c r="H690" s="40"/>
      <c r="I690" s="40"/>
      <c r="J690" s="257" t="str">
        <f>IF(OR($J$133="Not Calculated",$J$261="Not Calculated",$J$539="Not Calculated",$J$681="Not Calculated")=TRUE,"Not Calculated",AVERAGE($J$133,$J$261,$J$539,$J$681))</f>
        <v>Not Calculated</v>
      </c>
      <c r="K690" s="41"/>
    </row>
    <row r="691" spans="2:11" ht="15" customHeight="1" x14ac:dyDescent="0.2">
      <c r="B691" s="38"/>
      <c r="C691" s="40"/>
      <c r="D691" s="40" t="s">
        <v>344</v>
      </c>
      <c r="E691" s="40"/>
      <c r="F691" s="40"/>
      <c r="G691" s="40"/>
      <c r="H691" s="40"/>
      <c r="I691" s="40"/>
      <c r="J691" s="40"/>
      <c r="K691" s="41"/>
    </row>
    <row r="692" spans="2:11" x14ac:dyDescent="0.2">
      <c r="B692" s="38"/>
      <c r="C692" s="40"/>
      <c r="D692" s="40"/>
      <c r="E692" s="40"/>
      <c r="F692" s="40"/>
      <c r="G692" s="40"/>
      <c r="H692" s="40"/>
      <c r="I692" s="40"/>
      <c r="J692" s="40"/>
      <c r="K692" s="41"/>
    </row>
    <row r="693" spans="2:11" ht="16" x14ac:dyDescent="0.2">
      <c r="B693" s="38"/>
      <c r="C693" s="182" t="s">
        <v>988</v>
      </c>
      <c r="D693" s="40"/>
      <c r="E693" s="40"/>
      <c r="F693" s="40"/>
      <c r="G693" s="40"/>
      <c r="H693" s="40"/>
      <c r="I693" s="40"/>
      <c r="J693" s="257" t="str">
        <f>IF(OR($J$133="Not Calculated",$J$261="Not Calculated",$J$421="Not Calculated")=TRUE,"Not Calculated",AVERAGE($J$133,$J$261,$J$421))</f>
        <v>Not Calculated</v>
      </c>
      <c r="K693" s="41"/>
    </row>
    <row r="694" spans="2:11" x14ac:dyDescent="0.2">
      <c r="B694" s="38"/>
      <c r="C694" s="40"/>
      <c r="D694" s="40" t="s">
        <v>345</v>
      </c>
      <c r="E694" s="40"/>
      <c r="F694" s="40"/>
      <c r="G694" s="40"/>
      <c r="H694" s="40"/>
      <c r="I694" s="40"/>
      <c r="J694" s="40"/>
      <c r="K694" s="41"/>
    </row>
    <row r="695" spans="2:11" ht="16" thickBot="1" x14ac:dyDescent="0.25">
      <c r="B695" s="46"/>
      <c r="C695" s="47"/>
      <c r="D695" s="47"/>
      <c r="E695" s="47"/>
      <c r="F695" s="47"/>
      <c r="G695" s="47"/>
      <c r="H695" s="47"/>
      <c r="I695" s="47"/>
      <c r="J695" s="47"/>
      <c r="K695" s="49"/>
    </row>
    <row r="696" spans="2:11" ht="16" thickBot="1" x14ac:dyDescent="0.25"/>
    <row r="697" spans="2:11" x14ac:dyDescent="0.2">
      <c r="B697" s="183"/>
      <c r="C697" s="184"/>
      <c r="D697" s="184"/>
      <c r="E697" s="184"/>
      <c r="F697" s="184"/>
      <c r="G697" s="184"/>
      <c r="H697" s="184"/>
      <c r="I697" s="184"/>
      <c r="J697" s="184"/>
      <c r="K697" s="185"/>
    </row>
    <row r="698" spans="2:11" ht="21" x14ac:dyDescent="0.25">
      <c r="B698" s="186"/>
      <c r="C698" s="187"/>
      <c r="D698" s="187"/>
      <c r="E698" s="187"/>
      <c r="F698" s="187"/>
      <c r="G698" s="188" t="s">
        <v>231</v>
      </c>
      <c r="H698" s="187"/>
      <c r="I698" s="187"/>
      <c r="J698" s="187"/>
      <c r="K698" s="189"/>
    </row>
    <row r="699" spans="2:11" x14ac:dyDescent="0.2">
      <c r="B699" s="186"/>
      <c r="C699" s="187"/>
      <c r="D699" s="187"/>
      <c r="E699" s="187"/>
      <c r="F699" s="187"/>
      <c r="G699" s="187"/>
      <c r="H699" s="187"/>
      <c r="I699" s="187"/>
      <c r="J699" s="187"/>
      <c r="K699" s="189"/>
    </row>
    <row r="700" spans="2:11" ht="16" x14ac:dyDescent="0.2">
      <c r="B700" s="186"/>
      <c r="C700" s="190" t="s">
        <v>989</v>
      </c>
      <c r="D700" s="187"/>
      <c r="E700" s="187"/>
      <c r="F700" s="187"/>
      <c r="G700" s="187"/>
      <c r="H700" s="187"/>
      <c r="I700" s="187"/>
      <c r="J700" s="256" t="str">
        <f>IF(OR(J687="Not Calculated",$E$17="Not Calculated")=TRUE,"Not Calculated",(J687*$E$17*100/16))</f>
        <v>Not Calculated</v>
      </c>
      <c r="K700" s="189"/>
    </row>
    <row r="701" spans="2:11" x14ac:dyDescent="0.2">
      <c r="B701" s="186"/>
      <c r="C701" s="187"/>
      <c r="D701" s="187" t="s">
        <v>377</v>
      </c>
      <c r="E701" s="187"/>
      <c r="F701" s="187"/>
      <c r="G701" s="187"/>
      <c r="H701" s="187"/>
      <c r="I701" s="187"/>
      <c r="J701" s="187"/>
      <c r="K701" s="189"/>
    </row>
    <row r="702" spans="2:11" x14ac:dyDescent="0.2">
      <c r="B702" s="186"/>
      <c r="C702" s="187"/>
      <c r="D702" s="187"/>
      <c r="E702" s="187"/>
      <c r="F702" s="187"/>
      <c r="G702" s="187"/>
      <c r="H702" s="187"/>
      <c r="I702" s="187"/>
      <c r="J702" s="187"/>
      <c r="K702" s="189"/>
    </row>
    <row r="703" spans="2:11" ht="16" x14ac:dyDescent="0.2">
      <c r="B703" s="186"/>
      <c r="C703" s="190" t="s">
        <v>990</v>
      </c>
      <c r="D703" s="187"/>
      <c r="E703" s="187"/>
      <c r="F703" s="187"/>
      <c r="G703" s="187"/>
      <c r="H703" s="187"/>
      <c r="I703" s="187"/>
      <c r="J703" s="256" t="str">
        <f>IF(OR(J690="Not Calculated",$E$17="Not Calculated")=TRUE,"Not Calculated",(J690*$E$17*100/16))</f>
        <v>Not Calculated</v>
      </c>
      <c r="K703" s="189"/>
    </row>
    <row r="704" spans="2:11" x14ac:dyDescent="0.2">
      <c r="B704" s="186"/>
      <c r="C704" s="187"/>
      <c r="D704" s="187" t="s">
        <v>378</v>
      </c>
      <c r="E704" s="187"/>
      <c r="F704" s="187"/>
      <c r="G704" s="187"/>
      <c r="H704" s="187"/>
      <c r="I704" s="187"/>
      <c r="J704" s="187"/>
      <c r="K704" s="189"/>
    </row>
    <row r="705" spans="2:11" x14ac:dyDescent="0.2">
      <c r="B705" s="186"/>
      <c r="C705" s="187"/>
      <c r="D705" s="187"/>
      <c r="E705" s="187"/>
      <c r="F705" s="187"/>
      <c r="G705" s="187"/>
      <c r="H705" s="187"/>
      <c r="I705" s="187"/>
      <c r="J705" s="187"/>
      <c r="K705" s="189"/>
    </row>
    <row r="706" spans="2:11" ht="16" x14ac:dyDescent="0.2">
      <c r="B706" s="186"/>
      <c r="C706" s="190" t="s">
        <v>991</v>
      </c>
      <c r="D706" s="187"/>
      <c r="E706" s="187"/>
      <c r="F706" s="187"/>
      <c r="G706" s="187"/>
      <c r="H706" s="187"/>
      <c r="I706" s="187"/>
      <c r="J706" s="256" t="str">
        <f>IF(OR(J693="Not Calculated",$E$17="Not Calculated")=TRUE,"Not Calculated",(J693*$E$17*100/16))</f>
        <v>Not Calculated</v>
      </c>
      <c r="K706" s="189"/>
    </row>
    <row r="707" spans="2:11" x14ac:dyDescent="0.2">
      <c r="B707" s="186"/>
      <c r="C707" s="187"/>
      <c r="D707" s="187" t="s">
        <v>379</v>
      </c>
      <c r="E707" s="187"/>
      <c r="F707" s="187"/>
      <c r="G707" s="187"/>
      <c r="H707" s="187"/>
      <c r="I707" s="187"/>
      <c r="J707" s="187"/>
      <c r="K707" s="189"/>
    </row>
    <row r="708" spans="2:11" ht="16" thickBot="1" x14ac:dyDescent="0.25">
      <c r="B708" s="191"/>
      <c r="C708" s="192"/>
      <c r="D708" s="192"/>
      <c r="E708" s="192"/>
      <c r="F708" s="192"/>
      <c r="G708" s="192"/>
      <c r="H708" s="192"/>
      <c r="I708" s="192"/>
      <c r="J708" s="192"/>
      <c r="K708" s="193"/>
    </row>
    <row r="709" spans="2:11" ht="16" thickBot="1" x14ac:dyDescent="0.25"/>
    <row r="710" spans="2:11" x14ac:dyDescent="0.2">
      <c r="B710" s="53"/>
      <c r="C710" s="54"/>
      <c r="D710" s="54"/>
      <c r="E710" s="54"/>
      <c r="F710" s="54"/>
      <c r="G710" s="54"/>
      <c r="H710" s="54"/>
      <c r="I710" s="54"/>
      <c r="J710" s="54"/>
      <c r="K710" s="56"/>
    </row>
    <row r="711" spans="2:11" ht="21" x14ac:dyDescent="0.25">
      <c r="B711" s="57"/>
      <c r="C711" s="59"/>
      <c r="D711" s="59"/>
      <c r="E711" s="59"/>
      <c r="F711" s="59"/>
      <c r="G711" s="194" t="s">
        <v>232</v>
      </c>
      <c r="H711" s="59"/>
      <c r="I711" s="59"/>
      <c r="J711" s="59"/>
      <c r="K711" s="61"/>
    </row>
    <row r="712" spans="2:11" x14ac:dyDescent="0.2">
      <c r="B712" s="57"/>
      <c r="C712" s="59"/>
      <c r="D712" s="59"/>
      <c r="E712" s="59"/>
      <c r="F712" s="59"/>
      <c r="G712" s="59"/>
      <c r="H712" s="59"/>
      <c r="I712" s="59"/>
      <c r="J712" s="59"/>
      <c r="K712" s="61"/>
    </row>
    <row r="713" spans="2:11" ht="16" x14ac:dyDescent="0.2">
      <c r="B713" s="57"/>
      <c r="C713" s="195" t="s">
        <v>363</v>
      </c>
      <c r="D713" s="59"/>
      <c r="E713" s="59"/>
      <c r="F713" s="59"/>
      <c r="G713" s="59"/>
      <c r="H713" s="59"/>
      <c r="I713" s="59"/>
      <c r="J713" s="59"/>
      <c r="K713" s="61"/>
    </row>
    <row r="714" spans="2:11" ht="15" customHeight="1" x14ac:dyDescent="0.2">
      <c r="B714" s="57"/>
      <c r="C714" s="411" t="s">
        <v>364</v>
      </c>
      <c r="D714" s="411"/>
      <c r="E714" s="411"/>
      <c r="F714" s="411"/>
      <c r="G714" s="411"/>
      <c r="H714" s="411"/>
      <c r="I714" s="411"/>
      <c r="J714" s="411"/>
      <c r="K714" s="61"/>
    </row>
    <row r="715" spans="2:11" x14ac:dyDescent="0.2">
      <c r="B715" s="57"/>
      <c r="C715" s="411"/>
      <c r="D715" s="411"/>
      <c r="E715" s="411"/>
      <c r="F715" s="411"/>
      <c r="G715" s="411"/>
      <c r="H715" s="411"/>
      <c r="I715" s="411"/>
      <c r="J715" s="411"/>
      <c r="K715" s="61"/>
    </row>
    <row r="716" spans="2:11" x14ac:dyDescent="0.2">
      <c r="B716" s="57"/>
      <c r="C716" s="411"/>
      <c r="D716" s="411"/>
      <c r="E716" s="411"/>
      <c r="F716" s="411"/>
      <c r="G716" s="411"/>
      <c r="H716" s="411"/>
      <c r="I716" s="411"/>
      <c r="J716" s="411"/>
      <c r="K716" s="61"/>
    </row>
    <row r="717" spans="2:11" x14ac:dyDescent="0.2">
      <c r="B717" s="57"/>
      <c r="C717" s="196" t="s">
        <v>30</v>
      </c>
      <c r="D717" s="59"/>
      <c r="E717" s="59"/>
      <c r="F717" s="59"/>
      <c r="G717" s="431" t="s">
        <v>190</v>
      </c>
      <c r="H717" s="431"/>
      <c r="I717" s="59"/>
      <c r="J717" s="260">
        <f>IF(G717=$B$994,$A$994,IF(G717=$B$995,$A$995,"Not Calculated"))</f>
        <v>1</v>
      </c>
      <c r="K717" s="61"/>
    </row>
    <row r="718" spans="2:11" x14ac:dyDescent="0.2">
      <c r="B718" s="57"/>
      <c r="C718" s="196" t="s">
        <v>32</v>
      </c>
      <c r="D718" s="59"/>
      <c r="E718" s="59"/>
      <c r="F718" s="59"/>
      <c r="G718" s="431" t="s">
        <v>190</v>
      </c>
      <c r="H718" s="431"/>
      <c r="I718" s="59"/>
      <c r="J718" s="260">
        <f t="shared" ref="J718:J725" si="0">IF(G718=$B$994,$A$994,IF(G718=$B$995,$A$995,"Not Calculated"))</f>
        <v>1</v>
      </c>
      <c r="K718" s="61"/>
    </row>
    <row r="719" spans="2:11" x14ac:dyDescent="0.2">
      <c r="B719" s="57"/>
      <c r="C719" s="196" t="s">
        <v>34</v>
      </c>
      <c r="D719" s="59"/>
      <c r="E719" s="59"/>
      <c r="F719" s="59"/>
      <c r="G719" s="431" t="s">
        <v>202</v>
      </c>
      <c r="H719" s="431"/>
      <c r="I719" s="59"/>
      <c r="J719" s="260">
        <f t="shared" si="0"/>
        <v>0</v>
      </c>
      <c r="K719" s="61"/>
    </row>
    <row r="720" spans="2:11" x14ac:dyDescent="0.2">
      <c r="B720" s="57"/>
      <c r="C720" s="196" t="s">
        <v>35</v>
      </c>
      <c r="D720" s="59"/>
      <c r="E720" s="59"/>
      <c r="F720" s="59"/>
      <c r="G720" s="431" t="s">
        <v>190</v>
      </c>
      <c r="H720" s="431"/>
      <c r="I720" s="59"/>
      <c r="J720" s="260">
        <f t="shared" si="0"/>
        <v>1</v>
      </c>
      <c r="K720" s="61"/>
    </row>
    <row r="721" spans="2:11" x14ac:dyDescent="0.2">
      <c r="B721" s="57"/>
      <c r="C721" s="196" t="s">
        <v>37</v>
      </c>
      <c r="D721" s="59"/>
      <c r="E721" s="59"/>
      <c r="F721" s="59"/>
      <c r="G721" s="431" t="s">
        <v>190</v>
      </c>
      <c r="H721" s="431"/>
      <c r="I721" s="59"/>
      <c r="J721" s="260">
        <f t="shared" si="0"/>
        <v>1</v>
      </c>
      <c r="K721" s="61"/>
    </row>
    <row r="722" spans="2:11" x14ac:dyDescent="0.2">
      <c r="B722" s="57"/>
      <c r="C722" s="196" t="s">
        <v>38</v>
      </c>
      <c r="D722" s="59"/>
      <c r="E722" s="59"/>
      <c r="F722" s="59"/>
      <c r="G722" s="431" t="s">
        <v>190</v>
      </c>
      <c r="H722" s="431"/>
      <c r="I722" s="59"/>
      <c r="J722" s="260">
        <f t="shared" si="0"/>
        <v>1</v>
      </c>
      <c r="K722" s="61"/>
    </row>
    <row r="723" spans="2:11" x14ac:dyDescent="0.2">
      <c r="B723" s="57"/>
      <c r="C723" s="196" t="s">
        <v>40</v>
      </c>
      <c r="D723" s="59"/>
      <c r="E723" s="59"/>
      <c r="F723" s="59"/>
      <c r="G723" s="431" t="s">
        <v>202</v>
      </c>
      <c r="H723" s="431"/>
      <c r="I723" s="59"/>
      <c r="J723" s="260">
        <f t="shared" si="0"/>
        <v>0</v>
      </c>
      <c r="K723" s="61"/>
    </row>
    <row r="724" spans="2:11" x14ac:dyDescent="0.2">
      <c r="B724" s="57"/>
      <c r="C724" s="196" t="s">
        <v>41</v>
      </c>
      <c r="D724" s="59"/>
      <c r="E724" s="59"/>
      <c r="F724" s="59"/>
      <c r="G724" s="431" t="s">
        <v>190</v>
      </c>
      <c r="H724" s="431"/>
      <c r="I724" s="59"/>
      <c r="J724" s="260">
        <f t="shared" si="0"/>
        <v>1</v>
      </c>
      <c r="K724" s="61"/>
    </row>
    <row r="725" spans="2:11" x14ac:dyDescent="0.2">
      <c r="B725" s="57"/>
      <c r="C725" s="196" t="s">
        <v>43</v>
      </c>
      <c r="D725" s="59"/>
      <c r="E725" s="59"/>
      <c r="F725" s="59"/>
      <c r="G725" s="431" t="s">
        <v>202</v>
      </c>
      <c r="H725" s="431"/>
      <c r="I725" s="59"/>
      <c r="J725" s="260">
        <f t="shared" si="0"/>
        <v>0</v>
      </c>
      <c r="K725" s="61"/>
    </row>
    <row r="726" spans="2:11" x14ac:dyDescent="0.2">
      <c r="B726" s="57"/>
      <c r="C726" s="59"/>
      <c r="D726" s="59"/>
      <c r="E726" s="59"/>
      <c r="F726" s="59"/>
      <c r="G726" s="59"/>
      <c r="H726" s="59"/>
      <c r="I726" s="59"/>
      <c r="J726" s="59"/>
      <c r="K726" s="61"/>
    </row>
    <row r="727" spans="2:11" x14ac:dyDescent="0.2">
      <c r="B727" s="57"/>
      <c r="C727" s="59"/>
      <c r="D727" s="59"/>
      <c r="E727" s="59"/>
      <c r="F727" s="59"/>
      <c r="G727" s="59"/>
      <c r="H727" s="59"/>
      <c r="I727" s="59"/>
      <c r="J727" s="59"/>
      <c r="K727" s="61"/>
    </row>
    <row r="728" spans="2:11" ht="16" x14ac:dyDescent="0.2">
      <c r="B728" s="57"/>
      <c r="C728" s="195" t="s">
        <v>115</v>
      </c>
      <c r="D728" s="59"/>
      <c r="E728" s="59"/>
      <c r="F728" s="59"/>
      <c r="G728" s="59"/>
      <c r="H728" s="59"/>
      <c r="I728" s="59"/>
      <c r="J728" s="59"/>
      <c r="K728" s="61"/>
    </row>
    <row r="729" spans="2:11" ht="15" customHeight="1" x14ac:dyDescent="0.2">
      <c r="B729" s="57"/>
      <c r="C729" s="411" t="s">
        <v>365</v>
      </c>
      <c r="D729" s="411"/>
      <c r="E729" s="411"/>
      <c r="F729" s="411"/>
      <c r="G729" s="411"/>
      <c r="H729" s="411"/>
      <c r="I729" s="411"/>
      <c r="J729" s="411"/>
      <c r="K729" s="61"/>
    </row>
    <row r="730" spans="2:11" x14ac:dyDescent="0.2">
      <c r="B730" s="57"/>
      <c r="C730" s="411"/>
      <c r="D730" s="411"/>
      <c r="E730" s="411"/>
      <c r="F730" s="411"/>
      <c r="G730" s="411"/>
      <c r="H730" s="411"/>
      <c r="I730" s="411"/>
      <c r="J730" s="411"/>
      <c r="K730" s="61"/>
    </row>
    <row r="731" spans="2:11" x14ac:dyDescent="0.2">
      <c r="B731" s="57"/>
      <c r="C731" s="411"/>
      <c r="D731" s="411"/>
      <c r="E731" s="411"/>
      <c r="F731" s="411"/>
      <c r="G731" s="411"/>
      <c r="H731" s="411"/>
      <c r="I731" s="411"/>
      <c r="J731" s="411"/>
      <c r="K731" s="61"/>
    </row>
    <row r="732" spans="2:11" x14ac:dyDescent="0.2">
      <c r="B732" s="57"/>
      <c r="C732" s="196" t="s">
        <v>30</v>
      </c>
      <c r="D732" s="59"/>
      <c r="E732" s="59"/>
      <c r="F732" s="59"/>
      <c r="G732" s="431" t="s">
        <v>190</v>
      </c>
      <c r="H732" s="431"/>
      <c r="I732" s="59"/>
      <c r="J732" s="260">
        <f>IF(G732=$B$994,$A$994,IF(G732=$B$995,$A$995,"Not Calculated"))</f>
        <v>1</v>
      </c>
      <c r="K732" s="61"/>
    </row>
    <row r="733" spans="2:11" x14ac:dyDescent="0.2">
      <c r="B733" s="57"/>
      <c r="C733" s="196" t="s">
        <v>32</v>
      </c>
      <c r="D733" s="59"/>
      <c r="E733" s="59"/>
      <c r="F733" s="59"/>
      <c r="G733" s="431" t="s">
        <v>190</v>
      </c>
      <c r="H733" s="431"/>
      <c r="I733" s="59"/>
      <c r="J733" s="260">
        <f t="shared" ref="J733:J740" si="1">IF(G733=$B$994,$A$994,IF(G733=$B$995,$A$995,"Not Calculated"))</f>
        <v>1</v>
      </c>
      <c r="K733" s="61"/>
    </row>
    <row r="734" spans="2:11" ht="15" customHeight="1" x14ac:dyDescent="0.2">
      <c r="B734" s="57"/>
      <c r="C734" s="196" t="s">
        <v>34</v>
      </c>
      <c r="D734" s="59"/>
      <c r="E734" s="59"/>
      <c r="F734" s="59"/>
      <c r="G734" s="431" t="s">
        <v>190</v>
      </c>
      <c r="H734" s="431"/>
      <c r="I734" s="59"/>
      <c r="J734" s="260">
        <f t="shared" si="1"/>
        <v>1</v>
      </c>
      <c r="K734" s="61"/>
    </row>
    <row r="735" spans="2:11" x14ac:dyDescent="0.2">
      <c r="B735" s="57"/>
      <c r="C735" s="196" t="s">
        <v>35</v>
      </c>
      <c r="D735" s="59"/>
      <c r="E735" s="59"/>
      <c r="F735" s="59"/>
      <c r="G735" s="431" t="s">
        <v>190</v>
      </c>
      <c r="H735" s="431"/>
      <c r="I735" s="59"/>
      <c r="J735" s="260">
        <f t="shared" si="1"/>
        <v>1</v>
      </c>
      <c r="K735" s="61"/>
    </row>
    <row r="736" spans="2:11" x14ac:dyDescent="0.2">
      <c r="B736" s="57"/>
      <c r="C736" s="196" t="s">
        <v>37</v>
      </c>
      <c r="D736" s="59"/>
      <c r="E736" s="59"/>
      <c r="F736" s="59"/>
      <c r="G736" s="431" t="s">
        <v>190</v>
      </c>
      <c r="H736" s="431"/>
      <c r="I736" s="59"/>
      <c r="J736" s="260">
        <f t="shared" si="1"/>
        <v>1</v>
      </c>
      <c r="K736" s="61"/>
    </row>
    <row r="737" spans="2:11" x14ac:dyDescent="0.2">
      <c r="B737" s="57"/>
      <c r="C737" s="196" t="s">
        <v>38</v>
      </c>
      <c r="D737" s="59"/>
      <c r="E737" s="59"/>
      <c r="F737" s="59"/>
      <c r="G737" s="431" t="s">
        <v>202</v>
      </c>
      <c r="H737" s="431"/>
      <c r="I737" s="59"/>
      <c r="J737" s="260">
        <f t="shared" si="1"/>
        <v>0</v>
      </c>
      <c r="K737" s="61"/>
    </row>
    <row r="738" spans="2:11" x14ac:dyDescent="0.2">
      <c r="B738" s="57"/>
      <c r="C738" s="196" t="s">
        <v>40</v>
      </c>
      <c r="D738" s="59"/>
      <c r="E738" s="59"/>
      <c r="F738" s="59"/>
      <c r="G738" s="431" t="s">
        <v>190</v>
      </c>
      <c r="H738" s="431"/>
      <c r="I738" s="59"/>
      <c r="J738" s="260">
        <f t="shared" si="1"/>
        <v>1</v>
      </c>
      <c r="K738" s="61"/>
    </row>
    <row r="739" spans="2:11" x14ac:dyDescent="0.2">
      <c r="B739" s="57"/>
      <c r="C739" s="196" t="s">
        <v>41</v>
      </c>
      <c r="D739" s="59"/>
      <c r="E739" s="59"/>
      <c r="F739" s="59"/>
      <c r="G739" s="431" t="s">
        <v>190</v>
      </c>
      <c r="H739" s="431"/>
      <c r="I739" s="59"/>
      <c r="J739" s="260">
        <f t="shared" si="1"/>
        <v>1</v>
      </c>
      <c r="K739" s="61"/>
    </row>
    <row r="740" spans="2:11" x14ac:dyDescent="0.2">
      <c r="B740" s="57"/>
      <c r="C740" s="196" t="s">
        <v>43</v>
      </c>
      <c r="D740" s="59"/>
      <c r="E740" s="59"/>
      <c r="F740" s="59"/>
      <c r="G740" s="431" t="s">
        <v>190</v>
      </c>
      <c r="H740" s="431"/>
      <c r="I740" s="59"/>
      <c r="J740" s="260">
        <f t="shared" si="1"/>
        <v>1</v>
      </c>
      <c r="K740" s="61"/>
    </row>
    <row r="741" spans="2:11" x14ac:dyDescent="0.2">
      <c r="B741" s="57"/>
      <c r="C741" s="59"/>
      <c r="D741" s="59"/>
      <c r="E741" s="59"/>
      <c r="F741" s="59"/>
      <c r="G741" s="59"/>
      <c r="H741" s="59"/>
      <c r="I741" s="59"/>
      <c r="J741" s="59"/>
      <c r="K741" s="61"/>
    </row>
    <row r="742" spans="2:11" x14ac:dyDescent="0.2">
      <c r="B742" s="57"/>
      <c r="C742" s="59"/>
      <c r="D742" s="59"/>
      <c r="E742" s="59"/>
      <c r="F742" s="59"/>
      <c r="G742" s="59"/>
      <c r="H742" s="59"/>
      <c r="I742" s="59"/>
      <c r="J742" s="59"/>
      <c r="K742" s="61"/>
    </row>
    <row r="743" spans="2:11" ht="16" x14ac:dyDescent="0.2">
      <c r="B743" s="57"/>
      <c r="C743" s="195" t="s">
        <v>366</v>
      </c>
      <c r="D743" s="59"/>
      <c r="E743" s="59"/>
      <c r="F743" s="59"/>
      <c r="G743" s="59"/>
      <c r="H743" s="59"/>
      <c r="I743" s="59"/>
      <c r="J743" s="59"/>
      <c r="K743" s="61"/>
    </row>
    <row r="744" spans="2:11" ht="15" customHeight="1" x14ac:dyDescent="0.2">
      <c r="B744" s="57"/>
      <c r="C744" s="411" t="s">
        <v>367</v>
      </c>
      <c r="D744" s="411"/>
      <c r="E744" s="411"/>
      <c r="F744" s="411"/>
      <c r="G744" s="411"/>
      <c r="H744" s="411"/>
      <c r="I744" s="411"/>
      <c r="J744" s="411"/>
      <c r="K744" s="61"/>
    </row>
    <row r="745" spans="2:11" x14ac:dyDescent="0.2">
      <c r="B745" s="57"/>
      <c r="C745" s="411"/>
      <c r="D745" s="411"/>
      <c r="E745" s="411"/>
      <c r="F745" s="411"/>
      <c r="G745" s="411"/>
      <c r="H745" s="411"/>
      <c r="I745" s="411"/>
      <c r="J745" s="411"/>
      <c r="K745" s="61"/>
    </row>
    <row r="746" spans="2:11" x14ac:dyDescent="0.2">
      <c r="B746" s="57"/>
      <c r="C746" s="411"/>
      <c r="D746" s="411"/>
      <c r="E746" s="411"/>
      <c r="F746" s="411"/>
      <c r="G746" s="411"/>
      <c r="H746" s="411"/>
      <c r="I746" s="411"/>
      <c r="J746" s="411"/>
      <c r="K746" s="61"/>
    </row>
    <row r="747" spans="2:11" x14ac:dyDescent="0.2">
      <c r="B747" s="57"/>
      <c r="C747" s="196" t="s">
        <v>30</v>
      </c>
      <c r="D747" s="59"/>
      <c r="E747" s="59"/>
      <c r="F747" s="59"/>
      <c r="G747" s="431" t="s">
        <v>202</v>
      </c>
      <c r="H747" s="431"/>
      <c r="I747" s="59"/>
      <c r="J747" s="260">
        <f>IF(G747=$B$994,$A$994,IF(G747=$B$995,$A$995,"Not Calculated"))</f>
        <v>0</v>
      </c>
      <c r="K747" s="61"/>
    </row>
    <row r="748" spans="2:11" x14ac:dyDescent="0.2">
      <c r="B748" s="57"/>
      <c r="C748" s="196" t="s">
        <v>32</v>
      </c>
      <c r="D748" s="59"/>
      <c r="E748" s="59"/>
      <c r="F748" s="59"/>
      <c r="G748" s="431" t="s">
        <v>190</v>
      </c>
      <c r="H748" s="431"/>
      <c r="I748" s="59"/>
      <c r="J748" s="260">
        <f t="shared" ref="J748:J755" si="2">IF(G748=$B$994,$A$994,IF(G748=$B$995,$A$995,"Not Calculated"))</f>
        <v>1</v>
      </c>
      <c r="K748" s="61"/>
    </row>
    <row r="749" spans="2:11" ht="15" customHeight="1" x14ac:dyDescent="0.2">
      <c r="B749" s="57"/>
      <c r="C749" s="196" t="s">
        <v>34</v>
      </c>
      <c r="D749" s="59"/>
      <c r="E749" s="59"/>
      <c r="F749" s="59"/>
      <c r="G749" s="431" t="s">
        <v>190</v>
      </c>
      <c r="H749" s="431"/>
      <c r="I749" s="59"/>
      <c r="J749" s="260">
        <f t="shared" si="2"/>
        <v>1</v>
      </c>
      <c r="K749" s="61"/>
    </row>
    <row r="750" spans="2:11" x14ac:dyDescent="0.2">
      <c r="B750" s="57"/>
      <c r="C750" s="196" t="s">
        <v>35</v>
      </c>
      <c r="D750" s="59"/>
      <c r="E750" s="59"/>
      <c r="F750" s="59"/>
      <c r="G750" s="431" t="s">
        <v>190</v>
      </c>
      <c r="H750" s="431"/>
      <c r="I750" s="59"/>
      <c r="J750" s="260">
        <f t="shared" si="2"/>
        <v>1</v>
      </c>
      <c r="K750" s="61"/>
    </row>
    <row r="751" spans="2:11" x14ac:dyDescent="0.2">
      <c r="B751" s="57"/>
      <c r="C751" s="196" t="s">
        <v>37</v>
      </c>
      <c r="D751" s="59"/>
      <c r="E751" s="59"/>
      <c r="F751" s="59"/>
      <c r="G751" s="431" t="s">
        <v>202</v>
      </c>
      <c r="H751" s="431"/>
      <c r="I751" s="59"/>
      <c r="J751" s="260">
        <f t="shared" si="2"/>
        <v>0</v>
      </c>
      <c r="K751" s="61"/>
    </row>
    <row r="752" spans="2:11" x14ac:dyDescent="0.2">
      <c r="B752" s="57"/>
      <c r="C752" s="196" t="s">
        <v>38</v>
      </c>
      <c r="D752" s="59"/>
      <c r="E752" s="59"/>
      <c r="F752" s="59"/>
      <c r="G752" s="431" t="s">
        <v>190</v>
      </c>
      <c r="H752" s="431"/>
      <c r="I752" s="59"/>
      <c r="J752" s="260">
        <f t="shared" si="2"/>
        <v>1</v>
      </c>
      <c r="K752" s="61"/>
    </row>
    <row r="753" spans="2:11" x14ac:dyDescent="0.2">
      <c r="B753" s="57"/>
      <c r="C753" s="196" t="s">
        <v>40</v>
      </c>
      <c r="D753" s="59"/>
      <c r="E753" s="59"/>
      <c r="F753" s="59"/>
      <c r="G753" s="431" t="s">
        <v>190</v>
      </c>
      <c r="H753" s="431"/>
      <c r="I753" s="59"/>
      <c r="J753" s="260">
        <f t="shared" si="2"/>
        <v>1</v>
      </c>
      <c r="K753" s="61"/>
    </row>
    <row r="754" spans="2:11" x14ac:dyDescent="0.2">
      <c r="B754" s="57"/>
      <c r="C754" s="196" t="s">
        <v>41</v>
      </c>
      <c r="D754" s="59"/>
      <c r="E754" s="59"/>
      <c r="F754" s="59"/>
      <c r="G754" s="431" t="s">
        <v>190</v>
      </c>
      <c r="H754" s="431"/>
      <c r="I754" s="59"/>
      <c r="J754" s="260">
        <f t="shared" si="2"/>
        <v>1</v>
      </c>
      <c r="K754" s="61"/>
    </row>
    <row r="755" spans="2:11" x14ac:dyDescent="0.2">
      <c r="B755" s="57"/>
      <c r="C755" s="196" t="s">
        <v>43</v>
      </c>
      <c r="D755" s="59"/>
      <c r="E755" s="59"/>
      <c r="F755" s="59"/>
      <c r="G755" s="431" t="s">
        <v>190</v>
      </c>
      <c r="H755" s="431"/>
      <c r="I755" s="59"/>
      <c r="J755" s="260">
        <f t="shared" si="2"/>
        <v>1</v>
      </c>
      <c r="K755" s="61"/>
    </row>
    <row r="756" spans="2:11" x14ac:dyDescent="0.2">
      <c r="B756" s="57"/>
      <c r="C756" s="59"/>
      <c r="D756" s="59"/>
      <c r="E756" s="59"/>
      <c r="F756" s="59"/>
      <c r="G756" s="59"/>
      <c r="H756" s="59"/>
      <c r="I756" s="59"/>
      <c r="J756" s="59"/>
      <c r="K756" s="61"/>
    </row>
    <row r="757" spans="2:11" x14ac:dyDescent="0.2">
      <c r="B757" s="57"/>
      <c r="C757" s="59"/>
      <c r="D757" s="59"/>
      <c r="E757" s="59"/>
      <c r="F757" s="59"/>
      <c r="G757" s="59"/>
      <c r="H757" s="59"/>
      <c r="I757" s="59"/>
      <c r="J757" s="59"/>
      <c r="K757" s="61"/>
    </row>
    <row r="758" spans="2:11" ht="16" x14ac:dyDescent="0.2">
      <c r="B758" s="57"/>
      <c r="C758" s="195" t="s">
        <v>368</v>
      </c>
      <c r="D758" s="59"/>
      <c r="E758" s="59"/>
      <c r="F758" s="59"/>
      <c r="G758" s="59"/>
      <c r="H758" s="59"/>
      <c r="I758" s="59"/>
      <c r="J758" s="59"/>
      <c r="K758" s="61"/>
    </row>
    <row r="759" spans="2:11" ht="15" customHeight="1" x14ac:dyDescent="0.2">
      <c r="B759" s="57"/>
      <c r="C759" s="411" t="s">
        <v>369</v>
      </c>
      <c r="D759" s="411"/>
      <c r="E759" s="411"/>
      <c r="F759" s="411"/>
      <c r="G759" s="411"/>
      <c r="H759" s="411"/>
      <c r="I759" s="411"/>
      <c r="J759" s="411"/>
      <c r="K759" s="61"/>
    </row>
    <row r="760" spans="2:11" x14ac:dyDescent="0.2">
      <c r="B760" s="57"/>
      <c r="C760" s="411"/>
      <c r="D760" s="411"/>
      <c r="E760" s="411"/>
      <c r="F760" s="411"/>
      <c r="G760" s="411"/>
      <c r="H760" s="411"/>
      <c r="I760" s="411"/>
      <c r="J760" s="411"/>
      <c r="K760" s="61"/>
    </row>
    <row r="761" spans="2:11" x14ac:dyDescent="0.2">
      <c r="B761" s="57"/>
      <c r="C761" s="411"/>
      <c r="D761" s="411"/>
      <c r="E761" s="411"/>
      <c r="F761" s="411"/>
      <c r="G761" s="411"/>
      <c r="H761" s="411"/>
      <c r="I761" s="411"/>
      <c r="J761" s="411"/>
      <c r="K761" s="61"/>
    </row>
    <row r="762" spans="2:11" x14ac:dyDescent="0.2">
      <c r="B762" s="57"/>
      <c r="C762" s="196" t="s">
        <v>30</v>
      </c>
      <c r="D762" s="59"/>
      <c r="E762" s="59"/>
      <c r="F762" s="59"/>
      <c r="G762" s="431" t="s">
        <v>190</v>
      </c>
      <c r="H762" s="431"/>
      <c r="I762" s="59"/>
      <c r="J762" s="260">
        <f>IF(G762=$B$994,$A$994,IF(G762=$B$995,$A$995,"Not Calculated"))</f>
        <v>1</v>
      </c>
      <c r="K762" s="61"/>
    </row>
    <row r="763" spans="2:11" x14ac:dyDescent="0.2">
      <c r="B763" s="57"/>
      <c r="C763" s="196" t="s">
        <v>32</v>
      </c>
      <c r="D763" s="59"/>
      <c r="E763" s="59"/>
      <c r="F763" s="59"/>
      <c r="G763" s="431" t="s">
        <v>190</v>
      </c>
      <c r="H763" s="431"/>
      <c r="I763" s="59"/>
      <c r="J763" s="260">
        <f t="shared" ref="J763:J770" si="3">IF(G763=$B$994,$A$994,IF(G763=$B$995,$A$995,"Not Calculated"))</f>
        <v>1</v>
      </c>
      <c r="K763" s="61"/>
    </row>
    <row r="764" spans="2:11" ht="15" customHeight="1" x14ac:dyDescent="0.2">
      <c r="B764" s="57"/>
      <c r="C764" s="196" t="s">
        <v>34</v>
      </c>
      <c r="D764" s="59"/>
      <c r="E764" s="59"/>
      <c r="F764" s="59"/>
      <c r="G764" s="431" t="s">
        <v>190</v>
      </c>
      <c r="H764" s="431"/>
      <c r="I764" s="59"/>
      <c r="J764" s="260">
        <f t="shared" si="3"/>
        <v>1</v>
      </c>
      <c r="K764" s="61"/>
    </row>
    <row r="765" spans="2:11" x14ac:dyDescent="0.2">
      <c r="B765" s="57"/>
      <c r="C765" s="196" t="s">
        <v>35</v>
      </c>
      <c r="D765" s="59"/>
      <c r="E765" s="59"/>
      <c r="F765" s="59"/>
      <c r="G765" s="431" t="s">
        <v>190</v>
      </c>
      <c r="H765" s="431"/>
      <c r="I765" s="59"/>
      <c r="J765" s="260">
        <f t="shared" si="3"/>
        <v>1</v>
      </c>
      <c r="K765" s="61"/>
    </row>
    <row r="766" spans="2:11" x14ac:dyDescent="0.2">
      <c r="B766" s="57"/>
      <c r="C766" s="196" t="s">
        <v>37</v>
      </c>
      <c r="D766" s="59"/>
      <c r="E766" s="59"/>
      <c r="F766" s="59"/>
      <c r="G766" s="431" t="s">
        <v>190</v>
      </c>
      <c r="H766" s="431"/>
      <c r="I766" s="59"/>
      <c r="J766" s="260">
        <f t="shared" si="3"/>
        <v>1</v>
      </c>
      <c r="K766" s="61"/>
    </row>
    <row r="767" spans="2:11" x14ac:dyDescent="0.2">
      <c r="B767" s="57"/>
      <c r="C767" s="196" t="s">
        <v>38</v>
      </c>
      <c r="D767" s="59"/>
      <c r="E767" s="59"/>
      <c r="F767" s="59"/>
      <c r="G767" s="431" t="s">
        <v>190</v>
      </c>
      <c r="H767" s="431"/>
      <c r="I767" s="59"/>
      <c r="J767" s="260">
        <f t="shared" si="3"/>
        <v>1</v>
      </c>
      <c r="K767" s="61"/>
    </row>
    <row r="768" spans="2:11" x14ac:dyDescent="0.2">
      <c r="B768" s="57"/>
      <c r="C768" s="196" t="s">
        <v>40</v>
      </c>
      <c r="D768" s="59"/>
      <c r="E768" s="59"/>
      <c r="F768" s="59"/>
      <c r="G768" s="431" t="s">
        <v>190</v>
      </c>
      <c r="H768" s="431"/>
      <c r="I768" s="59"/>
      <c r="J768" s="260">
        <f t="shared" si="3"/>
        <v>1</v>
      </c>
      <c r="K768" s="61"/>
    </row>
    <row r="769" spans="2:11" x14ac:dyDescent="0.2">
      <c r="B769" s="57"/>
      <c r="C769" s="196" t="s">
        <v>41</v>
      </c>
      <c r="D769" s="59"/>
      <c r="E769" s="59"/>
      <c r="F769" s="59"/>
      <c r="G769" s="431" t="s">
        <v>190</v>
      </c>
      <c r="H769" s="431"/>
      <c r="I769" s="59"/>
      <c r="J769" s="260">
        <f t="shared" si="3"/>
        <v>1</v>
      </c>
      <c r="K769" s="61"/>
    </row>
    <row r="770" spans="2:11" x14ac:dyDescent="0.2">
      <c r="B770" s="57"/>
      <c r="C770" s="196" t="s">
        <v>43</v>
      </c>
      <c r="D770" s="59"/>
      <c r="E770" s="59"/>
      <c r="F770" s="59"/>
      <c r="G770" s="431" t="s">
        <v>190</v>
      </c>
      <c r="H770" s="431"/>
      <c r="I770" s="59"/>
      <c r="J770" s="260">
        <f t="shared" si="3"/>
        <v>1</v>
      </c>
      <c r="K770" s="61"/>
    </row>
    <row r="771" spans="2:11" x14ac:dyDescent="0.2">
      <c r="B771" s="57"/>
      <c r="C771" s="59"/>
      <c r="D771" s="59"/>
      <c r="E771" s="59"/>
      <c r="F771" s="59"/>
      <c r="G771" s="59"/>
      <c r="H771" s="59"/>
      <c r="I771" s="59"/>
      <c r="J771" s="59"/>
      <c r="K771" s="61"/>
    </row>
    <row r="772" spans="2:11" x14ac:dyDescent="0.2">
      <c r="B772" s="57"/>
      <c r="C772" s="59"/>
      <c r="D772" s="59"/>
      <c r="E772" s="59"/>
      <c r="F772" s="59"/>
      <c r="G772" s="59"/>
      <c r="H772" s="59"/>
      <c r="I772" s="59"/>
      <c r="J772" s="59"/>
      <c r="K772" s="61"/>
    </row>
    <row r="773" spans="2:11" ht="16" x14ac:dyDescent="0.2">
      <c r="B773" s="57"/>
      <c r="C773" s="197" t="s">
        <v>30</v>
      </c>
      <c r="D773" s="59"/>
      <c r="E773" s="59"/>
      <c r="F773" s="59"/>
      <c r="G773" s="59"/>
      <c r="H773" s="59"/>
      <c r="I773" s="59"/>
      <c r="J773" s="59"/>
      <c r="K773" s="61"/>
    </row>
    <row r="774" spans="2:11" x14ac:dyDescent="0.2">
      <c r="B774" s="57"/>
      <c r="C774" s="59"/>
      <c r="D774" s="59" t="s">
        <v>370</v>
      </c>
      <c r="E774" s="59"/>
      <c r="F774" s="59"/>
      <c r="G774" s="59"/>
      <c r="H774" s="59"/>
      <c r="I774" s="59"/>
      <c r="J774" s="60">
        <f>'Baseline At-Risk Pops'!H8</f>
        <v>0</v>
      </c>
      <c r="K774" s="61"/>
    </row>
    <row r="775" spans="2:11" x14ac:dyDescent="0.2">
      <c r="B775" s="57"/>
      <c r="C775" s="59"/>
      <c r="D775" s="59" t="s">
        <v>371</v>
      </c>
      <c r="E775" s="59"/>
      <c r="F775" s="59"/>
      <c r="G775" s="59"/>
      <c r="H775" s="59"/>
      <c r="I775" s="59"/>
      <c r="J775" s="60">
        <f>SUM(J717,J732,J747,J762)</f>
        <v>3</v>
      </c>
      <c r="K775" s="61"/>
    </row>
    <row r="776" spans="2:11" x14ac:dyDescent="0.2">
      <c r="B776" s="57"/>
      <c r="C776" s="59"/>
      <c r="D776" s="196" t="s">
        <v>372</v>
      </c>
      <c r="E776" s="59"/>
      <c r="F776" s="59"/>
      <c r="G776" s="59"/>
      <c r="H776" s="59"/>
      <c r="I776" s="59"/>
      <c r="J776" s="60">
        <f>AVERAGE(J774,J775)</f>
        <v>1.5</v>
      </c>
      <c r="K776" s="61"/>
    </row>
    <row r="777" spans="2:11" ht="16" x14ac:dyDescent="0.2">
      <c r="B777" s="57"/>
      <c r="C777" s="197" t="s">
        <v>32</v>
      </c>
      <c r="D777" s="59"/>
      <c r="E777" s="59"/>
      <c r="F777" s="59"/>
      <c r="G777" s="59"/>
      <c r="H777" s="59"/>
      <c r="I777" s="59"/>
      <c r="J777" s="60"/>
      <c r="K777" s="61"/>
    </row>
    <row r="778" spans="2:11" x14ac:dyDescent="0.2">
      <c r="B778" s="57"/>
      <c r="C778" s="59"/>
      <c r="D778" s="59" t="s">
        <v>370</v>
      </c>
      <c r="E778" s="59"/>
      <c r="F778" s="59"/>
      <c r="G778" s="59"/>
      <c r="H778" s="59"/>
      <c r="I778" s="59"/>
      <c r="J778" s="60">
        <f>'Baseline At-Risk Pops'!H14</f>
        <v>0</v>
      </c>
      <c r="K778" s="61"/>
    </row>
    <row r="779" spans="2:11" ht="15" customHeight="1" x14ac:dyDescent="0.2">
      <c r="B779" s="57"/>
      <c r="C779" s="59"/>
      <c r="D779" s="59" t="s">
        <v>371</v>
      </c>
      <c r="E779" s="59"/>
      <c r="F779" s="59"/>
      <c r="G779" s="59"/>
      <c r="H779" s="59"/>
      <c r="I779" s="59"/>
      <c r="J779" s="60">
        <f>SUM(J718,J733,J748,J763)</f>
        <v>4</v>
      </c>
      <c r="K779" s="61"/>
    </row>
    <row r="780" spans="2:11" x14ac:dyDescent="0.2">
      <c r="B780" s="57"/>
      <c r="C780" s="59"/>
      <c r="D780" s="196" t="s">
        <v>372</v>
      </c>
      <c r="E780" s="59"/>
      <c r="F780" s="59"/>
      <c r="G780" s="59"/>
      <c r="H780" s="59"/>
      <c r="I780" s="59"/>
      <c r="J780" s="60">
        <f>AVERAGE(J778,J779)</f>
        <v>2</v>
      </c>
      <c r="K780" s="61"/>
    </row>
    <row r="781" spans="2:11" ht="16" x14ac:dyDescent="0.2">
      <c r="B781" s="57"/>
      <c r="C781" s="197" t="s">
        <v>34</v>
      </c>
      <c r="D781" s="59"/>
      <c r="E781" s="59"/>
      <c r="F781" s="59"/>
      <c r="G781" s="59"/>
      <c r="H781" s="59"/>
      <c r="I781" s="59"/>
      <c r="J781" s="60"/>
      <c r="K781" s="61"/>
    </row>
    <row r="782" spans="2:11" ht="16" x14ac:dyDescent="0.2">
      <c r="B782" s="57"/>
      <c r="C782" s="197"/>
      <c r="D782" s="59" t="s">
        <v>370</v>
      </c>
      <c r="E782" s="59"/>
      <c r="F782" s="59"/>
      <c r="G782" s="59"/>
      <c r="H782" s="59"/>
      <c r="I782" s="59"/>
      <c r="J782" s="60">
        <f>'Baseline At-Risk Pops'!H21</f>
        <v>0</v>
      </c>
      <c r="K782" s="61"/>
    </row>
    <row r="783" spans="2:11" x14ac:dyDescent="0.2">
      <c r="B783" s="57"/>
      <c r="C783" s="59"/>
      <c r="D783" s="59" t="s">
        <v>371</v>
      </c>
      <c r="E783" s="59"/>
      <c r="F783" s="59"/>
      <c r="G783" s="59"/>
      <c r="H783" s="59"/>
      <c r="I783" s="59"/>
      <c r="J783" s="60">
        <f>SUM(J719,J734,J749,J764)</f>
        <v>3</v>
      </c>
      <c r="K783" s="61"/>
    </row>
    <row r="784" spans="2:11" x14ac:dyDescent="0.2">
      <c r="B784" s="57"/>
      <c r="C784" s="59"/>
      <c r="D784" s="196" t="s">
        <v>372</v>
      </c>
      <c r="E784" s="59"/>
      <c r="F784" s="59"/>
      <c r="G784" s="59"/>
      <c r="H784" s="59"/>
      <c r="I784" s="59"/>
      <c r="J784" s="60">
        <f>AVERAGE(J782,J783)</f>
        <v>1.5</v>
      </c>
      <c r="K784" s="61"/>
    </row>
    <row r="785" spans="2:11" ht="16" x14ac:dyDescent="0.2">
      <c r="B785" s="57"/>
      <c r="C785" s="197" t="s">
        <v>35</v>
      </c>
      <c r="D785" s="59"/>
      <c r="E785" s="59"/>
      <c r="F785" s="59"/>
      <c r="G785" s="59"/>
      <c r="H785" s="59"/>
      <c r="I785" s="59"/>
      <c r="J785" s="60"/>
      <c r="K785" s="61"/>
    </row>
    <row r="786" spans="2:11" x14ac:dyDescent="0.2">
      <c r="B786" s="57"/>
      <c r="C786" s="59"/>
      <c r="D786" s="59" t="s">
        <v>370</v>
      </c>
      <c r="E786" s="59"/>
      <c r="F786" s="59"/>
      <c r="G786" s="59"/>
      <c r="H786" s="59"/>
      <c r="I786" s="59"/>
      <c r="J786" s="60">
        <f>'Baseline At-Risk Pops'!H27</f>
        <v>0</v>
      </c>
      <c r="K786" s="61"/>
    </row>
    <row r="787" spans="2:11" x14ac:dyDescent="0.2">
      <c r="B787" s="57"/>
      <c r="C787" s="59"/>
      <c r="D787" s="59" t="s">
        <v>371</v>
      </c>
      <c r="E787" s="59"/>
      <c r="F787" s="59"/>
      <c r="G787" s="59"/>
      <c r="H787" s="59"/>
      <c r="I787" s="59"/>
      <c r="J787" s="60">
        <f>SUM(J720,J735,J750,J765)</f>
        <v>4</v>
      </c>
      <c r="K787" s="61"/>
    </row>
    <row r="788" spans="2:11" x14ac:dyDescent="0.2">
      <c r="B788" s="57"/>
      <c r="C788" s="59"/>
      <c r="D788" s="196" t="s">
        <v>372</v>
      </c>
      <c r="E788" s="59"/>
      <c r="F788" s="59"/>
      <c r="G788" s="59"/>
      <c r="H788" s="59"/>
      <c r="I788" s="59"/>
      <c r="J788" s="60">
        <f>AVERAGE(J786,J787)</f>
        <v>2</v>
      </c>
      <c r="K788" s="61"/>
    </row>
    <row r="789" spans="2:11" ht="16" x14ac:dyDescent="0.2">
      <c r="B789" s="57"/>
      <c r="C789" s="197" t="s">
        <v>37</v>
      </c>
      <c r="D789" s="59"/>
      <c r="E789" s="59"/>
      <c r="F789" s="59"/>
      <c r="G789" s="59"/>
      <c r="H789" s="59"/>
      <c r="I789" s="59"/>
      <c r="J789" s="60"/>
      <c r="K789" s="61"/>
    </row>
    <row r="790" spans="2:11" x14ac:dyDescent="0.2">
      <c r="B790" s="57"/>
      <c r="C790" s="59"/>
      <c r="D790" s="59" t="s">
        <v>370</v>
      </c>
      <c r="E790" s="59"/>
      <c r="F790" s="59"/>
      <c r="G790" s="59"/>
      <c r="H790" s="59"/>
      <c r="I790" s="59"/>
      <c r="J790" s="60">
        <f>'Baseline At-Risk Pops'!H34</f>
        <v>0</v>
      </c>
      <c r="K790" s="61"/>
    </row>
    <row r="791" spans="2:11" x14ac:dyDescent="0.2">
      <c r="B791" s="57"/>
      <c r="C791" s="59"/>
      <c r="D791" s="59" t="s">
        <v>371</v>
      </c>
      <c r="E791" s="59"/>
      <c r="F791" s="59"/>
      <c r="G791" s="59"/>
      <c r="H791" s="59"/>
      <c r="I791" s="59"/>
      <c r="J791" s="60">
        <f>SUM(J721,J736,J751,J766)</f>
        <v>3</v>
      </c>
      <c r="K791" s="61"/>
    </row>
    <row r="792" spans="2:11" x14ac:dyDescent="0.2">
      <c r="B792" s="57"/>
      <c r="C792" s="59"/>
      <c r="D792" s="196" t="s">
        <v>372</v>
      </c>
      <c r="E792" s="59"/>
      <c r="F792" s="59"/>
      <c r="G792" s="59"/>
      <c r="H792" s="59"/>
      <c r="I792" s="59"/>
      <c r="J792" s="60">
        <f>AVERAGE(J790,J791)</f>
        <v>1.5</v>
      </c>
      <c r="K792" s="61"/>
    </row>
    <row r="793" spans="2:11" ht="16" x14ac:dyDescent="0.2">
      <c r="B793" s="57"/>
      <c r="C793" s="197" t="s">
        <v>38</v>
      </c>
      <c r="D793" s="59"/>
      <c r="E793" s="59"/>
      <c r="F793" s="59"/>
      <c r="G793" s="59"/>
      <c r="H793" s="59"/>
      <c r="I793" s="59"/>
      <c r="J793" s="60"/>
      <c r="K793" s="61"/>
    </row>
    <row r="794" spans="2:11" x14ac:dyDescent="0.2">
      <c r="B794" s="57"/>
      <c r="C794" s="59"/>
      <c r="D794" s="59" t="s">
        <v>370</v>
      </c>
      <c r="E794" s="59"/>
      <c r="F794" s="59"/>
      <c r="G794" s="59"/>
      <c r="H794" s="59"/>
      <c r="I794" s="59"/>
      <c r="J794" s="60">
        <f>'Baseline At-Risk Pops'!H40</f>
        <v>0</v>
      </c>
      <c r="K794" s="61"/>
    </row>
    <row r="795" spans="2:11" x14ac:dyDescent="0.2">
      <c r="B795" s="57"/>
      <c r="C795" s="59"/>
      <c r="D795" s="59" t="s">
        <v>371</v>
      </c>
      <c r="E795" s="59"/>
      <c r="F795" s="59"/>
      <c r="G795" s="59"/>
      <c r="H795" s="59"/>
      <c r="I795" s="59"/>
      <c r="J795" s="60">
        <f>SUM(J722,J737,J752,J767)</f>
        <v>3</v>
      </c>
      <c r="K795" s="61"/>
    </row>
    <row r="796" spans="2:11" x14ac:dyDescent="0.2">
      <c r="B796" s="57"/>
      <c r="C796" s="59"/>
      <c r="D796" s="196" t="s">
        <v>372</v>
      </c>
      <c r="E796" s="59"/>
      <c r="F796" s="59"/>
      <c r="G796" s="59"/>
      <c r="H796" s="59"/>
      <c r="I796" s="59"/>
      <c r="J796" s="60">
        <f>AVERAGE(J794,J795)</f>
        <v>1.5</v>
      </c>
      <c r="K796" s="61"/>
    </row>
    <row r="797" spans="2:11" ht="16" x14ac:dyDescent="0.2">
      <c r="B797" s="57"/>
      <c r="C797" s="197" t="s">
        <v>40</v>
      </c>
      <c r="D797" s="59"/>
      <c r="E797" s="59"/>
      <c r="F797" s="59"/>
      <c r="G797" s="59"/>
      <c r="H797" s="59"/>
      <c r="I797" s="59"/>
      <c r="J797" s="60"/>
      <c r="K797" s="61"/>
    </row>
    <row r="798" spans="2:11" x14ac:dyDescent="0.2">
      <c r="B798" s="57"/>
      <c r="C798" s="59"/>
      <c r="D798" s="59" t="s">
        <v>370</v>
      </c>
      <c r="E798" s="59"/>
      <c r="F798" s="59"/>
      <c r="G798" s="59"/>
      <c r="H798" s="59"/>
      <c r="I798" s="59"/>
      <c r="J798" s="60">
        <f>'Baseline At-Risk Pops'!H46</f>
        <v>0</v>
      </c>
      <c r="K798" s="61"/>
    </row>
    <row r="799" spans="2:11" x14ac:dyDescent="0.2">
      <c r="B799" s="57"/>
      <c r="C799" s="59"/>
      <c r="D799" s="59" t="s">
        <v>371</v>
      </c>
      <c r="E799" s="59"/>
      <c r="F799" s="59"/>
      <c r="G799" s="59"/>
      <c r="H799" s="59"/>
      <c r="I799" s="59"/>
      <c r="J799" s="60">
        <f>SUM(J723,J738,J753,J768)</f>
        <v>3</v>
      </c>
      <c r="K799" s="61"/>
    </row>
    <row r="800" spans="2:11" x14ac:dyDescent="0.2">
      <c r="B800" s="57"/>
      <c r="C800" s="59"/>
      <c r="D800" s="196" t="s">
        <v>372</v>
      </c>
      <c r="E800" s="59"/>
      <c r="F800" s="59"/>
      <c r="G800" s="59"/>
      <c r="H800" s="59"/>
      <c r="I800" s="59"/>
      <c r="J800" s="60">
        <f>AVERAGE(J798,J799)</f>
        <v>1.5</v>
      </c>
      <c r="K800" s="61"/>
    </row>
    <row r="801" spans="2:11" ht="16" x14ac:dyDescent="0.2">
      <c r="B801" s="57"/>
      <c r="C801" s="197" t="s">
        <v>41</v>
      </c>
      <c r="D801" s="59"/>
      <c r="E801" s="59"/>
      <c r="F801" s="59"/>
      <c r="G801" s="59"/>
      <c r="H801" s="59"/>
      <c r="I801" s="59"/>
      <c r="J801" s="60"/>
      <c r="K801" s="61"/>
    </row>
    <row r="802" spans="2:11" ht="16" x14ac:dyDescent="0.2">
      <c r="B802" s="57"/>
      <c r="C802" s="197"/>
      <c r="D802" s="59" t="s">
        <v>370</v>
      </c>
      <c r="E802" s="59"/>
      <c r="F802" s="59"/>
      <c r="G802" s="59"/>
      <c r="H802" s="59"/>
      <c r="I802" s="59"/>
      <c r="J802" s="60">
        <f>'Baseline At-Risk Pops'!H52</f>
        <v>0</v>
      </c>
      <c r="K802" s="61"/>
    </row>
    <row r="803" spans="2:11" x14ac:dyDescent="0.2">
      <c r="B803" s="57"/>
      <c r="C803" s="59"/>
      <c r="D803" s="59" t="s">
        <v>371</v>
      </c>
      <c r="E803" s="59"/>
      <c r="F803" s="59"/>
      <c r="G803" s="59"/>
      <c r="H803" s="59"/>
      <c r="I803" s="59"/>
      <c r="J803" s="60">
        <f>SUM(J724,J739,J754,J769)</f>
        <v>4</v>
      </c>
      <c r="K803" s="61"/>
    </row>
    <row r="804" spans="2:11" x14ac:dyDescent="0.2">
      <c r="B804" s="57"/>
      <c r="C804" s="59"/>
      <c r="D804" s="196" t="s">
        <v>372</v>
      </c>
      <c r="E804" s="59"/>
      <c r="F804" s="59"/>
      <c r="G804" s="59"/>
      <c r="H804" s="59"/>
      <c r="I804" s="59"/>
      <c r="J804" s="60">
        <f>AVERAGE(J802,J803)</f>
        <v>2</v>
      </c>
      <c r="K804" s="61"/>
    </row>
    <row r="805" spans="2:11" ht="16" x14ac:dyDescent="0.2">
      <c r="B805" s="57"/>
      <c r="C805" s="197" t="s">
        <v>43</v>
      </c>
      <c r="D805" s="59"/>
      <c r="E805" s="59"/>
      <c r="F805" s="59"/>
      <c r="G805" s="59"/>
      <c r="H805" s="59"/>
      <c r="I805" s="59"/>
      <c r="J805" s="60"/>
      <c r="K805" s="61"/>
    </row>
    <row r="806" spans="2:11" x14ac:dyDescent="0.2">
      <c r="B806" s="57"/>
      <c r="C806" s="59"/>
      <c r="D806" s="59" t="s">
        <v>370</v>
      </c>
      <c r="E806" s="59"/>
      <c r="F806" s="59"/>
      <c r="G806" s="59"/>
      <c r="H806" s="59"/>
      <c r="I806" s="59"/>
      <c r="J806" s="60">
        <f>'Baseline At-Risk Pops'!H58</f>
        <v>0</v>
      </c>
      <c r="K806" s="61"/>
    </row>
    <row r="807" spans="2:11" x14ac:dyDescent="0.2">
      <c r="B807" s="57"/>
      <c r="C807" s="59"/>
      <c r="D807" s="59" t="s">
        <v>371</v>
      </c>
      <c r="E807" s="59"/>
      <c r="F807" s="59"/>
      <c r="G807" s="59"/>
      <c r="H807" s="59"/>
      <c r="I807" s="59"/>
      <c r="J807" s="60">
        <f>SUM(J725,J740,J755,J770)</f>
        <v>3</v>
      </c>
      <c r="K807" s="61"/>
    </row>
    <row r="808" spans="2:11" x14ac:dyDescent="0.2">
      <c r="B808" s="57"/>
      <c r="C808" s="59"/>
      <c r="D808" s="196" t="s">
        <v>372</v>
      </c>
      <c r="E808" s="59"/>
      <c r="F808" s="59"/>
      <c r="G808" s="59"/>
      <c r="H808" s="59"/>
      <c r="I808" s="59"/>
      <c r="J808" s="60">
        <f>AVERAGE(J806,J807)</f>
        <v>1.5</v>
      </c>
      <c r="K808" s="61"/>
    </row>
    <row r="809" spans="2:11" x14ac:dyDescent="0.2">
      <c r="B809" s="57"/>
      <c r="C809" s="59"/>
      <c r="D809" s="59"/>
      <c r="E809" s="59"/>
      <c r="F809" s="59"/>
      <c r="G809" s="59"/>
      <c r="H809" s="59"/>
      <c r="I809" s="59"/>
      <c r="J809" s="59"/>
      <c r="K809" s="61"/>
    </row>
    <row r="810" spans="2:11" x14ac:dyDescent="0.2">
      <c r="B810" s="57"/>
      <c r="C810" s="59"/>
      <c r="D810" s="59"/>
      <c r="E810" s="59"/>
      <c r="F810" s="59"/>
      <c r="G810" s="59"/>
      <c r="H810" s="59"/>
      <c r="I810" s="59"/>
      <c r="J810" s="59"/>
      <c r="K810" s="61"/>
    </row>
    <row r="811" spans="2:11" ht="16" x14ac:dyDescent="0.2">
      <c r="B811" s="57"/>
      <c r="C811" s="198" t="s">
        <v>373</v>
      </c>
      <c r="D811" s="59"/>
      <c r="E811" s="59"/>
      <c r="F811" s="59"/>
      <c r="G811" s="59"/>
      <c r="H811" s="59"/>
      <c r="I811" s="59"/>
      <c r="J811" s="261">
        <f>AVERAGE(J776,J780,J784,J788,J792,J796,J800,J804,J808)</f>
        <v>1.6666666666666667</v>
      </c>
      <c r="K811" s="61"/>
    </row>
    <row r="812" spans="2:11" ht="16" thickBot="1" x14ac:dyDescent="0.25">
      <c r="B812" s="73"/>
      <c r="C812" s="74"/>
      <c r="D812" s="74"/>
      <c r="E812" s="74"/>
      <c r="F812" s="74"/>
      <c r="G812" s="74"/>
      <c r="H812" s="74"/>
      <c r="I812" s="74"/>
      <c r="J812" s="74"/>
      <c r="K812" s="76"/>
    </row>
    <row r="813" spans="2:11" ht="16" thickBot="1" x14ac:dyDescent="0.25"/>
    <row r="814" spans="2:11" x14ac:dyDescent="0.2">
      <c r="B814" s="199"/>
      <c r="C814" s="200"/>
      <c r="D814" s="200"/>
      <c r="E814" s="200"/>
      <c r="F814" s="200"/>
      <c r="G814" s="200"/>
      <c r="H814" s="200"/>
      <c r="I814" s="200"/>
      <c r="J814" s="200"/>
      <c r="K814" s="201"/>
    </row>
    <row r="815" spans="2:11" ht="21" x14ac:dyDescent="0.25">
      <c r="B815" s="202"/>
      <c r="C815" s="203"/>
      <c r="D815" s="203"/>
      <c r="E815" s="203"/>
      <c r="F815" s="203"/>
      <c r="G815" s="204" t="s">
        <v>233</v>
      </c>
      <c r="H815" s="203"/>
      <c r="I815" s="203"/>
      <c r="J815" s="203"/>
      <c r="K815" s="205"/>
    </row>
    <row r="816" spans="2:11" x14ac:dyDescent="0.2">
      <c r="B816" s="202"/>
      <c r="C816" s="203"/>
      <c r="D816" s="203"/>
      <c r="E816" s="203"/>
      <c r="F816" s="203"/>
      <c r="G816" s="203"/>
      <c r="H816" s="203"/>
      <c r="I816" s="203"/>
      <c r="J816" s="203"/>
      <c r="K816" s="205"/>
    </row>
    <row r="817" spans="2:11" ht="16" x14ac:dyDescent="0.2">
      <c r="B817" s="202"/>
      <c r="C817" s="206" t="s">
        <v>992</v>
      </c>
      <c r="D817" s="203"/>
      <c r="E817" s="203"/>
      <c r="F817" s="203"/>
      <c r="G817" s="203"/>
      <c r="H817" s="203"/>
      <c r="I817" s="203"/>
      <c r="J817" s="262" t="str">
        <f>IF(J700="Not Calculated","Not Calculated",J700*(($J$811/4)+1))</f>
        <v>Not Calculated</v>
      </c>
      <c r="K817" s="205"/>
    </row>
    <row r="818" spans="2:11" x14ac:dyDescent="0.2">
      <c r="B818" s="202"/>
      <c r="C818" s="203"/>
      <c r="D818" s="203" t="s">
        <v>1119</v>
      </c>
      <c r="E818" s="203"/>
      <c r="F818" s="203"/>
      <c r="G818" s="203"/>
      <c r="H818" s="203"/>
      <c r="I818" s="203"/>
      <c r="J818" s="203"/>
      <c r="K818" s="205"/>
    </row>
    <row r="819" spans="2:11" x14ac:dyDescent="0.2">
      <c r="B819" s="202"/>
      <c r="C819" s="203"/>
      <c r="D819" s="203"/>
      <c r="E819" s="203"/>
      <c r="F819" s="203"/>
      <c r="G819" s="203"/>
      <c r="H819" s="203"/>
      <c r="I819" s="203"/>
      <c r="J819" s="203"/>
      <c r="K819" s="205"/>
    </row>
    <row r="820" spans="2:11" ht="16" x14ac:dyDescent="0.2">
      <c r="B820" s="202"/>
      <c r="C820" s="206" t="s">
        <v>993</v>
      </c>
      <c r="D820" s="203"/>
      <c r="E820" s="203"/>
      <c r="F820" s="203"/>
      <c r="G820" s="203"/>
      <c r="H820" s="203"/>
      <c r="I820" s="203"/>
      <c r="J820" s="262" t="str">
        <f>IF(J703="Not Calculated","Not Calculated",J703*(($J$811/4)+1))</f>
        <v>Not Calculated</v>
      </c>
      <c r="K820" s="205"/>
    </row>
    <row r="821" spans="2:11" x14ac:dyDescent="0.2">
      <c r="B821" s="202"/>
      <c r="C821" s="203"/>
      <c r="D821" s="203" t="s">
        <v>1120</v>
      </c>
      <c r="E821" s="203"/>
      <c r="F821" s="203"/>
      <c r="G821" s="203"/>
      <c r="H821" s="203"/>
      <c r="I821" s="203"/>
      <c r="J821" s="203"/>
      <c r="K821" s="205"/>
    </row>
    <row r="822" spans="2:11" x14ac:dyDescent="0.2">
      <c r="B822" s="202"/>
      <c r="C822" s="203"/>
      <c r="D822" s="203"/>
      <c r="E822" s="203"/>
      <c r="F822" s="203"/>
      <c r="G822" s="203"/>
      <c r="H822" s="203"/>
      <c r="I822" s="203"/>
      <c r="J822" s="203"/>
      <c r="K822" s="205"/>
    </row>
    <row r="823" spans="2:11" ht="16" x14ac:dyDescent="0.2">
      <c r="B823" s="202"/>
      <c r="C823" s="206" t="s">
        <v>994</v>
      </c>
      <c r="D823" s="203"/>
      <c r="E823" s="203"/>
      <c r="F823" s="203"/>
      <c r="G823" s="203"/>
      <c r="H823" s="203"/>
      <c r="I823" s="203"/>
      <c r="J823" s="262" t="str">
        <f>IF(J706="Not Calculated","Not Calculated",J706*(($J$811/4)+1))</f>
        <v>Not Calculated</v>
      </c>
      <c r="K823" s="205"/>
    </row>
    <row r="824" spans="2:11" x14ac:dyDescent="0.2">
      <c r="B824" s="202"/>
      <c r="C824" s="203"/>
      <c r="D824" s="203" t="s">
        <v>1121</v>
      </c>
      <c r="E824" s="203"/>
      <c r="F824" s="203"/>
      <c r="G824" s="203"/>
      <c r="H824" s="203"/>
      <c r="I824" s="203"/>
      <c r="J824" s="203"/>
      <c r="K824" s="205"/>
    </row>
    <row r="825" spans="2:11" ht="16" thickBot="1" x14ac:dyDescent="0.25">
      <c r="B825" s="207"/>
      <c r="C825" s="208"/>
      <c r="D825" s="208"/>
      <c r="E825" s="208"/>
      <c r="F825" s="208"/>
      <c r="G825" s="208"/>
      <c r="H825" s="208"/>
      <c r="I825" s="208"/>
      <c r="J825" s="208"/>
      <c r="K825" s="209"/>
    </row>
    <row r="826" spans="2:11" ht="16" thickBot="1" x14ac:dyDescent="0.25"/>
    <row r="827" spans="2:11" x14ac:dyDescent="0.2">
      <c r="B827" s="77"/>
      <c r="C827" s="78"/>
      <c r="D827" s="78"/>
      <c r="E827" s="78"/>
      <c r="F827" s="78"/>
      <c r="G827" s="78"/>
      <c r="H827" s="78"/>
      <c r="I827" s="78"/>
      <c r="J827" s="78"/>
      <c r="K827" s="80"/>
    </row>
    <row r="828" spans="2:11" ht="21" x14ac:dyDescent="0.25">
      <c r="B828" s="81"/>
      <c r="C828" s="85"/>
      <c r="D828" s="85"/>
      <c r="E828" s="85"/>
      <c r="F828" s="85"/>
      <c r="G828" s="210" t="s">
        <v>806</v>
      </c>
      <c r="H828" s="85"/>
      <c r="I828" s="85"/>
      <c r="J828" s="85"/>
      <c r="K828" s="87"/>
    </row>
    <row r="829" spans="2:11" x14ac:dyDescent="0.2">
      <c r="B829" s="81"/>
      <c r="C829" s="85"/>
      <c r="D829" s="85"/>
      <c r="E829" s="85"/>
      <c r="F829" s="85"/>
      <c r="G829" s="85"/>
      <c r="H829" s="85"/>
      <c r="I829" s="85"/>
      <c r="J829" s="85"/>
      <c r="K829" s="87"/>
    </row>
    <row r="830" spans="2:11" ht="15" customHeight="1" x14ac:dyDescent="0.2">
      <c r="B830" s="81"/>
      <c r="C830" s="424" t="s">
        <v>808</v>
      </c>
      <c r="D830" s="424"/>
      <c r="E830" s="424"/>
      <c r="F830" s="424"/>
      <c r="G830" s="424"/>
      <c r="H830" s="424"/>
      <c r="I830" s="424"/>
      <c r="J830" s="424"/>
      <c r="K830" s="87"/>
    </row>
    <row r="831" spans="2:11" x14ac:dyDescent="0.2">
      <c r="B831" s="81"/>
      <c r="C831" s="424"/>
      <c r="D831" s="424"/>
      <c r="E831" s="424"/>
      <c r="F831" s="424"/>
      <c r="G831" s="424"/>
      <c r="H831" s="424"/>
      <c r="I831" s="424"/>
      <c r="J831" s="424"/>
      <c r="K831" s="87"/>
    </row>
    <row r="832" spans="2:11" x14ac:dyDescent="0.2">
      <c r="B832" s="81"/>
      <c r="C832" s="85"/>
      <c r="D832" s="85"/>
      <c r="E832" s="85"/>
      <c r="F832" s="85"/>
      <c r="G832" s="85"/>
      <c r="H832" s="85"/>
      <c r="I832" s="85"/>
      <c r="J832" s="85"/>
      <c r="K832" s="87"/>
    </row>
    <row r="833" spans="2:11" ht="16" x14ac:dyDescent="0.2">
      <c r="B833" s="81"/>
      <c r="C833" s="211" t="s">
        <v>654</v>
      </c>
      <c r="D833" s="85"/>
      <c r="E833" s="85"/>
      <c r="F833" s="85"/>
      <c r="G833" s="85"/>
      <c r="H833" s="85"/>
      <c r="I833" s="85"/>
      <c r="J833" s="85"/>
      <c r="K833" s="87"/>
    </row>
    <row r="834" spans="2:11" x14ac:dyDescent="0.2">
      <c r="B834" s="81"/>
      <c r="C834" s="85" t="s">
        <v>380</v>
      </c>
      <c r="D834" s="85"/>
      <c r="E834" s="85"/>
      <c r="F834" s="85"/>
      <c r="G834" s="406" t="s">
        <v>234</v>
      </c>
      <c r="H834" s="407"/>
      <c r="I834" s="85"/>
      <c r="J834" s="83">
        <f>IF(G834=$B$998,$A$998,IF(G834=$B$999,$A$999,IF(G834=$B$1000,$A$1000,IF(G834=$B$1001,$A$1001,IF(G834=$B$1002,$A$1002,"Not Calculated")))))</f>
        <v>4</v>
      </c>
      <c r="K834" s="87"/>
    </row>
    <row r="835" spans="2:11" x14ac:dyDescent="0.2">
      <c r="B835" s="81"/>
      <c r="C835" s="85" t="s">
        <v>134</v>
      </c>
      <c r="D835" s="85"/>
      <c r="E835" s="85"/>
      <c r="F835" s="85"/>
      <c r="G835" s="85"/>
      <c r="H835" s="85"/>
      <c r="I835" s="85"/>
      <c r="J835" s="240">
        <f>'Baseline PHP'!J16</f>
        <v>0</v>
      </c>
      <c r="K835" s="87"/>
    </row>
    <row r="836" spans="2:11" x14ac:dyDescent="0.2">
      <c r="B836" s="81"/>
      <c r="C836" s="85"/>
      <c r="D836" s="85"/>
      <c r="E836" s="85"/>
      <c r="F836" s="85"/>
      <c r="G836" s="85"/>
      <c r="H836" s="85"/>
      <c r="I836" s="85"/>
      <c r="J836" s="85"/>
      <c r="K836" s="87"/>
    </row>
    <row r="837" spans="2:11" ht="16" x14ac:dyDescent="0.2">
      <c r="B837" s="81"/>
      <c r="C837" s="211" t="s">
        <v>655</v>
      </c>
      <c r="D837" s="85"/>
      <c r="E837" s="85"/>
      <c r="F837" s="85"/>
      <c r="G837" s="85"/>
      <c r="H837" s="85"/>
      <c r="I837" s="85"/>
      <c r="J837" s="85"/>
      <c r="K837" s="87"/>
    </row>
    <row r="838" spans="2:11" x14ac:dyDescent="0.2">
      <c r="B838" s="81"/>
      <c r="C838" s="85" t="s">
        <v>380</v>
      </c>
      <c r="D838" s="85"/>
      <c r="E838" s="85"/>
      <c r="F838" s="85"/>
      <c r="G838" s="406" t="s">
        <v>234</v>
      </c>
      <c r="H838" s="407"/>
      <c r="I838" s="85"/>
      <c r="J838" s="83">
        <f>IF(G838=$B$998,$A$998,IF(G838=$B$999,$A$999,IF(G838=$B$1000,$A$1000,IF(G838=$B$1001,$A$1001,IF(G838=$B$1002,$A$1002,"Not Calculated")))))</f>
        <v>4</v>
      </c>
      <c r="K838" s="87"/>
    </row>
    <row r="839" spans="2:11" x14ac:dyDescent="0.2">
      <c r="B839" s="81"/>
      <c r="C839" s="85" t="s">
        <v>134</v>
      </c>
      <c r="D839" s="85"/>
      <c r="E839" s="85"/>
      <c r="F839" s="85"/>
      <c r="G839" s="85"/>
      <c r="H839" s="85"/>
      <c r="I839" s="85"/>
      <c r="J839" s="240">
        <f>'Baseline PHP'!J28</f>
        <v>0</v>
      </c>
      <c r="K839" s="87"/>
    </row>
    <row r="840" spans="2:11" x14ac:dyDescent="0.2">
      <c r="B840" s="81"/>
      <c r="C840" s="85"/>
      <c r="D840" s="85"/>
      <c r="E840" s="85"/>
      <c r="F840" s="85"/>
      <c r="G840" s="85"/>
      <c r="H840" s="85"/>
      <c r="I840" s="85"/>
      <c r="J840" s="85"/>
      <c r="K840" s="87"/>
    </row>
    <row r="841" spans="2:11" ht="16" x14ac:dyDescent="0.2">
      <c r="B841" s="81"/>
      <c r="C841" s="211" t="s">
        <v>645</v>
      </c>
      <c r="D841" s="85"/>
      <c r="E841" s="85"/>
      <c r="F841" s="85"/>
      <c r="G841" s="85"/>
      <c r="H841" s="85"/>
      <c r="I841" s="85"/>
      <c r="J841" s="85"/>
      <c r="K841" s="87"/>
    </row>
    <row r="842" spans="2:11" x14ac:dyDescent="0.2">
      <c r="B842" s="81"/>
      <c r="C842" s="85" t="s">
        <v>380</v>
      </c>
      <c r="D842" s="85"/>
      <c r="E842" s="85"/>
      <c r="F842" s="85"/>
      <c r="G842" s="406" t="s">
        <v>234</v>
      </c>
      <c r="H842" s="407"/>
      <c r="I842" s="85"/>
      <c r="J842" s="83">
        <f>IF(G842=$B$998,$A$998,IF(G842=$B$999,$A$999,IF(G842=$B$1000,$A$1000,IF(G842=$B$1001,$A$1001,IF(G842=$B$1002,$A$1002,"Not Calculated")))))</f>
        <v>4</v>
      </c>
      <c r="K842" s="87"/>
    </row>
    <row r="843" spans="2:11" x14ac:dyDescent="0.2">
      <c r="B843" s="81"/>
      <c r="C843" s="85" t="s">
        <v>134</v>
      </c>
      <c r="D843" s="85"/>
      <c r="E843" s="85"/>
      <c r="F843" s="85"/>
      <c r="G843" s="85"/>
      <c r="H843" s="85"/>
      <c r="I843" s="85"/>
      <c r="J843" s="240">
        <f>'Baseline PHP'!J44</f>
        <v>0</v>
      </c>
      <c r="K843" s="87"/>
    </row>
    <row r="844" spans="2:11" x14ac:dyDescent="0.2">
      <c r="B844" s="81"/>
      <c r="C844" s="85"/>
      <c r="D844" s="85"/>
      <c r="E844" s="85"/>
      <c r="F844" s="85"/>
      <c r="G844" s="85"/>
      <c r="H844" s="85"/>
      <c r="I844" s="85"/>
      <c r="J844" s="85"/>
      <c r="K844" s="87"/>
    </row>
    <row r="845" spans="2:11" ht="16" x14ac:dyDescent="0.2">
      <c r="B845" s="81"/>
      <c r="C845" s="211" t="s">
        <v>646</v>
      </c>
      <c r="D845" s="85"/>
      <c r="E845" s="85"/>
      <c r="F845" s="85"/>
      <c r="G845" s="85"/>
      <c r="H845" s="85"/>
      <c r="I845" s="85"/>
      <c r="J845" s="85"/>
      <c r="K845" s="87"/>
    </row>
    <row r="846" spans="2:11" x14ac:dyDescent="0.2">
      <c r="B846" s="81"/>
      <c r="C846" s="85" t="s">
        <v>380</v>
      </c>
      <c r="D846" s="85"/>
      <c r="E846" s="85"/>
      <c r="F846" s="85"/>
      <c r="G846" s="406" t="s">
        <v>234</v>
      </c>
      <c r="H846" s="407"/>
      <c r="I846" s="85"/>
      <c r="J846" s="83">
        <f>IF(G846=$B$998,$A$998,IF(G846=$B$999,$A$999,IF(G846=$B$1000,$A$1000,IF(G846=$B$1001,$A$1001,IF(G846=$B$1002,$A$1002,"Not Calculated")))))</f>
        <v>4</v>
      </c>
      <c r="K846" s="87"/>
    </row>
    <row r="847" spans="2:11" x14ac:dyDescent="0.2">
      <c r="B847" s="81"/>
      <c r="C847" s="85" t="s">
        <v>134</v>
      </c>
      <c r="D847" s="85"/>
      <c r="E847" s="85"/>
      <c r="F847" s="85"/>
      <c r="G847" s="85"/>
      <c r="H847" s="85"/>
      <c r="I847" s="85"/>
      <c r="J847" s="240">
        <f>'Baseline PHP'!J60</f>
        <v>0</v>
      </c>
      <c r="K847" s="87"/>
    </row>
    <row r="848" spans="2:11" x14ac:dyDescent="0.2">
      <c r="B848" s="81"/>
      <c r="C848" s="85"/>
      <c r="D848" s="85"/>
      <c r="E848" s="85"/>
      <c r="F848" s="85"/>
      <c r="G848" s="85"/>
      <c r="H848" s="85"/>
      <c r="I848" s="85"/>
      <c r="J848" s="85"/>
      <c r="K848" s="87"/>
    </row>
    <row r="849" spans="2:11" ht="16" x14ac:dyDescent="0.2">
      <c r="B849" s="81"/>
      <c r="C849" s="211" t="s">
        <v>648</v>
      </c>
      <c r="D849" s="85"/>
      <c r="E849" s="85"/>
      <c r="F849" s="85"/>
      <c r="G849" s="85"/>
      <c r="H849" s="85"/>
      <c r="I849" s="85"/>
      <c r="J849" s="85"/>
      <c r="K849" s="87"/>
    </row>
    <row r="850" spans="2:11" ht="15" customHeight="1" x14ac:dyDescent="0.2">
      <c r="B850" s="81"/>
      <c r="C850" s="85" t="s">
        <v>380</v>
      </c>
      <c r="D850" s="85"/>
      <c r="E850" s="85"/>
      <c r="F850" s="85"/>
      <c r="G850" s="406" t="s">
        <v>236</v>
      </c>
      <c r="H850" s="407"/>
      <c r="I850" s="85"/>
      <c r="J850" s="83">
        <f>IF(G850=$B$998,$A$998,IF(G850=$B$999,$A$999,IF(G850=$B$1000,$A$1000,IF(G850=$B$1001,$A$1001,IF(G850=$B$1002,$A$1002,"Not Calculated")))))</f>
        <v>0</v>
      </c>
      <c r="K850" s="87"/>
    </row>
    <row r="851" spans="2:11" x14ac:dyDescent="0.2">
      <c r="B851" s="81"/>
      <c r="C851" s="85" t="s">
        <v>134</v>
      </c>
      <c r="D851" s="85"/>
      <c r="E851" s="85"/>
      <c r="F851" s="85"/>
      <c r="G851" s="85"/>
      <c r="H851" s="85"/>
      <c r="I851" s="85"/>
      <c r="J851" s="240">
        <f>'Baseline PHP'!J76</f>
        <v>0</v>
      </c>
      <c r="K851" s="87"/>
    </row>
    <row r="852" spans="2:11" x14ac:dyDescent="0.2">
      <c r="B852" s="81"/>
      <c r="C852" s="85"/>
      <c r="D852" s="85"/>
      <c r="E852" s="85"/>
      <c r="F852" s="85"/>
      <c r="G852" s="85"/>
      <c r="H852" s="85"/>
      <c r="I852" s="85"/>
      <c r="J852" s="85"/>
      <c r="K852" s="87"/>
    </row>
    <row r="853" spans="2:11" ht="16" x14ac:dyDescent="0.2">
      <c r="B853" s="81"/>
      <c r="C853" s="211" t="s">
        <v>647</v>
      </c>
      <c r="D853" s="85"/>
      <c r="E853" s="85"/>
      <c r="F853" s="85"/>
      <c r="G853" s="85"/>
      <c r="H853" s="85"/>
      <c r="I853" s="85"/>
      <c r="J853" s="85"/>
      <c r="K853" s="87"/>
    </row>
    <row r="854" spans="2:11" x14ac:dyDescent="0.2">
      <c r="B854" s="81"/>
      <c r="C854" s="85" t="s">
        <v>380</v>
      </c>
      <c r="D854" s="85"/>
      <c r="E854" s="85"/>
      <c r="F854" s="85"/>
      <c r="G854" s="406" t="s">
        <v>234</v>
      </c>
      <c r="H854" s="407"/>
      <c r="I854" s="85"/>
      <c r="J854" s="83">
        <f>IF(G854=$B$998,$A$998,IF(G854=$B$999,$A$999,IF(G854=$B$1000,$A$1000,IF(G854=$B$1001,$A$1001,IF(G854=$B$1002,$A$1002,"Not Calculated")))))</f>
        <v>4</v>
      </c>
      <c r="K854" s="87"/>
    </row>
    <row r="855" spans="2:11" x14ac:dyDescent="0.2">
      <c r="B855" s="81"/>
      <c r="C855" s="85" t="s">
        <v>134</v>
      </c>
      <c r="D855" s="85"/>
      <c r="E855" s="85"/>
      <c r="F855" s="85"/>
      <c r="G855" s="85"/>
      <c r="H855" s="85"/>
      <c r="I855" s="85"/>
      <c r="J855" s="240">
        <f>'Baseline PHP'!J88</f>
        <v>0</v>
      </c>
      <c r="K855" s="87"/>
    </row>
    <row r="856" spans="2:11" x14ac:dyDescent="0.2">
      <c r="B856" s="81"/>
      <c r="C856" s="85"/>
      <c r="D856" s="85"/>
      <c r="E856" s="85"/>
      <c r="F856" s="85"/>
      <c r="G856" s="85"/>
      <c r="H856" s="85"/>
      <c r="I856" s="85"/>
      <c r="J856" s="85"/>
      <c r="K856" s="87"/>
    </row>
    <row r="857" spans="2:11" ht="16" x14ac:dyDescent="0.2">
      <c r="B857" s="81"/>
      <c r="C857" s="211" t="s">
        <v>115</v>
      </c>
      <c r="D857" s="85"/>
      <c r="E857" s="85"/>
      <c r="F857" s="85"/>
      <c r="G857" s="85"/>
      <c r="H857" s="85"/>
      <c r="I857" s="85"/>
      <c r="J857" s="85"/>
      <c r="K857" s="87"/>
    </row>
    <row r="858" spans="2:11" x14ac:dyDescent="0.2">
      <c r="B858" s="81"/>
      <c r="C858" s="85" t="s">
        <v>380</v>
      </c>
      <c r="D858" s="85"/>
      <c r="E858" s="85"/>
      <c r="F858" s="85"/>
      <c r="G858" s="406" t="s">
        <v>238</v>
      </c>
      <c r="H858" s="407"/>
      <c r="I858" s="85"/>
      <c r="J858" s="83">
        <f>IF(G858=$B$998,$A$998,IF(G858=$B$999,$A$999,IF(G858=$B$1000,$A$1000,IF(G858=$B$1001,$A$1001,IF(G858=$B$1002,$A$1002,"Not Calculated")))))</f>
        <v>3</v>
      </c>
      <c r="K858" s="87"/>
    </row>
    <row r="859" spans="2:11" x14ac:dyDescent="0.2">
      <c r="B859" s="81"/>
      <c r="C859" s="85" t="s">
        <v>134</v>
      </c>
      <c r="D859" s="85"/>
      <c r="E859" s="85"/>
      <c r="F859" s="85"/>
      <c r="G859" s="85"/>
      <c r="H859" s="85"/>
      <c r="I859" s="85"/>
      <c r="J859" s="240">
        <f>'Baseline PHP'!J102</f>
        <v>0</v>
      </c>
      <c r="K859" s="87"/>
    </row>
    <row r="860" spans="2:11" x14ac:dyDescent="0.2">
      <c r="B860" s="81"/>
      <c r="C860" s="85"/>
      <c r="D860" s="85"/>
      <c r="E860" s="85"/>
      <c r="F860" s="85"/>
      <c r="G860" s="85"/>
      <c r="H860" s="85"/>
      <c r="I860" s="85"/>
      <c r="J860" s="85"/>
      <c r="K860" s="87"/>
    </row>
    <row r="861" spans="2:11" ht="16" x14ac:dyDescent="0.2">
      <c r="B861" s="81"/>
      <c r="C861" s="211" t="s">
        <v>649</v>
      </c>
      <c r="D861" s="85"/>
      <c r="E861" s="85"/>
      <c r="F861" s="85"/>
      <c r="G861" s="85"/>
      <c r="H861" s="85"/>
      <c r="I861" s="85"/>
      <c r="J861" s="85"/>
      <c r="K861" s="87"/>
    </row>
    <row r="862" spans="2:11" x14ac:dyDescent="0.2">
      <c r="B862" s="81"/>
      <c r="C862" s="85" t="s">
        <v>380</v>
      </c>
      <c r="D862" s="85"/>
      <c r="E862" s="85"/>
      <c r="F862" s="85"/>
      <c r="G862" s="406" t="s">
        <v>236</v>
      </c>
      <c r="H862" s="407"/>
      <c r="I862" s="85"/>
      <c r="J862" s="83">
        <f>IF(G862=$B$998,$A$998,IF(G862=$B$999,$A$999,IF(G862=$B$1000,$A$1000,IF(G862=$B$1001,$A$1001,IF(G862=$B$1002,$A$1002,"Not Calculated")))))</f>
        <v>0</v>
      </c>
      <c r="K862" s="87"/>
    </row>
    <row r="863" spans="2:11" x14ac:dyDescent="0.2">
      <c r="B863" s="81"/>
      <c r="C863" s="85" t="s">
        <v>134</v>
      </c>
      <c r="D863" s="85"/>
      <c r="E863" s="85"/>
      <c r="F863" s="85"/>
      <c r="G863" s="85"/>
      <c r="H863" s="85"/>
      <c r="I863" s="85"/>
      <c r="J863" s="240">
        <f>'Baseline PHP'!J118</f>
        <v>0</v>
      </c>
      <c r="K863" s="87"/>
    </row>
    <row r="864" spans="2:11" x14ac:dyDescent="0.2">
      <c r="B864" s="81"/>
      <c r="C864" s="85"/>
      <c r="D864" s="85"/>
      <c r="E864" s="85"/>
      <c r="F864" s="85"/>
      <c r="G864" s="85"/>
      <c r="H864" s="85"/>
      <c r="I864" s="85"/>
      <c r="J864" s="85"/>
      <c r="K864" s="87"/>
    </row>
    <row r="865" spans="2:11" ht="16" x14ac:dyDescent="0.2">
      <c r="B865" s="81"/>
      <c r="C865" s="211" t="s">
        <v>656</v>
      </c>
      <c r="D865" s="85"/>
      <c r="E865" s="85"/>
      <c r="F865" s="85"/>
      <c r="G865" s="85"/>
      <c r="H865" s="85"/>
      <c r="I865" s="85"/>
      <c r="J865" s="85"/>
      <c r="K865" s="87"/>
    </row>
    <row r="866" spans="2:11" x14ac:dyDescent="0.2">
      <c r="B866" s="81"/>
      <c r="C866" s="85" t="s">
        <v>380</v>
      </c>
      <c r="D866" s="85"/>
      <c r="E866" s="85"/>
      <c r="F866" s="85"/>
      <c r="G866" s="406" t="s">
        <v>235</v>
      </c>
      <c r="H866" s="407"/>
      <c r="I866" s="85"/>
      <c r="J866" s="83">
        <f>IF(G866=$B$998,$A$998,IF(G866=$B$999,$A$999,IF(G866=$B$1000,$A$1000,IF(G866=$B$1001,$A$1001,IF(G866=$B$1002,$A$1002,"Not Calculated")))))</f>
        <v>2</v>
      </c>
      <c r="K866" s="87"/>
    </row>
    <row r="867" spans="2:11" x14ac:dyDescent="0.2">
      <c r="B867" s="81"/>
      <c r="C867" s="85" t="s">
        <v>134</v>
      </c>
      <c r="D867" s="85"/>
      <c r="E867" s="85"/>
      <c r="F867" s="85"/>
      <c r="G867" s="85"/>
      <c r="H867" s="85"/>
      <c r="I867" s="85"/>
      <c r="J867" s="240">
        <f>'Baseline PHP'!J136</f>
        <v>0</v>
      </c>
      <c r="K867" s="87"/>
    </row>
    <row r="868" spans="2:11" x14ac:dyDescent="0.2">
      <c r="B868" s="81"/>
      <c r="C868" s="85"/>
      <c r="D868" s="85"/>
      <c r="E868" s="85"/>
      <c r="F868" s="85"/>
      <c r="G868" s="85"/>
      <c r="H868" s="85"/>
      <c r="I868" s="85"/>
      <c r="J868" s="85"/>
      <c r="K868" s="87"/>
    </row>
    <row r="869" spans="2:11" ht="16" x14ac:dyDescent="0.2">
      <c r="B869" s="81"/>
      <c r="C869" s="211" t="s">
        <v>121</v>
      </c>
      <c r="D869" s="85"/>
      <c r="E869" s="85"/>
      <c r="F869" s="85"/>
      <c r="G869" s="85"/>
      <c r="H869" s="85"/>
      <c r="I869" s="85"/>
      <c r="J869" s="85"/>
      <c r="K869" s="87"/>
    </row>
    <row r="870" spans="2:11" x14ac:dyDescent="0.2">
      <c r="B870" s="81"/>
      <c r="C870" s="85" t="s">
        <v>380</v>
      </c>
      <c r="D870" s="85"/>
      <c r="E870" s="85"/>
      <c r="F870" s="85"/>
      <c r="G870" s="406" t="s">
        <v>236</v>
      </c>
      <c r="H870" s="407"/>
      <c r="I870" s="85"/>
      <c r="J870" s="83">
        <f>IF(G870=$B$998,$A$998,IF(G870=$B$999,$A$999,IF(G870=$B$1000,$A$1000,IF(G870=$B$1001,$A$1001,IF(G870=$B$1002,$A$1002,"Not Calculated")))))</f>
        <v>0</v>
      </c>
      <c r="K870" s="87"/>
    </row>
    <row r="871" spans="2:11" x14ac:dyDescent="0.2">
      <c r="B871" s="81"/>
      <c r="C871" s="85" t="s">
        <v>134</v>
      </c>
      <c r="D871" s="85"/>
      <c r="E871" s="85"/>
      <c r="F871" s="85"/>
      <c r="G871" s="85"/>
      <c r="H871" s="85"/>
      <c r="I871" s="85"/>
      <c r="J871" s="240">
        <f>'Baseline PHP'!J150</f>
        <v>0</v>
      </c>
      <c r="K871" s="87"/>
    </row>
    <row r="872" spans="2:11" x14ac:dyDescent="0.2">
      <c r="B872" s="81"/>
      <c r="C872" s="85"/>
      <c r="D872" s="85"/>
      <c r="E872" s="85"/>
      <c r="F872" s="85"/>
      <c r="G872" s="85"/>
      <c r="H872" s="85"/>
      <c r="I872" s="85"/>
      <c r="J872" s="85"/>
      <c r="K872" s="87"/>
    </row>
    <row r="873" spans="2:11" ht="16" x14ac:dyDescent="0.2">
      <c r="B873" s="81"/>
      <c r="C873" s="211" t="s">
        <v>657</v>
      </c>
      <c r="D873" s="85"/>
      <c r="E873" s="85"/>
      <c r="F873" s="85"/>
      <c r="G873" s="85"/>
      <c r="H873" s="85"/>
      <c r="I873" s="85"/>
      <c r="J873" s="85"/>
      <c r="K873" s="87"/>
    </row>
    <row r="874" spans="2:11" x14ac:dyDescent="0.2">
      <c r="B874" s="81"/>
      <c r="C874" s="85" t="s">
        <v>380</v>
      </c>
      <c r="D874" s="85"/>
      <c r="E874" s="85"/>
      <c r="F874" s="85"/>
      <c r="G874" s="406" t="s">
        <v>236</v>
      </c>
      <c r="H874" s="407"/>
      <c r="I874" s="85"/>
      <c r="J874" s="83">
        <f>IF(G874=$B$998,$A$998,IF(G874=$B$999,$A$999,IF(G874=$B$1000,$A$1000,IF(G874=$B$1001,$A$1001,IF(G874=$B$1002,$A$1002,"Not Calculated")))))</f>
        <v>0</v>
      </c>
      <c r="K874" s="87"/>
    </row>
    <row r="875" spans="2:11" x14ac:dyDescent="0.2">
      <c r="B875" s="81"/>
      <c r="C875" s="85" t="s">
        <v>134</v>
      </c>
      <c r="D875" s="85"/>
      <c r="E875" s="85"/>
      <c r="F875" s="85"/>
      <c r="G875" s="85"/>
      <c r="H875" s="85"/>
      <c r="I875" s="85"/>
      <c r="J875" s="240">
        <f>'Baseline PHP'!J164</f>
        <v>0</v>
      </c>
      <c r="K875" s="87"/>
    </row>
    <row r="876" spans="2:11" x14ac:dyDescent="0.2">
      <c r="B876" s="81"/>
      <c r="C876" s="85"/>
      <c r="D876" s="85"/>
      <c r="E876" s="85"/>
      <c r="F876" s="85"/>
      <c r="G876" s="85"/>
      <c r="H876" s="85"/>
      <c r="I876" s="85"/>
      <c r="J876" s="85"/>
      <c r="K876" s="87"/>
    </row>
    <row r="877" spans="2:11" ht="16" x14ac:dyDescent="0.2">
      <c r="B877" s="81"/>
      <c r="C877" s="211" t="s">
        <v>650</v>
      </c>
      <c r="D877" s="85"/>
      <c r="E877" s="85"/>
      <c r="F877" s="85"/>
      <c r="G877" s="85"/>
      <c r="H877" s="85"/>
      <c r="I877" s="85"/>
      <c r="J877" s="85"/>
      <c r="K877" s="87"/>
    </row>
    <row r="878" spans="2:11" x14ac:dyDescent="0.2">
      <c r="B878" s="81"/>
      <c r="C878" s="85" t="s">
        <v>380</v>
      </c>
      <c r="D878" s="85"/>
      <c r="E878" s="85"/>
      <c r="F878" s="85"/>
      <c r="G878" s="406" t="s">
        <v>236</v>
      </c>
      <c r="H878" s="407"/>
      <c r="I878" s="85"/>
      <c r="J878" s="83">
        <f>IF(G878=$B$998,$A$998,IF(G878=$B$999,$A$999,IF(G878=$B$1000,$A$1000,IF(G878=$B$1001,$A$1001,IF(G878=$B$1002,$A$1002,"Not Calculated")))))</f>
        <v>0</v>
      </c>
      <c r="K878" s="87"/>
    </row>
    <row r="879" spans="2:11" x14ac:dyDescent="0.2">
      <c r="B879" s="81"/>
      <c r="C879" s="85" t="s">
        <v>134</v>
      </c>
      <c r="D879" s="85"/>
      <c r="E879" s="85"/>
      <c r="F879" s="85"/>
      <c r="G879" s="85"/>
      <c r="H879" s="85"/>
      <c r="I879" s="85"/>
      <c r="J879" s="240">
        <f>'Baseline PHP'!J180</f>
        <v>0</v>
      </c>
      <c r="K879" s="87"/>
    </row>
    <row r="880" spans="2:11" x14ac:dyDescent="0.2">
      <c r="B880" s="81"/>
      <c r="C880" s="85"/>
      <c r="D880" s="85"/>
      <c r="E880" s="85"/>
      <c r="F880" s="85"/>
      <c r="G880" s="85"/>
      <c r="H880" s="85"/>
      <c r="I880" s="85"/>
      <c r="J880" s="85"/>
      <c r="K880" s="87"/>
    </row>
    <row r="881" spans="2:11" ht="16" x14ac:dyDescent="0.2">
      <c r="B881" s="81"/>
      <c r="C881" s="211" t="s">
        <v>651</v>
      </c>
      <c r="D881" s="85"/>
      <c r="E881" s="85"/>
      <c r="F881" s="85"/>
      <c r="G881" s="85"/>
      <c r="H881" s="85"/>
      <c r="I881" s="85"/>
      <c r="J881" s="85"/>
      <c r="K881" s="87"/>
    </row>
    <row r="882" spans="2:11" x14ac:dyDescent="0.2">
      <c r="B882" s="81"/>
      <c r="C882" s="85" t="s">
        <v>380</v>
      </c>
      <c r="D882" s="85"/>
      <c r="E882" s="85"/>
      <c r="F882" s="85"/>
      <c r="G882" s="406" t="s">
        <v>235</v>
      </c>
      <c r="H882" s="407"/>
      <c r="I882" s="85"/>
      <c r="J882" s="83">
        <f>IF(G882=$B$998,$A$998,IF(G882=$B$999,$A$999,IF(G882=$B$1000,$A$1000,IF(G882=$B$1001,$A$1001,IF(G882=$B$1002,$A$1002,"Not Calculated")))))</f>
        <v>2</v>
      </c>
      <c r="K882" s="87"/>
    </row>
    <row r="883" spans="2:11" x14ac:dyDescent="0.2">
      <c r="B883" s="81"/>
      <c r="C883" s="85" t="s">
        <v>134</v>
      </c>
      <c r="D883" s="85"/>
      <c r="E883" s="85"/>
      <c r="F883" s="85"/>
      <c r="G883" s="85"/>
      <c r="H883" s="85"/>
      <c r="I883" s="85"/>
      <c r="J883" s="240">
        <f>'Baseline PHP'!J194</f>
        <v>0</v>
      </c>
      <c r="K883" s="87"/>
    </row>
    <row r="884" spans="2:11" x14ac:dyDescent="0.2">
      <c r="B884" s="81"/>
      <c r="C884" s="85"/>
      <c r="D884" s="85"/>
      <c r="E884" s="85"/>
      <c r="F884" s="85"/>
      <c r="G884" s="85"/>
      <c r="H884" s="85"/>
      <c r="I884" s="85"/>
      <c r="J884" s="85"/>
      <c r="K884" s="87"/>
    </row>
    <row r="885" spans="2:11" ht="16" x14ac:dyDescent="0.2">
      <c r="B885" s="81"/>
      <c r="C885" s="211" t="s">
        <v>652</v>
      </c>
      <c r="D885" s="85"/>
      <c r="E885" s="85"/>
      <c r="F885" s="85"/>
      <c r="G885" s="85"/>
      <c r="H885" s="85"/>
      <c r="I885" s="85"/>
      <c r="J885" s="85"/>
      <c r="K885" s="87"/>
    </row>
    <row r="886" spans="2:11" x14ac:dyDescent="0.2">
      <c r="B886" s="81"/>
      <c r="C886" s="85" t="s">
        <v>380</v>
      </c>
      <c r="D886" s="85"/>
      <c r="E886" s="85"/>
      <c r="F886" s="85"/>
      <c r="G886" s="406" t="s">
        <v>236</v>
      </c>
      <c r="H886" s="407"/>
      <c r="I886" s="85"/>
      <c r="J886" s="83">
        <f>IF(G886=$B$998,$A$998,IF(G886=$B$999,$A$999,IF(G886=$B$1000,$A$1000,IF(G886=$B$1001,$A$1001,IF(G886=$B$1002,$A$1002,"Not Calculated")))))</f>
        <v>0</v>
      </c>
      <c r="K886" s="87"/>
    </row>
    <row r="887" spans="2:11" x14ac:dyDescent="0.2">
      <c r="B887" s="81"/>
      <c r="C887" s="85" t="s">
        <v>134</v>
      </c>
      <c r="D887" s="85"/>
      <c r="E887" s="85"/>
      <c r="F887" s="85"/>
      <c r="G887" s="85"/>
      <c r="H887" s="85"/>
      <c r="I887" s="85"/>
      <c r="J887" s="240">
        <f>'Baseline PHP'!J208</f>
        <v>0</v>
      </c>
      <c r="K887" s="87"/>
    </row>
    <row r="888" spans="2:11" x14ac:dyDescent="0.2">
      <c r="B888" s="81"/>
      <c r="C888" s="85"/>
      <c r="D888" s="85"/>
      <c r="E888" s="85"/>
      <c r="F888" s="85"/>
      <c r="G888" s="85"/>
      <c r="H888" s="85"/>
      <c r="I888" s="85"/>
      <c r="J888" s="85"/>
      <c r="K888" s="87"/>
    </row>
    <row r="889" spans="2:11" ht="16" x14ac:dyDescent="0.2">
      <c r="B889" s="81"/>
      <c r="C889" s="211" t="s">
        <v>653</v>
      </c>
      <c r="D889" s="85"/>
      <c r="E889" s="85"/>
      <c r="F889" s="85"/>
      <c r="G889" s="85"/>
      <c r="H889" s="85"/>
      <c r="I889" s="85"/>
      <c r="J889" s="85"/>
      <c r="K889" s="87"/>
    </row>
    <row r="890" spans="2:11" x14ac:dyDescent="0.2">
      <c r="B890" s="81"/>
      <c r="C890" s="85" t="s">
        <v>380</v>
      </c>
      <c r="D890" s="85"/>
      <c r="E890" s="85"/>
      <c r="F890" s="85"/>
      <c r="G890" s="406" t="s">
        <v>235</v>
      </c>
      <c r="H890" s="407"/>
      <c r="I890" s="85"/>
      <c r="J890" s="83">
        <f>IF(G890=$B$998,$A$998,IF(G890=$B$999,$A$999,IF(G890=$B$1000,$A$1000,IF(G890=$B$1001,$A$1001,IF(G890=$B$1002,$A$1002,"Not Calculated")))))</f>
        <v>2</v>
      </c>
      <c r="K890" s="87"/>
    </row>
    <row r="891" spans="2:11" x14ac:dyDescent="0.2">
      <c r="B891" s="81"/>
      <c r="C891" s="85" t="s">
        <v>134</v>
      </c>
      <c r="D891" s="85"/>
      <c r="E891" s="85"/>
      <c r="F891" s="85"/>
      <c r="G891" s="85"/>
      <c r="H891" s="85"/>
      <c r="I891" s="85"/>
      <c r="J891" s="240">
        <f>'Baseline PHP'!J222</f>
        <v>0</v>
      </c>
      <c r="K891" s="87"/>
    </row>
    <row r="892" spans="2:11" x14ac:dyDescent="0.2">
      <c r="B892" s="81"/>
      <c r="C892" s="85"/>
      <c r="D892" s="85"/>
      <c r="E892" s="85"/>
      <c r="F892" s="85"/>
      <c r="G892" s="85"/>
      <c r="H892" s="85"/>
      <c r="I892" s="85"/>
      <c r="J892" s="85"/>
      <c r="K892" s="87"/>
    </row>
    <row r="893" spans="2:11" x14ac:dyDescent="0.2">
      <c r="B893" s="81"/>
      <c r="C893" s="85"/>
      <c r="D893" s="85"/>
      <c r="E893" s="85"/>
      <c r="F893" s="85"/>
      <c r="G893" s="85"/>
      <c r="H893" s="85"/>
      <c r="I893" s="85"/>
      <c r="J893" s="85"/>
      <c r="K893" s="87"/>
    </row>
    <row r="894" spans="2:11" ht="16" x14ac:dyDescent="0.2">
      <c r="B894" s="81"/>
      <c r="C894" s="212" t="s">
        <v>813</v>
      </c>
      <c r="D894" s="85"/>
      <c r="E894" s="85"/>
      <c r="F894" s="85"/>
      <c r="G894" s="85"/>
      <c r="H894" s="85"/>
      <c r="I894" s="85"/>
      <c r="J894" s="241">
        <f>IF(OR(J854="Not Calculated",J858="Not Calculated",J862="Not Calculated",J866="Not Calculated",J870="Not Calculated",J874="Not Calculated",J878="Not Calculated",J882="Not Calculated",J886="Not Calculated",J890="Not Calculated",J834="Not Calculated",J838="Not Calculated",J842="Not Calculated",J846="Not Calculated",J850="Not Calculated",J855="Not Calculated",J859="Not Calculated",J863="Not Calculated",J867="Not Calculated",J871="Not Calculated",J875="Not Calculated",J879="Not Calculated",J883="Not Calculated",J887="Not Calculated",J891="Not Calculated",J835="Not Calculated",J839="Not Calculated",J843="Not Calculated",J847="Not Calculated",J851="Not Calculated")=TRUE,"Not Calculated",((J834*J835)+(J838*J839)+(J842*J843)+(J846*J847)+(J850*J851)+(J854*J855)+(J858*J859)+(J862*J863)+(J866*J867)+(J870*J871)+(J874*J875)+(J878*J879)+(J882*J883)+(J886*J887)+(J890*J891))/(J834+J838+J842+J846+J850+J854+J858+J862+J866+J870+J874+J878+J882+J886+J890))</f>
        <v>0</v>
      </c>
      <c r="K894" s="87"/>
    </row>
    <row r="895" spans="2:11" ht="16" thickBot="1" x14ac:dyDescent="0.25">
      <c r="B895" s="213"/>
      <c r="C895" s="94"/>
      <c r="D895" s="94"/>
      <c r="E895" s="94"/>
      <c r="F895" s="94"/>
      <c r="G895" s="94"/>
      <c r="H895" s="94"/>
      <c r="I895" s="94"/>
      <c r="J895" s="94"/>
      <c r="K895" s="96"/>
    </row>
    <row r="896" spans="2:11" ht="16" thickBot="1" x14ac:dyDescent="0.25"/>
    <row r="897" spans="2:11" x14ac:dyDescent="0.2">
      <c r="B897" s="77"/>
      <c r="C897" s="78"/>
      <c r="D897" s="78"/>
      <c r="E897" s="78"/>
      <c r="F897" s="78"/>
      <c r="G897" s="78"/>
      <c r="H897" s="78"/>
      <c r="I897" s="78"/>
      <c r="J897" s="78"/>
      <c r="K897" s="80"/>
    </row>
    <row r="898" spans="2:11" ht="21" x14ac:dyDescent="0.25">
      <c r="B898" s="81"/>
      <c r="C898" s="85"/>
      <c r="D898" s="85"/>
      <c r="E898" s="85"/>
      <c r="F898" s="85"/>
      <c r="G898" s="210" t="s">
        <v>807</v>
      </c>
      <c r="H898" s="85"/>
      <c r="I898" s="85"/>
      <c r="J898" s="85"/>
      <c r="K898" s="87"/>
    </row>
    <row r="899" spans="2:11" x14ac:dyDescent="0.2">
      <c r="B899" s="81"/>
      <c r="C899" s="85"/>
      <c r="D899" s="85"/>
      <c r="E899" s="85"/>
      <c r="F899" s="85"/>
      <c r="G899" s="85"/>
      <c r="H899" s="85"/>
      <c r="I899" s="85"/>
      <c r="J899" s="85"/>
      <c r="K899" s="87"/>
    </row>
    <row r="900" spans="2:11" ht="15" customHeight="1" x14ac:dyDescent="0.2">
      <c r="B900" s="81"/>
      <c r="C900" s="424" t="s">
        <v>809</v>
      </c>
      <c r="D900" s="424"/>
      <c r="E900" s="424"/>
      <c r="F900" s="424"/>
      <c r="G900" s="424"/>
      <c r="H900" s="424"/>
      <c r="I900" s="424"/>
      <c r="J900" s="424"/>
      <c r="K900" s="87"/>
    </row>
    <row r="901" spans="2:11" x14ac:dyDescent="0.2">
      <c r="B901" s="81"/>
      <c r="C901" s="424"/>
      <c r="D901" s="424"/>
      <c r="E901" s="424"/>
      <c r="F901" s="424"/>
      <c r="G901" s="424"/>
      <c r="H901" s="424"/>
      <c r="I901" s="424"/>
      <c r="J901" s="424"/>
      <c r="K901" s="87"/>
    </row>
    <row r="902" spans="2:11" x14ac:dyDescent="0.2">
      <c r="B902" s="81"/>
      <c r="C902" s="85"/>
      <c r="D902" s="85"/>
      <c r="E902" s="85"/>
      <c r="F902" s="85"/>
      <c r="G902" s="85"/>
      <c r="H902" s="85"/>
      <c r="I902" s="85"/>
      <c r="J902" s="85"/>
      <c r="K902" s="87"/>
    </row>
    <row r="903" spans="2:11" ht="16" x14ac:dyDescent="0.2">
      <c r="B903" s="81"/>
      <c r="C903" s="211" t="s">
        <v>810</v>
      </c>
      <c r="D903" s="85"/>
      <c r="E903" s="85"/>
      <c r="F903" s="85"/>
      <c r="G903" s="85"/>
      <c r="H903" s="85"/>
      <c r="I903" s="85"/>
      <c r="J903" s="85"/>
      <c r="K903" s="87"/>
    </row>
    <row r="904" spans="2:11" x14ac:dyDescent="0.2">
      <c r="B904" s="81"/>
      <c r="C904" s="85" t="s">
        <v>380</v>
      </c>
      <c r="D904" s="85"/>
      <c r="E904" s="85"/>
      <c r="F904" s="85"/>
      <c r="G904" s="406" t="s">
        <v>234</v>
      </c>
      <c r="H904" s="407"/>
      <c r="I904" s="85"/>
      <c r="J904" s="83">
        <f>IF(G904=$B$998,$A$998,IF(G904=$B$999,$A$999,IF(G904=$B$1000,$A$1000,IF(G904=$B$1001,$A$1001,IF(G904=$B$1002,$A$1002,"Not Calculated")))))</f>
        <v>4</v>
      </c>
      <c r="K904" s="87"/>
    </row>
    <row r="905" spans="2:11" x14ac:dyDescent="0.2">
      <c r="B905" s="81"/>
      <c r="C905" s="85" t="s">
        <v>134</v>
      </c>
      <c r="D905" s="85"/>
      <c r="E905" s="85"/>
      <c r="F905" s="85"/>
      <c r="G905" s="85"/>
      <c r="H905" s="85"/>
      <c r="I905" s="85"/>
      <c r="J905" s="240">
        <f>'Baseline HP'!J22</f>
        <v>0</v>
      </c>
      <c r="K905" s="87"/>
    </row>
    <row r="906" spans="2:11" x14ac:dyDescent="0.2">
      <c r="B906" s="81"/>
      <c r="C906" s="85"/>
      <c r="D906" s="85"/>
      <c r="E906" s="85"/>
      <c r="F906" s="85"/>
      <c r="G906" s="85"/>
      <c r="H906" s="85"/>
      <c r="I906" s="85"/>
      <c r="J906" s="85"/>
      <c r="K906" s="87"/>
    </row>
    <row r="907" spans="2:11" ht="16" x14ac:dyDescent="0.2">
      <c r="B907" s="81"/>
      <c r="C907" s="211" t="s">
        <v>811</v>
      </c>
      <c r="D907" s="85"/>
      <c r="E907" s="85"/>
      <c r="F907" s="85"/>
      <c r="G907" s="85"/>
      <c r="H907" s="85"/>
      <c r="I907" s="85"/>
      <c r="J907" s="85"/>
      <c r="K907" s="87"/>
    </row>
    <row r="908" spans="2:11" x14ac:dyDescent="0.2">
      <c r="B908" s="81"/>
      <c r="C908" s="85" t="s">
        <v>380</v>
      </c>
      <c r="D908" s="85"/>
      <c r="E908" s="85"/>
      <c r="F908" s="85"/>
      <c r="G908" s="406" t="s">
        <v>234</v>
      </c>
      <c r="H908" s="407"/>
      <c r="I908" s="85"/>
      <c r="J908" s="83">
        <f>IF(G908=$B$998,$A$998,IF(G908=$B$999,$A$999,IF(G908=$B$1000,$A$1000,IF(G908=$B$1001,$A$1001,IF(G908=$B$1002,$A$1002,"Not Calculated")))))</f>
        <v>4</v>
      </c>
      <c r="K908" s="87"/>
    </row>
    <row r="909" spans="2:11" x14ac:dyDescent="0.2">
      <c r="B909" s="81"/>
      <c r="C909" s="85" t="s">
        <v>134</v>
      </c>
      <c r="D909" s="85"/>
      <c r="E909" s="85"/>
      <c r="F909" s="85"/>
      <c r="G909" s="85"/>
      <c r="H909" s="85"/>
      <c r="I909" s="85"/>
      <c r="J909" s="240">
        <f>'Baseline HP'!J32</f>
        <v>0</v>
      </c>
      <c r="K909" s="87"/>
    </row>
    <row r="910" spans="2:11" x14ac:dyDescent="0.2">
      <c r="B910" s="81"/>
      <c r="C910" s="85"/>
      <c r="D910" s="85"/>
      <c r="E910" s="85"/>
      <c r="F910" s="85"/>
      <c r="G910" s="85"/>
      <c r="H910" s="85"/>
      <c r="I910" s="85"/>
      <c r="J910" s="85"/>
      <c r="K910" s="87"/>
    </row>
    <row r="911" spans="2:11" ht="16" x14ac:dyDescent="0.2">
      <c r="B911" s="81"/>
      <c r="C911" s="211" t="s">
        <v>645</v>
      </c>
      <c r="D911" s="85"/>
      <c r="E911" s="85"/>
      <c r="F911" s="85"/>
      <c r="G911" s="85"/>
      <c r="H911" s="85"/>
      <c r="I911" s="85"/>
      <c r="J911" s="85"/>
      <c r="K911" s="87"/>
    </row>
    <row r="912" spans="2:11" x14ac:dyDescent="0.2">
      <c r="B912" s="81"/>
      <c r="C912" s="85" t="s">
        <v>380</v>
      </c>
      <c r="D912" s="85"/>
      <c r="E912" s="85"/>
      <c r="F912" s="85"/>
      <c r="G912" s="406" t="s">
        <v>234</v>
      </c>
      <c r="H912" s="407"/>
      <c r="I912" s="85"/>
      <c r="J912" s="83">
        <f>IF(G912=$B$998,$A$998,IF(G912=$B$999,$A$999,IF(G912=$B$1000,$A$1000,IF(G912=$B$1001,$A$1001,IF(G912=$B$1002,$A$1002,"Not Calculated")))))</f>
        <v>4</v>
      </c>
      <c r="K912" s="87"/>
    </row>
    <row r="913" spans="2:11" x14ac:dyDescent="0.2">
      <c r="B913" s="81"/>
      <c r="C913" s="85" t="s">
        <v>134</v>
      </c>
      <c r="D913" s="85"/>
      <c r="E913" s="85"/>
      <c r="F913" s="85"/>
      <c r="G913" s="85"/>
      <c r="H913" s="85"/>
      <c r="I913" s="85"/>
      <c r="J913" s="240">
        <f>'Baseline HP'!J46</f>
        <v>0</v>
      </c>
      <c r="K913" s="87"/>
    </row>
    <row r="914" spans="2:11" x14ac:dyDescent="0.2">
      <c r="B914" s="81"/>
      <c r="C914" s="85"/>
      <c r="D914" s="85"/>
      <c r="E914" s="85"/>
      <c r="F914" s="85"/>
      <c r="G914" s="85"/>
      <c r="H914" s="85"/>
      <c r="I914" s="85"/>
      <c r="J914" s="85"/>
      <c r="K914" s="87"/>
    </row>
    <row r="915" spans="2:11" ht="16" x14ac:dyDescent="0.2">
      <c r="B915" s="81"/>
      <c r="C915" s="211" t="s">
        <v>648</v>
      </c>
      <c r="D915" s="85"/>
      <c r="E915" s="85"/>
      <c r="F915" s="85"/>
      <c r="G915" s="85"/>
      <c r="H915" s="85"/>
      <c r="I915" s="85"/>
      <c r="J915" s="85"/>
      <c r="K915" s="87"/>
    </row>
    <row r="916" spans="2:11" ht="15" customHeight="1" x14ac:dyDescent="0.2">
      <c r="B916" s="81"/>
      <c r="C916" s="85" t="s">
        <v>380</v>
      </c>
      <c r="D916" s="85"/>
      <c r="E916" s="85"/>
      <c r="F916" s="85"/>
      <c r="G916" s="406" t="s">
        <v>236</v>
      </c>
      <c r="H916" s="407"/>
      <c r="I916" s="85"/>
      <c r="J916" s="83">
        <f>IF(G916=$B$998,$A$998,IF(G916=$B$999,$A$999,IF(G916=$B$1000,$A$1000,IF(G916=$B$1001,$A$1001,IF(G916=$B$1002,$A$1002,"Not Calculated")))))</f>
        <v>0</v>
      </c>
      <c r="K916" s="87"/>
    </row>
    <row r="917" spans="2:11" x14ac:dyDescent="0.2">
      <c r="B917" s="81"/>
      <c r="C917" s="85" t="s">
        <v>134</v>
      </c>
      <c r="D917" s="85"/>
      <c r="E917" s="85"/>
      <c r="F917" s="85"/>
      <c r="G917" s="85"/>
      <c r="H917" s="85"/>
      <c r="I917" s="85"/>
      <c r="J917" s="240">
        <f>'Baseline HP'!J58</f>
        <v>0</v>
      </c>
      <c r="K917" s="87"/>
    </row>
    <row r="918" spans="2:11" x14ac:dyDescent="0.2">
      <c r="B918" s="81"/>
      <c r="C918" s="85"/>
      <c r="D918" s="85"/>
      <c r="E918" s="85"/>
      <c r="F918" s="85"/>
      <c r="G918" s="85"/>
      <c r="H918" s="85"/>
      <c r="I918" s="85"/>
      <c r="J918" s="85"/>
      <c r="K918" s="87"/>
    </row>
    <row r="919" spans="2:11" ht="16" x14ac:dyDescent="0.2">
      <c r="B919" s="81"/>
      <c r="C919" s="211" t="s">
        <v>647</v>
      </c>
      <c r="D919" s="85"/>
      <c r="E919" s="85"/>
      <c r="F919" s="85"/>
      <c r="G919" s="85"/>
      <c r="H919" s="85"/>
      <c r="I919" s="85"/>
      <c r="J919" s="85"/>
      <c r="K919" s="87"/>
    </row>
    <row r="920" spans="2:11" x14ac:dyDescent="0.2">
      <c r="B920" s="81"/>
      <c r="C920" s="85" t="s">
        <v>380</v>
      </c>
      <c r="D920" s="85"/>
      <c r="E920" s="85"/>
      <c r="F920" s="85"/>
      <c r="G920" s="406" t="s">
        <v>234</v>
      </c>
      <c r="H920" s="407"/>
      <c r="I920" s="85"/>
      <c r="J920" s="83">
        <f>IF(G920=$B$998,$A$998,IF(G920=$B$999,$A$999,IF(G920=$B$1000,$A$1000,IF(G920=$B$1001,$A$1001,IF(G920=$B$1002,$A$1002,"Not Calculated")))))</f>
        <v>4</v>
      </c>
      <c r="K920" s="87"/>
    </row>
    <row r="921" spans="2:11" x14ac:dyDescent="0.2">
      <c r="B921" s="81"/>
      <c r="C921" s="85" t="s">
        <v>134</v>
      </c>
      <c r="D921" s="85"/>
      <c r="E921" s="85"/>
      <c r="F921" s="85"/>
      <c r="G921" s="85"/>
      <c r="H921" s="85"/>
      <c r="I921" s="85"/>
      <c r="J921" s="240">
        <f>'Baseline HP'!J68</f>
        <v>0</v>
      </c>
      <c r="K921" s="87"/>
    </row>
    <row r="922" spans="2:11" x14ac:dyDescent="0.2">
      <c r="B922" s="81"/>
      <c r="C922" s="85"/>
      <c r="D922" s="85"/>
      <c r="E922" s="85"/>
      <c r="F922" s="85"/>
      <c r="G922" s="85"/>
      <c r="H922" s="85"/>
      <c r="I922" s="85"/>
      <c r="J922" s="85"/>
      <c r="K922" s="87"/>
    </row>
    <row r="923" spans="2:11" ht="16" x14ac:dyDescent="0.2">
      <c r="B923" s="81"/>
      <c r="C923" s="211" t="s">
        <v>121</v>
      </c>
      <c r="D923" s="85"/>
      <c r="E923" s="85"/>
      <c r="F923" s="85"/>
      <c r="G923" s="85"/>
      <c r="H923" s="85"/>
      <c r="I923" s="85"/>
      <c r="J923" s="85"/>
      <c r="K923" s="87"/>
    </row>
    <row r="924" spans="2:11" x14ac:dyDescent="0.2">
      <c r="B924" s="81"/>
      <c r="C924" s="85" t="s">
        <v>380</v>
      </c>
      <c r="D924" s="85"/>
      <c r="E924" s="85"/>
      <c r="F924" s="85"/>
      <c r="G924" s="406" t="s">
        <v>236</v>
      </c>
      <c r="H924" s="407"/>
      <c r="I924" s="85"/>
      <c r="J924" s="83">
        <f>IF(G924=$B$998,$A$998,IF(G924=$B$999,$A$999,IF(G924=$B$1000,$A$1000,IF(G924=$B$1001,$A$1001,IF(G924=$B$1002,$A$1002,"Not Calculated")))))</f>
        <v>0</v>
      </c>
      <c r="K924" s="87"/>
    </row>
    <row r="925" spans="2:11" x14ac:dyDescent="0.2">
      <c r="B925" s="81"/>
      <c r="C925" s="85" t="s">
        <v>134</v>
      </c>
      <c r="D925" s="85"/>
      <c r="E925" s="85"/>
      <c r="F925" s="85"/>
      <c r="G925" s="85"/>
      <c r="H925" s="85"/>
      <c r="I925" s="85"/>
      <c r="J925" s="240">
        <f>'Baseline HP'!J84</f>
        <v>0</v>
      </c>
      <c r="K925" s="87"/>
    </row>
    <row r="926" spans="2:11" x14ac:dyDescent="0.2">
      <c r="B926" s="81"/>
      <c r="C926" s="85"/>
      <c r="D926" s="85"/>
      <c r="E926" s="85"/>
      <c r="F926" s="85"/>
      <c r="G926" s="85"/>
      <c r="H926" s="85"/>
      <c r="I926" s="85"/>
      <c r="J926" s="85"/>
      <c r="K926" s="87"/>
    </row>
    <row r="927" spans="2:11" ht="16" x14ac:dyDescent="0.2">
      <c r="B927" s="81"/>
      <c r="C927" s="211" t="s">
        <v>652</v>
      </c>
      <c r="D927" s="85"/>
      <c r="E927" s="85"/>
      <c r="F927" s="85"/>
      <c r="G927" s="85"/>
      <c r="H927" s="85"/>
      <c r="I927" s="85"/>
      <c r="J927" s="85"/>
      <c r="K927" s="87"/>
    </row>
    <row r="928" spans="2:11" x14ac:dyDescent="0.2">
      <c r="B928" s="81"/>
      <c r="C928" s="85" t="s">
        <v>380</v>
      </c>
      <c r="D928" s="85"/>
      <c r="E928" s="85"/>
      <c r="F928" s="85"/>
      <c r="G928" s="406" t="s">
        <v>236</v>
      </c>
      <c r="H928" s="407"/>
      <c r="I928" s="85"/>
      <c r="J928" s="83">
        <f>IF(G928=$B$998,$A$998,IF(G928=$B$999,$A$999,IF(G928=$B$1000,$A$1000,IF(G928=$B$1001,$A$1001,IF(G928=$B$1002,$A$1002,"Not Calculated")))))</f>
        <v>0</v>
      </c>
      <c r="K928" s="87"/>
    </row>
    <row r="929" spans="2:11" x14ac:dyDescent="0.2">
      <c r="B929" s="81"/>
      <c r="C929" s="85" t="s">
        <v>134</v>
      </c>
      <c r="D929" s="85"/>
      <c r="E929" s="85"/>
      <c r="F929" s="85"/>
      <c r="G929" s="85"/>
      <c r="H929" s="85"/>
      <c r="I929" s="85"/>
      <c r="J929" s="240">
        <f>'Baseline HP'!J94</f>
        <v>0</v>
      </c>
      <c r="K929" s="87"/>
    </row>
    <row r="930" spans="2:11" x14ac:dyDescent="0.2">
      <c r="B930" s="81"/>
      <c r="C930" s="85"/>
      <c r="D930" s="85"/>
      <c r="E930" s="85"/>
      <c r="F930" s="85"/>
      <c r="G930" s="85"/>
      <c r="H930" s="85"/>
      <c r="I930" s="85"/>
      <c r="J930" s="85"/>
      <c r="K930" s="87"/>
    </row>
    <row r="931" spans="2:11" ht="16" x14ac:dyDescent="0.2">
      <c r="B931" s="81"/>
      <c r="C931" s="211" t="s">
        <v>653</v>
      </c>
      <c r="D931" s="85"/>
      <c r="E931" s="85"/>
      <c r="F931" s="85"/>
      <c r="G931" s="85"/>
      <c r="H931" s="85"/>
      <c r="I931" s="85"/>
      <c r="J931" s="85"/>
      <c r="K931" s="87"/>
    </row>
    <row r="932" spans="2:11" x14ac:dyDescent="0.2">
      <c r="B932" s="81"/>
      <c r="C932" s="85" t="s">
        <v>380</v>
      </c>
      <c r="D932" s="85"/>
      <c r="E932" s="85"/>
      <c r="F932" s="85"/>
      <c r="G932" s="406" t="s">
        <v>235</v>
      </c>
      <c r="H932" s="407"/>
      <c r="I932" s="85"/>
      <c r="J932" s="83">
        <f>IF(G932=$B$998,$A$998,IF(G932=$B$999,$A$999,IF(G932=$B$1000,$A$1000,IF(G932=$B$1001,$A$1001,IF(G932=$B$1002,$A$1002,"Not Calculated")))))</f>
        <v>2</v>
      </c>
      <c r="K932" s="87"/>
    </row>
    <row r="933" spans="2:11" x14ac:dyDescent="0.2">
      <c r="B933" s="81"/>
      <c r="C933" s="85" t="s">
        <v>134</v>
      </c>
      <c r="D933" s="85"/>
      <c r="E933" s="85"/>
      <c r="F933" s="85"/>
      <c r="G933" s="85"/>
      <c r="H933" s="85"/>
      <c r="I933" s="85"/>
      <c r="J933" s="240">
        <f>'Baseline HP'!J108</f>
        <v>0</v>
      </c>
      <c r="K933" s="87"/>
    </row>
    <row r="934" spans="2:11" x14ac:dyDescent="0.2">
      <c r="B934" s="81"/>
      <c r="C934" s="85"/>
      <c r="D934" s="85"/>
      <c r="E934" s="85"/>
      <c r="F934" s="85"/>
      <c r="G934" s="85"/>
      <c r="H934" s="85"/>
      <c r="I934" s="85"/>
      <c r="J934" s="85"/>
      <c r="K934" s="87"/>
    </row>
    <row r="935" spans="2:11" x14ac:dyDescent="0.2">
      <c r="B935" s="81"/>
      <c r="C935" s="85"/>
      <c r="D935" s="85"/>
      <c r="E935" s="85"/>
      <c r="F935" s="85"/>
      <c r="G935" s="85"/>
      <c r="H935" s="85"/>
      <c r="I935" s="85"/>
      <c r="J935" s="85"/>
      <c r="K935" s="87"/>
    </row>
    <row r="936" spans="2:11" ht="16" x14ac:dyDescent="0.2">
      <c r="B936" s="81"/>
      <c r="C936" s="212" t="s">
        <v>812</v>
      </c>
      <c r="D936" s="85"/>
      <c r="E936" s="85"/>
      <c r="F936" s="85"/>
      <c r="G936" s="85"/>
      <c r="H936" s="85"/>
      <c r="I936" s="85"/>
      <c r="J936" s="241">
        <f>IF(OR(J920="Not Calculated",J924="Not Calculated",J928="Not Calculated",J932="Not Calculated",J904="Not Calculated",J908="Not Calculated",J912="Not Calculated",J916="Not Calculated",J921="Not Calculated",J925="Not Calculated",J929="Not Calculated",J933="Not Calculated",J905="Not Calculated",J909="Not Calculated",J913="Not Calculated",J917="Not Calculated")=TRUE,"Not Calculated",((J904*J905)+(J908*J909)+(J912*J913)+(J916*J917)+(J920*J921)+(J924*J925)+(J928*J929)+(J932*J933))/(J904+J908+J912+J916+J920+J924+J928+J932))</f>
        <v>0</v>
      </c>
      <c r="K936" s="87"/>
    </row>
    <row r="937" spans="2:11" ht="16" thickBot="1" x14ac:dyDescent="0.25">
      <c r="B937" s="213"/>
      <c r="C937" s="94"/>
      <c r="D937" s="94"/>
      <c r="E937" s="94"/>
      <c r="F937" s="94"/>
      <c r="G937" s="94"/>
      <c r="H937" s="94"/>
      <c r="I937" s="94"/>
      <c r="J937" s="94"/>
      <c r="K937" s="96"/>
    </row>
    <row r="938" spans="2:11" ht="16" thickBot="1" x14ac:dyDescent="0.25"/>
    <row r="939" spans="2:11" x14ac:dyDescent="0.2">
      <c r="B939" s="77"/>
      <c r="C939" s="78"/>
      <c r="D939" s="78"/>
      <c r="E939" s="78"/>
      <c r="F939" s="78"/>
      <c r="G939" s="78"/>
      <c r="H939" s="78"/>
      <c r="I939" s="78"/>
      <c r="J939" s="78"/>
      <c r="K939" s="80"/>
    </row>
    <row r="940" spans="2:11" ht="21" x14ac:dyDescent="0.25">
      <c r="B940" s="81"/>
      <c r="C940" s="85"/>
      <c r="D940" s="85"/>
      <c r="E940" s="85"/>
      <c r="F940" s="85"/>
      <c r="G940" s="210" t="s">
        <v>815</v>
      </c>
      <c r="H940" s="85"/>
      <c r="I940" s="85"/>
      <c r="J940" s="85"/>
      <c r="K940" s="87"/>
    </row>
    <row r="941" spans="2:11" ht="21" x14ac:dyDescent="0.25">
      <c r="B941" s="81"/>
      <c r="C941" s="85"/>
      <c r="D941" s="85"/>
      <c r="E941" s="85"/>
      <c r="F941" s="85"/>
      <c r="G941" s="210"/>
      <c r="H941" s="85"/>
      <c r="I941" s="85"/>
      <c r="J941" s="85"/>
      <c r="K941" s="87"/>
    </row>
    <row r="942" spans="2:11" ht="16" x14ac:dyDescent="0.2">
      <c r="B942" s="81"/>
      <c r="C942" s="212" t="s">
        <v>995</v>
      </c>
      <c r="D942" s="85"/>
      <c r="E942" s="85"/>
      <c r="F942" s="85"/>
      <c r="G942" s="85"/>
      <c r="H942" s="85"/>
      <c r="I942" s="85"/>
      <c r="J942" s="241">
        <f>IF(OR(J936="Not Calculated",J894="Not Calculated")=TRUE,"Not Calculated",AVERAGE(J936,J894))</f>
        <v>0</v>
      </c>
      <c r="K942" s="87"/>
    </row>
    <row r="943" spans="2:11" ht="16" x14ac:dyDescent="0.2">
      <c r="B943" s="81"/>
      <c r="C943" s="212"/>
      <c r="D943" s="85" t="s">
        <v>814</v>
      </c>
      <c r="E943" s="85"/>
      <c r="F943" s="85"/>
      <c r="G943" s="85"/>
      <c r="H943" s="85"/>
      <c r="I943" s="85"/>
      <c r="J943" s="241"/>
      <c r="K943" s="87"/>
    </row>
    <row r="944" spans="2:11" ht="17" thickBot="1" x14ac:dyDescent="0.25">
      <c r="B944" s="213"/>
      <c r="C944" s="227"/>
      <c r="D944" s="94"/>
      <c r="E944" s="94"/>
      <c r="F944" s="94"/>
      <c r="G944" s="94"/>
      <c r="H944" s="94"/>
      <c r="I944" s="94"/>
      <c r="J944" s="228"/>
      <c r="K944" s="96"/>
    </row>
    <row r="945" spans="2:11" ht="16" thickBot="1" x14ac:dyDescent="0.25"/>
    <row r="946" spans="2:11" x14ac:dyDescent="0.2">
      <c r="B946" s="214"/>
      <c r="C946" s="215"/>
      <c r="D946" s="215"/>
      <c r="E946" s="215"/>
      <c r="F946" s="215"/>
      <c r="G946" s="215"/>
      <c r="H946" s="215"/>
      <c r="I946" s="215"/>
      <c r="J946" s="215"/>
      <c r="K946" s="216"/>
    </row>
    <row r="947" spans="2:11" ht="21" x14ac:dyDescent="0.25">
      <c r="B947" s="217"/>
      <c r="C947" s="218"/>
      <c r="D947" s="218"/>
      <c r="E947" s="218"/>
      <c r="F947" s="218"/>
      <c r="G947" s="219" t="s">
        <v>239</v>
      </c>
      <c r="H947" s="218"/>
      <c r="I947" s="218"/>
      <c r="J947" s="218"/>
      <c r="K947" s="220"/>
    </row>
    <row r="948" spans="2:11" x14ac:dyDescent="0.2">
      <c r="B948" s="217"/>
      <c r="C948" s="218"/>
      <c r="D948" s="218"/>
      <c r="E948" s="218"/>
      <c r="F948" s="218"/>
      <c r="G948" s="218"/>
      <c r="H948" s="218"/>
      <c r="I948" s="218"/>
      <c r="J948" s="218"/>
      <c r="K948" s="220"/>
    </row>
    <row r="949" spans="2:11" ht="16" x14ac:dyDescent="0.2">
      <c r="B949" s="217"/>
      <c r="C949" s="221" t="s">
        <v>393</v>
      </c>
      <c r="D949" s="218"/>
      <c r="E949" s="218"/>
      <c r="F949" s="218"/>
      <c r="G949" s="218"/>
      <c r="H949" s="218"/>
      <c r="I949" s="218"/>
      <c r="J949" s="242" t="str">
        <f>IF(OR(J817="Not Calculated",J942="Not Calculated")=TRUE,"Not Calculated",J817/J942)</f>
        <v>Not Calculated</v>
      </c>
      <c r="K949" s="220"/>
    </row>
    <row r="950" spans="2:11" x14ac:dyDescent="0.2">
      <c r="B950" s="217"/>
      <c r="C950" s="218"/>
      <c r="D950" s="218" t="s">
        <v>816</v>
      </c>
      <c r="E950" s="218"/>
      <c r="F950" s="218"/>
      <c r="G950" s="218"/>
      <c r="H950" s="218"/>
      <c r="I950" s="218"/>
      <c r="J950" s="218"/>
      <c r="K950" s="220"/>
    </row>
    <row r="951" spans="2:11" x14ac:dyDescent="0.2">
      <c r="B951" s="217"/>
      <c r="C951" s="218"/>
      <c r="D951" s="218"/>
      <c r="E951" s="218"/>
      <c r="F951" s="218"/>
      <c r="G951" s="218"/>
      <c r="H951" s="218"/>
      <c r="I951" s="218"/>
      <c r="J951" s="218"/>
      <c r="K951" s="220"/>
    </row>
    <row r="952" spans="2:11" ht="16" x14ac:dyDescent="0.2">
      <c r="B952" s="217"/>
      <c r="C952" s="221" t="s">
        <v>996</v>
      </c>
      <c r="D952" s="218"/>
      <c r="E952" s="218"/>
      <c r="F952" s="218"/>
      <c r="G952" s="218"/>
      <c r="H952" s="218"/>
      <c r="I952" s="218"/>
      <c r="J952" s="242" t="str">
        <f>IF(OR(J820="Not Calculated",J894="Not Calculated")=TRUE,"Not Calculated",J820/J894)</f>
        <v>Not Calculated</v>
      </c>
      <c r="K952" s="220"/>
    </row>
    <row r="953" spans="2:11" x14ac:dyDescent="0.2">
      <c r="B953" s="217"/>
      <c r="C953" s="218"/>
      <c r="D953" s="218" t="s">
        <v>817</v>
      </c>
      <c r="E953" s="218"/>
      <c r="F953" s="218"/>
      <c r="G953" s="218"/>
      <c r="H953" s="218"/>
      <c r="I953" s="218"/>
      <c r="J953" s="218"/>
      <c r="K953" s="220"/>
    </row>
    <row r="954" spans="2:11" x14ac:dyDescent="0.2">
      <c r="B954" s="217"/>
      <c r="C954" s="218"/>
      <c r="D954" s="218"/>
      <c r="E954" s="218"/>
      <c r="F954" s="218"/>
      <c r="G954" s="218"/>
      <c r="H954" s="218"/>
      <c r="I954" s="218"/>
      <c r="J954" s="218"/>
      <c r="K954" s="220"/>
    </row>
    <row r="955" spans="2:11" ht="16" x14ac:dyDescent="0.2">
      <c r="B955" s="217"/>
      <c r="C955" s="221" t="s">
        <v>997</v>
      </c>
      <c r="D955" s="218"/>
      <c r="E955" s="218"/>
      <c r="F955" s="218"/>
      <c r="G955" s="218"/>
      <c r="H955" s="218"/>
      <c r="I955" s="218"/>
      <c r="J955" s="242" t="str">
        <f>IF(OR(J936="Not Calculated",J823="Not Calculated")=TRUE,"Not Calculated",J823/J936)</f>
        <v>Not Calculated</v>
      </c>
      <c r="K955" s="220"/>
    </row>
    <row r="956" spans="2:11" x14ac:dyDescent="0.2">
      <c r="B956" s="217"/>
      <c r="C956" s="218"/>
      <c r="D956" s="218" t="s">
        <v>818</v>
      </c>
      <c r="E956" s="218"/>
      <c r="F956" s="218"/>
      <c r="G956" s="218"/>
      <c r="H956" s="218"/>
      <c r="I956" s="218"/>
      <c r="J956" s="218"/>
      <c r="K956" s="220"/>
    </row>
    <row r="957" spans="2:11" ht="16" thickBot="1" x14ac:dyDescent="0.25">
      <c r="B957" s="222"/>
      <c r="C957" s="223"/>
      <c r="D957" s="223"/>
      <c r="E957" s="223"/>
      <c r="F957" s="223"/>
      <c r="G957" s="223"/>
      <c r="H957" s="223"/>
      <c r="I957" s="223"/>
      <c r="J957" s="223"/>
      <c r="K957" s="224"/>
    </row>
    <row r="959" spans="2:11" ht="15" customHeight="1" x14ac:dyDescent="0.2">
      <c r="F959" s="405"/>
      <c r="G959" s="405"/>
      <c r="H959" s="405"/>
    </row>
    <row r="960" spans="2:11" x14ac:dyDescent="0.2">
      <c r="F960" s="405"/>
      <c r="G960" s="405"/>
      <c r="H960" s="405"/>
    </row>
    <row r="965" spans="1:3" ht="15" hidden="1" customHeight="1" x14ac:dyDescent="0.2">
      <c r="A965" s="12" t="s">
        <v>228</v>
      </c>
    </row>
    <row r="966" spans="1:3" ht="15" hidden="1" customHeight="1" x14ac:dyDescent="0.2">
      <c r="A966" s="12">
        <v>0</v>
      </c>
      <c r="B966" s="12" t="s">
        <v>250</v>
      </c>
      <c r="C966" s="12" t="s">
        <v>240</v>
      </c>
    </row>
    <row r="967" spans="1:3" ht="15" hidden="1" customHeight="1" x14ac:dyDescent="0.2">
      <c r="A967" s="12">
        <v>1</v>
      </c>
      <c r="B967" s="12" t="s">
        <v>251</v>
      </c>
      <c r="C967" s="12" t="s">
        <v>241</v>
      </c>
    </row>
    <row r="968" spans="1:3" ht="15" hidden="1" customHeight="1" x14ac:dyDescent="0.2">
      <c r="A968" s="12">
        <v>2</v>
      </c>
      <c r="B968" s="12" t="s">
        <v>252</v>
      </c>
      <c r="C968" s="12" t="s">
        <v>242</v>
      </c>
    </row>
    <row r="969" spans="1:3" ht="15" hidden="1" customHeight="1" x14ac:dyDescent="0.2">
      <c r="A969" s="12">
        <v>3</v>
      </c>
      <c r="B969" s="12" t="s">
        <v>253</v>
      </c>
      <c r="C969" s="12" t="s">
        <v>227</v>
      </c>
    </row>
    <row r="970" spans="1:3" ht="15" hidden="1" customHeight="1" x14ac:dyDescent="0.2">
      <c r="A970" s="12">
        <v>4</v>
      </c>
      <c r="B970" s="12" t="s">
        <v>254</v>
      </c>
      <c r="C970" s="12" t="s">
        <v>243</v>
      </c>
    </row>
    <row r="971" spans="1:3" ht="15" hidden="1" customHeight="1" x14ac:dyDescent="0.2"/>
    <row r="972" spans="1:3" ht="15" hidden="1" customHeight="1" x14ac:dyDescent="0.2">
      <c r="A972" s="12" t="s">
        <v>259</v>
      </c>
    </row>
    <row r="973" spans="1:3" ht="15" hidden="1" customHeight="1" x14ac:dyDescent="0.2">
      <c r="A973" s="12">
        <v>0</v>
      </c>
      <c r="B973" s="225" t="s">
        <v>870</v>
      </c>
    </row>
    <row r="974" spans="1:3" ht="15" hidden="1" customHeight="1" x14ac:dyDescent="0.2">
      <c r="A974" s="12">
        <v>1</v>
      </c>
      <c r="B974" s="12" t="s">
        <v>880</v>
      </c>
    </row>
    <row r="975" spans="1:3" ht="15" hidden="1" customHeight="1" x14ac:dyDescent="0.2">
      <c r="A975" s="12">
        <v>2</v>
      </c>
      <c r="B975" s="12" t="s">
        <v>872</v>
      </c>
    </row>
    <row r="976" spans="1:3" ht="15" hidden="1" customHeight="1" x14ac:dyDescent="0.2">
      <c r="A976" s="12">
        <v>3</v>
      </c>
      <c r="B976" s="12" t="s">
        <v>873</v>
      </c>
    </row>
    <row r="977" spans="1:2" ht="15" hidden="1" customHeight="1" x14ac:dyDescent="0.2">
      <c r="A977" s="12">
        <v>4</v>
      </c>
      <c r="B977" s="12" t="s">
        <v>874</v>
      </c>
    </row>
    <row r="978" spans="1:2" ht="15" hidden="1" customHeight="1" x14ac:dyDescent="0.2"/>
    <row r="979" spans="1:2" ht="15" hidden="1" customHeight="1" x14ac:dyDescent="0.2">
      <c r="A979" s="12" t="s">
        <v>294</v>
      </c>
    </row>
    <row r="980" spans="1:2" ht="15" hidden="1" customHeight="1" x14ac:dyDescent="0.2">
      <c r="A980" s="12">
        <v>0</v>
      </c>
      <c r="B980" s="225" t="s">
        <v>870</v>
      </c>
    </row>
    <row r="981" spans="1:2" ht="15" hidden="1" customHeight="1" x14ac:dyDescent="0.2">
      <c r="A981" s="12">
        <v>1</v>
      </c>
      <c r="B981" s="12" t="s">
        <v>875</v>
      </c>
    </row>
    <row r="982" spans="1:2" ht="15" hidden="1" customHeight="1" x14ac:dyDescent="0.2">
      <c r="A982" s="12">
        <v>2</v>
      </c>
      <c r="B982" s="12" t="s">
        <v>876</v>
      </c>
    </row>
    <row r="983" spans="1:2" ht="15" hidden="1" customHeight="1" x14ac:dyDescent="0.2">
      <c r="A983" s="12">
        <v>3</v>
      </c>
      <c r="B983" s="12" t="s">
        <v>877</v>
      </c>
    </row>
    <row r="984" spans="1:2" ht="15" hidden="1" customHeight="1" x14ac:dyDescent="0.2">
      <c r="A984" s="12">
        <v>4</v>
      </c>
      <c r="B984" s="12" t="s">
        <v>878</v>
      </c>
    </row>
    <row r="985" spans="1:2" ht="15" hidden="1" customHeight="1" x14ac:dyDescent="0.2"/>
    <row r="986" spans="1:2" ht="15" hidden="1" customHeight="1" x14ac:dyDescent="0.2">
      <c r="A986" s="12" t="s">
        <v>244</v>
      </c>
    </row>
    <row r="987" spans="1:2" ht="15" hidden="1" customHeight="1" x14ac:dyDescent="0.2">
      <c r="A987" s="12">
        <v>0</v>
      </c>
      <c r="B987" s="12" t="s">
        <v>245</v>
      </c>
    </row>
    <row r="988" spans="1:2" ht="15" hidden="1" customHeight="1" x14ac:dyDescent="0.2">
      <c r="A988" s="12">
        <v>1</v>
      </c>
      <c r="B988" s="12" t="s">
        <v>246</v>
      </c>
    </row>
    <row r="989" spans="1:2" ht="15" hidden="1" customHeight="1" x14ac:dyDescent="0.2">
      <c r="A989" s="12">
        <v>2</v>
      </c>
      <c r="B989" s="12" t="s">
        <v>247</v>
      </c>
    </row>
    <row r="990" spans="1:2" ht="15" hidden="1" customHeight="1" x14ac:dyDescent="0.2">
      <c r="A990" s="12">
        <v>3</v>
      </c>
      <c r="B990" s="12" t="s">
        <v>229</v>
      </c>
    </row>
    <row r="991" spans="1:2" ht="15" hidden="1" customHeight="1" x14ac:dyDescent="0.2">
      <c r="A991" s="12">
        <v>4</v>
      </c>
      <c r="B991" s="12" t="s">
        <v>248</v>
      </c>
    </row>
    <row r="992" spans="1:2" ht="15" hidden="1" customHeight="1" x14ac:dyDescent="0.2"/>
    <row r="993" spans="1:11" ht="15" hidden="1" customHeight="1" x14ac:dyDescent="0.2">
      <c r="A993" s="12" t="s">
        <v>381</v>
      </c>
    </row>
    <row r="994" spans="1:11" ht="15" hidden="1" customHeight="1" x14ac:dyDescent="0.2">
      <c r="A994" s="12">
        <v>0</v>
      </c>
      <c r="B994" s="12" t="s">
        <v>202</v>
      </c>
    </row>
    <row r="995" spans="1:11" ht="15" hidden="1" customHeight="1" x14ac:dyDescent="0.2">
      <c r="A995" s="12">
        <v>1</v>
      </c>
      <c r="B995" s="12" t="s">
        <v>190</v>
      </c>
    </row>
    <row r="996" spans="1:11" ht="15" hidden="1" customHeight="1" x14ac:dyDescent="0.2"/>
    <row r="997" spans="1:11" ht="15" hidden="1" customHeight="1" x14ac:dyDescent="0.2">
      <c r="A997" s="12" t="s">
        <v>249</v>
      </c>
    </row>
    <row r="998" spans="1:11" ht="15" hidden="1" customHeight="1" x14ac:dyDescent="0.2">
      <c r="A998" s="12">
        <v>0</v>
      </c>
      <c r="B998" s="12" t="s">
        <v>236</v>
      </c>
    </row>
    <row r="999" spans="1:11" ht="15" hidden="1" customHeight="1" x14ac:dyDescent="0.2">
      <c r="A999" s="12">
        <v>1</v>
      </c>
      <c r="B999" s="12" t="s">
        <v>237</v>
      </c>
    </row>
    <row r="1000" spans="1:11" ht="15" hidden="1" customHeight="1" x14ac:dyDescent="0.2">
      <c r="A1000" s="12">
        <v>2</v>
      </c>
      <c r="B1000" s="12" t="s">
        <v>235</v>
      </c>
    </row>
    <row r="1001" spans="1:11" ht="15" hidden="1" customHeight="1" x14ac:dyDescent="0.2">
      <c r="A1001" s="12">
        <v>3</v>
      </c>
      <c r="B1001" s="12" t="s">
        <v>238</v>
      </c>
    </row>
    <row r="1002" spans="1:11" ht="15" hidden="1" customHeight="1" x14ac:dyDescent="0.2">
      <c r="A1002" s="12">
        <v>4</v>
      </c>
      <c r="B1002" s="12" t="s">
        <v>234</v>
      </c>
    </row>
    <row r="1003" spans="1:11" ht="15" customHeight="1" x14ac:dyDescent="0.2">
      <c r="B1003" s="12" t="s">
        <v>685</v>
      </c>
    </row>
    <row r="1004" spans="1:11" ht="15" customHeight="1" x14ac:dyDescent="0.2">
      <c r="B1004" s="402" t="s">
        <v>761</v>
      </c>
      <c r="C1004" s="403"/>
      <c r="D1004" s="403"/>
      <c r="E1004" s="403"/>
      <c r="F1004" s="403"/>
      <c r="G1004" s="403"/>
      <c r="H1004" s="403"/>
      <c r="I1004" s="403"/>
      <c r="J1004" s="403"/>
      <c r="K1004" s="404"/>
    </row>
    <row r="1005" spans="1:11" ht="15" customHeight="1" x14ac:dyDescent="0.2">
      <c r="B1005" s="396"/>
      <c r="C1005" s="397"/>
      <c r="D1005" s="397"/>
      <c r="E1005" s="397"/>
      <c r="F1005" s="397"/>
      <c r="G1005" s="397"/>
      <c r="H1005" s="397"/>
      <c r="I1005" s="397"/>
      <c r="J1005" s="397"/>
      <c r="K1005" s="398"/>
    </row>
    <row r="1006" spans="1:11" ht="30" customHeight="1" x14ac:dyDescent="0.2">
      <c r="B1006" s="396" t="s">
        <v>766</v>
      </c>
      <c r="C1006" s="397"/>
      <c r="D1006" s="397"/>
      <c r="E1006" s="397"/>
      <c r="F1006" s="397"/>
      <c r="G1006" s="397"/>
      <c r="H1006" s="397"/>
      <c r="I1006" s="397"/>
      <c r="J1006" s="397"/>
      <c r="K1006" s="398"/>
    </row>
    <row r="1007" spans="1:11" ht="15" customHeight="1" x14ac:dyDescent="0.2">
      <c r="B1007" s="396"/>
      <c r="C1007" s="397"/>
      <c r="D1007" s="397"/>
      <c r="E1007" s="397"/>
      <c r="F1007" s="397"/>
      <c r="G1007" s="397"/>
      <c r="H1007" s="397"/>
      <c r="I1007" s="397"/>
      <c r="J1007" s="397"/>
      <c r="K1007" s="398"/>
    </row>
    <row r="1008" spans="1:11" ht="30" customHeight="1" x14ac:dyDescent="0.2">
      <c r="B1008" s="396" t="s">
        <v>765</v>
      </c>
      <c r="C1008" s="397"/>
      <c r="D1008" s="397"/>
      <c r="E1008" s="397"/>
      <c r="F1008" s="397"/>
      <c r="G1008" s="397"/>
      <c r="H1008" s="397"/>
      <c r="I1008" s="397"/>
      <c r="J1008" s="397"/>
      <c r="K1008" s="398"/>
    </row>
    <row r="1009" spans="2:11" ht="15" customHeight="1" x14ac:dyDescent="0.2">
      <c r="B1009" s="396"/>
      <c r="C1009" s="397"/>
      <c r="D1009" s="397"/>
      <c r="E1009" s="397"/>
      <c r="F1009" s="397"/>
      <c r="G1009" s="397"/>
      <c r="H1009" s="397"/>
      <c r="I1009" s="397"/>
      <c r="J1009" s="397"/>
      <c r="K1009" s="398"/>
    </row>
    <row r="1010" spans="2:11" ht="30" customHeight="1" x14ac:dyDescent="0.2">
      <c r="B1010" s="396" t="s">
        <v>770</v>
      </c>
      <c r="C1010" s="397"/>
      <c r="D1010" s="397"/>
      <c r="E1010" s="397"/>
      <c r="F1010" s="397"/>
      <c r="G1010" s="397"/>
      <c r="H1010" s="397"/>
      <c r="I1010" s="397"/>
      <c r="J1010" s="397"/>
      <c r="K1010" s="398"/>
    </row>
    <row r="1011" spans="2:11" ht="15" customHeight="1" x14ac:dyDescent="0.2">
      <c r="B1011" s="396"/>
      <c r="C1011" s="397"/>
      <c r="D1011" s="397"/>
      <c r="E1011" s="397"/>
      <c r="F1011" s="397"/>
      <c r="G1011" s="397"/>
      <c r="H1011" s="397"/>
      <c r="I1011" s="397"/>
      <c r="J1011" s="397"/>
      <c r="K1011" s="398"/>
    </row>
    <row r="1012" spans="2:11" ht="15" customHeight="1" x14ac:dyDescent="0.2">
      <c r="B1012" s="396"/>
      <c r="C1012" s="397"/>
      <c r="D1012" s="397"/>
      <c r="E1012" s="397"/>
      <c r="F1012" s="397"/>
      <c r="G1012" s="397"/>
      <c r="H1012" s="397"/>
      <c r="I1012" s="397"/>
      <c r="J1012" s="397"/>
      <c r="K1012" s="398"/>
    </row>
    <row r="1013" spans="2:11" ht="15" customHeight="1" x14ac:dyDescent="0.2">
      <c r="B1013" s="396"/>
      <c r="C1013" s="397"/>
      <c r="D1013" s="397"/>
      <c r="E1013" s="397"/>
      <c r="F1013" s="397"/>
      <c r="G1013" s="397"/>
      <c r="H1013" s="397"/>
      <c r="I1013" s="397"/>
      <c r="J1013" s="397"/>
      <c r="K1013" s="398"/>
    </row>
    <row r="1014" spans="2:11" ht="15" customHeight="1" x14ac:dyDescent="0.2">
      <c r="B1014" s="396"/>
      <c r="C1014" s="397"/>
      <c r="D1014" s="397"/>
      <c r="E1014" s="397"/>
      <c r="F1014" s="397"/>
      <c r="G1014" s="397"/>
      <c r="H1014" s="397"/>
      <c r="I1014" s="397"/>
      <c r="J1014" s="397"/>
      <c r="K1014" s="398"/>
    </row>
    <row r="1015" spans="2:11" ht="15" customHeight="1" x14ac:dyDescent="0.2">
      <c r="B1015" s="396"/>
      <c r="C1015" s="397"/>
      <c r="D1015" s="397"/>
      <c r="E1015" s="397"/>
      <c r="F1015" s="397"/>
      <c r="G1015" s="397"/>
      <c r="H1015" s="397"/>
      <c r="I1015" s="397"/>
      <c r="J1015" s="397"/>
      <c r="K1015" s="398"/>
    </row>
    <row r="1016" spans="2:11" ht="15" customHeight="1" x14ac:dyDescent="0.2">
      <c r="B1016" s="396"/>
      <c r="C1016" s="397"/>
      <c r="D1016" s="397"/>
      <c r="E1016" s="397"/>
      <c r="F1016" s="397"/>
      <c r="G1016" s="397"/>
      <c r="H1016" s="397"/>
      <c r="I1016" s="397"/>
      <c r="J1016" s="397"/>
      <c r="K1016" s="398"/>
    </row>
    <row r="1017" spans="2:11" ht="15" customHeight="1" x14ac:dyDescent="0.2">
      <c r="B1017" s="396"/>
      <c r="C1017" s="397"/>
      <c r="D1017" s="397"/>
      <c r="E1017" s="397"/>
      <c r="F1017" s="397"/>
      <c r="G1017" s="397"/>
      <c r="H1017" s="397"/>
      <c r="I1017" s="397"/>
      <c r="J1017" s="397"/>
      <c r="K1017" s="398"/>
    </row>
    <row r="1018" spans="2:11" ht="15" customHeight="1" x14ac:dyDescent="0.2">
      <c r="B1018" s="396"/>
      <c r="C1018" s="397"/>
      <c r="D1018" s="397"/>
      <c r="E1018" s="397"/>
      <c r="F1018" s="397"/>
      <c r="G1018" s="397"/>
      <c r="H1018" s="397"/>
      <c r="I1018" s="397"/>
      <c r="J1018" s="397"/>
      <c r="K1018" s="398"/>
    </row>
    <row r="1019" spans="2:11" ht="15" customHeight="1" x14ac:dyDescent="0.2">
      <c r="B1019" s="396"/>
      <c r="C1019" s="397"/>
      <c r="D1019" s="397"/>
      <c r="E1019" s="397"/>
      <c r="F1019" s="397"/>
      <c r="G1019" s="397"/>
      <c r="H1019" s="397"/>
      <c r="I1019" s="397"/>
      <c r="J1019" s="397"/>
      <c r="K1019" s="398"/>
    </row>
    <row r="1020" spans="2:11" ht="15" customHeight="1" x14ac:dyDescent="0.2">
      <c r="B1020" s="396"/>
      <c r="C1020" s="397"/>
      <c r="D1020" s="397"/>
      <c r="E1020" s="397"/>
      <c r="F1020" s="397"/>
      <c r="G1020" s="397"/>
      <c r="H1020" s="397"/>
      <c r="I1020" s="397"/>
      <c r="J1020" s="397"/>
      <c r="K1020" s="398"/>
    </row>
    <row r="1021" spans="2:11" ht="15" customHeight="1" x14ac:dyDescent="0.2">
      <c r="B1021" s="396"/>
      <c r="C1021" s="397"/>
      <c r="D1021" s="397"/>
      <c r="E1021" s="397"/>
      <c r="F1021" s="397"/>
      <c r="G1021" s="397"/>
      <c r="H1021" s="397"/>
      <c r="I1021" s="397"/>
      <c r="J1021" s="397"/>
      <c r="K1021" s="398"/>
    </row>
    <row r="1022" spans="2:11" ht="15" customHeight="1" x14ac:dyDescent="0.2">
      <c r="B1022" s="396"/>
      <c r="C1022" s="397"/>
      <c r="D1022" s="397"/>
      <c r="E1022" s="397"/>
      <c r="F1022" s="397"/>
      <c r="G1022" s="397"/>
      <c r="H1022" s="397"/>
      <c r="I1022" s="397"/>
      <c r="J1022" s="397"/>
      <c r="K1022" s="398"/>
    </row>
    <row r="1023" spans="2:11" ht="15" customHeight="1" x14ac:dyDescent="0.2">
      <c r="B1023" s="396"/>
      <c r="C1023" s="397"/>
      <c r="D1023" s="397"/>
      <c r="E1023" s="397"/>
      <c r="F1023" s="397"/>
      <c r="G1023" s="397"/>
      <c r="H1023" s="397"/>
      <c r="I1023" s="397"/>
      <c r="J1023" s="397"/>
      <c r="K1023" s="398"/>
    </row>
    <row r="1024" spans="2:11" ht="15" customHeight="1" x14ac:dyDescent="0.2">
      <c r="B1024" s="396"/>
      <c r="C1024" s="397"/>
      <c r="D1024" s="397"/>
      <c r="E1024" s="397"/>
      <c r="F1024" s="397"/>
      <c r="G1024" s="397"/>
      <c r="H1024" s="397"/>
      <c r="I1024" s="397"/>
      <c r="J1024" s="397"/>
      <c r="K1024" s="398"/>
    </row>
    <row r="1025" spans="2:11" ht="15" customHeight="1" x14ac:dyDescent="0.2">
      <c r="B1025" s="396"/>
      <c r="C1025" s="397"/>
      <c r="D1025" s="397"/>
      <c r="E1025" s="397"/>
      <c r="F1025" s="397"/>
      <c r="G1025" s="397"/>
      <c r="H1025" s="397"/>
      <c r="I1025" s="397"/>
      <c r="J1025" s="397"/>
      <c r="K1025" s="398"/>
    </row>
    <row r="1026" spans="2:11" ht="15" customHeight="1" x14ac:dyDescent="0.2">
      <c r="B1026" s="396"/>
      <c r="C1026" s="397"/>
      <c r="D1026" s="397"/>
      <c r="E1026" s="397"/>
      <c r="F1026" s="397"/>
      <c r="G1026" s="397"/>
      <c r="H1026" s="397"/>
      <c r="I1026" s="397"/>
      <c r="J1026" s="397"/>
      <c r="K1026" s="398"/>
    </row>
    <row r="1027" spans="2:11" ht="15" customHeight="1" x14ac:dyDescent="0.2">
      <c r="B1027" s="396"/>
      <c r="C1027" s="397"/>
      <c r="D1027" s="397"/>
      <c r="E1027" s="397"/>
      <c r="F1027" s="397"/>
      <c r="G1027" s="397"/>
      <c r="H1027" s="397"/>
      <c r="I1027" s="397"/>
      <c r="J1027" s="397"/>
      <c r="K1027" s="398"/>
    </row>
    <row r="1028" spans="2:11" ht="15" customHeight="1" x14ac:dyDescent="0.2">
      <c r="B1028" s="396"/>
      <c r="C1028" s="397"/>
      <c r="D1028" s="397"/>
      <c r="E1028" s="397"/>
      <c r="F1028" s="397"/>
      <c r="G1028" s="397"/>
      <c r="H1028" s="397"/>
      <c r="I1028" s="397"/>
      <c r="J1028" s="397"/>
      <c r="K1028" s="398"/>
    </row>
    <row r="1029" spans="2:11" ht="15" customHeight="1" x14ac:dyDescent="0.2">
      <c r="B1029" s="393"/>
      <c r="C1029" s="394"/>
      <c r="D1029" s="394"/>
      <c r="E1029" s="394"/>
      <c r="F1029" s="394"/>
      <c r="G1029" s="394"/>
      <c r="H1029" s="394"/>
      <c r="I1029" s="394"/>
      <c r="J1029" s="394"/>
      <c r="K1029" s="395"/>
    </row>
  </sheetData>
  <sheetProtection formatCells="0" formatColumns="0" formatRows="0" selectLockedCells="1"/>
  <mergeCells count="152">
    <mergeCell ref="E15:J15"/>
    <mergeCell ref="C38:J38"/>
    <mergeCell ref="C57:J57"/>
    <mergeCell ref="B5:K5"/>
    <mergeCell ref="B6:K6"/>
    <mergeCell ref="B7:K7"/>
    <mergeCell ref="B8:K8"/>
    <mergeCell ref="B9:K9"/>
    <mergeCell ref="B10:K10"/>
    <mergeCell ref="C176:J176"/>
    <mergeCell ref="C196:J196"/>
    <mergeCell ref="C155:J155"/>
    <mergeCell ref="C120:J122"/>
    <mergeCell ref="C123:J124"/>
    <mergeCell ref="C129:J129"/>
    <mergeCell ref="C95:J95"/>
    <mergeCell ref="C114:J114"/>
    <mergeCell ref="C76:J76"/>
    <mergeCell ref="C455:J455"/>
    <mergeCell ref="C402:J402"/>
    <mergeCell ref="C416:J416"/>
    <mergeCell ref="C438:J438"/>
    <mergeCell ref="C444:I445"/>
    <mergeCell ref="C391:I392"/>
    <mergeCell ref="C257:J257"/>
    <mergeCell ref="C237:J237"/>
    <mergeCell ref="C216:J216"/>
    <mergeCell ref="C292:I293"/>
    <mergeCell ref="C311:I312"/>
    <mergeCell ref="C340:I341"/>
    <mergeCell ref="C305:J305"/>
    <mergeCell ref="C324:J324"/>
    <mergeCell ref="C330:I331"/>
    <mergeCell ref="C420:I421"/>
    <mergeCell ref="C385:J385"/>
    <mergeCell ref="D343:I344"/>
    <mergeCell ref="C347:J347"/>
    <mergeCell ref="C365:J365"/>
    <mergeCell ref="C371:I372"/>
    <mergeCell ref="C286:J286"/>
    <mergeCell ref="C613:J613"/>
    <mergeCell ref="C560:J560"/>
    <mergeCell ref="C566:I568"/>
    <mergeCell ref="C569:I571"/>
    <mergeCell ref="C583:J583"/>
    <mergeCell ref="C524:I525"/>
    <mergeCell ref="C535:J535"/>
    <mergeCell ref="C518:J518"/>
    <mergeCell ref="C471:J471"/>
    <mergeCell ref="C477:I478"/>
    <mergeCell ref="C486:J486"/>
    <mergeCell ref="C502:J502"/>
    <mergeCell ref="C599:J599"/>
    <mergeCell ref="G717:H717"/>
    <mergeCell ref="G718:H718"/>
    <mergeCell ref="C729:J731"/>
    <mergeCell ref="G732:H732"/>
    <mergeCell ref="G733:H733"/>
    <mergeCell ref="C620:I621"/>
    <mergeCell ref="C633:J633"/>
    <mergeCell ref="C639:I640"/>
    <mergeCell ref="C641:I643"/>
    <mergeCell ref="C714:J716"/>
    <mergeCell ref="C655:J655"/>
    <mergeCell ref="D664:I665"/>
    <mergeCell ref="C677:J677"/>
    <mergeCell ref="G737:H737"/>
    <mergeCell ref="G738:H738"/>
    <mergeCell ref="G734:H734"/>
    <mergeCell ref="G735:H735"/>
    <mergeCell ref="G724:H724"/>
    <mergeCell ref="G725:H725"/>
    <mergeCell ref="G719:H719"/>
    <mergeCell ref="G720:H720"/>
    <mergeCell ref="G721:H721"/>
    <mergeCell ref="G846:H846"/>
    <mergeCell ref="C830:J831"/>
    <mergeCell ref="G834:H834"/>
    <mergeCell ref="G838:H838"/>
    <mergeCell ref="G842:H842"/>
    <mergeCell ref="G769:H769"/>
    <mergeCell ref="G770:H770"/>
    <mergeCell ref="G767:H767"/>
    <mergeCell ref="G768:H768"/>
    <mergeCell ref="G766:H766"/>
    <mergeCell ref="G754:H754"/>
    <mergeCell ref="G755:H755"/>
    <mergeCell ref="G752:H752"/>
    <mergeCell ref="G753:H753"/>
    <mergeCell ref="C759:J761"/>
    <mergeCell ref="G762:H762"/>
    <mergeCell ref="G763:H763"/>
    <mergeCell ref="G764:H764"/>
    <mergeCell ref="G878:H878"/>
    <mergeCell ref="G722:H722"/>
    <mergeCell ref="G723:H723"/>
    <mergeCell ref="G850:H850"/>
    <mergeCell ref="G862:H862"/>
    <mergeCell ref="G866:H866"/>
    <mergeCell ref="G854:H854"/>
    <mergeCell ref="G858:H858"/>
    <mergeCell ref="F959:H960"/>
    <mergeCell ref="G736:H736"/>
    <mergeCell ref="C744:J746"/>
    <mergeCell ref="G747:H747"/>
    <mergeCell ref="G748:H748"/>
    <mergeCell ref="G749:H749"/>
    <mergeCell ref="G886:H886"/>
    <mergeCell ref="G890:H890"/>
    <mergeCell ref="G882:H882"/>
    <mergeCell ref="G870:H870"/>
    <mergeCell ref="G874:H874"/>
    <mergeCell ref="G765:H765"/>
    <mergeCell ref="G750:H750"/>
    <mergeCell ref="G751:H751"/>
    <mergeCell ref="G739:H739"/>
    <mergeCell ref="G740:H740"/>
    <mergeCell ref="B1004:K1004"/>
    <mergeCell ref="B1005:K1005"/>
    <mergeCell ref="B1006:K1006"/>
    <mergeCell ref="B1007:K1007"/>
    <mergeCell ref="B1008:K1008"/>
    <mergeCell ref="B1009:K1009"/>
    <mergeCell ref="B1010:K1010"/>
    <mergeCell ref="B1011:K1011"/>
    <mergeCell ref="B1012:K1012"/>
    <mergeCell ref="B1022:K1022"/>
    <mergeCell ref="B1023:K1023"/>
    <mergeCell ref="B1024:K1024"/>
    <mergeCell ref="B1025:K1025"/>
    <mergeCell ref="B1026:K1026"/>
    <mergeCell ref="B1027:K1027"/>
    <mergeCell ref="B1028:K1028"/>
    <mergeCell ref="B1029:K1029"/>
    <mergeCell ref="B1013:K1013"/>
    <mergeCell ref="B1014:K1014"/>
    <mergeCell ref="B1015:K1015"/>
    <mergeCell ref="B1016:K1016"/>
    <mergeCell ref="B1017:K1017"/>
    <mergeCell ref="B1018:K1018"/>
    <mergeCell ref="B1019:K1019"/>
    <mergeCell ref="B1020:K1020"/>
    <mergeCell ref="B1021:K1021"/>
    <mergeCell ref="G928:H928"/>
    <mergeCell ref="G932:H932"/>
    <mergeCell ref="G924:H924"/>
    <mergeCell ref="G916:H916"/>
    <mergeCell ref="G920:H920"/>
    <mergeCell ref="C900:J901"/>
    <mergeCell ref="G904:H904"/>
    <mergeCell ref="G908:H908"/>
    <mergeCell ref="G912:H912"/>
  </mergeCells>
  <dataValidations count="23">
    <dataValidation type="list" allowBlank="1" showInputMessage="1" showErrorMessage="1" sqref="E15:J15" xr:uid="{00000000-0002-0000-1B00-000000000000}">
      <formula1>$C$966:$C$970</formula1>
    </dataValidation>
    <dataValidation type="list" allowBlank="1" showInputMessage="1" showErrorMessage="1" sqref="G834:H834 G890:H890 G886:H886 G882:H882 G878:H878 G874:H874 G870:H870 G866:H866 G862:H862 G858:H858 G854:H854 G850:H850 G846:H846 G842:H842 G838:H838 G904:H904 G932:H932 G928:H928 G924:H924 G920:H920 G916:H916 G912:H912 G908:H908" xr:uid="{00000000-0002-0000-1B00-000001000000}">
      <formula1>$B$998:$B$1002</formula1>
    </dataValidation>
    <dataValidation type="list" allowBlank="1" showInputMessage="1" showErrorMessage="1" sqref="G717:H725 G762:H770 G732:H740 G747:H755" xr:uid="{00000000-0002-0000-1B00-000002000000}">
      <formula1>$B$994:$B$995</formula1>
    </dataValidation>
    <dataValidation type="list" allowBlank="1" showInputMessage="1" showErrorMessage="1" sqref="J302 J362" xr:uid="{00000000-0002-0000-1B00-000003000000}">
      <formula1>$B$980:$B$984</formula1>
    </dataValidation>
    <dataValidation type="list" allowBlank="1" showInputMessage="1" showErrorMessage="1" sqref="C123:J124" xr:uid="{00000000-0002-0000-1B00-000004000000}">
      <formula1>$B$987:$B$991</formula1>
    </dataValidation>
    <dataValidation type="list" allowBlank="1" showInputMessage="1" showErrorMessage="1" sqref="J35 J213 J283 J652 J234 J54 J193 J173 J152 J126 J111 J92 J73 J254 J435 J452 J468 J499 J515 J532 J557 J580 J596 J674 J630" xr:uid="{00000000-0002-0000-1B00-000005000000}">
      <formula1>$B$973:$B$977</formula1>
    </dataValidation>
    <dataValidation type="list" allowBlank="1" showInputMessage="1" showErrorMessage="1" sqref="J33" xr:uid="{00000000-0002-0000-1B00-000006000000}">
      <formula1>$N$32:$N$37</formula1>
    </dataValidation>
    <dataValidation type="list" allowBlank="1" showInputMessage="1" showErrorMessage="1" sqref="J52" xr:uid="{00000000-0002-0000-1B00-000007000000}">
      <formula1>$N$51:$N$56</formula1>
    </dataValidation>
    <dataValidation type="list" allowBlank="1" showInputMessage="1" showErrorMessage="1" sqref="J71" xr:uid="{00000000-0002-0000-1B00-000008000000}">
      <formula1>$N$70:$N$75</formula1>
    </dataValidation>
    <dataValidation type="list" allowBlank="1" showInputMessage="1" showErrorMessage="1" sqref="J90" xr:uid="{00000000-0002-0000-1B00-000009000000}">
      <formula1>$N$89:$N$94</formula1>
    </dataValidation>
    <dataValidation type="list" allowBlank="1" showInputMessage="1" showErrorMessage="1" sqref="J109" xr:uid="{00000000-0002-0000-1B00-00000A000000}">
      <formula1>$N$108:$N$113</formula1>
    </dataValidation>
    <dataValidation type="list" allowBlank="1" showInputMessage="1" showErrorMessage="1" sqref="J150" xr:uid="{00000000-0002-0000-1B00-00000B000000}">
      <formula1>$N$149:$N$154</formula1>
    </dataValidation>
    <dataValidation type="list" allowBlank="1" showInputMessage="1" showErrorMessage="1" sqref="J171" xr:uid="{00000000-0002-0000-1B00-00000C000000}">
      <formula1>$N$170:$N$175</formula1>
    </dataValidation>
    <dataValidation type="list" allowBlank="1" showInputMessage="1" showErrorMessage="1" sqref="J191" xr:uid="{00000000-0002-0000-1B00-00000D000000}">
      <formula1>$N$190:$N$195</formula1>
    </dataValidation>
    <dataValidation type="list" allowBlank="1" showInputMessage="1" showErrorMessage="1" sqref="J211" xr:uid="{00000000-0002-0000-1B00-00000E000000}">
      <formula1>$N$210:$N$215</formula1>
    </dataValidation>
    <dataValidation type="list" allowBlank="1" showInputMessage="1" showErrorMessage="1" sqref="J232" xr:uid="{00000000-0002-0000-1B00-00000F000000}">
      <formula1>$N$231:$N$236</formula1>
    </dataValidation>
    <dataValidation type="list" allowBlank="1" showInputMessage="1" showErrorMessage="1" sqref="J252" xr:uid="{00000000-0002-0000-1B00-000010000000}">
      <formula1>$N$251:$N$256</formula1>
    </dataValidation>
    <dataValidation type="list" allowBlank="1" showInputMessage="1" showErrorMessage="1" sqref="J281" xr:uid="{00000000-0002-0000-1B00-000011000000}">
      <formula1>$N$280:$N$285</formula1>
    </dataValidation>
    <dataValidation type="list" allowBlank="1" showInputMessage="1" showErrorMessage="1" sqref="J555" xr:uid="{00000000-0002-0000-1B00-000012000000}">
      <formula1>$N$554:$N$559</formula1>
    </dataValidation>
    <dataValidation type="list" allowBlank="1" showInputMessage="1" showErrorMessage="1" sqref="J578" xr:uid="{00000000-0002-0000-1B00-000013000000}">
      <formula1>$N$577:$N$582</formula1>
    </dataValidation>
    <dataValidation type="list" allowBlank="1" showInputMessage="1" showErrorMessage="1" sqref="J628" xr:uid="{00000000-0002-0000-1B00-000014000000}">
      <formula1>$N$627:$N$632</formula1>
    </dataValidation>
    <dataValidation type="list" allowBlank="1" showInputMessage="1" showErrorMessage="1" sqref="J650" xr:uid="{00000000-0002-0000-1B00-000015000000}">
      <formula1>$N$649:$N$654</formula1>
    </dataValidation>
    <dataValidation type="list" allowBlank="1" showInputMessage="1" showErrorMessage="1" sqref="J672" xr:uid="{00000000-0002-0000-1B00-000016000000}">
      <formula1>$N$671:$N$676</formula1>
    </dataValidation>
  </dataValidations>
  <pageMargins left="0.7" right="0.7" top="0.75" bottom="0.75" header="0.3" footer="0.3"/>
  <pageSetup scale="70"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dimension ref="A1:N1029"/>
  <sheetViews>
    <sheetView showGridLines="0" showRowColHeaders="0" zoomScaleNormal="100" workbookViewId="0">
      <selection activeCell="O681" sqref="O681"/>
    </sheetView>
  </sheetViews>
  <sheetFormatPr baseColWidth="10" defaultColWidth="9.1640625" defaultRowHeight="15" x14ac:dyDescent="0.2"/>
  <cols>
    <col min="1" max="1" width="9.1640625" style="12"/>
    <col min="2" max="3" width="9.1640625" style="12" customWidth="1"/>
    <col min="4" max="4" width="9.1640625" style="12"/>
    <col min="5" max="5" width="9.1640625" style="12" customWidth="1"/>
    <col min="6" max="9" width="9.1640625" style="12"/>
    <col min="10" max="10" width="25.6640625" style="12" customWidth="1"/>
    <col min="11" max="12" width="9.1640625" style="12"/>
    <col min="13" max="13" width="9.1640625" style="12" customWidth="1"/>
    <col min="14" max="14" width="9.1640625" style="12" hidden="1" customWidth="1"/>
    <col min="15" max="16384" width="9.1640625" style="12"/>
  </cols>
  <sheetData>
    <row r="1" spans="2:13" x14ac:dyDescent="0.2">
      <c r="I1" s="29"/>
    </row>
    <row r="2" spans="2:13" ht="33" x14ac:dyDescent="0.2">
      <c r="G2" s="16" t="s">
        <v>1038</v>
      </c>
      <c r="I2" s="29"/>
    </row>
    <row r="3" spans="2:13" ht="23" x14ac:dyDescent="0.25">
      <c r="G3" s="30" t="s">
        <v>5</v>
      </c>
      <c r="I3" s="29"/>
      <c r="L3" s="157"/>
      <c r="M3" s="157"/>
    </row>
    <row r="4" spans="2:13" x14ac:dyDescent="0.2">
      <c r="G4" s="98"/>
      <c r="I4" s="29"/>
      <c r="L4" s="158"/>
      <c r="M4" s="157"/>
    </row>
    <row r="5" spans="2:13" ht="75" customHeight="1" x14ac:dyDescent="0.2">
      <c r="B5" s="426" t="s">
        <v>679</v>
      </c>
      <c r="C5" s="427"/>
      <c r="D5" s="427"/>
      <c r="E5" s="427"/>
      <c r="F5" s="427"/>
      <c r="G5" s="427"/>
      <c r="H5" s="427"/>
      <c r="I5" s="427"/>
      <c r="J5" s="427"/>
      <c r="K5" s="427"/>
      <c r="L5" s="158"/>
      <c r="M5" s="157"/>
    </row>
    <row r="6" spans="2:13" x14ac:dyDescent="0.2">
      <c r="B6" s="426"/>
      <c r="C6" s="426"/>
      <c r="D6" s="426"/>
      <c r="E6" s="426"/>
      <c r="F6" s="426"/>
      <c r="G6" s="426"/>
      <c r="H6" s="426"/>
      <c r="I6" s="426"/>
      <c r="J6" s="426"/>
      <c r="K6" s="426"/>
      <c r="L6" s="158"/>
    </row>
    <row r="7" spans="2:13" ht="60" customHeight="1" x14ac:dyDescent="0.2">
      <c r="B7" s="425" t="s">
        <v>664</v>
      </c>
      <c r="C7" s="341"/>
      <c r="D7" s="341"/>
      <c r="E7" s="341"/>
      <c r="F7" s="341"/>
      <c r="G7" s="341"/>
      <c r="H7" s="341"/>
      <c r="I7" s="341"/>
      <c r="J7" s="341"/>
      <c r="K7" s="341"/>
    </row>
    <row r="8" spans="2:13" x14ac:dyDescent="0.2">
      <c r="B8" s="426"/>
      <c r="C8" s="426"/>
      <c r="D8" s="426"/>
      <c r="E8" s="426"/>
      <c r="F8" s="426"/>
      <c r="G8" s="426"/>
      <c r="H8" s="426"/>
      <c r="I8" s="426"/>
      <c r="J8" s="426"/>
      <c r="K8" s="426"/>
    </row>
    <row r="9" spans="2:13" ht="30" customHeight="1" x14ac:dyDescent="0.2">
      <c r="B9" s="445" t="s">
        <v>665</v>
      </c>
      <c r="C9" s="446"/>
      <c r="D9" s="446"/>
      <c r="E9" s="446"/>
      <c r="F9" s="446"/>
      <c r="G9" s="446"/>
      <c r="H9" s="446"/>
      <c r="I9" s="446"/>
      <c r="J9" s="446"/>
      <c r="K9" s="446"/>
    </row>
    <row r="10" spans="2:13" ht="105" customHeight="1" x14ac:dyDescent="0.2">
      <c r="B10" s="447" t="s">
        <v>1343</v>
      </c>
      <c r="C10" s="448"/>
      <c r="D10" s="448"/>
      <c r="E10" s="448"/>
      <c r="F10" s="448"/>
      <c r="G10" s="448"/>
      <c r="H10" s="448"/>
      <c r="I10" s="448"/>
      <c r="J10" s="448"/>
      <c r="K10" s="449"/>
    </row>
    <row r="11" spans="2:13" ht="16" thickBot="1" x14ac:dyDescent="0.25"/>
    <row r="12" spans="2:13" x14ac:dyDescent="0.2">
      <c r="B12" s="159"/>
      <c r="C12" s="160"/>
      <c r="D12" s="160"/>
      <c r="E12" s="160"/>
      <c r="F12" s="160"/>
      <c r="G12" s="160"/>
      <c r="H12" s="160"/>
      <c r="I12" s="160"/>
      <c r="J12" s="160"/>
      <c r="K12" s="161"/>
    </row>
    <row r="13" spans="2:13" ht="21" x14ac:dyDescent="0.25">
      <c r="B13" s="162"/>
      <c r="C13" s="163"/>
      <c r="D13" s="163"/>
      <c r="E13" s="163"/>
      <c r="F13" s="163"/>
      <c r="G13" s="164" t="s">
        <v>226</v>
      </c>
      <c r="H13" s="163"/>
      <c r="I13" s="163"/>
      <c r="J13" s="163"/>
      <c r="K13" s="165"/>
    </row>
    <row r="14" spans="2:13" ht="21" x14ac:dyDescent="0.25">
      <c r="B14" s="162"/>
      <c r="C14" s="163"/>
      <c r="D14" s="163"/>
      <c r="E14" s="163"/>
      <c r="F14" s="163"/>
      <c r="G14" s="164"/>
      <c r="H14" s="163"/>
      <c r="I14" s="163"/>
      <c r="J14" s="163"/>
      <c r="K14" s="165"/>
    </row>
    <row r="15" spans="2:13" ht="26.25" customHeight="1" x14ac:dyDescent="0.2">
      <c r="B15" s="162"/>
      <c r="C15" s="163" t="s">
        <v>255</v>
      </c>
      <c r="D15" s="163"/>
      <c r="E15" s="412" t="s">
        <v>243</v>
      </c>
      <c r="F15" s="437"/>
      <c r="G15" s="437"/>
      <c r="H15" s="437"/>
      <c r="I15" s="437"/>
      <c r="J15" s="438"/>
      <c r="K15" s="165"/>
    </row>
    <row r="16" spans="2:13" x14ac:dyDescent="0.2">
      <c r="B16" s="162"/>
      <c r="C16" s="163"/>
      <c r="D16" s="163"/>
      <c r="E16" s="163"/>
      <c r="F16" s="163"/>
      <c r="G16" s="163"/>
      <c r="H16" s="163"/>
      <c r="I16" s="163"/>
      <c r="J16" s="163"/>
      <c r="K16" s="165"/>
    </row>
    <row r="17" spans="2:14" x14ac:dyDescent="0.2">
      <c r="B17" s="162"/>
      <c r="C17" s="166" t="s">
        <v>256</v>
      </c>
      <c r="D17" s="163"/>
      <c r="E17" s="167">
        <f>IF(E15=$C$966,$A$966,IF(E15=$C$967,$A$967,IF(E15=$C$968,$A$968,IF(E15=$C$969,$A$969,IF(E15=$C$970,$A$970,"Not Calculated")))))</f>
        <v>4</v>
      </c>
      <c r="F17" s="163"/>
      <c r="G17" s="163"/>
      <c r="H17" s="163"/>
      <c r="I17" s="163"/>
      <c r="J17" s="163"/>
      <c r="K17" s="165"/>
    </row>
    <row r="18" spans="2:14" x14ac:dyDescent="0.2">
      <c r="B18" s="162"/>
      <c r="C18" s="163"/>
      <c r="D18" s="163"/>
      <c r="E18" s="167" t="str">
        <f>IF(E15=$C$966,$B$966,IF(E15=$C$967,$B$967,IF(E15=$C$968,$B$968,IF(E15=$C$969,$B$969,IF(E15=$C$970,$B$970,"Not Calculated")))))</f>
        <v>Frequent</v>
      </c>
      <c r="F18" s="163"/>
      <c r="G18" s="163"/>
      <c r="H18" s="163"/>
      <c r="I18" s="163"/>
      <c r="J18" s="163"/>
      <c r="K18" s="165"/>
    </row>
    <row r="19" spans="2:14" ht="16" thickBot="1" x14ac:dyDescent="0.25">
      <c r="B19" s="168"/>
      <c r="C19" s="169"/>
      <c r="D19" s="169"/>
      <c r="E19" s="169"/>
      <c r="F19" s="169"/>
      <c r="G19" s="169"/>
      <c r="H19" s="169"/>
      <c r="I19" s="169"/>
      <c r="J19" s="169"/>
      <c r="K19" s="170"/>
    </row>
    <row r="20" spans="2:14" ht="16" thickBot="1" x14ac:dyDescent="0.25"/>
    <row r="21" spans="2:14" x14ac:dyDescent="0.2">
      <c r="B21" s="33"/>
      <c r="C21" s="34"/>
      <c r="D21" s="34"/>
      <c r="E21" s="34"/>
      <c r="F21" s="34"/>
      <c r="G21" s="34"/>
      <c r="H21" s="34"/>
      <c r="I21" s="34"/>
      <c r="J21" s="34"/>
      <c r="K21" s="37"/>
    </row>
    <row r="22" spans="2:14" ht="21" x14ac:dyDescent="0.25">
      <c r="B22" s="38"/>
      <c r="C22" s="171"/>
      <c r="D22" s="40"/>
      <c r="E22" s="40"/>
      <c r="F22" s="40"/>
      <c r="G22" s="172" t="s">
        <v>26</v>
      </c>
      <c r="H22" s="40"/>
      <c r="I22" s="40"/>
      <c r="J22" s="40"/>
      <c r="K22" s="41"/>
    </row>
    <row r="23" spans="2:14" x14ac:dyDescent="0.2">
      <c r="B23" s="38"/>
      <c r="C23" s="40"/>
      <c r="D23" s="40"/>
      <c r="E23" s="40"/>
      <c r="F23" s="40"/>
      <c r="G23" s="40"/>
      <c r="H23" s="40"/>
      <c r="I23" s="40"/>
      <c r="J23" s="40"/>
      <c r="K23" s="41"/>
    </row>
    <row r="24" spans="2:14" ht="16" x14ac:dyDescent="0.2">
      <c r="B24" s="38"/>
      <c r="C24" s="45" t="s">
        <v>61</v>
      </c>
      <c r="D24" s="40"/>
      <c r="E24" s="40"/>
      <c r="F24" s="40"/>
      <c r="G24" s="40"/>
      <c r="H24" s="40"/>
      <c r="I24" s="40"/>
      <c r="J24" s="40"/>
      <c r="K24" s="41"/>
    </row>
    <row r="25" spans="2:14" x14ac:dyDescent="0.2">
      <c r="B25" s="38"/>
      <c r="C25" s="40" t="s">
        <v>434</v>
      </c>
      <c r="D25" s="40"/>
      <c r="E25" s="40"/>
      <c r="F25" s="40"/>
      <c r="G25" s="40"/>
      <c r="H25" s="40"/>
      <c r="I25" s="40"/>
      <c r="J25" s="252">
        <f>'Baseline Health'!G11</f>
        <v>0</v>
      </c>
      <c r="K25" s="41"/>
    </row>
    <row r="26" spans="2:14" x14ac:dyDescent="0.2">
      <c r="B26" s="38"/>
      <c r="C26" s="40" t="s">
        <v>288</v>
      </c>
      <c r="D26" s="40"/>
      <c r="E26" s="40"/>
      <c r="F26" s="40"/>
      <c r="G26" s="40"/>
      <c r="H26" s="40"/>
      <c r="I26" s="40"/>
      <c r="J26" s="264">
        <f>'Baseline Health'!G6*0.00002</f>
        <v>0</v>
      </c>
      <c r="K26" s="41"/>
    </row>
    <row r="27" spans="2:14" x14ac:dyDescent="0.2">
      <c r="B27" s="38"/>
      <c r="C27" s="40" t="s">
        <v>260</v>
      </c>
      <c r="D27" s="40"/>
      <c r="E27" s="40"/>
      <c r="F27" s="40"/>
      <c r="G27" s="40"/>
      <c r="H27" s="40"/>
      <c r="I27" s="40"/>
      <c r="J27" s="248" t="str">
        <f>IF(OR(J25=0,J25="Not Calculated")=TRUE,"Not Calculated",(IF(((J26+J25)/J25)&lt;=1,0,IF(((J26+J25)/J25)&lt;=1.05,1,IF(((J26+J25)/J25)&lt;=1.5, 2,IF(((J26+J25)/J25)&lt;=2,3,4))))))</f>
        <v>Not Calculated</v>
      </c>
      <c r="K27" s="41"/>
    </row>
    <row r="28" spans="2:14" ht="9.75" customHeight="1" x14ac:dyDescent="0.2">
      <c r="B28" s="38"/>
      <c r="C28" s="279" t="str">
        <f>"0:"</f>
        <v>0:</v>
      </c>
      <c r="D28" s="281" t="s">
        <v>918</v>
      </c>
      <c r="E28" s="40"/>
      <c r="F28" s="40"/>
      <c r="G28" s="40"/>
      <c r="H28" s="40"/>
      <c r="I28" s="40"/>
      <c r="J28" s="40"/>
      <c r="K28" s="41"/>
    </row>
    <row r="29" spans="2:14" ht="9.75" customHeight="1" x14ac:dyDescent="0.2">
      <c r="B29" s="38"/>
      <c r="C29" s="280" t="str">
        <f>"1:"</f>
        <v>1:</v>
      </c>
      <c r="D29" s="281" t="s">
        <v>919</v>
      </c>
      <c r="E29" s="40"/>
      <c r="F29" s="40"/>
      <c r="G29" s="40"/>
      <c r="H29" s="40"/>
      <c r="I29" s="40"/>
      <c r="J29" s="40"/>
      <c r="K29" s="41"/>
    </row>
    <row r="30" spans="2:14" ht="9.75" customHeight="1" x14ac:dyDescent="0.2">
      <c r="B30" s="38"/>
      <c r="C30" s="280" t="str">
        <f>"2:"</f>
        <v>2:</v>
      </c>
      <c r="D30" s="281" t="s">
        <v>920</v>
      </c>
      <c r="E30" s="40"/>
      <c r="F30" s="40"/>
      <c r="G30" s="40"/>
      <c r="H30" s="40"/>
      <c r="I30" s="40"/>
      <c r="J30" s="40"/>
      <c r="K30" s="41"/>
    </row>
    <row r="31" spans="2:14" ht="9.75" customHeight="1" x14ac:dyDescent="0.2">
      <c r="B31" s="38"/>
      <c r="C31" s="280" t="str">
        <f>"3:"</f>
        <v>3:</v>
      </c>
      <c r="D31" s="281" t="s">
        <v>921</v>
      </c>
      <c r="E31" s="40"/>
      <c r="F31" s="40"/>
      <c r="G31" s="40"/>
      <c r="H31" s="40"/>
      <c r="I31" s="40"/>
      <c r="J31" s="40"/>
      <c r="K31" s="41"/>
    </row>
    <row r="32" spans="2:14" ht="9.75" customHeight="1" x14ac:dyDescent="0.2">
      <c r="B32" s="38"/>
      <c r="C32" s="280" t="str">
        <f>"4:"</f>
        <v>4:</v>
      </c>
      <c r="D32" s="281" t="s">
        <v>922</v>
      </c>
      <c r="E32" s="40"/>
      <c r="F32" s="40"/>
      <c r="G32" s="40"/>
      <c r="H32" s="40"/>
      <c r="I32" s="40"/>
      <c r="J32" s="40"/>
      <c r="K32" s="41"/>
      <c r="N32" s="12" t="s">
        <v>661</v>
      </c>
    </row>
    <row r="33" spans="2:14" x14ac:dyDescent="0.2">
      <c r="B33" s="38"/>
      <c r="C33" s="174" t="s">
        <v>662</v>
      </c>
      <c r="D33" s="40"/>
      <c r="E33" s="40"/>
      <c r="F33" s="40"/>
      <c r="G33" s="40"/>
      <c r="H33" s="40"/>
      <c r="I33" s="40"/>
      <c r="J33" s="265" t="s">
        <v>661</v>
      </c>
      <c r="K33" s="41"/>
      <c r="N33" s="12" t="s">
        <v>894</v>
      </c>
    </row>
    <row r="34" spans="2:14" x14ac:dyDescent="0.2">
      <c r="B34" s="38"/>
      <c r="C34" s="174" t="s">
        <v>660</v>
      </c>
      <c r="D34" s="40"/>
      <c r="E34" s="40"/>
      <c r="F34" s="40"/>
      <c r="G34" s="40"/>
      <c r="H34" s="40"/>
      <c r="I34" s="40"/>
      <c r="J34" s="246" t="str">
        <f>IF(J33=N32,"N/A",IF(J33=N33,0,IF(J33=N34,1,IF(J33=N35,2,IF(J33=N36,3,IF(J33=N37,4,"N/A"))))))</f>
        <v>N/A</v>
      </c>
      <c r="K34" s="41"/>
      <c r="N34" s="12" t="s">
        <v>895</v>
      </c>
    </row>
    <row r="35" spans="2:14" x14ac:dyDescent="0.2">
      <c r="B35" s="38"/>
      <c r="C35" s="40" t="s">
        <v>257</v>
      </c>
      <c r="D35" s="40"/>
      <c r="E35" s="40"/>
      <c r="F35" s="40"/>
      <c r="G35" s="40"/>
      <c r="H35" s="40"/>
      <c r="I35" s="40"/>
      <c r="J35" s="266" t="s">
        <v>872</v>
      </c>
      <c r="K35" s="41"/>
      <c r="N35" s="12" t="s">
        <v>896</v>
      </c>
    </row>
    <row r="36" spans="2:14" x14ac:dyDescent="0.2">
      <c r="B36" s="38"/>
      <c r="C36" s="40" t="s">
        <v>261</v>
      </c>
      <c r="D36" s="40"/>
      <c r="E36" s="40"/>
      <c r="F36" s="40"/>
      <c r="G36" s="40"/>
      <c r="H36" s="40"/>
      <c r="I36" s="40"/>
      <c r="J36" s="245">
        <f>IF(J35=$B$973,$A$973,IF(J35=$B$974,$A$974,IF(J35=$B$975,$A$975,IF(J35=$B$976,$A$976,IF(J35=$B$977,$A$977,"Not Calculated")))))</f>
        <v>2</v>
      </c>
      <c r="K36" s="41"/>
      <c r="N36" s="12" t="s">
        <v>897</v>
      </c>
    </row>
    <row r="37" spans="2:14" x14ac:dyDescent="0.2">
      <c r="B37" s="38"/>
      <c r="C37" s="40" t="s">
        <v>893</v>
      </c>
      <c r="D37" s="40"/>
      <c r="E37" s="40"/>
      <c r="F37" s="40"/>
      <c r="G37" s="40"/>
      <c r="H37" s="40"/>
      <c r="I37" s="40"/>
      <c r="J37" s="175"/>
      <c r="K37" s="41"/>
      <c r="N37" s="12" t="s">
        <v>898</v>
      </c>
    </row>
    <row r="38" spans="2:14" s="178" customFormat="1" ht="30" customHeight="1" x14ac:dyDescent="0.2">
      <c r="B38" s="176"/>
      <c r="C38" s="415" t="s">
        <v>584</v>
      </c>
      <c r="D38" s="400"/>
      <c r="E38" s="400"/>
      <c r="F38" s="400"/>
      <c r="G38" s="400"/>
      <c r="H38" s="400"/>
      <c r="I38" s="400"/>
      <c r="J38" s="401"/>
      <c r="K38" s="177"/>
    </row>
    <row r="39" spans="2:14" x14ac:dyDescent="0.2">
      <c r="B39" s="38"/>
      <c r="C39" s="40"/>
      <c r="D39" s="40"/>
      <c r="E39" s="40"/>
      <c r="F39" s="40"/>
      <c r="G39" s="40"/>
      <c r="H39" s="40"/>
      <c r="I39" s="40"/>
      <c r="J39" s="40"/>
      <c r="K39" s="41"/>
    </row>
    <row r="40" spans="2:14" x14ac:dyDescent="0.2">
      <c r="B40" s="38"/>
      <c r="C40" s="179" t="s">
        <v>258</v>
      </c>
      <c r="D40" s="40"/>
      <c r="E40" s="40"/>
      <c r="F40" s="40"/>
      <c r="G40" s="40"/>
      <c r="H40" s="40"/>
      <c r="I40" s="40"/>
      <c r="J40" s="245" t="str">
        <f>IF(J34="N/A",IF(OR(J27="Not Calculated",J36="Not Calculated")=TRUE,"Not Calculated",AVERAGE(J27,J36)),AVERAGE(J34,J36))</f>
        <v>Not Calculated</v>
      </c>
      <c r="K40" s="41"/>
    </row>
    <row r="41" spans="2:14" x14ac:dyDescent="0.2">
      <c r="B41" s="38"/>
      <c r="C41" s="179"/>
      <c r="D41" s="40"/>
      <c r="E41" s="40"/>
      <c r="F41" s="40"/>
      <c r="G41" s="40"/>
      <c r="H41" s="40"/>
      <c r="I41" s="40"/>
      <c r="J41" s="245"/>
      <c r="K41" s="41"/>
    </row>
    <row r="42" spans="2:14" x14ac:dyDescent="0.2">
      <c r="B42" s="38"/>
      <c r="C42" s="40"/>
      <c r="D42" s="40"/>
      <c r="E42" s="40"/>
      <c r="F42" s="40"/>
      <c r="G42" s="40"/>
      <c r="H42" s="40"/>
      <c r="I42" s="40"/>
      <c r="J42" s="40"/>
      <c r="K42" s="41"/>
    </row>
    <row r="43" spans="2:14" ht="16" x14ac:dyDescent="0.2">
      <c r="B43" s="38"/>
      <c r="C43" s="45" t="s">
        <v>51</v>
      </c>
      <c r="D43" s="40"/>
      <c r="E43" s="40"/>
      <c r="F43" s="40"/>
      <c r="G43" s="40"/>
      <c r="H43" s="40"/>
      <c r="I43" s="40"/>
      <c r="J43" s="40"/>
      <c r="K43" s="41"/>
    </row>
    <row r="44" spans="2:14" x14ac:dyDescent="0.2">
      <c r="B44" s="38"/>
      <c r="C44" s="40" t="s">
        <v>435</v>
      </c>
      <c r="D44" s="40"/>
      <c r="E44" s="40"/>
      <c r="F44" s="40"/>
      <c r="G44" s="40"/>
      <c r="H44" s="40"/>
      <c r="I44" s="40"/>
      <c r="J44" s="252">
        <f>'Baseline Health'!G17</f>
        <v>0</v>
      </c>
      <c r="K44" s="41"/>
    </row>
    <row r="45" spans="2:14" x14ac:dyDescent="0.2">
      <c r="B45" s="38"/>
      <c r="C45" s="40" t="s">
        <v>287</v>
      </c>
      <c r="D45" s="40"/>
      <c r="E45" s="40"/>
      <c r="F45" s="40"/>
      <c r="G45" s="40"/>
      <c r="H45" s="40"/>
      <c r="I45" s="40"/>
      <c r="J45" s="264">
        <f>J44*0.1</f>
        <v>0</v>
      </c>
      <c r="K45" s="41"/>
    </row>
    <row r="46" spans="2:14" x14ac:dyDescent="0.2">
      <c r="B46" s="38"/>
      <c r="C46" s="40" t="s">
        <v>260</v>
      </c>
      <c r="D46" s="40"/>
      <c r="E46" s="40"/>
      <c r="F46" s="40"/>
      <c r="G46" s="40"/>
      <c r="H46" s="40"/>
      <c r="I46" s="40"/>
      <c r="J46" s="248" t="str">
        <f>IF(OR(J44=0,J44="Not Calculated")=TRUE,"Not Calculated",(IF(((J45+J44)/J44)&lt;=1,0,IF(((J45+J44)/J44)&lt;=1.05,1,IF(((J45+J44)/J44)&lt;=1.5, 2,IF(((J45+J44)/J44)&lt;=2,3,4))))))</f>
        <v>Not Calculated</v>
      </c>
      <c r="K46" s="41"/>
    </row>
    <row r="47" spans="2:14" ht="9.75" customHeight="1" x14ac:dyDescent="0.2">
      <c r="B47" s="38"/>
      <c r="C47" s="279" t="str">
        <f>"0:"</f>
        <v>0:</v>
      </c>
      <c r="D47" s="281" t="s">
        <v>918</v>
      </c>
      <c r="E47" s="40"/>
      <c r="F47" s="40"/>
      <c r="G47" s="40"/>
      <c r="H47" s="40"/>
      <c r="I47" s="40"/>
      <c r="J47" s="40"/>
      <c r="K47" s="41"/>
    </row>
    <row r="48" spans="2:14" ht="9.75" customHeight="1" x14ac:dyDescent="0.2">
      <c r="B48" s="38"/>
      <c r="C48" s="280" t="str">
        <f>"1:"</f>
        <v>1:</v>
      </c>
      <c r="D48" s="281" t="s">
        <v>919</v>
      </c>
      <c r="E48" s="40"/>
      <c r="F48" s="40"/>
      <c r="G48" s="40"/>
      <c r="H48" s="40"/>
      <c r="I48" s="40"/>
      <c r="J48" s="40"/>
      <c r="K48" s="41"/>
    </row>
    <row r="49" spans="2:14" ht="9.75" customHeight="1" x14ac:dyDescent="0.2">
      <c r="B49" s="38"/>
      <c r="C49" s="280" t="str">
        <f>"2:"</f>
        <v>2:</v>
      </c>
      <c r="D49" s="281" t="s">
        <v>920</v>
      </c>
      <c r="E49" s="40"/>
      <c r="F49" s="40"/>
      <c r="G49" s="40"/>
      <c r="H49" s="40"/>
      <c r="I49" s="40"/>
      <c r="J49" s="40"/>
      <c r="K49" s="41"/>
    </row>
    <row r="50" spans="2:14" ht="9.75" customHeight="1" x14ac:dyDescent="0.2">
      <c r="B50" s="38"/>
      <c r="C50" s="280" t="str">
        <f>"3:"</f>
        <v>3:</v>
      </c>
      <c r="D50" s="281" t="s">
        <v>921</v>
      </c>
      <c r="E50" s="40"/>
      <c r="F50" s="40"/>
      <c r="G50" s="40"/>
      <c r="H50" s="40"/>
      <c r="I50" s="40"/>
      <c r="J50" s="40"/>
      <c r="K50" s="41"/>
    </row>
    <row r="51" spans="2:14" ht="9.75" customHeight="1" x14ac:dyDescent="0.2">
      <c r="B51" s="38"/>
      <c r="C51" s="280" t="str">
        <f>"4:"</f>
        <v>4:</v>
      </c>
      <c r="D51" s="281" t="s">
        <v>922</v>
      </c>
      <c r="E51" s="40"/>
      <c r="F51" s="40"/>
      <c r="G51" s="40"/>
      <c r="H51" s="40"/>
      <c r="I51" s="40"/>
      <c r="J51" s="40"/>
      <c r="K51" s="41"/>
      <c r="N51" s="12" t="s">
        <v>661</v>
      </c>
    </row>
    <row r="52" spans="2:14" x14ac:dyDescent="0.2">
      <c r="B52" s="38"/>
      <c r="C52" s="174" t="s">
        <v>662</v>
      </c>
      <c r="D52" s="40"/>
      <c r="E52" s="40"/>
      <c r="F52" s="40"/>
      <c r="G52" s="40"/>
      <c r="H52" s="40"/>
      <c r="I52" s="40"/>
      <c r="J52" s="265" t="s">
        <v>661</v>
      </c>
      <c r="K52" s="41"/>
      <c r="N52" s="12" t="s">
        <v>894</v>
      </c>
    </row>
    <row r="53" spans="2:14" x14ac:dyDescent="0.2">
      <c r="B53" s="38"/>
      <c r="C53" s="174" t="s">
        <v>660</v>
      </c>
      <c r="D53" s="40"/>
      <c r="E53" s="40"/>
      <c r="F53" s="40"/>
      <c r="G53" s="40"/>
      <c r="H53" s="40"/>
      <c r="I53" s="40"/>
      <c r="J53" s="246" t="str">
        <f>IF(J52=N51,"N/A",IF(J52=N52,0,IF(J52=N53,1,IF(J52=N54,2,IF(J52=N55,3,IF(J52=N56,4,"N/A"))))))</f>
        <v>N/A</v>
      </c>
      <c r="K53" s="41"/>
      <c r="N53" s="12" t="s">
        <v>895</v>
      </c>
    </row>
    <row r="54" spans="2:14" x14ac:dyDescent="0.2">
      <c r="B54" s="38"/>
      <c r="C54" s="40" t="s">
        <v>257</v>
      </c>
      <c r="D54" s="40"/>
      <c r="E54" s="40"/>
      <c r="F54" s="40"/>
      <c r="G54" s="40"/>
      <c r="H54" s="40"/>
      <c r="I54" s="40"/>
      <c r="J54" s="266" t="s">
        <v>872</v>
      </c>
      <c r="K54" s="41"/>
      <c r="N54" s="12" t="s">
        <v>896</v>
      </c>
    </row>
    <row r="55" spans="2:14" x14ac:dyDescent="0.2">
      <c r="B55" s="38"/>
      <c r="C55" s="40" t="s">
        <v>261</v>
      </c>
      <c r="D55" s="40"/>
      <c r="E55" s="40"/>
      <c r="F55" s="40"/>
      <c r="G55" s="40"/>
      <c r="H55" s="40"/>
      <c r="I55" s="40"/>
      <c r="J55" s="245">
        <f>IF(J54=$B$973,$A$973,IF(J54=$B$974,$A$974,IF(J54=$B$975,$A$975,IF(J54=$B$976,$A$976,IF(J54=$B$977,$A$977,"Not Calculated")))))</f>
        <v>2</v>
      </c>
      <c r="K55" s="41"/>
      <c r="N55" s="12" t="s">
        <v>897</v>
      </c>
    </row>
    <row r="56" spans="2:14" x14ac:dyDescent="0.2">
      <c r="B56" s="38"/>
      <c r="C56" s="40" t="s">
        <v>893</v>
      </c>
      <c r="D56" s="40"/>
      <c r="E56" s="40"/>
      <c r="F56" s="40"/>
      <c r="G56" s="40"/>
      <c r="H56" s="40"/>
      <c r="I56" s="40"/>
      <c r="J56" s="175"/>
      <c r="K56" s="41"/>
      <c r="N56" s="12" t="s">
        <v>898</v>
      </c>
    </row>
    <row r="57" spans="2:14" s="178" customFormat="1" ht="30" customHeight="1" x14ac:dyDescent="0.2">
      <c r="B57" s="176"/>
      <c r="C57" s="415"/>
      <c r="D57" s="400"/>
      <c r="E57" s="400"/>
      <c r="F57" s="400"/>
      <c r="G57" s="400"/>
      <c r="H57" s="400"/>
      <c r="I57" s="400"/>
      <c r="J57" s="401"/>
      <c r="K57" s="177"/>
    </row>
    <row r="58" spans="2:14" x14ac:dyDescent="0.2">
      <c r="B58" s="38"/>
      <c r="C58" s="40"/>
      <c r="D58" s="40"/>
      <c r="E58" s="40"/>
      <c r="F58" s="40"/>
      <c r="G58" s="40"/>
      <c r="H58" s="40"/>
      <c r="I58" s="40"/>
      <c r="J58" s="40"/>
      <c r="K58" s="41"/>
    </row>
    <row r="59" spans="2:14" x14ac:dyDescent="0.2">
      <c r="B59" s="38"/>
      <c r="C59" s="179" t="s">
        <v>263</v>
      </c>
      <c r="D59" s="40"/>
      <c r="E59" s="40"/>
      <c r="F59" s="40"/>
      <c r="G59" s="40"/>
      <c r="H59" s="40"/>
      <c r="I59" s="40"/>
      <c r="J59" s="245" t="str">
        <f>IF(J53="N/A",IF(OR(J46="Not Calculated",J55="Not Calculated")=TRUE,"Not Calculated",AVERAGE(J46,J55)),AVERAGE(J53,J55))</f>
        <v>Not Calculated</v>
      </c>
      <c r="K59" s="41"/>
    </row>
    <row r="60" spans="2:14" x14ac:dyDescent="0.2">
      <c r="B60" s="38"/>
      <c r="C60" s="40"/>
      <c r="D60" s="40"/>
      <c r="E60" s="40"/>
      <c r="F60" s="40"/>
      <c r="G60" s="40"/>
      <c r="H60" s="40"/>
      <c r="I60" s="40"/>
      <c r="J60" s="40"/>
      <c r="K60" s="41"/>
    </row>
    <row r="61" spans="2:14" x14ac:dyDescent="0.2">
      <c r="B61" s="38"/>
      <c r="C61" s="40"/>
      <c r="D61" s="40"/>
      <c r="E61" s="40"/>
      <c r="F61" s="40"/>
      <c r="G61" s="40"/>
      <c r="H61" s="40"/>
      <c r="I61" s="40"/>
      <c r="J61" s="40"/>
      <c r="K61" s="41"/>
    </row>
    <row r="62" spans="2:14" ht="16" x14ac:dyDescent="0.2">
      <c r="B62" s="38"/>
      <c r="C62" s="45" t="s">
        <v>54</v>
      </c>
      <c r="D62" s="40"/>
      <c r="E62" s="40"/>
      <c r="F62" s="40"/>
      <c r="G62" s="40"/>
      <c r="H62" s="40"/>
      <c r="I62" s="40"/>
      <c r="J62" s="40"/>
      <c r="K62" s="41"/>
    </row>
    <row r="63" spans="2:14" x14ac:dyDescent="0.2">
      <c r="B63" s="38"/>
      <c r="C63" s="40" t="s">
        <v>436</v>
      </c>
      <c r="D63" s="40"/>
      <c r="E63" s="40"/>
      <c r="F63" s="40"/>
      <c r="G63" s="40"/>
      <c r="H63" s="40"/>
      <c r="I63" s="40"/>
      <c r="J63" s="252">
        <f>'Baseline Health'!G23</f>
        <v>0</v>
      </c>
      <c r="K63" s="41"/>
    </row>
    <row r="64" spans="2:14" x14ac:dyDescent="0.2">
      <c r="B64" s="38"/>
      <c r="C64" s="40" t="s">
        <v>289</v>
      </c>
      <c r="D64" s="40"/>
      <c r="E64" s="40"/>
      <c r="F64" s="40"/>
      <c r="G64" s="40"/>
      <c r="H64" s="40"/>
      <c r="I64" s="40"/>
      <c r="J64" s="264">
        <f>-J63*0.6</f>
        <v>0</v>
      </c>
      <c r="K64" s="41"/>
    </row>
    <row r="65" spans="2:14" x14ac:dyDescent="0.2">
      <c r="B65" s="38"/>
      <c r="C65" s="40" t="s">
        <v>260</v>
      </c>
      <c r="D65" s="40"/>
      <c r="E65" s="40"/>
      <c r="F65" s="40"/>
      <c r="G65" s="40"/>
      <c r="H65" s="40"/>
      <c r="I65" s="40"/>
      <c r="J65" s="248" t="str">
        <f>IF(OR(J63=0,J63="Not Calculated")=TRUE,"Not Calculated",(IF(((J64+J63)/J63)&lt;=1,0,IF(((J64+J63)/J63)&lt;=1.05,1,IF(((J64+J63)/J63)&lt;=1.5, 2,IF(((J64+J63)/J63)&lt;=2,3,4))))))</f>
        <v>Not Calculated</v>
      </c>
      <c r="K65" s="41"/>
    </row>
    <row r="66" spans="2:14" ht="9.75" customHeight="1" x14ac:dyDescent="0.2">
      <c r="B66" s="38"/>
      <c r="C66" s="279" t="str">
        <f>"0:"</f>
        <v>0:</v>
      </c>
      <c r="D66" s="281" t="s">
        <v>918</v>
      </c>
      <c r="E66" s="40"/>
      <c r="F66" s="40"/>
      <c r="G66" s="40"/>
      <c r="H66" s="40"/>
      <c r="I66" s="40"/>
      <c r="J66" s="40"/>
      <c r="K66" s="41"/>
    </row>
    <row r="67" spans="2:14" ht="9.75" customHeight="1" x14ac:dyDescent="0.2">
      <c r="B67" s="38"/>
      <c r="C67" s="280" t="str">
        <f>"1:"</f>
        <v>1:</v>
      </c>
      <c r="D67" s="281" t="s">
        <v>919</v>
      </c>
      <c r="E67" s="40"/>
      <c r="F67" s="40"/>
      <c r="G67" s="40"/>
      <c r="H67" s="40"/>
      <c r="I67" s="40"/>
      <c r="J67" s="40"/>
      <c r="K67" s="41"/>
    </row>
    <row r="68" spans="2:14" ht="9.75" customHeight="1" x14ac:dyDescent="0.2">
      <c r="B68" s="38"/>
      <c r="C68" s="280" t="str">
        <f>"2:"</f>
        <v>2:</v>
      </c>
      <c r="D68" s="281" t="s">
        <v>920</v>
      </c>
      <c r="E68" s="40"/>
      <c r="F68" s="40"/>
      <c r="G68" s="40"/>
      <c r="H68" s="40"/>
      <c r="I68" s="40"/>
      <c r="J68" s="40"/>
      <c r="K68" s="41"/>
    </row>
    <row r="69" spans="2:14" ht="9.75" customHeight="1" x14ac:dyDescent="0.2">
      <c r="B69" s="38"/>
      <c r="C69" s="280" t="str">
        <f>"3:"</f>
        <v>3:</v>
      </c>
      <c r="D69" s="281" t="s">
        <v>921</v>
      </c>
      <c r="E69" s="40"/>
      <c r="F69" s="40"/>
      <c r="G69" s="40"/>
      <c r="H69" s="40"/>
      <c r="I69" s="40"/>
      <c r="J69" s="40"/>
      <c r="K69" s="41"/>
    </row>
    <row r="70" spans="2:14" ht="9.75" customHeight="1" x14ac:dyDescent="0.2">
      <c r="B70" s="38"/>
      <c r="C70" s="280" t="str">
        <f>"4:"</f>
        <v>4:</v>
      </c>
      <c r="D70" s="281" t="s">
        <v>922</v>
      </c>
      <c r="E70" s="40"/>
      <c r="F70" s="40"/>
      <c r="G70" s="40"/>
      <c r="H70" s="40"/>
      <c r="I70" s="40"/>
      <c r="J70" s="40"/>
      <c r="K70" s="41"/>
      <c r="N70" s="12" t="s">
        <v>661</v>
      </c>
    </row>
    <row r="71" spans="2:14" x14ac:dyDescent="0.2">
      <c r="B71" s="38"/>
      <c r="C71" s="174" t="s">
        <v>662</v>
      </c>
      <c r="D71" s="40"/>
      <c r="E71" s="40"/>
      <c r="F71" s="40"/>
      <c r="G71" s="40"/>
      <c r="H71" s="40"/>
      <c r="I71" s="40"/>
      <c r="J71" s="265" t="s">
        <v>661</v>
      </c>
      <c r="K71" s="41"/>
      <c r="N71" s="12" t="s">
        <v>894</v>
      </c>
    </row>
    <row r="72" spans="2:14" x14ac:dyDescent="0.2">
      <c r="B72" s="38"/>
      <c r="C72" s="174" t="s">
        <v>660</v>
      </c>
      <c r="D72" s="40"/>
      <c r="E72" s="40"/>
      <c r="F72" s="40"/>
      <c r="G72" s="40"/>
      <c r="H72" s="40"/>
      <c r="I72" s="40"/>
      <c r="J72" s="246" t="str">
        <f>IF(J71=N70,"N/A",IF(J71=N71,0,IF(J71=N72,1,IF(J71=N73,2,IF(J71=N74,3,IF(J71=N75,4,"N/A"))))))</f>
        <v>N/A</v>
      </c>
      <c r="K72" s="41"/>
      <c r="N72" s="12" t="s">
        <v>895</v>
      </c>
    </row>
    <row r="73" spans="2:14" x14ac:dyDescent="0.2">
      <c r="B73" s="38"/>
      <c r="C73" s="40" t="s">
        <v>257</v>
      </c>
      <c r="D73" s="40"/>
      <c r="E73" s="40"/>
      <c r="F73" s="40"/>
      <c r="G73" s="40"/>
      <c r="H73" s="40"/>
      <c r="I73" s="40"/>
      <c r="J73" s="266" t="s">
        <v>870</v>
      </c>
      <c r="K73" s="41"/>
      <c r="N73" s="12" t="s">
        <v>896</v>
      </c>
    </row>
    <row r="74" spans="2:14" x14ac:dyDescent="0.2">
      <c r="B74" s="38"/>
      <c r="C74" s="40" t="s">
        <v>261</v>
      </c>
      <c r="D74" s="40"/>
      <c r="E74" s="40"/>
      <c r="F74" s="40"/>
      <c r="G74" s="40"/>
      <c r="H74" s="40"/>
      <c r="I74" s="40"/>
      <c r="J74" s="245">
        <f>IF(J73=$B$973,$A$973,IF(J73=$B$974,$A$974,IF(J73=$B$975,$A$975,IF(J73=$B$976,$A$976,IF(J73=$B$977,$A$977,"Not Calculated")))))</f>
        <v>0</v>
      </c>
      <c r="K74" s="41"/>
      <c r="N74" s="12" t="s">
        <v>897</v>
      </c>
    </row>
    <row r="75" spans="2:14" x14ac:dyDescent="0.2">
      <c r="B75" s="38"/>
      <c r="C75" s="40" t="s">
        <v>893</v>
      </c>
      <c r="D75" s="40"/>
      <c r="E75" s="40"/>
      <c r="F75" s="40"/>
      <c r="G75" s="40"/>
      <c r="H75" s="40"/>
      <c r="I75" s="40"/>
      <c r="J75" s="175"/>
      <c r="K75" s="41"/>
      <c r="N75" s="12" t="s">
        <v>898</v>
      </c>
    </row>
    <row r="76" spans="2:14" s="178" customFormat="1" ht="30" customHeight="1" x14ac:dyDescent="0.2">
      <c r="B76" s="176"/>
      <c r="C76" s="415" t="s">
        <v>585</v>
      </c>
      <c r="D76" s="400"/>
      <c r="E76" s="400"/>
      <c r="F76" s="400"/>
      <c r="G76" s="400"/>
      <c r="H76" s="400"/>
      <c r="I76" s="400"/>
      <c r="J76" s="401"/>
      <c r="K76" s="177"/>
    </row>
    <row r="77" spans="2:14" x14ac:dyDescent="0.2">
      <c r="B77" s="38"/>
      <c r="C77" s="40"/>
      <c r="D77" s="40"/>
      <c r="E77" s="40"/>
      <c r="F77" s="40"/>
      <c r="G77" s="40"/>
      <c r="H77" s="40"/>
      <c r="I77" s="40"/>
      <c r="J77" s="40"/>
      <c r="K77" s="41"/>
    </row>
    <row r="78" spans="2:14" x14ac:dyDescent="0.2">
      <c r="B78" s="38"/>
      <c r="C78" s="179" t="s">
        <v>264</v>
      </c>
      <c r="D78" s="40"/>
      <c r="E78" s="40"/>
      <c r="F78" s="40"/>
      <c r="G78" s="40"/>
      <c r="H78" s="40"/>
      <c r="I78" s="40"/>
      <c r="J78" s="245" t="str">
        <f>IF(J72="N/A",IF(OR(J65="Not Calculated",J74="Not Calculated")=TRUE,"Not Calculated",AVERAGE(J65,J74)),AVERAGE(J72,J74))</f>
        <v>Not Calculated</v>
      </c>
      <c r="K78" s="41"/>
    </row>
    <row r="79" spans="2:14" x14ac:dyDescent="0.2">
      <c r="B79" s="38"/>
      <c r="C79" s="40"/>
      <c r="D79" s="40"/>
      <c r="E79" s="40"/>
      <c r="F79" s="40"/>
      <c r="G79" s="40"/>
      <c r="H79" s="40"/>
      <c r="I79" s="40"/>
      <c r="J79" s="40"/>
      <c r="K79" s="41"/>
    </row>
    <row r="80" spans="2:14" x14ac:dyDescent="0.2">
      <c r="B80" s="38"/>
      <c r="C80" s="40"/>
      <c r="D80" s="40"/>
      <c r="E80" s="40"/>
      <c r="F80" s="40"/>
      <c r="G80" s="40"/>
      <c r="H80" s="40"/>
      <c r="I80" s="40"/>
      <c r="J80" s="40"/>
      <c r="K80" s="41"/>
    </row>
    <row r="81" spans="2:14" ht="16" x14ac:dyDescent="0.2">
      <c r="B81" s="38"/>
      <c r="C81" s="45" t="s">
        <v>57</v>
      </c>
      <c r="D81" s="40"/>
      <c r="E81" s="40"/>
      <c r="F81" s="40"/>
      <c r="G81" s="40"/>
      <c r="H81" s="40"/>
      <c r="I81" s="40"/>
      <c r="J81" s="40"/>
      <c r="K81" s="41"/>
    </row>
    <row r="82" spans="2:14" x14ac:dyDescent="0.2">
      <c r="B82" s="38"/>
      <c r="C82" s="40" t="s">
        <v>437</v>
      </c>
      <c r="D82" s="40"/>
      <c r="E82" s="40"/>
      <c r="F82" s="40"/>
      <c r="G82" s="40"/>
      <c r="H82" s="40"/>
      <c r="I82" s="40"/>
      <c r="J82" s="252">
        <f>'Baseline Health'!G29</f>
        <v>0</v>
      </c>
      <c r="K82" s="41"/>
    </row>
    <row r="83" spans="2:14" x14ac:dyDescent="0.2">
      <c r="B83" s="38"/>
      <c r="C83" s="40" t="s">
        <v>290</v>
      </c>
      <c r="D83" s="40"/>
      <c r="E83" s="40"/>
      <c r="F83" s="40"/>
      <c r="G83" s="40"/>
      <c r="H83" s="40"/>
      <c r="I83" s="40"/>
      <c r="J83" s="264">
        <f>-J82*0.6</f>
        <v>0</v>
      </c>
      <c r="K83" s="41"/>
    </row>
    <row r="84" spans="2:14" x14ac:dyDescent="0.2">
      <c r="B84" s="38"/>
      <c r="C84" s="40" t="s">
        <v>260</v>
      </c>
      <c r="D84" s="40"/>
      <c r="E84" s="40"/>
      <c r="F84" s="40"/>
      <c r="G84" s="40"/>
      <c r="H84" s="40"/>
      <c r="I84" s="40"/>
      <c r="J84" s="248" t="str">
        <f>IF(OR(J82=0,J82="Not Calculated")=TRUE,"Not Calculated",(IF(((J83+J82)/J82)&lt;=1,0,IF(((J83+J82)/J82)&lt;=1.05,1,IF(((J83+J82)/J82)&lt;=1.5, 2,IF(((J83+J82)/J82)&lt;=2,3,4))))))</f>
        <v>Not Calculated</v>
      </c>
      <c r="K84" s="41"/>
    </row>
    <row r="85" spans="2:14" ht="9.75" customHeight="1" x14ac:dyDescent="0.2">
      <c r="B85" s="38"/>
      <c r="C85" s="279" t="str">
        <f>"0:"</f>
        <v>0:</v>
      </c>
      <c r="D85" s="281" t="s">
        <v>918</v>
      </c>
      <c r="E85" s="40"/>
      <c r="F85" s="40"/>
      <c r="G85" s="40"/>
      <c r="H85" s="40"/>
      <c r="I85" s="40"/>
      <c r="J85" s="40"/>
      <c r="K85" s="41"/>
    </row>
    <row r="86" spans="2:14" ht="9.75" customHeight="1" x14ac:dyDescent="0.2">
      <c r="B86" s="38"/>
      <c r="C86" s="280" t="str">
        <f>"1:"</f>
        <v>1:</v>
      </c>
      <c r="D86" s="281" t="s">
        <v>919</v>
      </c>
      <c r="E86" s="40"/>
      <c r="F86" s="40"/>
      <c r="G86" s="40"/>
      <c r="H86" s="40"/>
      <c r="I86" s="40"/>
      <c r="J86" s="40"/>
      <c r="K86" s="41"/>
    </row>
    <row r="87" spans="2:14" ht="9.75" customHeight="1" x14ac:dyDescent="0.2">
      <c r="B87" s="38"/>
      <c r="C87" s="280" t="str">
        <f>"2:"</f>
        <v>2:</v>
      </c>
      <c r="D87" s="281" t="s">
        <v>920</v>
      </c>
      <c r="E87" s="40"/>
      <c r="F87" s="40"/>
      <c r="G87" s="40"/>
      <c r="H87" s="40"/>
      <c r="I87" s="40"/>
      <c r="J87" s="40"/>
      <c r="K87" s="41"/>
    </row>
    <row r="88" spans="2:14" ht="9.75" customHeight="1" x14ac:dyDescent="0.2">
      <c r="B88" s="38"/>
      <c r="C88" s="280" t="str">
        <f>"3:"</f>
        <v>3:</v>
      </c>
      <c r="D88" s="281" t="s">
        <v>921</v>
      </c>
      <c r="E88" s="40"/>
      <c r="F88" s="40"/>
      <c r="G88" s="40"/>
      <c r="H88" s="40"/>
      <c r="I88" s="40"/>
      <c r="J88" s="40"/>
      <c r="K88" s="41"/>
    </row>
    <row r="89" spans="2:14" ht="9.75" customHeight="1" x14ac:dyDescent="0.2">
      <c r="B89" s="38"/>
      <c r="C89" s="280" t="str">
        <f>"4:"</f>
        <v>4:</v>
      </c>
      <c r="D89" s="281" t="s">
        <v>922</v>
      </c>
      <c r="E89" s="40"/>
      <c r="F89" s="40"/>
      <c r="G89" s="40"/>
      <c r="H89" s="40"/>
      <c r="I89" s="40"/>
      <c r="J89" s="40"/>
      <c r="K89" s="41"/>
      <c r="N89" s="12" t="s">
        <v>661</v>
      </c>
    </row>
    <row r="90" spans="2:14" x14ac:dyDescent="0.2">
      <c r="B90" s="38"/>
      <c r="C90" s="174" t="s">
        <v>662</v>
      </c>
      <c r="D90" s="40"/>
      <c r="E90" s="40"/>
      <c r="F90" s="40"/>
      <c r="G90" s="40"/>
      <c r="H90" s="40"/>
      <c r="I90" s="40"/>
      <c r="J90" s="265" t="s">
        <v>661</v>
      </c>
      <c r="K90" s="41"/>
      <c r="N90" s="12" t="s">
        <v>894</v>
      </c>
    </row>
    <row r="91" spans="2:14" x14ac:dyDescent="0.2">
      <c r="B91" s="38"/>
      <c r="C91" s="174" t="s">
        <v>660</v>
      </c>
      <c r="D91" s="40"/>
      <c r="E91" s="40"/>
      <c r="F91" s="40"/>
      <c r="G91" s="40"/>
      <c r="H91" s="40"/>
      <c r="I91" s="40"/>
      <c r="J91" s="246" t="str">
        <f>IF(J90=N89,"N/A",IF(J90=N90,0,IF(J90=N91,1,IF(J90=N92,2,IF(J90=N93,3,IF(J90=N94,4,"N/A"))))))</f>
        <v>N/A</v>
      </c>
      <c r="K91" s="41"/>
      <c r="N91" s="12" t="s">
        <v>895</v>
      </c>
    </row>
    <row r="92" spans="2:14" x14ac:dyDescent="0.2">
      <c r="B92" s="38"/>
      <c r="C92" s="40" t="s">
        <v>257</v>
      </c>
      <c r="D92" s="40"/>
      <c r="E92" s="40"/>
      <c r="F92" s="40"/>
      <c r="G92" s="40"/>
      <c r="H92" s="40"/>
      <c r="I92" s="40"/>
      <c r="J92" s="266" t="s">
        <v>870</v>
      </c>
      <c r="K92" s="41"/>
      <c r="N92" s="12" t="s">
        <v>896</v>
      </c>
    </row>
    <row r="93" spans="2:14" x14ac:dyDescent="0.2">
      <c r="B93" s="38"/>
      <c r="C93" s="40" t="s">
        <v>261</v>
      </c>
      <c r="D93" s="40"/>
      <c r="E93" s="40"/>
      <c r="F93" s="40"/>
      <c r="G93" s="40"/>
      <c r="H93" s="40"/>
      <c r="I93" s="40"/>
      <c r="J93" s="245">
        <f>IF(J92=$B$973,$A$973,IF(J92=$B$974,$A$974,IF(J92=$B$975,$A$975,IF(J92=$B$976,$A$976,IF(J92=$B$977,$A$977,"Not Calculated")))))</f>
        <v>0</v>
      </c>
      <c r="K93" s="41"/>
      <c r="N93" s="12" t="s">
        <v>897</v>
      </c>
    </row>
    <row r="94" spans="2:14" x14ac:dyDescent="0.2">
      <c r="B94" s="38"/>
      <c r="C94" s="40" t="s">
        <v>893</v>
      </c>
      <c r="D94" s="40"/>
      <c r="E94" s="40"/>
      <c r="F94" s="40"/>
      <c r="G94" s="40"/>
      <c r="H94" s="40"/>
      <c r="I94" s="40"/>
      <c r="J94" s="175"/>
      <c r="K94" s="41"/>
      <c r="N94" s="12" t="s">
        <v>898</v>
      </c>
    </row>
    <row r="95" spans="2:14" s="178" customFormat="1" ht="30" customHeight="1" x14ac:dyDescent="0.2">
      <c r="B95" s="176"/>
      <c r="C95" s="415" t="s">
        <v>586</v>
      </c>
      <c r="D95" s="400"/>
      <c r="E95" s="400"/>
      <c r="F95" s="400"/>
      <c r="G95" s="400"/>
      <c r="H95" s="400"/>
      <c r="I95" s="400"/>
      <c r="J95" s="401"/>
      <c r="K95" s="177"/>
    </row>
    <row r="96" spans="2:14" x14ac:dyDescent="0.2">
      <c r="B96" s="38"/>
      <c r="C96" s="40"/>
      <c r="D96" s="40"/>
      <c r="E96" s="40"/>
      <c r="F96" s="40"/>
      <c r="G96" s="40"/>
      <c r="H96" s="40"/>
      <c r="I96" s="40"/>
      <c r="J96" s="40"/>
      <c r="K96" s="41"/>
    </row>
    <row r="97" spans="2:14" x14ac:dyDescent="0.2">
      <c r="B97" s="38"/>
      <c r="C97" s="179" t="s">
        <v>265</v>
      </c>
      <c r="D97" s="40"/>
      <c r="E97" s="40"/>
      <c r="F97" s="40"/>
      <c r="G97" s="40"/>
      <c r="H97" s="40"/>
      <c r="I97" s="40"/>
      <c r="J97" s="245" t="str">
        <f>IF(J91="N/A",IF(OR(J84="Not Calculated",J93="Not Calculated")=TRUE,"Not Calculated",AVERAGE(J84,J93)),AVERAGE(J91,J93))</f>
        <v>Not Calculated</v>
      </c>
      <c r="K97" s="41"/>
    </row>
    <row r="98" spans="2:14" x14ac:dyDescent="0.2">
      <c r="B98" s="38"/>
      <c r="C98" s="40"/>
      <c r="D98" s="40"/>
      <c r="E98" s="40"/>
      <c r="F98" s="40"/>
      <c r="G98" s="40"/>
      <c r="H98" s="40"/>
      <c r="I98" s="40"/>
      <c r="J98" s="40"/>
      <c r="K98" s="41"/>
    </row>
    <row r="99" spans="2:14" x14ac:dyDescent="0.2">
      <c r="B99" s="38"/>
      <c r="C99" s="40"/>
      <c r="D99" s="40"/>
      <c r="E99" s="40"/>
      <c r="F99" s="40"/>
      <c r="G99" s="40"/>
      <c r="H99" s="40"/>
      <c r="I99" s="40"/>
      <c r="J99" s="40"/>
      <c r="K99" s="41"/>
    </row>
    <row r="100" spans="2:14" ht="16" x14ac:dyDescent="0.2">
      <c r="B100" s="38"/>
      <c r="C100" s="45" t="s">
        <v>60</v>
      </c>
      <c r="D100" s="40"/>
      <c r="E100" s="40"/>
      <c r="F100" s="40"/>
      <c r="G100" s="40"/>
      <c r="H100" s="40"/>
      <c r="I100" s="40"/>
      <c r="J100" s="40"/>
      <c r="K100" s="41"/>
    </row>
    <row r="101" spans="2:14" x14ac:dyDescent="0.2">
      <c r="B101" s="38"/>
      <c r="C101" s="40" t="s">
        <v>438</v>
      </c>
      <c r="D101" s="40"/>
      <c r="E101" s="40"/>
      <c r="F101" s="40"/>
      <c r="G101" s="40"/>
      <c r="H101" s="40"/>
      <c r="I101" s="40"/>
      <c r="J101" s="252">
        <f>'Baseline Health'!G35</f>
        <v>0</v>
      </c>
      <c r="K101" s="41"/>
    </row>
    <row r="102" spans="2:14" x14ac:dyDescent="0.2">
      <c r="B102" s="38"/>
      <c r="C102" s="40" t="s">
        <v>291</v>
      </c>
      <c r="D102" s="40"/>
      <c r="E102" s="40"/>
      <c r="F102" s="40"/>
      <c r="G102" s="40"/>
      <c r="H102" s="40"/>
      <c r="I102" s="40"/>
      <c r="J102" s="264">
        <f>J101*0.5</f>
        <v>0</v>
      </c>
      <c r="K102" s="41"/>
    </row>
    <row r="103" spans="2:14" x14ac:dyDescent="0.2">
      <c r="B103" s="38"/>
      <c r="C103" s="40" t="s">
        <v>260</v>
      </c>
      <c r="D103" s="40"/>
      <c r="E103" s="40"/>
      <c r="F103" s="40"/>
      <c r="G103" s="40"/>
      <c r="H103" s="40"/>
      <c r="I103" s="40"/>
      <c r="J103" s="248" t="str">
        <f>IF(OR(J101=0,J101="Not Calculated")=TRUE,"Not Calculated",(IF(((J102+J101)/J101)&lt;=1,0,IF(((J102+J101)/J101)&lt;=1.05,1,IF(((J102+J101)/J101)&lt;=1.5, 2,IF(((J102+J101)/J101)&lt;=2,3,4))))))</f>
        <v>Not Calculated</v>
      </c>
      <c r="K103" s="41"/>
    </row>
    <row r="104" spans="2:14" ht="9.75" customHeight="1" x14ac:dyDescent="0.2">
      <c r="B104" s="38"/>
      <c r="C104" s="279" t="str">
        <f>"0:"</f>
        <v>0:</v>
      </c>
      <c r="D104" s="281" t="s">
        <v>918</v>
      </c>
      <c r="E104" s="40"/>
      <c r="F104" s="40"/>
      <c r="G104" s="40"/>
      <c r="H104" s="40"/>
      <c r="I104" s="40"/>
      <c r="J104" s="40"/>
      <c r="K104" s="41"/>
    </row>
    <row r="105" spans="2:14" ht="9.75" customHeight="1" x14ac:dyDescent="0.2">
      <c r="B105" s="38"/>
      <c r="C105" s="280" t="str">
        <f>"1:"</f>
        <v>1:</v>
      </c>
      <c r="D105" s="281" t="s">
        <v>919</v>
      </c>
      <c r="E105" s="40"/>
      <c r="F105" s="40"/>
      <c r="G105" s="40"/>
      <c r="H105" s="40"/>
      <c r="I105" s="40"/>
      <c r="J105" s="40"/>
      <c r="K105" s="41"/>
    </row>
    <row r="106" spans="2:14" ht="9.75" customHeight="1" x14ac:dyDescent="0.2">
      <c r="B106" s="38"/>
      <c r="C106" s="280" t="str">
        <f>"2:"</f>
        <v>2:</v>
      </c>
      <c r="D106" s="281" t="s">
        <v>920</v>
      </c>
      <c r="E106" s="40"/>
      <c r="F106" s="40"/>
      <c r="G106" s="40"/>
      <c r="H106" s="40"/>
      <c r="I106" s="40"/>
      <c r="J106" s="40"/>
      <c r="K106" s="41"/>
    </row>
    <row r="107" spans="2:14" ht="9.75" customHeight="1" x14ac:dyDescent="0.2">
      <c r="B107" s="38"/>
      <c r="C107" s="280" t="str">
        <f>"3:"</f>
        <v>3:</v>
      </c>
      <c r="D107" s="281" t="s">
        <v>921</v>
      </c>
      <c r="E107" s="40"/>
      <c r="F107" s="40"/>
      <c r="G107" s="40"/>
      <c r="H107" s="40"/>
      <c r="I107" s="40"/>
      <c r="J107" s="40"/>
      <c r="K107" s="41"/>
    </row>
    <row r="108" spans="2:14" ht="9.75" customHeight="1" x14ac:dyDescent="0.2">
      <c r="B108" s="38"/>
      <c r="C108" s="280" t="str">
        <f>"4:"</f>
        <v>4:</v>
      </c>
      <c r="D108" s="281" t="s">
        <v>922</v>
      </c>
      <c r="E108" s="40"/>
      <c r="F108" s="40"/>
      <c r="G108" s="40"/>
      <c r="H108" s="40"/>
      <c r="I108" s="40"/>
      <c r="J108" s="40"/>
      <c r="K108" s="41"/>
      <c r="N108" s="12" t="s">
        <v>661</v>
      </c>
    </row>
    <row r="109" spans="2:14" x14ac:dyDescent="0.2">
      <c r="B109" s="38"/>
      <c r="C109" s="174" t="s">
        <v>662</v>
      </c>
      <c r="D109" s="40"/>
      <c r="E109" s="40"/>
      <c r="F109" s="40"/>
      <c r="G109" s="40"/>
      <c r="H109" s="40"/>
      <c r="I109" s="40"/>
      <c r="J109" s="265" t="s">
        <v>661</v>
      </c>
      <c r="K109" s="41"/>
      <c r="N109" s="12" t="s">
        <v>894</v>
      </c>
    </row>
    <row r="110" spans="2:14" x14ac:dyDescent="0.2">
      <c r="B110" s="38"/>
      <c r="C110" s="174" t="s">
        <v>660</v>
      </c>
      <c r="D110" s="40"/>
      <c r="E110" s="40"/>
      <c r="F110" s="40"/>
      <c r="G110" s="40"/>
      <c r="H110" s="40"/>
      <c r="I110" s="40"/>
      <c r="J110" s="246" t="str">
        <f>IF(J109=N108,"N/A",IF(J109=N109,0,IF(J109=N110,1,IF(J109=N111,2,IF(J109=N112,3,IF(J109=N113,4,"N/A"))))))</f>
        <v>N/A</v>
      </c>
      <c r="K110" s="41"/>
      <c r="N110" s="12" t="s">
        <v>895</v>
      </c>
    </row>
    <row r="111" spans="2:14" x14ac:dyDescent="0.2">
      <c r="B111" s="38"/>
      <c r="C111" s="40" t="s">
        <v>257</v>
      </c>
      <c r="D111" s="40"/>
      <c r="E111" s="40"/>
      <c r="F111" s="40"/>
      <c r="G111" s="40"/>
      <c r="H111" s="40"/>
      <c r="I111" s="40"/>
      <c r="J111" s="266" t="s">
        <v>872</v>
      </c>
      <c r="K111" s="41"/>
      <c r="N111" s="12" t="s">
        <v>896</v>
      </c>
    </row>
    <row r="112" spans="2:14" x14ac:dyDescent="0.2">
      <c r="B112" s="38"/>
      <c r="C112" s="40" t="s">
        <v>261</v>
      </c>
      <c r="D112" s="40"/>
      <c r="E112" s="40"/>
      <c r="F112" s="40"/>
      <c r="G112" s="40"/>
      <c r="H112" s="40"/>
      <c r="I112" s="40"/>
      <c r="J112" s="245">
        <f>IF(J111=$B$973,$A$973,IF(J111=$B$974,$A$974,IF(J111=$B$975,$A$975,IF(J111=$B$976,$A$976,IF(J111=$B$977,$A$977,"Not Calculated")))))</f>
        <v>2</v>
      </c>
      <c r="K112" s="41"/>
      <c r="N112" s="12" t="s">
        <v>897</v>
      </c>
    </row>
    <row r="113" spans="2:14" x14ac:dyDescent="0.2">
      <c r="B113" s="38"/>
      <c r="C113" s="40" t="s">
        <v>893</v>
      </c>
      <c r="D113" s="40"/>
      <c r="E113" s="40"/>
      <c r="F113" s="40"/>
      <c r="G113" s="40"/>
      <c r="H113" s="40"/>
      <c r="I113" s="40"/>
      <c r="J113" s="175"/>
      <c r="K113" s="41"/>
      <c r="N113" s="12" t="s">
        <v>898</v>
      </c>
    </row>
    <row r="114" spans="2:14" s="178" customFormat="1" ht="30" customHeight="1" x14ac:dyDescent="0.2">
      <c r="B114" s="176"/>
      <c r="C114" s="415" t="s">
        <v>587</v>
      </c>
      <c r="D114" s="400"/>
      <c r="E114" s="400"/>
      <c r="F114" s="400"/>
      <c r="G114" s="400"/>
      <c r="H114" s="400"/>
      <c r="I114" s="400"/>
      <c r="J114" s="400"/>
      <c r="K114" s="177"/>
    </row>
    <row r="115" spans="2:14" x14ac:dyDescent="0.2">
      <c r="B115" s="38"/>
      <c r="C115" s="40"/>
      <c r="D115" s="40"/>
      <c r="E115" s="40"/>
      <c r="F115" s="40"/>
      <c r="G115" s="40"/>
      <c r="H115" s="40"/>
      <c r="I115" s="40"/>
      <c r="J115" s="40"/>
      <c r="K115" s="41"/>
    </row>
    <row r="116" spans="2:14" x14ac:dyDescent="0.2">
      <c r="B116" s="38"/>
      <c r="C116" s="179" t="s">
        <v>266</v>
      </c>
      <c r="D116" s="40"/>
      <c r="E116" s="40"/>
      <c r="F116" s="40"/>
      <c r="G116" s="40"/>
      <c r="H116" s="40"/>
      <c r="I116" s="40"/>
      <c r="J116" s="245" t="str">
        <f>IF(J110="N/A",IF(OR(J103="Not Calculated",J112="Not Calculated")=TRUE,"Not Calculated",AVERAGE(J103,J112)),AVERAGE(J110,J112))</f>
        <v>Not Calculated</v>
      </c>
      <c r="K116" s="41"/>
    </row>
    <row r="117" spans="2:14" x14ac:dyDescent="0.2">
      <c r="B117" s="38"/>
      <c r="C117" s="40"/>
      <c r="D117" s="40"/>
      <c r="E117" s="40"/>
      <c r="F117" s="40"/>
      <c r="G117" s="40"/>
      <c r="H117" s="40"/>
      <c r="I117" s="40"/>
      <c r="J117" s="40"/>
      <c r="K117" s="41"/>
    </row>
    <row r="118" spans="2:14" x14ac:dyDescent="0.2">
      <c r="B118" s="38"/>
      <c r="C118" s="40"/>
      <c r="D118" s="40"/>
      <c r="E118" s="40"/>
      <c r="F118" s="40"/>
      <c r="G118" s="40"/>
      <c r="H118" s="40"/>
      <c r="I118" s="40"/>
      <c r="J118" s="40"/>
      <c r="K118" s="41"/>
    </row>
    <row r="119" spans="2:14" ht="16" x14ac:dyDescent="0.2">
      <c r="B119" s="38"/>
      <c r="C119" s="45" t="s">
        <v>262</v>
      </c>
      <c r="D119" s="40"/>
      <c r="E119" s="40"/>
      <c r="F119" s="40"/>
      <c r="G119" s="40"/>
      <c r="H119" s="40"/>
      <c r="I119" s="40"/>
      <c r="J119" s="40"/>
      <c r="K119" s="41"/>
    </row>
    <row r="120" spans="2:14" ht="15" customHeight="1" x14ac:dyDescent="0.2">
      <c r="B120" s="38"/>
      <c r="C120" s="422" t="s">
        <v>268</v>
      </c>
      <c r="D120" s="422"/>
      <c r="E120" s="422"/>
      <c r="F120" s="422"/>
      <c r="G120" s="422"/>
      <c r="H120" s="422"/>
      <c r="I120" s="422"/>
      <c r="J120" s="422"/>
      <c r="K120" s="41"/>
    </row>
    <row r="121" spans="2:14" x14ac:dyDescent="0.2">
      <c r="B121" s="38"/>
      <c r="C121" s="422"/>
      <c r="D121" s="422"/>
      <c r="E121" s="422"/>
      <c r="F121" s="422"/>
      <c r="G121" s="422"/>
      <c r="H121" s="422"/>
      <c r="I121" s="422"/>
      <c r="J121" s="422"/>
      <c r="K121" s="41"/>
    </row>
    <row r="122" spans="2:14" x14ac:dyDescent="0.2">
      <c r="B122" s="38"/>
      <c r="C122" s="423"/>
      <c r="D122" s="423"/>
      <c r="E122" s="423"/>
      <c r="F122" s="423"/>
      <c r="G122" s="423"/>
      <c r="H122" s="423"/>
      <c r="I122" s="423"/>
      <c r="J122" s="423"/>
      <c r="K122" s="41"/>
    </row>
    <row r="123" spans="2:14" ht="15" customHeight="1" x14ac:dyDescent="0.2">
      <c r="B123" s="38"/>
      <c r="C123" s="416" t="s">
        <v>245</v>
      </c>
      <c r="D123" s="417"/>
      <c r="E123" s="417"/>
      <c r="F123" s="417"/>
      <c r="G123" s="417"/>
      <c r="H123" s="417"/>
      <c r="I123" s="417"/>
      <c r="J123" s="418"/>
      <c r="K123" s="41"/>
    </row>
    <row r="124" spans="2:14" x14ac:dyDescent="0.2">
      <c r="B124" s="38"/>
      <c r="C124" s="419"/>
      <c r="D124" s="420"/>
      <c r="E124" s="420"/>
      <c r="F124" s="420"/>
      <c r="G124" s="420"/>
      <c r="H124" s="420"/>
      <c r="I124" s="420"/>
      <c r="J124" s="421"/>
      <c r="K124" s="41"/>
    </row>
    <row r="125" spans="2:14" ht="30" customHeight="1" x14ac:dyDescent="0.2">
      <c r="B125" s="38"/>
      <c r="C125" s="40" t="s">
        <v>260</v>
      </c>
      <c r="D125" s="40"/>
      <c r="E125" s="40"/>
      <c r="F125" s="40"/>
      <c r="G125" s="40"/>
      <c r="H125" s="40"/>
      <c r="I125" s="40"/>
      <c r="J125" s="247">
        <f>IF(C123=B987,A987,IF(C123=B988,A988,IF(C123=B989,A989,IF(C123=B990,A990,IF(C123=B991,A991,"Not Calculated")))))</f>
        <v>0</v>
      </c>
      <c r="K125" s="41"/>
    </row>
    <row r="126" spans="2:14" ht="15" customHeight="1" x14ac:dyDescent="0.2">
      <c r="B126" s="38"/>
      <c r="C126" s="40" t="s">
        <v>257</v>
      </c>
      <c r="D126" s="40"/>
      <c r="E126" s="40"/>
      <c r="F126" s="40"/>
      <c r="G126" s="40"/>
      <c r="H126" s="40"/>
      <c r="I126" s="40"/>
      <c r="J126" s="266" t="s">
        <v>870</v>
      </c>
      <c r="K126" s="41"/>
    </row>
    <row r="127" spans="2:14" x14ac:dyDescent="0.2">
      <c r="B127" s="38"/>
      <c r="C127" s="40" t="s">
        <v>261</v>
      </c>
      <c r="D127" s="40"/>
      <c r="E127" s="40"/>
      <c r="F127" s="40"/>
      <c r="G127" s="40"/>
      <c r="H127" s="40"/>
      <c r="I127" s="40"/>
      <c r="J127" s="245">
        <f>IF(J126=$B$973,$A$973,IF(J126=$B$974,$A$974,IF(J126=$B$975,$A$975,IF(J126=$B$976,$A$976,IF(J126=$B$977,$A$977,"Not Calculated")))))</f>
        <v>0</v>
      </c>
      <c r="K127" s="41"/>
    </row>
    <row r="128" spans="2:14" ht="15" customHeight="1" x14ac:dyDescent="0.2">
      <c r="B128" s="38"/>
      <c r="C128" s="40" t="s">
        <v>893</v>
      </c>
      <c r="D128" s="40"/>
      <c r="E128" s="40"/>
      <c r="F128" s="40"/>
      <c r="G128" s="40"/>
      <c r="H128" s="40"/>
      <c r="I128" s="40"/>
      <c r="J128" s="175"/>
      <c r="K128" s="41"/>
    </row>
    <row r="129" spans="2:11" s="178" customFormat="1" ht="30" customHeight="1" x14ac:dyDescent="0.2">
      <c r="B129" s="176"/>
      <c r="C129" s="415"/>
      <c r="D129" s="400"/>
      <c r="E129" s="400"/>
      <c r="F129" s="400"/>
      <c r="G129" s="400"/>
      <c r="H129" s="400"/>
      <c r="I129" s="400"/>
      <c r="J129" s="401"/>
      <c r="K129" s="177"/>
    </row>
    <row r="130" spans="2:11" x14ac:dyDescent="0.2">
      <c r="B130" s="38"/>
      <c r="C130" s="40"/>
      <c r="D130" s="40"/>
      <c r="E130" s="40"/>
      <c r="F130" s="40"/>
      <c r="G130" s="40"/>
      <c r="H130" s="40"/>
      <c r="I130" s="40"/>
      <c r="J130" s="40"/>
      <c r="K130" s="41"/>
    </row>
    <row r="131" spans="2:11" x14ac:dyDescent="0.2">
      <c r="B131" s="38"/>
      <c r="C131" s="179" t="s">
        <v>267</v>
      </c>
      <c r="D131" s="40"/>
      <c r="E131" s="40"/>
      <c r="F131" s="40"/>
      <c r="G131" s="40"/>
      <c r="H131" s="40"/>
      <c r="I131" s="40"/>
      <c r="J131" s="245">
        <f>IF(OR(J125="Not Calculated",J127="Not Calculated")=TRUE,"Not Calculated",AVERAGE(J125,J127))</f>
        <v>0</v>
      </c>
      <c r="K131" s="41"/>
    </row>
    <row r="132" spans="2:11" x14ac:dyDescent="0.2">
      <c r="B132" s="38"/>
      <c r="C132" s="179"/>
      <c r="D132" s="40"/>
      <c r="E132" s="40"/>
      <c r="F132" s="40"/>
      <c r="G132" s="40"/>
      <c r="H132" s="40"/>
      <c r="I132" s="40"/>
      <c r="J132" s="245"/>
      <c r="K132" s="41"/>
    </row>
    <row r="133" spans="2:11" ht="18" x14ac:dyDescent="0.2">
      <c r="B133" s="38"/>
      <c r="C133" s="180" t="s">
        <v>269</v>
      </c>
      <c r="D133" s="40"/>
      <c r="E133" s="40"/>
      <c r="F133" s="40"/>
      <c r="G133" s="40"/>
      <c r="H133" s="40"/>
      <c r="I133" s="40"/>
      <c r="J133" s="244" t="str">
        <f>IF(OR(J40="Not Calculated",J59="Not Calculated",J78="Not Calculated",J97="Not Calculated",J116="Not Calculated",J131="Not Calculated",)=TRUE,"Not Calculated",AVERAGE(J40,J59,J78,J97,J116,J131))</f>
        <v>Not Calculated</v>
      </c>
      <c r="K133" s="41"/>
    </row>
    <row r="134" spans="2:11" ht="16" thickBot="1" x14ac:dyDescent="0.25">
      <c r="B134" s="46"/>
      <c r="C134" s="47"/>
      <c r="D134" s="47"/>
      <c r="E134" s="47"/>
      <c r="F134" s="47"/>
      <c r="G134" s="47"/>
      <c r="H134" s="47"/>
      <c r="I134" s="47"/>
      <c r="J134" s="47"/>
      <c r="K134" s="49"/>
    </row>
    <row r="135" spans="2:11" ht="16" thickBot="1" x14ac:dyDescent="0.25"/>
    <row r="136" spans="2:11" x14ac:dyDescent="0.2">
      <c r="B136" s="33"/>
      <c r="C136" s="34"/>
      <c r="D136" s="34"/>
      <c r="E136" s="34"/>
      <c r="F136" s="34"/>
      <c r="G136" s="34"/>
      <c r="H136" s="34"/>
      <c r="I136" s="34"/>
      <c r="J136" s="34"/>
      <c r="K136" s="37"/>
    </row>
    <row r="137" spans="2:11" ht="21" x14ac:dyDescent="0.25">
      <c r="B137" s="38"/>
      <c r="C137" s="171"/>
      <c r="D137" s="40"/>
      <c r="E137" s="40"/>
      <c r="F137" s="40"/>
      <c r="G137" s="172" t="s">
        <v>27</v>
      </c>
      <c r="H137" s="40"/>
      <c r="I137" s="40"/>
      <c r="J137" s="40"/>
      <c r="K137" s="41"/>
    </row>
    <row r="138" spans="2:11" x14ac:dyDescent="0.2">
      <c r="B138" s="38"/>
      <c r="C138" s="40"/>
      <c r="D138" s="40"/>
      <c r="E138" s="40"/>
      <c r="F138" s="40"/>
      <c r="G138" s="40"/>
      <c r="H138" s="40"/>
      <c r="I138" s="40"/>
      <c r="J138" s="40"/>
      <c r="K138" s="41"/>
    </row>
    <row r="139" spans="2:11" ht="16" x14ac:dyDescent="0.2">
      <c r="B139" s="38"/>
      <c r="C139" s="45" t="s">
        <v>72</v>
      </c>
      <c r="D139" s="40"/>
      <c r="E139" s="40"/>
      <c r="F139" s="40"/>
      <c r="G139" s="40"/>
      <c r="H139" s="40"/>
      <c r="I139" s="40"/>
      <c r="J139" s="40"/>
      <c r="K139" s="41"/>
    </row>
    <row r="140" spans="2:11" x14ac:dyDescent="0.2">
      <c r="B140" s="38"/>
      <c r="C140" s="40" t="s">
        <v>440</v>
      </c>
      <c r="D140" s="40"/>
      <c r="E140" s="40"/>
      <c r="F140" s="40"/>
      <c r="G140" s="40"/>
      <c r="H140" s="40"/>
      <c r="I140" s="40"/>
      <c r="J140" s="252">
        <f>'Baseline Health'!G45</f>
        <v>0</v>
      </c>
      <c r="K140" s="41"/>
    </row>
    <row r="141" spans="2:11" x14ac:dyDescent="0.2">
      <c r="B141" s="38"/>
      <c r="C141" s="40" t="s">
        <v>270</v>
      </c>
      <c r="D141" s="40"/>
      <c r="E141" s="40"/>
      <c r="F141" s="40"/>
      <c r="G141" s="40"/>
      <c r="H141" s="40"/>
      <c r="I141" s="40"/>
      <c r="J141" s="264">
        <f>J140*0.6</f>
        <v>0</v>
      </c>
      <c r="K141" s="41"/>
    </row>
    <row r="142" spans="2:11" x14ac:dyDescent="0.2">
      <c r="B142" s="38"/>
      <c r="C142" s="40" t="s">
        <v>439</v>
      </c>
      <c r="D142" s="40"/>
      <c r="E142" s="40"/>
      <c r="F142" s="40"/>
      <c r="G142" s="40"/>
      <c r="H142" s="40"/>
      <c r="I142" s="40"/>
      <c r="J142" s="251">
        <f>J83/20</f>
        <v>0</v>
      </c>
      <c r="K142" s="41"/>
    </row>
    <row r="143" spans="2:11" x14ac:dyDescent="0.2">
      <c r="B143" s="38"/>
      <c r="C143" s="40"/>
      <c r="D143" s="40" t="s">
        <v>351</v>
      </c>
      <c r="E143" s="40"/>
      <c r="F143" s="40"/>
      <c r="G143" s="40"/>
      <c r="H143" s="40"/>
      <c r="I143" s="40"/>
      <c r="J143" s="40"/>
      <c r="K143" s="41"/>
    </row>
    <row r="144" spans="2:11" x14ac:dyDescent="0.2">
      <c r="B144" s="38"/>
      <c r="C144" s="40" t="s">
        <v>260</v>
      </c>
      <c r="D144" s="40"/>
      <c r="E144" s="40"/>
      <c r="F144" s="40"/>
      <c r="G144" s="40"/>
      <c r="H144" s="40"/>
      <c r="I144" s="40"/>
      <c r="J144" s="245" t="str">
        <f>IF(OR(J140=0,J140="Not Calculated")=TRUE,"Not Calculated",IF((J140-J141)&lt;=0,4,IF(((J140+J142)/(J140-J141))&lt;=1,0,IF(((J140+J142)/(J140-J141))&lt;=1.05,1,IF(((J140+J142)/(J140-J141))&lt;=1.5, 2,IF(((J140+J142)/(J140-J141))&lt;=2,3,4))))))</f>
        <v>Not Calculated</v>
      </c>
      <c r="K144" s="41"/>
    </row>
    <row r="145" spans="2:14" ht="9.75" customHeight="1" x14ac:dyDescent="0.2">
      <c r="B145" s="38"/>
      <c r="C145" s="279" t="str">
        <f>"0:"</f>
        <v>0:</v>
      </c>
      <c r="D145" s="278" t="s">
        <v>918</v>
      </c>
      <c r="E145" s="40"/>
      <c r="F145" s="40"/>
      <c r="G145" s="40"/>
      <c r="H145" s="40"/>
      <c r="I145" s="40"/>
      <c r="J145" s="40"/>
      <c r="K145" s="41"/>
    </row>
    <row r="146" spans="2:14" ht="9.75" customHeight="1" x14ac:dyDescent="0.2">
      <c r="B146" s="38"/>
      <c r="C146" s="280" t="str">
        <f>"1:"</f>
        <v>1:</v>
      </c>
      <c r="D146" s="278" t="s">
        <v>923</v>
      </c>
      <c r="E146" s="40"/>
      <c r="F146" s="40"/>
      <c r="G146" s="40"/>
      <c r="H146" s="40"/>
      <c r="I146" s="40"/>
      <c r="J146" s="40"/>
      <c r="K146" s="41"/>
    </row>
    <row r="147" spans="2:14" ht="9.75" customHeight="1" x14ac:dyDescent="0.2">
      <c r="B147" s="38"/>
      <c r="C147" s="280" t="str">
        <f>"2:"</f>
        <v>2:</v>
      </c>
      <c r="D147" s="278" t="s">
        <v>924</v>
      </c>
      <c r="E147" s="40"/>
      <c r="F147" s="40"/>
      <c r="G147" s="40"/>
      <c r="H147" s="40"/>
      <c r="I147" s="40"/>
      <c r="J147" s="40"/>
      <c r="K147" s="41"/>
    </row>
    <row r="148" spans="2:14" ht="9.75" customHeight="1" x14ac:dyDescent="0.2">
      <c r="B148" s="38"/>
      <c r="C148" s="280" t="str">
        <f>"3:"</f>
        <v>3:</v>
      </c>
      <c r="D148" s="278" t="s">
        <v>925</v>
      </c>
      <c r="E148" s="40"/>
      <c r="F148" s="40"/>
      <c r="G148" s="40"/>
      <c r="H148" s="40"/>
      <c r="I148" s="40"/>
      <c r="J148" s="40"/>
      <c r="K148" s="41"/>
    </row>
    <row r="149" spans="2:14" ht="9.75" customHeight="1" x14ac:dyDescent="0.2">
      <c r="B149" s="38"/>
      <c r="C149" s="280" t="str">
        <f>"4:"</f>
        <v>4:</v>
      </c>
      <c r="D149" s="278" t="s">
        <v>926</v>
      </c>
      <c r="E149" s="40"/>
      <c r="F149" s="40"/>
      <c r="G149" s="40"/>
      <c r="H149" s="40"/>
      <c r="I149" s="40"/>
      <c r="J149" s="40"/>
      <c r="K149" s="41"/>
      <c r="N149" s="12" t="s">
        <v>661</v>
      </c>
    </row>
    <row r="150" spans="2:14" x14ac:dyDescent="0.2">
      <c r="B150" s="38"/>
      <c r="C150" s="174" t="s">
        <v>662</v>
      </c>
      <c r="D150" s="40"/>
      <c r="E150" s="40"/>
      <c r="F150" s="40"/>
      <c r="G150" s="40"/>
      <c r="H150" s="40"/>
      <c r="I150" s="40"/>
      <c r="J150" s="265" t="s">
        <v>661</v>
      </c>
      <c r="K150" s="41"/>
      <c r="N150" s="12" t="s">
        <v>894</v>
      </c>
    </row>
    <row r="151" spans="2:14" x14ac:dyDescent="0.2">
      <c r="B151" s="38"/>
      <c r="C151" s="174" t="s">
        <v>660</v>
      </c>
      <c r="D151" s="40"/>
      <c r="E151" s="40"/>
      <c r="F151" s="40"/>
      <c r="G151" s="40"/>
      <c r="H151" s="40"/>
      <c r="I151" s="40"/>
      <c r="J151" s="246" t="str">
        <f>IF(J150=N149,"N/A",IF(J150=N150,0,IF(J150=N151,1,IF(J150=N152,2,IF(J150=N153,3,IF(J150=N154,4,"N/A"))))))</f>
        <v>N/A</v>
      </c>
      <c r="K151" s="41"/>
      <c r="N151" s="12" t="s">
        <v>899</v>
      </c>
    </row>
    <row r="152" spans="2:14" x14ac:dyDescent="0.2">
      <c r="B152" s="38"/>
      <c r="C152" s="40" t="s">
        <v>257</v>
      </c>
      <c r="D152" s="40"/>
      <c r="E152" s="40"/>
      <c r="F152" s="40"/>
      <c r="G152" s="40"/>
      <c r="H152" s="40"/>
      <c r="I152" s="40"/>
      <c r="J152" s="266" t="s">
        <v>872</v>
      </c>
      <c r="K152" s="41"/>
      <c r="N152" s="12" t="s">
        <v>900</v>
      </c>
    </row>
    <row r="153" spans="2:14" x14ac:dyDescent="0.2">
      <c r="B153" s="38"/>
      <c r="C153" s="40" t="s">
        <v>261</v>
      </c>
      <c r="D153" s="40"/>
      <c r="E153" s="40"/>
      <c r="F153" s="40"/>
      <c r="G153" s="40"/>
      <c r="H153" s="40"/>
      <c r="I153" s="40"/>
      <c r="J153" s="245">
        <f>IF(J152=$B$973,$A$973,IF(J152=$B$974,$A$974,IF(J152=$B$975,$A$975,IF(J152=$B$976,$A$976,IF(J152=$B$977,$A$977,"Not Calculated")))))</f>
        <v>2</v>
      </c>
      <c r="K153" s="41"/>
      <c r="N153" s="12" t="s">
        <v>901</v>
      </c>
    </row>
    <row r="154" spans="2:14" x14ac:dyDescent="0.2">
      <c r="B154" s="38"/>
      <c r="C154" s="40" t="s">
        <v>893</v>
      </c>
      <c r="D154" s="40"/>
      <c r="E154" s="40"/>
      <c r="F154" s="40"/>
      <c r="G154" s="40"/>
      <c r="H154" s="40"/>
      <c r="I154" s="40"/>
      <c r="J154" s="40"/>
      <c r="K154" s="41"/>
      <c r="N154" s="12" t="s">
        <v>902</v>
      </c>
    </row>
    <row r="155" spans="2:14" ht="30" customHeight="1" x14ac:dyDescent="0.2">
      <c r="B155" s="38"/>
      <c r="C155" s="399" t="s">
        <v>588</v>
      </c>
      <c r="D155" s="400"/>
      <c r="E155" s="400"/>
      <c r="F155" s="400"/>
      <c r="G155" s="400"/>
      <c r="H155" s="400"/>
      <c r="I155" s="400"/>
      <c r="J155" s="401"/>
      <c r="K155" s="41"/>
    </row>
    <row r="156" spans="2:14" x14ac:dyDescent="0.2">
      <c r="B156" s="38"/>
      <c r="C156" s="40"/>
      <c r="D156" s="40"/>
      <c r="E156" s="40"/>
      <c r="F156" s="40"/>
      <c r="G156" s="40"/>
      <c r="H156" s="40"/>
      <c r="I156" s="40"/>
      <c r="J156" s="40"/>
      <c r="K156" s="41"/>
    </row>
    <row r="157" spans="2:14" x14ac:dyDescent="0.2">
      <c r="B157" s="38"/>
      <c r="C157" s="179" t="s">
        <v>271</v>
      </c>
      <c r="D157" s="40"/>
      <c r="E157" s="40"/>
      <c r="F157" s="40"/>
      <c r="G157" s="40"/>
      <c r="H157" s="40"/>
      <c r="I157" s="40"/>
      <c r="J157" s="245" t="str">
        <f>IF(J151="N/A",IF(OR(J144="Not Calculated",J153="Not Calculated")=TRUE,"Not Calculated",AVERAGE(J144,J153)),AVERAGE(J151,J153))</f>
        <v>Not Calculated</v>
      </c>
      <c r="K157" s="41"/>
    </row>
    <row r="158" spans="2:14" x14ac:dyDescent="0.2">
      <c r="B158" s="38"/>
      <c r="C158" s="40"/>
      <c r="D158" s="40"/>
      <c r="E158" s="40"/>
      <c r="F158" s="40"/>
      <c r="G158" s="40"/>
      <c r="H158" s="40"/>
      <c r="I158" s="40"/>
      <c r="J158" s="40"/>
      <c r="K158" s="41"/>
    </row>
    <row r="159" spans="2:14" x14ac:dyDescent="0.2">
      <c r="B159" s="38"/>
      <c r="C159" s="40"/>
      <c r="D159" s="40"/>
      <c r="E159" s="40"/>
      <c r="F159" s="40"/>
      <c r="G159" s="40"/>
      <c r="H159" s="40"/>
      <c r="I159" s="40"/>
      <c r="J159" s="40"/>
      <c r="K159" s="41"/>
    </row>
    <row r="160" spans="2:14" ht="16" x14ac:dyDescent="0.2">
      <c r="B160" s="38"/>
      <c r="C160" s="45" t="s">
        <v>273</v>
      </c>
      <c r="D160" s="40"/>
      <c r="E160" s="40"/>
      <c r="F160" s="40"/>
      <c r="G160" s="40"/>
      <c r="H160" s="40"/>
      <c r="I160" s="40"/>
      <c r="J160" s="40"/>
      <c r="K160" s="41"/>
    </row>
    <row r="161" spans="2:14" x14ac:dyDescent="0.2">
      <c r="B161" s="38"/>
      <c r="C161" s="40" t="s">
        <v>441</v>
      </c>
      <c r="D161" s="40"/>
      <c r="E161" s="40"/>
      <c r="F161" s="40"/>
      <c r="G161" s="40"/>
      <c r="H161" s="40"/>
      <c r="I161" s="40"/>
      <c r="J161" s="252">
        <f>'Baseline Health'!G51</f>
        <v>0</v>
      </c>
      <c r="K161" s="41"/>
    </row>
    <row r="162" spans="2:14" x14ac:dyDescent="0.2">
      <c r="B162" s="38"/>
      <c r="C162" s="40" t="s">
        <v>280</v>
      </c>
      <c r="D162" s="40"/>
      <c r="E162" s="40"/>
      <c r="F162" s="40"/>
      <c r="G162" s="40"/>
      <c r="H162" s="40"/>
      <c r="I162" s="40"/>
      <c r="J162" s="264">
        <f>J161*0.05</f>
        <v>0</v>
      </c>
      <c r="K162" s="41"/>
    </row>
    <row r="163" spans="2:14" x14ac:dyDescent="0.2">
      <c r="B163" s="38"/>
      <c r="C163" s="40" t="s">
        <v>442</v>
      </c>
      <c r="D163" s="40"/>
      <c r="E163" s="40"/>
      <c r="F163" s="40"/>
      <c r="G163" s="40"/>
      <c r="H163" s="40"/>
      <c r="I163" s="40"/>
      <c r="J163" s="251">
        <f>(J64)/4.5</f>
        <v>0</v>
      </c>
      <c r="K163" s="41"/>
    </row>
    <row r="164" spans="2:14" x14ac:dyDescent="0.2">
      <c r="B164" s="38"/>
      <c r="C164" s="40"/>
      <c r="D164" s="40" t="s">
        <v>353</v>
      </c>
      <c r="E164" s="40"/>
      <c r="F164" s="40"/>
      <c r="G164" s="40"/>
      <c r="H164" s="40"/>
      <c r="I164" s="40"/>
      <c r="J164" s="40"/>
      <c r="K164" s="41"/>
    </row>
    <row r="165" spans="2:14" x14ac:dyDescent="0.2">
      <c r="B165" s="38"/>
      <c r="C165" s="40" t="s">
        <v>260</v>
      </c>
      <c r="D165" s="40"/>
      <c r="E165" s="40"/>
      <c r="F165" s="40"/>
      <c r="G165" s="40"/>
      <c r="H165" s="40"/>
      <c r="I165" s="40"/>
      <c r="J165" s="245" t="str">
        <f>IF(OR(J161=0,J161="Not Calculated")=TRUE,"Not Calculated",IF((J161-J162)&lt;=0,4,IF(((J161+J163)/(J161-J162))&lt;=1,0,IF(((J161+J163)/(J161-J162))&lt;=1.05,1,IF(((J161+J163)/(J161-J162))&lt;=1.5, 2,IF(((J161+J163)/(J161-J162))&lt;=2,3,4))))))</f>
        <v>Not Calculated</v>
      </c>
      <c r="K165" s="41"/>
    </row>
    <row r="166" spans="2:14" ht="9.75" customHeight="1" x14ac:dyDescent="0.2">
      <c r="B166" s="38"/>
      <c r="C166" s="279" t="str">
        <f>"0:"</f>
        <v>0:</v>
      </c>
      <c r="D166" s="278" t="s">
        <v>918</v>
      </c>
      <c r="E166" s="40"/>
      <c r="F166" s="40"/>
      <c r="G166" s="40"/>
      <c r="H166" s="40"/>
      <c r="I166" s="40"/>
      <c r="J166" s="40"/>
      <c r="K166" s="41"/>
    </row>
    <row r="167" spans="2:14" ht="9.75" customHeight="1" x14ac:dyDescent="0.2">
      <c r="B167" s="38"/>
      <c r="C167" s="280" t="str">
        <f>"1:"</f>
        <v>1:</v>
      </c>
      <c r="D167" s="278" t="s">
        <v>923</v>
      </c>
      <c r="E167" s="40"/>
      <c r="F167" s="40"/>
      <c r="G167" s="40"/>
      <c r="H167" s="40"/>
      <c r="I167" s="40"/>
      <c r="J167" s="40"/>
      <c r="K167" s="41"/>
    </row>
    <row r="168" spans="2:14" ht="9.75" customHeight="1" x14ac:dyDescent="0.2">
      <c r="B168" s="38"/>
      <c r="C168" s="280" t="str">
        <f>"2:"</f>
        <v>2:</v>
      </c>
      <c r="D168" s="278" t="s">
        <v>924</v>
      </c>
      <c r="E168" s="40"/>
      <c r="F168" s="40"/>
      <c r="G168" s="40"/>
      <c r="H168" s="40"/>
      <c r="I168" s="40"/>
      <c r="J168" s="40"/>
      <c r="K168" s="41"/>
    </row>
    <row r="169" spans="2:14" ht="9.75" customHeight="1" x14ac:dyDescent="0.2">
      <c r="B169" s="38"/>
      <c r="C169" s="280" t="str">
        <f>"3:"</f>
        <v>3:</v>
      </c>
      <c r="D169" s="278" t="s">
        <v>925</v>
      </c>
      <c r="E169" s="40"/>
      <c r="F169" s="40"/>
      <c r="G169" s="40"/>
      <c r="H169" s="40"/>
      <c r="I169" s="40"/>
      <c r="J169" s="40"/>
      <c r="K169" s="41"/>
    </row>
    <row r="170" spans="2:14" ht="9.75" customHeight="1" x14ac:dyDescent="0.2">
      <c r="B170" s="38"/>
      <c r="C170" s="280" t="str">
        <f>"4:"</f>
        <v>4:</v>
      </c>
      <c r="D170" s="278" t="s">
        <v>926</v>
      </c>
      <c r="E170" s="40"/>
      <c r="F170" s="40"/>
      <c r="G170" s="40"/>
      <c r="H170" s="40"/>
      <c r="I170" s="40"/>
      <c r="J170" s="40"/>
      <c r="K170" s="41"/>
      <c r="N170" s="12" t="s">
        <v>661</v>
      </c>
    </row>
    <row r="171" spans="2:14" x14ac:dyDescent="0.2">
      <c r="B171" s="38"/>
      <c r="C171" s="174" t="s">
        <v>662</v>
      </c>
      <c r="D171" s="40"/>
      <c r="E171" s="40"/>
      <c r="F171" s="40"/>
      <c r="G171" s="40"/>
      <c r="H171" s="40"/>
      <c r="I171" s="40"/>
      <c r="J171" s="265" t="s">
        <v>661</v>
      </c>
      <c r="K171" s="41"/>
      <c r="N171" s="12" t="s">
        <v>894</v>
      </c>
    </row>
    <row r="172" spans="2:14" x14ac:dyDescent="0.2">
      <c r="B172" s="38"/>
      <c r="C172" s="174" t="s">
        <v>660</v>
      </c>
      <c r="D172" s="40"/>
      <c r="E172" s="40"/>
      <c r="F172" s="40"/>
      <c r="G172" s="40"/>
      <c r="H172" s="40"/>
      <c r="I172" s="40"/>
      <c r="J172" s="246" t="str">
        <f>IF(J171=N170,"N/A",IF(J171=N171,0,IF(J171=N172,1,IF(J171=N173,2,IF(J171=N174,3,IF(J171=N175,4,"N/A"))))))</f>
        <v>N/A</v>
      </c>
      <c r="K172" s="41"/>
      <c r="N172" s="12" t="s">
        <v>899</v>
      </c>
    </row>
    <row r="173" spans="2:14" x14ac:dyDescent="0.2">
      <c r="B173" s="38"/>
      <c r="C173" s="40" t="s">
        <v>257</v>
      </c>
      <c r="D173" s="40"/>
      <c r="E173" s="40"/>
      <c r="F173" s="40"/>
      <c r="G173" s="40"/>
      <c r="H173" s="40"/>
      <c r="I173" s="40"/>
      <c r="J173" s="266" t="s">
        <v>870</v>
      </c>
      <c r="K173" s="41"/>
      <c r="N173" s="12" t="s">
        <v>900</v>
      </c>
    </row>
    <row r="174" spans="2:14" x14ac:dyDescent="0.2">
      <c r="B174" s="38"/>
      <c r="C174" s="40" t="s">
        <v>261</v>
      </c>
      <c r="D174" s="40"/>
      <c r="E174" s="40"/>
      <c r="F174" s="40"/>
      <c r="G174" s="40"/>
      <c r="H174" s="40"/>
      <c r="I174" s="40"/>
      <c r="J174" s="245">
        <f>IF(J173=$B$973,$A$973,IF(J173=$B$974,$A$974,IF(J173=$B$975,$A$975,IF(J173=$B$976,$A$976,IF(J173=$B$977,$A$977,"Not Calculated")))))</f>
        <v>0</v>
      </c>
      <c r="K174" s="41"/>
      <c r="N174" s="12" t="s">
        <v>901</v>
      </c>
    </row>
    <row r="175" spans="2:14" x14ac:dyDescent="0.2">
      <c r="B175" s="38"/>
      <c r="C175" s="40" t="s">
        <v>893</v>
      </c>
      <c r="D175" s="40"/>
      <c r="E175" s="40"/>
      <c r="F175" s="40"/>
      <c r="G175" s="40"/>
      <c r="H175" s="40"/>
      <c r="I175" s="40"/>
      <c r="J175" s="40"/>
      <c r="K175" s="41"/>
      <c r="N175" s="12" t="s">
        <v>902</v>
      </c>
    </row>
    <row r="176" spans="2:14" ht="30" customHeight="1" x14ac:dyDescent="0.2">
      <c r="B176" s="38"/>
      <c r="C176" s="399" t="s">
        <v>589</v>
      </c>
      <c r="D176" s="400"/>
      <c r="E176" s="400"/>
      <c r="F176" s="400"/>
      <c r="G176" s="400"/>
      <c r="H176" s="400"/>
      <c r="I176" s="400"/>
      <c r="J176" s="401"/>
      <c r="K176" s="41"/>
    </row>
    <row r="177" spans="2:14" x14ac:dyDescent="0.2">
      <c r="B177" s="38"/>
      <c r="C177" s="40"/>
      <c r="D177" s="40"/>
      <c r="E177" s="40"/>
      <c r="F177" s="40"/>
      <c r="G177" s="40"/>
      <c r="H177" s="40"/>
      <c r="I177" s="40"/>
      <c r="J177" s="40"/>
      <c r="K177" s="41"/>
    </row>
    <row r="178" spans="2:14" x14ac:dyDescent="0.2">
      <c r="B178" s="38"/>
      <c r="C178" s="179" t="s">
        <v>274</v>
      </c>
      <c r="D178" s="40"/>
      <c r="E178" s="40"/>
      <c r="F178" s="40"/>
      <c r="G178" s="40"/>
      <c r="H178" s="40"/>
      <c r="I178" s="40"/>
      <c r="J178" s="245" t="str">
        <f>IF(J172="N/A",IF(OR(J165="Not Calculated",J174="Not Calculated")=TRUE,"Not Calculated",AVERAGE(J165,J174)),AVERAGE(J172,J174))</f>
        <v>Not Calculated</v>
      </c>
      <c r="K178" s="41"/>
    </row>
    <row r="179" spans="2:14" x14ac:dyDescent="0.2">
      <c r="B179" s="38"/>
      <c r="C179" s="40"/>
      <c r="D179" s="40"/>
      <c r="E179" s="40"/>
      <c r="F179" s="40"/>
      <c r="G179" s="40"/>
      <c r="H179" s="40"/>
      <c r="I179" s="40"/>
      <c r="J179" s="40"/>
      <c r="K179" s="41"/>
    </row>
    <row r="180" spans="2:14" x14ac:dyDescent="0.2">
      <c r="B180" s="38"/>
      <c r="C180" s="40"/>
      <c r="D180" s="40"/>
      <c r="E180" s="40"/>
      <c r="F180" s="40"/>
      <c r="G180" s="40"/>
      <c r="H180" s="40"/>
      <c r="I180" s="40"/>
      <c r="J180" s="40"/>
      <c r="K180" s="41"/>
    </row>
    <row r="181" spans="2:14" ht="16" x14ac:dyDescent="0.2">
      <c r="B181" s="38"/>
      <c r="C181" s="45" t="s">
        <v>74</v>
      </c>
      <c r="D181" s="40"/>
      <c r="E181" s="40"/>
      <c r="F181" s="40"/>
      <c r="G181" s="40"/>
      <c r="H181" s="40"/>
      <c r="I181" s="40"/>
      <c r="J181" s="40"/>
      <c r="K181" s="41"/>
    </row>
    <row r="182" spans="2:14" x14ac:dyDescent="0.2">
      <c r="B182" s="38"/>
      <c r="C182" s="40" t="s">
        <v>443</v>
      </c>
      <c r="D182" s="40"/>
      <c r="E182" s="40"/>
      <c r="F182" s="40"/>
      <c r="G182" s="40"/>
      <c r="H182" s="40"/>
      <c r="I182" s="40"/>
      <c r="J182" s="252">
        <f>'Baseline Health'!G59</f>
        <v>0</v>
      </c>
      <c r="K182" s="41"/>
    </row>
    <row r="183" spans="2:14" x14ac:dyDescent="0.2">
      <c r="B183" s="38"/>
      <c r="C183" s="40" t="s">
        <v>281</v>
      </c>
      <c r="D183" s="40"/>
      <c r="E183" s="40"/>
      <c r="F183" s="40"/>
      <c r="G183" s="40"/>
      <c r="H183" s="40"/>
      <c r="I183" s="40"/>
      <c r="J183" s="264">
        <f>J182*0.05</f>
        <v>0</v>
      </c>
      <c r="K183" s="41"/>
    </row>
    <row r="184" spans="2:14" x14ac:dyDescent="0.2">
      <c r="B184" s="38"/>
      <c r="C184" s="40" t="s">
        <v>354</v>
      </c>
      <c r="D184" s="40"/>
      <c r="E184" s="40"/>
      <c r="F184" s="40"/>
      <c r="G184" s="40"/>
      <c r="H184" s="40"/>
      <c r="I184" s="40"/>
      <c r="J184" s="264">
        <f>-J182*0.6</f>
        <v>0</v>
      </c>
      <c r="K184" s="41"/>
    </row>
    <row r="185" spans="2:14" x14ac:dyDescent="0.2">
      <c r="B185" s="38"/>
      <c r="C185" s="40" t="s">
        <v>260</v>
      </c>
      <c r="D185" s="40"/>
      <c r="E185" s="40"/>
      <c r="F185" s="40"/>
      <c r="G185" s="40"/>
      <c r="H185" s="40"/>
      <c r="I185" s="40"/>
      <c r="J185" s="245" t="str">
        <f>IF(OR(J182=0,J182="Not Calculated")=TRUE,"Not Calculated",IF(J182-J183=0,4,IF(((J182+J184)/(J182-J183))&lt;=1,0,IF(((J182+J184)/(J182-J183))&lt;=1.05,1,IF(((J182+J184)/(J182-J183))&lt;=1.5, 2,IF(((J182+J184)/(J182-J183))&lt;=2,3,4))))))</f>
        <v>Not Calculated</v>
      </c>
      <c r="K185" s="41"/>
    </row>
    <row r="186" spans="2:14" ht="9.75" customHeight="1" x14ac:dyDescent="0.2">
      <c r="B186" s="38"/>
      <c r="C186" s="279" t="str">
        <f>"0:"</f>
        <v>0:</v>
      </c>
      <c r="D186" s="278" t="s">
        <v>918</v>
      </c>
      <c r="E186" s="40"/>
      <c r="F186" s="40"/>
      <c r="G186" s="40"/>
      <c r="H186" s="40"/>
      <c r="I186" s="40"/>
      <c r="J186" s="40"/>
      <c r="K186" s="41"/>
    </row>
    <row r="187" spans="2:14" ht="9.75" customHeight="1" x14ac:dyDescent="0.2">
      <c r="B187" s="38"/>
      <c r="C187" s="280" t="str">
        <f>"1:"</f>
        <v>1:</v>
      </c>
      <c r="D187" s="278" t="s">
        <v>923</v>
      </c>
      <c r="E187" s="40"/>
      <c r="F187" s="40"/>
      <c r="G187" s="40"/>
      <c r="H187" s="40"/>
      <c r="I187" s="40"/>
      <c r="J187" s="40"/>
      <c r="K187" s="41"/>
    </row>
    <row r="188" spans="2:14" ht="9.75" customHeight="1" x14ac:dyDescent="0.2">
      <c r="B188" s="38"/>
      <c r="C188" s="280" t="str">
        <f>"2:"</f>
        <v>2:</v>
      </c>
      <c r="D188" s="278" t="s">
        <v>924</v>
      </c>
      <c r="E188" s="40"/>
      <c r="F188" s="40"/>
      <c r="G188" s="40"/>
      <c r="H188" s="40"/>
      <c r="I188" s="40"/>
      <c r="J188" s="40"/>
      <c r="K188" s="41"/>
    </row>
    <row r="189" spans="2:14" ht="9.75" customHeight="1" x14ac:dyDescent="0.2">
      <c r="B189" s="38"/>
      <c r="C189" s="280" t="str">
        <f>"3:"</f>
        <v>3:</v>
      </c>
      <c r="D189" s="278" t="s">
        <v>925</v>
      </c>
      <c r="E189" s="40"/>
      <c r="F189" s="40"/>
      <c r="G189" s="40"/>
      <c r="H189" s="40"/>
      <c r="I189" s="40"/>
      <c r="J189" s="40"/>
      <c r="K189" s="41"/>
    </row>
    <row r="190" spans="2:14" ht="9.75" customHeight="1" x14ac:dyDescent="0.2">
      <c r="B190" s="38"/>
      <c r="C190" s="280" t="str">
        <f>"4:"</f>
        <v>4:</v>
      </c>
      <c r="D190" s="278" t="s">
        <v>926</v>
      </c>
      <c r="E190" s="40"/>
      <c r="F190" s="40"/>
      <c r="G190" s="40"/>
      <c r="H190" s="40"/>
      <c r="I190" s="40"/>
      <c r="J190" s="40"/>
      <c r="K190" s="41"/>
      <c r="N190" s="12" t="s">
        <v>661</v>
      </c>
    </row>
    <row r="191" spans="2:14" x14ac:dyDescent="0.2">
      <c r="B191" s="38"/>
      <c r="C191" s="174" t="s">
        <v>662</v>
      </c>
      <c r="D191" s="40"/>
      <c r="E191" s="40"/>
      <c r="F191" s="40"/>
      <c r="G191" s="40"/>
      <c r="H191" s="40"/>
      <c r="I191" s="40"/>
      <c r="J191" s="265" t="s">
        <v>661</v>
      </c>
      <c r="K191" s="41"/>
      <c r="N191" s="12" t="s">
        <v>894</v>
      </c>
    </row>
    <row r="192" spans="2:14" x14ac:dyDescent="0.2">
      <c r="B192" s="38"/>
      <c r="C192" s="174" t="s">
        <v>660</v>
      </c>
      <c r="D192" s="40"/>
      <c r="E192" s="40"/>
      <c r="F192" s="40"/>
      <c r="G192" s="40"/>
      <c r="H192" s="40"/>
      <c r="I192" s="40"/>
      <c r="J192" s="246" t="str">
        <f>IF(J191=N190,"N/A",IF(J191=N191,0,IF(J191=N192,1,IF(J191=N193,2,IF(J191=N194,3,IF(J191=N195,4,"N/A"))))))</f>
        <v>N/A</v>
      </c>
      <c r="K192" s="41"/>
      <c r="N192" s="12" t="s">
        <v>899</v>
      </c>
    </row>
    <row r="193" spans="2:14" x14ac:dyDescent="0.2">
      <c r="B193" s="38"/>
      <c r="C193" s="40" t="s">
        <v>257</v>
      </c>
      <c r="D193" s="40"/>
      <c r="E193" s="40"/>
      <c r="F193" s="40"/>
      <c r="G193" s="40"/>
      <c r="H193" s="40"/>
      <c r="I193" s="40"/>
      <c r="J193" s="266" t="s">
        <v>870</v>
      </c>
      <c r="K193" s="41"/>
      <c r="N193" s="12" t="s">
        <v>900</v>
      </c>
    </row>
    <row r="194" spans="2:14" x14ac:dyDescent="0.2">
      <c r="B194" s="38"/>
      <c r="C194" s="40" t="s">
        <v>261</v>
      </c>
      <c r="D194" s="40"/>
      <c r="E194" s="40"/>
      <c r="F194" s="40"/>
      <c r="G194" s="40"/>
      <c r="H194" s="40"/>
      <c r="I194" s="40"/>
      <c r="J194" s="245">
        <f>IF(J193=$B$973,$A$973,IF(J193=$B$974,$A$974,IF(J193=$B$975,$A$975,IF(J193=$B$976,$A$976,IF(J193=$B$977,$A$977,"Not Calculated")))))</f>
        <v>0</v>
      </c>
      <c r="K194" s="41"/>
      <c r="N194" s="12" t="s">
        <v>901</v>
      </c>
    </row>
    <row r="195" spans="2:14" x14ac:dyDescent="0.2">
      <c r="B195" s="38"/>
      <c r="C195" s="40" t="s">
        <v>893</v>
      </c>
      <c r="D195" s="40"/>
      <c r="E195" s="40"/>
      <c r="F195" s="40"/>
      <c r="G195" s="40"/>
      <c r="H195" s="40"/>
      <c r="I195" s="40"/>
      <c r="J195" s="40"/>
      <c r="K195" s="41"/>
      <c r="N195" s="12" t="s">
        <v>902</v>
      </c>
    </row>
    <row r="196" spans="2:14" ht="30" customHeight="1" x14ac:dyDescent="0.2">
      <c r="B196" s="38"/>
      <c r="C196" s="399" t="s">
        <v>590</v>
      </c>
      <c r="D196" s="400"/>
      <c r="E196" s="400"/>
      <c r="F196" s="400"/>
      <c r="G196" s="400"/>
      <c r="H196" s="400"/>
      <c r="I196" s="400"/>
      <c r="J196" s="401"/>
      <c r="K196" s="41"/>
    </row>
    <row r="197" spans="2:14" x14ac:dyDescent="0.2">
      <c r="B197" s="38"/>
      <c r="C197" s="40"/>
      <c r="D197" s="40"/>
      <c r="E197" s="40"/>
      <c r="F197" s="40"/>
      <c r="G197" s="40"/>
      <c r="H197" s="40"/>
      <c r="I197" s="40"/>
      <c r="J197" s="40"/>
      <c r="K197" s="41"/>
    </row>
    <row r="198" spans="2:14" x14ac:dyDescent="0.2">
      <c r="B198" s="38"/>
      <c r="C198" s="179" t="s">
        <v>275</v>
      </c>
      <c r="D198" s="40"/>
      <c r="E198" s="40"/>
      <c r="F198" s="40"/>
      <c r="G198" s="40"/>
      <c r="H198" s="40"/>
      <c r="I198" s="40"/>
      <c r="J198" s="245" t="str">
        <f>IF(J192="N/A",IF(OR(J185="Not Calculated",J194="Not Calculated")=TRUE,"Not Calculated",AVERAGE(J185,J194)),AVERAGE(J192,J194))</f>
        <v>Not Calculated</v>
      </c>
      <c r="K198" s="41"/>
    </row>
    <row r="199" spans="2:14" x14ac:dyDescent="0.2">
      <c r="B199" s="38"/>
      <c r="C199" s="40"/>
      <c r="D199" s="40"/>
      <c r="E199" s="40"/>
      <c r="F199" s="40"/>
      <c r="G199" s="40"/>
      <c r="H199" s="40"/>
      <c r="I199" s="40"/>
      <c r="J199" s="40"/>
      <c r="K199" s="41"/>
    </row>
    <row r="200" spans="2:14" x14ac:dyDescent="0.2">
      <c r="B200" s="38"/>
      <c r="C200" s="40"/>
      <c r="D200" s="40"/>
      <c r="E200" s="40"/>
      <c r="F200" s="40"/>
      <c r="G200" s="40"/>
      <c r="H200" s="40"/>
      <c r="I200" s="40"/>
      <c r="J200" s="40"/>
      <c r="K200" s="41"/>
    </row>
    <row r="201" spans="2:14" ht="16" x14ac:dyDescent="0.2">
      <c r="B201" s="38"/>
      <c r="C201" s="45" t="s">
        <v>75</v>
      </c>
      <c r="D201" s="40"/>
      <c r="E201" s="40"/>
      <c r="F201" s="40"/>
      <c r="G201" s="40"/>
      <c r="H201" s="40"/>
      <c r="I201" s="40"/>
      <c r="J201" s="40"/>
      <c r="K201" s="41"/>
    </row>
    <row r="202" spans="2:14" x14ac:dyDescent="0.2">
      <c r="B202" s="38"/>
      <c r="C202" s="40" t="s">
        <v>444</v>
      </c>
      <c r="D202" s="40"/>
      <c r="E202" s="40"/>
      <c r="F202" s="40"/>
      <c r="G202" s="40"/>
      <c r="H202" s="40"/>
      <c r="I202" s="40"/>
      <c r="J202" s="252">
        <f>'Baseline Health'!G65</f>
        <v>0</v>
      </c>
      <c r="K202" s="41"/>
    </row>
    <row r="203" spans="2:14" x14ac:dyDescent="0.2">
      <c r="B203" s="38"/>
      <c r="C203" s="40" t="s">
        <v>282</v>
      </c>
      <c r="D203" s="40"/>
      <c r="E203" s="40"/>
      <c r="F203" s="40"/>
      <c r="G203" s="40"/>
      <c r="H203" s="40"/>
      <c r="I203" s="40"/>
      <c r="J203" s="264">
        <v>0</v>
      </c>
      <c r="K203" s="41"/>
    </row>
    <row r="204" spans="2:14" x14ac:dyDescent="0.2">
      <c r="B204" s="38"/>
      <c r="C204" s="40" t="s">
        <v>355</v>
      </c>
      <c r="D204" s="40"/>
      <c r="E204" s="40"/>
      <c r="F204" s="40"/>
      <c r="G204" s="40"/>
      <c r="H204" s="40"/>
      <c r="I204" s="40"/>
      <c r="J204" s="264">
        <f>J202*0.2</f>
        <v>0</v>
      </c>
      <c r="K204" s="41"/>
    </row>
    <row r="205" spans="2:14" x14ac:dyDescent="0.2">
      <c r="B205" s="38"/>
      <c r="C205" s="40" t="s">
        <v>260</v>
      </c>
      <c r="D205" s="40"/>
      <c r="E205" s="40"/>
      <c r="F205" s="40"/>
      <c r="G205" s="40"/>
      <c r="H205" s="40"/>
      <c r="I205" s="40"/>
      <c r="J205" s="245" t="str">
        <f>IF(OR(J202=0,J202="Not Calculated")=TRUE,"Not Calculated",IF(J202-J203=0,4,IF(((J202+J204)/(J202-J203))&lt;=1,0,IF(((J202+J204)/(J202-J203))&lt;=1.05,1,IF(((J202+J204)/(J202-J203))&lt;=1.5, 2,IF(((J202+J204)/(J202-J203))&lt;=2,3,4))))))</f>
        <v>Not Calculated</v>
      </c>
      <c r="K205" s="41"/>
    </row>
    <row r="206" spans="2:14" ht="9.75" customHeight="1" x14ac:dyDescent="0.2">
      <c r="B206" s="38"/>
      <c r="C206" s="279" t="str">
        <f>"0:"</f>
        <v>0:</v>
      </c>
      <c r="D206" s="278" t="s">
        <v>918</v>
      </c>
      <c r="E206" s="40"/>
      <c r="F206" s="40"/>
      <c r="G206" s="40"/>
      <c r="H206" s="40"/>
      <c r="I206" s="40"/>
      <c r="J206" s="40"/>
      <c r="K206" s="41"/>
    </row>
    <row r="207" spans="2:14" ht="9.75" customHeight="1" x14ac:dyDescent="0.2">
      <c r="B207" s="38"/>
      <c r="C207" s="280" t="str">
        <f>"1:"</f>
        <v>1:</v>
      </c>
      <c r="D207" s="278" t="s">
        <v>923</v>
      </c>
      <c r="E207" s="40"/>
      <c r="F207" s="40"/>
      <c r="G207" s="40"/>
      <c r="H207" s="40"/>
      <c r="I207" s="40"/>
      <c r="J207" s="40"/>
      <c r="K207" s="41"/>
    </row>
    <row r="208" spans="2:14" ht="9.75" customHeight="1" x14ac:dyDescent="0.2">
      <c r="B208" s="38"/>
      <c r="C208" s="280" t="str">
        <f>"2:"</f>
        <v>2:</v>
      </c>
      <c r="D208" s="278" t="s">
        <v>924</v>
      </c>
      <c r="E208" s="40"/>
      <c r="F208" s="40"/>
      <c r="G208" s="40"/>
      <c r="H208" s="40"/>
      <c r="I208" s="40"/>
      <c r="J208" s="40"/>
      <c r="K208" s="41"/>
    </row>
    <row r="209" spans="2:14" ht="9.75" customHeight="1" x14ac:dyDescent="0.2">
      <c r="B209" s="38"/>
      <c r="C209" s="280" t="str">
        <f>"3:"</f>
        <v>3:</v>
      </c>
      <c r="D209" s="278" t="s">
        <v>925</v>
      </c>
      <c r="E209" s="40"/>
      <c r="F209" s="40"/>
      <c r="G209" s="40"/>
      <c r="H209" s="40"/>
      <c r="I209" s="40"/>
      <c r="J209" s="40"/>
      <c r="K209" s="41"/>
    </row>
    <row r="210" spans="2:14" ht="9.75" customHeight="1" x14ac:dyDescent="0.2">
      <c r="B210" s="38"/>
      <c r="C210" s="280" t="str">
        <f>"4:"</f>
        <v>4:</v>
      </c>
      <c r="D210" s="278" t="s">
        <v>926</v>
      </c>
      <c r="E210" s="40"/>
      <c r="F210" s="40"/>
      <c r="G210" s="40"/>
      <c r="H210" s="40"/>
      <c r="I210" s="40"/>
      <c r="J210" s="40"/>
      <c r="K210" s="41"/>
      <c r="N210" s="12" t="s">
        <v>661</v>
      </c>
    </row>
    <row r="211" spans="2:14" x14ac:dyDescent="0.2">
      <c r="B211" s="38"/>
      <c r="C211" s="174" t="s">
        <v>662</v>
      </c>
      <c r="D211" s="40"/>
      <c r="E211" s="40"/>
      <c r="F211" s="40"/>
      <c r="G211" s="40"/>
      <c r="H211" s="40"/>
      <c r="I211" s="40"/>
      <c r="J211" s="265" t="s">
        <v>661</v>
      </c>
      <c r="K211" s="41"/>
      <c r="N211" s="12" t="s">
        <v>894</v>
      </c>
    </row>
    <row r="212" spans="2:14" x14ac:dyDescent="0.2">
      <c r="B212" s="38"/>
      <c r="C212" s="174" t="s">
        <v>660</v>
      </c>
      <c r="D212" s="40"/>
      <c r="E212" s="40"/>
      <c r="F212" s="40"/>
      <c r="G212" s="40"/>
      <c r="H212" s="40"/>
      <c r="I212" s="40"/>
      <c r="J212" s="246" t="str">
        <f>IF(J211=N210,"N/A",IF(J211=N211,0,IF(J211=N212,1,IF(J211=N213,2,IF(J211=N214,3,IF(J211=N215,4,"N/A"))))))</f>
        <v>N/A</v>
      </c>
      <c r="K212" s="41"/>
      <c r="N212" s="12" t="s">
        <v>899</v>
      </c>
    </row>
    <row r="213" spans="2:14" x14ac:dyDescent="0.2">
      <c r="B213" s="38"/>
      <c r="C213" s="40" t="s">
        <v>257</v>
      </c>
      <c r="D213" s="40"/>
      <c r="E213" s="40"/>
      <c r="F213" s="40"/>
      <c r="G213" s="40"/>
      <c r="H213" s="40"/>
      <c r="I213" s="40"/>
      <c r="J213" s="266" t="s">
        <v>872</v>
      </c>
      <c r="K213" s="41"/>
      <c r="N213" s="12" t="s">
        <v>900</v>
      </c>
    </row>
    <row r="214" spans="2:14" x14ac:dyDescent="0.2">
      <c r="B214" s="38"/>
      <c r="C214" s="40" t="s">
        <v>261</v>
      </c>
      <c r="D214" s="40"/>
      <c r="E214" s="40"/>
      <c r="F214" s="40"/>
      <c r="G214" s="40"/>
      <c r="H214" s="40"/>
      <c r="I214" s="40"/>
      <c r="J214" s="245">
        <f>IF(J213=$B$973,$A$973,IF(J213=$B$974,$A$974,IF(J213=$B$975,$A$975,IF(J213=$B$976,$A$976,IF(J213=$B$977,$A$977,"Not Calculated")))))</f>
        <v>2</v>
      </c>
      <c r="K214" s="41"/>
      <c r="N214" s="12" t="s">
        <v>901</v>
      </c>
    </row>
    <row r="215" spans="2:14" x14ac:dyDescent="0.2">
      <c r="B215" s="38"/>
      <c r="C215" s="40" t="s">
        <v>893</v>
      </c>
      <c r="D215" s="40"/>
      <c r="E215" s="40"/>
      <c r="F215" s="40"/>
      <c r="G215" s="40"/>
      <c r="H215" s="40"/>
      <c r="I215" s="40"/>
      <c r="J215" s="40"/>
      <c r="K215" s="41"/>
      <c r="N215" s="12" t="s">
        <v>902</v>
      </c>
    </row>
    <row r="216" spans="2:14" ht="30" customHeight="1" x14ac:dyDescent="0.2">
      <c r="B216" s="38"/>
      <c r="C216" s="399" t="s">
        <v>591</v>
      </c>
      <c r="D216" s="400"/>
      <c r="E216" s="400"/>
      <c r="F216" s="400"/>
      <c r="G216" s="400"/>
      <c r="H216" s="400"/>
      <c r="I216" s="400"/>
      <c r="J216" s="401"/>
      <c r="K216" s="41"/>
    </row>
    <row r="217" spans="2:14" x14ac:dyDescent="0.2">
      <c r="B217" s="38"/>
      <c r="C217" s="40"/>
      <c r="D217" s="40"/>
      <c r="E217" s="40"/>
      <c r="F217" s="40"/>
      <c r="G217" s="40"/>
      <c r="H217" s="40"/>
      <c r="I217" s="40"/>
      <c r="J217" s="40"/>
      <c r="K217" s="41"/>
    </row>
    <row r="218" spans="2:14" x14ac:dyDescent="0.2">
      <c r="B218" s="38"/>
      <c r="C218" s="179" t="s">
        <v>276</v>
      </c>
      <c r="D218" s="40"/>
      <c r="E218" s="40"/>
      <c r="F218" s="40"/>
      <c r="G218" s="40"/>
      <c r="H218" s="40"/>
      <c r="I218" s="40"/>
      <c r="J218" s="245" t="str">
        <f>IF(J212="N/A",IF(OR(J205="Not Calculated",J214="Not Calculated")=TRUE,"Not Calculated",AVERAGE(J205,J214)),AVERAGE(J212,J214))</f>
        <v>Not Calculated</v>
      </c>
      <c r="K218" s="41"/>
    </row>
    <row r="219" spans="2:14" x14ac:dyDescent="0.2">
      <c r="B219" s="38"/>
      <c r="C219" s="40"/>
      <c r="D219" s="40"/>
      <c r="E219" s="40"/>
      <c r="F219" s="40"/>
      <c r="G219" s="40"/>
      <c r="H219" s="40"/>
      <c r="I219" s="40"/>
      <c r="J219" s="40"/>
      <c r="K219" s="41"/>
    </row>
    <row r="220" spans="2:14" x14ac:dyDescent="0.2">
      <c r="B220" s="38"/>
      <c r="C220" s="40"/>
      <c r="D220" s="40"/>
      <c r="E220" s="40"/>
      <c r="F220" s="40"/>
      <c r="G220" s="40"/>
      <c r="H220" s="40"/>
      <c r="I220" s="40"/>
      <c r="J220" s="40"/>
      <c r="K220" s="41"/>
    </row>
    <row r="221" spans="2:14" ht="16" x14ac:dyDescent="0.2">
      <c r="B221" s="38"/>
      <c r="C221" s="45" t="s">
        <v>76</v>
      </c>
      <c r="D221" s="40"/>
      <c r="E221" s="40"/>
      <c r="F221" s="40"/>
      <c r="G221" s="40"/>
      <c r="H221" s="40"/>
      <c r="I221" s="40"/>
      <c r="J221" s="40"/>
      <c r="K221" s="41"/>
    </row>
    <row r="222" spans="2:14" ht="15" customHeight="1" x14ac:dyDescent="0.2">
      <c r="B222" s="38"/>
      <c r="C222" s="40" t="s">
        <v>356</v>
      </c>
      <c r="D222" s="40"/>
      <c r="E222" s="40"/>
      <c r="F222" s="40"/>
      <c r="G222" s="40"/>
      <c r="H222" s="40"/>
      <c r="I222" s="40"/>
      <c r="J222" s="252">
        <f>'Baseline Health'!G71</f>
        <v>0</v>
      </c>
      <c r="K222" s="41"/>
    </row>
    <row r="223" spans="2:14" x14ac:dyDescent="0.2">
      <c r="B223" s="38"/>
      <c r="C223" s="40" t="s">
        <v>357</v>
      </c>
      <c r="D223" s="40"/>
      <c r="E223" s="40"/>
      <c r="F223" s="40"/>
      <c r="G223" s="40"/>
      <c r="H223" s="40"/>
      <c r="I223" s="40"/>
      <c r="J223" s="264">
        <v>0</v>
      </c>
      <c r="K223" s="41"/>
    </row>
    <row r="224" spans="2:14" x14ac:dyDescent="0.2">
      <c r="B224" s="38"/>
      <c r="C224" s="40" t="s">
        <v>445</v>
      </c>
      <c r="D224" s="40"/>
      <c r="E224" s="40"/>
      <c r="F224" s="40"/>
      <c r="G224" s="40"/>
      <c r="H224" s="40"/>
      <c r="I224" s="40"/>
      <c r="J224" s="251">
        <f>J102</f>
        <v>0</v>
      </c>
      <c r="K224" s="41"/>
    </row>
    <row r="225" spans="2:14" x14ac:dyDescent="0.2">
      <c r="B225" s="38"/>
      <c r="C225" s="40"/>
      <c r="D225" s="40" t="s">
        <v>446</v>
      </c>
      <c r="E225" s="40"/>
      <c r="F225" s="40"/>
      <c r="G225" s="40"/>
      <c r="H225" s="40"/>
      <c r="I225" s="40"/>
      <c r="J225" s="40"/>
      <c r="K225" s="41"/>
    </row>
    <row r="226" spans="2:14" x14ac:dyDescent="0.2">
      <c r="B226" s="38"/>
      <c r="C226" s="40" t="s">
        <v>260</v>
      </c>
      <c r="D226" s="40"/>
      <c r="E226" s="40"/>
      <c r="F226" s="40"/>
      <c r="G226" s="40"/>
      <c r="H226" s="40"/>
      <c r="I226" s="40"/>
      <c r="J226" s="245" t="str">
        <f>IF(OR(J222=0,J222="Not Calculated")=TRUE,"Not Calculated",IF(J222-J223=0,4,IF(((J222+J224)/(J222-J223))&lt;=1,0,IF(((J222+J224)/(J222-J223))&lt;=1.05,1,IF(((J222+J224)/(J222-J223))&lt;=1.5, 2,IF(((J222+J224)/(J222-J223))&lt;=2,3,4))))))</f>
        <v>Not Calculated</v>
      </c>
      <c r="K226" s="41"/>
    </row>
    <row r="227" spans="2:14" ht="9.75" customHeight="1" x14ac:dyDescent="0.2">
      <c r="B227" s="38"/>
      <c r="C227" s="279" t="str">
        <f>"0:"</f>
        <v>0:</v>
      </c>
      <c r="D227" s="278" t="s">
        <v>918</v>
      </c>
      <c r="E227" s="40"/>
      <c r="F227" s="40"/>
      <c r="G227" s="40"/>
      <c r="H227" s="40"/>
      <c r="I227" s="40"/>
      <c r="J227" s="40"/>
      <c r="K227" s="41"/>
    </row>
    <row r="228" spans="2:14" ht="9.75" customHeight="1" x14ac:dyDescent="0.2">
      <c r="B228" s="38"/>
      <c r="C228" s="280" t="str">
        <f>"1:"</f>
        <v>1:</v>
      </c>
      <c r="D228" s="278" t="s">
        <v>923</v>
      </c>
      <c r="E228" s="40"/>
      <c r="F228" s="40"/>
      <c r="G228" s="40"/>
      <c r="H228" s="40"/>
      <c r="I228" s="40"/>
      <c r="J228" s="40"/>
      <c r="K228" s="41"/>
    </row>
    <row r="229" spans="2:14" ht="9.75" customHeight="1" x14ac:dyDescent="0.2">
      <c r="B229" s="38"/>
      <c r="C229" s="280" t="str">
        <f>"2:"</f>
        <v>2:</v>
      </c>
      <c r="D229" s="278" t="s">
        <v>924</v>
      </c>
      <c r="E229" s="40"/>
      <c r="F229" s="40"/>
      <c r="G229" s="40"/>
      <c r="H229" s="40"/>
      <c r="I229" s="40"/>
      <c r="J229" s="40"/>
      <c r="K229" s="41"/>
    </row>
    <row r="230" spans="2:14" ht="9.75" customHeight="1" x14ac:dyDescent="0.2">
      <c r="B230" s="38"/>
      <c r="C230" s="280" t="str">
        <f>"3:"</f>
        <v>3:</v>
      </c>
      <c r="D230" s="278" t="s">
        <v>925</v>
      </c>
      <c r="E230" s="40"/>
      <c r="F230" s="40"/>
      <c r="G230" s="40"/>
      <c r="H230" s="40"/>
      <c r="I230" s="40"/>
      <c r="J230" s="40"/>
      <c r="K230" s="41"/>
    </row>
    <row r="231" spans="2:14" ht="9.75" customHeight="1" x14ac:dyDescent="0.2">
      <c r="B231" s="38"/>
      <c r="C231" s="280" t="str">
        <f>"4:"</f>
        <v>4:</v>
      </c>
      <c r="D231" s="278" t="s">
        <v>926</v>
      </c>
      <c r="E231" s="40"/>
      <c r="F231" s="40"/>
      <c r="G231" s="40"/>
      <c r="H231" s="40"/>
      <c r="I231" s="40"/>
      <c r="J231" s="40"/>
      <c r="K231" s="41"/>
      <c r="N231" s="12" t="s">
        <v>661</v>
      </c>
    </row>
    <row r="232" spans="2:14" x14ac:dyDescent="0.2">
      <c r="B232" s="38"/>
      <c r="C232" s="174" t="s">
        <v>662</v>
      </c>
      <c r="D232" s="40"/>
      <c r="E232" s="40"/>
      <c r="F232" s="40"/>
      <c r="G232" s="40"/>
      <c r="H232" s="40"/>
      <c r="I232" s="40"/>
      <c r="J232" s="265" t="s">
        <v>661</v>
      </c>
      <c r="K232" s="41"/>
      <c r="N232" s="12" t="s">
        <v>894</v>
      </c>
    </row>
    <row r="233" spans="2:14" x14ac:dyDescent="0.2">
      <c r="B233" s="38"/>
      <c r="C233" s="174" t="s">
        <v>660</v>
      </c>
      <c r="D233" s="40"/>
      <c r="E233" s="40"/>
      <c r="F233" s="40"/>
      <c r="G233" s="40"/>
      <c r="H233" s="40"/>
      <c r="I233" s="40"/>
      <c r="J233" s="246" t="str">
        <f>IF(J232=N231,"N/A",IF(J232=N232,0,IF(J232=N233,1,IF(J232=N234,2,IF(J232=N235,3,IF(J232=N236,4,"N/A"))))))</f>
        <v>N/A</v>
      </c>
      <c r="K233" s="41"/>
      <c r="N233" s="12" t="s">
        <v>899</v>
      </c>
    </row>
    <row r="234" spans="2:14" x14ac:dyDescent="0.2">
      <c r="B234" s="38"/>
      <c r="C234" s="40" t="s">
        <v>257</v>
      </c>
      <c r="D234" s="40"/>
      <c r="E234" s="40"/>
      <c r="F234" s="40"/>
      <c r="G234" s="40"/>
      <c r="H234" s="40"/>
      <c r="I234" s="40"/>
      <c r="J234" s="266" t="s">
        <v>872</v>
      </c>
      <c r="K234" s="41"/>
      <c r="N234" s="12" t="s">
        <v>900</v>
      </c>
    </row>
    <row r="235" spans="2:14" x14ac:dyDescent="0.2">
      <c r="B235" s="38"/>
      <c r="C235" s="40" t="s">
        <v>261</v>
      </c>
      <c r="D235" s="40"/>
      <c r="E235" s="40"/>
      <c r="F235" s="40"/>
      <c r="G235" s="40"/>
      <c r="H235" s="40"/>
      <c r="I235" s="40"/>
      <c r="J235" s="245">
        <f>IF(J234=$B$973,$A$973,IF(J234=$B$974,$A$974,IF(J234=$B$975,$A$975,IF(J234=$B$976,$A$976,IF(J234=$B$977,$A$977,"Not Calculated")))))</f>
        <v>2</v>
      </c>
      <c r="K235" s="41"/>
      <c r="N235" s="12" t="s">
        <v>901</v>
      </c>
    </row>
    <row r="236" spans="2:14" x14ac:dyDescent="0.2">
      <c r="B236" s="38"/>
      <c r="C236" s="40" t="s">
        <v>893</v>
      </c>
      <c r="D236" s="40"/>
      <c r="E236" s="40"/>
      <c r="F236" s="40"/>
      <c r="G236" s="40"/>
      <c r="H236" s="40"/>
      <c r="I236" s="40"/>
      <c r="J236" s="40"/>
      <c r="K236" s="41"/>
      <c r="N236" s="12" t="s">
        <v>902</v>
      </c>
    </row>
    <row r="237" spans="2:14" ht="30" customHeight="1" x14ac:dyDescent="0.2">
      <c r="B237" s="38"/>
      <c r="C237" s="399"/>
      <c r="D237" s="400"/>
      <c r="E237" s="400"/>
      <c r="F237" s="400"/>
      <c r="G237" s="400"/>
      <c r="H237" s="400"/>
      <c r="I237" s="400"/>
      <c r="J237" s="401"/>
      <c r="K237" s="41"/>
    </row>
    <row r="238" spans="2:14" x14ac:dyDescent="0.2">
      <c r="B238" s="38"/>
      <c r="C238" s="40"/>
      <c r="D238" s="40"/>
      <c r="E238" s="40"/>
      <c r="F238" s="40"/>
      <c r="G238" s="40"/>
      <c r="H238" s="40"/>
      <c r="I238" s="40"/>
      <c r="J238" s="40"/>
      <c r="K238" s="41"/>
    </row>
    <row r="239" spans="2:14" x14ac:dyDescent="0.2">
      <c r="B239" s="38"/>
      <c r="C239" s="179" t="s">
        <v>277</v>
      </c>
      <c r="D239" s="40"/>
      <c r="E239" s="40"/>
      <c r="F239" s="40"/>
      <c r="G239" s="40"/>
      <c r="H239" s="40"/>
      <c r="I239" s="40"/>
      <c r="J239" s="245" t="str">
        <f>IF(J233="N/A",IF(OR(J226="Not Calculated",J235="Not Calculated")=TRUE,"Not Calculated",AVERAGE(J226,J235)),AVERAGE(J233,J235))</f>
        <v>Not Calculated</v>
      </c>
      <c r="K239" s="41"/>
    </row>
    <row r="240" spans="2:14" x14ac:dyDescent="0.2">
      <c r="B240" s="38"/>
      <c r="C240" s="40"/>
      <c r="D240" s="40"/>
      <c r="E240" s="40"/>
      <c r="F240" s="40"/>
      <c r="G240" s="40"/>
      <c r="H240" s="40"/>
      <c r="I240" s="40"/>
      <c r="J240" s="40"/>
      <c r="K240" s="41"/>
    </row>
    <row r="241" spans="2:14" x14ac:dyDescent="0.2">
      <c r="B241" s="38"/>
      <c r="C241" s="40"/>
      <c r="D241" s="40"/>
      <c r="E241" s="40"/>
      <c r="F241" s="40"/>
      <c r="G241" s="40"/>
      <c r="H241" s="40"/>
      <c r="I241" s="40"/>
      <c r="J241" s="40"/>
      <c r="K241" s="41"/>
    </row>
    <row r="242" spans="2:14" ht="16" x14ac:dyDescent="0.2">
      <c r="B242" s="38"/>
      <c r="C242" s="45" t="s">
        <v>278</v>
      </c>
      <c r="D242" s="40"/>
      <c r="E242" s="40"/>
      <c r="F242" s="40"/>
      <c r="G242" s="40"/>
      <c r="H242" s="40"/>
      <c r="I242" s="40"/>
      <c r="J242" s="40"/>
      <c r="K242" s="41"/>
    </row>
    <row r="243" spans="2:14" ht="15" customHeight="1" x14ac:dyDescent="0.2">
      <c r="B243" s="38"/>
      <c r="C243" s="40" t="s">
        <v>447</v>
      </c>
      <c r="D243" s="40"/>
      <c r="E243" s="40"/>
      <c r="F243" s="40"/>
      <c r="G243" s="40"/>
      <c r="H243" s="40"/>
      <c r="I243" s="40"/>
      <c r="J243" s="254">
        <f>'Baseline Health'!G77</f>
        <v>0</v>
      </c>
      <c r="K243" s="41"/>
    </row>
    <row r="244" spans="2:14" x14ac:dyDescent="0.2">
      <c r="B244" s="38"/>
      <c r="C244" s="40" t="s">
        <v>358</v>
      </c>
      <c r="D244" s="40"/>
      <c r="E244" s="40"/>
      <c r="F244" s="40"/>
      <c r="G244" s="40"/>
      <c r="H244" s="40"/>
      <c r="I244" s="40"/>
      <c r="J244" s="264">
        <f>J243*0.6</f>
        <v>0</v>
      </c>
      <c r="K244" s="41"/>
    </row>
    <row r="245" spans="2:14" x14ac:dyDescent="0.2">
      <c r="B245" s="38"/>
      <c r="C245" s="40" t="s">
        <v>360</v>
      </c>
      <c r="D245" s="291"/>
      <c r="E245" s="291"/>
      <c r="F245" s="291"/>
      <c r="G245" s="291"/>
      <c r="H245" s="291"/>
      <c r="I245" s="291"/>
      <c r="J245" s="264">
        <f>-J243*0.6</f>
        <v>0</v>
      </c>
      <c r="K245" s="41"/>
    </row>
    <row r="246" spans="2:14" x14ac:dyDescent="0.2">
      <c r="B246" s="38"/>
      <c r="C246" s="40" t="s">
        <v>260</v>
      </c>
      <c r="D246" s="40"/>
      <c r="E246" s="40"/>
      <c r="F246" s="40"/>
      <c r="G246" s="40"/>
      <c r="H246" s="40"/>
      <c r="I246" s="40"/>
      <c r="J246" s="245" t="str">
        <f>IF(OR(J243=0,J243="Not Calculated")=TRUE,"Not Calculated",IF(J243-J244=0,4,(IF(((J243+J245)/(J243-J244))&lt;=1,0,IF(((J243+J245)/(J243-J244))&lt;=1.05,1,IF(((J243+J245)/(J243-J244))&lt;=1.5,2,IF(((J243+J245)/(J243-J244))&lt;=2,3,4)))))))</f>
        <v>Not Calculated</v>
      </c>
      <c r="K246" s="41"/>
    </row>
    <row r="247" spans="2:14" ht="9.75" customHeight="1" x14ac:dyDescent="0.2">
      <c r="B247" s="38"/>
      <c r="C247" s="279" t="str">
        <f>"0:"</f>
        <v>0:</v>
      </c>
      <c r="D247" s="278" t="s">
        <v>918</v>
      </c>
      <c r="E247" s="40"/>
      <c r="F247" s="40"/>
      <c r="G247" s="40"/>
      <c r="H247" s="40"/>
      <c r="I247" s="40"/>
      <c r="J247" s="40"/>
      <c r="K247" s="41"/>
    </row>
    <row r="248" spans="2:14" ht="9.75" customHeight="1" x14ac:dyDescent="0.2">
      <c r="B248" s="38"/>
      <c r="C248" s="280" t="str">
        <f>"1:"</f>
        <v>1:</v>
      </c>
      <c r="D248" s="278" t="s">
        <v>923</v>
      </c>
      <c r="E248" s="40"/>
      <c r="F248" s="40"/>
      <c r="G248" s="40"/>
      <c r="H248" s="40"/>
      <c r="I248" s="40"/>
      <c r="J248" s="40"/>
      <c r="K248" s="41"/>
    </row>
    <row r="249" spans="2:14" ht="9.75" customHeight="1" x14ac:dyDescent="0.2">
      <c r="B249" s="38"/>
      <c r="C249" s="280" t="str">
        <f>"2:"</f>
        <v>2:</v>
      </c>
      <c r="D249" s="278" t="s">
        <v>924</v>
      </c>
      <c r="E249" s="40"/>
      <c r="F249" s="40"/>
      <c r="G249" s="40"/>
      <c r="H249" s="40"/>
      <c r="I249" s="40"/>
      <c r="J249" s="40"/>
      <c r="K249" s="41"/>
    </row>
    <row r="250" spans="2:14" ht="9.75" customHeight="1" x14ac:dyDescent="0.2">
      <c r="B250" s="38"/>
      <c r="C250" s="280" t="str">
        <f>"3:"</f>
        <v>3:</v>
      </c>
      <c r="D250" s="278" t="s">
        <v>925</v>
      </c>
      <c r="E250" s="40"/>
      <c r="F250" s="40"/>
      <c r="G250" s="40"/>
      <c r="H250" s="40"/>
      <c r="I250" s="40"/>
      <c r="J250" s="40"/>
      <c r="K250" s="41"/>
    </row>
    <row r="251" spans="2:14" ht="9.75" customHeight="1" x14ac:dyDescent="0.2">
      <c r="B251" s="38"/>
      <c r="C251" s="280" t="str">
        <f>"4:"</f>
        <v>4:</v>
      </c>
      <c r="D251" s="278" t="s">
        <v>926</v>
      </c>
      <c r="E251" s="40"/>
      <c r="F251" s="40"/>
      <c r="G251" s="40"/>
      <c r="H251" s="40"/>
      <c r="I251" s="40"/>
      <c r="J251" s="40"/>
      <c r="K251" s="41"/>
      <c r="N251" s="12" t="s">
        <v>661</v>
      </c>
    </row>
    <row r="252" spans="2:14" x14ac:dyDescent="0.2">
      <c r="B252" s="38"/>
      <c r="C252" s="174" t="s">
        <v>662</v>
      </c>
      <c r="D252" s="40"/>
      <c r="E252" s="40"/>
      <c r="F252" s="40"/>
      <c r="G252" s="40"/>
      <c r="H252" s="40"/>
      <c r="I252" s="40"/>
      <c r="J252" s="265" t="s">
        <v>661</v>
      </c>
      <c r="K252" s="41"/>
      <c r="N252" s="12" t="s">
        <v>894</v>
      </c>
    </row>
    <row r="253" spans="2:14" x14ac:dyDescent="0.2">
      <c r="B253" s="38"/>
      <c r="C253" s="174" t="s">
        <v>660</v>
      </c>
      <c r="D253" s="40"/>
      <c r="E253" s="40"/>
      <c r="F253" s="40"/>
      <c r="G253" s="40"/>
      <c r="H253" s="40"/>
      <c r="I253" s="40"/>
      <c r="J253" s="246" t="str">
        <f>IF(J252=N251,"N/A",IF(J252=N252,0,IF(J252=N253,1,IF(J252=N254,2,IF(J252=N255,3,IF(J252=N256,4,"N/A"))))))</f>
        <v>N/A</v>
      </c>
      <c r="K253" s="41"/>
      <c r="N253" s="12" t="s">
        <v>899</v>
      </c>
    </row>
    <row r="254" spans="2:14" x14ac:dyDescent="0.2">
      <c r="B254" s="38"/>
      <c r="C254" s="40" t="s">
        <v>257</v>
      </c>
      <c r="D254" s="40"/>
      <c r="E254" s="40"/>
      <c r="F254" s="40"/>
      <c r="G254" s="40"/>
      <c r="H254" s="40"/>
      <c r="I254" s="40"/>
      <c r="J254" s="266" t="s">
        <v>870</v>
      </c>
      <c r="K254" s="41"/>
      <c r="N254" s="12" t="s">
        <v>900</v>
      </c>
    </row>
    <row r="255" spans="2:14" x14ac:dyDescent="0.2">
      <c r="B255" s="38"/>
      <c r="C255" s="40" t="s">
        <v>261</v>
      </c>
      <c r="D255" s="40"/>
      <c r="E255" s="40"/>
      <c r="F255" s="40"/>
      <c r="G255" s="40"/>
      <c r="H255" s="40"/>
      <c r="I255" s="40"/>
      <c r="J255" s="245">
        <f>IF(J254=$B$973,$A$973,IF(J254=$B$974,$A$974,IF(J254=$B$975,$A$975,IF(J254=$B$976,$A$976,IF(J254=$B$977,$A$977,"Not Calculated")))))</f>
        <v>0</v>
      </c>
      <c r="K255" s="41"/>
      <c r="N255" s="12" t="s">
        <v>901</v>
      </c>
    </row>
    <row r="256" spans="2:14" x14ac:dyDescent="0.2">
      <c r="B256" s="38"/>
      <c r="C256" s="40" t="s">
        <v>893</v>
      </c>
      <c r="D256" s="40"/>
      <c r="E256" s="40"/>
      <c r="F256" s="40"/>
      <c r="G256" s="40"/>
      <c r="H256" s="40"/>
      <c r="I256" s="40"/>
      <c r="J256" s="40"/>
      <c r="K256" s="41"/>
      <c r="N256" s="12" t="s">
        <v>902</v>
      </c>
    </row>
    <row r="257" spans="2:11" ht="30" customHeight="1" x14ac:dyDescent="0.2">
      <c r="B257" s="38"/>
      <c r="C257" s="399" t="s">
        <v>592</v>
      </c>
      <c r="D257" s="400"/>
      <c r="E257" s="400"/>
      <c r="F257" s="400"/>
      <c r="G257" s="400"/>
      <c r="H257" s="400"/>
      <c r="I257" s="400"/>
      <c r="J257" s="401"/>
      <c r="K257" s="41"/>
    </row>
    <row r="258" spans="2:11" x14ac:dyDescent="0.2">
      <c r="B258" s="38"/>
      <c r="C258" s="40"/>
      <c r="D258" s="40"/>
      <c r="E258" s="40"/>
      <c r="F258" s="40"/>
      <c r="G258" s="40"/>
      <c r="H258" s="40"/>
      <c r="I258" s="40"/>
      <c r="J258" s="40"/>
      <c r="K258" s="41"/>
    </row>
    <row r="259" spans="2:11" x14ac:dyDescent="0.2">
      <c r="B259" s="38"/>
      <c r="C259" s="179" t="s">
        <v>279</v>
      </c>
      <c r="D259" s="40"/>
      <c r="E259" s="40"/>
      <c r="F259" s="40"/>
      <c r="G259" s="40"/>
      <c r="H259" s="40"/>
      <c r="I259" s="40"/>
      <c r="J259" s="245" t="str">
        <f>IF(J253="N/A",IF(OR(J246="Not Calculated",J255="Not Calculated")=TRUE,"Not Calculated",AVERAGE(J246,J255)),AVERAGE(J253,J255))</f>
        <v>Not Calculated</v>
      </c>
      <c r="K259" s="41"/>
    </row>
    <row r="260" spans="2:11" x14ac:dyDescent="0.2">
      <c r="B260" s="38"/>
      <c r="C260" s="40"/>
      <c r="D260" s="40"/>
      <c r="E260" s="40"/>
      <c r="F260" s="40"/>
      <c r="G260" s="40"/>
      <c r="H260" s="40"/>
      <c r="I260" s="40"/>
      <c r="J260" s="40"/>
      <c r="K260" s="41"/>
    </row>
    <row r="261" spans="2:11" ht="18" x14ac:dyDescent="0.2">
      <c r="B261" s="38"/>
      <c r="C261" s="180" t="s">
        <v>272</v>
      </c>
      <c r="D261" s="40"/>
      <c r="E261" s="40"/>
      <c r="F261" s="40"/>
      <c r="G261" s="40"/>
      <c r="H261" s="40"/>
      <c r="I261" s="40"/>
      <c r="J261" s="244" t="str">
        <f>IF(OR(J157="Not Calculated",J178="Not Calculated",J198="Not Calculated",J218="Not Calculated",J239="Not Calculated",J259="Not Calculated",)=TRUE,"Not Calculated",AVERAGE(J157,J178,J198,J218,J239,J259))</f>
        <v>Not Calculated</v>
      </c>
      <c r="K261" s="41"/>
    </row>
    <row r="262" spans="2:11" ht="16" thickBot="1" x14ac:dyDescent="0.25">
      <c r="B262" s="46"/>
      <c r="C262" s="47"/>
      <c r="D262" s="47"/>
      <c r="E262" s="47"/>
      <c r="F262" s="47"/>
      <c r="G262" s="47"/>
      <c r="H262" s="47"/>
      <c r="I262" s="47"/>
      <c r="J262" s="47"/>
      <c r="K262" s="49"/>
    </row>
    <row r="263" spans="2:11" ht="16" thickBot="1" x14ac:dyDescent="0.25"/>
    <row r="264" spans="2:11" x14ac:dyDescent="0.2">
      <c r="B264" s="33"/>
      <c r="C264" s="34"/>
      <c r="D264" s="34"/>
      <c r="E264" s="34"/>
      <c r="F264" s="34"/>
      <c r="G264" s="34"/>
      <c r="H264" s="34"/>
      <c r="I264" s="34"/>
      <c r="J264" s="34"/>
      <c r="K264" s="37"/>
    </row>
    <row r="265" spans="2:11" ht="21" x14ac:dyDescent="0.25">
      <c r="B265" s="38"/>
      <c r="C265" s="40"/>
      <c r="D265" s="40"/>
      <c r="E265" s="40"/>
      <c r="F265" s="40"/>
      <c r="G265" s="172" t="s">
        <v>864</v>
      </c>
      <c r="H265" s="40"/>
      <c r="I265" s="40"/>
      <c r="J265" s="40"/>
      <c r="K265" s="41"/>
    </row>
    <row r="266" spans="2:11" ht="15" customHeight="1" x14ac:dyDescent="0.2">
      <c r="B266" s="38"/>
      <c r="C266" s="40"/>
      <c r="D266" s="40"/>
      <c r="E266" s="40"/>
      <c r="F266" s="40"/>
      <c r="G266" s="40"/>
      <c r="H266" s="40"/>
      <c r="I266" s="40"/>
      <c r="J266" s="40"/>
      <c r="K266" s="41"/>
    </row>
    <row r="267" spans="2:11" ht="16" x14ac:dyDescent="0.2">
      <c r="B267" s="38"/>
      <c r="C267" s="45" t="s">
        <v>80</v>
      </c>
      <c r="D267" s="40"/>
      <c r="E267" s="40"/>
      <c r="F267" s="40"/>
      <c r="G267" s="40"/>
      <c r="H267" s="40"/>
      <c r="I267" s="40"/>
      <c r="J267" s="40"/>
      <c r="K267" s="41"/>
    </row>
    <row r="268" spans="2:11" x14ac:dyDescent="0.2">
      <c r="B268" s="38"/>
      <c r="C268" s="40" t="s">
        <v>283</v>
      </c>
      <c r="D268" s="40"/>
      <c r="E268" s="40"/>
      <c r="F268" s="40"/>
      <c r="G268" s="40"/>
      <c r="H268" s="40"/>
      <c r="I268" s="40"/>
      <c r="J268" s="250">
        <f>'Baseline Health'!G88</f>
        <v>0</v>
      </c>
      <c r="K268" s="41"/>
    </row>
    <row r="269" spans="2:11" x14ac:dyDescent="0.2">
      <c r="B269" s="38"/>
      <c r="C269" s="40" t="s">
        <v>284</v>
      </c>
      <c r="D269" s="40"/>
      <c r="E269" s="40"/>
      <c r="F269" s="40"/>
      <c r="G269" s="40"/>
      <c r="H269" s="40"/>
      <c r="I269" s="40"/>
      <c r="J269" s="264">
        <f>J268*0.05</f>
        <v>0</v>
      </c>
      <c r="K269" s="41"/>
    </row>
    <row r="270" spans="2:11" x14ac:dyDescent="0.2">
      <c r="B270" s="38"/>
      <c r="C270" s="40" t="s">
        <v>285</v>
      </c>
      <c r="D270" s="40"/>
      <c r="E270" s="40"/>
      <c r="F270" s="40"/>
      <c r="G270" s="40"/>
      <c r="H270" s="40"/>
      <c r="I270" s="40"/>
      <c r="J270" s="259">
        <f>'Baseline Health'!G93</f>
        <v>0</v>
      </c>
      <c r="K270" s="41"/>
    </row>
    <row r="271" spans="2:11" x14ac:dyDescent="0.2">
      <c r="B271" s="38"/>
      <c r="C271" s="40" t="s">
        <v>286</v>
      </c>
      <c r="D271" s="40"/>
      <c r="E271" s="40"/>
      <c r="F271" s="40"/>
      <c r="G271" s="40"/>
      <c r="H271" s="40"/>
      <c r="I271" s="40"/>
      <c r="J271" s="250">
        <f>J184</f>
        <v>0</v>
      </c>
      <c r="K271" s="41"/>
    </row>
    <row r="272" spans="2:11" x14ac:dyDescent="0.2">
      <c r="B272" s="38"/>
      <c r="C272" s="40"/>
      <c r="D272" s="40" t="s">
        <v>432</v>
      </c>
      <c r="E272" s="40"/>
      <c r="F272" s="40"/>
      <c r="G272" s="40"/>
      <c r="H272" s="40"/>
      <c r="I272" s="40"/>
      <c r="J272" s="40"/>
      <c r="K272" s="41"/>
    </row>
    <row r="273" spans="2:14" x14ac:dyDescent="0.2">
      <c r="B273" s="38"/>
      <c r="C273" s="40" t="s">
        <v>292</v>
      </c>
      <c r="D273" s="40"/>
      <c r="E273" s="40"/>
      <c r="F273" s="40"/>
      <c r="G273" s="40"/>
      <c r="H273" s="40"/>
      <c r="I273" s="40"/>
      <c r="J273" s="258" t="str">
        <f>'Baseline Health'!G97</f>
        <v>N/A</v>
      </c>
      <c r="K273" s="41"/>
    </row>
    <row r="274" spans="2:14" x14ac:dyDescent="0.2">
      <c r="B274" s="38"/>
      <c r="C274" s="40" t="s">
        <v>293</v>
      </c>
      <c r="D274" s="40"/>
      <c r="E274" s="40"/>
      <c r="F274" s="40"/>
      <c r="G274" s="40"/>
      <c r="H274" s="40"/>
      <c r="I274" s="40"/>
      <c r="J274" s="258" t="str">
        <f>IF(J273="N/A","N/A",IF(J268-J269=0,"No Nurses",((J270+J271)/(J268-J269))))</f>
        <v>N/A</v>
      </c>
      <c r="K274" s="41"/>
    </row>
    <row r="275" spans="2:14" x14ac:dyDescent="0.2">
      <c r="B275" s="38"/>
      <c r="C275" s="40" t="s">
        <v>260</v>
      </c>
      <c r="D275" s="40"/>
      <c r="E275" s="40"/>
      <c r="F275" s="40"/>
      <c r="G275" s="40"/>
      <c r="H275" s="40"/>
      <c r="I275" s="40"/>
      <c r="J275" s="245">
        <f>IF(J273=0,"Not Calculated",IF(J274="N/A",0,IF(J274="No Nurses",4,IF((J274/J273)&lt;=1,0,IF((J274/J273)&lt;=1.1,1,IF((J274/J273)&lt;=1=1.25,2,IF((J274/J273)&lt;=1.5,3,4)))))))</f>
        <v>0</v>
      </c>
      <c r="K275" s="41"/>
    </row>
    <row r="276" spans="2:14" ht="9.75" customHeight="1" x14ac:dyDescent="0.2">
      <c r="B276" s="38"/>
      <c r="C276" s="279" t="str">
        <f>"0:"</f>
        <v>0:</v>
      </c>
      <c r="D276" s="278" t="s">
        <v>927</v>
      </c>
      <c r="E276" s="40"/>
      <c r="F276" s="40"/>
      <c r="G276" s="40"/>
      <c r="H276" s="40"/>
      <c r="I276" s="40"/>
      <c r="J276" s="258"/>
      <c r="K276" s="41"/>
    </row>
    <row r="277" spans="2:14" ht="9.75" customHeight="1" x14ac:dyDescent="0.2">
      <c r="B277" s="38"/>
      <c r="C277" s="280" t="str">
        <f>"1:"</f>
        <v>1:</v>
      </c>
      <c r="D277" s="278" t="s">
        <v>928</v>
      </c>
      <c r="E277" s="40"/>
      <c r="F277" s="40"/>
      <c r="G277" s="40"/>
      <c r="H277" s="40"/>
      <c r="I277" s="40"/>
      <c r="J277" s="258"/>
      <c r="K277" s="41"/>
    </row>
    <row r="278" spans="2:14" ht="9.75" customHeight="1" x14ac:dyDescent="0.2">
      <c r="B278" s="38"/>
      <c r="C278" s="280" t="str">
        <f>"2:"</f>
        <v>2:</v>
      </c>
      <c r="D278" s="278" t="s">
        <v>929</v>
      </c>
      <c r="E278" s="40"/>
      <c r="F278" s="40"/>
      <c r="G278" s="40"/>
      <c r="H278" s="40"/>
      <c r="I278" s="40"/>
      <c r="J278" s="258"/>
      <c r="K278" s="41"/>
    </row>
    <row r="279" spans="2:14" ht="9.75" customHeight="1" x14ac:dyDescent="0.2">
      <c r="B279" s="38"/>
      <c r="C279" s="280" t="str">
        <f>"3:"</f>
        <v>3:</v>
      </c>
      <c r="D279" s="278" t="s">
        <v>930</v>
      </c>
      <c r="E279" s="40"/>
      <c r="F279" s="40"/>
      <c r="G279" s="40"/>
      <c r="H279" s="40"/>
      <c r="I279" s="40"/>
      <c r="J279" s="258"/>
      <c r="K279" s="41"/>
    </row>
    <row r="280" spans="2:14" ht="9.75" customHeight="1" x14ac:dyDescent="0.2">
      <c r="B280" s="38"/>
      <c r="C280" s="280" t="str">
        <f>"4:"</f>
        <v>4:</v>
      </c>
      <c r="D280" s="278" t="s">
        <v>931</v>
      </c>
      <c r="E280" s="40"/>
      <c r="F280" s="40"/>
      <c r="G280" s="40"/>
      <c r="H280" s="40"/>
      <c r="I280" s="40"/>
      <c r="J280" s="40"/>
      <c r="K280" s="41"/>
      <c r="N280" s="12" t="s">
        <v>661</v>
      </c>
    </row>
    <row r="281" spans="2:14" x14ac:dyDescent="0.2">
      <c r="B281" s="38"/>
      <c r="C281" s="174" t="s">
        <v>662</v>
      </c>
      <c r="D281" s="40"/>
      <c r="E281" s="40"/>
      <c r="F281" s="40"/>
      <c r="G281" s="40"/>
      <c r="H281" s="40"/>
      <c r="I281" s="40"/>
      <c r="J281" s="265" t="s">
        <v>661</v>
      </c>
      <c r="K281" s="41"/>
      <c r="N281" s="12" t="s">
        <v>903</v>
      </c>
    </row>
    <row r="282" spans="2:14" x14ac:dyDescent="0.2">
      <c r="B282" s="38"/>
      <c r="C282" s="174" t="s">
        <v>660</v>
      </c>
      <c r="D282" s="40"/>
      <c r="E282" s="40"/>
      <c r="F282" s="40"/>
      <c r="G282" s="40"/>
      <c r="H282" s="40"/>
      <c r="I282" s="40"/>
      <c r="J282" s="246" t="str">
        <f>IF(J281=N280,"N/A",IF(J281=N281,0,IF(J281=N282,1,IF(J281=N283,2,IF(J281=N284,3,IF(J281=N285,4,"N/A"))))))</f>
        <v>N/A</v>
      </c>
      <c r="K282" s="41"/>
      <c r="N282" s="12" t="s">
        <v>904</v>
      </c>
    </row>
    <row r="283" spans="2:14" x14ac:dyDescent="0.2">
      <c r="B283" s="38"/>
      <c r="C283" s="40" t="s">
        <v>257</v>
      </c>
      <c r="D283" s="40"/>
      <c r="E283" s="40"/>
      <c r="F283" s="40"/>
      <c r="G283" s="40"/>
      <c r="H283" s="40"/>
      <c r="I283" s="40"/>
      <c r="J283" s="266" t="s">
        <v>870</v>
      </c>
      <c r="K283" s="41"/>
      <c r="N283" s="12" t="s">
        <v>905</v>
      </c>
    </row>
    <row r="284" spans="2:14" x14ac:dyDescent="0.2">
      <c r="B284" s="38"/>
      <c r="C284" s="40" t="s">
        <v>261</v>
      </c>
      <c r="D284" s="40"/>
      <c r="E284" s="40"/>
      <c r="F284" s="40"/>
      <c r="G284" s="40"/>
      <c r="H284" s="40"/>
      <c r="I284" s="40"/>
      <c r="J284" s="248">
        <f>IF(J283=$B$973,$A$973,IF(J283=$B$974,$A$974,IF(J283=$B$975,$A$975,IF(J283=$B$976,$A$976,IF(J283=$B$977,$A$977,"Not Calculated")))))</f>
        <v>0</v>
      </c>
      <c r="K284" s="41"/>
      <c r="N284" s="12" t="s">
        <v>906</v>
      </c>
    </row>
    <row r="285" spans="2:14" x14ac:dyDescent="0.2">
      <c r="B285" s="38"/>
      <c r="C285" s="40" t="s">
        <v>893</v>
      </c>
      <c r="D285" s="40"/>
      <c r="E285" s="40"/>
      <c r="F285" s="40"/>
      <c r="G285" s="40"/>
      <c r="H285" s="40"/>
      <c r="I285" s="40"/>
      <c r="J285" s="40"/>
      <c r="K285" s="41"/>
      <c r="N285" s="12" t="s">
        <v>907</v>
      </c>
    </row>
    <row r="286" spans="2:14" ht="30" customHeight="1" x14ac:dyDescent="0.2">
      <c r="B286" s="38"/>
      <c r="C286" s="399" t="s">
        <v>593</v>
      </c>
      <c r="D286" s="400"/>
      <c r="E286" s="400"/>
      <c r="F286" s="400"/>
      <c r="G286" s="400"/>
      <c r="H286" s="400"/>
      <c r="I286" s="400"/>
      <c r="J286" s="401"/>
      <c r="K286" s="41"/>
    </row>
    <row r="287" spans="2:14" x14ac:dyDescent="0.2">
      <c r="B287" s="38"/>
      <c r="C287" s="40"/>
      <c r="D287" s="40"/>
      <c r="E287" s="40"/>
      <c r="F287" s="40"/>
      <c r="G287" s="40"/>
      <c r="H287" s="40"/>
      <c r="I287" s="40"/>
      <c r="J287" s="40"/>
      <c r="K287" s="41"/>
    </row>
    <row r="288" spans="2:14" x14ac:dyDescent="0.2">
      <c r="B288" s="38"/>
      <c r="C288" s="179" t="s">
        <v>295</v>
      </c>
      <c r="D288" s="40"/>
      <c r="E288" s="40"/>
      <c r="F288" s="40"/>
      <c r="G288" s="40"/>
      <c r="H288" s="40"/>
      <c r="I288" s="40"/>
      <c r="J288" s="245">
        <f>IF(J282="N/A",IF(OR(J275="Not Calculated",J284="Not Calculated")=TRUE,"Not Calculated",AVERAGE(J275,J284)),AVERAGE(J282,J284))</f>
        <v>0</v>
      </c>
      <c r="K288" s="41"/>
    </row>
    <row r="289" spans="2:11" x14ac:dyDescent="0.2">
      <c r="B289" s="38"/>
      <c r="C289" s="40"/>
      <c r="D289" s="40"/>
      <c r="E289" s="40"/>
      <c r="F289" s="40"/>
      <c r="G289" s="40"/>
      <c r="H289" s="40"/>
      <c r="I289" s="40"/>
      <c r="J289" s="245"/>
      <c r="K289" s="41"/>
    </row>
    <row r="290" spans="2:11" x14ac:dyDescent="0.2">
      <c r="B290" s="38"/>
      <c r="C290" s="40"/>
      <c r="D290" s="40"/>
      <c r="E290" s="40"/>
      <c r="F290" s="40"/>
      <c r="G290" s="40"/>
      <c r="H290" s="40"/>
      <c r="I290" s="40"/>
      <c r="J290" s="40"/>
      <c r="K290" s="41"/>
    </row>
    <row r="291" spans="2:11" ht="16" x14ac:dyDescent="0.2">
      <c r="B291" s="38"/>
      <c r="C291" s="45" t="s">
        <v>856</v>
      </c>
      <c r="D291" s="40"/>
      <c r="E291" s="40"/>
      <c r="F291" s="40"/>
      <c r="G291" s="40"/>
      <c r="H291" s="40"/>
      <c r="I291" s="40"/>
      <c r="J291" s="40"/>
      <c r="K291" s="41"/>
    </row>
    <row r="292" spans="2:11" ht="15" customHeight="1" x14ac:dyDescent="0.2">
      <c r="B292" s="38"/>
      <c r="C292" s="380" t="s">
        <v>855</v>
      </c>
      <c r="D292" s="380"/>
      <c r="E292" s="380"/>
      <c r="F292" s="380"/>
      <c r="G292" s="380"/>
      <c r="H292" s="380"/>
      <c r="I292" s="380"/>
      <c r="J292" s="40"/>
      <c r="K292" s="41"/>
    </row>
    <row r="293" spans="2:11" x14ac:dyDescent="0.2">
      <c r="B293" s="38"/>
      <c r="C293" s="380"/>
      <c r="D293" s="380"/>
      <c r="E293" s="380"/>
      <c r="F293" s="380"/>
      <c r="G293" s="380"/>
      <c r="H293" s="380"/>
      <c r="I293" s="380"/>
      <c r="J293" s="264">
        <v>0</v>
      </c>
      <c r="K293" s="41"/>
    </row>
    <row r="294" spans="2:11" x14ac:dyDescent="0.2">
      <c r="B294" s="38"/>
      <c r="C294" s="40" t="s">
        <v>853</v>
      </c>
      <c r="D294" s="291"/>
      <c r="E294" s="291"/>
      <c r="F294" s="291"/>
      <c r="G294" s="291"/>
      <c r="H294" s="291"/>
      <c r="I294" s="291"/>
      <c r="J294" s="255">
        <f>'Baseline Health'!$G$102</f>
        <v>0</v>
      </c>
      <c r="K294" s="41"/>
    </row>
    <row r="295" spans="2:11" x14ac:dyDescent="0.2">
      <c r="B295" s="38"/>
      <c r="C295" s="40" t="s">
        <v>842</v>
      </c>
      <c r="D295" s="40"/>
      <c r="E295" s="40"/>
      <c r="F295" s="40"/>
      <c r="G295" s="40"/>
      <c r="H295" s="40"/>
      <c r="I295" s="40"/>
      <c r="J295" s="244" t="str">
        <f>IF('Baseline Health'!$G$102=0,"Not Calculated",100*J293/'Baseline Health'!$G$102)</f>
        <v>Not Calculated</v>
      </c>
      <c r="K295" s="41"/>
    </row>
    <row r="296" spans="2:11" x14ac:dyDescent="0.2">
      <c r="B296" s="38"/>
      <c r="C296" s="40" t="s">
        <v>260</v>
      </c>
      <c r="D296" s="40"/>
      <c r="E296" s="40"/>
      <c r="F296" s="40"/>
      <c r="G296" s="40"/>
      <c r="H296" s="40"/>
      <c r="I296" s="40"/>
      <c r="J296" s="245">
        <f>IF(J295&lt;=0,0,IF(J295&lt;=1,1,IF(J295&lt;=5,2,IF(J295&lt;=10,3,4))))</f>
        <v>4</v>
      </c>
      <c r="K296" s="41"/>
    </row>
    <row r="297" spans="2:11" ht="9.75" customHeight="1" x14ac:dyDescent="0.2">
      <c r="B297" s="38"/>
      <c r="C297" s="279" t="str">
        <f>"0:"</f>
        <v>0:</v>
      </c>
      <c r="D297" s="278" t="s">
        <v>932</v>
      </c>
      <c r="E297" s="40"/>
      <c r="F297" s="40"/>
      <c r="G297" s="40"/>
      <c r="H297" s="40"/>
      <c r="I297" s="40"/>
      <c r="J297" s="244"/>
      <c r="K297" s="41"/>
    </row>
    <row r="298" spans="2:11" ht="9.75" customHeight="1" x14ac:dyDescent="0.2">
      <c r="B298" s="38"/>
      <c r="C298" s="280" t="str">
        <f>"1:"</f>
        <v>1:</v>
      </c>
      <c r="D298" s="278" t="s">
        <v>934</v>
      </c>
      <c r="E298" s="40"/>
      <c r="F298" s="40"/>
      <c r="G298" s="40"/>
      <c r="H298" s="40"/>
      <c r="I298" s="40"/>
      <c r="J298" s="244"/>
      <c r="K298" s="41"/>
    </row>
    <row r="299" spans="2:11" ht="9.75" customHeight="1" x14ac:dyDescent="0.2">
      <c r="B299" s="38"/>
      <c r="C299" s="280" t="str">
        <f>"2:"</f>
        <v>2:</v>
      </c>
      <c r="D299" s="278" t="s">
        <v>933</v>
      </c>
      <c r="E299" s="40"/>
      <c r="F299" s="40"/>
      <c r="G299" s="40"/>
      <c r="H299" s="40"/>
      <c r="I299" s="40"/>
      <c r="J299" s="244"/>
      <c r="K299" s="41"/>
    </row>
    <row r="300" spans="2:11" ht="9.75" customHeight="1" x14ac:dyDescent="0.2">
      <c r="B300" s="38"/>
      <c r="C300" s="280" t="str">
        <f>"3:"</f>
        <v>3:</v>
      </c>
      <c r="D300" s="278" t="s">
        <v>935</v>
      </c>
      <c r="E300" s="40"/>
      <c r="F300" s="40"/>
      <c r="G300" s="40"/>
      <c r="H300" s="40"/>
      <c r="I300" s="40"/>
      <c r="J300" s="244"/>
      <c r="K300" s="41"/>
    </row>
    <row r="301" spans="2:11" ht="9.75" customHeight="1" x14ac:dyDescent="0.2">
      <c r="B301" s="38"/>
      <c r="C301" s="280" t="str">
        <f>"4:"</f>
        <v>4:</v>
      </c>
      <c r="D301" s="278" t="s">
        <v>936</v>
      </c>
      <c r="E301" s="40"/>
      <c r="F301" s="40"/>
      <c r="G301" s="40"/>
      <c r="H301" s="40"/>
      <c r="I301" s="40"/>
      <c r="J301" s="40"/>
      <c r="K301" s="41"/>
    </row>
    <row r="302" spans="2:11" x14ac:dyDescent="0.2">
      <c r="B302" s="38"/>
      <c r="C302" s="40" t="s">
        <v>257</v>
      </c>
      <c r="D302" s="40"/>
      <c r="E302" s="40"/>
      <c r="F302" s="40"/>
      <c r="G302" s="40"/>
      <c r="H302" s="40"/>
      <c r="I302" s="40"/>
      <c r="J302" s="266" t="s">
        <v>870</v>
      </c>
      <c r="K302" s="41"/>
    </row>
    <row r="303" spans="2:11" x14ac:dyDescent="0.2">
      <c r="B303" s="38"/>
      <c r="C303" s="40" t="s">
        <v>261</v>
      </c>
      <c r="D303" s="40"/>
      <c r="E303" s="40"/>
      <c r="F303" s="40"/>
      <c r="G303" s="40"/>
      <c r="H303" s="40"/>
      <c r="I303" s="40"/>
      <c r="J303" s="245">
        <f>IF(J302=$B$980,$A$980,IF(J302=$B$981,$A$981,IF(J302=$B$982,$A$982,IF(J302=$B$983,$A$983,IF(J302=$B$984,$A$984,"Not Calculated")))))</f>
        <v>0</v>
      </c>
      <c r="K303" s="41"/>
    </row>
    <row r="304" spans="2:11" x14ac:dyDescent="0.2">
      <c r="B304" s="38"/>
      <c r="C304" s="40" t="s">
        <v>893</v>
      </c>
      <c r="D304" s="40"/>
      <c r="E304" s="40"/>
      <c r="F304" s="40"/>
      <c r="G304" s="40"/>
      <c r="H304" s="40"/>
      <c r="I304" s="40"/>
      <c r="J304" s="40"/>
      <c r="K304" s="41"/>
    </row>
    <row r="305" spans="2:11" ht="30" customHeight="1" x14ac:dyDescent="0.2">
      <c r="B305" s="38"/>
      <c r="C305" s="399"/>
      <c r="D305" s="400"/>
      <c r="E305" s="400"/>
      <c r="F305" s="400"/>
      <c r="G305" s="400"/>
      <c r="H305" s="400"/>
      <c r="I305" s="400"/>
      <c r="J305" s="401"/>
      <c r="K305" s="41"/>
    </row>
    <row r="306" spans="2:11" x14ac:dyDescent="0.2">
      <c r="B306" s="38"/>
      <c r="C306" s="40"/>
      <c r="D306" s="40"/>
      <c r="E306" s="40"/>
      <c r="F306" s="40"/>
      <c r="G306" s="40"/>
      <c r="H306" s="40"/>
      <c r="I306" s="40"/>
      <c r="J306" s="40"/>
      <c r="K306" s="41"/>
    </row>
    <row r="307" spans="2:11" x14ac:dyDescent="0.2">
      <c r="B307" s="38"/>
      <c r="C307" s="179" t="s">
        <v>885</v>
      </c>
      <c r="D307" s="40"/>
      <c r="E307" s="40"/>
      <c r="F307" s="40"/>
      <c r="G307" s="40"/>
      <c r="H307" s="40"/>
      <c r="I307" s="40"/>
      <c r="J307" s="245">
        <f>IF(OR(J296="Not Calculated",J303="Not Calculated")=TRUE,"Not Calculated",AVERAGE(J296,J303))</f>
        <v>2</v>
      </c>
      <c r="K307" s="41"/>
    </row>
    <row r="308" spans="2:11" x14ac:dyDescent="0.2">
      <c r="B308" s="38"/>
      <c r="C308" s="40"/>
      <c r="D308" s="40"/>
      <c r="E308" s="40"/>
      <c r="F308" s="40"/>
      <c r="G308" s="40"/>
      <c r="H308" s="40"/>
      <c r="I308" s="40"/>
      <c r="J308" s="40"/>
      <c r="K308" s="41"/>
    </row>
    <row r="309" spans="2:11" x14ac:dyDescent="0.2">
      <c r="B309" s="38"/>
      <c r="C309" s="40"/>
      <c r="D309" s="40"/>
      <c r="E309" s="40"/>
      <c r="F309" s="40"/>
      <c r="G309" s="40"/>
      <c r="H309" s="40"/>
      <c r="I309" s="40"/>
      <c r="J309" s="40"/>
      <c r="K309" s="41"/>
    </row>
    <row r="310" spans="2:11" ht="16" x14ac:dyDescent="0.2">
      <c r="B310" s="38"/>
      <c r="C310" s="45" t="s">
        <v>857</v>
      </c>
      <c r="D310" s="40"/>
      <c r="E310" s="40"/>
      <c r="F310" s="40"/>
      <c r="G310" s="40"/>
      <c r="H310" s="40"/>
      <c r="I310" s="40"/>
      <c r="J310" s="40"/>
      <c r="K310" s="41"/>
    </row>
    <row r="311" spans="2:11" x14ac:dyDescent="0.2">
      <c r="B311" s="38"/>
      <c r="C311" s="380" t="s">
        <v>843</v>
      </c>
      <c r="D311" s="380"/>
      <c r="E311" s="380"/>
      <c r="F311" s="380"/>
      <c r="G311" s="380"/>
      <c r="H311" s="380"/>
      <c r="I311" s="380"/>
      <c r="J311" s="40"/>
      <c r="K311" s="41"/>
    </row>
    <row r="312" spans="2:11" x14ac:dyDescent="0.2">
      <c r="B312" s="38"/>
      <c r="C312" s="380"/>
      <c r="D312" s="380"/>
      <c r="E312" s="380"/>
      <c r="F312" s="380"/>
      <c r="G312" s="380"/>
      <c r="H312" s="380"/>
      <c r="I312" s="380"/>
      <c r="J312" s="264">
        <v>0</v>
      </c>
      <c r="K312" s="41"/>
    </row>
    <row r="313" spans="2:11" x14ac:dyDescent="0.2">
      <c r="B313" s="38"/>
      <c r="C313" s="40" t="s">
        <v>853</v>
      </c>
      <c r="D313" s="291"/>
      <c r="E313" s="291"/>
      <c r="F313" s="291"/>
      <c r="G313" s="291"/>
      <c r="H313" s="291"/>
      <c r="I313" s="291"/>
      <c r="J313" s="255">
        <f>'Baseline Health'!$G$102</f>
        <v>0</v>
      </c>
      <c r="K313" s="41"/>
    </row>
    <row r="314" spans="2:11" x14ac:dyDescent="0.2">
      <c r="B314" s="38"/>
      <c r="C314" s="40" t="s">
        <v>842</v>
      </c>
      <c r="D314" s="40"/>
      <c r="E314" s="40"/>
      <c r="F314" s="40"/>
      <c r="G314" s="40"/>
      <c r="H314" s="40"/>
      <c r="I314" s="40"/>
      <c r="J314" s="244" t="str">
        <f>IF('Baseline Health'!$G$102=0,"Not Calculated",100*J312/'Baseline Health'!$G$102)</f>
        <v>Not Calculated</v>
      </c>
      <c r="K314" s="41"/>
    </row>
    <row r="315" spans="2:11" x14ac:dyDescent="0.2">
      <c r="B315" s="38"/>
      <c r="C315" s="40" t="s">
        <v>260</v>
      </c>
      <c r="D315" s="40"/>
      <c r="E315" s="40"/>
      <c r="F315" s="40"/>
      <c r="G315" s="40"/>
      <c r="H315" s="40"/>
      <c r="I315" s="40"/>
      <c r="J315" s="245">
        <f>IF(J314&lt;=0,0,IF(J314&lt;=1,1,IF(J314&lt;=5,2,IF(J314&lt;=10,3,4))))</f>
        <v>4</v>
      </c>
      <c r="K315" s="41"/>
    </row>
    <row r="316" spans="2:11" ht="9.75" customHeight="1" x14ac:dyDescent="0.2">
      <c r="B316" s="38"/>
      <c r="C316" s="279" t="str">
        <f>"0:"</f>
        <v>0:</v>
      </c>
      <c r="D316" s="278" t="s">
        <v>932</v>
      </c>
      <c r="E316" s="40"/>
      <c r="F316" s="40"/>
      <c r="G316" s="40"/>
      <c r="H316" s="40"/>
      <c r="I316" s="40"/>
      <c r="J316" s="244"/>
      <c r="K316" s="41"/>
    </row>
    <row r="317" spans="2:11" ht="9.75" customHeight="1" x14ac:dyDescent="0.2">
      <c r="B317" s="38"/>
      <c r="C317" s="280" t="str">
        <f>"1:"</f>
        <v>1:</v>
      </c>
      <c r="D317" s="278" t="s">
        <v>934</v>
      </c>
      <c r="E317" s="40"/>
      <c r="F317" s="40"/>
      <c r="G317" s="40"/>
      <c r="H317" s="40"/>
      <c r="I317" s="40"/>
      <c r="J317" s="244"/>
      <c r="K317" s="41"/>
    </row>
    <row r="318" spans="2:11" ht="9.75" customHeight="1" x14ac:dyDescent="0.2">
      <c r="B318" s="38"/>
      <c r="C318" s="280" t="str">
        <f>"2:"</f>
        <v>2:</v>
      </c>
      <c r="D318" s="278" t="s">
        <v>933</v>
      </c>
      <c r="E318" s="40"/>
      <c r="F318" s="40"/>
      <c r="G318" s="40"/>
      <c r="H318" s="40"/>
      <c r="I318" s="40"/>
      <c r="J318" s="244"/>
      <c r="K318" s="41"/>
    </row>
    <row r="319" spans="2:11" ht="9.75" customHeight="1" x14ac:dyDescent="0.2">
      <c r="B319" s="38"/>
      <c r="C319" s="280" t="str">
        <f>"3:"</f>
        <v>3:</v>
      </c>
      <c r="D319" s="278" t="s">
        <v>935</v>
      </c>
      <c r="E319" s="40"/>
      <c r="F319" s="40"/>
      <c r="G319" s="40"/>
      <c r="H319" s="40"/>
      <c r="I319" s="40"/>
      <c r="J319" s="244"/>
      <c r="K319" s="41"/>
    </row>
    <row r="320" spans="2:11" ht="9.75" customHeight="1" x14ac:dyDescent="0.2">
      <c r="B320" s="38"/>
      <c r="C320" s="280" t="str">
        <f>"4:"</f>
        <v>4:</v>
      </c>
      <c r="D320" s="278" t="s">
        <v>936</v>
      </c>
      <c r="E320" s="40"/>
      <c r="F320" s="40"/>
      <c r="G320" s="40"/>
      <c r="H320" s="40"/>
      <c r="I320" s="40"/>
      <c r="J320" s="40"/>
      <c r="K320" s="41"/>
    </row>
    <row r="321" spans="2:11" x14ac:dyDescent="0.2">
      <c r="B321" s="38"/>
      <c r="C321" s="40" t="s">
        <v>296</v>
      </c>
      <c r="D321" s="40"/>
      <c r="E321" s="40"/>
      <c r="F321" s="40"/>
      <c r="G321" s="40"/>
      <c r="H321" s="40"/>
      <c r="I321" s="40"/>
      <c r="J321" s="266">
        <v>0</v>
      </c>
      <c r="K321" s="41"/>
    </row>
    <row r="322" spans="2:11" x14ac:dyDescent="0.2">
      <c r="B322" s="38"/>
      <c r="C322" s="40" t="s">
        <v>261</v>
      </c>
      <c r="D322" s="40"/>
      <c r="E322" s="40"/>
      <c r="F322" s="40"/>
      <c r="G322" s="40"/>
      <c r="H322" s="40"/>
      <c r="I322" s="40"/>
      <c r="J322" s="245">
        <f>IF(J321&lt;=0,0,IF(J321&lt;=2,1,IF(J321&lt;=6,2,IF(J321&lt;=12,3,4))))</f>
        <v>0</v>
      </c>
      <c r="K322" s="41"/>
    </row>
    <row r="323" spans="2:11" x14ac:dyDescent="0.2">
      <c r="B323" s="38"/>
      <c r="C323" s="40" t="s">
        <v>893</v>
      </c>
      <c r="D323" s="40"/>
      <c r="E323" s="40"/>
      <c r="F323" s="40"/>
      <c r="G323" s="40"/>
      <c r="H323" s="40"/>
      <c r="I323" s="40"/>
      <c r="J323" s="40"/>
      <c r="K323" s="41"/>
    </row>
    <row r="324" spans="2:11" ht="30" customHeight="1" x14ac:dyDescent="0.2">
      <c r="B324" s="38"/>
      <c r="C324" s="399" t="s">
        <v>594</v>
      </c>
      <c r="D324" s="400"/>
      <c r="E324" s="400"/>
      <c r="F324" s="400"/>
      <c r="G324" s="400"/>
      <c r="H324" s="400"/>
      <c r="I324" s="400"/>
      <c r="J324" s="401"/>
      <c r="K324" s="41"/>
    </row>
    <row r="325" spans="2:11" x14ac:dyDescent="0.2">
      <c r="B325" s="38"/>
      <c r="C325" s="40"/>
      <c r="D325" s="40"/>
      <c r="E325" s="40"/>
      <c r="F325" s="40"/>
      <c r="G325" s="40"/>
      <c r="H325" s="40"/>
      <c r="I325" s="40"/>
      <c r="J325" s="40"/>
      <c r="K325" s="41"/>
    </row>
    <row r="326" spans="2:11" x14ac:dyDescent="0.2">
      <c r="B326" s="38"/>
      <c r="C326" s="179" t="s">
        <v>886</v>
      </c>
      <c r="D326" s="40"/>
      <c r="E326" s="40"/>
      <c r="F326" s="40"/>
      <c r="G326" s="40"/>
      <c r="H326" s="40"/>
      <c r="I326" s="40"/>
      <c r="J326" s="245">
        <f>IF(OR(J315="Not Calculated",J322="Not Calculated")=TRUE,"Not Calculated",AVERAGE(J315,J322))</f>
        <v>2</v>
      </c>
      <c r="K326" s="41"/>
    </row>
    <row r="327" spans="2:11" x14ac:dyDescent="0.2">
      <c r="B327" s="38"/>
      <c r="C327" s="40"/>
      <c r="D327" s="40"/>
      <c r="E327" s="40"/>
      <c r="F327" s="40"/>
      <c r="G327" s="40"/>
      <c r="H327" s="40"/>
      <c r="I327" s="40"/>
      <c r="J327" s="40"/>
      <c r="K327" s="41"/>
    </row>
    <row r="328" spans="2:11" x14ac:dyDescent="0.2">
      <c r="B328" s="38"/>
      <c r="C328" s="40"/>
      <c r="D328" s="40"/>
      <c r="E328" s="40"/>
      <c r="F328" s="40"/>
      <c r="G328" s="40"/>
      <c r="H328" s="40"/>
      <c r="I328" s="40"/>
      <c r="J328" s="40"/>
      <c r="K328" s="41"/>
    </row>
    <row r="329" spans="2:11" ht="16" x14ac:dyDescent="0.2">
      <c r="B329" s="38"/>
      <c r="C329" s="45" t="s">
        <v>858</v>
      </c>
      <c r="D329" s="40"/>
      <c r="E329" s="40"/>
      <c r="F329" s="40"/>
      <c r="G329" s="40"/>
      <c r="H329" s="40"/>
      <c r="I329" s="40"/>
      <c r="J329" s="40"/>
      <c r="K329" s="41"/>
    </row>
    <row r="330" spans="2:11" ht="15" customHeight="1" x14ac:dyDescent="0.2">
      <c r="B330" s="38"/>
      <c r="C330" s="380" t="s">
        <v>844</v>
      </c>
      <c r="D330" s="380"/>
      <c r="E330" s="380"/>
      <c r="F330" s="380"/>
      <c r="G330" s="380"/>
      <c r="H330" s="380"/>
      <c r="I330" s="380"/>
      <c r="J330" s="40"/>
      <c r="K330" s="41"/>
    </row>
    <row r="331" spans="2:11" x14ac:dyDescent="0.2">
      <c r="B331" s="38"/>
      <c r="C331" s="380"/>
      <c r="D331" s="380"/>
      <c r="E331" s="380"/>
      <c r="F331" s="380"/>
      <c r="G331" s="380"/>
      <c r="H331" s="380"/>
      <c r="I331" s="380"/>
      <c r="J331" s="264">
        <v>0</v>
      </c>
      <c r="K331" s="41"/>
    </row>
    <row r="332" spans="2:11" x14ac:dyDescent="0.2">
      <c r="B332" s="38"/>
      <c r="C332" s="40" t="s">
        <v>853</v>
      </c>
      <c r="D332" s="291"/>
      <c r="E332" s="291"/>
      <c r="F332" s="291"/>
      <c r="G332" s="291"/>
      <c r="H332" s="291"/>
      <c r="I332" s="291"/>
      <c r="J332" s="255">
        <f>'Baseline Health'!$G$102</f>
        <v>0</v>
      </c>
      <c r="K332" s="41"/>
    </row>
    <row r="333" spans="2:11" x14ac:dyDescent="0.2">
      <c r="B333" s="38"/>
      <c r="C333" s="40" t="s">
        <v>845</v>
      </c>
      <c r="D333" s="40"/>
      <c r="E333" s="40"/>
      <c r="F333" s="40"/>
      <c r="G333" s="40"/>
      <c r="H333" s="40"/>
      <c r="I333" s="40"/>
      <c r="J333" s="244" t="str">
        <f>IF('Baseline Health'!$G$102=0,"Not Calculated",100*J331/'Baseline Health'!$G$102)</f>
        <v>Not Calculated</v>
      </c>
      <c r="K333" s="41"/>
    </row>
    <row r="334" spans="2:11" x14ac:dyDescent="0.2">
      <c r="B334" s="38"/>
      <c r="C334" s="40" t="s">
        <v>260</v>
      </c>
      <c r="D334" s="40"/>
      <c r="E334" s="40"/>
      <c r="F334" s="40"/>
      <c r="G334" s="40"/>
      <c r="H334" s="40"/>
      <c r="I334" s="40"/>
      <c r="J334" s="245">
        <f>IF(J333&lt;=0,0,IF(J333&lt;=1,1,IF(J333&lt;=5,2,IF(J333&lt;=10,3,4))))</f>
        <v>4</v>
      </c>
      <c r="K334" s="41"/>
    </row>
    <row r="335" spans="2:11" ht="9.75" customHeight="1" x14ac:dyDescent="0.2">
      <c r="B335" s="38"/>
      <c r="C335" s="279" t="str">
        <f>"0:"</f>
        <v>0:</v>
      </c>
      <c r="D335" s="278" t="s">
        <v>932</v>
      </c>
      <c r="E335" s="40"/>
      <c r="F335" s="40"/>
      <c r="G335" s="40"/>
      <c r="H335" s="40"/>
      <c r="I335" s="40"/>
      <c r="J335" s="244"/>
      <c r="K335" s="41"/>
    </row>
    <row r="336" spans="2:11" ht="9.75" customHeight="1" x14ac:dyDescent="0.2">
      <c r="B336" s="38"/>
      <c r="C336" s="280" t="str">
        <f>"1:"</f>
        <v>1:</v>
      </c>
      <c r="D336" s="278" t="s">
        <v>934</v>
      </c>
      <c r="E336" s="40"/>
      <c r="F336" s="40"/>
      <c r="G336" s="40"/>
      <c r="H336" s="40"/>
      <c r="I336" s="40"/>
      <c r="J336" s="244"/>
      <c r="K336" s="41"/>
    </row>
    <row r="337" spans="2:11" ht="9.75" customHeight="1" x14ac:dyDescent="0.2">
      <c r="B337" s="38"/>
      <c r="C337" s="280" t="str">
        <f>"2:"</f>
        <v>2:</v>
      </c>
      <c r="D337" s="278" t="s">
        <v>933</v>
      </c>
      <c r="E337" s="40"/>
      <c r="F337" s="40"/>
      <c r="G337" s="40"/>
      <c r="H337" s="40"/>
      <c r="I337" s="40"/>
      <c r="J337" s="244"/>
      <c r="K337" s="41"/>
    </row>
    <row r="338" spans="2:11" ht="9.75" customHeight="1" x14ac:dyDescent="0.2">
      <c r="B338" s="38"/>
      <c r="C338" s="280" t="str">
        <f>"3:"</f>
        <v>3:</v>
      </c>
      <c r="D338" s="278" t="s">
        <v>935</v>
      </c>
      <c r="E338" s="40"/>
      <c r="F338" s="40"/>
      <c r="G338" s="40"/>
      <c r="H338" s="40"/>
      <c r="I338" s="40"/>
      <c r="J338" s="244"/>
      <c r="K338" s="41"/>
    </row>
    <row r="339" spans="2:11" ht="9.75" customHeight="1" x14ac:dyDescent="0.2">
      <c r="B339" s="38"/>
      <c r="C339" s="280" t="str">
        <f>"4:"</f>
        <v>4:</v>
      </c>
      <c r="D339" s="278" t="s">
        <v>936</v>
      </c>
      <c r="E339" s="40"/>
      <c r="F339" s="40"/>
      <c r="G339" s="40"/>
      <c r="H339" s="40"/>
      <c r="I339" s="40"/>
      <c r="J339" s="40"/>
      <c r="K339" s="41"/>
    </row>
    <row r="340" spans="2:11" x14ac:dyDescent="0.2">
      <c r="B340" s="38"/>
      <c r="C340" s="380" t="s">
        <v>84</v>
      </c>
      <c r="D340" s="380"/>
      <c r="E340" s="380"/>
      <c r="F340" s="380"/>
      <c r="G340" s="380"/>
      <c r="H340" s="380"/>
      <c r="I340" s="380"/>
      <c r="J340" s="245"/>
      <c r="K340" s="41"/>
    </row>
    <row r="341" spans="2:11" x14ac:dyDescent="0.2">
      <c r="B341" s="38"/>
      <c r="C341" s="380"/>
      <c r="D341" s="380"/>
      <c r="E341" s="380"/>
      <c r="F341" s="380"/>
      <c r="G341" s="380"/>
      <c r="H341" s="380"/>
      <c r="I341" s="380"/>
      <c r="J341" s="245">
        <f>'Baseline Health'!G108</f>
        <v>40</v>
      </c>
      <c r="K341" s="41"/>
    </row>
    <row r="342" spans="2:11" ht="15" customHeight="1" x14ac:dyDescent="0.2">
      <c r="B342" s="38"/>
      <c r="C342" s="40" t="s">
        <v>833</v>
      </c>
      <c r="D342" s="40"/>
      <c r="E342" s="40"/>
      <c r="F342" s="40"/>
      <c r="G342" s="40"/>
      <c r="H342" s="40"/>
      <c r="I342" s="40"/>
      <c r="J342" s="245">
        <f>IF(J341&gt;J321,0,J321-J341)</f>
        <v>0</v>
      </c>
      <c r="K342" s="41"/>
    </row>
    <row r="343" spans="2:11" x14ac:dyDescent="0.2">
      <c r="B343" s="38"/>
      <c r="C343" s="40"/>
      <c r="D343" s="380" t="s">
        <v>834</v>
      </c>
      <c r="E343" s="380"/>
      <c r="F343" s="380"/>
      <c r="G343" s="380"/>
      <c r="H343" s="380"/>
      <c r="I343" s="380"/>
      <c r="J343" s="40"/>
      <c r="K343" s="41"/>
    </row>
    <row r="344" spans="2:11" x14ac:dyDescent="0.2">
      <c r="B344" s="38"/>
      <c r="C344" s="40"/>
      <c r="D344" s="380"/>
      <c r="E344" s="380"/>
      <c r="F344" s="380"/>
      <c r="G344" s="380"/>
      <c r="H344" s="380"/>
      <c r="I344" s="380"/>
      <c r="J344" s="40"/>
      <c r="K344" s="41"/>
    </row>
    <row r="345" spans="2:11" x14ac:dyDescent="0.2">
      <c r="B345" s="38"/>
      <c r="C345" s="40" t="s">
        <v>261</v>
      </c>
      <c r="D345" s="40"/>
      <c r="E345" s="40"/>
      <c r="F345" s="40"/>
      <c r="G345" s="40"/>
      <c r="H345" s="40"/>
      <c r="I345" s="40"/>
      <c r="J345" s="245">
        <f>IF(J342&lt;=0,0,IF(J342&lt;=2,1,IF(J342&lt;=6,2,IF(J342&lt;=12,3,4))))</f>
        <v>0</v>
      </c>
      <c r="K345" s="41"/>
    </row>
    <row r="346" spans="2:11" x14ac:dyDescent="0.2">
      <c r="B346" s="38"/>
      <c r="C346" s="40" t="s">
        <v>893</v>
      </c>
      <c r="D346" s="40"/>
      <c r="E346" s="40"/>
      <c r="F346" s="40"/>
      <c r="G346" s="40"/>
      <c r="H346" s="40"/>
      <c r="I346" s="40"/>
      <c r="J346" s="40"/>
      <c r="K346" s="41"/>
    </row>
    <row r="347" spans="2:11" ht="30" customHeight="1" x14ac:dyDescent="0.2">
      <c r="B347" s="38"/>
      <c r="C347" s="399"/>
      <c r="D347" s="400"/>
      <c r="E347" s="400"/>
      <c r="F347" s="400"/>
      <c r="G347" s="400"/>
      <c r="H347" s="400"/>
      <c r="I347" s="400"/>
      <c r="J347" s="401"/>
      <c r="K347" s="41"/>
    </row>
    <row r="348" spans="2:11" x14ac:dyDescent="0.2">
      <c r="B348" s="38"/>
      <c r="C348" s="40"/>
      <c r="D348" s="40"/>
      <c r="E348" s="40"/>
      <c r="F348" s="40"/>
      <c r="G348" s="40"/>
      <c r="H348" s="40"/>
      <c r="I348" s="40"/>
      <c r="J348" s="40"/>
      <c r="K348" s="41"/>
    </row>
    <row r="349" spans="2:11" x14ac:dyDescent="0.2">
      <c r="B349" s="38"/>
      <c r="C349" s="179" t="s">
        <v>887</v>
      </c>
      <c r="D349" s="40"/>
      <c r="E349" s="40"/>
      <c r="F349" s="40"/>
      <c r="G349" s="40"/>
      <c r="H349" s="40"/>
      <c r="I349" s="40"/>
      <c r="J349" s="245">
        <f>IF(OR(J334="Not Calculated",J345="Not Calculated")=TRUE,"Not Calculated",AVERAGE(J334,J345))</f>
        <v>2</v>
      </c>
      <c r="K349" s="41"/>
    </row>
    <row r="350" spans="2:11" x14ac:dyDescent="0.2">
      <c r="B350" s="38"/>
      <c r="C350" s="40"/>
      <c r="D350" s="40"/>
      <c r="E350" s="40"/>
      <c r="F350" s="40"/>
      <c r="G350" s="40"/>
      <c r="H350" s="40"/>
      <c r="I350" s="40"/>
      <c r="J350" s="40"/>
      <c r="K350" s="41"/>
    </row>
    <row r="351" spans="2:11" x14ac:dyDescent="0.2">
      <c r="B351" s="38"/>
      <c r="C351" s="40"/>
      <c r="D351" s="40"/>
      <c r="E351" s="40"/>
      <c r="F351" s="40"/>
      <c r="G351" s="40"/>
      <c r="H351" s="40"/>
      <c r="I351" s="40"/>
      <c r="J351" s="40"/>
      <c r="K351" s="41"/>
    </row>
    <row r="352" spans="2:11" ht="15" customHeight="1" x14ac:dyDescent="0.2">
      <c r="B352" s="38"/>
      <c r="C352" s="45" t="s">
        <v>859</v>
      </c>
      <c r="D352" s="40"/>
      <c r="E352" s="40"/>
      <c r="F352" s="40"/>
      <c r="G352" s="40"/>
      <c r="H352" s="40"/>
      <c r="I352" s="40"/>
      <c r="J352" s="40"/>
      <c r="K352" s="41"/>
    </row>
    <row r="353" spans="2:11" x14ac:dyDescent="0.2">
      <c r="B353" s="38"/>
      <c r="C353" s="40" t="s">
        <v>846</v>
      </c>
      <c r="D353" s="40"/>
      <c r="E353" s="40"/>
      <c r="F353" s="40"/>
      <c r="G353" s="40"/>
      <c r="H353" s="40"/>
      <c r="I353" s="40"/>
      <c r="J353" s="264">
        <v>0</v>
      </c>
      <c r="K353" s="41"/>
    </row>
    <row r="354" spans="2:11" x14ac:dyDescent="0.2">
      <c r="B354" s="38"/>
      <c r="C354" s="40" t="s">
        <v>854</v>
      </c>
      <c r="D354" s="40"/>
      <c r="E354" s="40"/>
      <c r="F354" s="40"/>
      <c r="G354" s="40"/>
      <c r="H354" s="40"/>
      <c r="I354" s="40"/>
      <c r="J354" s="255">
        <f>'Baseline Health'!$G$59</f>
        <v>0</v>
      </c>
      <c r="K354" s="41"/>
    </row>
    <row r="355" spans="2:11" x14ac:dyDescent="0.2">
      <c r="B355" s="38"/>
      <c r="C355" s="40" t="s">
        <v>847</v>
      </c>
      <c r="D355" s="40"/>
      <c r="E355" s="40"/>
      <c r="F355" s="40"/>
      <c r="G355" s="40"/>
      <c r="H355" s="40"/>
      <c r="I355" s="40"/>
      <c r="J355" s="244">
        <f>IF(J353=0,0,IF('Baseline Health'!G$59=0,"Not Calculated",100*J353/'Baseline Health'!$G$59))</f>
        <v>0</v>
      </c>
      <c r="K355" s="41"/>
    </row>
    <row r="356" spans="2:11" x14ac:dyDescent="0.2">
      <c r="B356" s="38"/>
      <c r="C356" s="40" t="s">
        <v>260</v>
      </c>
      <c r="D356" s="40"/>
      <c r="E356" s="40"/>
      <c r="F356" s="40"/>
      <c r="G356" s="40"/>
      <c r="H356" s="40"/>
      <c r="I356" s="40"/>
      <c r="J356" s="245">
        <f>IF(J355&lt;=0,0,IF(J355&lt;=5,1,IF(J355&lt;=10,2,IF(J355&lt;=25,3,4))))</f>
        <v>0</v>
      </c>
      <c r="K356" s="41"/>
    </row>
    <row r="357" spans="2:11" ht="9.75" customHeight="1" x14ac:dyDescent="0.2">
      <c r="B357" s="38"/>
      <c r="C357" s="279" t="str">
        <f>"0:"</f>
        <v>0:</v>
      </c>
      <c r="D357" s="278" t="s">
        <v>932</v>
      </c>
      <c r="E357" s="40"/>
      <c r="F357" s="40"/>
      <c r="G357" s="40"/>
      <c r="H357" s="40"/>
      <c r="I357" s="40"/>
      <c r="J357" s="244"/>
      <c r="K357" s="41"/>
    </row>
    <row r="358" spans="2:11" ht="9.75" customHeight="1" x14ac:dyDescent="0.2">
      <c r="B358" s="38"/>
      <c r="C358" s="280" t="str">
        <f>"1:"</f>
        <v>1:</v>
      </c>
      <c r="D358" s="278" t="s">
        <v>933</v>
      </c>
      <c r="E358" s="40"/>
      <c r="F358" s="40"/>
      <c r="G358" s="40"/>
      <c r="H358" s="40"/>
      <c r="I358" s="40"/>
      <c r="J358" s="244"/>
      <c r="K358" s="41"/>
    </row>
    <row r="359" spans="2:11" ht="9.75" customHeight="1" x14ac:dyDescent="0.2">
      <c r="B359" s="38"/>
      <c r="C359" s="280" t="str">
        <f>"2:"</f>
        <v>2:</v>
      </c>
      <c r="D359" s="278" t="s">
        <v>935</v>
      </c>
      <c r="E359" s="40"/>
      <c r="F359" s="40"/>
      <c r="G359" s="40"/>
      <c r="H359" s="40"/>
      <c r="I359" s="40"/>
      <c r="J359" s="244"/>
      <c r="K359" s="41"/>
    </row>
    <row r="360" spans="2:11" ht="9.75" customHeight="1" x14ac:dyDescent="0.2">
      <c r="B360" s="38"/>
      <c r="C360" s="280" t="str">
        <f>"3:"</f>
        <v>3:</v>
      </c>
      <c r="D360" s="278" t="s">
        <v>937</v>
      </c>
      <c r="E360" s="40"/>
      <c r="F360" s="40"/>
      <c r="G360" s="40"/>
      <c r="H360" s="40"/>
      <c r="I360" s="40"/>
      <c r="J360" s="244"/>
      <c r="K360" s="41"/>
    </row>
    <row r="361" spans="2:11" ht="9.75" customHeight="1" x14ac:dyDescent="0.2">
      <c r="B361" s="38"/>
      <c r="C361" s="280" t="str">
        <f>"4:"</f>
        <v>4:</v>
      </c>
      <c r="D361" s="278" t="s">
        <v>938</v>
      </c>
      <c r="E361" s="40"/>
      <c r="F361" s="40"/>
      <c r="G361" s="40"/>
      <c r="H361" s="40"/>
      <c r="I361" s="40"/>
      <c r="J361" s="40"/>
      <c r="K361" s="41"/>
    </row>
    <row r="362" spans="2:11" x14ac:dyDescent="0.2">
      <c r="B362" s="38"/>
      <c r="C362" s="40" t="s">
        <v>257</v>
      </c>
      <c r="D362" s="40"/>
      <c r="E362" s="40"/>
      <c r="F362" s="40"/>
      <c r="G362" s="40"/>
      <c r="H362" s="40"/>
      <c r="I362" s="40"/>
      <c r="J362" s="266" t="s">
        <v>870</v>
      </c>
      <c r="K362" s="41"/>
    </row>
    <row r="363" spans="2:11" x14ac:dyDescent="0.2">
      <c r="B363" s="38"/>
      <c r="C363" s="40" t="s">
        <v>261</v>
      </c>
      <c r="D363" s="40"/>
      <c r="E363" s="40"/>
      <c r="F363" s="40"/>
      <c r="G363" s="40"/>
      <c r="H363" s="40"/>
      <c r="I363" s="40"/>
      <c r="J363" s="245">
        <f>IF(J362=$B$980,$A$980,IF(J362=$B$981,$A$981,IF(J362=$B$982,$A$982,IF(J362=$B$983,$A$983,IF(J362=$B$984,$A$984,"Not Calculated")))))</f>
        <v>0</v>
      </c>
      <c r="K363" s="41"/>
    </row>
    <row r="364" spans="2:11" x14ac:dyDescent="0.2">
      <c r="B364" s="38"/>
      <c r="C364" s="40" t="s">
        <v>893</v>
      </c>
      <c r="D364" s="40"/>
      <c r="E364" s="40"/>
      <c r="F364" s="40"/>
      <c r="G364" s="40"/>
      <c r="H364" s="40"/>
      <c r="I364" s="40"/>
      <c r="J364" s="40"/>
      <c r="K364" s="41"/>
    </row>
    <row r="365" spans="2:11" ht="30" customHeight="1" x14ac:dyDescent="0.2">
      <c r="B365" s="38"/>
      <c r="C365" s="399"/>
      <c r="D365" s="400"/>
      <c r="E365" s="400"/>
      <c r="F365" s="400"/>
      <c r="G365" s="400"/>
      <c r="H365" s="400"/>
      <c r="I365" s="400"/>
      <c r="J365" s="401"/>
      <c r="K365" s="41"/>
    </row>
    <row r="366" spans="2:11" x14ac:dyDescent="0.2">
      <c r="B366" s="38"/>
      <c r="C366" s="40"/>
      <c r="D366" s="40"/>
      <c r="E366" s="40"/>
      <c r="F366" s="40"/>
      <c r="G366" s="40"/>
      <c r="H366" s="40"/>
      <c r="I366" s="40"/>
      <c r="J366" s="40"/>
      <c r="K366" s="41"/>
    </row>
    <row r="367" spans="2:11" x14ac:dyDescent="0.2">
      <c r="B367" s="38"/>
      <c r="C367" s="179" t="s">
        <v>888</v>
      </c>
      <c r="D367" s="40"/>
      <c r="E367" s="40"/>
      <c r="F367" s="40"/>
      <c r="G367" s="40"/>
      <c r="H367" s="40"/>
      <c r="I367" s="40"/>
      <c r="J367" s="245">
        <f>IF(OR(J356="Not Calculated",J363="Not Calculated")=TRUE,"Not Calculated",AVERAGE(J356,J363))</f>
        <v>0</v>
      </c>
      <c r="K367" s="41"/>
    </row>
    <row r="368" spans="2:11" x14ac:dyDescent="0.2">
      <c r="B368" s="38"/>
      <c r="C368" s="40"/>
      <c r="D368" s="40"/>
      <c r="E368" s="40"/>
      <c r="F368" s="40"/>
      <c r="G368" s="40"/>
      <c r="H368" s="40"/>
      <c r="I368" s="40"/>
      <c r="J368" s="40"/>
      <c r="K368" s="41"/>
    </row>
    <row r="369" spans="2:11" x14ac:dyDescent="0.2">
      <c r="B369" s="38"/>
      <c r="C369" s="40"/>
      <c r="D369" s="40"/>
      <c r="E369" s="40"/>
      <c r="F369" s="40"/>
      <c r="G369" s="40"/>
      <c r="H369" s="40"/>
      <c r="I369" s="40"/>
      <c r="J369" s="40"/>
      <c r="K369" s="41"/>
    </row>
    <row r="370" spans="2:11" ht="16" x14ac:dyDescent="0.2">
      <c r="B370" s="38"/>
      <c r="C370" s="45" t="s">
        <v>863</v>
      </c>
      <c r="D370" s="40"/>
      <c r="E370" s="40"/>
      <c r="F370" s="40"/>
      <c r="G370" s="40"/>
      <c r="H370" s="40"/>
      <c r="I370" s="40"/>
      <c r="J370" s="40"/>
      <c r="K370" s="41"/>
    </row>
    <row r="371" spans="2:11" ht="15" customHeight="1" x14ac:dyDescent="0.2">
      <c r="B371" s="38"/>
      <c r="C371" s="380" t="s">
        <v>848</v>
      </c>
      <c r="D371" s="380"/>
      <c r="E371" s="380"/>
      <c r="F371" s="380"/>
      <c r="G371" s="380"/>
      <c r="H371" s="380"/>
      <c r="I371" s="380"/>
      <c r="J371" s="181"/>
      <c r="K371" s="41"/>
    </row>
    <row r="372" spans="2:11" x14ac:dyDescent="0.2">
      <c r="B372" s="38"/>
      <c r="C372" s="380"/>
      <c r="D372" s="380"/>
      <c r="E372" s="380"/>
      <c r="F372" s="380"/>
      <c r="G372" s="380"/>
      <c r="H372" s="380"/>
      <c r="I372" s="380"/>
      <c r="J372" s="264">
        <f>'Baseline Health'!$G$102/2</f>
        <v>0</v>
      </c>
      <c r="K372" s="41"/>
    </row>
    <row r="373" spans="2:11" x14ac:dyDescent="0.2">
      <c r="B373" s="38"/>
      <c r="C373" s="40" t="s">
        <v>853</v>
      </c>
      <c r="D373" s="291"/>
      <c r="E373" s="291"/>
      <c r="F373" s="291"/>
      <c r="G373" s="291"/>
      <c r="H373" s="291"/>
      <c r="I373" s="291"/>
      <c r="J373" s="255">
        <f>'Baseline Health'!$G$102</f>
        <v>0</v>
      </c>
      <c r="K373" s="41"/>
    </row>
    <row r="374" spans="2:11" x14ac:dyDescent="0.2">
      <c r="B374" s="38"/>
      <c r="C374" s="40" t="s">
        <v>842</v>
      </c>
      <c r="D374" s="291"/>
      <c r="E374" s="291"/>
      <c r="F374" s="291"/>
      <c r="G374" s="291"/>
      <c r="H374" s="291"/>
      <c r="I374" s="291"/>
      <c r="J374" s="244" t="str">
        <f>IF('Baseline Health'!$G$102=0,"Not Calculated",100*J372/'Baseline Health'!$G$102)</f>
        <v>Not Calculated</v>
      </c>
      <c r="K374" s="41"/>
    </row>
    <row r="375" spans="2:11" x14ac:dyDescent="0.2">
      <c r="B375" s="38"/>
      <c r="C375" s="40" t="s">
        <v>260</v>
      </c>
      <c r="D375" s="40"/>
      <c r="E375" s="40"/>
      <c r="F375" s="40"/>
      <c r="G375" s="40"/>
      <c r="H375" s="40"/>
      <c r="I375" s="40"/>
      <c r="J375" s="251">
        <f>IF(J374&lt;=0,0,IF(J374&lt;=1,1,IF(J374&lt;=5,2,IF(J374&lt;=10,3,4))))</f>
        <v>4</v>
      </c>
      <c r="K375" s="41"/>
    </row>
    <row r="376" spans="2:11" ht="9.75" customHeight="1" x14ac:dyDescent="0.2">
      <c r="B376" s="38"/>
      <c r="C376" s="279" t="str">
        <f>"0:"</f>
        <v>0:</v>
      </c>
      <c r="D376" s="278" t="s">
        <v>932</v>
      </c>
      <c r="E376" s="291"/>
      <c r="F376" s="291"/>
      <c r="G376" s="291"/>
      <c r="H376" s="291"/>
      <c r="I376" s="291"/>
      <c r="J376" s="244"/>
      <c r="K376" s="41"/>
    </row>
    <row r="377" spans="2:11" ht="9.75" customHeight="1" x14ac:dyDescent="0.2">
      <c r="B377" s="38"/>
      <c r="C377" s="280" t="str">
        <f>"1:"</f>
        <v>1:</v>
      </c>
      <c r="D377" s="278" t="s">
        <v>934</v>
      </c>
      <c r="E377" s="291"/>
      <c r="F377" s="291"/>
      <c r="G377" s="291"/>
      <c r="H377" s="291"/>
      <c r="I377" s="291"/>
      <c r="J377" s="244"/>
      <c r="K377" s="41"/>
    </row>
    <row r="378" spans="2:11" ht="9.75" customHeight="1" x14ac:dyDescent="0.2">
      <c r="B378" s="38"/>
      <c r="C378" s="280" t="str">
        <f>"2:"</f>
        <v>2:</v>
      </c>
      <c r="D378" s="278" t="s">
        <v>933</v>
      </c>
      <c r="E378" s="291"/>
      <c r="F378" s="291"/>
      <c r="G378" s="291"/>
      <c r="H378" s="291"/>
      <c r="I378" s="291"/>
      <c r="J378" s="244"/>
      <c r="K378" s="41"/>
    </row>
    <row r="379" spans="2:11" ht="9.75" customHeight="1" x14ac:dyDescent="0.2">
      <c r="B379" s="38"/>
      <c r="C379" s="280" t="str">
        <f>"3:"</f>
        <v>3:</v>
      </c>
      <c r="D379" s="278" t="s">
        <v>935</v>
      </c>
      <c r="E379" s="291"/>
      <c r="F379" s="291"/>
      <c r="G379" s="291"/>
      <c r="H379" s="291"/>
      <c r="I379" s="291"/>
      <c r="J379" s="244"/>
      <c r="K379" s="41"/>
    </row>
    <row r="380" spans="2:11" ht="9.75" customHeight="1" x14ac:dyDescent="0.2">
      <c r="B380" s="38"/>
      <c r="C380" s="280" t="str">
        <f>"4:"</f>
        <v>4:</v>
      </c>
      <c r="D380" s="278" t="s">
        <v>936</v>
      </c>
      <c r="E380" s="40"/>
      <c r="F380" s="40"/>
      <c r="G380" s="40"/>
      <c r="H380" s="40"/>
      <c r="I380" s="40"/>
      <c r="J380" s="40"/>
      <c r="K380" s="41"/>
    </row>
    <row r="381" spans="2:11" x14ac:dyDescent="0.2">
      <c r="B381" s="38"/>
      <c r="C381" s="40" t="s">
        <v>85</v>
      </c>
      <c r="D381" s="40"/>
      <c r="E381" s="40"/>
      <c r="F381" s="40"/>
      <c r="G381" s="40"/>
      <c r="H381" s="40"/>
      <c r="I381" s="40"/>
      <c r="J381" s="252">
        <f>'Baseline Health'!G114</f>
        <v>7</v>
      </c>
      <c r="K381" s="41"/>
    </row>
    <row r="382" spans="2:11" x14ac:dyDescent="0.2">
      <c r="B382" s="38"/>
      <c r="C382" s="40" t="s">
        <v>297</v>
      </c>
      <c r="D382" s="40"/>
      <c r="E382" s="40"/>
      <c r="F382" s="40"/>
      <c r="G382" s="40"/>
      <c r="H382" s="40"/>
      <c r="I382" s="40"/>
      <c r="J382" s="266">
        <v>1</v>
      </c>
      <c r="K382" s="41"/>
    </row>
    <row r="383" spans="2:11" x14ac:dyDescent="0.2">
      <c r="B383" s="38"/>
      <c r="C383" s="40" t="s">
        <v>261</v>
      </c>
      <c r="D383" s="40"/>
      <c r="E383" s="40"/>
      <c r="F383" s="40"/>
      <c r="G383" s="40"/>
      <c r="H383" s="40"/>
      <c r="I383" s="40"/>
      <c r="J383" s="248">
        <f>IF((J382-J381)&lt;1,0,IF((J382-J381)&lt;3,1,IF((J382-J381)&lt;5,2,IF((J382-J381)&lt;7,3,4))))</f>
        <v>0</v>
      </c>
      <c r="K383" s="41"/>
    </row>
    <row r="384" spans="2:11" x14ac:dyDescent="0.2">
      <c r="B384" s="38"/>
      <c r="C384" s="40" t="s">
        <v>893</v>
      </c>
      <c r="D384" s="40"/>
      <c r="E384" s="40"/>
      <c r="F384" s="40"/>
      <c r="G384" s="40"/>
      <c r="H384" s="40"/>
      <c r="I384" s="40"/>
      <c r="J384" s="40"/>
      <c r="K384" s="41"/>
    </row>
    <row r="385" spans="2:11" ht="30" customHeight="1" x14ac:dyDescent="0.2">
      <c r="B385" s="38"/>
      <c r="C385" s="399" t="s">
        <v>595</v>
      </c>
      <c r="D385" s="400"/>
      <c r="E385" s="400"/>
      <c r="F385" s="400"/>
      <c r="G385" s="400"/>
      <c r="H385" s="400"/>
      <c r="I385" s="400"/>
      <c r="J385" s="401"/>
      <c r="K385" s="41"/>
    </row>
    <row r="386" spans="2:11" x14ac:dyDescent="0.2">
      <c r="B386" s="38"/>
      <c r="C386" s="40"/>
      <c r="D386" s="40"/>
      <c r="E386" s="40"/>
      <c r="F386" s="40"/>
      <c r="G386" s="40"/>
      <c r="H386" s="40"/>
      <c r="I386" s="40"/>
      <c r="J386" s="40"/>
      <c r="K386" s="41"/>
    </row>
    <row r="387" spans="2:11" x14ac:dyDescent="0.2">
      <c r="B387" s="38"/>
      <c r="C387" s="179" t="s">
        <v>889</v>
      </c>
      <c r="D387" s="40"/>
      <c r="E387" s="40"/>
      <c r="F387" s="40"/>
      <c r="G387" s="40"/>
      <c r="H387" s="40"/>
      <c r="I387" s="40"/>
      <c r="J387" s="245">
        <f>IF(OR(J375="Not Calculated",J383="Not Calculated")=TRUE,"Not Calculated",AVERAGE(J375,J383))</f>
        <v>2</v>
      </c>
      <c r="K387" s="41"/>
    </row>
    <row r="388" spans="2:11" x14ac:dyDescent="0.2">
      <c r="B388" s="38"/>
      <c r="C388" s="40"/>
      <c r="D388" s="40"/>
      <c r="E388" s="40"/>
      <c r="F388" s="40"/>
      <c r="G388" s="40"/>
      <c r="H388" s="40"/>
      <c r="I388" s="40"/>
      <c r="J388" s="40"/>
      <c r="K388" s="41"/>
    </row>
    <row r="389" spans="2:11" x14ac:dyDescent="0.2">
      <c r="B389" s="38"/>
      <c r="C389" s="40"/>
      <c r="D389" s="40"/>
      <c r="E389" s="40"/>
      <c r="F389" s="40"/>
      <c r="G389" s="40"/>
      <c r="H389" s="40"/>
      <c r="I389" s="40"/>
      <c r="J389" s="40"/>
      <c r="K389" s="41"/>
    </row>
    <row r="390" spans="2:11" ht="16" x14ac:dyDescent="0.2">
      <c r="B390" s="38"/>
      <c r="C390" s="45" t="s">
        <v>860</v>
      </c>
      <c r="D390" s="40"/>
      <c r="E390" s="40"/>
      <c r="F390" s="40"/>
      <c r="G390" s="40"/>
      <c r="H390" s="40"/>
      <c r="I390" s="40"/>
      <c r="J390" s="40"/>
      <c r="K390" s="41"/>
    </row>
    <row r="391" spans="2:11" x14ac:dyDescent="0.2">
      <c r="B391" s="38"/>
      <c r="C391" s="380" t="s">
        <v>849</v>
      </c>
      <c r="D391" s="380"/>
      <c r="E391" s="380"/>
      <c r="F391" s="380"/>
      <c r="G391" s="380"/>
      <c r="H391" s="380"/>
      <c r="I391" s="380"/>
      <c r="J391" s="181"/>
      <c r="K391" s="41"/>
    </row>
    <row r="392" spans="2:11" x14ac:dyDescent="0.2">
      <c r="B392" s="38"/>
      <c r="C392" s="380"/>
      <c r="D392" s="380"/>
      <c r="E392" s="380"/>
      <c r="F392" s="380"/>
      <c r="G392" s="380"/>
      <c r="H392" s="380"/>
      <c r="I392" s="380"/>
      <c r="J392" s="264">
        <v>0</v>
      </c>
      <c r="K392" s="41"/>
    </row>
    <row r="393" spans="2:11" x14ac:dyDescent="0.2">
      <c r="B393" s="38"/>
      <c r="C393" s="40" t="s">
        <v>853</v>
      </c>
      <c r="D393" s="291"/>
      <c r="E393" s="291"/>
      <c r="F393" s="291"/>
      <c r="G393" s="291"/>
      <c r="H393" s="291"/>
      <c r="I393" s="291"/>
      <c r="J393" s="255">
        <f>'Baseline Health'!$G$102</f>
        <v>0</v>
      </c>
      <c r="K393" s="41"/>
    </row>
    <row r="394" spans="2:11" ht="15" customHeight="1" x14ac:dyDescent="0.2">
      <c r="B394" s="38"/>
      <c r="C394" s="40" t="s">
        <v>850</v>
      </c>
      <c r="D394" s="291"/>
      <c r="E394" s="291"/>
      <c r="F394" s="291"/>
      <c r="G394" s="291"/>
      <c r="H394" s="291"/>
      <c r="I394" s="291"/>
      <c r="J394" s="244" t="str">
        <f>IF('Baseline Health'!$G$102=0,"Not Calculated",100*J392/'Baseline Health'!$G$102)</f>
        <v>Not Calculated</v>
      </c>
      <c r="K394" s="41"/>
    </row>
    <row r="395" spans="2:11" ht="15" customHeight="1" x14ac:dyDescent="0.2">
      <c r="B395" s="38"/>
      <c r="C395" s="40" t="s">
        <v>260</v>
      </c>
      <c r="D395" s="40"/>
      <c r="E395" s="40"/>
      <c r="F395" s="40"/>
      <c r="G395" s="40"/>
      <c r="H395" s="40"/>
      <c r="I395" s="40"/>
      <c r="J395" s="43">
        <f>IF(J394&lt;=0,0,IF(J394&lt;=1,1,IF(J394&lt;=5,2,IF(J394&lt;=10,3,4))))</f>
        <v>4</v>
      </c>
      <c r="K395" s="41"/>
    </row>
    <row r="396" spans="2:11" ht="9.75" customHeight="1" x14ac:dyDescent="0.2">
      <c r="B396" s="38"/>
      <c r="C396" s="279" t="str">
        <f>"0:"</f>
        <v>0:</v>
      </c>
      <c r="D396" s="278" t="s">
        <v>932</v>
      </c>
      <c r="E396" s="291"/>
      <c r="F396" s="291"/>
      <c r="G396" s="291"/>
      <c r="H396" s="291"/>
      <c r="I396" s="291"/>
      <c r="J396" s="244"/>
      <c r="K396" s="41"/>
    </row>
    <row r="397" spans="2:11" ht="9.75" customHeight="1" x14ac:dyDescent="0.2">
      <c r="B397" s="38"/>
      <c r="C397" s="280" t="str">
        <f>"1:"</f>
        <v>1:</v>
      </c>
      <c r="D397" s="278" t="s">
        <v>934</v>
      </c>
      <c r="E397" s="291"/>
      <c r="F397" s="291"/>
      <c r="G397" s="291"/>
      <c r="H397" s="291"/>
      <c r="I397" s="291"/>
      <c r="J397" s="244"/>
      <c r="K397" s="41"/>
    </row>
    <row r="398" spans="2:11" ht="9.75" customHeight="1" x14ac:dyDescent="0.2">
      <c r="B398" s="38"/>
      <c r="C398" s="280" t="str">
        <f>"2:"</f>
        <v>2:</v>
      </c>
      <c r="D398" s="278" t="s">
        <v>933</v>
      </c>
      <c r="E398" s="291"/>
      <c r="F398" s="291"/>
      <c r="G398" s="291"/>
      <c r="H398" s="291"/>
      <c r="I398" s="291"/>
      <c r="J398" s="244"/>
      <c r="K398" s="41"/>
    </row>
    <row r="399" spans="2:11" ht="9.75" customHeight="1" x14ac:dyDescent="0.2">
      <c r="B399" s="38"/>
      <c r="C399" s="280" t="str">
        <f>"3:"</f>
        <v>3:</v>
      </c>
      <c r="D399" s="278" t="s">
        <v>935</v>
      </c>
      <c r="E399" s="291"/>
      <c r="F399" s="291"/>
      <c r="G399" s="291"/>
      <c r="H399" s="291"/>
      <c r="I399" s="291"/>
      <c r="J399" s="244"/>
      <c r="K399" s="41"/>
    </row>
    <row r="400" spans="2:11" ht="9.75" customHeight="1" x14ac:dyDescent="0.2">
      <c r="B400" s="38"/>
      <c r="C400" s="280" t="str">
        <f>"4:"</f>
        <v>4:</v>
      </c>
      <c r="D400" s="278" t="s">
        <v>936</v>
      </c>
      <c r="E400" s="40"/>
      <c r="F400" s="40"/>
      <c r="G400" s="40"/>
      <c r="H400" s="40"/>
      <c r="I400" s="40"/>
      <c r="J400" s="40"/>
      <c r="K400" s="41"/>
    </row>
    <row r="401" spans="2:11" x14ac:dyDescent="0.2">
      <c r="B401" s="38"/>
      <c r="C401" s="40" t="s">
        <v>893</v>
      </c>
      <c r="D401" s="40"/>
      <c r="E401" s="40"/>
      <c r="F401" s="40"/>
      <c r="G401" s="40"/>
      <c r="H401" s="40"/>
      <c r="I401" s="40"/>
      <c r="J401" s="40"/>
      <c r="K401" s="41"/>
    </row>
    <row r="402" spans="2:11" ht="30" customHeight="1" x14ac:dyDescent="0.2">
      <c r="B402" s="38"/>
      <c r="C402" s="399"/>
      <c r="D402" s="400"/>
      <c r="E402" s="400"/>
      <c r="F402" s="400"/>
      <c r="G402" s="400"/>
      <c r="H402" s="400"/>
      <c r="I402" s="400"/>
      <c r="J402" s="401"/>
      <c r="K402" s="41"/>
    </row>
    <row r="403" spans="2:11" x14ac:dyDescent="0.2">
      <c r="B403" s="38"/>
      <c r="C403" s="40"/>
      <c r="D403" s="40"/>
      <c r="E403" s="40"/>
      <c r="F403" s="40"/>
      <c r="G403" s="40"/>
      <c r="H403" s="40"/>
      <c r="I403" s="40"/>
      <c r="J403" s="40"/>
      <c r="K403" s="41"/>
    </row>
    <row r="404" spans="2:11" x14ac:dyDescent="0.2">
      <c r="B404" s="38"/>
      <c r="C404" s="179" t="s">
        <v>890</v>
      </c>
      <c r="D404" s="40"/>
      <c r="E404" s="40"/>
      <c r="F404" s="40"/>
      <c r="G404" s="40"/>
      <c r="H404" s="40"/>
      <c r="I404" s="40"/>
      <c r="J404" s="245">
        <f>J395</f>
        <v>4</v>
      </c>
      <c r="K404" s="41"/>
    </row>
    <row r="405" spans="2:11" x14ac:dyDescent="0.2">
      <c r="B405" s="38"/>
      <c r="C405" s="40"/>
      <c r="D405" s="40"/>
      <c r="E405" s="40"/>
      <c r="F405" s="40"/>
      <c r="G405" s="40"/>
      <c r="H405" s="40"/>
      <c r="I405" s="40"/>
      <c r="J405" s="40"/>
      <c r="K405" s="41"/>
    </row>
    <row r="406" spans="2:11" x14ac:dyDescent="0.2">
      <c r="B406" s="38"/>
      <c r="C406" s="40"/>
      <c r="D406" s="40"/>
      <c r="E406" s="40"/>
      <c r="F406" s="40"/>
      <c r="G406" s="40"/>
      <c r="H406" s="40"/>
      <c r="I406" s="40"/>
      <c r="J406" s="40"/>
      <c r="K406" s="41"/>
    </row>
    <row r="407" spans="2:11" ht="16" x14ac:dyDescent="0.2">
      <c r="B407" s="38"/>
      <c r="C407" s="45" t="s">
        <v>861</v>
      </c>
      <c r="D407" s="40"/>
      <c r="E407" s="40"/>
      <c r="F407" s="40"/>
      <c r="G407" s="40"/>
      <c r="H407" s="40"/>
      <c r="I407" s="40"/>
      <c r="J407" s="40"/>
      <c r="K407" s="41"/>
    </row>
    <row r="408" spans="2:11" x14ac:dyDescent="0.2">
      <c r="B408" s="38"/>
      <c r="C408" s="40" t="s">
        <v>298</v>
      </c>
      <c r="D408" s="40"/>
      <c r="E408" s="40"/>
      <c r="F408" s="40"/>
      <c r="G408" s="40"/>
      <c r="H408" s="40"/>
      <c r="I408" s="40"/>
      <c r="J408" s="269">
        <v>0</v>
      </c>
      <c r="K408" s="41"/>
    </row>
    <row r="409" spans="2:11" x14ac:dyDescent="0.2">
      <c r="B409" s="38"/>
      <c r="C409" s="40" t="s">
        <v>260</v>
      </c>
      <c r="D409" s="40"/>
      <c r="E409" s="40"/>
      <c r="F409" s="40"/>
      <c r="G409" s="40"/>
      <c r="H409" s="40"/>
      <c r="I409" s="40"/>
      <c r="J409" s="253">
        <f>IF(J408&lt;=0,0,IF(J408&lt;=(J161*0.01),1,IF(J408&lt;=(J161*0.05),2,IF(J408&lt;=(J161*0.1),3,4))))</f>
        <v>0</v>
      </c>
      <c r="K409" s="41"/>
    </row>
    <row r="410" spans="2:11" ht="9.75" customHeight="1" x14ac:dyDescent="0.2">
      <c r="B410" s="38"/>
      <c r="C410" s="279" t="str">
        <f>"0:"</f>
        <v>0:</v>
      </c>
      <c r="D410" s="278" t="s">
        <v>939</v>
      </c>
      <c r="E410" s="40"/>
      <c r="F410" s="40"/>
      <c r="G410" s="40"/>
      <c r="H410" s="40"/>
      <c r="I410" s="40"/>
      <c r="J410" s="282"/>
      <c r="K410" s="41"/>
    </row>
    <row r="411" spans="2:11" ht="9.75" customHeight="1" x14ac:dyDescent="0.2">
      <c r="B411" s="38"/>
      <c r="C411" s="280" t="str">
        <f>"1:"</f>
        <v>1:</v>
      </c>
      <c r="D411" s="278" t="s">
        <v>940</v>
      </c>
      <c r="E411" s="40"/>
      <c r="F411" s="40"/>
      <c r="G411" s="40"/>
      <c r="H411" s="40"/>
      <c r="I411" s="40"/>
      <c r="J411" s="282"/>
      <c r="K411" s="41"/>
    </row>
    <row r="412" spans="2:11" ht="9.75" customHeight="1" x14ac:dyDescent="0.2">
      <c r="B412" s="38"/>
      <c r="C412" s="280" t="str">
        <f>"2:"</f>
        <v>2:</v>
      </c>
      <c r="D412" s="278" t="s">
        <v>941</v>
      </c>
      <c r="E412" s="40"/>
      <c r="F412" s="40"/>
      <c r="G412" s="40"/>
      <c r="H412" s="40"/>
      <c r="I412" s="40"/>
      <c r="J412" s="282"/>
      <c r="K412" s="41"/>
    </row>
    <row r="413" spans="2:11" ht="9.75" customHeight="1" x14ac:dyDescent="0.2">
      <c r="B413" s="38"/>
      <c r="C413" s="280" t="str">
        <f>"3:"</f>
        <v>3:</v>
      </c>
      <c r="D413" s="278" t="s">
        <v>942</v>
      </c>
      <c r="E413" s="40"/>
      <c r="F413" s="40"/>
      <c r="G413" s="40"/>
      <c r="H413" s="40"/>
      <c r="I413" s="40"/>
      <c r="J413" s="282"/>
      <c r="K413" s="41"/>
    </row>
    <row r="414" spans="2:11" ht="9.75" customHeight="1" x14ac:dyDescent="0.2">
      <c r="B414" s="38"/>
      <c r="C414" s="280" t="str">
        <f>"4:"</f>
        <v>4:</v>
      </c>
      <c r="D414" s="278" t="s">
        <v>943</v>
      </c>
      <c r="E414" s="40"/>
      <c r="F414" s="40"/>
      <c r="G414" s="40"/>
      <c r="H414" s="40"/>
      <c r="I414" s="40"/>
      <c r="J414" s="40"/>
      <c r="K414" s="41"/>
    </row>
    <row r="415" spans="2:11" x14ac:dyDescent="0.2">
      <c r="B415" s="38"/>
      <c r="C415" s="40" t="s">
        <v>893</v>
      </c>
      <c r="D415" s="40"/>
      <c r="E415" s="40"/>
      <c r="F415" s="40"/>
      <c r="G415" s="40"/>
      <c r="H415" s="40"/>
      <c r="I415" s="40"/>
      <c r="J415" s="40"/>
      <c r="K415" s="41"/>
    </row>
    <row r="416" spans="2:11" ht="30" customHeight="1" x14ac:dyDescent="0.2">
      <c r="B416" s="38"/>
      <c r="C416" s="399"/>
      <c r="D416" s="400"/>
      <c r="E416" s="400"/>
      <c r="F416" s="400"/>
      <c r="G416" s="400"/>
      <c r="H416" s="400"/>
      <c r="I416" s="400"/>
      <c r="J416" s="401"/>
      <c r="K416" s="41"/>
    </row>
    <row r="417" spans="2:11" x14ac:dyDescent="0.2">
      <c r="B417" s="38"/>
      <c r="C417" s="40"/>
      <c r="D417" s="40"/>
      <c r="E417" s="40"/>
      <c r="F417" s="40"/>
      <c r="G417" s="40"/>
      <c r="H417" s="40"/>
      <c r="I417" s="40"/>
      <c r="J417" s="40"/>
      <c r="K417" s="41"/>
    </row>
    <row r="418" spans="2:11" x14ac:dyDescent="0.2">
      <c r="B418" s="38"/>
      <c r="C418" s="179" t="s">
        <v>891</v>
      </c>
      <c r="D418" s="40"/>
      <c r="E418" s="40"/>
      <c r="F418" s="40"/>
      <c r="G418" s="40"/>
      <c r="H418" s="40"/>
      <c r="I418" s="40"/>
      <c r="J418" s="245">
        <f>J409</f>
        <v>0</v>
      </c>
      <c r="K418" s="41"/>
    </row>
    <row r="419" spans="2:11" x14ac:dyDescent="0.2">
      <c r="B419" s="38"/>
      <c r="C419" s="40"/>
      <c r="D419" s="40"/>
      <c r="E419" s="40"/>
      <c r="F419" s="40"/>
      <c r="G419" s="40"/>
      <c r="H419" s="40"/>
      <c r="I419" s="40"/>
      <c r="J419" s="40"/>
      <c r="K419" s="41"/>
    </row>
    <row r="420" spans="2:11" ht="20" customHeight="1" x14ac:dyDescent="0.2">
      <c r="B420" s="38"/>
      <c r="C420" s="410" t="s">
        <v>881</v>
      </c>
      <c r="D420" s="410"/>
      <c r="E420" s="410"/>
      <c r="F420" s="410"/>
      <c r="G420" s="410"/>
      <c r="H420" s="410"/>
      <c r="I420" s="410"/>
      <c r="J420" s="40"/>
      <c r="K420" s="41"/>
    </row>
    <row r="421" spans="2:11" ht="20" customHeight="1" x14ac:dyDescent="0.2">
      <c r="B421" s="38"/>
      <c r="C421" s="410"/>
      <c r="D421" s="410"/>
      <c r="E421" s="410"/>
      <c r="F421" s="410"/>
      <c r="G421" s="410"/>
      <c r="H421" s="410"/>
      <c r="I421" s="410"/>
      <c r="J421" s="244">
        <f>IF(OR(J288="Not Calculated",J307="Not Calculated",J326="Not Calculated",J349="Not Calculated",J367="Not Calculated",J387="Not Calculated",J404="Not Calculated",J418="Not Calculated")=TRUE,"Not Calculated",AVERAGE(J288,J307,J326,J349,J367,J387,J404,J418))</f>
        <v>1.5</v>
      </c>
      <c r="K421" s="41"/>
    </row>
    <row r="422" spans="2:11" ht="16" thickBot="1" x14ac:dyDescent="0.25">
      <c r="B422" s="46"/>
      <c r="C422" s="47"/>
      <c r="D422" s="47"/>
      <c r="E422" s="47"/>
      <c r="F422" s="47"/>
      <c r="G422" s="47"/>
      <c r="H422" s="47"/>
      <c r="I422" s="47"/>
      <c r="J422" s="47"/>
      <c r="K422" s="49"/>
    </row>
    <row r="423" spans="2:11" ht="16" thickBot="1" x14ac:dyDescent="0.25"/>
    <row r="424" spans="2:11" x14ac:dyDescent="0.2">
      <c r="B424" s="33"/>
      <c r="C424" s="34"/>
      <c r="D424" s="34"/>
      <c r="E424" s="34"/>
      <c r="F424" s="34"/>
      <c r="G424" s="34"/>
      <c r="H424" s="34"/>
      <c r="I424" s="34"/>
      <c r="J424" s="34"/>
      <c r="K424" s="37"/>
    </row>
    <row r="425" spans="2:11" ht="21" x14ac:dyDescent="0.25">
      <c r="B425" s="38"/>
      <c r="C425" s="40"/>
      <c r="D425" s="40"/>
      <c r="E425" s="40"/>
      <c r="F425" s="40"/>
      <c r="G425" s="172" t="s">
        <v>230</v>
      </c>
      <c r="H425" s="40"/>
      <c r="I425" s="40"/>
      <c r="J425" s="40"/>
      <c r="K425" s="41"/>
    </row>
    <row r="426" spans="2:11" x14ac:dyDescent="0.2">
      <c r="B426" s="38"/>
      <c r="C426" s="40"/>
      <c r="D426" s="40"/>
      <c r="E426" s="40"/>
      <c r="F426" s="40"/>
      <c r="G426" s="40"/>
      <c r="H426" s="40"/>
      <c r="I426" s="40"/>
      <c r="J426" s="40"/>
      <c r="K426" s="41"/>
    </row>
    <row r="427" spans="2:11" ht="16" x14ac:dyDescent="0.2">
      <c r="B427" s="38"/>
      <c r="C427" s="45" t="s">
        <v>299</v>
      </c>
      <c r="D427" s="40"/>
      <c r="E427" s="40"/>
      <c r="F427" s="40"/>
      <c r="G427" s="40"/>
      <c r="H427" s="40"/>
      <c r="I427" s="40"/>
      <c r="J427" s="40"/>
      <c r="K427" s="41"/>
    </row>
    <row r="428" spans="2:11" x14ac:dyDescent="0.2">
      <c r="B428" s="38"/>
      <c r="C428" s="40" t="s">
        <v>300</v>
      </c>
      <c r="D428" s="40"/>
      <c r="E428" s="40"/>
      <c r="F428" s="40"/>
      <c r="G428" s="40"/>
      <c r="H428" s="40"/>
      <c r="I428" s="40"/>
      <c r="J428" s="270">
        <f>'Community Characteristics'!H14*0.064</f>
        <v>0</v>
      </c>
      <c r="K428" s="41"/>
    </row>
    <row r="429" spans="2:11" x14ac:dyDescent="0.2">
      <c r="B429" s="38"/>
      <c r="C429" s="40" t="s">
        <v>260</v>
      </c>
      <c r="D429" s="40"/>
      <c r="E429" s="40"/>
      <c r="F429" s="40"/>
      <c r="G429" s="40"/>
      <c r="H429" s="40"/>
      <c r="I429" s="40"/>
      <c r="J429" s="248">
        <f>IF(J428&lt;=0,0,IF(J428&lt;=1,1,IF(J428&lt;=5,2,IF(J428&lt;=10,3,4))))</f>
        <v>0</v>
      </c>
      <c r="K429" s="41"/>
    </row>
    <row r="430" spans="2:11" s="98" customFormat="1" ht="9.75" customHeight="1" x14ac:dyDescent="0.2">
      <c r="B430" s="288"/>
      <c r="C430" s="279" t="str">
        <f>"0:"</f>
        <v>0:</v>
      </c>
      <c r="D430" s="290" t="s">
        <v>944</v>
      </c>
      <c r="E430" s="245"/>
      <c r="F430" s="245"/>
      <c r="G430" s="245"/>
      <c r="H430" s="245"/>
      <c r="I430" s="245"/>
      <c r="J430" s="245"/>
      <c r="K430" s="289"/>
    </row>
    <row r="431" spans="2:11" s="98" customFormat="1" ht="9.75" customHeight="1" x14ac:dyDescent="0.2">
      <c r="B431" s="288"/>
      <c r="C431" s="280" t="str">
        <f>"1:"</f>
        <v>1:</v>
      </c>
      <c r="D431" s="290" t="s">
        <v>945</v>
      </c>
      <c r="E431" s="245"/>
      <c r="F431" s="245"/>
      <c r="G431" s="245"/>
      <c r="H431" s="245"/>
      <c r="I431" s="245"/>
      <c r="J431" s="245"/>
      <c r="K431" s="289"/>
    </row>
    <row r="432" spans="2:11" s="98" customFormat="1" ht="9.75" customHeight="1" x14ac:dyDescent="0.2">
      <c r="B432" s="288"/>
      <c r="C432" s="280" t="str">
        <f>"2:"</f>
        <v>2:</v>
      </c>
      <c r="D432" s="290" t="s">
        <v>946</v>
      </c>
      <c r="E432" s="245"/>
      <c r="F432" s="245"/>
      <c r="G432" s="245"/>
      <c r="H432" s="245"/>
      <c r="I432" s="245"/>
      <c r="J432" s="245"/>
      <c r="K432" s="289"/>
    </row>
    <row r="433" spans="2:11" s="98" customFormat="1" ht="9.75" customHeight="1" x14ac:dyDescent="0.2">
      <c r="B433" s="288"/>
      <c r="C433" s="280" t="str">
        <f>"3:"</f>
        <v>3:</v>
      </c>
      <c r="D433" s="290" t="s">
        <v>947</v>
      </c>
      <c r="E433" s="245"/>
      <c r="F433" s="245"/>
      <c r="G433" s="245"/>
      <c r="H433" s="245"/>
      <c r="I433" s="245"/>
      <c r="J433" s="245"/>
      <c r="K433" s="289"/>
    </row>
    <row r="434" spans="2:11" s="98" customFormat="1" ht="9.75" customHeight="1" x14ac:dyDescent="0.2">
      <c r="B434" s="288"/>
      <c r="C434" s="280" t="str">
        <f>"4:"</f>
        <v>4:</v>
      </c>
      <c r="D434" s="290" t="s">
        <v>948</v>
      </c>
      <c r="E434" s="245"/>
      <c r="F434" s="245"/>
      <c r="G434" s="245"/>
      <c r="H434" s="245"/>
      <c r="I434" s="245"/>
      <c r="J434" s="247"/>
      <c r="K434" s="289"/>
    </row>
    <row r="435" spans="2:11" x14ac:dyDescent="0.2">
      <c r="B435" s="38"/>
      <c r="C435" s="40" t="s">
        <v>257</v>
      </c>
      <c r="D435" s="40"/>
      <c r="E435" s="40"/>
      <c r="F435" s="40"/>
      <c r="G435" s="40"/>
      <c r="H435" s="40"/>
      <c r="I435" s="40"/>
      <c r="J435" s="266" t="s">
        <v>872</v>
      </c>
      <c r="K435" s="41"/>
    </row>
    <row r="436" spans="2:11" x14ac:dyDescent="0.2">
      <c r="B436" s="38"/>
      <c r="C436" s="40" t="s">
        <v>261</v>
      </c>
      <c r="D436" s="40"/>
      <c r="E436" s="40"/>
      <c r="F436" s="40"/>
      <c r="G436" s="40"/>
      <c r="H436" s="40"/>
      <c r="I436" s="40"/>
      <c r="J436" s="245">
        <f>IF(J435=$B$973,$A$973,IF(J435=$B$974,$A$974,IF(J435=$B$975,$A$975,IF(J435=$B$976,$A$976,IF(J435=$B$977,$A$977,"Not Calculated")))))</f>
        <v>2</v>
      </c>
      <c r="K436" s="41"/>
    </row>
    <row r="437" spans="2:11" x14ac:dyDescent="0.2">
      <c r="B437" s="38"/>
      <c r="C437" s="40" t="s">
        <v>893</v>
      </c>
      <c r="D437" s="40"/>
      <c r="E437" s="40"/>
      <c r="F437" s="40"/>
      <c r="G437" s="40"/>
      <c r="H437" s="40"/>
      <c r="I437" s="40"/>
      <c r="J437" s="40"/>
      <c r="K437" s="41"/>
    </row>
    <row r="438" spans="2:11" ht="30" customHeight="1" x14ac:dyDescent="0.2">
      <c r="B438" s="38"/>
      <c r="C438" s="399" t="s">
        <v>596</v>
      </c>
      <c r="D438" s="400"/>
      <c r="E438" s="400"/>
      <c r="F438" s="400"/>
      <c r="G438" s="400"/>
      <c r="H438" s="400"/>
      <c r="I438" s="400"/>
      <c r="J438" s="401"/>
      <c r="K438" s="41"/>
    </row>
    <row r="439" spans="2:11" x14ac:dyDescent="0.2">
      <c r="B439" s="38"/>
      <c r="C439" s="40"/>
      <c r="D439" s="40"/>
      <c r="E439" s="40"/>
      <c r="F439" s="40"/>
      <c r="G439" s="40"/>
      <c r="H439" s="40"/>
      <c r="I439" s="40"/>
      <c r="J439" s="40"/>
      <c r="K439" s="41"/>
    </row>
    <row r="440" spans="2:11" x14ac:dyDescent="0.2">
      <c r="B440" s="38"/>
      <c r="C440" s="179" t="s">
        <v>301</v>
      </c>
      <c r="D440" s="40"/>
      <c r="E440" s="40"/>
      <c r="F440" s="40"/>
      <c r="G440" s="40"/>
      <c r="H440" s="40"/>
      <c r="I440" s="40"/>
      <c r="J440" s="245">
        <f>IF(OR(J429="Not Calculated",J436="Not Calculated")=TRUE,"Not Calculated",AVERAGE(J429,J436))</f>
        <v>1</v>
      </c>
      <c r="K440" s="41"/>
    </row>
    <row r="441" spans="2:11" x14ac:dyDescent="0.2">
      <c r="B441" s="38"/>
      <c r="C441" s="40"/>
      <c r="D441" s="40"/>
      <c r="E441" s="40"/>
      <c r="F441" s="40"/>
      <c r="G441" s="40"/>
      <c r="H441" s="40"/>
      <c r="I441" s="40"/>
      <c r="J441" s="40"/>
      <c r="K441" s="41"/>
    </row>
    <row r="442" spans="2:11" x14ac:dyDescent="0.2">
      <c r="B442" s="38"/>
      <c r="C442" s="40"/>
      <c r="D442" s="40"/>
      <c r="E442" s="40"/>
      <c r="F442" s="40"/>
      <c r="G442" s="40"/>
      <c r="H442" s="40"/>
      <c r="I442" s="40"/>
      <c r="J442" s="40"/>
      <c r="K442" s="41"/>
    </row>
    <row r="443" spans="2:11" ht="16" x14ac:dyDescent="0.2">
      <c r="B443" s="38"/>
      <c r="C443" s="45" t="s">
        <v>303</v>
      </c>
      <c r="D443" s="40"/>
      <c r="E443" s="40"/>
      <c r="F443" s="40"/>
      <c r="G443" s="40"/>
      <c r="H443" s="40"/>
      <c r="I443" s="40"/>
      <c r="J443" s="40"/>
      <c r="K443" s="41"/>
    </row>
    <row r="444" spans="2:11" ht="15" customHeight="1" x14ac:dyDescent="0.2">
      <c r="B444" s="38"/>
      <c r="C444" s="380" t="s">
        <v>305</v>
      </c>
      <c r="D444" s="380"/>
      <c r="E444" s="380"/>
      <c r="F444" s="380"/>
      <c r="G444" s="380"/>
      <c r="H444" s="380"/>
      <c r="I444" s="380"/>
      <c r="J444" s="40"/>
      <c r="K444" s="41"/>
    </row>
    <row r="445" spans="2:11" x14ac:dyDescent="0.2">
      <c r="B445" s="38"/>
      <c r="C445" s="380"/>
      <c r="D445" s="380"/>
      <c r="E445" s="380"/>
      <c r="F445" s="380"/>
      <c r="G445" s="380"/>
      <c r="H445" s="380"/>
      <c r="I445" s="380"/>
      <c r="J445" s="270">
        <v>0</v>
      </c>
      <c r="K445" s="41"/>
    </row>
    <row r="446" spans="2:11" x14ac:dyDescent="0.2">
      <c r="B446" s="38"/>
      <c r="C446" s="40" t="s">
        <v>260</v>
      </c>
      <c r="D446" s="40"/>
      <c r="E446" s="40"/>
      <c r="F446" s="40"/>
      <c r="G446" s="40"/>
      <c r="H446" s="40"/>
      <c r="I446" s="40"/>
      <c r="J446" s="248">
        <f>IF(J445&lt;=0,0,IF(J445&lt;=1,1,IF(J445&lt;=5,2,IF(J445&lt;=10,3,4))))</f>
        <v>0</v>
      </c>
      <c r="K446" s="41"/>
    </row>
    <row r="447" spans="2:11" ht="9.75" customHeight="1" x14ac:dyDescent="0.2">
      <c r="B447" s="38"/>
      <c r="C447" s="279" t="str">
        <f>"0:"</f>
        <v>0:</v>
      </c>
      <c r="D447" s="278" t="s">
        <v>944</v>
      </c>
      <c r="E447" s="40"/>
      <c r="F447" s="40"/>
      <c r="G447" s="40"/>
      <c r="H447" s="40"/>
      <c r="I447" s="40"/>
      <c r="J447" s="245"/>
      <c r="K447" s="41"/>
    </row>
    <row r="448" spans="2:11" ht="9.75" customHeight="1" x14ac:dyDescent="0.2">
      <c r="B448" s="38"/>
      <c r="C448" s="280" t="str">
        <f>"1:"</f>
        <v>1:</v>
      </c>
      <c r="D448" s="278" t="s">
        <v>945</v>
      </c>
      <c r="E448" s="40"/>
      <c r="F448" s="40"/>
      <c r="G448" s="40"/>
      <c r="H448" s="40"/>
      <c r="I448" s="40"/>
      <c r="J448" s="245"/>
      <c r="K448" s="41"/>
    </row>
    <row r="449" spans="2:11" ht="9.75" customHeight="1" x14ac:dyDescent="0.2">
      <c r="B449" s="38"/>
      <c r="C449" s="280" t="str">
        <f>"2:"</f>
        <v>2:</v>
      </c>
      <c r="D449" s="278" t="s">
        <v>946</v>
      </c>
      <c r="E449" s="40"/>
      <c r="F449" s="40"/>
      <c r="G449" s="40"/>
      <c r="H449" s="40"/>
      <c r="I449" s="40"/>
      <c r="J449" s="245"/>
      <c r="K449" s="41"/>
    </row>
    <row r="450" spans="2:11" ht="9.75" customHeight="1" x14ac:dyDescent="0.2">
      <c r="B450" s="38"/>
      <c r="C450" s="280" t="str">
        <f>"3:"</f>
        <v>3:</v>
      </c>
      <c r="D450" s="278" t="s">
        <v>947</v>
      </c>
      <c r="E450" s="40"/>
      <c r="F450" s="40"/>
      <c r="G450" s="40"/>
      <c r="H450" s="40"/>
      <c r="I450" s="40"/>
      <c r="J450" s="245"/>
      <c r="K450" s="41"/>
    </row>
    <row r="451" spans="2:11" ht="9.75" customHeight="1" x14ac:dyDescent="0.2">
      <c r="B451" s="38"/>
      <c r="C451" s="280" t="str">
        <f>"4:"</f>
        <v>4:</v>
      </c>
      <c r="D451" s="278" t="s">
        <v>948</v>
      </c>
      <c r="E451" s="40"/>
      <c r="F451" s="40"/>
      <c r="G451" s="40"/>
      <c r="H451" s="40"/>
      <c r="I451" s="40"/>
      <c r="J451" s="247"/>
      <c r="K451" s="41"/>
    </row>
    <row r="452" spans="2:11" x14ac:dyDescent="0.2">
      <c r="B452" s="38"/>
      <c r="C452" s="40" t="s">
        <v>257</v>
      </c>
      <c r="D452" s="40"/>
      <c r="E452" s="40"/>
      <c r="F452" s="40"/>
      <c r="G452" s="40"/>
      <c r="H452" s="40"/>
      <c r="I452" s="40"/>
      <c r="J452" s="266" t="s">
        <v>870</v>
      </c>
      <c r="K452" s="41"/>
    </row>
    <row r="453" spans="2:11" x14ac:dyDescent="0.2">
      <c r="B453" s="38"/>
      <c r="C453" s="40" t="s">
        <v>261</v>
      </c>
      <c r="D453" s="40"/>
      <c r="E453" s="40"/>
      <c r="F453" s="40"/>
      <c r="G453" s="40"/>
      <c r="H453" s="40"/>
      <c r="I453" s="40"/>
      <c r="J453" s="245">
        <f>IF(J452=$B$973,$A$973,IF(J452=$B$974,$A$974,IF(J452=$B$975,$A$975,IF(J452=$B$976,$A$976,IF(J452=$B$977,$A$977,"Not Calculated")))))</f>
        <v>0</v>
      </c>
      <c r="K453" s="41"/>
    </row>
    <row r="454" spans="2:11" x14ac:dyDescent="0.2">
      <c r="B454" s="38"/>
      <c r="C454" s="40" t="s">
        <v>893</v>
      </c>
      <c r="D454" s="40"/>
      <c r="E454" s="40"/>
      <c r="F454" s="40"/>
      <c r="G454" s="40"/>
      <c r="H454" s="40"/>
      <c r="I454" s="40"/>
      <c r="J454" s="40"/>
      <c r="K454" s="41"/>
    </row>
    <row r="455" spans="2:11" ht="30" customHeight="1" x14ac:dyDescent="0.2">
      <c r="B455" s="38"/>
      <c r="C455" s="399"/>
      <c r="D455" s="400"/>
      <c r="E455" s="400"/>
      <c r="F455" s="400"/>
      <c r="G455" s="400"/>
      <c r="H455" s="400"/>
      <c r="I455" s="400"/>
      <c r="J455" s="401"/>
      <c r="K455" s="41"/>
    </row>
    <row r="456" spans="2:11" x14ac:dyDescent="0.2">
      <c r="B456" s="38"/>
      <c r="C456" s="40"/>
      <c r="D456" s="40"/>
      <c r="E456" s="40"/>
      <c r="F456" s="40"/>
      <c r="G456" s="40"/>
      <c r="H456" s="40"/>
      <c r="I456" s="40"/>
      <c r="J456" s="40"/>
      <c r="K456" s="41"/>
    </row>
    <row r="457" spans="2:11" x14ac:dyDescent="0.2">
      <c r="B457" s="38"/>
      <c r="C457" s="179" t="s">
        <v>304</v>
      </c>
      <c r="D457" s="40"/>
      <c r="E457" s="40"/>
      <c r="F457" s="40"/>
      <c r="G457" s="40"/>
      <c r="H457" s="40"/>
      <c r="I457" s="40"/>
      <c r="J457" s="245">
        <f>IF(OR(J446="Not Calculated",J453="Not Calculated")=TRUE,"Not Calculated",AVERAGE(J446,J453))</f>
        <v>0</v>
      </c>
      <c r="K457" s="41"/>
    </row>
    <row r="458" spans="2:11" x14ac:dyDescent="0.2">
      <c r="B458" s="38"/>
      <c r="C458" s="40"/>
      <c r="D458" s="40"/>
      <c r="E458" s="40"/>
      <c r="F458" s="40"/>
      <c r="G458" s="40"/>
      <c r="H458" s="40"/>
      <c r="I458" s="40"/>
      <c r="J458" s="40"/>
      <c r="K458" s="41"/>
    </row>
    <row r="459" spans="2:11" x14ac:dyDescent="0.2">
      <c r="B459" s="38"/>
      <c r="C459" s="40"/>
      <c r="D459" s="40"/>
      <c r="E459" s="40"/>
      <c r="F459" s="40"/>
      <c r="G459" s="40"/>
      <c r="H459" s="40"/>
      <c r="I459" s="40"/>
      <c r="J459" s="40"/>
      <c r="K459" s="41"/>
    </row>
    <row r="460" spans="2:11" ht="16" x14ac:dyDescent="0.2">
      <c r="B460" s="38"/>
      <c r="C460" s="45" t="s">
        <v>306</v>
      </c>
      <c r="D460" s="40"/>
      <c r="E460" s="40"/>
      <c r="F460" s="40"/>
      <c r="G460" s="40"/>
      <c r="H460" s="40"/>
      <c r="I460" s="40"/>
      <c r="J460" s="40"/>
      <c r="K460" s="41"/>
    </row>
    <row r="461" spans="2:11" x14ac:dyDescent="0.2">
      <c r="B461" s="38"/>
      <c r="C461" s="40" t="s">
        <v>949</v>
      </c>
      <c r="D461" s="40"/>
      <c r="E461" s="40"/>
      <c r="F461" s="40"/>
      <c r="G461" s="40"/>
      <c r="H461" s="40"/>
      <c r="I461" s="40"/>
      <c r="J461" s="270">
        <v>6.4</v>
      </c>
      <c r="K461" s="41"/>
    </row>
    <row r="462" spans="2:11" x14ac:dyDescent="0.2">
      <c r="B462" s="38"/>
      <c r="C462" s="40" t="s">
        <v>260</v>
      </c>
      <c r="D462" s="40"/>
      <c r="E462" s="40"/>
      <c r="F462" s="40"/>
      <c r="G462" s="40"/>
      <c r="H462" s="40"/>
      <c r="I462" s="40"/>
      <c r="J462" s="248">
        <f>IF(J461&lt;=0,0,IF(J461&lt;=1,1,IF(J461&lt;=5,2,IF(J461&lt;=10,3,4))))</f>
        <v>3</v>
      </c>
      <c r="K462" s="41"/>
    </row>
    <row r="463" spans="2:11" ht="9.75" customHeight="1" x14ac:dyDescent="0.2">
      <c r="B463" s="38"/>
      <c r="C463" s="279" t="str">
        <f>"0:"</f>
        <v>0:</v>
      </c>
      <c r="D463" s="290" t="s">
        <v>944</v>
      </c>
      <c r="E463" s="40"/>
      <c r="F463" s="40"/>
      <c r="G463" s="40"/>
      <c r="H463" s="40"/>
      <c r="I463" s="40"/>
      <c r="J463" s="245"/>
      <c r="K463" s="41"/>
    </row>
    <row r="464" spans="2:11" ht="9.75" customHeight="1" x14ac:dyDescent="0.2">
      <c r="B464" s="38"/>
      <c r="C464" s="280" t="str">
        <f>"1:"</f>
        <v>1:</v>
      </c>
      <c r="D464" s="290" t="s">
        <v>945</v>
      </c>
      <c r="E464" s="40"/>
      <c r="F464" s="40"/>
      <c r="G464" s="40"/>
      <c r="H464" s="40"/>
      <c r="I464" s="40"/>
      <c r="J464" s="245"/>
      <c r="K464" s="41"/>
    </row>
    <row r="465" spans="2:11" ht="9.75" customHeight="1" x14ac:dyDescent="0.2">
      <c r="B465" s="38"/>
      <c r="C465" s="280" t="str">
        <f>"2:"</f>
        <v>2:</v>
      </c>
      <c r="D465" s="290" t="s">
        <v>946</v>
      </c>
      <c r="E465" s="40"/>
      <c r="F465" s="40"/>
      <c r="G465" s="40"/>
      <c r="H465" s="40"/>
      <c r="I465" s="40"/>
      <c r="J465" s="245"/>
      <c r="K465" s="41"/>
    </row>
    <row r="466" spans="2:11" ht="9.75" customHeight="1" x14ac:dyDescent="0.2">
      <c r="B466" s="38"/>
      <c r="C466" s="280" t="str">
        <f>"3:"</f>
        <v>3:</v>
      </c>
      <c r="D466" s="290" t="s">
        <v>947</v>
      </c>
      <c r="E466" s="40"/>
      <c r="F466" s="40"/>
      <c r="G466" s="40"/>
      <c r="H466" s="40"/>
      <c r="I466" s="40"/>
      <c r="J466" s="245"/>
      <c r="K466" s="41"/>
    </row>
    <row r="467" spans="2:11" ht="9.75" customHeight="1" x14ac:dyDescent="0.2">
      <c r="B467" s="38"/>
      <c r="C467" s="280" t="str">
        <f>"4:"</f>
        <v>4:</v>
      </c>
      <c r="D467" s="290" t="s">
        <v>948</v>
      </c>
      <c r="E467" s="40"/>
      <c r="F467" s="40"/>
      <c r="G467" s="40"/>
      <c r="H467" s="40"/>
      <c r="I467" s="40"/>
      <c r="J467" s="247"/>
      <c r="K467" s="41"/>
    </row>
    <row r="468" spans="2:11" x14ac:dyDescent="0.2">
      <c r="B468" s="38"/>
      <c r="C468" s="40" t="s">
        <v>257</v>
      </c>
      <c r="D468" s="40"/>
      <c r="E468" s="40"/>
      <c r="F468" s="40"/>
      <c r="G468" s="40"/>
      <c r="H468" s="40"/>
      <c r="I468" s="40"/>
      <c r="J468" s="266" t="s">
        <v>872</v>
      </c>
      <c r="K468" s="41"/>
    </row>
    <row r="469" spans="2:11" ht="15" customHeight="1" x14ac:dyDescent="0.2">
      <c r="B469" s="38"/>
      <c r="C469" s="40" t="s">
        <v>261</v>
      </c>
      <c r="D469" s="40"/>
      <c r="E469" s="40"/>
      <c r="F469" s="40"/>
      <c r="G469" s="40"/>
      <c r="H469" s="40"/>
      <c r="I469" s="40"/>
      <c r="J469" s="245">
        <f>IF(J468=$B$973,$A$973,IF(J468=$B$974,$A$974,IF(J468=$B$975,$A$975,IF(J468=$B$976,$A$976,IF(J468=$B$977,$A$977,"Not Calculated")))))</f>
        <v>2</v>
      </c>
      <c r="K469" s="41"/>
    </row>
    <row r="470" spans="2:11" x14ac:dyDescent="0.2">
      <c r="B470" s="38"/>
      <c r="C470" s="40" t="s">
        <v>893</v>
      </c>
      <c r="D470" s="40"/>
      <c r="E470" s="40"/>
      <c r="F470" s="40"/>
      <c r="G470" s="40"/>
      <c r="H470" s="40"/>
      <c r="I470" s="40"/>
      <c r="J470" s="40"/>
      <c r="K470" s="41"/>
    </row>
    <row r="471" spans="2:11" ht="45" customHeight="1" x14ac:dyDescent="0.2">
      <c r="B471" s="38"/>
      <c r="C471" s="399" t="s">
        <v>597</v>
      </c>
      <c r="D471" s="400"/>
      <c r="E471" s="400"/>
      <c r="F471" s="400"/>
      <c r="G471" s="400"/>
      <c r="H471" s="400"/>
      <c r="I471" s="400"/>
      <c r="J471" s="401"/>
      <c r="K471" s="41"/>
    </row>
    <row r="472" spans="2:11" x14ac:dyDescent="0.2">
      <c r="B472" s="38"/>
      <c r="C472" s="40"/>
      <c r="D472" s="40"/>
      <c r="E472" s="40"/>
      <c r="F472" s="40"/>
      <c r="G472" s="40"/>
      <c r="H472" s="40"/>
      <c r="I472" s="40"/>
      <c r="J472" s="40"/>
      <c r="K472" s="41"/>
    </row>
    <row r="473" spans="2:11" x14ac:dyDescent="0.2">
      <c r="B473" s="38"/>
      <c r="C473" s="179" t="s">
        <v>307</v>
      </c>
      <c r="D473" s="40"/>
      <c r="E473" s="40"/>
      <c r="F473" s="40"/>
      <c r="G473" s="40"/>
      <c r="H473" s="40"/>
      <c r="I473" s="40"/>
      <c r="J473" s="245">
        <f>IF(OR(J462="Not Calculated",J469="Not Calculated")=TRUE,"Not Calculated",AVERAGE(J462,J469))</f>
        <v>2.5</v>
      </c>
      <c r="K473" s="41"/>
    </row>
    <row r="474" spans="2:11" x14ac:dyDescent="0.2">
      <c r="B474" s="38"/>
      <c r="C474" s="40"/>
      <c r="D474" s="40"/>
      <c r="E474" s="40"/>
      <c r="F474" s="40"/>
      <c r="G474" s="40"/>
      <c r="H474" s="40"/>
      <c r="I474" s="40"/>
      <c r="J474" s="40"/>
      <c r="K474" s="41"/>
    </row>
    <row r="475" spans="2:11" x14ac:dyDescent="0.2">
      <c r="B475" s="38"/>
      <c r="C475" s="40"/>
      <c r="D475" s="40"/>
      <c r="E475" s="40"/>
      <c r="F475" s="40"/>
      <c r="G475" s="40"/>
      <c r="H475" s="40"/>
      <c r="I475" s="40"/>
      <c r="J475" s="40"/>
      <c r="K475" s="41"/>
    </row>
    <row r="476" spans="2:11" ht="16" x14ac:dyDescent="0.2">
      <c r="B476" s="38"/>
      <c r="C476" s="45" t="s">
        <v>308</v>
      </c>
      <c r="D476" s="40"/>
      <c r="E476" s="40"/>
      <c r="F476" s="40"/>
      <c r="G476" s="40"/>
      <c r="H476" s="40"/>
      <c r="I476" s="40"/>
      <c r="J476" s="40"/>
      <c r="K476" s="41"/>
    </row>
    <row r="477" spans="2:11" ht="15" customHeight="1" x14ac:dyDescent="0.2">
      <c r="B477" s="38"/>
      <c r="C477" s="380" t="s">
        <v>310</v>
      </c>
      <c r="D477" s="380"/>
      <c r="E477" s="380"/>
      <c r="F477" s="380"/>
      <c r="G477" s="380"/>
      <c r="H477" s="380"/>
      <c r="I477" s="380"/>
      <c r="J477" s="40"/>
      <c r="K477" s="41"/>
    </row>
    <row r="478" spans="2:11" x14ac:dyDescent="0.2">
      <c r="B478" s="38"/>
      <c r="C478" s="380"/>
      <c r="D478" s="380"/>
      <c r="E478" s="380"/>
      <c r="F478" s="380"/>
      <c r="G478" s="380"/>
      <c r="H478" s="380"/>
      <c r="I478" s="380"/>
      <c r="J478" s="131">
        <v>1.5</v>
      </c>
      <c r="K478" s="41"/>
    </row>
    <row r="479" spans="2:11" x14ac:dyDescent="0.2">
      <c r="B479" s="38"/>
      <c r="C479" s="40" t="s">
        <v>261</v>
      </c>
      <c r="D479" s="40"/>
      <c r="E479" s="40"/>
      <c r="F479" s="40"/>
      <c r="G479" s="40"/>
      <c r="H479" s="40"/>
      <c r="I479" s="40"/>
      <c r="J479" s="245">
        <f>IF(J478&lt;=0,0,IF(J478&lt;=1,1,IF(J478&lt;=7,2,IF(J478&lt;=14,3,4))))</f>
        <v>2</v>
      </c>
      <c r="K479" s="41"/>
    </row>
    <row r="480" spans="2:11" s="51" customFormat="1" ht="9.75" customHeight="1" x14ac:dyDescent="0.2">
      <c r="B480" s="283"/>
      <c r="C480" s="279" t="str">
        <f>"0:"</f>
        <v>0:</v>
      </c>
      <c r="D480" s="284" t="s">
        <v>950</v>
      </c>
      <c r="E480" s="285"/>
      <c r="F480" s="285"/>
      <c r="G480" s="285"/>
      <c r="H480" s="285"/>
      <c r="I480" s="285"/>
      <c r="J480" s="43"/>
      <c r="K480" s="286"/>
    </row>
    <row r="481" spans="2:11" s="51" customFormat="1" ht="9.75" customHeight="1" x14ac:dyDescent="0.2">
      <c r="B481" s="283"/>
      <c r="C481" s="280" t="str">
        <f>"1:"</f>
        <v>1:</v>
      </c>
      <c r="D481" s="284" t="s">
        <v>951</v>
      </c>
      <c r="E481" s="285"/>
      <c r="F481" s="285"/>
      <c r="G481" s="285"/>
      <c r="H481" s="285"/>
      <c r="I481" s="285"/>
      <c r="J481" s="43"/>
      <c r="K481" s="286"/>
    </row>
    <row r="482" spans="2:11" s="51" customFormat="1" ht="9.75" customHeight="1" x14ac:dyDescent="0.2">
      <c r="B482" s="283"/>
      <c r="C482" s="280" t="str">
        <f>"2:"</f>
        <v>2:</v>
      </c>
      <c r="D482" s="284" t="s">
        <v>952</v>
      </c>
      <c r="E482" s="285"/>
      <c r="F482" s="285"/>
      <c r="G482" s="285"/>
      <c r="H482" s="285"/>
      <c r="I482" s="285"/>
      <c r="J482" s="43"/>
      <c r="K482" s="286"/>
    </row>
    <row r="483" spans="2:11" s="51" customFormat="1" ht="9.75" customHeight="1" x14ac:dyDescent="0.2">
      <c r="B483" s="283"/>
      <c r="C483" s="280" t="str">
        <f>"3:"</f>
        <v>3:</v>
      </c>
      <c r="D483" s="284" t="s">
        <v>953</v>
      </c>
      <c r="E483" s="285"/>
      <c r="F483" s="285"/>
      <c r="G483" s="285"/>
      <c r="H483" s="285"/>
      <c r="I483" s="285"/>
      <c r="J483" s="43"/>
      <c r="K483" s="286"/>
    </row>
    <row r="484" spans="2:11" s="51" customFormat="1" ht="9.75" customHeight="1" x14ac:dyDescent="0.2">
      <c r="B484" s="283"/>
      <c r="C484" s="280" t="str">
        <f>"4:"</f>
        <v>4:</v>
      </c>
      <c r="D484" s="284" t="s">
        <v>954</v>
      </c>
      <c r="E484" s="285"/>
      <c r="F484" s="285"/>
      <c r="G484" s="285"/>
      <c r="H484" s="285"/>
      <c r="I484" s="285"/>
      <c r="J484" s="43"/>
      <c r="K484" s="286"/>
    </row>
    <row r="485" spans="2:11" x14ac:dyDescent="0.2">
      <c r="B485" s="38"/>
      <c r="C485" s="40" t="s">
        <v>893</v>
      </c>
      <c r="D485" s="40"/>
      <c r="E485" s="40"/>
      <c r="F485" s="40"/>
      <c r="G485" s="40"/>
      <c r="H485" s="40"/>
      <c r="I485" s="40"/>
      <c r="J485" s="40"/>
      <c r="K485" s="41"/>
    </row>
    <row r="486" spans="2:11" ht="30" customHeight="1" x14ac:dyDescent="0.2">
      <c r="B486" s="38"/>
      <c r="C486" s="399" t="s">
        <v>598</v>
      </c>
      <c r="D486" s="400"/>
      <c r="E486" s="400"/>
      <c r="F486" s="400"/>
      <c r="G486" s="400"/>
      <c r="H486" s="400"/>
      <c r="I486" s="400"/>
      <c r="J486" s="401"/>
      <c r="K486" s="41"/>
    </row>
    <row r="487" spans="2:11" x14ac:dyDescent="0.2">
      <c r="B487" s="38"/>
      <c r="C487" s="40"/>
      <c r="D487" s="40"/>
      <c r="E487" s="40"/>
      <c r="F487" s="40"/>
      <c r="G487" s="40"/>
      <c r="H487" s="40"/>
      <c r="I487" s="40"/>
      <c r="J487" s="40"/>
      <c r="K487" s="41"/>
    </row>
    <row r="488" spans="2:11" x14ac:dyDescent="0.2">
      <c r="B488" s="38"/>
      <c r="C488" s="179" t="s">
        <v>309</v>
      </c>
      <c r="D488" s="40"/>
      <c r="E488" s="40"/>
      <c r="F488" s="40"/>
      <c r="G488" s="40"/>
      <c r="H488" s="40"/>
      <c r="I488" s="40"/>
      <c r="J488" s="245">
        <f>J479</f>
        <v>2</v>
      </c>
      <c r="K488" s="41"/>
    </row>
    <row r="489" spans="2:11" x14ac:dyDescent="0.2">
      <c r="B489" s="38"/>
      <c r="C489" s="40"/>
      <c r="D489" s="40"/>
      <c r="E489" s="40"/>
      <c r="F489" s="40"/>
      <c r="G489" s="40"/>
      <c r="H489" s="40"/>
      <c r="I489" s="40"/>
      <c r="J489" s="40"/>
      <c r="K489" s="41"/>
    </row>
    <row r="490" spans="2:11" x14ac:dyDescent="0.2">
      <c r="B490" s="38"/>
      <c r="C490" s="40"/>
      <c r="D490" s="40"/>
      <c r="E490" s="40"/>
      <c r="F490" s="40"/>
      <c r="G490" s="40"/>
      <c r="H490" s="40"/>
      <c r="I490" s="40"/>
      <c r="J490" s="40"/>
      <c r="K490" s="41"/>
    </row>
    <row r="491" spans="2:11" ht="16" x14ac:dyDescent="0.2">
      <c r="B491" s="38"/>
      <c r="C491" s="45" t="s">
        <v>311</v>
      </c>
      <c r="D491" s="40"/>
      <c r="E491" s="40"/>
      <c r="F491" s="40"/>
      <c r="G491" s="40"/>
      <c r="H491" s="40"/>
      <c r="I491" s="40"/>
      <c r="J491" s="40"/>
      <c r="K491" s="41"/>
    </row>
    <row r="492" spans="2:11" x14ac:dyDescent="0.2">
      <c r="B492" s="38"/>
      <c r="C492" s="40" t="s">
        <v>312</v>
      </c>
      <c r="D492" s="40"/>
      <c r="E492" s="40"/>
      <c r="F492" s="40"/>
      <c r="G492" s="40"/>
      <c r="H492" s="40"/>
      <c r="I492" s="40"/>
      <c r="J492" s="270">
        <v>60</v>
      </c>
      <c r="K492" s="41"/>
    </row>
    <row r="493" spans="2:11" x14ac:dyDescent="0.2">
      <c r="B493" s="38"/>
      <c r="C493" s="40" t="s">
        <v>260</v>
      </c>
      <c r="D493" s="40"/>
      <c r="E493" s="40"/>
      <c r="F493" s="40"/>
      <c r="G493" s="40"/>
      <c r="H493" s="40"/>
      <c r="I493" s="40"/>
      <c r="J493" s="248">
        <f>IF(J492&lt;=0,0,IF(J492&lt;=1,1,IF(J492&lt;=5,2,IF(J492&lt;=10,3,4))))</f>
        <v>4</v>
      </c>
      <c r="K493" s="41"/>
    </row>
    <row r="494" spans="2:11" ht="9.75" customHeight="1" x14ac:dyDescent="0.2">
      <c r="B494" s="38"/>
      <c r="C494" s="279" t="str">
        <f>"0:"</f>
        <v>0:</v>
      </c>
      <c r="D494" s="290" t="s">
        <v>955</v>
      </c>
      <c r="E494" s="40"/>
      <c r="F494" s="40"/>
      <c r="G494" s="40"/>
      <c r="H494" s="40"/>
      <c r="I494" s="40"/>
      <c r="J494" s="245"/>
      <c r="K494" s="41"/>
    </row>
    <row r="495" spans="2:11" ht="9.75" customHeight="1" x14ac:dyDescent="0.2">
      <c r="B495" s="38"/>
      <c r="C495" s="280" t="str">
        <f>"1:"</f>
        <v>1:</v>
      </c>
      <c r="D495" s="290" t="s">
        <v>956</v>
      </c>
      <c r="E495" s="40"/>
      <c r="F495" s="40"/>
      <c r="G495" s="40"/>
      <c r="H495" s="40"/>
      <c r="I495" s="40"/>
      <c r="J495" s="245"/>
      <c r="K495" s="41"/>
    </row>
    <row r="496" spans="2:11" ht="9.75" customHeight="1" x14ac:dyDescent="0.2">
      <c r="B496" s="38"/>
      <c r="C496" s="280" t="str">
        <f>"2:"</f>
        <v>2:</v>
      </c>
      <c r="D496" s="290" t="s">
        <v>957</v>
      </c>
      <c r="E496" s="40"/>
      <c r="F496" s="40"/>
      <c r="G496" s="40"/>
      <c r="H496" s="40"/>
      <c r="I496" s="40"/>
      <c r="J496" s="245"/>
      <c r="K496" s="41"/>
    </row>
    <row r="497" spans="2:11" ht="9.75" customHeight="1" x14ac:dyDescent="0.2">
      <c r="B497" s="38"/>
      <c r="C497" s="280" t="str">
        <f>"3:"</f>
        <v>3:</v>
      </c>
      <c r="D497" s="290" t="s">
        <v>958</v>
      </c>
      <c r="E497" s="40"/>
      <c r="F497" s="40"/>
      <c r="G497" s="40"/>
      <c r="H497" s="40"/>
      <c r="I497" s="40"/>
      <c r="J497" s="245"/>
      <c r="K497" s="41"/>
    </row>
    <row r="498" spans="2:11" ht="9.75" customHeight="1" x14ac:dyDescent="0.2">
      <c r="B498" s="38"/>
      <c r="C498" s="280" t="str">
        <f>"4:"</f>
        <v>4:</v>
      </c>
      <c r="D498" s="290" t="s">
        <v>959</v>
      </c>
      <c r="E498" s="40"/>
      <c r="F498" s="40"/>
      <c r="G498" s="40"/>
      <c r="H498" s="40"/>
      <c r="I498" s="40"/>
      <c r="J498" s="247"/>
      <c r="K498" s="41"/>
    </row>
    <row r="499" spans="2:11" x14ac:dyDescent="0.2">
      <c r="B499" s="38"/>
      <c r="C499" s="40" t="s">
        <v>313</v>
      </c>
      <c r="D499" s="40"/>
      <c r="E499" s="40"/>
      <c r="F499" s="40"/>
      <c r="G499" s="40"/>
      <c r="H499" s="40"/>
      <c r="I499" s="40"/>
      <c r="J499" s="266" t="s">
        <v>872</v>
      </c>
      <c r="K499" s="41"/>
    </row>
    <row r="500" spans="2:11" x14ac:dyDescent="0.2">
      <c r="B500" s="38"/>
      <c r="C500" s="40" t="s">
        <v>261</v>
      </c>
      <c r="D500" s="40"/>
      <c r="E500" s="40"/>
      <c r="F500" s="40"/>
      <c r="G500" s="40"/>
      <c r="H500" s="40"/>
      <c r="I500" s="40"/>
      <c r="J500" s="245">
        <f>IF(J499=$B$973,$A$973,IF(J499=$B$974,$A$974,IF(J499=$B$975,$A$975,IF(J499=$B$976,$A$976,IF(J499=$B$977,$A$977,"Not Calculated")))))</f>
        <v>2</v>
      </c>
      <c r="K500" s="41"/>
    </row>
    <row r="501" spans="2:11" x14ac:dyDescent="0.2">
      <c r="B501" s="38"/>
      <c r="C501" s="40" t="s">
        <v>893</v>
      </c>
      <c r="D501" s="40"/>
      <c r="E501" s="40"/>
      <c r="F501" s="40"/>
      <c r="G501" s="40"/>
      <c r="H501" s="40"/>
      <c r="I501" s="40"/>
      <c r="J501" s="40"/>
      <c r="K501" s="41"/>
    </row>
    <row r="502" spans="2:11" ht="30" customHeight="1" x14ac:dyDescent="0.2">
      <c r="B502" s="38"/>
      <c r="C502" s="399" t="s">
        <v>599</v>
      </c>
      <c r="D502" s="400"/>
      <c r="E502" s="400"/>
      <c r="F502" s="400"/>
      <c r="G502" s="400"/>
      <c r="H502" s="400"/>
      <c r="I502" s="400"/>
      <c r="J502" s="401"/>
      <c r="K502" s="41"/>
    </row>
    <row r="503" spans="2:11" x14ac:dyDescent="0.2">
      <c r="B503" s="38"/>
      <c r="C503" s="40"/>
      <c r="D503" s="40"/>
      <c r="E503" s="40"/>
      <c r="F503" s="40"/>
      <c r="G503" s="40"/>
      <c r="H503" s="40"/>
      <c r="I503" s="40"/>
      <c r="J503" s="40"/>
      <c r="K503" s="41"/>
    </row>
    <row r="504" spans="2:11" x14ac:dyDescent="0.2">
      <c r="B504" s="38"/>
      <c r="C504" s="179" t="s">
        <v>321</v>
      </c>
      <c r="D504" s="40"/>
      <c r="E504" s="40"/>
      <c r="F504" s="40"/>
      <c r="G504" s="40"/>
      <c r="H504" s="40"/>
      <c r="I504" s="40"/>
      <c r="J504" s="245">
        <f>IF(OR(J493="Not Calculated",J500="Not Calculated")=TRUE,"Not Calculated",AVERAGE(J493,J500))</f>
        <v>3</v>
      </c>
      <c r="K504" s="41"/>
    </row>
    <row r="505" spans="2:11" x14ac:dyDescent="0.2">
      <c r="B505" s="38"/>
      <c r="C505" s="40"/>
      <c r="D505" s="40"/>
      <c r="E505" s="40"/>
      <c r="F505" s="40"/>
      <c r="G505" s="40"/>
      <c r="H505" s="40"/>
      <c r="I505" s="40"/>
      <c r="J505" s="40"/>
      <c r="K505" s="41"/>
    </row>
    <row r="506" spans="2:11" x14ac:dyDescent="0.2">
      <c r="B506" s="38"/>
      <c r="C506" s="40"/>
      <c r="D506" s="40"/>
      <c r="E506" s="40"/>
      <c r="F506" s="40"/>
      <c r="G506" s="40"/>
      <c r="H506" s="40"/>
      <c r="I506" s="40"/>
      <c r="J506" s="40"/>
      <c r="K506" s="41"/>
    </row>
    <row r="507" spans="2:11" ht="16" x14ac:dyDescent="0.2">
      <c r="B507" s="38"/>
      <c r="C507" s="45" t="s">
        <v>314</v>
      </c>
      <c r="D507" s="40"/>
      <c r="E507" s="40"/>
      <c r="F507" s="40"/>
      <c r="G507" s="40"/>
      <c r="H507" s="40"/>
      <c r="I507" s="40"/>
      <c r="J507" s="40"/>
      <c r="K507" s="41"/>
    </row>
    <row r="508" spans="2:11" x14ac:dyDescent="0.2">
      <c r="B508" s="38"/>
      <c r="C508" s="40" t="s">
        <v>316</v>
      </c>
      <c r="D508" s="40"/>
      <c r="E508" s="40"/>
      <c r="F508" s="40"/>
      <c r="G508" s="40"/>
      <c r="H508" s="40"/>
      <c r="I508" s="40"/>
      <c r="J508" s="269">
        <v>0</v>
      </c>
      <c r="K508" s="41"/>
    </row>
    <row r="509" spans="2:11" x14ac:dyDescent="0.2">
      <c r="B509" s="38"/>
      <c r="C509" s="40" t="s">
        <v>260</v>
      </c>
      <c r="D509" s="40"/>
      <c r="E509" s="40"/>
      <c r="F509" s="40"/>
      <c r="G509" s="40"/>
      <c r="H509" s="40"/>
      <c r="I509" s="40"/>
      <c r="J509" s="248">
        <f>IF(J508&lt;=0,0,IF(J508&lt;=1000,1,IF(J508&lt;=5000,2,IF(J508&lt;=25000,3,4))))</f>
        <v>0</v>
      </c>
      <c r="K509" s="41"/>
    </row>
    <row r="510" spans="2:11" s="51" customFormat="1" ht="9.75" customHeight="1" x14ac:dyDescent="0.2">
      <c r="B510" s="283"/>
      <c r="C510" s="279" t="str">
        <f>"0:"</f>
        <v>0:</v>
      </c>
      <c r="D510" s="284" t="s">
        <v>960</v>
      </c>
      <c r="E510" s="285"/>
      <c r="F510" s="285"/>
      <c r="G510" s="285"/>
      <c r="H510" s="285"/>
      <c r="I510" s="285"/>
      <c r="J510" s="43"/>
      <c r="K510" s="286"/>
    </row>
    <row r="511" spans="2:11" s="51" customFormat="1" ht="9.75" customHeight="1" x14ac:dyDescent="0.2">
      <c r="B511" s="283"/>
      <c r="C511" s="280" t="str">
        <f>"1:"</f>
        <v>1:</v>
      </c>
      <c r="D511" s="284" t="s">
        <v>961</v>
      </c>
      <c r="E511" s="285"/>
      <c r="F511" s="285"/>
      <c r="G511" s="285"/>
      <c r="H511" s="285"/>
      <c r="I511" s="285"/>
      <c r="J511" s="43"/>
      <c r="K511" s="286"/>
    </row>
    <row r="512" spans="2:11" s="51" customFormat="1" ht="9.75" customHeight="1" x14ac:dyDescent="0.2">
      <c r="B512" s="283"/>
      <c r="C512" s="280" t="str">
        <f>"2:"</f>
        <v>2:</v>
      </c>
      <c r="D512" s="284" t="s">
        <v>962</v>
      </c>
      <c r="E512" s="285"/>
      <c r="F512" s="285"/>
      <c r="G512" s="285"/>
      <c r="H512" s="285"/>
      <c r="I512" s="285"/>
      <c r="J512" s="43"/>
      <c r="K512" s="286"/>
    </row>
    <row r="513" spans="2:11" s="51" customFormat="1" ht="9.75" customHeight="1" x14ac:dyDescent="0.2">
      <c r="B513" s="283"/>
      <c r="C513" s="280" t="str">
        <f>"3:"</f>
        <v>3:</v>
      </c>
      <c r="D513" s="284" t="s">
        <v>963</v>
      </c>
      <c r="E513" s="285"/>
      <c r="F513" s="285"/>
      <c r="G513" s="285"/>
      <c r="H513" s="285"/>
      <c r="I513" s="285"/>
      <c r="J513" s="43"/>
      <c r="K513" s="286"/>
    </row>
    <row r="514" spans="2:11" s="51" customFormat="1" ht="9.75" customHeight="1" x14ac:dyDescent="0.2">
      <c r="B514" s="283"/>
      <c r="C514" s="280" t="str">
        <f>"4:"</f>
        <v>4:</v>
      </c>
      <c r="D514" s="284" t="s">
        <v>964</v>
      </c>
      <c r="E514" s="285"/>
      <c r="F514" s="285"/>
      <c r="G514" s="285"/>
      <c r="H514" s="285"/>
      <c r="I514" s="285"/>
      <c r="J514" s="287"/>
      <c r="K514" s="286"/>
    </row>
    <row r="515" spans="2:11" x14ac:dyDescent="0.2">
      <c r="B515" s="38"/>
      <c r="C515" s="40" t="s">
        <v>315</v>
      </c>
      <c r="D515" s="40"/>
      <c r="E515" s="40"/>
      <c r="F515" s="40"/>
      <c r="G515" s="40"/>
      <c r="H515" s="40"/>
      <c r="I515" s="40"/>
      <c r="J515" s="266" t="s">
        <v>870</v>
      </c>
      <c r="K515" s="41"/>
    </row>
    <row r="516" spans="2:11" x14ac:dyDescent="0.2">
      <c r="B516" s="38"/>
      <c r="C516" s="40" t="s">
        <v>261</v>
      </c>
      <c r="D516" s="40"/>
      <c r="E516" s="40"/>
      <c r="F516" s="40"/>
      <c r="G516" s="40"/>
      <c r="H516" s="40"/>
      <c r="I516" s="40"/>
      <c r="J516" s="245">
        <f>IF(J515=$B$973,$A$973,IF(J515=$B$974,$A$974,IF(J515=$B$975,$A$975,IF(J515=$B$976,$A$976,IF(J515=$B$977,$A$977,"Not Calculated")))))</f>
        <v>0</v>
      </c>
      <c r="K516" s="41"/>
    </row>
    <row r="517" spans="2:11" x14ac:dyDescent="0.2">
      <c r="B517" s="38"/>
      <c r="C517" s="40" t="s">
        <v>893</v>
      </c>
      <c r="D517" s="40"/>
      <c r="E517" s="40"/>
      <c r="F517" s="40"/>
      <c r="G517" s="40"/>
      <c r="H517" s="40"/>
      <c r="I517" s="40"/>
      <c r="J517" s="40"/>
      <c r="K517" s="41"/>
    </row>
    <row r="518" spans="2:11" ht="30" customHeight="1" x14ac:dyDescent="0.2">
      <c r="B518" s="38"/>
      <c r="C518" s="399"/>
      <c r="D518" s="400"/>
      <c r="E518" s="400"/>
      <c r="F518" s="400"/>
      <c r="G518" s="400"/>
      <c r="H518" s="400"/>
      <c r="I518" s="400"/>
      <c r="J518" s="401"/>
      <c r="K518" s="41"/>
    </row>
    <row r="519" spans="2:11" x14ac:dyDescent="0.2">
      <c r="B519" s="38"/>
      <c r="C519" s="40"/>
      <c r="D519" s="40"/>
      <c r="E519" s="40"/>
      <c r="F519" s="40"/>
      <c r="G519" s="40"/>
      <c r="H519" s="40"/>
      <c r="I519" s="40"/>
      <c r="J519" s="40"/>
      <c r="K519" s="41"/>
    </row>
    <row r="520" spans="2:11" x14ac:dyDescent="0.2">
      <c r="B520" s="38"/>
      <c r="C520" s="179" t="s">
        <v>320</v>
      </c>
      <c r="D520" s="40"/>
      <c r="E520" s="40"/>
      <c r="F520" s="40"/>
      <c r="G520" s="40"/>
      <c r="H520" s="40"/>
      <c r="I520" s="40"/>
      <c r="J520" s="245">
        <f>IF(OR(J509="Not Calculated",J516="Not Calculated")=TRUE,"Not Calculated",AVERAGE(J509,J516))</f>
        <v>0</v>
      </c>
      <c r="K520" s="41"/>
    </row>
    <row r="521" spans="2:11" x14ac:dyDescent="0.2">
      <c r="B521" s="38"/>
      <c r="C521" s="40"/>
      <c r="D521" s="40"/>
      <c r="E521" s="40"/>
      <c r="F521" s="40"/>
      <c r="G521" s="40"/>
      <c r="H521" s="40"/>
      <c r="I521" s="40"/>
      <c r="J521" s="40"/>
      <c r="K521" s="41"/>
    </row>
    <row r="522" spans="2:11" x14ac:dyDescent="0.2">
      <c r="B522" s="38"/>
      <c r="C522" s="40"/>
      <c r="D522" s="40"/>
      <c r="E522" s="40"/>
      <c r="F522" s="40"/>
      <c r="G522" s="40"/>
      <c r="H522" s="40"/>
      <c r="I522" s="40"/>
      <c r="J522" s="40"/>
      <c r="K522" s="41"/>
    </row>
    <row r="523" spans="2:11" ht="16" x14ac:dyDescent="0.2">
      <c r="B523" s="38"/>
      <c r="C523" s="45" t="s">
        <v>317</v>
      </c>
      <c r="D523" s="40"/>
      <c r="E523" s="40"/>
      <c r="F523" s="40"/>
      <c r="G523" s="40"/>
      <c r="H523" s="40"/>
      <c r="I523" s="40"/>
      <c r="J523" s="40"/>
      <c r="K523" s="41"/>
    </row>
    <row r="524" spans="2:11" ht="15" customHeight="1" x14ac:dyDescent="0.2">
      <c r="B524" s="38"/>
      <c r="C524" s="380" t="s">
        <v>318</v>
      </c>
      <c r="D524" s="380"/>
      <c r="E524" s="380"/>
      <c r="F524" s="380"/>
      <c r="G524" s="380"/>
      <c r="H524" s="380"/>
      <c r="I524" s="380"/>
      <c r="J524" s="40"/>
      <c r="K524" s="41"/>
    </row>
    <row r="525" spans="2:11" x14ac:dyDescent="0.2">
      <c r="B525" s="38"/>
      <c r="C525" s="380"/>
      <c r="D525" s="380"/>
      <c r="E525" s="380"/>
      <c r="F525" s="380"/>
      <c r="G525" s="380"/>
      <c r="H525" s="380"/>
      <c r="I525" s="380"/>
      <c r="J525" s="274">
        <v>0</v>
      </c>
      <c r="K525" s="41"/>
    </row>
    <row r="526" spans="2:11" x14ac:dyDescent="0.2">
      <c r="B526" s="38"/>
      <c r="C526" s="40" t="s">
        <v>260</v>
      </c>
      <c r="D526" s="40"/>
      <c r="E526" s="40"/>
      <c r="F526" s="40"/>
      <c r="G526" s="40"/>
      <c r="H526" s="40"/>
      <c r="I526" s="40"/>
      <c r="J526" s="248">
        <f>IF(J525&lt;=0,0,IF(J525&lt;=1,1,IF(J525&lt;=5,2,IF(J525&lt;=10,3,4))))</f>
        <v>0</v>
      </c>
      <c r="K526" s="41"/>
    </row>
    <row r="527" spans="2:11" s="51" customFormat="1" ht="9.75" customHeight="1" x14ac:dyDescent="0.2">
      <c r="B527" s="283"/>
      <c r="C527" s="279" t="str">
        <f>"0:"</f>
        <v>0:</v>
      </c>
      <c r="D527" s="284" t="s">
        <v>965</v>
      </c>
      <c r="E527" s="285"/>
      <c r="F527" s="285"/>
      <c r="G527" s="285"/>
      <c r="H527" s="285"/>
      <c r="I527" s="285"/>
      <c r="J527" s="43"/>
      <c r="K527" s="286"/>
    </row>
    <row r="528" spans="2:11" s="51" customFormat="1" ht="9.75" customHeight="1" x14ac:dyDescent="0.2">
      <c r="B528" s="283"/>
      <c r="C528" s="280" t="str">
        <f>"1:"</f>
        <v>1:</v>
      </c>
      <c r="D528" s="284" t="s">
        <v>966</v>
      </c>
      <c r="E528" s="285"/>
      <c r="F528" s="285"/>
      <c r="G528" s="285"/>
      <c r="H528" s="285"/>
      <c r="I528" s="285"/>
      <c r="J528" s="43"/>
      <c r="K528" s="286"/>
    </row>
    <row r="529" spans="2:11" s="51" customFormat="1" ht="9.75" customHeight="1" x14ac:dyDescent="0.2">
      <c r="B529" s="283"/>
      <c r="C529" s="280" t="str">
        <f>"2:"</f>
        <v>2:</v>
      </c>
      <c r="D529" s="284" t="s">
        <v>967</v>
      </c>
      <c r="E529" s="285"/>
      <c r="F529" s="285"/>
      <c r="G529" s="285"/>
      <c r="H529" s="285"/>
      <c r="I529" s="285"/>
      <c r="J529" s="43"/>
      <c r="K529" s="286"/>
    </row>
    <row r="530" spans="2:11" s="51" customFormat="1" ht="9.75" customHeight="1" x14ac:dyDescent="0.2">
      <c r="B530" s="283"/>
      <c r="C530" s="280" t="str">
        <f>"3:"</f>
        <v>3:</v>
      </c>
      <c r="D530" s="284" t="s">
        <v>968</v>
      </c>
      <c r="E530" s="285"/>
      <c r="F530" s="285"/>
      <c r="G530" s="285"/>
      <c r="H530" s="285"/>
      <c r="I530" s="285"/>
      <c r="J530" s="43"/>
      <c r="K530" s="286"/>
    </row>
    <row r="531" spans="2:11" s="51" customFormat="1" ht="9.75" customHeight="1" x14ac:dyDescent="0.2">
      <c r="B531" s="283"/>
      <c r="C531" s="280" t="str">
        <f>"4:"</f>
        <v>4:</v>
      </c>
      <c r="D531" s="284" t="s">
        <v>969</v>
      </c>
      <c r="E531" s="285"/>
      <c r="F531" s="285"/>
      <c r="G531" s="285"/>
      <c r="H531" s="285"/>
      <c r="I531" s="285"/>
      <c r="J531" s="287"/>
      <c r="K531" s="286"/>
    </row>
    <row r="532" spans="2:11" x14ac:dyDescent="0.2">
      <c r="B532" s="38"/>
      <c r="C532" s="40" t="s">
        <v>257</v>
      </c>
      <c r="D532" s="40"/>
      <c r="E532" s="40"/>
      <c r="F532" s="40"/>
      <c r="G532" s="40"/>
      <c r="H532" s="40"/>
      <c r="I532" s="40"/>
      <c r="J532" s="266" t="s">
        <v>870</v>
      </c>
      <c r="K532" s="41"/>
    </row>
    <row r="533" spans="2:11" x14ac:dyDescent="0.2">
      <c r="B533" s="38"/>
      <c r="C533" s="40" t="s">
        <v>261</v>
      </c>
      <c r="D533" s="40"/>
      <c r="E533" s="40"/>
      <c r="F533" s="40"/>
      <c r="G533" s="40"/>
      <c r="H533" s="40"/>
      <c r="I533" s="40"/>
      <c r="J533" s="245">
        <f>IF(J532=$B$973,$A$973,IF(J532=$B$974,$A$974,IF(J532=$B$975,$A$975,IF(J532=$B$976,$A$976,IF(J532=$B$977,$A$977,"Not Calculated")))))</f>
        <v>0</v>
      </c>
      <c r="K533" s="41"/>
    </row>
    <row r="534" spans="2:11" x14ac:dyDescent="0.2">
      <c r="B534" s="38"/>
      <c r="C534" s="40" t="s">
        <v>893</v>
      </c>
      <c r="D534" s="40"/>
      <c r="E534" s="40"/>
      <c r="F534" s="40"/>
      <c r="G534" s="40"/>
      <c r="H534" s="40"/>
      <c r="I534" s="40"/>
      <c r="J534" s="40"/>
      <c r="K534" s="41"/>
    </row>
    <row r="535" spans="2:11" ht="30" customHeight="1" x14ac:dyDescent="0.2">
      <c r="B535" s="38"/>
      <c r="C535" s="399"/>
      <c r="D535" s="400"/>
      <c r="E535" s="400"/>
      <c r="F535" s="400"/>
      <c r="G535" s="400"/>
      <c r="H535" s="400"/>
      <c r="I535" s="400"/>
      <c r="J535" s="401"/>
      <c r="K535" s="41"/>
    </row>
    <row r="536" spans="2:11" x14ac:dyDescent="0.2">
      <c r="B536" s="38"/>
      <c r="C536" s="40"/>
      <c r="D536" s="40"/>
      <c r="E536" s="40"/>
      <c r="F536" s="40"/>
      <c r="G536" s="40"/>
      <c r="H536" s="40"/>
      <c r="I536" s="40"/>
      <c r="J536" s="40"/>
      <c r="K536" s="41"/>
    </row>
    <row r="537" spans="2:11" x14ac:dyDescent="0.2">
      <c r="B537" s="38"/>
      <c r="C537" s="179" t="s">
        <v>319</v>
      </c>
      <c r="D537" s="40"/>
      <c r="E537" s="40"/>
      <c r="F537" s="40"/>
      <c r="G537" s="40"/>
      <c r="H537" s="40"/>
      <c r="I537" s="40"/>
      <c r="J537" s="245">
        <f>IF(OR(J526="Not Calculated",J533="Not Calculated")=TRUE,"Not Calculated",AVERAGE(J526,J533))</f>
        <v>0</v>
      </c>
      <c r="K537" s="41"/>
    </row>
    <row r="538" spans="2:11" x14ac:dyDescent="0.2">
      <c r="B538" s="38"/>
      <c r="C538" s="40"/>
      <c r="D538" s="40"/>
      <c r="E538" s="40"/>
      <c r="F538" s="40"/>
      <c r="G538" s="40"/>
      <c r="H538" s="40"/>
      <c r="I538" s="40"/>
      <c r="J538" s="40"/>
      <c r="K538" s="41"/>
    </row>
    <row r="539" spans="2:11" ht="18" x14ac:dyDescent="0.2">
      <c r="B539" s="38"/>
      <c r="C539" s="180" t="s">
        <v>302</v>
      </c>
      <c r="D539" s="40"/>
      <c r="E539" s="40"/>
      <c r="F539" s="40"/>
      <c r="G539" s="40"/>
      <c r="H539" s="40"/>
      <c r="I539" s="40"/>
      <c r="J539" s="244">
        <f>IF(OR(J440="Not Calculated",J457="Not Calculated",J473="Not Calculated",J488="Not Calculated",J504="Not Calculated",J520="Not Calculated",J537="Not Calculated")=TRUE,"Not Calculated",AVERAGE(J440,J457,J473,J488,J504,J520,J537))</f>
        <v>1.2142857142857142</v>
      </c>
      <c r="K539" s="41"/>
    </row>
    <row r="540" spans="2:11" ht="16" thickBot="1" x14ac:dyDescent="0.25">
      <c r="B540" s="46"/>
      <c r="C540" s="47"/>
      <c r="D540" s="47"/>
      <c r="E540" s="47"/>
      <c r="F540" s="47"/>
      <c r="G540" s="47"/>
      <c r="H540" s="47"/>
      <c r="I540" s="47"/>
      <c r="J540" s="47"/>
      <c r="K540" s="49"/>
    </row>
    <row r="541" spans="2:11" ht="16" thickBot="1" x14ac:dyDescent="0.25"/>
    <row r="542" spans="2:11" x14ac:dyDescent="0.2">
      <c r="B542" s="33"/>
      <c r="C542" s="34"/>
      <c r="D542" s="34"/>
      <c r="E542" s="34"/>
      <c r="F542" s="34"/>
      <c r="G542" s="34"/>
      <c r="H542" s="34"/>
      <c r="I542" s="34"/>
      <c r="J542" s="34"/>
      <c r="K542" s="37"/>
    </row>
    <row r="543" spans="2:11" ht="21" x14ac:dyDescent="0.25">
      <c r="B543" s="38"/>
      <c r="C543" s="40"/>
      <c r="D543" s="40"/>
      <c r="E543" s="40"/>
      <c r="F543" s="40"/>
      <c r="G543" s="172" t="s">
        <v>29</v>
      </c>
      <c r="H543" s="40"/>
      <c r="I543" s="40"/>
      <c r="J543" s="40"/>
      <c r="K543" s="41"/>
    </row>
    <row r="544" spans="2:11" ht="15" customHeight="1" x14ac:dyDescent="0.2">
      <c r="B544" s="38"/>
      <c r="C544" s="40"/>
      <c r="D544" s="40"/>
      <c r="E544" s="40"/>
      <c r="F544" s="40"/>
      <c r="G544" s="40"/>
      <c r="H544" s="40"/>
      <c r="I544" s="40"/>
      <c r="J544" s="40"/>
      <c r="K544" s="41"/>
    </row>
    <row r="545" spans="2:14" ht="16" x14ac:dyDescent="0.2">
      <c r="B545" s="38"/>
      <c r="C545" s="45" t="s">
        <v>88</v>
      </c>
      <c r="D545" s="40"/>
      <c r="E545" s="40"/>
      <c r="F545" s="40"/>
      <c r="G545" s="40"/>
      <c r="H545" s="40"/>
      <c r="I545" s="40"/>
      <c r="J545" s="40"/>
      <c r="K545" s="41"/>
    </row>
    <row r="546" spans="2:14" x14ac:dyDescent="0.2">
      <c r="B546" s="38"/>
      <c r="C546" s="40" t="s">
        <v>448</v>
      </c>
      <c r="D546" s="40"/>
      <c r="E546" s="40"/>
      <c r="F546" s="40"/>
      <c r="G546" s="40"/>
      <c r="H546" s="40"/>
      <c r="I546" s="40"/>
      <c r="J546" s="251">
        <f>'Baseline Health'!G123</f>
        <v>0</v>
      </c>
      <c r="K546" s="41"/>
    </row>
    <row r="547" spans="2:14" x14ac:dyDescent="0.2">
      <c r="B547" s="38"/>
      <c r="C547" s="40" t="s">
        <v>322</v>
      </c>
      <c r="D547" s="40"/>
      <c r="E547" s="40"/>
      <c r="F547" s="40"/>
      <c r="G547" s="40"/>
      <c r="H547" s="40"/>
      <c r="I547" s="40"/>
      <c r="J547" s="264">
        <f>J546*0.05</f>
        <v>0</v>
      </c>
      <c r="K547" s="41"/>
    </row>
    <row r="548" spans="2:14" x14ac:dyDescent="0.2">
      <c r="B548" s="38"/>
      <c r="C548" s="40" t="s">
        <v>428</v>
      </c>
      <c r="D548" s="40"/>
      <c r="E548" s="40"/>
      <c r="F548" s="40"/>
      <c r="G548" s="40"/>
      <c r="H548" s="40"/>
      <c r="I548" s="40"/>
      <c r="J548" s="264">
        <v>0</v>
      </c>
      <c r="K548" s="41"/>
    </row>
    <row r="549" spans="2:14" x14ac:dyDescent="0.2">
      <c r="B549" s="38"/>
      <c r="C549" s="40" t="s">
        <v>260</v>
      </c>
      <c r="D549" s="40"/>
      <c r="E549" s="40"/>
      <c r="F549" s="40"/>
      <c r="G549" s="40"/>
      <c r="H549" s="40"/>
      <c r="I549" s="40"/>
      <c r="J549" s="245" t="str">
        <f>IF(OR(J546=0,J546="Not Calculated")=TRUE,"Not Calculated",IF(J546-J547=0,4,(IF(((J546+J548)/(J546-J547))&lt;=1,0,IF(((J546+J548)/(J546-J547))&lt;=1.05,1,IF(((J546+J548)/(J546-J547))&lt;=1.5, 2,IF(((J546+J548)/(J546-J547))&lt;=2,3,4)))))))</f>
        <v>Not Calculated</v>
      </c>
      <c r="K549" s="41"/>
    </row>
    <row r="550" spans="2:14" ht="9.75" customHeight="1" x14ac:dyDescent="0.2">
      <c r="B550" s="38"/>
      <c r="C550" s="279" t="str">
        <f>"0:"</f>
        <v>0:</v>
      </c>
      <c r="D550" s="278" t="s">
        <v>918</v>
      </c>
      <c r="E550" s="40"/>
      <c r="F550" s="40"/>
      <c r="G550" s="40"/>
      <c r="H550" s="40"/>
      <c r="I550" s="40"/>
      <c r="J550" s="251"/>
      <c r="K550" s="41"/>
    </row>
    <row r="551" spans="2:14" ht="9.75" customHeight="1" x14ac:dyDescent="0.2">
      <c r="B551" s="38"/>
      <c r="C551" s="280" t="str">
        <f>"1:"</f>
        <v>1:</v>
      </c>
      <c r="D551" s="278" t="s">
        <v>923</v>
      </c>
      <c r="E551" s="40"/>
      <c r="F551" s="40"/>
      <c r="G551" s="40"/>
      <c r="H551" s="40"/>
      <c r="I551" s="40"/>
      <c r="J551" s="251"/>
      <c r="K551" s="41"/>
    </row>
    <row r="552" spans="2:14" ht="9.75" customHeight="1" x14ac:dyDescent="0.2">
      <c r="B552" s="38"/>
      <c r="C552" s="280" t="str">
        <f>"2:"</f>
        <v>2:</v>
      </c>
      <c r="D552" s="278" t="s">
        <v>924</v>
      </c>
      <c r="E552" s="40"/>
      <c r="F552" s="40"/>
      <c r="G552" s="40"/>
      <c r="H552" s="40"/>
      <c r="I552" s="40"/>
      <c r="J552" s="251"/>
      <c r="K552" s="41"/>
    </row>
    <row r="553" spans="2:14" ht="9.75" customHeight="1" x14ac:dyDescent="0.2">
      <c r="B553" s="38"/>
      <c r="C553" s="280" t="str">
        <f>"3:"</f>
        <v>3:</v>
      </c>
      <c r="D553" s="278" t="s">
        <v>925</v>
      </c>
      <c r="E553" s="40"/>
      <c r="F553" s="40"/>
      <c r="G553" s="40"/>
      <c r="H553" s="40"/>
      <c r="I553" s="40"/>
      <c r="J553" s="251"/>
      <c r="K553" s="41"/>
    </row>
    <row r="554" spans="2:14" ht="9.75" customHeight="1" x14ac:dyDescent="0.2">
      <c r="B554" s="38"/>
      <c r="C554" s="280" t="str">
        <f>"4:"</f>
        <v>4:</v>
      </c>
      <c r="D554" s="278" t="s">
        <v>926</v>
      </c>
      <c r="E554" s="40"/>
      <c r="F554" s="40"/>
      <c r="G554" s="40"/>
      <c r="H554" s="40"/>
      <c r="I554" s="40"/>
      <c r="J554" s="40"/>
      <c r="K554" s="41"/>
      <c r="N554" s="12" t="s">
        <v>661</v>
      </c>
    </row>
    <row r="555" spans="2:14" x14ac:dyDescent="0.2">
      <c r="B555" s="38"/>
      <c r="C555" s="174" t="s">
        <v>662</v>
      </c>
      <c r="D555" s="40"/>
      <c r="E555" s="40"/>
      <c r="F555" s="40"/>
      <c r="G555" s="40"/>
      <c r="H555" s="40"/>
      <c r="I555" s="40"/>
      <c r="J555" s="265" t="s">
        <v>661</v>
      </c>
      <c r="K555" s="41"/>
      <c r="N555" s="12" t="s">
        <v>894</v>
      </c>
    </row>
    <row r="556" spans="2:14" x14ac:dyDescent="0.2">
      <c r="B556" s="38"/>
      <c r="C556" s="174" t="s">
        <v>660</v>
      </c>
      <c r="D556" s="40"/>
      <c r="E556" s="40"/>
      <c r="F556" s="40"/>
      <c r="G556" s="40"/>
      <c r="H556" s="40"/>
      <c r="I556" s="40"/>
      <c r="J556" s="247" t="str">
        <f>IF(J555=N554,"N/A",IF(J555=N555,0,IF(J555=N556,1,IF(J555=N557,2,IF(J555=N558,3,IF(J555=N559,4,"N/A"))))))</f>
        <v>N/A</v>
      </c>
      <c r="K556" s="41"/>
      <c r="N556" s="12" t="s">
        <v>899</v>
      </c>
    </row>
    <row r="557" spans="2:14" x14ac:dyDescent="0.2">
      <c r="B557" s="38"/>
      <c r="C557" s="40" t="s">
        <v>257</v>
      </c>
      <c r="D557" s="40"/>
      <c r="E557" s="40"/>
      <c r="F557" s="40"/>
      <c r="G557" s="40"/>
      <c r="H557" s="40"/>
      <c r="I557" s="40"/>
      <c r="J557" s="266" t="s">
        <v>872</v>
      </c>
      <c r="K557" s="41"/>
      <c r="N557" s="12" t="s">
        <v>900</v>
      </c>
    </row>
    <row r="558" spans="2:14" x14ac:dyDescent="0.2">
      <c r="B558" s="38"/>
      <c r="C558" s="40" t="s">
        <v>261</v>
      </c>
      <c r="D558" s="40"/>
      <c r="E558" s="40"/>
      <c r="F558" s="40"/>
      <c r="G558" s="40"/>
      <c r="H558" s="40"/>
      <c r="I558" s="40"/>
      <c r="J558" s="245">
        <f>IF(J557=$B$973,$A$973,IF(J557=$B$974,$A$974,IF(J557=$B$975,$A$975,IF(J557=$B$976,$A$976,IF(J557=$B$977,$A$977,"Not Calculated")))))</f>
        <v>2</v>
      </c>
      <c r="K558" s="41"/>
      <c r="N558" s="12" t="s">
        <v>901</v>
      </c>
    </row>
    <row r="559" spans="2:14" x14ac:dyDescent="0.2">
      <c r="B559" s="38"/>
      <c r="C559" s="40" t="s">
        <v>893</v>
      </c>
      <c r="D559" s="40"/>
      <c r="E559" s="40"/>
      <c r="F559" s="40"/>
      <c r="G559" s="40"/>
      <c r="H559" s="40"/>
      <c r="I559" s="40"/>
      <c r="J559" s="40"/>
      <c r="K559" s="41"/>
      <c r="N559" s="12" t="s">
        <v>902</v>
      </c>
    </row>
    <row r="560" spans="2:14" ht="30" customHeight="1" x14ac:dyDescent="0.2">
      <c r="B560" s="38"/>
      <c r="C560" s="399" t="s">
        <v>600</v>
      </c>
      <c r="D560" s="400"/>
      <c r="E560" s="400"/>
      <c r="F560" s="400"/>
      <c r="G560" s="400"/>
      <c r="H560" s="400"/>
      <c r="I560" s="400"/>
      <c r="J560" s="401"/>
      <c r="K560" s="41"/>
    </row>
    <row r="561" spans="2:11" x14ac:dyDescent="0.2">
      <c r="B561" s="38"/>
      <c r="C561" s="40"/>
      <c r="D561" s="40"/>
      <c r="E561" s="40"/>
      <c r="F561" s="40"/>
      <c r="G561" s="40"/>
      <c r="H561" s="40"/>
      <c r="I561" s="40"/>
      <c r="J561" s="40"/>
      <c r="K561" s="41"/>
    </row>
    <row r="562" spans="2:11" x14ac:dyDescent="0.2">
      <c r="B562" s="38"/>
      <c r="C562" s="179" t="s">
        <v>323</v>
      </c>
      <c r="D562" s="40"/>
      <c r="E562" s="40"/>
      <c r="F562" s="40"/>
      <c r="G562" s="40"/>
      <c r="H562" s="40"/>
      <c r="I562" s="40"/>
      <c r="J562" s="245" t="str">
        <f>IF(J556="N/A",IF(OR(J549="Not Calculated",J558="Not Calculated")=TRUE,"Not Calculated",AVERAGE(J549,J558)),AVERAGE(J556,J558))</f>
        <v>Not Calculated</v>
      </c>
      <c r="K562" s="41"/>
    </row>
    <row r="563" spans="2:11" x14ac:dyDescent="0.2">
      <c r="B563" s="38"/>
      <c r="C563" s="40"/>
      <c r="D563" s="40"/>
      <c r="E563" s="40"/>
      <c r="F563" s="40"/>
      <c r="G563" s="40"/>
      <c r="H563" s="40"/>
      <c r="I563" s="40"/>
      <c r="J563" s="40"/>
      <c r="K563" s="41"/>
    </row>
    <row r="564" spans="2:11" x14ac:dyDescent="0.2">
      <c r="B564" s="38"/>
      <c r="C564" s="40"/>
      <c r="D564" s="40"/>
      <c r="E564" s="40"/>
      <c r="F564" s="40"/>
      <c r="G564" s="40"/>
      <c r="H564" s="40"/>
      <c r="I564" s="40"/>
      <c r="J564" s="40"/>
      <c r="K564" s="41"/>
    </row>
    <row r="565" spans="2:11" ht="16" x14ac:dyDescent="0.2">
      <c r="B565" s="38"/>
      <c r="C565" s="45" t="s">
        <v>89</v>
      </c>
      <c r="D565" s="40"/>
      <c r="E565" s="40"/>
      <c r="F565" s="40"/>
      <c r="G565" s="40"/>
      <c r="H565" s="40"/>
      <c r="I565" s="40"/>
      <c r="J565" s="40"/>
      <c r="K565" s="41"/>
    </row>
    <row r="566" spans="2:11" ht="15" customHeight="1" x14ac:dyDescent="0.2">
      <c r="B566" s="38"/>
      <c r="C566" s="380" t="s">
        <v>333</v>
      </c>
      <c r="D566" s="380"/>
      <c r="E566" s="380"/>
      <c r="F566" s="380"/>
      <c r="G566" s="380"/>
      <c r="H566" s="380"/>
      <c r="I566" s="380"/>
      <c r="J566" s="40"/>
      <c r="K566" s="41"/>
    </row>
    <row r="567" spans="2:11" x14ac:dyDescent="0.2">
      <c r="B567" s="38"/>
      <c r="C567" s="380"/>
      <c r="D567" s="380"/>
      <c r="E567" s="380"/>
      <c r="F567" s="380"/>
      <c r="G567" s="380"/>
      <c r="H567" s="380"/>
      <c r="I567" s="380"/>
      <c r="J567" s="40"/>
      <c r="K567" s="41"/>
    </row>
    <row r="568" spans="2:11" x14ac:dyDescent="0.2">
      <c r="B568" s="38"/>
      <c r="C568" s="380"/>
      <c r="D568" s="380"/>
      <c r="E568" s="380"/>
      <c r="F568" s="380"/>
      <c r="G568" s="380"/>
      <c r="H568" s="380"/>
      <c r="I568" s="380"/>
      <c r="J568" s="251">
        <f>'Baseline Health'!G132</f>
        <v>0</v>
      </c>
      <c r="K568" s="41"/>
    </row>
    <row r="569" spans="2:11" ht="15" customHeight="1" x14ac:dyDescent="0.2">
      <c r="B569" s="38"/>
      <c r="C569" s="380" t="s">
        <v>334</v>
      </c>
      <c r="D569" s="380"/>
      <c r="E569" s="380"/>
      <c r="F569" s="380"/>
      <c r="G569" s="380"/>
      <c r="H569" s="380"/>
      <c r="I569" s="380"/>
      <c r="J569" s="245"/>
      <c r="K569" s="41"/>
    </row>
    <row r="570" spans="2:11" x14ac:dyDescent="0.2">
      <c r="B570" s="38"/>
      <c r="C570" s="380"/>
      <c r="D570" s="380"/>
      <c r="E570" s="380"/>
      <c r="F570" s="380"/>
      <c r="G570" s="380"/>
      <c r="H570" s="380"/>
      <c r="I570" s="380"/>
      <c r="J570" s="245"/>
      <c r="K570" s="41"/>
    </row>
    <row r="571" spans="2:11" x14ac:dyDescent="0.2">
      <c r="B571" s="38"/>
      <c r="C571" s="380"/>
      <c r="D571" s="380"/>
      <c r="E571" s="380"/>
      <c r="F571" s="380"/>
      <c r="G571" s="380"/>
      <c r="H571" s="380"/>
      <c r="I571" s="380"/>
      <c r="J571" s="264">
        <v>0</v>
      </c>
      <c r="K571" s="41"/>
    </row>
    <row r="572" spans="2:11" x14ac:dyDescent="0.2">
      <c r="B572" s="38"/>
      <c r="C572" s="40" t="s">
        <v>260</v>
      </c>
      <c r="D572" s="40"/>
      <c r="E572" s="40"/>
      <c r="F572" s="40"/>
      <c r="G572" s="40"/>
      <c r="H572" s="40"/>
      <c r="I572" s="40"/>
      <c r="J572" s="245" t="str">
        <f>IF(OR(J568=0,J568="Not Calculated")=TRUE,"Not Calculated",IF(((J568+J571)/J568)&lt;=1,0,IF(((J568+J571)/J568)&lt;=1.05,1,IF(((J568+J571)/J568)&lt;=1.5, 2,IF(((J568+J571)/J568)&lt;=2,3,4)))))</f>
        <v>Not Calculated</v>
      </c>
      <c r="K572" s="41"/>
    </row>
    <row r="573" spans="2:11" ht="9.75" customHeight="1" x14ac:dyDescent="0.2">
      <c r="B573" s="38"/>
      <c r="C573" s="279" t="str">
        <f>"0:"</f>
        <v>0:</v>
      </c>
      <c r="D573" s="281" t="s">
        <v>918</v>
      </c>
      <c r="E573" s="291"/>
      <c r="F573" s="291"/>
      <c r="G573" s="291"/>
      <c r="H573" s="291"/>
      <c r="I573" s="291"/>
      <c r="J573" s="251"/>
      <c r="K573" s="41"/>
    </row>
    <row r="574" spans="2:11" ht="9.75" customHeight="1" x14ac:dyDescent="0.2">
      <c r="B574" s="38"/>
      <c r="C574" s="280" t="str">
        <f>"1:"</f>
        <v>1:</v>
      </c>
      <c r="D574" s="281" t="s">
        <v>919</v>
      </c>
      <c r="E574" s="291"/>
      <c r="F574" s="291"/>
      <c r="G574" s="291"/>
      <c r="H574" s="291"/>
      <c r="I574" s="291"/>
      <c r="J574" s="251"/>
      <c r="K574" s="41"/>
    </row>
    <row r="575" spans="2:11" ht="9.75" customHeight="1" x14ac:dyDescent="0.2">
      <c r="B575" s="38"/>
      <c r="C575" s="280" t="str">
        <f>"2:"</f>
        <v>2:</v>
      </c>
      <c r="D575" s="281" t="s">
        <v>920</v>
      </c>
      <c r="E575" s="291"/>
      <c r="F575" s="291"/>
      <c r="G575" s="291"/>
      <c r="H575" s="291"/>
      <c r="I575" s="291"/>
      <c r="J575" s="251"/>
      <c r="K575" s="41"/>
    </row>
    <row r="576" spans="2:11" ht="9.75" customHeight="1" x14ac:dyDescent="0.2">
      <c r="B576" s="38"/>
      <c r="C576" s="280" t="str">
        <f>"3:"</f>
        <v>3:</v>
      </c>
      <c r="D576" s="281" t="s">
        <v>921</v>
      </c>
      <c r="E576" s="291"/>
      <c r="F576" s="291"/>
      <c r="G576" s="291"/>
      <c r="H576" s="291"/>
      <c r="I576" s="291"/>
      <c r="J576" s="251"/>
      <c r="K576" s="41"/>
    </row>
    <row r="577" spans="2:14" ht="9.75" customHeight="1" x14ac:dyDescent="0.2">
      <c r="B577" s="38"/>
      <c r="C577" s="280" t="str">
        <f>"4:"</f>
        <v>4:</v>
      </c>
      <c r="D577" s="281" t="s">
        <v>922</v>
      </c>
      <c r="E577" s="40"/>
      <c r="F577" s="40"/>
      <c r="G577" s="40"/>
      <c r="H577" s="40"/>
      <c r="I577" s="40"/>
      <c r="J577" s="40"/>
      <c r="K577" s="41"/>
      <c r="N577" s="12" t="s">
        <v>661</v>
      </c>
    </row>
    <row r="578" spans="2:14" ht="15" customHeight="1" x14ac:dyDescent="0.2">
      <c r="B578" s="38"/>
      <c r="C578" s="174" t="s">
        <v>662</v>
      </c>
      <c r="D578" s="40"/>
      <c r="E578" s="40"/>
      <c r="F578" s="40"/>
      <c r="G578" s="40"/>
      <c r="H578" s="40"/>
      <c r="I578" s="40"/>
      <c r="J578" s="265" t="s">
        <v>661</v>
      </c>
      <c r="K578" s="41"/>
      <c r="N578" s="12" t="s">
        <v>894</v>
      </c>
    </row>
    <row r="579" spans="2:14" ht="15" customHeight="1" x14ac:dyDescent="0.2">
      <c r="B579" s="38"/>
      <c r="C579" s="174" t="s">
        <v>660</v>
      </c>
      <c r="D579" s="40"/>
      <c r="E579" s="40"/>
      <c r="F579" s="40"/>
      <c r="G579" s="40"/>
      <c r="H579" s="40"/>
      <c r="I579" s="40"/>
      <c r="J579" s="247" t="str">
        <f>IF(J578=N577,"N/A",IF(J578=N578,0,IF(J578=N579,1,IF(J578=N580,2,IF(J578=N581,3,IF(J578=N582,4,"N/A"))))))</f>
        <v>N/A</v>
      </c>
      <c r="K579" s="41"/>
      <c r="N579" s="12" t="s">
        <v>895</v>
      </c>
    </row>
    <row r="580" spans="2:14" x14ac:dyDescent="0.2">
      <c r="B580" s="38"/>
      <c r="C580" s="40" t="s">
        <v>257</v>
      </c>
      <c r="D580" s="40"/>
      <c r="E580" s="40"/>
      <c r="F580" s="40"/>
      <c r="G580" s="40"/>
      <c r="H580" s="40"/>
      <c r="I580" s="40"/>
      <c r="J580" s="266" t="s">
        <v>870</v>
      </c>
      <c r="K580" s="41"/>
      <c r="N580" s="12" t="s">
        <v>896</v>
      </c>
    </row>
    <row r="581" spans="2:14" x14ac:dyDescent="0.2">
      <c r="B581" s="38"/>
      <c r="C581" s="40" t="s">
        <v>261</v>
      </c>
      <c r="D581" s="40"/>
      <c r="E581" s="40"/>
      <c r="F581" s="40"/>
      <c r="G581" s="40"/>
      <c r="H581" s="40"/>
      <c r="I581" s="40"/>
      <c r="J581" s="245">
        <f>IF(J580=$B$973,$A$973,IF(J580=$B$974,$A$974,IF(J580=$B$975,$A$975,IF(J580=$B$976,$A$976,IF(J580=$B$977,$A$977,"Not Calculated")))))</f>
        <v>0</v>
      </c>
      <c r="K581" s="41"/>
      <c r="N581" s="12" t="s">
        <v>897</v>
      </c>
    </row>
    <row r="582" spans="2:14" x14ac:dyDescent="0.2">
      <c r="B582" s="38"/>
      <c r="C582" s="40" t="s">
        <v>893</v>
      </c>
      <c r="D582" s="40"/>
      <c r="E582" s="40"/>
      <c r="F582" s="40"/>
      <c r="G582" s="40"/>
      <c r="H582" s="40"/>
      <c r="I582" s="40"/>
      <c r="J582" s="40"/>
      <c r="K582" s="41"/>
      <c r="N582" s="12" t="s">
        <v>898</v>
      </c>
    </row>
    <row r="583" spans="2:14" ht="30" customHeight="1" x14ac:dyDescent="0.2">
      <c r="B583" s="38"/>
      <c r="C583" s="399" t="s">
        <v>601</v>
      </c>
      <c r="D583" s="400"/>
      <c r="E583" s="400"/>
      <c r="F583" s="400"/>
      <c r="G583" s="400"/>
      <c r="H583" s="400"/>
      <c r="I583" s="400"/>
      <c r="J583" s="401"/>
      <c r="K583" s="41"/>
    </row>
    <row r="584" spans="2:14" x14ac:dyDescent="0.2">
      <c r="B584" s="38"/>
      <c r="C584" s="40"/>
      <c r="D584" s="40"/>
      <c r="E584" s="40"/>
      <c r="F584" s="40"/>
      <c r="G584" s="40"/>
      <c r="H584" s="40"/>
      <c r="I584" s="40"/>
      <c r="J584" s="40"/>
      <c r="K584" s="41"/>
    </row>
    <row r="585" spans="2:14" x14ac:dyDescent="0.2">
      <c r="B585" s="38"/>
      <c r="C585" s="179" t="s">
        <v>324</v>
      </c>
      <c r="D585" s="40"/>
      <c r="E585" s="40"/>
      <c r="F585" s="40"/>
      <c r="G585" s="40"/>
      <c r="H585" s="40"/>
      <c r="I585" s="40"/>
      <c r="J585" s="245" t="str">
        <f>IF(J579="N/A",IF(OR(J572="Not Calculated",J581="Not Calculated")=TRUE,"Not Calculated",AVERAGE(J572,J581)),AVERAGE(J579,J581))</f>
        <v>Not Calculated</v>
      </c>
      <c r="K585" s="41"/>
    </row>
    <row r="586" spans="2:14" x14ac:dyDescent="0.2">
      <c r="B586" s="38"/>
      <c r="C586" s="40"/>
      <c r="D586" s="40"/>
      <c r="E586" s="40"/>
      <c r="F586" s="40"/>
      <c r="G586" s="40"/>
      <c r="H586" s="40"/>
      <c r="I586" s="40"/>
      <c r="J586" s="40"/>
      <c r="K586" s="41"/>
    </row>
    <row r="587" spans="2:14" x14ac:dyDescent="0.2">
      <c r="B587" s="38"/>
      <c r="C587" s="40"/>
      <c r="D587" s="40"/>
      <c r="E587" s="40"/>
      <c r="F587" s="40"/>
      <c r="G587" s="40"/>
      <c r="H587" s="40"/>
      <c r="I587" s="40"/>
      <c r="J587" s="40"/>
      <c r="K587" s="41"/>
    </row>
    <row r="588" spans="2:14" ht="16" x14ac:dyDescent="0.2">
      <c r="B588" s="38"/>
      <c r="C588" s="45" t="s">
        <v>115</v>
      </c>
      <c r="D588" s="40"/>
      <c r="E588" s="40"/>
      <c r="F588" s="40"/>
      <c r="G588" s="40"/>
      <c r="H588" s="40"/>
      <c r="I588" s="40"/>
      <c r="J588" s="40"/>
      <c r="K588" s="41"/>
    </row>
    <row r="589" spans="2:14" x14ac:dyDescent="0.2">
      <c r="B589" s="38"/>
      <c r="C589" s="40" t="s">
        <v>335</v>
      </c>
      <c r="D589" s="40"/>
      <c r="E589" s="40"/>
      <c r="F589" s="40"/>
      <c r="G589" s="40"/>
      <c r="H589" s="40"/>
      <c r="I589" s="40"/>
      <c r="J589" s="264">
        <v>0</v>
      </c>
      <c r="K589" s="41"/>
    </row>
    <row r="590" spans="2:14" x14ac:dyDescent="0.2">
      <c r="B590" s="38"/>
      <c r="C590" s="40" t="s">
        <v>260</v>
      </c>
      <c r="D590" s="40"/>
      <c r="E590" s="40"/>
      <c r="F590" s="40"/>
      <c r="G590" s="40"/>
      <c r="H590" s="40"/>
      <c r="I590" s="40"/>
      <c r="J590" s="255">
        <f>IF(J589&lt;=0,0,IF(J589&lt;=1000,1,IF(J589&lt;=5000,2,IF(J589&lt;=25000,3,4))))</f>
        <v>0</v>
      </c>
      <c r="K590" s="41"/>
    </row>
    <row r="591" spans="2:14" ht="9.75" customHeight="1" x14ac:dyDescent="0.2">
      <c r="B591" s="38"/>
      <c r="C591" s="279" t="str">
        <f>"0:"</f>
        <v>0:</v>
      </c>
      <c r="D591" s="284" t="s">
        <v>970</v>
      </c>
      <c r="E591" s="40"/>
      <c r="F591" s="40"/>
      <c r="G591" s="40"/>
      <c r="H591" s="40"/>
      <c r="I591" s="40"/>
      <c r="J591" s="251"/>
      <c r="K591" s="41"/>
    </row>
    <row r="592" spans="2:14" ht="9.75" customHeight="1" x14ac:dyDescent="0.2">
      <c r="B592" s="38"/>
      <c r="C592" s="280" t="str">
        <f>"1:"</f>
        <v>1:</v>
      </c>
      <c r="D592" s="284" t="s">
        <v>961</v>
      </c>
      <c r="E592" s="40"/>
      <c r="F592" s="40"/>
      <c r="G592" s="40"/>
      <c r="H592" s="40"/>
      <c r="I592" s="40"/>
      <c r="J592" s="251"/>
      <c r="K592" s="41"/>
    </row>
    <row r="593" spans="2:11" ht="9.75" customHeight="1" x14ac:dyDescent="0.2">
      <c r="B593" s="38"/>
      <c r="C593" s="280" t="str">
        <f>"2:"</f>
        <v>2:</v>
      </c>
      <c r="D593" s="284" t="s">
        <v>971</v>
      </c>
      <c r="E593" s="40"/>
      <c r="F593" s="40"/>
      <c r="G593" s="40"/>
      <c r="H593" s="40"/>
      <c r="I593" s="40"/>
      <c r="J593" s="251"/>
      <c r="K593" s="41"/>
    </row>
    <row r="594" spans="2:11" ht="9.75" customHeight="1" x14ac:dyDescent="0.2">
      <c r="B594" s="38"/>
      <c r="C594" s="280" t="str">
        <f>"3:"</f>
        <v>3:</v>
      </c>
      <c r="D594" s="284" t="s">
        <v>963</v>
      </c>
      <c r="E594" s="40"/>
      <c r="F594" s="40"/>
      <c r="G594" s="40"/>
      <c r="H594" s="40"/>
      <c r="I594" s="40"/>
      <c r="J594" s="251"/>
      <c r="K594" s="41"/>
    </row>
    <row r="595" spans="2:11" ht="9.75" customHeight="1" x14ac:dyDescent="0.2">
      <c r="B595" s="38"/>
      <c r="C595" s="280" t="str">
        <f>"4:"</f>
        <v>4:</v>
      </c>
      <c r="D595" s="284" t="s">
        <v>964</v>
      </c>
      <c r="E595" s="40"/>
      <c r="F595" s="40"/>
      <c r="G595" s="40"/>
      <c r="H595" s="40"/>
      <c r="I595" s="40"/>
      <c r="J595" s="40"/>
      <c r="K595" s="41"/>
    </row>
    <row r="596" spans="2:11" ht="15" customHeight="1" x14ac:dyDescent="0.2">
      <c r="B596" s="38"/>
      <c r="C596" s="40" t="s">
        <v>257</v>
      </c>
      <c r="D596" s="40"/>
      <c r="E596" s="40"/>
      <c r="F596" s="40"/>
      <c r="G596" s="40"/>
      <c r="H596" s="40"/>
      <c r="I596" s="40"/>
      <c r="J596" s="266" t="s">
        <v>870</v>
      </c>
      <c r="K596" s="41"/>
    </row>
    <row r="597" spans="2:11" ht="15" customHeight="1" x14ac:dyDescent="0.2">
      <c r="B597" s="38"/>
      <c r="C597" s="40" t="s">
        <v>261</v>
      </c>
      <c r="D597" s="40"/>
      <c r="E597" s="40"/>
      <c r="F597" s="40"/>
      <c r="G597" s="40"/>
      <c r="H597" s="40"/>
      <c r="I597" s="40"/>
      <c r="J597" s="245">
        <f>IF(J596=$B$973,$A$973,IF(J596=$B$974,$A$974,IF(J596=$B$975,$A$975,IF(J596=$B$976,$A$976,IF(J596=$B$977,$A$977,"Not Calculated")))))</f>
        <v>0</v>
      </c>
      <c r="K597" s="41"/>
    </row>
    <row r="598" spans="2:11" x14ac:dyDescent="0.2">
      <c r="B598" s="38"/>
      <c r="C598" s="40" t="s">
        <v>893</v>
      </c>
      <c r="D598" s="40"/>
      <c r="E598" s="40"/>
      <c r="F598" s="40"/>
      <c r="G598" s="40"/>
      <c r="H598" s="40"/>
      <c r="I598" s="40"/>
      <c r="J598" s="40"/>
      <c r="K598" s="41"/>
    </row>
    <row r="599" spans="2:11" ht="30" customHeight="1" x14ac:dyDescent="0.2">
      <c r="B599" s="38"/>
      <c r="C599" s="399"/>
      <c r="D599" s="400"/>
      <c r="E599" s="400"/>
      <c r="F599" s="400"/>
      <c r="G599" s="400"/>
      <c r="H599" s="400"/>
      <c r="I599" s="400"/>
      <c r="J599" s="401"/>
      <c r="K599" s="41"/>
    </row>
    <row r="600" spans="2:11" x14ac:dyDescent="0.2">
      <c r="B600" s="38"/>
      <c r="C600" s="40"/>
      <c r="D600" s="40"/>
      <c r="E600" s="40"/>
      <c r="F600" s="40"/>
      <c r="G600" s="40"/>
      <c r="H600" s="40"/>
      <c r="I600" s="40"/>
      <c r="J600" s="40"/>
      <c r="K600" s="41"/>
    </row>
    <row r="601" spans="2:11" x14ac:dyDescent="0.2">
      <c r="B601" s="38"/>
      <c r="C601" s="179" t="s">
        <v>325</v>
      </c>
      <c r="D601" s="40"/>
      <c r="E601" s="40"/>
      <c r="F601" s="40"/>
      <c r="G601" s="40"/>
      <c r="H601" s="40"/>
      <c r="I601" s="40"/>
      <c r="J601" s="245">
        <f>IF(J590="Not Calculated","Not Calculated",AVERAGE(J590,J597))</f>
        <v>0</v>
      </c>
      <c r="K601" s="41"/>
    </row>
    <row r="602" spans="2:11" x14ac:dyDescent="0.2">
      <c r="B602" s="38"/>
      <c r="C602" s="40"/>
      <c r="D602" s="40"/>
      <c r="E602" s="40"/>
      <c r="F602" s="40"/>
      <c r="G602" s="40"/>
      <c r="H602" s="40"/>
      <c r="I602" s="40"/>
      <c r="J602" s="40"/>
      <c r="K602" s="41"/>
    </row>
    <row r="603" spans="2:11" x14ac:dyDescent="0.2">
      <c r="B603" s="38"/>
      <c r="C603" s="40"/>
      <c r="D603" s="40"/>
      <c r="E603" s="40"/>
      <c r="F603" s="40"/>
      <c r="G603" s="40"/>
      <c r="H603" s="40"/>
      <c r="I603" s="40"/>
      <c r="J603" s="40"/>
      <c r="K603" s="41"/>
    </row>
    <row r="604" spans="2:11" ht="16" x14ac:dyDescent="0.2">
      <c r="B604" s="38"/>
      <c r="C604" s="45" t="s">
        <v>326</v>
      </c>
      <c r="D604" s="40"/>
      <c r="E604" s="40"/>
      <c r="F604" s="40"/>
      <c r="G604" s="40"/>
      <c r="H604" s="40"/>
      <c r="I604" s="40"/>
      <c r="J604" s="40"/>
      <c r="K604" s="41"/>
    </row>
    <row r="605" spans="2:11" x14ac:dyDescent="0.2">
      <c r="B605" s="38"/>
      <c r="C605" s="40" t="s">
        <v>336</v>
      </c>
      <c r="D605" s="40"/>
      <c r="E605" s="40"/>
      <c r="F605" s="40"/>
      <c r="G605" s="40"/>
      <c r="H605" s="40"/>
      <c r="I605" s="40"/>
      <c r="J605" s="271">
        <v>0</v>
      </c>
      <c r="K605" s="41"/>
    </row>
    <row r="606" spans="2:11" x14ac:dyDescent="0.2">
      <c r="B606" s="38"/>
      <c r="C606" s="40" t="s">
        <v>260</v>
      </c>
      <c r="D606" s="40"/>
      <c r="E606" s="40"/>
      <c r="F606" s="40"/>
      <c r="G606" s="40"/>
      <c r="H606" s="40"/>
      <c r="I606" s="40"/>
      <c r="J606" s="248">
        <f>IF(J605&lt;=0,0,IF(J605&lt;=10,1,IF(J605&lt;=25,2,IF(J605&lt;=50,3,4))))</f>
        <v>0</v>
      </c>
      <c r="K606" s="41"/>
    </row>
    <row r="607" spans="2:11" ht="9.75" customHeight="1" x14ac:dyDescent="0.2">
      <c r="B607" s="38"/>
      <c r="C607" s="279" t="str">
        <f>"0:"</f>
        <v>0:</v>
      </c>
      <c r="D607" s="290" t="s">
        <v>944</v>
      </c>
      <c r="E607" s="40"/>
      <c r="F607" s="40"/>
      <c r="G607" s="40"/>
      <c r="H607" s="40"/>
      <c r="I607" s="40"/>
      <c r="J607" s="244"/>
      <c r="K607" s="41"/>
    </row>
    <row r="608" spans="2:11" ht="9.75" customHeight="1" x14ac:dyDescent="0.2">
      <c r="B608" s="38"/>
      <c r="C608" s="280" t="str">
        <f>"1:"</f>
        <v>1:</v>
      </c>
      <c r="D608" s="290" t="s">
        <v>947</v>
      </c>
      <c r="E608" s="40"/>
      <c r="F608" s="40"/>
      <c r="G608" s="40"/>
      <c r="H608" s="40"/>
      <c r="I608" s="40"/>
      <c r="J608" s="244"/>
      <c r="K608" s="41"/>
    </row>
    <row r="609" spans="2:11" ht="9.75" customHeight="1" x14ac:dyDescent="0.2">
      <c r="B609" s="38"/>
      <c r="C609" s="280" t="str">
        <f>"2:"</f>
        <v>2:</v>
      </c>
      <c r="D609" s="290" t="s">
        <v>972</v>
      </c>
      <c r="E609" s="40"/>
      <c r="F609" s="40"/>
      <c r="G609" s="40"/>
      <c r="H609" s="40"/>
      <c r="I609" s="40"/>
      <c r="J609" s="244"/>
      <c r="K609" s="41"/>
    </row>
    <row r="610" spans="2:11" ht="9.75" customHeight="1" x14ac:dyDescent="0.2">
      <c r="B610" s="38"/>
      <c r="C610" s="280" t="str">
        <f>"3:"</f>
        <v>3:</v>
      </c>
      <c r="D610" s="290" t="s">
        <v>973</v>
      </c>
      <c r="E610" s="40"/>
      <c r="F610" s="40"/>
      <c r="G610" s="40"/>
      <c r="H610" s="40"/>
      <c r="I610" s="40"/>
      <c r="J610" s="244"/>
      <c r="K610" s="41"/>
    </row>
    <row r="611" spans="2:11" ht="9.75" customHeight="1" x14ac:dyDescent="0.2">
      <c r="B611" s="38"/>
      <c r="C611" s="280" t="str">
        <f>"4:"</f>
        <v>4:</v>
      </c>
      <c r="D611" s="290" t="s">
        <v>974</v>
      </c>
      <c r="E611" s="40"/>
      <c r="F611" s="40"/>
      <c r="G611" s="40"/>
      <c r="H611" s="40"/>
      <c r="I611" s="40"/>
      <c r="J611" s="40"/>
      <c r="K611" s="41"/>
    </row>
    <row r="612" spans="2:11" x14ac:dyDescent="0.2">
      <c r="B612" s="38"/>
      <c r="C612" s="40" t="s">
        <v>893</v>
      </c>
      <c r="D612" s="40"/>
      <c r="E612" s="40"/>
      <c r="F612" s="40"/>
      <c r="G612" s="40"/>
      <c r="H612" s="40"/>
      <c r="I612" s="40"/>
      <c r="J612" s="40"/>
      <c r="K612" s="41"/>
    </row>
    <row r="613" spans="2:11" ht="30" customHeight="1" x14ac:dyDescent="0.2">
      <c r="B613" s="38"/>
      <c r="C613" s="399"/>
      <c r="D613" s="400"/>
      <c r="E613" s="400"/>
      <c r="F613" s="400"/>
      <c r="G613" s="400"/>
      <c r="H613" s="400"/>
      <c r="I613" s="400"/>
      <c r="J613" s="401"/>
      <c r="K613" s="41"/>
    </row>
    <row r="614" spans="2:11" x14ac:dyDescent="0.2">
      <c r="B614" s="38"/>
      <c r="C614" s="40"/>
      <c r="D614" s="40"/>
      <c r="E614" s="40"/>
      <c r="F614" s="40"/>
      <c r="G614" s="40"/>
      <c r="H614" s="40"/>
      <c r="I614" s="40"/>
      <c r="J614" s="40"/>
      <c r="K614" s="41"/>
    </row>
    <row r="615" spans="2:11" x14ac:dyDescent="0.2">
      <c r="B615" s="38"/>
      <c r="C615" s="179" t="s">
        <v>327</v>
      </c>
      <c r="D615" s="40"/>
      <c r="E615" s="40"/>
      <c r="F615" s="40"/>
      <c r="G615" s="40"/>
      <c r="H615" s="40"/>
      <c r="I615" s="40"/>
      <c r="J615" s="245">
        <f>J606</f>
        <v>0</v>
      </c>
      <c r="K615" s="41"/>
    </row>
    <row r="616" spans="2:11" x14ac:dyDescent="0.2">
      <c r="B616" s="38"/>
      <c r="C616" s="40"/>
      <c r="D616" s="40"/>
      <c r="E616" s="40"/>
      <c r="F616" s="40"/>
      <c r="G616" s="40"/>
      <c r="H616" s="40"/>
      <c r="I616" s="40"/>
      <c r="J616" s="40"/>
      <c r="K616" s="41"/>
    </row>
    <row r="617" spans="2:11" x14ac:dyDescent="0.2">
      <c r="B617" s="38"/>
      <c r="C617" s="40"/>
      <c r="D617" s="40"/>
      <c r="E617" s="40"/>
      <c r="F617" s="40"/>
      <c r="G617" s="40"/>
      <c r="H617" s="40"/>
      <c r="I617" s="40"/>
      <c r="J617" s="40"/>
      <c r="K617" s="41"/>
    </row>
    <row r="618" spans="2:11" ht="16" x14ac:dyDescent="0.2">
      <c r="B618" s="38"/>
      <c r="C618" s="45" t="s">
        <v>92</v>
      </c>
      <c r="D618" s="40"/>
      <c r="E618" s="40"/>
      <c r="F618" s="40"/>
      <c r="G618" s="40"/>
      <c r="H618" s="40"/>
      <c r="I618" s="40"/>
      <c r="J618" s="40"/>
      <c r="K618" s="41"/>
    </row>
    <row r="619" spans="2:11" x14ac:dyDescent="0.2">
      <c r="B619" s="38"/>
      <c r="C619" s="40" t="s">
        <v>337</v>
      </c>
      <c r="D619" s="40"/>
      <c r="E619" s="40"/>
      <c r="F619" s="40"/>
      <c r="G619" s="40"/>
      <c r="H619" s="40"/>
      <c r="I619" s="40"/>
      <c r="J619" s="251">
        <f>'Baseline Health'!G137</f>
        <v>1</v>
      </c>
      <c r="K619" s="41"/>
    </row>
    <row r="620" spans="2:11" ht="15" customHeight="1" x14ac:dyDescent="0.2">
      <c r="B620" s="38"/>
      <c r="C620" s="380" t="s">
        <v>338</v>
      </c>
      <c r="D620" s="380"/>
      <c r="E620" s="380"/>
      <c r="F620" s="380"/>
      <c r="G620" s="380"/>
      <c r="H620" s="380"/>
      <c r="I620" s="380"/>
      <c r="J620" s="251"/>
      <c r="K620" s="41"/>
    </row>
    <row r="621" spans="2:11" x14ac:dyDescent="0.2">
      <c r="B621" s="38"/>
      <c r="C621" s="380"/>
      <c r="D621" s="380"/>
      <c r="E621" s="380"/>
      <c r="F621" s="380"/>
      <c r="G621" s="380"/>
      <c r="H621" s="380"/>
      <c r="I621" s="380"/>
      <c r="J621" s="264">
        <v>0</v>
      </c>
      <c r="K621" s="41"/>
    </row>
    <row r="622" spans="2:11" x14ac:dyDescent="0.2">
      <c r="B622" s="38"/>
      <c r="C622" s="40" t="s">
        <v>260</v>
      </c>
      <c r="D622" s="40"/>
      <c r="E622" s="40"/>
      <c r="F622" s="40"/>
      <c r="G622" s="40"/>
      <c r="H622" s="40"/>
      <c r="I622" s="40"/>
      <c r="J622" s="245">
        <f>IF(OR(J619=0,J619="Not Calculated")=TRUE,"Not Calculated",IF(((J619+J621)/J619)&lt;=1,0,IF(((J619+J621)/J619)&lt;=1.05,1,IF(((J619+J621)/J619)&lt;=1.5, 2,IF(((J619+J621)/J619)&lt;=2,3,4)))))</f>
        <v>0</v>
      </c>
      <c r="K622" s="41"/>
    </row>
    <row r="623" spans="2:11" ht="9.75" customHeight="1" x14ac:dyDescent="0.2">
      <c r="B623" s="38"/>
      <c r="C623" s="279" t="str">
        <f>"0:"</f>
        <v>0:</v>
      </c>
      <c r="D623" s="281" t="s">
        <v>918</v>
      </c>
      <c r="E623" s="291"/>
      <c r="F623" s="291"/>
      <c r="G623" s="291"/>
      <c r="H623" s="291"/>
      <c r="I623" s="291"/>
      <c r="J623" s="251"/>
      <c r="K623" s="41"/>
    </row>
    <row r="624" spans="2:11" ht="9.75" customHeight="1" x14ac:dyDescent="0.2">
      <c r="B624" s="38"/>
      <c r="C624" s="280" t="str">
        <f>"1:"</f>
        <v>1:</v>
      </c>
      <c r="D624" s="281" t="s">
        <v>919</v>
      </c>
      <c r="E624" s="291"/>
      <c r="F624" s="291"/>
      <c r="G624" s="291"/>
      <c r="H624" s="291"/>
      <c r="I624" s="291"/>
      <c r="J624" s="251"/>
      <c r="K624" s="41"/>
    </row>
    <row r="625" spans="2:14" ht="9.75" customHeight="1" x14ac:dyDescent="0.2">
      <c r="B625" s="38"/>
      <c r="C625" s="280" t="str">
        <f>"2:"</f>
        <v>2:</v>
      </c>
      <c r="D625" s="281" t="s">
        <v>920</v>
      </c>
      <c r="E625" s="291"/>
      <c r="F625" s="291"/>
      <c r="G625" s="291"/>
      <c r="H625" s="291"/>
      <c r="I625" s="291"/>
      <c r="J625" s="251"/>
      <c r="K625" s="41"/>
    </row>
    <row r="626" spans="2:14" ht="9.75" customHeight="1" x14ac:dyDescent="0.2">
      <c r="B626" s="38"/>
      <c r="C626" s="280" t="str">
        <f>"3:"</f>
        <v>3:</v>
      </c>
      <c r="D626" s="281" t="s">
        <v>921</v>
      </c>
      <c r="E626" s="291"/>
      <c r="F626" s="291"/>
      <c r="G626" s="291"/>
      <c r="H626" s="291"/>
      <c r="I626" s="291"/>
      <c r="J626" s="251"/>
      <c r="K626" s="41"/>
    </row>
    <row r="627" spans="2:14" ht="9.75" customHeight="1" x14ac:dyDescent="0.2">
      <c r="B627" s="38"/>
      <c r="C627" s="280" t="str">
        <f>"4:"</f>
        <v>4:</v>
      </c>
      <c r="D627" s="281" t="s">
        <v>922</v>
      </c>
      <c r="E627" s="40"/>
      <c r="F627" s="40"/>
      <c r="G627" s="40"/>
      <c r="H627" s="40"/>
      <c r="I627" s="40"/>
      <c r="J627" s="40"/>
      <c r="K627" s="41"/>
      <c r="N627" s="12" t="s">
        <v>661</v>
      </c>
    </row>
    <row r="628" spans="2:14" x14ac:dyDescent="0.2">
      <c r="B628" s="38"/>
      <c r="C628" s="174" t="s">
        <v>662</v>
      </c>
      <c r="D628" s="40"/>
      <c r="E628" s="40"/>
      <c r="F628" s="40"/>
      <c r="G628" s="40"/>
      <c r="H628" s="40"/>
      <c r="I628" s="40"/>
      <c r="J628" s="265" t="s">
        <v>661</v>
      </c>
      <c r="K628" s="41"/>
      <c r="N628" s="12" t="s">
        <v>894</v>
      </c>
    </row>
    <row r="629" spans="2:14" x14ac:dyDescent="0.2">
      <c r="B629" s="38"/>
      <c r="C629" s="174" t="s">
        <v>660</v>
      </c>
      <c r="D629" s="40"/>
      <c r="E629" s="40"/>
      <c r="F629" s="40"/>
      <c r="G629" s="40"/>
      <c r="H629" s="40"/>
      <c r="I629" s="40"/>
      <c r="J629" s="247" t="str">
        <f>IF(J628=N627,"N/A",IF(J628=N628,0,IF(J628=N629,1,IF(J628=N630,2,IF(J628=N631,3,IF(J628=N632,4,"N/A"))))))</f>
        <v>N/A</v>
      </c>
      <c r="K629" s="41"/>
      <c r="N629" s="12" t="s">
        <v>895</v>
      </c>
    </row>
    <row r="630" spans="2:14" x14ac:dyDescent="0.2">
      <c r="B630" s="38"/>
      <c r="C630" s="40" t="s">
        <v>257</v>
      </c>
      <c r="D630" s="40"/>
      <c r="E630" s="40"/>
      <c r="F630" s="40"/>
      <c r="G630" s="40"/>
      <c r="H630" s="40"/>
      <c r="I630" s="40"/>
      <c r="J630" s="266" t="s">
        <v>870</v>
      </c>
      <c r="K630" s="41"/>
      <c r="N630" s="12" t="s">
        <v>896</v>
      </c>
    </row>
    <row r="631" spans="2:14" x14ac:dyDescent="0.2">
      <c r="B631" s="38"/>
      <c r="C631" s="40" t="s">
        <v>261</v>
      </c>
      <c r="D631" s="40"/>
      <c r="E631" s="40"/>
      <c r="F631" s="40"/>
      <c r="G631" s="40"/>
      <c r="H631" s="40"/>
      <c r="I631" s="40"/>
      <c r="J631" s="245">
        <f>IF(J630=$B$973,$A$973,IF(J630=$B$974,$A$974,IF(J630=$B$975,$A$975,IF(J630=$B$976,$A$976,IF(J630=$B$977,$A$977,"Not Calculated")))))</f>
        <v>0</v>
      </c>
      <c r="K631" s="41"/>
      <c r="N631" s="12" t="s">
        <v>897</v>
      </c>
    </row>
    <row r="632" spans="2:14" x14ac:dyDescent="0.2">
      <c r="B632" s="38"/>
      <c r="C632" s="40" t="s">
        <v>893</v>
      </c>
      <c r="D632" s="40"/>
      <c r="E632" s="40"/>
      <c r="F632" s="40"/>
      <c r="G632" s="40"/>
      <c r="H632" s="40"/>
      <c r="I632" s="40"/>
      <c r="J632" s="40"/>
      <c r="K632" s="41"/>
      <c r="N632" s="12" t="s">
        <v>898</v>
      </c>
    </row>
    <row r="633" spans="2:14" ht="30" customHeight="1" x14ac:dyDescent="0.2">
      <c r="B633" s="38"/>
      <c r="C633" s="399"/>
      <c r="D633" s="400"/>
      <c r="E633" s="400"/>
      <c r="F633" s="400"/>
      <c r="G633" s="400"/>
      <c r="H633" s="400"/>
      <c r="I633" s="400"/>
      <c r="J633" s="401"/>
      <c r="K633" s="41"/>
    </row>
    <row r="634" spans="2:14" x14ac:dyDescent="0.2">
      <c r="B634" s="38"/>
      <c r="C634" s="40"/>
      <c r="D634" s="40"/>
      <c r="E634" s="40"/>
      <c r="F634" s="40"/>
      <c r="G634" s="40"/>
      <c r="H634" s="40"/>
      <c r="I634" s="40"/>
      <c r="J634" s="40"/>
      <c r="K634" s="41"/>
    </row>
    <row r="635" spans="2:14" x14ac:dyDescent="0.2">
      <c r="B635" s="38"/>
      <c r="C635" s="179" t="s">
        <v>328</v>
      </c>
      <c r="D635" s="40"/>
      <c r="E635" s="40"/>
      <c r="F635" s="40"/>
      <c r="G635" s="40"/>
      <c r="H635" s="40"/>
      <c r="I635" s="40"/>
      <c r="J635" s="245">
        <f>IF(J629="N/A",IF(OR(J622="Not Calculated",J631="Not Calculated")=TRUE,"Not Calculated",AVERAGE(J622,J631)),AVERAGE(J629,J631))</f>
        <v>0</v>
      </c>
      <c r="K635" s="41"/>
    </row>
    <row r="636" spans="2:14" x14ac:dyDescent="0.2">
      <c r="B636" s="38"/>
      <c r="C636" s="40"/>
      <c r="D636" s="40"/>
      <c r="E636" s="40"/>
      <c r="F636" s="40"/>
      <c r="G636" s="40"/>
      <c r="H636" s="40"/>
      <c r="I636" s="40"/>
      <c r="J636" s="40"/>
      <c r="K636" s="41"/>
    </row>
    <row r="637" spans="2:14" x14ac:dyDescent="0.2">
      <c r="B637" s="38"/>
      <c r="C637" s="40"/>
      <c r="D637" s="40"/>
      <c r="E637" s="40"/>
      <c r="F637" s="40"/>
      <c r="G637" s="40"/>
      <c r="H637" s="40"/>
      <c r="I637" s="40"/>
      <c r="J637" s="40"/>
      <c r="K637" s="41"/>
    </row>
    <row r="638" spans="2:14" ht="16" x14ac:dyDescent="0.2">
      <c r="B638" s="38"/>
      <c r="C638" s="45" t="s">
        <v>329</v>
      </c>
      <c r="D638" s="40"/>
      <c r="E638" s="40"/>
      <c r="F638" s="40"/>
      <c r="G638" s="40"/>
      <c r="H638" s="40"/>
      <c r="I638" s="40"/>
      <c r="J638" s="40"/>
      <c r="K638" s="41"/>
    </row>
    <row r="639" spans="2:14" ht="15" customHeight="1" x14ac:dyDescent="0.2">
      <c r="B639" s="38"/>
      <c r="C639" s="380" t="s">
        <v>339</v>
      </c>
      <c r="D639" s="380"/>
      <c r="E639" s="380"/>
      <c r="F639" s="380"/>
      <c r="G639" s="380"/>
      <c r="H639" s="380"/>
      <c r="I639" s="380"/>
      <c r="J639" s="40"/>
      <c r="K639" s="41"/>
    </row>
    <row r="640" spans="2:14" x14ac:dyDescent="0.2">
      <c r="B640" s="38"/>
      <c r="C640" s="380"/>
      <c r="D640" s="380"/>
      <c r="E640" s="380"/>
      <c r="F640" s="380"/>
      <c r="G640" s="380"/>
      <c r="H640" s="380"/>
      <c r="I640" s="380"/>
      <c r="J640" s="250">
        <f>'Baseline Health'!G145</f>
        <v>0</v>
      </c>
      <c r="K640" s="41"/>
    </row>
    <row r="641" spans="2:14" ht="15" customHeight="1" x14ac:dyDescent="0.2">
      <c r="B641" s="38"/>
      <c r="C641" s="380" t="s">
        <v>340</v>
      </c>
      <c r="D641" s="380"/>
      <c r="E641" s="380"/>
      <c r="F641" s="380"/>
      <c r="G641" s="380"/>
      <c r="H641" s="380"/>
      <c r="I641" s="380"/>
      <c r="J641" s="245"/>
      <c r="K641" s="41"/>
    </row>
    <row r="642" spans="2:14" x14ac:dyDescent="0.2">
      <c r="B642" s="38"/>
      <c r="C642" s="380"/>
      <c r="D642" s="380"/>
      <c r="E642" s="380"/>
      <c r="F642" s="380"/>
      <c r="G642" s="380"/>
      <c r="H642" s="380"/>
      <c r="I642" s="380"/>
      <c r="J642" s="245"/>
      <c r="K642" s="41"/>
    </row>
    <row r="643" spans="2:14" x14ac:dyDescent="0.2">
      <c r="B643" s="38"/>
      <c r="C643" s="380"/>
      <c r="D643" s="380"/>
      <c r="E643" s="380"/>
      <c r="F643" s="380"/>
      <c r="G643" s="380"/>
      <c r="H643" s="380"/>
      <c r="I643" s="380"/>
      <c r="J643" s="272">
        <v>18.75</v>
      </c>
      <c r="K643" s="41"/>
    </row>
    <row r="644" spans="2:14" x14ac:dyDescent="0.2">
      <c r="B644" s="38"/>
      <c r="C644" s="40" t="s">
        <v>260</v>
      </c>
      <c r="D644" s="40"/>
      <c r="E644" s="40"/>
      <c r="F644" s="40"/>
      <c r="G644" s="40"/>
      <c r="H644" s="40"/>
      <c r="I644" s="40"/>
      <c r="J644" s="245" t="str">
        <f>IF(OR(J640=0,J640="Not Calculated")=TRUE,"Not Calculated",IF(((J640+J643)/J640)&lt;=1,0,IF(((J640+J643)/J640)&lt;=1.05,1,IF(((J640+J643)/J640)&lt;=1.5, 2,IF(((J640+J643)/J640)&lt;=2,3,4)))))</f>
        <v>Not Calculated</v>
      </c>
      <c r="K644" s="41"/>
    </row>
    <row r="645" spans="2:14" ht="9.75" customHeight="1" x14ac:dyDescent="0.2">
      <c r="B645" s="38"/>
      <c r="C645" s="279" t="str">
        <f>"0:"</f>
        <v>0:</v>
      </c>
      <c r="D645" s="281" t="s">
        <v>918</v>
      </c>
      <c r="E645" s="291"/>
      <c r="F645" s="291"/>
      <c r="G645" s="291"/>
      <c r="H645" s="291"/>
      <c r="I645" s="291"/>
      <c r="J645" s="250"/>
      <c r="K645" s="41"/>
    </row>
    <row r="646" spans="2:14" ht="9.75" customHeight="1" x14ac:dyDescent="0.2">
      <c r="B646" s="38"/>
      <c r="C646" s="280" t="str">
        <f>"1:"</f>
        <v>1:</v>
      </c>
      <c r="D646" s="281" t="s">
        <v>919</v>
      </c>
      <c r="E646" s="291"/>
      <c r="F646" s="291"/>
      <c r="G646" s="291"/>
      <c r="H646" s="291"/>
      <c r="I646" s="291"/>
      <c r="J646" s="250"/>
      <c r="K646" s="41"/>
    </row>
    <row r="647" spans="2:14" ht="9.75" customHeight="1" x14ac:dyDescent="0.2">
      <c r="B647" s="38"/>
      <c r="C647" s="280" t="str">
        <f>"2:"</f>
        <v>2:</v>
      </c>
      <c r="D647" s="281" t="s">
        <v>920</v>
      </c>
      <c r="E647" s="291"/>
      <c r="F647" s="291"/>
      <c r="G647" s="291"/>
      <c r="H647" s="291"/>
      <c r="I647" s="291"/>
      <c r="J647" s="250"/>
      <c r="K647" s="41"/>
    </row>
    <row r="648" spans="2:14" ht="9.75" customHeight="1" x14ac:dyDescent="0.2">
      <c r="B648" s="38"/>
      <c r="C648" s="280" t="str">
        <f>"3:"</f>
        <v>3:</v>
      </c>
      <c r="D648" s="281" t="s">
        <v>921</v>
      </c>
      <c r="E648" s="291"/>
      <c r="F648" s="291"/>
      <c r="G648" s="291"/>
      <c r="H648" s="291"/>
      <c r="I648" s="291"/>
      <c r="J648" s="250"/>
      <c r="K648" s="41"/>
    </row>
    <row r="649" spans="2:14" ht="9.75" customHeight="1" x14ac:dyDescent="0.2">
      <c r="B649" s="38"/>
      <c r="C649" s="280" t="str">
        <f>"4:"</f>
        <v>4:</v>
      </c>
      <c r="D649" s="281" t="s">
        <v>922</v>
      </c>
      <c r="E649" s="40"/>
      <c r="F649" s="40"/>
      <c r="G649" s="40"/>
      <c r="H649" s="40"/>
      <c r="I649" s="40"/>
      <c r="J649" s="40"/>
      <c r="K649" s="41"/>
      <c r="N649" s="12" t="s">
        <v>661</v>
      </c>
    </row>
    <row r="650" spans="2:14" x14ac:dyDescent="0.2">
      <c r="B650" s="38"/>
      <c r="C650" s="174" t="s">
        <v>662</v>
      </c>
      <c r="D650" s="40"/>
      <c r="E650" s="40"/>
      <c r="F650" s="40"/>
      <c r="G650" s="40"/>
      <c r="H650" s="40"/>
      <c r="I650" s="40"/>
      <c r="J650" s="265" t="s">
        <v>661</v>
      </c>
      <c r="K650" s="41"/>
      <c r="N650" s="12" t="s">
        <v>894</v>
      </c>
    </row>
    <row r="651" spans="2:14" x14ac:dyDescent="0.2">
      <c r="B651" s="38"/>
      <c r="C651" s="174" t="s">
        <v>660</v>
      </c>
      <c r="D651" s="40"/>
      <c r="E651" s="40"/>
      <c r="F651" s="40"/>
      <c r="G651" s="40"/>
      <c r="H651" s="40"/>
      <c r="I651" s="40"/>
      <c r="J651" s="247" t="str">
        <f>IF(J650=N649,"N/A",IF(J650=N650,0,IF(J650=N651,1,IF(J650=N652,2,IF(J650=N653,3,IF(J650=N654,4,"N/A"))))))</f>
        <v>N/A</v>
      </c>
      <c r="K651" s="41"/>
      <c r="N651" s="12" t="s">
        <v>895</v>
      </c>
    </row>
    <row r="652" spans="2:14" ht="15" customHeight="1" x14ac:dyDescent="0.2">
      <c r="B652" s="38"/>
      <c r="C652" s="40" t="s">
        <v>257</v>
      </c>
      <c r="D652" s="40"/>
      <c r="E652" s="40"/>
      <c r="F652" s="40"/>
      <c r="G652" s="40"/>
      <c r="H652" s="40"/>
      <c r="I652" s="40"/>
      <c r="J652" s="266" t="s">
        <v>872</v>
      </c>
      <c r="K652" s="41"/>
      <c r="N652" s="12" t="s">
        <v>896</v>
      </c>
    </row>
    <row r="653" spans="2:14" x14ac:dyDescent="0.2">
      <c r="B653" s="38"/>
      <c r="C653" s="40" t="s">
        <v>261</v>
      </c>
      <c r="D653" s="40"/>
      <c r="E653" s="40"/>
      <c r="F653" s="40"/>
      <c r="G653" s="40"/>
      <c r="H653" s="40"/>
      <c r="I653" s="40"/>
      <c r="J653" s="245">
        <f>IF(J652=$B$973,$A$973,IF(J652=$B$974,$A$974,IF(J652=$B$975,$A$975,IF(J652=$B$976,$A$976,IF(J652=$B$977,$A$977,"Not Calculated")))))</f>
        <v>2</v>
      </c>
      <c r="K653" s="41"/>
      <c r="N653" s="12" t="s">
        <v>897</v>
      </c>
    </row>
    <row r="654" spans="2:14" x14ac:dyDescent="0.2">
      <c r="B654" s="38"/>
      <c r="C654" s="40" t="s">
        <v>893</v>
      </c>
      <c r="D654" s="40"/>
      <c r="E654" s="40"/>
      <c r="F654" s="40"/>
      <c r="G654" s="40"/>
      <c r="H654" s="40"/>
      <c r="I654" s="40"/>
      <c r="J654" s="40"/>
      <c r="K654" s="41"/>
      <c r="N654" s="12" t="s">
        <v>898</v>
      </c>
    </row>
    <row r="655" spans="2:14" ht="45" customHeight="1" x14ac:dyDescent="0.2">
      <c r="B655" s="38"/>
      <c r="C655" s="399" t="s">
        <v>602</v>
      </c>
      <c r="D655" s="400"/>
      <c r="E655" s="400"/>
      <c r="F655" s="400"/>
      <c r="G655" s="400"/>
      <c r="H655" s="400"/>
      <c r="I655" s="400"/>
      <c r="J655" s="401"/>
      <c r="K655" s="41"/>
    </row>
    <row r="656" spans="2:14" x14ac:dyDescent="0.2">
      <c r="B656" s="38"/>
      <c r="C656" s="40"/>
      <c r="D656" s="40"/>
      <c r="E656" s="40"/>
      <c r="F656" s="40"/>
      <c r="G656" s="40"/>
      <c r="H656" s="40"/>
      <c r="I656" s="40"/>
      <c r="J656" s="40"/>
      <c r="K656" s="41"/>
    </row>
    <row r="657" spans="2:14" x14ac:dyDescent="0.2">
      <c r="B657" s="38"/>
      <c r="C657" s="179" t="s">
        <v>330</v>
      </c>
      <c r="D657" s="40"/>
      <c r="E657" s="40"/>
      <c r="F657" s="40"/>
      <c r="G657" s="40"/>
      <c r="H657" s="40"/>
      <c r="I657" s="40"/>
      <c r="J657" s="245" t="str">
        <f>IF(J651="N/A",IF(OR(J644="Not Calculated",J653="Not Calculated")=TRUE,"Not Calculated",AVERAGE(J644,J653)),AVERAGE(J651,J653))</f>
        <v>Not Calculated</v>
      </c>
      <c r="K657" s="41"/>
    </row>
    <row r="658" spans="2:14" x14ac:dyDescent="0.2">
      <c r="B658" s="38"/>
      <c r="C658" s="40"/>
      <c r="D658" s="40"/>
      <c r="E658" s="40"/>
      <c r="F658" s="40"/>
      <c r="G658" s="40"/>
      <c r="H658" s="40"/>
      <c r="I658" s="40"/>
      <c r="J658" s="40"/>
      <c r="K658" s="41"/>
    </row>
    <row r="659" spans="2:14" x14ac:dyDescent="0.2">
      <c r="B659" s="38"/>
      <c r="C659" s="40"/>
      <c r="D659" s="40"/>
      <c r="E659" s="40"/>
      <c r="F659" s="40"/>
      <c r="G659" s="40"/>
      <c r="H659" s="40"/>
      <c r="I659" s="40"/>
      <c r="J659" s="40"/>
      <c r="K659" s="41"/>
    </row>
    <row r="660" spans="2:14" ht="16" x14ac:dyDescent="0.2">
      <c r="B660" s="38"/>
      <c r="C660" s="45" t="s">
        <v>97</v>
      </c>
      <c r="D660" s="40"/>
      <c r="E660" s="40"/>
      <c r="F660" s="40"/>
      <c r="G660" s="40"/>
      <c r="H660" s="40"/>
      <c r="I660" s="40"/>
      <c r="J660" s="40"/>
      <c r="K660" s="41"/>
    </row>
    <row r="661" spans="2:14" x14ac:dyDescent="0.2">
      <c r="B661" s="38"/>
      <c r="C661" s="40" t="s">
        <v>449</v>
      </c>
      <c r="D661" s="40"/>
      <c r="E661" s="40"/>
      <c r="F661" s="40"/>
      <c r="G661" s="40"/>
      <c r="H661" s="40"/>
      <c r="I661" s="40"/>
      <c r="J661" s="263">
        <f>'Baseline Health'!G150</f>
        <v>0</v>
      </c>
      <c r="K661" s="41"/>
    </row>
    <row r="662" spans="2:14" x14ac:dyDescent="0.2">
      <c r="B662" s="38"/>
      <c r="C662" s="40" t="s">
        <v>341</v>
      </c>
      <c r="D662" s="40"/>
      <c r="E662" s="40"/>
      <c r="F662" s="40"/>
      <c r="G662" s="40"/>
      <c r="H662" s="40"/>
      <c r="I662" s="40"/>
      <c r="J662" s="273">
        <v>0</v>
      </c>
      <c r="K662" s="41"/>
    </row>
    <row r="663" spans="2:14" x14ac:dyDescent="0.2">
      <c r="B663" s="38"/>
      <c r="C663" s="40" t="s">
        <v>450</v>
      </c>
      <c r="D663" s="40"/>
      <c r="E663" s="40"/>
      <c r="F663" s="40"/>
      <c r="G663" s="40"/>
      <c r="H663" s="40"/>
      <c r="I663" s="40"/>
      <c r="J663" s="263">
        <f>J26</f>
        <v>0</v>
      </c>
      <c r="K663" s="41"/>
    </row>
    <row r="664" spans="2:14" ht="15" customHeight="1" x14ac:dyDescent="0.2">
      <c r="B664" s="38"/>
      <c r="C664" s="291"/>
      <c r="D664" s="380" t="s">
        <v>342</v>
      </c>
      <c r="E664" s="380"/>
      <c r="F664" s="380"/>
      <c r="G664" s="380"/>
      <c r="H664" s="380"/>
      <c r="I664" s="380"/>
      <c r="J664" s="245"/>
      <c r="K664" s="41"/>
    </row>
    <row r="665" spans="2:14" x14ac:dyDescent="0.2">
      <c r="B665" s="38"/>
      <c r="C665" s="291"/>
      <c r="D665" s="380"/>
      <c r="E665" s="380"/>
      <c r="F665" s="380"/>
      <c r="G665" s="380"/>
      <c r="H665" s="380"/>
      <c r="I665" s="380"/>
      <c r="J665" s="245"/>
      <c r="K665" s="41"/>
    </row>
    <row r="666" spans="2:14" x14ac:dyDescent="0.2">
      <c r="B666" s="38"/>
      <c r="C666" s="40" t="s">
        <v>260</v>
      </c>
      <c r="D666" s="40"/>
      <c r="E666" s="40"/>
      <c r="F666" s="40"/>
      <c r="G666" s="40"/>
      <c r="H666" s="40"/>
      <c r="I666" s="40"/>
      <c r="J666" s="245" t="str">
        <f>IF(OR(J661=0,J661="Not Calculated")=TRUE,"Not Calculated",IF(((J661+J663)/(J661-J662))&lt;=1,0,IF(((J661+J663)/(J661-J662))&lt;=1.1,1,IF(((J661+J663)/(J661-J662))&lt;=1.5, 2,IF(((J661+J663)/(J661-J662))&lt;=2,3,4)))))</f>
        <v>Not Calculated</v>
      </c>
      <c r="K666" s="41"/>
    </row>
    <row r="667" spans="2:14" ht="9.75" customHeight="1" x14ac:dyDescent="0.2">
      <c r="B667" s="38"/>
      <c r="C667" s="279" t="str">
        <f>"0:"</f>
        <v>0:</v>
      </c>
      <c r="D667" s="278" t="s">
        <v>918</v>
      </c>
      <c r="E667" s="291"/>
      <c r="F667" s="291"/>
      <c r="G667" s="291"/>
      <c r="H667" s="291"/>
      <c r="I667" s="291"/>
      <c r="J667" s="245"/>
      <c r="K667" s="41"/>
    </row>
    <row r="668" spans="2:14" ht="9.75" customHeight="1" x14ac:dyDescent="0.2">
      <c r="B668" s="38"/>
      <c r="C668" s="280" t="str">
        <f>"1:"</f>
        <v>1:</v>
      </c>
      <c r="D668" s="278" t="s">
        <v>923</v>
      </c>
      <c r="E668" s="291"/>
      <c r="F668" s="291"/>
      <c r="G668" s="291"/>
      <c r="H668" s="291"/>
      <c r="I668" s="291"/>
      <c r="J668" s="245"/>
      <c r="K668" s="41"/>
    </row>
    <row r="669" spans="2:14" ht="9.75" customHeight="1" x14ac:dyDescent="0.2">
      <c r="B669" s="38"/>
      <c r="C669" s="280" t="str">
        <f>"2:"</f>
        <v>2:</v>
      </c>
      <c r="D669" s="278" t="s">
        <v>924</v>
      </c>
      <c r="E669" s="291"/>
      <c r="F669" s="291"/>
      <c r="G669" s="291"/>
      <c r="H669" s="291"/>
      <c r="I669" s="291"/>
      <c r="J669" s="245"/>
      <c r="K669" s="41"/>
    </row>
    <row r="670" spans="2:14" ht="9.75" customHeight="1" x14ac:dyDescent="0.2">
      <c r="B670" s="38"/>
      <c r="C670" s="280" t="str">
        <f>"3:"</f>
        <v>3:</v>
      </c>
      <c r="D670" s="278" t="s">
        <v>925</v>
      </c>
      <c r="E670" s="291"/>
      <c r="F670" s="291"/>
      <c r="G670" s="291"/>
      <c r="H670" s="291"/>
      <c r="I670" s="291"/>
      <c r="J670" s="245"/>
      <c r="K670" s="41"/>
    </row>
    <row r="671" spans="2:14" ht="9.75" customHeight="1" x14ac:dyDescent="0.2">
      <c r="B671" s="38"/>
      <c r="C671" s="280" t="str">
        <f>"4:"</f>
        <v>4:</v>
      </c>
      <c r="D671" s="278" t="s">
        <v>926</v>
      </c>
      <c r="E671" s="40"/>
      <c r="F671" s="40"/>
      <c r="G671" s="40"/>
      <c r="H671" s="40"/>
      <c r="I671" s="40"/>
      <c r="J671" s="40"/>
      <c r="K671" s="41"/>
      <c r="N671" s="12" t="s">
        <v>661</v>
      </c>
    </row>
    <row r="672" spans="2:14" ht="15" customHeight="1" x14ac:dyDescent="0.2">
      <c r="B672" s="38"/>
      <c r="C672" s="174" t="s">
        <v>662</v>
      </c>
      <c r="D672" s="40"/>
      <c r="E672" s="40"/>
      <c r="F672" s="40"/>
      <c r="G672" s="40"/>
      <c r="H672" s="40"/>
      <c r="I672" s="40"/>
      <c r="J672" s="265" t="s">
        <v>661</v>
      </c>
      <c r="K672" s="41"/>
      <c r="N672" s="12" t="s">
        <v>894</v>
      </c>
    </row>
    <row r="673" spans="2:14" ht="15" customHeight="1" x14ac:dyDescent="0.2">
      <c r="B673" s="38"/>
      <c r="C673" s="174" t="s">
        <v>660</v>
      </c>
      <c r="D673" s="40"/>
      <c r="E673" s="40"/>
      <c r="F673" s="40"/>
      <c r="G673" s="40"/>
      <c r="H673" s="40"/>
      <c r="I673" s="40"/>
      <c r="J673" s="246" t="str">
        <f>IF(J672=N671,"N/A",IF(J672=N672,0,IF(J672=N673,1,IF(J672=N674,2,IF(J672=N675,3,IF(J672=N676,4,"N/A"))))))</f>
        <v>N/A</v>
      </c>
      <c r="K673" s="41"/>
      <c r="N673" s="12" t="s">
        <v>908</v>
      </c>
    </row>
    <row r="674" spans="2:14" ht="15" customHeight="1" x14ac:dyDescent="0.2">
      <c r="B674" s="38"/>
      <c r="C674" s="40" t="s">
        <v>257</v>
      </c>
      <c r="D674" s="40"/>
      <c r="E674" s="40"/>
      <c r="F674" s="40"/>
      <c r="G674" s="40"/>
      <c r="H674" s="40"/>
      <c r="I674" s="40"/>
      <c r="J674" s="266" t="s">
        <v>870</v>
      </c>
      <c r="K674" s="41"/>
      <c r="N674" s="12" t="s">
        <v>900</v>
      </c>
    </row>
    <row r="675" spans="2:14" x14ac:dyDescent="0.2">
      <c r="B675" s="38"/>
      <c r="C675" s="40" t="s">
        <v>261</v>
      </c>
      <c r="D675" s="40"/>
      <c r="E675" s="40"/>
      <c r="F675" s="40"/>
      <c r="G675" s="40"/>
      <c r="H675" s="40"/>
      <c r="I675" s="40"/>
      <c r="J675" s="245">
        <f>IF(J674=$B$973,$A$973,IF(J674=$B$974,$A$974,IF(J674=$B$975,$A$975,IF(J674=$B$976,$A$976,IF(J674=$B$977,$A$977,"Not Calculated")))))</f>
        <v>0</v>
      </c>
      <c r="K675" s="41"/>
      <c r="N675" s="12" t="s">
        <v>901</v>
      </c>
    </row>
    <row r="676" spans="2:14" ht="15" customHeight="1" x14ac:dyDescent="0.2">
      <c r="B676" s="38"/>
      <c r="C676" s="40" t="s">
        <v>893</v>
      </c>
      <c r="D676" s="40"/>
      <c r="E676" s="40"/>
      <c r="F676" s="40"/>
      <c r="G676" s="40"/>
      <c r="H676" s="40"/>
      <c r="I676" s="40"/>
      <c r="J676" s="40"/>
      <c r="K676" s="41"/>
      <c r="N676" s="12" t="s">
        <v>909</v>
      </c>
    </row>
    <row r="677" spans="2:14" ht="30" customHeight="1" x14ac:dyDescent="0.2">
      <c r="B677" s="38"/>
      <c r="C677" s="399"/>
      <c r="D677" s="400"/>
      <c r="E677" s="400"/>
      <c r="F677" s="400"/>
      <c r="G677" s="400"/>
      <c r="H677" s="400"/>
      <c r="I677" s="400"/>
      <c r="J677" s="401"/>
      <c r="K677" s="41"/>
    </row>
    <row r="678" spans="2:14" x14ac:dyDescent="0.2">
      <c r="B678" s="38"/>
      <c r="C678" s="40"/>
      <c r="D678" s="40"/>
      <c r="E678" s="40"/>
      <c r="F678" s="40"/>
      <c r="G678" s="40"/>
      <c r="H678" s="40"/>
      <c r="I678" s="40"/>
      <c r="J678" s="40"/>
      <c r="K678" s="41"/>
    </row>
    <row r="679" spans="2:14" x14ac:dyDescent="0.2">
      <c r="B679" s="38"/>
      <c r="C679" s="179" t="s">
        <v>331</v>
      </c>
      <c r="D679" s="40"/>
      <c r="E679" s="40"/>
      <c r="F679" s="40"/>
      <c r="G679" s="40"/>
      <c r="H679" s="40"/>
      <c r="I679" s="40"/>
      <c r="J679" s="245" t="str">
        <f>IF(J673="N/A",IF(OR(J666="Not Calculated",J675="Not Calculated")=TRUE,"Not Calculated",AVERAGE(J666,J675)),AVERAGE(J673,J675))</f>
        <v>Not Calculated</v>
      </c>
      <c r="K679" s="41"/>
    </row>
    <row r="680" spans="2:14" x14ac:dyDescent="0.2">
      <c r="B680" s="38"/>
      <c r="C680" s="40"/>
      <c r="D680" s="40"/>
      <c r="E680" s="40"/>
      <c r="F680" s="40"/>
      <c r="G680" s="40"/>
      <c r="H680" s="40"/>
      <c r="I680" s="40"/>
      <c r="J680" s="40"/>
      <c r="K680" s="41"/>
    </row>
    <row r="681" spans="2:14" ht="18" x14ac:dyDescent="0.2">
      <c r="B681" s="38"/>
      <c r="C681" s="180" t="s">
        <v>332</v>
      </c>
      <c r="D681" s="40"/>
      <c r="E681" s="40"/>
      <c r="F681" s="40"/>
      <c r="G681" s="40"/>
      <c r="H681" s="40"/>
      <c r="I681" s="40"/>
      <c r="J681" s="244" t="str">
        <f>IF(OR(J562="Not Calculated",J585="Not Calculated",J601="Not Calculated",J615="Not Calculated",J635="Not Calculated",J657="Not Calculated",J679="Not Calculated")=TRUE,"Not Calculated",AVERAGE(J562,J585,J601,J615,J635,J657,J679))</f>
        <v>Not Calculated</v>
      </c>
      <c r="K681" s="41"/>
    </row>
    <row r="682" spans="2:14" ht="16" thickBot="1" x14ac:dyDescent="0.25">
      <c r="B682" s="46"/>
      <c r="C682" s="47"/>
      <c r="D682" s="47"/>
      <c r="E682" s="47"/>
      <c r="F682" s="47"/>
      <c r="G682" s="47"/>
      <c r="H682" s="47"/>
      <c r="I682" s="47"/>
      <c r="J682" s="47"/>
      <c r="K682" s="49"/>
    </row>
    <row r="683" spans="2:14" ht="16" thickBot="1" x14ac:dyDescent="0.25"/>
    <row r="684" spans="2:14" x14ac:dyDescent="0.2">
      <c r="B684" s="33"/>
      <c r="C684" s="34"/>
      <c r="D684" s="34"/>
      <c r="E684" s="34"/>
      <c r="F684" s="34"/>
      <c r="G684" s="34"/>
      <c r="H684" s="34"/>
      <c r="I684" s="34"/>
      <c r="J684" s="34"/>
      <c r="K684" s="37"/>
    </row>
    <row r="685" spans="2:14" ht="21" x14ac:dyDescent="0.25">
      <c r="B685" s="38"/>
      <c r="C685" s="40"/>
      <c r="D685" s="40"/>
      <c r="E685" s="40"/>
      <c r="F685" s="40"/>
      <c r="G685" s="172" t="s">
        <v>346</v>
      </c>
      <c r="H685" s="40"/>
      <c r="I685" s="40"/>
      <c r="J685" s="40"/>
      <c r="K685" s="41"/>
    </row>
    <row r="686" spans="2:14" x14ac:dyDescent="0.2">
      <c r="B686" s="38"/>
      <c r="C686" s="40"/>
      <c r="D686" s="40"/>
      <c r="E686" s="40"/>
      <c r="F686" s="40"/>
      <c r="G686" s="40"/>
      <c r="H686" s="40"/>
      <c r="I686" s="40"/>
      <c r="J686" s="40"/>
      <c r="K686" s="41"/>
    </row>
    <row r="687" spans="2:14" ht="16" x14ac:dyDescent="0.2">
      <c r="B687" s="38"/>
      <c r="C687" s="182" t="s">
        <v>986</v>
      </c>
      <c r="D687" s="40"/>
      <c r="E687" s="40"/>
      <c r="F687" s="40"/>
      <c r="G687" s="40"/>
      <c r="H687" s="40"/>
      <c r="I687" s="40"/>
      <c r="J687" s="257" t="str">
        <f>IF(OR($J$133="Not Calculated",$J$261="Not Calculated",$J$421="Not Calculated",$J$539="Not Calculated",$J$681="Not Calculated")=TRUE,"Not Calculated",AVERAGE($J$133,$J$261,$J$421,$J$539,$J$681))</f>
        <v>Not Calculated</v>
      </c>
      <c r="K687" s="41"/>
    </row>
    <row r="688" spans="2:14" x14ac:dyDescent="0.2">
      <c r="B688" s="38"/>
      <c r="C688" s="40"/>
      <c r="D688" s="40" t="s">
        <v>343</v>
      </c>
      <c r="E688" s="40"/>
      <c r="F688" s="40"/>
      <c r="G688" s="40"/>
      <c r="H688" s="40"/>
      <c r="I688" s="40"/>
      <c r="J688" s="40"/>
      <c r="K688" s="41"/>
    </row>
    <row r="689" spans="2:11" ht="15" customHeight="1" x14ac:dyDescent="0.2">
      <c r="B689" s="38"/>
      <c r="C689" s="40"/>
      <c r="D689" s="40"/>
      <c r="E689" s="40"/>
      <c r="F689" s="40"/>
      <c r="G689" s="40"/>
      <c r="H689" s="40"/>
      <c r="I689" s="40"/>
      <c r="J689" s="40"/>
      <c r="K689" s="41"/>
    </row>
    <row r="690" spans="2:11" ht="16" x14ac:dyDescent="0.2">
      <c r="B690" s="38"/>
      <c r="C690" s="182" t="s">
        <v>987</v>
      </c>
      <c r="D690" s="40"/>
      <c r="E690" s="40"/>
      <c r="F690" s="40"/>
      <c r="G690" s="40"/>
      <c r="H690" s="40"/>
      <c r="I690" s="40"/>
      <c r="J690" s="257" t="str">
        <f>IF(OR($J$133="Not Calculated",$J$261="Not Calculated",$J$539="Not Calculated",$J$681="Not Calculated")=TRUE,"Not Calculated",AVERAGE($J$133,$J$261,$J$539,$J$681))</f>
        <v>Not Calculated</v>
      </c>
      <c r="K690" s="41"/>
    </row>
    <row r="691" spans="2:11" ht="15" customHeight="1" x14ac:dyDescent="0.2">
      <c r="B691" s="38"/>
      <c r="C691" s="40"/>
      <c r="D691" s="40" t="s">
        <v>344</v>
      </c>
      <c r="E691" s="40"/>
      <c r="F691" s="40"/>
      <c r="G691" s="40"/>
      <c r="H691" s="40"/>
      <c r="I691" s="40"/>
      <c r="J691" s="40"/>
      <c r="K691" s="41"/>
    </row>
    <row r="692" spans="2:11" x14ac:dyDescent="0.2">
      <c r="B692" s="38"/>
      <c r="C692" s="40"/>
      <c r="D692" s="40"/>
      <c r="E692" s="40"/>
      <c r="F692" s="40"/>
      <c r="G692" s="40"/>
      <c r="H692" s="40"/>
      <c r="I692" s="40"/>
      <c r="J692" s="40"/>
      <c r="K692" s="41"/>
    </row>
    <row r="693" spans="2:11" ht="16" x14ac:dyDescent="0.2">
      <c r="B693" s="38"/>
      <c r="C693" s="182" t="s">
        <v>988</v>
      </c>
      <c r="D693" s="40"/>
      <c r="E693" s="40"/>
      <c r="F693" s="40"/>
      <c r="G693" s="40"/>
      <c r="H693" s="40"/>
      <c r="I693" s="40"/>
      <c r="J693" s="257" t="str">
        <f>IF(OR($J$133="Not Calculated",$J$261="Not Calculated",$J$421="Not Calculated")=TRUE,"Not Calculated",AVERAGE($J$133,$J$261,$J$421))</f>
        <v>Not Calculated</v>
      </c>
      <c r="K693" s="41"/>
    </row>
    <row r="694" spans="2:11" x14ac:dyDescent="0.2">
      <c r="B694" s="38"/>
      <c r="C694" s="40"/>
      <c r="D694" s="40" t="s">
        <v>345</v>
      </c>
      <c r="E694" s="40"/>
      <c r="F694" s="40"/>
      <c r="G694" s="40"/>
      <c r="H694" s="40"/>
      <c r="I694" s="40"/>
      <c r="J694" s="40"/>
      <c r="K694" s="41"/>
    </row>
    <row r="695" spans="2:11" ht="16" thickBot="1" x14ac:dyDescent="0.25">
      <c r="B695" s="46"/>
      <c r="C695" s="47"/>
      <c r="D695" s="47"/>
      <c r="E695" s="47"/>
      <c r="F695" s="47"/>
      <c r="G695" s="47"/>
      <c r="H695" s="47"/>
      <c r="I695" s="47"/>
      <c r="J695" s="47"/>
      <c r="K695" s="49"/>
    </row>
    <row r="696" spans="2:11" ht="16" thickBot="1" x14ac:dyDescent="0.25"/>
    <row r="697" spans="2:11" x14ac:dyDescent="0.2">
      <c r="B697" s="183"/>
      <c r="C697" s="184"/>
      <c r="D697" s="184"/>
      <c r="E697" s="184"/>
      <c r="F697" s="184"/>
      <c r="G697" s="184"/>
      <c r="H697" s="184"/>
      <c r="I697" s="184"/>
      <c r="J697" s="184"/>
      <c r="K697" s="185"/>
    </row>
    <row r="698" spans="2:11" ht="21" x14ac:dyDescent="0.25">
      <c r="B698" s="186"/>
      <c r="C698" s="187"/>
      <c r="D698" s="187"/>
      <c r="E698" s="187"/>
      <c r="F698" s="187"/>
      <c r="G698" s="188" t="s">
        <v>231</v>
      </c>
      <c r="H698" s="187"/>
      <c r="I698" s="187"/>
      <c r="J698" s="187"/>
      <c r="K698" s="189"/>
    </row>
    <row r="699" spans="2:11" x14ac:dyDescent="0.2">
      <c r="B699" s="186"/>
      <c r="C699" s="187"/>
      <c r="D699" s="187"/>
      <c r="E699" s="187"/>
      <c r="F699" s="187"/>
      <c r="G699" s="187"/>
      <c r="H699" s="187"/>
      <c r="I699" s="187"/>
      <c r="J699" s="187"/>
      <c r="K699" s="189"/>
    </row>
    <row r="700" spans="2:11" ht="16" x14ac:dyDescent="0.2">
      <c r="B700" s="186"/>
      <c r="C700" s="190" t="s">
        <v>989</v>
      </c>
      <c r="D700" s="187"/>
      <c r="E700" s="187"/>
      <c r="F700" s="187"/>
      <c r="G700" s="187"/>
      <c r="H700" s="187"/>
      <c r="I700" s="187"/>
      <c r="J700" s="256" t="str">
        <f>IF(OR(J687="Not Calculated",$E$17="Not Calculated")=TRUE,"Not Calculated",(J687*$E$17*100/16))</f>
        <v>Not Calculated</v>
      </c>
      <c r="K700" s="189"/>
    </row>
    <row r="701" spans="2:11" x14ac:dyDescent="0.2">
      <c r="B701" s="186"/>
      <c r="C701" s="187"/>
      <c r="D701" s="187" t="s">
        <v>377</v>
      </c>
      <c r="E701" s="187"/>
      <c r="F701" s="187"/>
      <c r="G701" s="187"/>
      <c r="H701" s="187"/>
      <c r="I701" s="187"/>
      <c r="J701" s="187"/>
      <c r="K701" s="189"/>
    </row>
    <row r="702" spans="2:11" x14ac:dyDescent="0.2">
      <c r="B702" s="186"/>
      <c r="C702" s="187"/>
      <c r="D702" s="187"/>
      <c r="E702" s="187"/>
      <c r="F702" s="187"/>
      <c r="G702" s="187"/>
      <c r="H702" s="187"/>
      <c r="I702" s="187"/>
      <c r="J702" s="187"/>
      <c r="K702" s="189"/>
    </row>
    <row r="703" spans="2:11" ht="16" x14ac:dyDescent="0.2">
      <c r="B703" s="186"/>
      <c r="C703" s="190" t="s">
        <v>990</v>
      </c>
      <c r="D703" s="187"/>
      <c r="E703" s="187"/>
      <c r="F703" s="187"/>
      <c r="G703" s="187"/>
      <c r="H703" s="187"/>
      <c r="I703" s="187"/>
      <c r="J703" s="256" t="str">
        <f>IF(OR(J690="Not Calculated",$E$17="Not Calculated")=TRUE,"Not Calculated",(J690*$E$17*100/16))</f>
        <v>Not Calculated</v>
      </c>
      <c r="K703" s="189"/>
    </row>
    <row r="704" spans="2:11" x14ac:dyDescent="0.2">
      <c r="B704" s="186"/>
      <c r="C704" s="187"/>
      <c r="D704" s="187" t="s">
        <v>378</v>
      </c>
      <c r="E704" s="187"/>
      <c r="F704" s="187"/>
      <c r="G704" s="187"/>
      <c r="H704" s="187"/>
      <c r="I704" s="187"/>
      <c r="J704" s="187"/>
      <c r="K704" s="189"/>
    </row>
    <row r="705" spans="2:11" x14ac:dyDescent="0.2">
      <c r="B705" s="186"/>
      <c r="C705" s="187"/>
      <c r="D705" s="187"/>
      <c r="E705" s="187"/>
      <c r="F705" s="187"/>
      <c r="G705" s="187"/>
      <c r="H705" s="187"/>
      <c r="I705" s="187"/>
      <c r="J705" s="187"/>
      <c r="K705" s="189"/>
    </row>
    <row r="706" spans="2:11" ht="16" x14ac:dyDescent="0.2">
      <c r="B706" s="186"/>
      <c r="C706" s="190" t="s">
        <v>991</v>
      </c>
      <c r="D706" s="187"/>
      <c r="E706" s="187"/>
      <c r="F706" s="187"/>
      <c r="G706" s="187"/>
      <c r="H706" s="187"/>
      <c r="I706" s="187"/>
      <c r="J706" s="256" t="str">
        <f>IF(OR(J693="Not Calculated",$E$17="Not Calculated")=TRUE,"Not Calculated",(J693*$E$17*100/16))</f>
        <v>Not Calculated</v>
      </c>
      <c r="K706" s="189"/>
    </row>
    <row r="707" spans="2:11" x14ac:dyDescent="0.2">
      <c r="B707" s="186"/>
      <c r="C707" s="187"/>
      <c r="D707" s="187" t="s">
        <v>379</v>
      </c>
      <c r="E707" s="187"/>
      <c r="F707" s="187"/>
      <c r="G707" s="187"/>
      <c r="H707" s="187"/>
      <c r="I707" s="187"/>
      <c r="J707" s="187"/>
      <c r="K707" s="189"/>
    </row>
    <row r="708" spans="2:11" ht="16" thickBot="1" x14ac:dyDescent="0.25">
      <c r="B708" s="191"/>
      <c r="C708" s="192"/>
      <c r="D708" s="192"/>
      <c r="E708" s="192"/>
      <c r="F708" s="192"/>
      <c r="G708" s="192"/>
      <c r="H708" s="192"/>
      <c r="I708" s="192"/>
      <c r="J708" s="192"/>
      <c r="K708" s="193"/>
    </row>
    <row r="709" spans="2:11" ht="16" thickBot="1" x14ac:dyDescent="0.25"/>
    <row r="710" spans="2:11" x14ac:dyDescent="0.2">
      <c r="B710" s="53"/>
      <c r="C710" s="54"/>
      <c r="D710" s="54"/>
      <c r="E710" s="54"/>
      <c r="F710" s="54"/>
      <c r="G710" s="54"/>
      <c r="H710" s="54"/>
      <c r="I710" s="54"/>
      <c r="J710" s="54"/>
      <c r="K710" s="56"/>
    </row>
    <row r="711" spans="2:11" ht="21" x14ac:dyDescent="0.25">
      <c r="B711" s="57"/>
      <c r="C711" s="59"/>
      <c r="D711" s="59"/>
      <c r="E711" s="59"/>
      <c r="F711" s="59"/>
      <c r="G711" s="194" t="s">
        <v>232</v>
      </c>
      <c r="H711" s="59"/>
      <c r="I711" s="59"/>
      <c r="J711" s="59"/>
      <c r="K711" s="61"/>
    </row>
    <row r="712" spans="2:11" x14ac:dyDescent="0.2">
      <c r="B712" s="57"/>
      <c r="C712" s="59"/>
      <c r="D712" s="59"/>
      <c r="E712" s="59"/>
      <c r="F712" s="59"/>
      <c r="G712" s="59"/>
      <c r="H712" s="59"/>
      <c r="I712" s="59"/>
      <c r="J712" s="59"/>
      <c r="K712" s="61"/>
    </row>
    <row r="713" spans="2:11" ht="16" x14ac:dyDescent="0.2">
      <c r="B713" s="57"/>
      <c r="C713" s="195" t="s">
        <v>363</v>
      </c>
      <c r="D713" s="59"/>
      <c r="E713" s="59"/>
      <c r="F713" s="59"/>
      <c r="G713" s="59"/>
      <c r="H713" s="59"/>
      <c r="I713" s="59"/>
      <c r="J713" s="59"/>
      <c r="K713" s="61"/>
    </row>
    <row r="714" spans="2:11" ht="15" customHeight="1" x14ac:dyDescent="0.2">
      <c r="B714" s="57"/>
      <c r="C714" s="411" t="s">
        <v>364</v>
      </c>
      <c r="D714" s="411"/>
      <c r="E714" s="411"/>
      <c r="F714" s="411"/>
      <c r="G714" s="411"/>
      <c r="H714" s="411"/>
      <c r="I714" s="411"/>
      <c r="J714" s="411"/>
      <c r="K714" s="61"/>
    </row>
    <row r="715" spans="2:11" x14ac:dyDescent="0.2">
      <c r="B715" s="57"/>
      <c r="C715" s="411"/>
      <c r="D715" s="411"/>
      <c r="E715" s="411"/>
      <c r="F715" s="411"/>
      <c r="G715" s="411"/>
      <c r="H715" s="411"/>
      <c r="I715" s="411"/>
      <c r="J715" s="411"/>
      <c r="K715" s="61"/>
    </row>
    <row r="716" spans="2:11" x14ac:dyDescent="0.2">
      <c r="B716" s="57"/>
      <c r="C716" s="411"/>
      <c r="D716" s="411"/>
      <c r="E716" s="411"/>
      <c r="F716" s="411"/>
      <c r="G716" s="411"/>
      <c r="H716" s="411"/>
      <c r="I716" s="411"/>
      <c r="J716" s="411"/>
      <c r="K716" s="61"/>
    </row>
    <row r="717" spans="2:11" x14ac:dyDescent="0.2">
      <c r="B717" s="57"/>
      <c r="C717" s="196" t="s">
        <v>30</v>
      </c>
      <c r="D717" s="59"/>
      <c r="E717" s="59"/>
      <c r="F717" s="59"/>
      <c r="G717" s="431" t="s">
        <v>190</v>
      </c>
      <c r="H717" s="431"/>
      <c r="I717" s="59"/>
      <c r="J717" s="260">
        <f>IF(G717=$B$994,$A$994,IF(G717=$B$995,$A$995,"Not Calculated"))</f>
        <v>1</v>
      </c>
      <c r="K717" s="61"/>
    </row>
    <row r="718" spans="2:11" x14ac:dyDescent="0.2">
      <c r="B718" s="57"/>
      <c r="C718" s="196" t="s">
        <v>32</v>
      </c>
      <c r="D718" s="59"/>
      <c r="E718" s="59"/>
      <c r="F718" s="59"/>
      <c r="G718" s="431" t="s">
        <v>190</v>
      </c>
      <c r="H718" s="431"/>
      <c r="I718" s="59"/>
      <c r="J718" s="260">
        <f t="shared" ref="J718:J725" si="0">IF(G718=$B$994,$A$994,IF(G718=$B$995,$A$995,"Not Calculated"))</f>
        <v>1</v>
      </c>
      <c r="K718" s="61"/>
    </row>
    <row r="719" spans="2:11" x14ac:dyDescent="0.2">
      <c r="B719" s="57"/>
      <c r="C719" s="196" t="s">
        <v>34</v>
      </c>
      <c r="D719" s="59"/>
      <c r="E719" s="59"/>
      <c r="F719" s="59"/>
      <c r="G719" s="431" t="s">
        <v>202</v>
      </c>
      <c r="H719" s="431"/>
      <c r="I719" s="59"/>
      <c r="J719" s="260">
        <f t="shared" si="0"/>
        <v>0</v>
      </c>
      <c r="K719" s="61"/>
    </row>
    <row r="720" spans="2:11" x14ac:dyDescent="0.2">
      <c r="B720" s="57"/>
      <c r="C720" s="196" t="s">
        <v>35</v>
      </c>
      <c r="D720" s="59"/>
      <c r="E720" s="59"/>
      <c r="F720" s="59"/>
      <c r="G720" s="431" t="s">
        <v>190</v>
      </c>
      <c r="H720" s="431"/>
      <c r="I720" s="59"/>
      <c r="J720" s="260">
        <f t="shared" si="0"/>
        <v>1</v>
      </c>
      <c r="K720" s="61"/>
    </row>
    <row r="721" spans="2:11" x14ac:dyDescent="0.2">
      <c r="B721" s="57"/>
      <c r="C721" s="196" t="s">
        <v>37</v>
      </c>
      <c r="D721" s="59"/>
      <c r="E721" s="59"/>
      <c r="F721" s="59"/>
      <c r="G721" s="431" t="s">
        <v>190</v>
      </c>
      <c r="H721" s="431"/>
      <c r="I721" s="59"/>
      <c r="J721" s="260">
        <f t="shared" si="0"/>
        <v>1</v>
      </c>
      <c r="K721" s="61"/>
    </row>
    <row r="722" spans="2:11" x14ac:dyDescent="0.2">
      <c r="B722" s="57"/>
      <c r="C722" s="196" t="s">
        <v>38</v>
      </c>
      <c r="D722" s="59"/>
      <c r="E722" s="59"/>
      <c r="F722" s="59"/>
      <c r="G722" s="431" t="s">
        <v>190</v>
      </c>
      <c r="H722" s="431"/>
      <c r="I722" s="59"/>
      <c r="J722" s="260">
        <f t="shared" si="0"/>
        <v>1</v>
      </c>
      <c r="K722" s="61"/>
    </row>
    <row r="723" spans="2:11" x14ac:dyDescent="0.2">
      <c r="B723" s="57"/>
      <c r="C723" s="196" t="s">
        <v>40</v>
      </c>
      <c r="D723" s="59"/>
      <c r="E723" s="59"/>
      <c r="F723" s="59"/>
      <c r="G723" s="431" t="s">
        <v>202</v>
      </c>
      <c r="H723" s="431"/>
      <c r="I723" s="59"/>
      <c r="J723" s="260">
        <f t="shared" si="0"/>
        <v>0</v>
      </c>
      <c r="K723" s="61"/>
    </row>
    <row r="724" spans="2:11" x14ac:dyDescent="0.2">
      <c r="B724" s="57"/>
      <c r="C724" s="196" t="s">
        <v>41</v>
      </c>
      <c r="D724" s="59"/>
      <c r="E724" s="59"/>
      <c r="F724" s="59"/>
      <c r="G724" s="431" t="s">
        <v>190</v>
      </c>
      <c r="H724" s="431"/>
      <c r="I724" s="59"/>
      <c r="J724" s="260">
        <f t="shared" si="0"/>
        <v>1</v>
      </c>
      <c r="K724" s="61"/>
    </row>
    <row r="725" spans="2:11" x14ac:dyDescent="0.2">
      <c r="B725" s="57"/>
      <c r="C725" s="196" t="s">
        <v>43</v>
      </c>
      <c r="D725" s="59"/>
      <c r="E725" s="59"/>
      <c r="F725" s="59"/>
      <c r="G725" s="431" t="s">
        <v>202</v>
      </c>
      <c r="H725" s="431"/>
      <c r="I725" s="59"/>
      <c r="J725" s="260">
        <f t="shared" si="0"/>
        <v>0</v>
      </c>
      <c r="K725" s="61"/>
    </row>
    <row r="726" spans="2:11" x14ac:dyDescent="0.2">
      <c r="B726" s="57"/>
      <c r="C726" s="59"/>
      <c r="D726" s="59"/>
      <c r="E726" s="59"/>
      <c r="F726" s="59"/>
      <c r="G726" s="59"/>
      <c r="H726" s="59"/>
      <c r="I726" s="59"/>
      <c r="J726" s="59"/>
      <c r="K726" s="61"/>
    </row>
    <row r="727" spans="2:11" x14ac:dyDescent="0.2">
      <c r="B727" s="57"/>
      <c r="C727" s="59"/>
      <c r="D727" s="59"/>
      <c r="E727" s="59"/>
      <c r="F727" s="59"/>
      <c r="G727" s="59"/>
      <c r="H727" s="59"/>
      <c r="I727" s="59"/>
      <c r="J727" s="59"/>
      <c r="K727" s="61"/>
    </row>
    <row r="728" spans="2:11" ht="16" x14ac:dyDescent="0.2">
      <c r="B728" s="57"/>
      <c r="C728" s="195" t="s">
        <v>115</v>
      </c>
      <c r="D728" s="59"/>
      <c r="E728" s="59"/>
      <c r="F728" s="59"/>
      <c r="G728" s="59"/>
      <c r="H728" s="59"/>
      <c r="I728" s="59"/>
      <c r="J728" s="59"/>
      <c r="K728" s="61"/>
    </row>
    <row r="729" spans="2:11" ht="15" customHeight="1" x14ac:dyDescent="0.2">
      <c r="B729" s="57"/>
      <c r="C729" s="411" t="s">
        <v>365</v>
      </c>
      <c r="D729" s="411"/>
      <c r="E729" s="411"/>
      <c r="F729" s="411"/>
      <c r="G729" s="411"/>
      <c r="H729" s="411"/>
      <c r="I729" s="411"/>
      <c r="J729" s="411"/>
      <c r="K729" s="61"/>
    </row>
    <row r="730" spans="2:11" x14ac:dyDescent="0.2">
      <c r="B730" s="57"/>
      <c r="C730" s="411"/>
      <c r="D730" s="411"/>
      <c r="E730" s="411"/>
      <c r="F730" s="411"/>
      <c r="G730" s="411"/>
      <c r="H730" s="411"/>
      <c r="I730" s="411"/>
      <c r="J730" s="411"/>
      <c r="K730" s="61"/>
    </row>
    <row r="731" spans="2:11" x14ac:dyDescent="0.2">
      <c r="B731" s="57"/>
      <c r="C731" s="411"/>
      <c r="D731" s="411"/>
      <c r="E731" s="411"/>
      <c r="F731" s="411"/>
      <c r="G731" s="411"/>
      <c r="H731" s="411"/>
      <c r="I731" s="411"/>
      <c r="J731" s="411"/>
      <c r="K731" s="61"/>
    </row>
    <row r="732" spans="2:11" x14ac:dyDescent="0.2">
      <c r="B732" s="57"/>
      <c r="C732" s="196" t="s">
        <v>30</v>
      </c>
      <c r="D732" s="59"/>
      <c r="E732" s="59"/>
      <c r="F732" s="59"/>
      <c r="G732" s="431" t="s">
        <v>202</v>
      </c>
      <c r="H732" s="431"/>
      <c r="I732" s="59"/>
      <c r="J732" s="260">
        <f>IF(G732=$B$994,$A$994,IF(G732=$B$995,$A$995,"Not Calculated"))</f>
        <v>0</v>
      </c>
      <c r="K732" s="61"/>
    </row>
    <row r="733" spans="2:11" x14ac:dyDescent="0.2">
      <c r="B733" s="57"/>
      <c r="C733" s="196" t="s">
        <v>32</v>
      </c>
      <c r="D733" s="59"/>
      <c r="E733" s="59"/>
      <c r="F733" s="59"/>
      <c r="G733" s="431" t="s">
        <v>202</v>
      </c>
      <c r="H733" s="431"/>
      <c r="I733" s="59"/>
      <c r="J733" s="260">
        <f t="shared" ref="J733:J740" si="1">IF(G733=$B$994,$A$994,IF(G733=$B$995,$A$995,"Not Calculated"))</f>
        <v>0</v>
      </c>
      <c r="K733" s="61"/>
    </row>
    <row r="734" spans="2:11" ht="15" customHeight="1" x14ac:dyDescent="0.2">
      <c r="B734" s="57"/>
      <c r="C734" s="196" t="s">
        <v>34</v>
      </c>
      <c r="D734" s="59"/>
      <c r="E734" s="59"/>
      <c r="F734" s="59"/>
      <c r="G734" s="431" t="s">
        <v>202</v>
      </c>
      <c r="H734" s="431"/>
      <c r="I734" s="59"/>
      <c r="J734" s="260">
        <f t="shared" si="1"/>
        <v>0</v>
      </c>
      <c r="K734" s="61"/>
    </row>
    <row r="735" spans="2:11" x14ac:dyDescent="0.2">
      <c r="B735" s="57"/>
      <c r="C735" s="196" t="s">
        <v>35</v>
      </c>
      <c r="D735" s="59"/>
      <c r="E735" s="59"/>
      <c r="F735" s="59"/>
      <c r="G735" s="431" t="s">
        <v>202</v>
      </c>
      <c r="H735" s="431"/>
      <c r="I735" s="59"/>
      <c r="J735" s="260">
        <f t="shared" si="1"/>
        <v>0</v>
      </c>
      <c r="K735" s="61"/>
    </row>
    <row r="736" spans="2:11" x14ac:dyDescent="0.2">
      <c r="B736" s="57"/>
      <c r="C736" s="196" t="s">
        <v>37</v>
      </c>
      <c r="D736" s="59"/>
      <c r="E736" s="59"/>
      <c r="F736" s="59"/>
      <c r="G736" s="431" t="s">
        <v>202</v>
      </c>
      <c r="H736" s="431"/>
      <c r="I736" s="59"/>
      <c r="J736" s="260">
        <f t="shared" si="1"/>
        <v>0</v>
      </c>
      <c r="K736" s="61"/>
    </row>
    <row r="737" spans="2:11" x14ac:dyDescent="0.2">
      <c r="B737" s="57"/>
      <c r="C737" s="196" t="s">
        <v>38</v>
      </c>
      <c r="D737" s="59"/>
      <c r="E737" s="59"/>
      <c r="F737" s="59"/>
      <c r="G737" s="431" t="s">
        <v>202</v>
      </c>
      <c r="H737" s="431"/>
      <c r="I737" s="59"/>
      <c r="J737" s="260">
        <f t="shared" si="1"/>
        <v>0</v>
      </c>
      <c r="K737" s="61"/>
    </row>
    <row r="738" spans="2:11" x14ac:dyDescent="0.2">
      <c r="B738" s="57"/>
      <c r="C738" s="196" t="s">
        <v>40</v>
      </c>
      <c r="D738" s="59"/>
      <c r="E738" s="59"/>
      <c r="F738" s="59"/>
      <c r="G738" s="431" t="s">
        <v>202</v>
      </c>
      <c r="H738" s="431"/>
      <c r="I738" s="59"/>
      <c r="J738" s="260">
        <f t="shared" si="1"/>
        <v>0</v>
      </c>
      <c r="K738" s="61"/>
    </row>
    <row r="739" spans="2:11" x14ac:dyDescent="0.2">
      <c r="B739" s="57"/>
      <c r="C739" s="196" t="s">
        <v>41</v>
      </c>
      <c r="D739" s="59"/>
      <c r="E739" s="59"/>
      <c r="F739" s="59"/>
      <c r="G739" s="431" t="s">
        <v>202</v>
      </c>
      <c r="H739" s="431"/>
      <c r="I739" s="59"/>
      <c r="J739" s="260">
        <f t="shared" si="1"/>
        <v>0</v>
      </c>
      <c r="K739" s="61"/>
    </row>
    <row r="740" spans="2:11" x14ac:dyDescent="0.2">
      <c r="B740" s="57"/>
      <c r="C740" s="196" t="s">
        <v>43</v>
      </c>
      <c r="D740" s="59"/>
      <c r="E740" s="59"/>
      <c r="F740" s="59"/>
      <c r="G740" s="431" t="s">
        <v>202</v>
      </c>
      <c r="H740" s="431"/>
      <c r="I740" s="59"/>
      <c r="J740" s="260">
        <f t="shared" si="1"/>
        <v>0</v>
      </c>
      <c r="K740" s="61"/>
    </row>
    <row r="741" spans="2:11" x14ac:dyDescent="0.2">
      <c r="B741" s="57"/>
      <c r="C741" s="59"/>
      <c r="D741" s="59"/>
      <c r="E741" s="59"/>
      <c r="F741" s="59"/>
      <c r="G741" s="59"/>
      <c r="H741" s="59"/>
      <c r="I741" s="59"/>
      <c r="J741" s="59"/>
      <c r="K741" s="61"/>
    </row>
    <row r="742" spans="2:11" x14ac:dyDescent="0.2">
      <c r="B742" s="57"/>
      <c r="C742" s="59"/>
      <c r="D742" s="59"/>
      <c r="E742" s="59"/>
      <c r="F742" s="59"/>
      <c r="G742" s="59"/>
      <c r="H742" s="59"/>
      <c r="I742" s="59"/>
      <c r="J742" s="59"/>
      <c r="K742" s="61"/>
    </row>
    <row r="743" spans="2:11" ht="16" x14ac:dyDescent="0.2">
      <c r="B743" s="57"/>
      <c r="C743" s="195" t="s">
        <v>366</v>
      </c>
      <c r="D743" s="59"/>
      <c r="E743" s="59"/>
      <c r="F743" s="59"/>
      <c r="G743" s="59"/>
      <c r="H743" s="59"/>
      <c r="I743" s="59"/>
      <c r="J743" s="59"/>
      <c r="K743" s="61"/>
    </row>
    <row r="744" spans="2:11" ht="15" customHeight="1" x14ac:dyDescent="0.2">
      <c r="B744" s="57"/>
      <c r="C744" s="411" t="s">
        <v>367</v>
      </c>
      <c r="D744" s="411"/>
      <c r="E744" s="411"/>
      <c r="F744" s="411"/>
      <c r="G744" s="411"/>
      <c r="H744" s="411"/>
      <c r="I744" s="411"/>
      <c r="J744" s="411"/>
      <c r="K744" s="61"/>
    </row>
    <row r="745" spans="2:11" x14ac:dyDescent="0.2">
      <c r="B745" s="57"/>
      <c r="C745" s="411"/>
      <c r="D745" s="411"/>
      <c r="E745" s="411"/>
      <c r="F745" s="411"/>
      <c r="G745" s="411"/>
      <c r="H745" s="411"/>
      <c r="I745" s="411"/>
      <c r="J745" s="411"/>
      <c r="K745" s="61"/>
    </row>
    <row r="746" spans="2:11" x14ac:dyDescent="0.2">
      <c r="B746" s="57"/>
      <c r="C746" s="411"/>
      <c r="D746" s="411"/>
      <c r="E746" s="411"/>
      <c r="F746" s="411"/>
      <c r="G746" s="411"/>
      <c r="H746" s="411"/>
      <c r="I746" s="411"/>
      <c r="J746" s="411"/>
      <c r="K746" s="61"/>
    </row>
    <row r="747" spans="2:11" x14ac:dyDescent="0.2">
      <c r="B747" s="57"/>
      <c r="C747" s="196" t="s">
        <v>30</v>
      </c>
      <c r="D747" s="59"/>
      <c r="E747" s="59"/>
      <c r="F747" s="59"/>
      <c r="G747" s="431" t="s">
        <v>202</v>
      </c>
      <c r="H747" s="431"/>
      <c r="I747" s="59"/>
      <c r="J747" s="260">
        <f>IF(G747=$B$994,$A$994,IF(G747=$B$995,$A$995,"Not Calculated"))</f>
        <v>0</v>
      </c>
      <c r="K747" s="61"/>
    </row>
    <row r="748" spans="2:11" x14ac:dyDescent="0.2">
      <c r="B748" s="57"/>
      <c r="C748" s="196" t="s">
        <v>32</v>
      </c>
      <c r="D748" s="59"/>
      <c r="E748" s="59"/>
      <c r="F748" s="59"/>
      <c r="G748" s="431" t="s">
        <v>202</v>
      </c>
      <c r="H748" s="431"/>
      <c r="I748" s="59"/>
      <c r="J748" s="260">
        <f t="shared" ref="J748:J755" si="2">IF(G748=$B$994,$A$994,IF(G748=$B$995,$A$995,"Not Calculated"))</f>
        <v>0</v>
      </c>
      <c r="K748" s="61"/>
    </row>
    <row r="749" spans="2:11" ht="15" customHeight="1" x14ac:dyDescent="0.2">
      <c r="B749" s="57"/>
      <c r="C749" s="196" t="s">
        <v>34</v>
      </c>
      <c r="D749" s="59"/>
      <c r="E749" s="59"/>
      <c r="F749" s="59"/>
      <c r="G749" s="431" t="s">
        <v>202</v>
      </c>
      <c r="H749" s="431"/>
      <c r="I749" s="59"/>
      <c r="J749" s="260">
        <f t="shared" si="2"/>
        <v>0</v>
      </c>
      <c r="K749" s="61"/>
    </row>
    <row r="750" spans="2:11" x14ac:dyDescent="0.2">
      <c r="B750" s="57"/>
      <c r="C750" s="196" t="s">
        <v>35</v>
      </c>
      <c r="D750" s="59"/>
      <c r="E750" s="59"/>
      <c r="F750" s="59"/>
      <c r="G750" s="431" t="s">
        <v>202</v>
      </c>
      <c r="H750" s="431"/>
      <c r="I750" s="59"/>
      <c r="J750" s="260">
        <f t="shared" si="2"/>
        <v>0</v>
      </c>
      <c r="K750" s="61"/>
    </row>
    <row r="751" spans="2:11" x14ac:dyDescent="0.2">
      <c r="B751" s="57"/>
      <c r="C751" s="196" t="s">
        <v>37</v>
      </c>
      <c r="D751" s="59"/>
      <c r="E751" s="59"/>
      <c r="F751" s="59"/>
      <c r="G751" s="431" t="s">
        <v>202</v>
      </c>
      <c r="H751" s="431"/>
      <c r="I751" s="59"/>
      <c r="J751" s="260">
        <f t="shared" si="2"/>
        <v>0</v>
      </c>
      <c r="K751" s="61"/>
    </row>
    <row r="752" spans="2:11" x14ac:dyDescent="0.2">
      <c r="B752" s="57"/>
      <c r="C752" s="196" t="s">
        <v>38</v>
      </c>
      <c r="D752" s="59"/>
      <c r="E752" s="59"/>
      <c r="F752" s="59"/>
      <c r="G752" s="431" t="s">
        <v>202</v>
      </c>
      <c r="H752" s="431"/>
      <c r="I752" s="59"/>
      <c r="J752" s="260">
        <f t="shared" si="2"/>
        <v>0</v>
      </c>
      <c r="K752" s="61"/>
    </row>
    <row r="753" spans="2:11" x14ac:dyDescent="0.2">
      <c r="B753" s="57"/>
      <c r="C753" s="196" t="s">
        <v>40</v>
      </c>
      <c r="D753" s="59"/>
      <c r="E753" s="59"/>
      <c r="F753" s="59"/>
      <c r="G753" s="431" t="s">
        <v>202</v>
      </c>
      <c r="H753" s="431"/>
      <c r="I753" s="59"/>
      <c r="J753" s="260">
        <f t="shared" si="2"/>
        <v>0</v>
      </c>
      <c r="K753" s="61"/>
    </row>
    <row r="754" spans="2:11" x14ac:dyDescent="0.2">
      <c r="B754" s="57"/>
      <c r="C754" s="196" t="s">
        <v>41</v>
      </c>
      <c r="D754" s="59"/>
      <c r="E754" s="59"/>
      <c r="F754" s="59"/>
      <c r="G754" s="431" t="s">
        <v>202</v>
      </c>
      <c r="H754" s="431"/>
      <c r="I754" s="59"/>
      <c r="J754" s="260">
        <f t="shared" si="2"/>
        <v>0</v>
      </c>
      <c r="K754" s="61"/>
    </row>
    <row r="755" spans="2:11" x14ac:dyDescent="0.2">
      <c r="B755" s="57"/>
      <c r="C755" s="196" t="s">
        <v>43</v>
      </c>
      <c r="D755" s="59"/>
      <c r="E755" s="59"/>
      <c r="F755" s="59"/>
      <c r="G755" s="431" t="s">
        <v>202</v>
      </c>
      <c r="H755" s="431"/>
      <c r="I755" s="59"/>
      <c r="J755" s="260">
        <f t="shared" si="2"/>
        <v>0</v>
      </c>
      <c r="K755" s="61"/>
    </row>
    <row r="756" spans="2:11" x14ac:dyDescent="0.2">
      <c r="B756" s="57"/>
      <c r="C756" s="59"/>
      <c r="D756" s="59"/>
      <c r="E756" s="59"/>
      <c r="F756" s="59"/>
      <c r="G756" s="59"/>
      <c r="H756" s="59"/>
      <c r="I756" s="59"/>
      <c r="J756" s="59"/>
      <c r="K756" s="61"/>
    </row>
    <row r="757" spans="2:11" x14ac:dyDescent="0.2">
      <c r="B757" s="57"/>
      <c r="C757" s="59"/>
      <c r="D757" s="59"/>
      <c r="E757" s="59"/>
      <c r="F757" s="59"/>
      <c r="G757" s="59"/>
      <c r="H757" s="59"/>
      <c r="I757" s="59"/>
      <c r="J757" s="59"/>
      <c r="K757" s="61"/>
    </row>
    <row r="758" spans="2:11" ht="16" x14ac:dyDescent="0.2">
      <c r="B758" s="57"/>
      <c r="C758" s="195" t="s">
        <v>368</v>
      </c>
      <c r="D758" s="59"/>
      <c r="E758" s="59"/>
      <c r="F758" s="59"/>
      <c r="G758" s="59"/>
      <c r="H758" s="59"/>
      <c r="I758" s="59"/>
      <c r="J758" s="59"/>
      <c r="K758" s="61"/>
    </row>
    <row r="759" spans="2:11" ht="15" customHeight="1" x14ac:dyDescent="0.2">
      <c r="B759" s="57"/>
      <c r="C759" s="411" t="s">
        <v>369</v>
      </c>
      <c r="D759" s="411"/>
      <c r="E759" s="411"/>
      <c r="F759" s="411"/>
      <c r="G759" s="411"/>
      <c r="H759" s="411"/>
      <c r="I759" s="411"/>
      <c r="J759" s="411"/>
      <c r="K759" s="61"/>
    </row>
    <row r="760" spans="2:11" x14ac:dyDescent="0.2">
      <c r="B760" s="57"/>
      <c r="C760" s="411"/>
      <c r="D760" s="411"/>
      <c r="E760" s="411"/>
      <c r="F760" s="411"/>
      <c r="G760" s="411"/>
      <c r="H760" s="411"/>
      <c r="I760" s="411"/>
      <c r="J760" s="411"/>
      <c r="K760" s="61"/>
    </row>
    <row r="761" spans="2:11" x14ac:dyDescent="0.2">
      <c r="B761" s="57"/>
      <c r="C761" s="411"/>
      <c r="D761" s="411"/>
      <c r="E761" s="411"/>
      <c r="F761" s="411"/>
      <c r="G761" s="411"/>
      <c r="H761" s="411"/>
      <c r="I761" s="411"/>
      <c r="J761" s="411"/>
      <c r="K761" s="61"/>
    </row>
    <row r="762" spans="2:11" x14ac:dyDescent="0.2">
      <c r="B762" s="57"/>
      <c r="C762" s="196" t="s">
        <v>30</v>
      </c>
      <c r="D762" s="59"/>
      <c r="E762" s="59"/>
      <c r="F762" s="59"/>
      <c r="G762" s="431" t="s">
        <v>190</v>
      </c>
      <c r="H762" s="431"/>
      <c r="I762" s="59"/>
      <c r="J762" s="260">
        <f>IF(G762=$B$994,$A$994,IF(G762=$B$995,$A$995,"Not Calculated"))</f>
        <v>1</v>
      </c>
      <c r="K762" s="61"/>
    </row>
    <row r="763" spans="2:11" x14ac:dyDescent="0.2">
      <c r="B763" s="57"/>
      <c r="C763" s="196" t="s">
        <v>32</v>
      </c>
      <c r="D763" s="59"/>
      <c r="E763" s="59"/>
      <c r="F763" s="59"/>
      <c r="G763" s="431" t="s">
        <v>190</v>
      </c>
      <c r="H763" s="431"/>
      <c r="I763" s="59"/>
      <c r="J763" s="260">
        <f t="shared" ref="J763:J770" si="3">IF(G763=$B$994,$A$994,IF(G763=$B$995,$A$995,"Not Calculated"))</f>
        <v>1</v>
      </c>
      <c r="K763" s="61"/>
    </row>
    <row r="764" spans="2:11" ht="15" customHeight="1" x14ac:dyDescent="0.2">
      <c r="B764" s="57"/>
      <c r="C764" s="196" t="s">
        <v>34</v>
      </c>
      <c r="D764" s="59"/>
      <c r="E764" s="59"/>
      <c r="F764" s="59"/>
      <c r="G764" s="431" t="s">
        <v>190</v>
      </c>
      <c r="H764" s="431"/>
      <c r="I764" s="59"/>
      <c r="J764" s="260">
        <f t="shared" si="3"/>
        <v>1</v>
      </c>
      <c r="K764" s="61"/>
    </row>
    <row r="765" spans="2:11" x14ac:dyDescent="0.2">
      <c r="B765" s="57"/>
      <c r="C765" s="196" t="s">
        <v>35</v>
      </c>
      <c r="D765" s="59"/>
      <c r="E765" s="59"/>
      <c r="F765" s="59"/>
      <c r="G765" s="431" t="s">
        <v>190</v>
      </c>
      <c r="H765" s="431"/>
      <c r="I765" s="59"/>
      <c r="J765" s="260">
        <f t="shared" si="3"/>
        <v>1</v>
      </c>
      <c r="K765" s="61"/>
    </row>
    <row r="766" spans="2:11" x14ac:dyDescent="0.2">
      <c r="B766" s="57"/>
      <c r="C766" s="196" t="s">
        <v>37</v>
      </c>
      <c r="D766" s="59"/>
      <c r="E766" s="59"/>
      <c r="F766" s="59"/>
      <c r="G766" s="431" t="s">
        <v>190</v>
      </c>
      <c r="H766" s="431"/>
      <c r="I766" s="59"/>
      <c r="J766" s="260">
        <f t="shared" si="3"/>
        <v>1</v>
      </c>
      <c r="K766" s="61"/>
    </row>
    <row r="767" spans="2:11" x14ac:dyDescent="0.2">
      <c r="B767" s="57"/>
      <c r="C767" s="196" t="s">
        <v>38</v>
      </c>
      <c r="D767" s="59"/>
      <c r="E767" s="59"/>
      <c r="F767" s="59"/>
      <c r="G767" s="431" t="s">
        <v>190</v>
      </c>
      <c r="H767" s="431"/>
      <c r="I767" s="59"/>
      <c r="J767" s="260">
        <f t="shared" si="3"/>
        <v>1</v>
      </c>
      <c r="K767" s="61"/>
    </row>
    <row r="768" spans="2:11" x14ac:dyDescent="0.2">
      <c r="B768" s="57"/>
      <c r="C768" s="196" t="s">
        <v>40</v>
      </c>
      <c r="D768" s="59"/>
      <c r="E768" s="59"/>
      <c r="F768" s="59"/>
      <c r="G768" s="431" t="s">
        <v>190</v>
      </c>
      <c r="H768" s="431"/>
      <c r="I768" s="59"/>
      <c r="J768" s="260">
        <f t="shared" si="3"/>
        <v>1</v>
      </c>
      <c r="K768" s="61"/>
    </row>
    <row r="769" spans="2:11" x14ac:dyDescent="0.2">
      <c r="B769" s="57"/>
      <c r="C769" s="196" t="s">
        <v>41</v>
      </c>
      <c r="D769" s="59"/>
      <c r="E769" s="59"/>
      <c r="F769" s="59"/>
      <c r="G769" s="431" t="s">
        <v>190</v>
      </c>
      <c r="H769" s="431"/>
      <c r="I769" s="59"/>
      <c r="J769" s="260">
        <f t="shared" si="3"/>
        <v>1</v>
      </c>
      <c r="K769" s="61"/>
    </row>
    <row r="770" spans="2:11" x14ac:dyDescent="0.2">
      <c r="B770" s="57"/>
      <c r="C770" s="196" t="s">
        <v>43</v>
      </c>
      <c r="D770" s="59"/>
      <c r="E770" s="59"/>
      <c r="F770" s="59"/>
      <c r="G770" s="431" t="s">
        <v>190</v>
      </c>
      <c r="H770" s="431"/>
      <c r="I770" s="59"/>
      <c r="J770" s="260">
        <f t="shared" si="3"/>
        <v>1</v>
      </c>
      <c r="K770" s="61"/>
    </row>
    <row r="771" spans="2:11" x14ac:dyDescent="0.2">
      <c r="B771" s="57"/>
      <c r="C771" s="59"/>
      <c r="D771" s="59"/>
      <c r="E771" s="59"/>
      <c r="F771" s="59"/>
      <c r="G771" s="59"/>
      <c r="H771" s="59"/>
      <c r="I771" s="59"/>
      <c r="J771" s="59"/>
      <c r="K771" s="61"/>
    </row>
    <row r="772" spans="2:11" x14ac:dyDescent="0.2">
      <c r="B772" s="57"/>
      <c r="C772" s="59"/>
      <c r="D772" s="59"/>
      <c r="E772" s="59"/>
      <c r="F772" s="59"/>
      <c r="G772" s="59"/>
      <c r="H772" s="59"/>
      <c r="I772" s="59"/>
      <c r="J772" s="59"/>
      <c r="K772" s="61"/>
    </row>
    <row r="773" spans="2:11" ht="16" x14ac:dyDescent="0.2">
      <c r="B773" s="57"/>
      <c r="C773" s="197" t="s">
        <v>30</v>
      </c>
      <c r="D773" s="59"/>
      <c r="E773" s="59"/>
      <c r="F773" s="59"/>
      <c r="G773" s="59"/>
      <c r="H773" s="59"/>
      <c r="I773" s="59"/>
      <c r="J773" s="59"/>
      <c r="K773" s="61"/>
    </row>
    <row r="774" spans="2:11" x14ac:dyDescent="0.2">
      <c r="B774" s="57"/>
      <c r="C774" s="59"/>
      <c r="D774" s="59" t="s">
        <v>370</v>
      </c>
      <c r="E774" s="59"/>
      <c r="F774" s="59"/>
      <c r="G774" s="59"/>
      <c r="H774" s="59"/>
      <c r="I774" s="59"/>
      <c r="J774" s="60">
        <f>'Baseline At-Risk Pops'!H8</f>
        <v>0</v>
      </c>
      <c r="K774" s="61"/>
    </row>
    <row r="775" spans="2:11" x14ac:dyDescent="0.2">
      <c r="B775" s="57"/>
      <c r="C775" s="59"/>
      <c r="D775" s="59" t="s">
        <v>371</v>
      </c>
      <c r="E775" s="59"/>
      <c r="F775" s="59"/>
      <c r="G775" s="59"/>
      <c r="H775" s="59"/>
      <c r="I775" s="59"/>
      <c r="J775" s="60">
        <f>SUM(J717,J732,J747,J762)</f>
        <v>2</v>
      </c>
      <c r="K775" s="61"/>
    </row>
    <row r="776" spans="2:11" x14ac:dyDescent="0.2">
      <c r="B776" s="57"/>
      <c r="C776" s="59"/>
      <c r="D776" s="196" t="s">
        <v>372</v>
      </c>
      <c r="E776" s="59"/>
      <c r="F776" s="59"/>
      <c r="G776" s="59"/>
      <c r="H776" s="59"/>
      <c r="I776" s="59"/>
      <c r="J776" s="60">
        <f>AVERAGE(J774,J775)</f>
        <v>1</v>
      </c>
      <c r="K776" s="61"/>
    </row>
    <row r="777" spans="2:11" ht="16" x14ac:dyDescent="0.2">
      <c r="B777" s="57"/>
      <c r="C777" s="197" t="s">
        <v>32</v>
      </c>
      <c r="D777" s="59"/>
      <c r="E777" s="59"/>
      <c r="F777" s="59"/>
      <c r="G777" s="59"/>
      <c r="H777" s="59"/>
      <c r="I777" s="59"/>
      <c r="J777" s="60"/>
      <c r="K777" s="61"/>
    </row>
    <row r="778" spans="2:11" x14ac:dyDescent="0.2">
      <c r="B778" s="57"/>
      <c r="C778" s="59"/>
      <c r="D778" s="59" t="s">
        <v>370</v>
      </c>
      <c r="E778" s="59"/>
      <c r="F778" s="59"/>
      <c r="G778" s="59"/>
      <c r="H778" s="59"/>
      <c r="I778" s="59"/>
      <c r="J778" s="60">
        <f>'Baseline At-Risk Pops'!H14</f>
        <v>0</v>
      </c>
      <c r="K778" s="61"/>
    </row>
    <row r="779" spans="2:11" ht="15" customHeight="1" x14ac:dyDescent="0.2">
      <c r="B779" s="57"/>
      <c r="C779" s="59"/>
      <c r="D779" s="59" t="s">
        <v>371</v>
      </c>
      <c r="E779" s="59"/>
      <c r="F779" s="59"/>
      <c r="G779" s="59"/>
      <c r="H779" s="59"/>
      <c r="I779" s="59"/>
      <c r="J779" s="60">
        <f>SUM(J718,J733,J748,J763)</f>
        <v>2</v>
      </c>
      <c r="K779" s="61"/>
    </row>
    <row r="780" spans="2:11" x14ac:dyDescent="0.2">
      <c r="B780" s="57"/>
      <c r="C780" s="59"/>
      <c r="D780" s="196" t="s">
        <v>372</v>
      </c>
      <c r="E780" s="59"/>
      <c r="F780" s="59"/>
      <c r="G780" s="59"/>
      <c r="H780" s="59"/>
      <c r="I780" s="59"/>
      <c r="J780" s="60">
        <f>AVERAGE(J778,J779)</f>
        <v>1</v>
      </c>
      <c r="K780" s="61"/>
    </row>
    <row r="781" spans="2:11" ht="16" x14ac:dyDescent="0.2">
      <c r="B781" s="57"/>
      <c r="C781" s="197" t="s">
        <v>34</v>
      </c>
      <c r="D781" s="59"/>
      <c r="E781" s="59"/>
      <c r="F781" s="59"/>
      <c r="G781" s="59"/>
      <c r="H781" s="59"/>
      <c r="I781" s="59"/>
      <c r="J781" s="60"/>
      <c r="K781" s="61"/>
    </row>
    <row r="782" spans="2:11" ht="16" x14ac:dyDescent="0.2">
      <c r="B782" s="57"/>
      <c r="C782" s="197"/>
      <c r="D782" s="59" t="s">
        <v>370</v>
      </c>
      <c r="E782" s="59"/>
      <c r="F782" s="59"/>
      <c r="G782" s="59"/>
      <c r="H782" s="59"/>
      <c r="I782" s="59"/>
      <c r="J782" s="60">
        <f>'Baseline At-Risk Pops'!H21</f>
        <v>0</v>
      </c>
      <c r="K782" s="61"/>
    </row>
    <row r="783" spans="2:11" x14ac:dyDescent="0.2">
      <c r="B783" s="57"/>
      <c r="C783" s="59"/>
      <c r="D783" s="59" t="s">
        <v>371</v>
      </c>
      <c r="E783" s="59"/>
      <c r="F783" s="59"/>
      <c r="G783" s="59"/>
      <c r="H783" s="59"/>
      <c r="I783" s="59"/>
      <c r="J783" s="60">
        <f>SUM(J719,J734,J749,J764)</f>
        <v>1</v>
      </c>
      <c r="K783" s="61"/>
    </row>
    <row r="784" spans="2:11" x14ac:dyDescent="0.2">
      <c r="B784" s="57"/>
      <c r="C784" s="59"/>
      <c r="D784" s="196" t="s">
        <v>372</v>
      </c>
      <c r="E784" s="59"/>
      <c r="F784" s="59"/>
      <c r="G784" s="59"/>
      <c r="H784" s="59"/>
      <c r="I784" s="59"/>
      <c r="J784" s="60">
        <f>AVERAGE(J782,J783)</f>
        <v>0.5</v>
      </c>
      <c r="K784" s="61"/>
    </row>
    <row r="785" spans="2:11" ht="16" x14ac:dyDescent="0.2">
      <c r="B785" s="57"/>
      <c r="C785" s="197" t="s">
        <v>35</v>
      </c>
      <c r="D785" s="59"/>
      <c r="E785" s="59"/>
      <c r="F785" s="59"/>
      <c r="G785" s="59"/>
      <c r="H785" s="59"/>
      <c r="I785" s="59"/>
      <c r="J785" s="60"/>
      <c r="K785" s="61"/>
    </row>
    <row r="786" spans="2:11" x14ac:dyDescent="0.2">
      <c r="B786" s="57"/>
      <c r="C786" s="59"/>
      <c r="D786" s="59" t="s">
        <v>370</v>
      </c>
      <c r="E786" s="59"/>
      <c r="F786" s="59"/>
      <c r="G786" s="59"/>
      <c r="H786" s="59"/>
      <c r="I786" s="59"/>
      <c r="J786" s="60">
        <f>'Baseline At-Risk Pops'!H27</f>
        <v>0</v>
      </c>
      <c r="K786" s="61"/>
    </row>
    <row r="787" spans="2:11" x14ac:dyDescent="0.2">
      <c r="B787" s="57"/>
      <c r="C787" s="59"/>
      <c r="D787" s="59" t="s">
        <v>371</v>
      </c>
      <c r="E787" s="59"/>
      <c r="F787" s="59"/>
      <c r="G787" s="59"/>
      <c r="H787" s="59"/>
      <c r="I787" s="59"/>
      <c r="J787" s="60">
        <f>SUM(J720,J735,J750,J765)</f>
        <v>2</v>
      </c>
      <c r="K787" s="61"/>
    </row>
    <row r="788" spans="2:11" x14ac:dyDescent="0.2">
      <c r="B788" s="57"/>
      <c r="C788" s="59"/>
      <c r="D788" s="196" t="s">
        <v>372</v>
      </c>
      <c r="E788" s="59"/>
      <c r="F788" s="59"/>
      <c r="G788" s="59"/>
      <c r="H788" s="59"/>
      <c r="I788" s="59"/>
      <c r="J788" s="60">
        <f>AVERAGE(J786,J787)</f>
        <v>1</v>
      </c>
      <c r="K788" s="61"/>
    </row>
    <row r="789" spans="2:11" ht="16" x14ac:dyDescent="0.2">
      <c r="B789" s="57"/>
      <c r="C789" s="197" t="s">
        <v>37</v>
      </c>
      <c r="D789" s="59"/>
      <c r="E789" s="59"/>
      <c r="F789" s="59"/>
      <c r="G789" s="59"/>
      <c r="H789" s="59"/>
      <c r="I789" s="59"/>
      <c r="J789" s="60"/>
      <c r="K789" s="61"/>
    </row>
    <row r="790" spans="2:11" x14ac:dyDescent="0.2">
      <c r="B790" s="57"/>
      <c r="C790" s="59"/>
      <c r="D790" s="59" t="s">
        <v>370</v>
      </c>
      <c r="E790" s="59"/>
      <c r="F790" s="59"/>
      <c r="G790" s="59"/>
      <c r="H790" s="59"/>
      <c r="I790" s="59"/>
      <c r="J790" s="60">
        <f>'Baseline At-Risk Pops'!H34</f>
        <v>0</v>
      </c>
      <c r="K790" s="61"/>
    </row>
    <row r="791" spans="2:11" x14ac:dyDescent="0.2">
      <c r="B791" s="57"/>
      <c r="C791" s="59"/>
      <c r="D791" s="59" t="s">
        <v>371</v>
      </c>
      <c r="E791" s="59"/>
      <c r="F791" s="59"/>
      <c r="G791" s="59"/>
      <c r="H791" s="59"/>
      <c r="I791" s="59"/>
      <c r="J791" s="60">
        <f>SUM(J721,J736,J751,J766)</f>
        <v>2</v>
      </c>
      <c r="K791" s="61"/>
    </row>
    <row r="792" spans="2:11" x14ac:dyDescent="0.2">
      <c r="B792" s="57"/>
      <c r="C792" s="59"/>
      <c r="D792" s="196" t="s">
        <v>372</v>
      </c>
      <c r="E792" s="59"/>
      <c r="F792" s="59"/>
      <c r="G792" s="59"/>
      <c r="H792" s="59"/>
      <c r="I792" s="59"/>
      <c r="J792" s="60">
        <f>AVERAGE(J790,J791)</f>
        <v>1</v>
      </c>
      <c r="K792" s="61"/>
    </row>
    <row r="793" spans="2:11" ht="16" x14ac:dyDescent="0.2">
      <c r="B793" s="57"/>
      <c r="C793" s="197" t="s">
        <v>38</v>
      </c>
      <c r="D793" s="59"/>
      <c r="E793" s="59"/>
      <c r="F793" s="59"/>
      <c r="G793" s="59"/>
      <c r="H793" s="59"/>
      <c r="I793" s="59"/>
      <c r="J793" s="60"/>
      <c r="K793" s="61"/>
    </row>
    <row r="794" spans="2:11" x14ac:dyDescent="0.2">
      <c r="B794" s="57"/>
      <c r="C794" s="59"/>
      <c r="D794" s="59" t="s">
        <v>370</v>
      </c>
      <c r="E794" s="59"/>
      <c r="F794" s="59"/>
      <c r="G794" s="59"/>
      <c r="H794" s="59"/>
      <c r="I794" s="59"/>
      <c r="J794" s="60">
        <f>'Baseline At-Risk Pops'!H40</f>
        <v>0</v>
      </c>
      <c r="K794" s="61"/>
    </row>
    <row r="795" spans="2:11" x14ac:dyDescent="0.2">
      <c r="B795" s="57"/>
      <c r="C795" s="59"/>
      <c r="D795" s="59" t="s">
        <v>371</v>
      </c>
      <c r="E795" s="59"/>
      <c r="F795" s="59"/>
      <c r="G795" s="59"/>
      <c r="H795" s="59"/>
      <c r="I795" s="59"/>
      <c r="J795" s="60">
        <f>SUM(J722,J737,J752,J767)</f>
        <v>2</v>
      </c>
      <c r="K795" s="61"/>
    </row>
    <row r="796" spans="2:11" x14ac:dyDescent="0.2">
      <c r="B796" s="57"/>
      <c r="C796" s="59"/>
      <c r="D796" s="196" t="s">
        <v>372</v>
      </c>
      <c r="E796" s="59"/>
      <c r="F796" s="59"/>
      <c r="G796" s="59"/>
      <c r="H796" s="59"/>
      <c r="I796" s="59"/>
      <c r="J796" s="60">
        <f>AVERAGE(J794,J795)</f>
        <v>1</v>
      </c>
      <c r="K796" s="61"/>
    </row>
    <row r="797" spans="2:11" ht="16" x14ac:dyDescent="0.2">
      <c r="B797" s="57"/>
      <c r="C797" s="197" t="s">
        <v>40</v>
      </c>
      <c r="D797" s="59"/>
      <c r="E797" s="59"/>
      <c r="F797" s="59"/>
      <c r="G797" s="59"/>
      <c r="H797" s="59"/>
      <c r="I797" s="59"/>
      <c r="J797" s="60"/>
      <c r="K797" s="61"/>
    </row>
    <row r="798" spans="2:11" x14ac:dyDescent="0.2">
      <c r="B798" s="57"/>
      <c r="C798" s="59"/>
      <c r="D798" s="59" t="s">
        <v>370</v>
      </c>
      <c r="E798" s="59"/>
      <c r="F798" s="59"/>
      <c r="G798" s="59"/>
      <c r="H798" s="59"/>
      <c r="I798" s="59"/>
      <c r="J798" s="60">
        <f>'Baseline At-Risk Pops'!H46</f>
        <v>0</v>
      </c>
      <c r="K798" s="61"/>
    </row>
    <row r="799" spans="2:11" x14ac:dyDescent="0.2">
      <c r="B799" s="57"/>
      <c r="C799" s="59"/>
      <c r="D799" s="59" t="s">
        <v>371</v>
      </c>
      <c r="E799" s="59"/>
      <c r="F799" s="59"/>
      <c r="G799" s="59"/>
      <c r="H799" s="59"/>
      <c r="I799" s="59"/>
      <c r="J799" s="60">
        <f>SUM(J723,J738,J753,J768)</f>
        <v>1</v>
      </c>
      <c r="K799" s="61"/>
    </row>
    <row r="800" spans="2:11" x14ac:dyDescent="0.2">
      <c r="B800" s="57"/>
      <c r="C800" s="59"/>
      <c r="D800" s="196" t="s">
        <v>372</v>
      </c>
      <c r="E800" s="59"/>
      <c r="F800" s="59"/>
      <c r="G800" s="59"/>
      <c r="H800" s="59"/>
      <c r="I800" s="59"/>
      <c r="J800" s="60">
        <f>AVERAGE(J798,J799)</f>
        <v>0.5</v>
      </c>
      <c r="K800" s="61"/>
    </row>
    <row r="801" spans="2:11" ht="16" x14ac:dyDescent="0.2">
      <c r="B801" s="57"/>
      <c r="C801" s="197" t="s">
        <v>41</v>
      </c>
      <c r="D801" s="59"/>
      <c r="E801" s="59"/>
      <c r="F801" s="59"/>
      <c r="G801" s="59"/>
      <c r="H801" s="59"/>
      <c r="I801" s="59"/>
      <c r="J801" s="60"/>
      <c r="K801" s="61"/>
    </row>
    <row r="802" spans="2:11" ht="16" x14ac:dyDescent="0.2">
      <c r="B802" s="57"/>
      <c r="C802" s="197"/>
      <c r="D802" s="59" t="s">
        <v>370</v>
      </c>
      <c r="E802" s="59"/>
      <c r="F802" s="59"/>
      <c r="G802" s="59"/>
      <c r="H802" s="59"/>
      <c r="I802" s="59"/>
      <c r="J802" s="60">
        <f>'Baseline At-Risk Pops'!H52</f>
        <v>0</v>
      </c>
      <c r="K802" s="61"/>
    </row>
    <row r="803" spans="2:11" x14ac:dyDescent="0.2">
      <c r="B803" s="57"/>
      <c r="C803" s="59"/>
      <c r="D803" s="59" t="s">
        <v>371</v>
      </c>
      <c r="E803" s="59"/>
      <c r="F803" s="59"/>
      <c r="G803" s="59"/>
      <c r="H803" s="59"/>
      <c r="I803" s="59"/>
      <c r="J803" s="60">
        <f>SUM(J724,J739,J754,J769)</f>
        <v>2</v>
      </c>
      <c r="K803" s="61"/>
    </row>
    <row r="804" spans="2:11" x14ac:dyDescent="0.2">
      <c r="B804" s="57"/>
      <c r="C804" s="59"/>
      <c r="D804" s="196" t="s">
        <v>372</v>
      </c>
      <c r="E804" s="59"/>
      <c r="F804" s="59"/>
      <c r="G804" s="59"/>
      <c r="H804" s="59"/>
      <c r="I804" s="59"/>
      <c r="J804" s="60">
        <f>AVERAGE(J802,J803)</f>
        <v>1</v>
      </c>
      <c r="K804" s="61"/>
    </row>
    <row r="805" spans="2:11" ht="16" x14ac:dyDescent="0.2">
      <c r="B805" s="57"/>
      <c r="C805" s="197" t="s">
        <v>43</v>
      </c>
      <c r="D805" s="59"/>
      <c r="E805" s="59"/>
      <c r="F805" s="59"/>
      <c r="G805" s="59"/>
      <c r="H805" s="59"/>
      <c r="I805" s="59"/>
      <c r="J805" s="60"/>
      <c r="K805" s="61"/>
    </row>
    <row r="806" spans="2:11" x14ac:dyDescent="0.2">
      <c r="B806" s="57"/>
      <c r="C806" s="59"/>
      <c r="D806" s="59" t="s">
        <v>370</v>
      </c>
      <c r="E806" s="59"/>
      <c r="F806" s="59"/>
      <c r="G806" s="59"/>
      <c r="H806" s="59"/>
      <c r="I806" s="59"/>
      <c r="J806" s="60">
        <f>'Baseline At-Risk Pops'!H58</f>
        <v>0</v>
      </c>
      <c r="K806" s="61"/>
    </row>
    <row r="807" spans="2:11" x14ac:dyDescent="0.2">
      <c r="B807" s="57"/>
      <c r="C807" s="59"/>
      <c r="D807" s="59" t="s">
        <v>371</v>
      </c>
      <c r="E807" s="59"/>
      <c r="F807" s="59"/>
      <c r="G807" s="59"/>
      <c r="H807" s="59"/>
      <c r="I807" s="59"/>
      <c r="J807" s="60">
        <f>SUM(J725,J740,J755,J770)</f>
        <v>1</v>
      </c>
      <c r="K807" s="61"/>
    </row>
    <row r="808" spans="2:11" x14ac:dyDescent="0.2">
      <c r="B808" s="57"/>
      <c r="C808" s="59"/>
      <c r="D808" s="196" t="s">
        <v>372</v>
      </c>
      <c r="E808" s="59"/>
      <c r="F808" s="59"/>
      <c r="G808" s="59"/>
      <c r="H808" s="59"/>
      <c r="I808" s="59"/>
      <c r="J808" s="60">
        <f>AVERAGE(J806,J807)</f>
        <v>0.5</v>
      </c>
      <c r="K808" s="61"/>
    </row>
    <row r="809" spans="2:11" x14ac:dyDescent="0.2">
      <c r="B809" s="57"/>
      <c r="C809" s="59"/>
      <c r="D809" s="59"/>
      <c r="E809" s="59"/>
      <c r="F809" s="59"/>
      <c r="G809" s="59"/>
      <c r="H809" s="59"/>
      <c r="I809" s="59"/>
      <c r="J809" s="59"/>
      <c r="K809" s="61"/>
    </row>
    <row r="810" spans="2:11" x14ac:dyDescent="0.2">
      <c r="B810" s="57"/>
      <c r="C810" s="59"/>
      <c r="D810" s="59"/>
      <c r="E810" s="59"/>
      <c r="F810" s="59"/>
      <c r="G810" s="59"/>
      <c r="H810" s="59"/>
      <c r="I810" s="59"/>
      <c r="J810" s="59"/>
      <c r="K810" s="61"/>
    </row>
    <row r="811" spans="2:11" ht="16" x14ac:dyDescent="0.2">
      <c r="B811" s="57"/>
      <c r="C811" s="198" t="s">
        <v>373</v>
      </c>
      <c r="D811" s="59"/>
      <c r="E811" s="59"/>
      <c r="F811" s="59"/>
      <c r="G811" s="59"/>
      <c r="H811" s="59"/>
      <c r="I811" s="59"/>
      <c r="J811" s="261">
        <f>AVERAGE(J776,J780,J784,J788,J792,J796,J800,J804,J808)</f>
        <v>0.83333333333333337</v>
      </c>
      <c r="K811" s="61"/>
    </row>
    <row r="812" spans="2:11" ht="16" thickBot="1" x14ac:dyDescent="0.25">
      <c r="B812" s="73"/>
      <c r="C812" s="74"/>
      <c r="D812" s="74"/>
      <c r="E812" s="74"/>
      <c r="F812" s="74"/>
      <c r="G812" s="74"/>
      <c r="H812" s="74"/>
      <c r="I812" s="74"/>
      <c r="J812" s="74"/>
      <c r="K812" s="76"/>
    </row>
    <row r="813" spans="2:11" ht="16" thickBot="1" x14ac:dyDescent="0.25"/>
    <row r="814" spans="2:11" x14ac:dyDescent="0.2">
      <c r="B814" s="199"/>
      <c r="C814" s="200"/>
      <c r="D814" s="200"/>
      <c r="E814" s="200"/>
      <c r="F814" s="200"/>
      <c r="G814" s="200"/>
      <c r="H814" s="200"/>
      <c r="I814" s="200"/>
      <c r="J814" s="200"/>
      <c r="K814" s="201"/>
    </row>
    <row r="815" spans="2:11" ht="21" x14ac:dyDescent="0.25">
      <c r="B815" s="202"/>
      <c r="C815" s="203"/>
      <c r="D815" s="203"/>
      <c r="E815" s="203"/>
      <c r="F815" s="203"/>
      <c r="G815" s="204" t="s">
        <v>233</v>
      </c>
      <c r="H815" s="203"/>
      <c r="I815" s="203"/>
      <c r="J815" s="203"/>
      <c r="K815" s="205"/>
    </row>
    <row r="816" spans="2:11" x14ac:dyDescent="0.2">
      <c r="B816" s="202"/>
      <c r="C816" s="203"/>
      <c r="D816" s="203"/>
      <c r="E816" s="203"/>
      <c r="F816" s="203"/>
      <c r="G816" s="203"/>
      <c r="H816" s="203"/>
      <c r="I816" s="203"/>
      <c r="J816" s="203"/>
      <c r="K816" s="205"/>
    </row>
    <row r="817" spans="2:11" ht="16" x14ac:dyDescent="0.2">
      <c r="B817" s="202"/>
      <c r="C817" s="206" t="s">
        <v>992</v>
      </c>
      <c r="D817" s="203"/>
      <c r="E817" s="203"/>
      <c r="F817" s="203"/>
      <c r="G817" s="203"/>
      <c r="H817" s="203"/>
      <c r="I817" s="203"/>
      <c r="J817" s="262" t="str">
        <f>IF(J700="Not Calculated","Not Calculated",J700*(($J$811/4)+1))</f>
        <v>Not Calculated</v>
      </c>
      <c r="K817" s="205"/>
    </row>
    <row r="818" spans="2:11" x14ac:dyDescent="0.2">
      <c r="B818" s="202"/>
      <c r="C818" s="203"/>
      <c r="D818" s="203" t="s">
        <v>1119</v>
      </c>
      <c r="E818" s="203"/>
      <c r="F818" s="203"/>
      <c r="G818" s="203"/>
      <c r="H818" s="203"/>
      <c r="I818" s="203"/>
      <c r="J818" s="203"/>
      <c r="K818" s="205"/>
    </row>
    <row r="819" spans="2:11" x14ac:dyDescent="0.2">
      <c r="B819" s="202"/>
      <c r="C819" s="203"/>
      <c r="D819" s="203"/>
      <c r="E819" s="203"/>
      <c r="F819" s="203"/>
      <c r="G819" s="203"/>
      <c r="H819" s="203"/>
      <c r="I819" s="203"/>
      <c r="J819" s="203"/>
      <c r="K819" s="205"/>
    </row>
    <row r="820" spans="2:11" ht="16" x14ac:dyDescent="0.2">
      <c r="B820" s="202"/>
      <c r="C820" s="206" t="s">
        <v>993</v>
      </c>
      <c r="D820" s="203"/>
      <c r="E820" s="203"/>
      <c r="F820" s="203"/>
      <c r="G820" s="203"/>
      <c r="H820" s="203"/>
      <c r="I820" s="203"/>
      <c r="J820" s="262" t="str">
        <f>IF(J703="Not Calculated","Not Calculated",J703*(($J$811/4)+1))</f>
        <v>Not Calculated</v>
      </c>
      <c r="K820" s="205"/>
    </row>
    <row r="821" spans="2:11" x14ac:dyDescent="0.2">
      <c r="B821" s="202"/>
      <c r="C821" s="203"/>
      <c r="D821" s="203" t="s">
        <v>1120</v>
      </c>
      <c r="E821" s="203"/>
      <c r="F821" s="203"/>
      <c r="G821" s="203"/>
      <c r="H821" s="203"/>
      <c r="I821" s="203"/>
      <c r="J821" s="203"/>
      <c r="K821" s="205"/>
    </row>
    <row r="822" spans="2:11" x14ac:dyDescent="0.2">
      <c r="B822" s="202"/>
      <c r="C822" s="203"/>
      <c r="D822" s="203"/>
      <c r="E822" s="203"/>
      <c r="F822" s="203"/>
      <c r="G822" s="203"/>
      <c r="H822" s="203"/>
      <c r="I822" s="203"/>
      <c r="J822" s="203"/>
      <c r="K822" s="205"/>
    </row>
    <row r="823" spans="2:11" ht="16" x14ac:dyDescent="0.2">
      <c r="B823" s="202"/>
      <c r="C823" s="206" t="s">
        <v>994</v>
      </c>
      <c r="D823" s="203"/>
      <c r="E823" s="203"/>
      <c r="F823" s="203"/>
      <c r="G823" s="203"/>
      <c r="H823" s="203"/>
      <c r="I823" s="203"/>
      <c r="J823" s="262" t="str">
        <f>IF(J706="Not Calculated","Not Calculated",J706*(($J$811/4)+1))</f>
        <v>Not Calculated</v>
      </c>
      <c r="K823" s="205"/>
    </row>
    <row r="824" spans="2:11" x14ac:dyDescent="0.2">
      <c r="B824" s="202"/>
      <c r="C824" s="203"/>
      <c r="D824" s="203" t="s">
        <v>1121</v>
      </c>
      <c r="E824" s="203"/>
      <c r="F824" s="203"/>
      <c r="G824" s="203"/>
      <c r="H824" s="203"/>
      <c r="I824" s="203"/>
      <c r="J824" s="203"/>
      <c r="K824" s="205"/>
    </row>
    <row r="825" spans="2:11" ht="16" thickBot="1" x14ac:dyDescent="0.25">
      <c r="B825" s="207"/>
      <c r="C825" s="208"/>
      <c r="D825" s="208"/>
      <c r="E825" s="208"/>
      <c r="F825" s="208"/>
      <c r="G825" s="208"/>
      <c r="H825" s="208"/>
      <c r="I825" s="208"/>
      <c r="J825" s="208"/>
      <c r="K825" s="209"/>
    </row>
    <row r="826" spans="2:11" ht="16" thickBot="1" x14ac:dyDescent="0.25"/>
    <row r="827" spans="2:11" x14ac:dyDescent="0.2">
      <c r="B827" s="77"/>
      <c r="C827" s="78"/>
      <c r="D827" s="78"/>
      <c r="E827" s="78"/>
      <c r="F827" s="78"/>
      <c r="G827" s="78"/>
      <c r="H827" s="78"/>
      <c r="I827" s="78"/>
      <c r="J827" s="78"/>
      <c r="K827" s="80"/>
    </row>
    <row r="828" spans="2:11" ht="21" x14ac:dyDescent="0.25">
      <c r="B828" s="81"/>
      <c r="C828" s="85"/>
      <c r="D828" s="85"/>
      <c r="E828" s="85"/>
      <c r="F828" s="85"/>
      <c r="G828" s="210" t="s">
        <v>806</v>
      </c>
      <c r="H828" s="85"/>
      <c r="I828" s="85"/>
      <c r="J828" s="85"/>
      <c r="K828" s="87"/>
    </row>
    <row r="829" spans="2:11" x14ac:dyDescent="0.2">
      <c r="B829" s="81"/>
      <c r="C829" s="85"/>
      <c r="D829" s="85"/>
      <c r="E829" s="85"/>
      <c r="F829" s="85"/>
      <c r="G829" s="85"/>
      <c r="H829" s="85"/>
      <c r="I829" s="85"/>
      <c r="J829" s="85"/>
      <c r="K829" s="87"/>
    </row>
    <row r="830" spans="2:11" ht="15" customHeight="1" x14ac:dyDescent="0.2">
      <c r="B830" s="81"/>
      <c r="C830" s="424" t="s">
        <v>808</v>
      </c>
      <c r="D830" s="424"/>
      <c r="E830" s="424"/>
      <c r="F830" s="424"/>
      <c r="G830" s="424"/>
      <c r="H830" s="424"/>
      <c r="I830" s="424"/>
      <c r="J830" s="424"/>
      <c r="K830" s="87"/>
    </row>
    <row r="831" spans="2:11" x14ac:dyDescent="0.2">
      <c r="B831" s="81"/>
      <c r="C831" s="424"/>
      <c r="D831" s="424"/>
      <c r="E831" s="424"/>
      <c r="F831" s="424"/>
      <c r="G831" s="424"/>
      <c r="H831" s="424"/>
      <c r="I831" s="424"/>
      <c r="J831" s="424"/>
      <c r="K831" s="87"/>
    </row>
    <row r="832" spans="2:11" x14ac:dyDescent="0.2">
      <c r="B832" s="81"/>
      <c r="C832" s="85"/>
      <c r="D832" s="85"/>
      <c r="E832" s="85"/>
      <c r="F832" s="85"/>
      <c r="G832" s="85"/>
      <c r="H832" s="85"/>
      <c r="I832" s="85"/>
      <c r="J832" s="85"/>
      <c r="K832" s="87"/>
    </row>
    <row r="833" spans="2:11" ht="16" x14ac:dyDescent="0.2">
      <c r="B833" s="81"/>
      <c r="C833" s="211" t="s">
        <v>654</v>
      </c>
      <c r="D833" s="85"/>
      <c r="E833" s="85"/>
      <c r="F833" s="85"/>
      <c r="G833" s="85"/>
      <c r="H833" s="85"/>
      <c r="I833" s="85"/>
      <c r="J833" s="85"/>
      <c r="K833" s="87"/>
    </row>
    <row r="834" spans="2:11" x14ac:dyDescent="0.2">
      <c r="B834" s="81"/>
      <c r="C834" s="85" t="s">
        <v>380</v>
      </c>
      <c r="D834" s="85"/>
      <c r="E834" s="85"/>
      <c r="F834" s="85"/>
      <c r="G834" s="406" t="s">
        <v>234</v>
      </c>
      <c r="H834" s="407"/>
      <c r="I834" s="85"/>
      <c r="J834" s="83">
        <f>IF(G834=$B$998,$A$998,IF(G834=$B$999,$A$999,IF(G834=$B$1000,$A$1000,IF(G834=$B$1001,$A$1001,IF(G834=$B$1002,$A$1002,"Not Calculated")))))</f>
        <v>4</v>
      </c>
      <c r="K834" s="87"/>
    </row>
    <row r="835" spans="2:11" x14ac:dyDescent="0.2">
      <c r="B835" s="81"/>
      <c r="C835" s="85" t="s">
        <v>134</v>
      </c>
      <c r="D835" s="85"/>
      <c r="E835" s="85"/>
      <c r="F835" s="85"/>
      <c r="G835" s="85"/>
      <c r="H835" s="85"/>
      <c r="I835" s="85"/>
      <c r="J835" s="240">
        <f>'Baseline PHP'!J16</f>
        <v>0</v>
      </c>
      <c r="K835" s="87"/>
    </row>
    <row r="836" spans="2:11" x14ac:dyDescent="0.2">
      <c r="B836" s="81"/>
      <c r="C836" s="85"/>
      <c r="D836" s="85"/>
      <c r="E836" s="85"/>
      <c r="F836" s="85"/>
      <c r="G836" s="85"/>
      <c r="H836" s="85"/>
      <c r="I836" s="85"/>
      <c r="J836" s="85"/>
      <c r="K836" s="87"/>
    </row>
    <row r="837" spans="2:11" ht="16" x14ac:dyDescent="0.2">
      <c r="B837" s="81"/>
      <c r="C837" s="211" t="s">
        <v>655</v>
      </c>
      <c r="D837" s="85"/>
      <c r="E837" s="85"/>
      <c r="F837" s="85"/>
      <c r="G837" s="85"/>
      <c r="H837" s="85"/>
      <c r="I837" s="85"/>
      <c r="J837" s="85"/>
      <c r="K837" s="87"/>
    </row>
    <row r="838" spans="2:11" x14ac:dyDescent="0.2">
      <c r="B838" s="81"/>
      <c r="C838" s="85" t="s">
        <v>380</v>
      </c>
      <c r="D838" s="85"/>
      <c r="E838" s="85"/>
      <c r="F838" s="85"/>
      <c r="G838" s="406" t="s">
        <v>238</v>
      </c>
      <c r="H838" s="407"/>
      <c r="I838" s="85"/>
      <c r="J838" s="83">
        <f>IF(G838=$B$998,$A$998,IF(G838=$B$999,$A$999,IF(G838=$B$1000,$A$1000,IF(G838=$B$1001,$A$1001,IF(G838=$B$1002,$A$1002,"Not Calculated")))))</f>
        <v>3</v>
      </c>
      <c r="K838" s="87"/>
    </row>
    <row r="839" spans="2:11" x14ac:dyDescent="0.2">
      <c r="B839" s="81"/>
      <c r="C839" s="85" t="s">
        <v>134</v>
      </c>
      <c r="D839" s="85"/>
      <c r="E839" s="85"/>
      <c r="F839" s="85"/>
      <c r="G839" s="85"/>
      <c r="H839" s="85"/>
      <c r="I839" s="85"/>
      <c r="J839" s="240">
        <f>'Baseline PHP'!J28</f>
        <v>0</v>
      </c>
      <c r="K839" s="87"/>
    </row>
    <row r="840" spans="2:11" x14ac:dyDescent="0.2">
      <c r="B840" s="81"/>
      <c r="C840" s="85"/>
      <c r="D840" s="85"/>
      <c r="E840" s="85"/>
      <c r="F840" s="85"/>
      <c r="G840" s="85"/>
      <c r="H840" s="85"/>
      <c r="I840" s="85"/>
      <c r="J840" s="85"/>
      <c r="K840" s="87"/>
    </row>
    <row r="841" spans="2:11" ht="16" x14ac:dyDescent="0.2">
      <c r="B841" s="81"/>
      <c r="C841" s="211" t="s">
        <v>645</v>
      </c>
      <c r="D841" s="85"/>
      <c r="E841" s="85"/>
      <c r="F841" s="85"/>
      <c r="G841" s="85"/>
      <c r="H841" s="85"/>
      <c r="I841" s="85"/>
      <c r="J841" s="85"/>
      <c r="K841" s="87"/>
    </row>
    <row r="842" spans="2:11" x14ac:dyDescent="0.2">
      <c r="B842" s="81"/>
      <c r="C842" s="85" t="s">
        <v>380</v>
      </c>
      <c r="D842" s="85"/>
      <c r="E842" s="85"/>
      <c r="F842" s="85"/>
      <c r="G842" s="406" t="s">
        <v>234</v>
      </c>
      <c r="H842" s="407"/>
      <c r="I842" s="85"/>
      <c r="J842" s="83">
        <f>IF(G842=$B$998,$A$998,IF(G842=$B$999,$A$999,IF(G842=$B$1000,$A$1000,IF(G842=$B$1001,$A$1001,IF(G842=$B$1002,$A$1002,"Not Calculated")))))</f>
        <v>4</v>
      </c>
      <c r="K842" s="87"/>
    </row>
    <row r="843" spans="2:11" x14ac:dyDescent="0.2">
      <c r="B843" s="81"/>
      <c r="C843" s="85" t="s">
        <v>134</v>
      </c>
      <c r="D843" s="85"/>
      <c r="E843" s="85"/>
      <c r="F843" s="85"/>
      <c r="G843" s="85"/>
      <c r="H843" s="85"/>
      <c r="I843" s="85"/>
      <c r="J843" s="240">
        <f>'Baseline PHP'!J44</f>
        <v>0</v>
      </c>
      <c r="K843" s="87"/>
    </row>
    <row r="844" spans="2:11" x14ac:dyDescent="0.2">
      <c r="B844" s="81"/>
      <c r="C844" s="85"/>
      <c r="D844" s="85"/>
      <c r="E844" s="85"/>
      <c r="F844" s="85"/>
      <c r="G844" s="85"/>
      <c r="H844" s="85"/>
      <c r="I844" s="85"/>
      <c r="J844" s="85"/>
      <c r="K844" s="87"/>
    </row>
    <row r="845" spans="2:11" ht="16" x14ac:dyDescent="0.2">
      <c r="B845" s="81"/>
      <c r="C845" s="211" t="s">
        <v>646</v>
      </c>
      <c r="D845" s="85"/>
      <c r="E845" s="85"/>
      <c r="F845" s="85"/>
      <c r="G845" s="85"/>
      <c r="H845" s="85"/>
      <c r="I845" s="85"/>
      <c r="J845" s="85"/>
      <c r="K845" s="87"/>
    </row>
    <row r="846" spans="2:11" x14ac:dyDescent="0.2">
      <c r="B846" s="81"/>
      <c r="C846" s="85" t="s">
        <v>380</v>
      </c>
      <c r="D846" s="85"/>
      <c r="E846" s="85"/>
      <c r="F846" s="85"/>
      <c r="G846" s="406" t="s">
        <v>234</v>
      </c>
      <c r="H846" s="407"/>
      <c r="I846" s="85"/>
      <c r="J846" s="83">
        <f>IF(G846=$B$998,$A$998,IF(G846=$B$999,$A$999,IF(G846=$B$1000,$A$1000,IF(G846=$B$1001,$A$1001,IF(G846=$B$1002,$A$1002,"Not Calculated")))))</f>
        <v>4</v>
      </c>
      <c r="K846" s="87"/>
    </row>
    <row r="847" spans="2:11" x14ac:dyDescent="0.2">
      <c r="B847" s="81"/>
      <c r="C847" s="85" t="s">
        <v>134</v>
      </c>
      <c r="D847" s="85"/>
      <c r="E847" s="85"/>
      <c r="F847" s="85"/>
      <c r="G847" s="85"/>
      <c r="H847" s="85"/>
      <c r="I847" s="85"/>
      <c r="J847" s="240">
        <f>'Baseline PHP'!J60</f>
        <v>0</v>
      </c>
      <c r="K847" s="87"/>
    </row>
    <row r="848" spans="2:11" x14ac:dyDescent="0.2">
      <c r="B848" s="81"/>
      <c r="C848" s="85"/>
      <c r="D848" s="85"/>
      <c r="E848" s="85"/>
      <c r="F848" s="85"/>
      <c r="G848" s="85"/>
      <c r="H848" s="85"/>
      <c r="I848" s="85"/>
      <c r="J848" s="85"/>
      <c r="K848" s="87"/>
    </row>
    <row r="849" spans="2:11" ht="16" x14ac:dyDescent="0.2">
      <c r="B849" s="81"/>
      <c r="C849" s="211" t="s">
        <v>648</v>
      </c>
      <c r="D849" s="85"/>
      <c r="E849" s="85"/>
      <c r="F849" s="85"/>
      <c r="G849" s="85"/>
      <c r="H849" s="85"/>
      <c r="I849" s="85"/>
      <c r="J849" s="85"/>
      <c r="K849" s="87"/>
    </row>
    <row r="850" spans="2:11" ht="15" customHeight="1" x14ac:dyDescent="0.2">
      <c r="B850" s="81"/>
      <c r="C850" s="85" t="s">
        <v>380</v>
      </c>
      <c r="D850" s="85"/>
      <c r="E850" s="85"/>
      <c r="F850" s="85"/>
      <c r="G850" s="406" t="s">
        <v>235</v>
      </c>
      <c r="H850" s="407"/>
      <c r="I850" s="85"/>
      <c r="J850" s="83">
        <f>IF(G850=$B$998,$A$998,IF(G850=$B$999,$A$999,IF(G850=$B$1000,$A$1000,IF(G850=$B$1001,$A$1001,IF(G850=$B$1002,$A$1002,"Not Calculated")))))</f>
        <v>2</v>
      </c>
      <c r="K850" s="87"/>
    </row>
    <row r="851" spans="2:11" x14ac:dyDescent="0.2">
      <c r="B851" s="81"/>
      <c r="C851" s="85" t="s">
        <v>134</v>
      </c>
      <c r="D851" s="85"/>
      <c r="E851" s="85"/>
      <c r="F851" s="85"/>
      <c r="G851" s="85"/>
      <c r="H851" s="85"/>
      <c r="I851" s="85"/>
      <c r="J851" s="240">
        <f>'Baseline PHP'!J76</f>
        <v>0</v>
      </c>
      <c r="K851" s="87"/>
    </row>
    <row r="852" spans="2:11" x14ac:dyDescent="0.2">
      <c r="B852" s="81"/>
      <c r="C852" s="85"/>
      <c r="D852" s="85"/>
      <c r="E852" s="85"/>
      <c r="F852" s="85"/>
      <c r="G852" s="85"/>
      <c r="H852" s="85"/>
      <c r="I852" s="85"/>
      <c r="J852" s="85"/>
      <c r="K852" s="87"/>
    </row>
    <row r="853" spans="2:11" ht="16" x14ac:dyDescent="0.2">
      <c r="B853" s="81"/>
      <c r="C853" s="211" t="s">
        <v>647</v>
      </c>
      <c r="D853" s="85"/>
      <c r="E853" s="85"/>
      <c r="F853" s="85"/>
      <c r="G853" s="85"/>
      <c r="H853" s="85"/>
      <c r="I853" s="85"/>
      <c r="J853" s="85"/>
      <c r="K853" s="87"/>
    </row>
    <row r="854" spans="2:11" x14ac:dyDescent="0.2">
      <c r="B854" s="81"/>
      <c r="C854" s="85" t="s">
        <v>380</v>
      </c>
      <c r="D854" s="85"/>
      <c r="E854" s="85"/>
      <c r="F854" s="85"/>
      <c r="G854" s="406" t="s">
        <v>234</v>
      </c>
      <c r="H854" s="407"/>
      <c r="I854" s="85"/>
      <c r="J854" s="83">
        <f>IF(G854=$B$998,$A$998,IF(G854=$B$999,$A$999,IF(G854=$B$1000,$A$1000,IF(G854=$B$1001,$A$1001,IF(G854=$B$1002,$A$1002,"Not Calculated")))))</f>
        <v>4</v>
      </c>
      <c r="K854" s="87"/>
    </row>
    <row r="855" spans="2:11" x14ac:dyDescent="0.2">
      <c r="B855" s="81"/>
      <c r="C855" s="85" t="s">
        <v>134</v>
      </c>
      <c r="D855" s="85"/>
      <c r="E855" s="85"/>
      <c r="F855" s="85"/>
      <c r="G855" s="85"/>
      <c r="H855" s="85"/>
      <c r="I855" s="85"/>
      <c r="J855" s="240">
        <f>'Baseline PHP'!J88</f>
        <v>0</v>
      </c>
      <c r="K855" s="87"/>
    </row>
    <row r="856" spans="2:11" x14ac:dyDescent="0.2">
      <c r="B856" s="81"/>
      <c r="C856" s="85"/>
      <c r="D856" s="85"/>
      <c r="E856" s="85"/>
      <c r="F856" s="85"/>
      <c r="G856" s="85"/>
      <c r="H856" s="85"/>
      <c r="I856" s="85"/>
      <c r="J856" s="85"/>
      <c r="K856" s="87"/>
    </row>
    <row r="857" spans="2:11" ht="16" x14ac:dyDescent="0.2">
      <c r="B857" s="81"/>
      <c r="C857" s="211" t="s">
        <v>115</v>
      </c>
      <c r="D857" s="85"/>
      <c r="E857" s="85"/>
      <c r="F857" s="85"/>
      <c r="G857" s="85"/>
      <c r="H857" s="85"/>
      <c r="I857" s="85"/>
      <c r="J857" s="85"/>
      <c r="K857" s="87"/>
    </row>
    <row r="858" spans="2:11" x14ac:dyDescent="0.2">
      <c r="B858" s="81"/>
      <c r="C858" s="85" t="s">
        <v>380</v>
      </c>
      <c r="D858" s="85"/>
      <c r="E858" s="85"/>
      <c r="F858" s="85"/>
      <c r="G858" s="406" t="s">
        <v>237</v>
      </c>
      <c r="H858" s="407"/>
      <c r="I858" s="85"/>
      <c r="J858" s="83">
        <f>IF(G858=$B$998,$A$998,IF(G858=$B$999,$A$999,IF(G858=$B$1000,$A$1000,IF(G858=$B$1001,$A$1001,IF(G858=$B$1002,$A$1002,"Not Calculated")))))</f>
        <v>1</v>
      </c>
      <c r="K858" s="87"/>
    </row>
    <row r="859" spans="2:11" x14ac:dyDescent="0.2">
      <c r="B859" s="81"/>
      <c r="C859" s="85" t="s">
        <v>134</v>
      </c>
      <c r="D859" s="85"/>
      <c r="E859" s="85"/>
      <c r="F859" s="85"/>
      <c r="G859" s="85"/>
      <c r="H859" s="85"/>
      <c r="I859" s="85"/>
      <c r="J859" s="240">
        <f>'Baseline PHP'!J102</f>
        <v>0</v>
      </c>
      <c r="K859" s="87"/>
    </row>
    <row r="860" spans="2:11" x14ac:dyDescent="0.2">
      <c r="B860" s="81"/>
      <c r="C860" s="85"/>
      <c r="D860" s="85"/>
      <c r="E860" s="85"/>
      <c r="F860" s="85"/>
      <c r="G860" s="85"/>
      <c r="H860" s="85"/>
      <c r="I860" s="85"/>
      <c r="J860" s="85"/>
      <c r="K860" s="87"/>
    </row>
    <row r="861" spans="2:11" ht="16" x14ac:dyDescent="0.2">
      <c r="B861" s="81"/>
      <c r="C861" s="211" t="s">
        <v>649</v>
      </c>
      <c r="D861" s="85"/>
      <c r="E861" s="85"/>
      <c r="F861" s="85"/>
      <c r="G861" s="85"/>
      <c r="H861" s="85"/>
      <c r="I861" s="85"/>
      <c r="J861" s="85"/>
      <c r="K861" s="87"/>
    </row>
    <row r="862" spans="2:11" x14ac:dyDescent="0.2">
      <c r="B862" s="81"/>
      <c r="C862" s="85" t="s">
        <v>380</v>
      </c>
      <c r="D862" s="85"/>
      <c r="E862" s="85"/>
      <c r="F862" s="85"/>
      <c r="G862" s="406" t="s">
        <v>236</v>
      </c>
      <c r="H862" s="407"/>
      <c r="I862" s="85"/>
      <c r="J862" s="83">
        <f>IF(G862=$B$998,$A$998,IF(G862=$B$999,$A$999,IF(G862=$B$1000,$A$1000,IF(G862=$B$1001,$A$1001,IF(G862=$B$1002,$A$1002,"Not Calculated")))))</f>
        <v>0</v>
      </c>
      <c r="K862" s="87"/>
    </row>
    <row r="863" spans="2:11" x14ac:dyDescent="0.2">
      <c r="B863" s="81"/>
      <c r="C863" s="85" t="s">
        <v>134</v>
      </c>
      <c r="D863" s="85"/>
      <c r="E863" s="85"/>
      <c r="F863" s="85"/>
      <c r="G863" s="85"/>
      <c r="H863" s="85"/>
      <c r="I863" s="85"/>
      <c r="J863" s="240">
        <f>'Baseline PHP'!J118</f>
        <v>0</v>
      </c>
      <c r="K863" s="87"/>
    </row>
    <row r="864" spans="2:11" x14ac:dyDescent="0.2">
      <c r="B864" s="81"/>
      <c r="C864" s="85"/>
      <c r="D864" s="85"/>
      <c r="E864" s="85"/>
      <c r="F864" s="85"/>
      <c r="G864" s="85"/>
      <c r="H864" s="85"/>
      <c r="I864" s="85"/>
      <c r="J864" s="85"/>
      <c r="K864" s="87"/>
    </row>
    <row r="865" spans="2:11" ht="16" x14ac:dyDescent="0.2">
      <c r="B865" s="81"/>
      <c r="C865" s="211" t="s">
        <v>656</v>
      </c>
      <c r="D865" s="85"/>
      <c r="E865" s="85"/>
      <c r="F865" s="85"/>
      <c r="G865" s="85"/>
      <c r="H865" s="85"/>
      <c r="I865" s="85"/>
      <c r="J865" s="85"/>
      <c r="K865" s="87"/>
    </row>
    <row r="866" spans="2:11" x14ac:dyDescent="0.2">
      <c r="B866" s="81"/>
      <c r="C866" s="85" t="s">
        <v>380</v>
      </c>
      <c r="D866" s="85"/>
      <c r="E866" s="85"/>
      <c r="F866" s="85"/>
      <c r="G866" s="406" t="s">
        <v>235</v>
      </c>
      <c r="H866" s="407"/>
      <c r="I866" s="85"/>
      <c r="J866" s="83">
        <f>IF(G866=$B$998,$A$998,IF(G866=$B$999,$A$999,IF(G866=$B$1000,$A$1000,IF(G866=$B$1001,$A$1001,IF(G866=$B$1002,$A$1002,"Not Calculated")))))</f>
        <v>2</v>
      </c>
      <c r="K866" s="87"/>
    </row>
    <row r="867" spans="2:11" x14ac:dyDescent="0.2">
      <c r="B867" s="81"/>
      <c r="C867" s="85" t="s">
        <v>134</v>
      </c>
      <c r="D867" s="85"/>
      <c r="E867" s="85"/>
      <c r="F867" s="85"/>
      <c r="G867" s="85"/>
      <c r="H867" s="85"/>
      <c r="I867" s="85"/>
      <c r="J867" s="240">
        <f>'Baseline PHP'!J136</f>
        <v>0</v>
      </c>
      <c r="K867" s="87"/>
    </row>
    <row r="868" spans="2:11" x14ac:dyDescent="0.2">
      <c r="B868" s="81"/>
      <c r="C868" s="85"/>
      <c r="D868" s="85"/>
      <c r="E868" s="85"/>
      <c r="F868" s="85"/>
      <c r="G868" s="85"/>
      <c r="H868" s="85"/>
      <c r="I868" s="85"/>
      <c r="J868" s="85"/>
      <c r="K868" s="87"/>
    </row>
    <row r="869" spans="2:11" ht="16" x14ac:dyDescent="0.2">
      <c r="B869" s="81"/>
      <c r="C869" s="211" t="s">
        <v>121</v>
      </c>
      <c r="D869" s="85"/>
      <c r="E869" s="85"/>
      <c r="F869" s="85"/>
      <c r="G869" s="85"/>
      <c r="H869" s="85"/>
      <c r="I869" s="85"/>
      <c r="J869" s="85"/>
      <c r="K869" s="87"/>
    </row>
    <row r="870" spans="2:11" x14ac:dyDescent="0.2">
      <c r="B870" s="81"/>
      <c r="C870" s="85" t="s">
        <v>380</v>
      </c>
      <c r="D870" s="85"/>
      <c r="E870" s="85"/>
      <c r="F870" s="85"/>
      <c r="G870" s="406" t="s">
        <v>237</v>
      </c>
      <c r="H870" s="407"/>
      <c r="I870" s="85"/>
      <c r="J870" s="83">
        <f>IF(G870=$B$998,$A$998,IF(G870=$B$999,$A$999,IF(G870=$B$1000,$A$1000,IF(G870=$B$1001,$A$1001,IF(G870=$B$1002,$A$1002,"Not Calculated")))))</f>
        <v>1</v>
      </c>
      <c r="K870" s="87"/>
    </row>
    <row r="871" spans="2:11" x14ac:dyDescent="0.2">
      <c r="B871" s="81"/>
      <c r="C871" s="85" t="s">
        <v>134</v>
      </c>
      <c r="D871" s="85"/>
      <c r="E871" s="85"/>
      <c r="F871" s="85"/>
      <c r="G871" s="85"/>
      <c r="H871" s="85"/>
      <c r="I871" s="85"/>
      <c r="J871" s="240">
        <f>'Baseline PHP'!J150</f>
        <v>0</v>
      </c>
      <c r="K871" s="87"/>
    </row>
    <row r="872" spans="2:11" x14ac:dyDescent="0.2">
      <c r="B872" s="81"/>
      <c r="C872" s="85"/>
      <c r="D872" s="85"/>
      <c r="E872" s="85"/>
      <c r="F872" s="85"/>
      <c r="G872" s="85"/>
      <c r="H872" s="85"/>
      <c r="I872" s="85"/>
      <c r="J872" s="85"/>
      <c r="K872" s="87"/>
    </row>
    <row r="873" spans="2:11" ht="16" x14ac:dyDescent="0.2">
      <c r="B873" s="81"/>
      <c r="C873" s="211" t="s">
        <v>657</v>
      </c>
      <c r="D873" s="85"/>
      <c r="E873" s="85"/>
      <c r="F873" s="85"/>
      <c r="G873" s="85"/>
      <c r="H873" s="85"/>
      <c r="I873" s="85"/>
      <c r="J873" s="85"/>
      <c r="K873" s="87"/>
    </row>
    <row r="874" spans="2:11" x14ac:dyDescent="0.2">
      <c r="B874" s="81"/>
      <c r="C874" s="85" t="s">
        <v>380</v>
      </c>
      <c r="D874" s="85"/>
      <c r="E874" s="85"/>
      <c r="F874" s="85"/>
      <c r="G874" s="406" t="s">
        <v>236</v>
      </c>
      <c r="H874" s="407"/>
      <c r="I874" s="85"/>
      <c r="J874" s="83">
        <f>IF(G874=$B$998,$A$998,IF(G874=$B$999,$A$999,IF(G874=$B$1000,$A$1000,IF(G874=$B$1001,$A$1001,IF(G874=$B$1002,$A$1002,"Not Calculated")))))</f>
        <v>0</v>
      </c>
      <c r="K874" s="87"/>
    </row>
    <row r="875" spans="2:11" x14ac:dyDescent="0.2">
      <c r="B875" s="81"/>
      <c r="C875" s="85" t="s">
        <v>134</v>
      </c>
      <c r="D875" s="85"/>
      <c r="E875" s="85"/>
      <c r="F875" s="85"/>
      <c r="G875" s="85"/>
      <c r="H875" s="85"/>
      <c r="I875" s="85"/>
      <c r="J875" s="240">
        <f>'Baseline PHP'!J164</f>
        <v>0</v>
      </c>
      <c r="K875" s="87"/>
    </row>
    <row r="876" spans="2:11" x14ac:dyDescent="0.2">
      <c r="B876" s="81"/>
      <c r="C876" s="85"/>
      <c r="D876" s="85"/>
      <c r="E876" s="85"/>
      <c r="F876" s="85"/>
      <c r="G876" s="85"/>
      <c r="H876" s="85"/>
      <c r="I876" s="85"/>
      <c r="J876" s="85"/>
      <c r="K876" s="87"/>
    </row>
    <row r="877" spans="2:11" ht="16" x14ac:dyDescent="0.2">
      <c r="B877" s="81"/>
      <c r="C877" s="211" t="s">
        <v>650</v>
      </c>
      <c r="D877" s="85"/>
      <c r="E877" s="85"/>
      <c r="F877" s="85"/>
      <c r="G877" s="85"/>
      <c r="H877" s="85"/>
      <c r="I877" s="85"/>
      <c r="J877" s="85"/>
      <c r="K877" s="87"/>
    </row>
    <row r="878" spans="2:11" x14ac:dyDescent="0.2">
      <c r="B878" s="81"/>
      <c r="C878" s="85" t="s">
        <v>380</v>
      </c>
      <c r="D878" s="85"/>
      <c r="E878" s="85"/>
      <c r="F878" s="85"/>
      <c r="G878" s="406" t="s">
        <v>236</v>
      </c>
      <c r="H878" s="407"/>
      <c r="I878" s="85"/>
      <c r="J878" s="83">
        <f>IF(G878=$B$998,$A$998,IF(G878=$B$999,$A$999,IF(G878=$B$1000,$A$1000,IF(G878=$B$1001,$A$1001,IF(G878=$B$1002,$A$1002,"Not Calculated")))))</f>
        <v>0</v>
      </c>
      <c r="K878" s="87"/>
    </row>
    <row r="879" spans="2:11" x14ac:dyDescent="0.2">
      <c r="B879" s="81"/>
      <c r="C879" s="85" t="s">
        <v>134</v>
      </c>
      <c r="D879" s="85"/>
      <c r="E879" s="85"/>
      <c r="F879" s="85"/>
      <c r="G879" s="85"/>
      <c r="H879" s="85"/>
      <c r="I879" s="85"/>
      <c r="J879" s="240">
        <f>'Baseline PHP'!J180</f>
        <v>0</v>
      </c>
      <c r="K879" s="87"/>
    </row>
    <row r="880" spans="2:11" x14ac:dyDescent="0.2">
      <c r="B880" s="81"/>
      <c r="C880" s="85"/>
      <c r="D880" s="85"/>
      <c r="E880" s="85"/>
      <c r="F880" s="85"/>
      <c r="G880" s="85"/>
      <c r="H880" s="85"/>
      <c r="I880" s="85"/>
      <c r="J880" s="85"/>
      <c r="K880" s="87"/>
    </row>
    <row r="881" spans="2:11" ht="16" x14ac:dyDescent="0.2">
      <c r="B881" s="81"/>
      <c r="C881" s="211" t="s">
        <v>651</v>
      </c>
      <c r="D881" s="85"/>
      <c r="E881" s="85"/>
      <c r="F881" s="85"/>
      <c r="G881" s="85"/>
      <c r="H881" s="85"/>
      <c r="I881" s="85"/>
      <c r="J881" s="85"/>
      <c r="K881" s="87"/>
    </row>
    <row r="882" spans="2:11" x14ac:dyDescent="0.2">
      <c r="B882" s="81"/>
      <c r="C882" s="85" t="s">
        <v>380</v>
      </c>
      <c r="D882" s="85"/>
      <c r="E882" s="85"/>
      <c r="F882" s="85"/>
      <c r="G882" s="406" t="s">
        <v>237</v>
      </c>
      <c r="H882" s="407"/>
      <c r="I882" s="85"/>
      <c r="J882" s="83">
        <f>IF(G882=$B$998,$A$998,IF(G882=$B$999,$A$999,IF(G882=$B$1000,$A$1000,IF(G882=$B$1001,$A$1001,IF(G882=$B$1002,$A$1002,"Not Calculated")))))</f>
        <v>1</v>
      </c>
      <c r="K882" s="87"/>
    </row>
    <row r="883" spans="2:11" x14ac:dyDescent="0.2">
      <c r="B883" s="81"/>
      <c r="C883" s="85" t="s">
        <v>134</v>
      </c>
      <c r="D883" s="85"/>
      <c r="E883" s="85"/>
      <c r="F883" s="85"/>
      <c r="G883" s="85"/>
      <c r="H883" s="85"/>
      <c r="I883" s="85"/>
      <c r="J883" s="240">
        <f>'Baseline PHP'!J194</f>
        <v>0</v>
      </c>
      <c r="K883" s="87"/>
    </row>
    <row r="884" spans="2:11" x14ac:dyDescent="0.2">
      <c r="B884" s="81"/>
      <c r="C884" s="85"/>
      <c r="D884" s="85"/>
      <c r="E884" s="85"/>
      <c r="F884" s="85"/>
      <c r="G884" s="85"/>
      <c r="H884" s="85"/>
      <c r="I884" s="85"/>
      <c r="J884" s="85"/>
      <c r="K884" s="87"/>
    </row>
    <row r="885" spans="2:11" ht="16" x14ac:dyDescent="0.2">
      <c r="B885" s="81"/>
      <c r="C885" s="211" t="s">
        <v>652</v>
      </c>
      <c r="D885" s="85"/>
      <c r="E885" s="85"/>
      <c r="F885" s="85"/>
      <c r="G885" s="85"/>
      <c r="H885" s="85"/>
      <c r="I885" s="85"/>
      <c r="J885" s="85"/>
      <c r="K885" s="87"/>
    </row>
    <row r="886" spans="2:11" x14ac:dyDescent="0.2">
      <c r="B886" s="81"/>
      <c r="C886" s="85" t="s">
        <v>380</v>
      </c>
      <c r="D886" s="85"/>
      <c r="E886" s="85"/>
      <c r="F886" s="85"/>
      <c r="G886" s="406" t="s">
        <v>237</v>
      </c>
      <c r="H886" s="407"/>
      <c r="I886" s="85"/>
      <c r="J886" s="83">
        <f>IF(G886=$B$998,$A$998,IF(G886=$B$999,$A$999,IF(G886=$B$1000,$A$1000,IF(G886=$B$1001,$A$1001,IF(G886=$B$1002,$A$1002,"Not Calculated")))))</f>
        <v>1</v>
      </c>
      <c r="K886" s="87"/>
    </row>
    <row r="887" spans="2:11" x14ac:dyDescent="0.2">
      <c r="B887" s="81"/>
      <c r="C887" s="85" t="s">
        <v>134</v>
      </c>
      <c r="D887" s="85"/>
      <c r="E887" s="85"/>
      <c r="F887" s="85"/>
      <c r="G887" s="85"/>
      <c r="H887" s="85"/>
      <c r="I887" s="85"/>
      <c r="J887" s="240">
        <f>'Baseline PHP'!J208</f>
        <v>0</v>
      </c>
      <c r="K887" s="87"/>
    </row>
    <row r="888" spans="2:11" x14ac:dyDescent="0.2">
      <c r="B888" s="81"/>
      <c r="C888" s="85"/>
      <c r="D888" s="85"/>
      <c r="E888" s="85"/>
      <c r="F888" s="85"/>
      <c r="G888" s="85"/>
      <c r="H888" s="85"/>
      <c r="I888" s="85"/>
      <c r="J888" s="85"/>
      <c r="K888" s="87"/>
    </row>
    <row r="889" spans="2:11" ht="16" x14ac:dyDescent="0.2">
      <c r="B889" s="81"/>
      <c r="C889" s="211" t="s">
        <v>653</v>
      </c>
      <c r="D889" s="85"/>
      <c r="E889" s="85"/>
      <c r="F889" s="85"/>
      <c r="G889" s="85"/>
      <c r="H889" s="85"/>
      <c r="I889" s="85"/>
      <c r="J889" s="85"/>
      <c r="K889" s="87"/>
    </row>
    <row r="890" spans="2:11" x14ac:dyDescent="0.2">
      <c r="B890" s="81"/>
      <c r="C890" s="85" t="s">
        <v>380</v>
      </c>
      <c r="D890" s="85"/>
      <c r="E890" s="85"/>
      <c r="F890" s="85"/>
      <c r="G890" s="406" t="s">
        <v>237</v>
      </c>
      <c r="H890" s="407"/>
      <c r="I890" s="85"/>
      <c r="J890" s="83">
        <f>IF(G890=$B$998,$A$998,IF(G890=$B$999,$A$999,IF(G890=$B$1000,$A$1000,IF(G890=$B$1001,$A$1001,IF(G890=$B$1002,$A$1002,"Not Calculated")))))</f>
        <v>1</v>
      </c>
      <c r="K890" s="87"/>
    </row>
    <row r="891" spans="2:11" x14ac:dyDescent="0.2">
      <c r="B891" s="81"/>
      <c r="C891" s="85" t="s">
        <v>134</v>
      </c>
      <c r="D891" s="85"/>
      <c r="E891" s="85"/>
      <c r="F891" s="85"/>
      <c r="G891" s="85"/>
      <c r="H891" s="85"/>
      <c r="I891" s="85"/>
      <c r="J891" s="240">
        <f>'Baseline PHP'!J222</f>
        <v>0</v>
      </c>
      <c r="K891" s="87"/>
    </row>
    <row r="892" spans="2:11" x14ac:dyDescent="0.2">
      <c r="B892" s="81"/>
      <c r="C892" s="85"/>
      <c r="D892" s="85"/>
      <c r="E892" s="85"/>
      <c r="F892" s="85"/>
      <c r="G892" s="85"/>
      <c r="H892" s="85"/>
      <c r="I892" s="85"/>
      <c r="J892" s="85"/>
      <c r="K892" s="87"/>
    </row>
    <row r="893" spans="2:11" x14ac:dyDescent="0.2">
      <c r="B893" s="81"/>
      <c r="C893" s="85"/>
      <c r="D893" s="85"/>
      <c r="E893" s="85"/>
      <c r="F893" s="85"/>
      <c r="G893" s="85"/>
      <c r="H893" s="85"/>
      <c r="I893" s="85"/>
      <c r="J893" s="85"/>
      <c r="K893" s="87"/>
    </row>
    <row r="894" spans="2:11" ht="16" x14ac:dyDescent="0.2">
      <c r="B894" s="81"/>
      <c r="C894" s="212" t="s">
        <v>813</v>
      </c>
      <c r="D894" s="85"/>
      <c r="E894" s="85"/>
      <c r="F894" s="85"/>
      <c r="G894" s="85"/>
      <c r="H894" s="85"/>
      <c r="I894" s="85"/>
      <c r="J894" s="241">
        <f>IF(OR(J854="Not Calculated",J858="Not Calculated",J862="Not Calculated",J866="Not Calculated",J870="Not Calculated",J874="Not Calculated",J878="Not Calculated",J882="Not Calculated",J886="Not Calculated",J890="Not Calculated",J834="Not Calculated",J838="Not Calculated",J842="Not Calculated",J846="Not Calculated",J850="Not Calculated",J855="Not Calculated",J859="Not Calculated",J863="Not Calculated",J867="Not Calculated",J871="Not Calculated",J875="Not Calculated",J879="Not Calculated",J883="Not Calculated",J887="Not Calculated",J891="Not Calculated",J835="Not Calculated",J839="Not Calculated",J843="Not Calculated",J847="Not Calculated",J851="Not Calculated")=TRUE,"Not Calculated",((J834*J835)+(J838*J839)+(J842*J843)+(J846*J847)+(J850*J851)+(J854*J855)+(J858*J859)+(J862*J863)+(J866*J867)+(J870*J871)+(J874*J875)+(J878*J879)+(J882*J883)+(J886*J887)+(J890*J891))/(J834+J838+J842+J846+J850+J854+J858+J862+J866+J870+J874+J878+J882+J886+J890))</f>
        <v>0</v>
      </c>
      <c r="K894" s="87"/>
    </row>
    <row r="895" spans="2:11" ht="16" thickBot="1" x14ac:dyDescent="0.25">
      <c r="B895" s="213"/>
      <c r="C895" s="94"/>
      <c r="D895" s="94"/>
      <c r="E895" s="94"/>
      <c r="F895" s="94"/>
      <c r="G895" s="94"/>
      <c r="H895" s="94"/>
      <c r="I895" s="94"/>
      <c r="J895" s="94"/>
      <c r="K895" s="96"/>
    </row>
    <row r="896" spans="2:11" ht="16" thickBot="1" x14ac:dyDescent="0.25"/>
    <row r="897" spans="2:11" x14ac:dyDescent="0.2">
      <c r="B897" s="77"/>
      <c r="C897" s="78"/>
      <c r="D897" s="78"/>
      <c r="E897" s="78"/>
      <c r="F897" s="78"/>
      <c r="G897" s="78"/>
      <c r="H897" s="78"/>
      <c r="I897" s="78"/>
      <c r="J897" s="78"/>
      <c r="K897" s="80"/>
    </row>
    <row r="898" spans="2:11" ht="21" x14ac:dyDescent="0.25">
      <c r="B898" s="81"/>
      <c r="C898" s="85"/>
      <c r="D898" s="85"/>
      <c r="E898" s="85"/>
      <c r="F898" s="85"/>
      <c r="G898" s="210" t="s">
        <v>807</v>
      </c>
      <c r="H898" s="85"/>
      <c r="I898" s="85"/>
      <c r="J898" s="85"/>
      <c r="K898" s="87"/>
    </row>
    <row r="899" spans="2:11" x14ac:dyDescent="0.2">
      <c r="B899" s="81"/>
      <c r="C899" s="85"/>
      <c r="D899" s="85"/>
      <c r="E899" s="85"/>
      <c r="F899" s="85"/>
      <c r="G899" s="85"/>
      <c r="H899" s="85"/>
      <c r="I899" s="85"/>
      <c r="J899" s="85"/>
      <c r="K899" s="87"/>
    </row>
    <row r="900" spans="2:11" ht="15" customHeight="1" x14ac:dyDescent="0.2">
      <c r="B900" s="81"/>
      <c r="C900" s="424" t="s">
        <v>809</v>
      </c>
      <c r="D900" s="424"/>
      <c r="E900" s="424"/>
      <c r="F900" s="424"/>
      <c r="G900" s="424"/>
      <c r="H900" s="424"/>
      <c r="I900" s="424"/>
      <c r="J900" s="424"/>
      <c r="K900" s="87"/>
    </row>
    <row r="901" spans="2:11" x14ac:dyDescent="0.2">
      <c r="B901" s="81"/>
      <c r="C901" s="424"/>
      <c r="D901" s="424"/>
      <c r="E901" s="424"/>
      <c r="F901" s="424"/>
      <c r="G901" s="424"/>
      <c r="H901" s="424"/>
      <c r="I901" s="424"/>
      <c r="J901" s="424"/>
      <c r="K901" s="87"/>
    </row>
    <row r="902" spans="2:11" x14ac:dyDescent="0.2">
      <c r="B902" s="81"/>
      <c r="C902" s="85"/>
      <c r="D902" s="85"/>
      <c r="E902" s="85"/>
      <c r="F902" s="85"/>
      <c r="G902" s="85"/>
      <c r="H902" s="85"/>
      <c r="I902" s="85"/>
      <c r="J902" s="85"/>
      <c r="K902" s="87"/>
    </row>
    <row r="903" spans="2:11" ht="16" x14ac:dyDescent="0.2">
      <c r="B903" s="81"/>
      <c r="C903" s="211" t="s">
        <v>810</v>
      </c>
      <c r="D903" s="85"/>
      <c r="E903" s="85"/>
      <c r="F903" s="85"/>
      <c r="G903" s="85"/>
      <c r="H903" s="85"/>
      <c r="I903" s="85"/>
      <c r="J903" s="85"/>
      <c r="K903" s="87"/>
    </row>
    <row r="904" spans="2:11" x14ac:dyDescent="0.2">
      <c r="B904" s="81"/>
      <c r="C904" s="85" t="s">
        <v>380</v>
      </c>
      <c r="D904" s="85"/>
      <c r="E904" s="85"/>
      <c r="F904" s="85"/>
      <c r="G904" s="406" t="s">
        <v>234</v>
      </c>
      <c r="H904" s="407"/>
      <c r="I904" s="85"/>
      <c r="J904" s="83">
        <f>IF(G904=$B$998,$A$998,IF(G904=$B$999,$A$999,IF(G904=$B$1000,$A$1000,IF(G904=$B$1001,$A$1001,IF(G904=$B$1002,$A$1002,"Not Calculated")))))</f>
        <v>4</v>
      </c>
      <c r="K904" s="87"/>
    </row>
    <row r="905" spans="2:11" x14ac:dyDescent="0.2">
      <c r="B905" s="81"/>
      <c r="C905" s="85" t="s">
        <v>134</v>
      </c>
      <c r="D905" s="85"/>
      <c r="E905" s="85"/>
      <c r="F905" s="85"/>
      <c r="G905" s="85"/>
      <c r="H905" s="85"/>
      <c r="I905" s="85"/>
      <c r="J905" s="240">
        <f>'Baseline HP'!J22</f>
        <v>0</v>
      </c>
      <c r="K905" s="87"/>
    </row>
    <row r="906" spans="2:11" x14ac:dyDescent="0.2">
      <c r="B906" s="81"/>
      <c r="C906" s="85"/>
      <c r="D906" s="85"/>
      <c r="E906" s="85"/>
      <c r="F906" s="85"/>
      <c r="G906" s="85"/>
      <c r="H906" s="85"/>
      <c r="I906" s="85"/>
      <c r="J906" s="85"/>
      <c r="K906" s="87"/>
    </row>
    <row r="907" spans="2:11" ht="16" x14ac:dyDescent="0.2">
      <c r="B907" s="81"/>
      <c r="C907" s="211" t="s">
        <v>811</v>
      </c>
      <c r="D907" s="85"/>
      <c r="E907" s="85"/>
      <c r="F907" s="85"/>
      <c r="G907" s="85"/>
      <c r="H907" s="85"/>
      <c r="I907" s="85"/>
      <c r="J907" s="85"/>
      <c r="K907" s="87"/>
    </row>
    <row r="908" spans="2:11" x14ac:dyDescent="0.2">
      <c r="B908" s="81"/>
      <c r="C908" s="85" t="s">
        <v>380</v>
      </c>
      <c r="D908" s="85"/>
      <c r="E908" s="85"/>
      <c r="F908" s="85"/>
      <c r="G908" s="406" t="s">
        <v>238</v>
      </c>
      <c r="H908" s="407"/>
      <c r="I908" s="85"/>
      <c r="J908" s="83">
        <f>IF(G908=$B$998,$A$998,IF(G908=$B$999,$A$999,IF(G908=$B$1000,$A$1000,IF(G908=$B$1001,$A$1001,IF(G908=$B$1002,$A$1002,"Not Calculated")))))</f>
        <v>3</v>
      </c>
      <c r="K908" s="87"/>
    </row>
    <row r="909" spans="2:11" x14ac:dyDescent="0.2">
      <c r="B909" s="81"/>
      <c r="C909" s="85" t="s">
        <v>134</v>
      </c>
      <c r="D909" s="85"/>
      <c r="E909" s="85"/>
      <c r="F909" s="85"/>
      <c r="G909" s="85"/>
      <c r="H909" s="85"/>
      <c r="I909" s="85"/>
      <c r="J909" s="240">
        <f>'Baseline HP'!J32</f>
        <v>0</v>
      </c>
      <c r="K909" s="87"/>
    </row>
    <row r="910" spans="2:11" x14ac:dyDescent="0.2">
      <c r="B910" s="81"/>
      <c r="C910" s="85"/>
      <c r="D910" s="85"/>
      <c r="E910" s="85"/>
      <c r="F910" s="85"/>
      <c r="G910" s="85"/>
      <c r="H910" s="85"/>
      <c r="I910" s="85"/>
      <c r="J910" s="85"/>
      <c r="K910" s="87"/>
    </row>
    <row r="911" spans="2:11" ht="16" x14ac:dyDescent="0.2">
      <c r="B911" s="81"/>
      <c r="C911" s="211" t="s">
        <v>645</v>
      </c>
      <c r="D911" s="85"/>
      <c r="E911" s="85"/>
      <c r="F911" s="85"/>
      <c r="G911" s="85"/>
      <c r="H911" s="85"/>
      <c r="I911" s="85"/>
      <c r="J911" s="85"/>
      <c r="K911" s="87"/>
    </row>
    <row r="912" spans="2:11" x14ac:dyDescent="0.2">
      <c r="B912" s="81"/>
      <c r="C912" s="85" t="s">
        <v>380</v>
      </c>
      <c r="D912" s="85"/>
      <c r="E912" s="85"/>
      <c r="F912" s="85"/>
      <c r="G912" s="406" t="s">
        <v>234</v>
      </c>
      <c r="H912" s="407"/>
      <c r="I912" s="85"/>
      <c r="J912" s="83">
        <f>IF(G912=$B$998,$A$998,IF(G912=$B$999,$A$999,IF(G912=$B$1000,$A$1000,IF(G912=$B$1001,$A$1001,IF(G912=$B$1002,$A$1002,"Not Calculated")))))</f>
        <v>4</v>
      </c>
      <c r="K912" s="87"/>
    </row>
    <row r="913" spans="2:11" x14ac:dyDescent="0.2">
      <c r="B913" s="81"/>
      <c r="C913" s="85" t="s">
        <v>134</v>
      </c>
      <c r="D913" s="85"/>
      <c r="E913" s="85"/>
      <c r="F913" s="85"/>
      <c r="G913" s="85"/>
      <c r="H913" s="85"/>
      <c r="I913" s="85"/>
      <c r="J913" s="240">
        <f>'Baseline HP'!J46</f>
        <v>0</v>
      </c>
      <c r="K913" s="87"/>
    </row>
    <row r="914" spans="2:11" x14ac:dyDescent="0.2">
      <c r="B914" s="81"/>
      <c r="C914" s="85"/>
      <c r="D914" s="85"/>
      <c r="E914" s="85"/>
      <c r="F914" s="85"/>
      <c r="G914" s="85"/>
      <c r="H914" s="85"/>
      <c r="I914" s="85"/>
      <c r="J914" s="85"/>
      <c r="K914" s="87"/>
    </row>
    <row r="915" spans="2:11" ht="16" x14ac:dyDescent="0.2">
      <c r="B915" s="81"/>
      <c r="C915" s="211" t="s">
        <v>648</v>
      </c>
      <c r="D915" s="85"/>
      <c r="E915" s="85"/>
      <c r="F915" s="85"/>
      <c r="G915" s="85"/>
      <c r="H915" s="85"/>
      <c r="I915" s="85"/>
      <c r="J915" s="85"/>
      <c r="K915" s="87"/>
    </row>
    <row r="916" spans="2:11" ht="15" customHeight="1" x14ac:dyDescent="0.2">
      <c r="B916" s="81"/>
      <c r="C916" s="85" t="s">
        <v>380</v>
      </c>
      <c r="D916" s="85"/>
      <c r="E916" s="85"/>
      <c r="F916" s="85"/>
      <c r="G916" s="406" t="s">
        <v>235</v>
      </c>
      <c r="H916" s="407"/>
      <c r="I916" s="85"/>
      <c r="J916" s="83">
        <f>IF(G916=$B$998,$A$998,IF(G916=$B$999,$A$999,IF(G916=$B$1000,$A$1000,IF(G916=$B$1001,$A$1001,IF(G916=$B$1002,$A$1002,"Not Calculated")))))</f>
        <v>2</v>
      </c>
      <c r="K916" s="87"/>
    </row>
    <row r="917" spans="2:11" x14ac:dyDescent="0.2">
      <c r="B917" s="81"/>
      <c r="C917" s="85" t="s">
        <v>134</v>
      </c>
      <c r="D917" s="85"/>
      <c r="E917" s="85"/>
      <c r="F917" s="85"/>
      <c r="G917" s="85"/>
      <c r="H917" s="85"/>
      <c r="I917" s="85"/>
      <c r="J917" s="240">
        <f>'Baseline HP'!J58</f>
        <v>0</v>
      </c>
      <c r="K917" s="87"/>
    </row>
    <row r="918" spans="2:11" x14ac:dyDescent="0.2">
      <c r="B918" s="81"/>
      <c r="C918" s="85"/>
      <c r="D918" s="85"/>
      <c r="E918" s="85"/>
      <c r="F918" s="85"/>
      <c r="G918" s="85"/>
      <c r="H918" s="85"/>
      <c r="I918" s="85"/>
      <c r="J918" s="85"/>
      <c r="K918" s="87"/>
    </row>
    <row r="919" spans="2:11" ht="16" x14ac:dyDescent="0.2">
      <c r="B919" s="81"/>
      <c r="C919" s="211" t="s">
        <v>647</v>
      </c>
      <c r="D919" s="85"/>
      <c r="E919" s="85"/>
      <c r="F919" s="85"/>
      <c r="G919" s="85"/>
      <c r="H919" s="85"/>
      <c r="I919" s="85"/>
      <c r="J919" s="85"/>
      <c r="K919" s="87"/>
    </row>
    <row r="920" spans="2:11" x14ac:dyDescent="0.2">
      <c r="B920" s="81"/>
      <c r="C920" s="85" t="s">
        <v>380</v>
      </c>
      <c r="D920" s="85"/>
      <c r="E920" s="85"/>
      <c r="F920" s="85"/>
      <c r="G920" s="406" t="s">
        <v>234</v>
      </c>
      <c r="H920" s="407"/>
      <c r="I920" s="85"/>
      <c r="J920" s="83">
        <f>IF(G920=$B$998,$A$998,IF(G920=$B$999,$A$999,IF(G920=$B$1000,$A$1000,IF(G920=$B$1001,$A$1001,IF(G920=$B$1002,$A$1002,"Not Calculated")))))</f>
        <v>4</v>
      </c>
      <c r="K920" s="87"/>
    </row>
    <row r="921" spans="2:11" x14ac:dyDescent="0.2">
      <c r="B921" s="81"/>
      <c r="C921" s="85" t="s">
        <v>134</v>
      </c>
      <c r="D921" s="85"/>
      <c r="E921" s="85"/>
      <c r="F921" s="85"/>
      <c r="G921" s="85"/>
      <c r="H921" s="85"/>
      <c r="I921" s="85"/>
      <c r="J921" s="240">
        <f>'Baseline HP'!J68</f>
        <v>0</v>
      </c>
      <c r="K921" s="87"/>
    </row>
    <row r="922" spans="2:11" x14ac:dyDescent="0.2">
      <c r="B922" s="81"/>
      <c r="C922" s="85"/>
      <c r="D922" s="85"/>
      <c r="E922" s="85"/>
      <c r="F922" s="85"/>
      <c r="G922" s="85"/>
      <c r="H922" s="85"/>
      <c r="I922" s="85"/>
      <c r="J922" s="85"/>
      <c r="K922" s="87"/>
    </row>
    <row r="923" spans="2:11" ht="16" x14ac:dyDescent="0.2">
      <c r="B923" s="81"/>
      <c r="C923" s="211" t="s">
        <v>121</v>
      </c>
      <c r="D923" s="85"/>
      <c r="E923" s="85"/>
      <c r="F923" s="85"/>
      <c r="G923" s="85"/>
      <c r="H923" s="85"/>
      <c r="I923" s="85"/>
      <c r="J923" s="85"/>
      <c r="K923" s="87"/>
    </row>
    <row r="924" spans="2:11" x14ac:dyDescent="0.2">
      <c r="B924" s="81"/>
      <c r="C924" s="85" t="s">
        <v>380</v>
      </c>
      <c r="D924" s="85"/>
      <c r="E924" s="85"/>
      <c r="F924" s="85"/>
      <c r="G924" s="406" t="s">
        <v>237</v>
      </c>
      <c r="H924" s="407"/>
      <c r="I924" s="85"/>
      <c r="J924" s="83">
        <f>IF(G924=$B$998,$A$998,IF(G924=$B$999,$A$999,IF(G924=$B$1000,$A$1000,IF(G924=$B$1001,$A$1001,IF(G924=$B$1002,$A$1002,"Not Calculated")))))</f>
        <v>1</v>
      </c>
      <c r="K924" s="87"/>
    </row>
    <row r="925" spans="2:11" x14ac:dyDescent="0.2">
      <c r="B925" s="81"/>
      <c r="C925" s="85" t="s">
        <v>134</v>
      </c>
      <c r="D925" s="85"/>
      <c r="E925" s="85"/>
      <c r="F925" s="85"/>
      <c r="G925" s="85"/>
      <c r="H925" s="85"/>
      <c r="I925" s="85"/>
      <c r="J925" s="240">
        <f>'Baseline HP'!J84</f>
        <v>0</v>
      </c>
      <c r="K925" s="87"/>
    </row>
    <row r="926" spans="2:11" x14ac:dyDescent="0.2">
      <c r="B926" s="81"/>
      <c r="C926" s="85"/>
      <c r="D926" s="85"/>
      <c r="E926" s="85"/>
      <c r="F926" s="85"/>
      <c r="G926" s="85"/>
      <c r="H926" s="85"/>
      <c r="I926" s="85"/>
      <c r="J926" s="85"/>
      <c r="K926" s="87"/>
    </row>
    <row r="927" spans="2:11" ht="16" x14ac:dyDescent="0.2">
      <c r="B927" s="81"/>
      <c r="C927" s="211" t="s">
        <v>652</v>
      </c>
      <c r="D927" s="85"/>
      <c r="E927" s="85"/>
      <c r="F927" s="85"/>
      <c r="G927" s="85"/>
      <c r="H927" s="85"/>
      <c r="I927" s="85"/>
      <c r="J927" s="85"/>
      <c r="K927" s="87"/>
    </row>
    <row r="928" spans="2:11" x14ac:dyDescent="0.2">
      <c r="B928" s="81"/>
      <c r="C928" s="85" t="s">
        <v>380</v>
      </c>
      <c r="D928" s="85"/>
      <c r="E928" s="85"/>
      <c r="F928" s="85"/>
      <c r="G928" s="406" t="s">
        <v>237</v>
      </c>
      <c r="H928" s="407"/>
      <c r="I928" s="85"/>
      <c r="J928" s="83">
        <f>IF(G928=$B$998,$A$998,IF(G928=$B$999,$A$999,IF(G928=$B$1000,$A$1000,IF(G928=$B$1001,$A$1001,IF(G928=$B$1002,$A$1002,"Not Calculated")))))</f>
        <v>1</v>
      </c>
      <c r="K928" s="87"/>
    </row>
    <row r="929" spans="2:11" x14ac:dyDescent="0.2">
      <c r="B929" s="81"/>
      <c r="C929" s="85" t="s">
        <v>134</v>
      </c>
      <c r="D929" s="85"/>
      <c r="E929" s="85"/>
      <c r="F929" s="85"/>
      <c r="G929" s="85"/>
      <c r="H929" s="85"/>
      <c r="I929" s="85"/>
      <c r="J929" s="240">
        <f>'Baseline HP'!J94</f>
        <v>0</v>
      </c>
      <c r="K929" s="87"/>
    </row>
    <row r="930" spans="2:11" x14ac:dyDescent="0.2">
      <c r="B930" s="81"/>
      <c r="C930" s="85"/>
      <c r="D930" s="85"/>
      <c r="E930" s="85"/>
      <c r="F930" s="85"/>
      <c r="G930" s="85"/>
      <c r="H930" s="85"/>
      <c r="I930" s="85"/>
      <c r="J930" s="85"/>
      <c r="K930" s="87"/>
    </row>
    <row r="931" spans="2:11" ht="16" x14ac:dyDescent="0.2">
      <c r="B931" s="81"/>
      <c r="C931" s="211" t="s">
        <v>653</v>
      </c>
      <c r="D931" s="85"/>
      <c r="E931" s="85"/>
      <c r="F931" s="85"/>
      <c r="G931" s="85"/>
      <c r="H931" s="85"/>
      <c r="I931" s="85"/>
      <c r="J931" s="85"/>
      <c r="K931" s="87"/>
    </row>
    <row r="932" spans="2:11" x14ac:dyDescent="0.2">
      <c r="B932" s="81"/>
      <c r="C932" s="85" t="s">
        <v>380</v>
      </c>
      <c r="D932" s="85"/>
      <c r="E932" s="85"/>
      <c r="F932" s="85"/>
      <c r="G932" s="406" t="s">
        <v>237</v>
      </c>
      <c r="H932" s="407"/>
      <c r="I932" s="85"/>
      <c r="J932" s="83">
        <f>IF(G932=$B$998,$A$998,IF(G932=$B$999,$A$999,IF(G932=$B$1000,$A$1000,IF(G932=$B$1001,$A$1001,IF(G932=$B$1002,$A$1002,"Not Calculated")))))</f>
        <v>1</v>
      </c>
      <c r="K932" s="87"/>
    </row>
    <row r="933" spans="2:11" x14ac:dyDescent="0.2">
      <c r="B933" s="81"/>
      <c r="C933" s="85" t="s">
        <v>134</v>
      </c>
      <c r="D933" s="85"/>
      <c r="E933" s="85"/>
      <c r="F933" s="85"/>
      <c r="G933" s="85"/>
      <c r="H933" s="85"/>
      <c r="I933" s="85"/>
      <c r="J933" s="240">
        <f>'Baseline HP'!J108</f>
        <v>0</v>
      </c>
      <c r="K933" s="87"/>
    </row>
    <row r="934" spans="2:11" x14ac:dyDescent="0.2">
      <c r="B934" s="81"/>
      <c r="C934" s="85"/>
      <c r="D934" s="85"/>
      <c r="E934" s="85"/>
      <c r="F934" s="85"/>
      <c r="G934" s="85"/>
      <c r="H934" s="85"/>
      <c r="I934" s="85"/>
      <c r="J934" s="85"/>
      <c r="K934" s="87"/>
    </row>
    <row r="935" spans="2:11" x14ac:dyDescent="0.2">
      <c r="B935" s="81"/>
      <c r="C935" s="85"/>
      <c r="D935" s="85"/>
      <c r="E935" s="85"/>
      <c r="F935" s="85"/>
      <c r="G935" s="85"/>
      <c r="H935" s="85"/>
      <c r="I935" s="85"/>
      <c r="J935" s="85"/>
      <c r="K935" s="87"/>
    </row>
    <row r="936" spans="2:11" ht="16" x14ac:dyDescent="0.2">
      <c r="B936" s="81"/>
      <c r="C936" s="212" t="s">
        <v>812</v>
      </c>
      <c r="D936" s="85"/>
      <c r="E936" s="85"/>
      <c r="F936" s="85"/>
      <c r="G936" s="85"/>
      <c r="H936" s="85"/>
      <c r="I936" s="85"/>
      <c r="J936" s="241">
        <f>IF(OR(J920="Not Calculated",J924="Not Calculated",J928="Not Calculated",J932="Not Calculated",J904="Not Calculated",J908="Not Calculated",J912="Not Calculated",J916="Not Calculated",J921="Not Calculated",J925="Not Calculated",J929="Not Calculated",J933="Not Calculated",J905="Not Calculated",J909="Not Calculated",J913="Not Calculated",J917="Not Calculated")=TRUE,"Not Calculated",((J904*J905)+(J908*J909)+(J912*J913)+(J916*J917)+(J920*J921)+(J924*J925)+(J928*J929)+(J932*J933))/(J904+J908+J912+J916+J920+J924+J928+J932))</f>
        <v>0</v>
      </c>
      <c r="K936" s="87"/>
    </row>
    <row r="937" spans="2:11" ht="16" thickBot="1" x14ac:dyDescent="0.25">
      <c r="B937" s="213"/>
      <c r="C937" s="94"/>
      <c r="D937" s="94"/>
      <c r="E937" s="94"/>
      <c r="F937" s="94"/>
      <c r="G937" s="94"/>
      <c r="H937" s="94"/>
      <c r="I937" s="94"/>
      <c r="J937" s="94"/>
      <c r="K937" s="96"/>
    </row>
    <row r="938" spans="2:11" ht="16" thickBot="1" x14ac:dyDescent="0.25"/>
    <row r="939" spans="2:11" x14ac:dyDescent="0.2">
      <c r="B939" s="77"/>
      <c r="C939" s="78"/>
      <c r="D939" s="78"/>
      <c r="E939" s="78"/>
      <c r="F939" s="78"/>
      <c r="G939" s="78"/>
      <c r="H939" s="78"/>
      <c r="I939" s="78"/>
      <c r="J939" s="78"/>
      <c r="K939" s="80"/>
    </row>
    <row r="940" spans="2:11" ht="21" x14ac:dyDescent="0.25">
      <c r="B940" s="81"/>
      <c r="C940" s="85"/>
      <c r="D940" s="85"/>
      <c r="E940" s="85"/>
      <c r="F940" s="85"/>
      <c r="G940" s="210" t="s">
        <v>815</v>
      </c>
      <c r="H940" s="85"/>
      <c r="I940" s="85"/>
      <c r="J940" s="85"/>
      <c r="K940" s="87"/>
    </row>
    <row r="941" spans="2:11" ht="21" x14ac:dyDescent="0.25">
      <c r="B941" s="81"/>
      <c r="C941" s="85"/>
      <c r="D941" s="85"/>
      <c r="E941" s="85"/>
      <c r="F941" s="85"/>
      <c r="G941" s="210"/>
      <c r="H941" s="85"/>
      <c r="I941" s="85"/>
      <c r="J941" s="85"/>
      <c r="K941" s="87"/>
    </row>
    <row r="942" spans="2:11" ht="16" x14ac:dyDescent="0.2">
      <c r="B942" s="81"/>
      <c r="C942" s="212" t="s">
        <v>995</v>
      </c>
      <c r="D942" s="85"/>
      <c r="E942" s="85"/>
      <c r="F942" s="85"/>
      <c r="G942" s="85"/>
      <c r="H942" s="85"/>
      <c r="I942" s="85"/>
      <c r="J942" s="241">
        <f>IF(OR(J936="Not Calculated",J894="Not Calculated")=TRUE,"Not Calculated",AVERAGE(J936,J894))</f>
        <v>0</v>
      </c>
      <c r="K942" s="87"/>
    </row>
    <row r="943" spans="2:11" ht="16" x14ac:dyDescent="0.2">
      <c r="B943" s="81"/>
      <c r="C943" s="212"/>
      <c r="D943" s="85" t="s">
        <v>814</v>
      </c>
      <c r="E943" s="85"/>
      <c r="F943" s="85"/>
      <c r="G943" s="85"/>
      <c r="H943" s="85"/>
      <c r="I943" s="85"/>
      <c r="J943" s="241"/>
      <c r="K943" s="87"/>
    </row>
    <row r="944" spans="2:11" ht="17" thickBot="1" x14ac:dyDescent="0.25">
      <c r="B944" s="213"/>
      <c r="C944" s="227"/>
      <c r="D944" s="94"/>
      <c r="E944" s="94"/>
      <c r="F944" s="94"/>
      <c r="G944" s="94"/>
      <c r="H944" s="94"/>
      <c r="I944" s="94"/>
      <c r="J944" s="228"/>
      <c r="K944" s="96"/>
    </row>
    <row r="945" spans="2:11" ht="16" thickBot="1" x14ac:dyDescent="0.25"/>
    <row r="946" spans="2:11" x14ac:dyDescent="0.2">
      <c r="B946" s="214"/>
      <c r="C946" s="215"/>
      <c r="D946" s="215"/>
      <c r="E946" s="215"/>
      <c r="F946" s="215"/>
      <c r="G946" s="215"/>
      <c r="H946" s="215"/>
      <c r="I946" s="215"/>
      <c r="J946" s="215"/>
      <c r="K946" s="216"/>
    </row>
    <row r="947" spans="2:11" ht="21" x14ac:dyDescent="0.25">
      <c r="B947" s="217"/>
      <c r="C947" s="218"/>
      <c r="D947" s="218"/>
      <c r="E947" s="218"/>
      <c r="F947" s="218"/>
      <c r="G947" s="219" t="s">
        <v>239</v>
      </c>
      <c r="H947" s="218"/>
      <c r="I947" s="218"/>
      <c r="J947" s="218"/>
      <c r="K947" s="220"/>
    </row>
    <row r="948" spans="2:11" x14ac:dyDescent="0.2">
      <c r="B948" s="217"/>
      <c r="C948" s="218"/>
      <c r="D948" s="218"/>
      <c r="E948" s="218"/>
      <c r="F948" s="218"/>
      <c r="G948" s="218"/>
      <c r="H948" s="218"/>
      <c r="I948" s="218"/>
      <c r="J948" s="218"/>
      <c r="K948" s="220"/>
    </row>
    <row r="949" spans="2:11" ht="16" x14ac:dyDescent="0.2">
      <c r="B949" s="217"/>
      <c r="C949" s="221" t="s">
        <v>393</v>
      </c>
      <c r="D949" s="218"/>
      <c r="E949" s="218"/>
      <c r="F949" s="218"/>
      <c r="G949" s="218"/>
      <c r="H949" s="218"/>
      <c r="I949" s="218"/>
      <c r="J949" s="242" t="str">
        <f>IF(OR(J817="Not Calculated",J942="Not Calculated")=TRUE,"Not Calculated",J817/J942)</f>
        <v>Not Calculated</v>
      </c>
      <c r="K949" s="220"/>
    </row>
    <row r="950" spans="2:11" x14ac:dyDescent="0.2">
      <c r="B950" s="217"/>
      <c r="C950" s="218"/>
      <c r="D950" s="218" t="s">
        <v>816</v>
      </c>
      <c r="E950" s="218"/>
      <c r="F950" s="218"/>
      <c r="G950" s="218"/>
      <c r="H950" s="218"/>
      <c r="I950" s="218"/>
      <c r="J950" s="218"/>
      <c r="K950" s="220"/>
    </row>
    <row r="951" spans="2:11" x14ac:dyDescent="0.2">
      <c r="B951" s="217"/>
      <c r="C951" s="218"/>
      <c r="D951" s="218"/>
      <c r="E951" s="218"/>
      <c r="F951" s="218"/>
      <c r="G951" s="218"/>
      <c r="H951" s="218"/>
      <c r="I951" s="218"/>
      <c r="J951" s="218"/>
      <c r="K951" s="220"/>
    </row>
    <row r="952" spans="2:11" ht="16" x14ac:dyDescent="0.2">
      <c r="B952" s="217"/>
      <c r="C952" s="221" t="s">
        <v>996</v>
      </c>
      <c r="D952" s="218"/>
      <c r="E952" s="218"/>
      <c r="F952" s="218"/>
      <c r="G952" s="218"/>
      <c r="H952" s="218"/>
      <c r="I952" s="218"/>
      <c r="J952" s="242" t="str">
        <f>IF(OR(J820="Not Calculated",J894="Not Calculated")=TRUE,"Not Calculated",J820/J894)</f>
        <v>Not Calculated</v>
      </c>
      <c r="K952" s="220"/>
    </row>
    <row r="953" spans="2:11" x14ac:dyDescent="0.2">
      <c r="B953" s="217"/>
      <c r="C953" s="218"/>
      <c r="D953" s="218" t="s">
        <v>817</v>
      </c>
      <c r="E953" s="218"/>
      <c r="F953" s="218"/>
      <c r="G953" s="218"/>
      <c r="H953" s="218"/>
      <c r="I953" s="218"/>
      <c r="J953" s="218"/>
      <c r="K953" s="220"/>
    </row>
    <row r="954" spans="2:11" x14ac:dyDescent="0.2">
      <c r="B954" s="217"/>
      <c r="C954" s="218"/>
      <c r="D954" s="218"/>
      <c r="E954" s="218"/>
      <c r="F954" s="218"/>
      <c r="G954" s="218"/>
      <c r="H954" s="218"/>
      <c r="I954" s="218"/>
      <c r="J954" s="218"/>
      <c r="K954" s="220"/>
    </row>
    <row r="955" spans="2:11" ht="16" x14ac:dyDescent="0.2">
      <c r="B955" s="217"/>
      <c r="C955" s="221" t="s">
        <v>997</v>
      </c>
      <c r="D955" s="218"/>
      <c r="E955" s="218"/>
      <c r="F955" s="218"/>
      <c r="G955" s="218"/>
      <c r="H955" s="218"/>
      <c r="I955" s="218"/>
      <c r="J955" s="242" t="str">
        <f>IF(OR(J936="Not Calculated",J823="Not Calculated")=TRUE,"Not Calculated",J823/J936)</f>
        <v>Not Calculated</v>
      </c>
      <c r="K955" s="220"/>
    </row>
    <row r="956" spans="2:11" x14ac:dyDescent="0.2">
      <c r="B956" s="217"/>
      <c r="C956" s="218"/>
      <c r="D956" s="218" t="s">
        <v>818</v>
      </c>
      <c r="E956" s="218"/>
      <c r="F956" s="218"/>
      <c r="G956" s="218"/>
      <c r="H956" s="218"/>
      <c r="I956" s="218"/>
      <c r="J956" s="218"/>
      <c r="K956" s="220"/>
    </row>
    <row r="957" spans="2:11" ht="16" thickBot="1" x14ac:dyDescent="0.25">
      <c r="B957" s="222"/>
      <c r="C957" s="223"/>
      <c r="D957" s="223"/>
      <c r="E957" s="223"/>
      <c r="F957" s="223"/>
      <c r="G957" s="223"/>
      <c r="H957" s="223"/>
      <c r="I957" s="223"/>
      <c r="J957" s="223"/>
      <c r="K957" s="224"/>
    </row>
    <row r="959" spans="2:11" ht="15" customHeight="1" x14ac:dyDescent="0.2">
      <c r="F959" s="405"/>
      <c r="G959" s="405"/>
      <c r="H959" s="405"/>
    </row>
    <row r="960" spans="2:11" x14ac:dyDescent="0.2">
      <c r="F960" s="405"/>
      <c r="G960" s="405"/>
      <c r="H960" s="405"/>
    </row>
    <row r="965" spans="1:3" ht="15" hidden="1" customHeight="1" x14ac:dyDescent="0.2">
      <c r="A965" s="12" t="s">
        <v>228</v>
      </c>
    </row>
    <row r="966" spans="1:3" ht="15" hidden="1" customHeight="1" x14ac:dyDescent="0.2">
      <c r="A966" s="12">
        <v>0</v>
      </c>
      <c r="B966" s="12" t="s">
        <v>250</v>
      </c>
      <c r="C966" s="12" t="s">
        <v>240</v>
      </c>
    </row>
    <row r="967" spans="1:3" ht="15" hidden="1" customHeight="1" x14ac:dyDescent="0.2">
      <c r="A967" s="12">
        <v>1</v>
      </c>
      <c r="B967" s="12" t="s">
        <v>251</v>
      </c>
      <c r="C967" s="12" t="s">
        <v>241</v>
      </c>
    </row>
    <row r="968" spans="1:3" ht="15" hidden="1" customHeight="1" x14ac:dyDescent="0.2">
      <c r="A968" s="12">
        <v>2</v>
      </c>
      <c r="B968" s="12" t="s">
        <v>252</v>
      </c>
      <c r="C968" s="12" t="s">
        <v>242</v>
      </c>
    </row>
    <row r="969" spans="1:3" ht="15" hidden="1" customHeight="1" x14ac:dyDescent="0.2">
      <c r="A969" s="12">
        <v>3</v>
      </c>
      <c r="B969" s="12" t="s">
        <v>253</v>
      </c>
      <c r="C969" s="12" t="s">
        <v>227</v>
      </c>
    </row>
    <row r="970" spans="1:3" ht="15" hidden="1" customHeight="1" x14ac:dyDescent="0.2">
      <c r="A970" s="12">
        <v>4</v>
      </c>
      <c r="B970" s="12" t="s">
        <v>254</v>
      </c>
      <c r="C970" s="12" t="s">
        <v>243</v>
      </c>
    </row>
    <row r="971" spans="1:3" ht="15" hidden="1" customHeight="1" x14ac:dyDescent="0.2"/>
    <row r="972" spans="1:3" ht="15" hidden="1" customHeight="1" x14ac:dyDescent="0.2">
      <c r="A972" s="12" t="s">
        <v>259</v>
      </c>
    </row>
    <row r="973" spans="1:3" ht="15" hidden="1" customHeight="1" x14ac:dyDescent="0.2">
      <c r="A973" s="12">
        <v>0</v>
      </c>
      <c r="B973" s="225" t="s">
        <v>870</v>
      </c>
    </row>
    <row r="974" spans="1:3" ht="15" hidden="1" customHeight="1" x14ac:dyDescent="0.2">
      <c r="A974" s="12">
        <v>1</v>
      </c>
      <c r="B974" s="12" t="s">
        <v>880</v>
      </c>
    </row>
    <row r="975" spans="1:3" ht="15" hidden="1" customHeight="1" x14ac:dyDescent="0.2">
      <c r="A975" s="12">
        <v>2</v>
      </c>
      <c r="B975" s="12" t="s">
        <v>872</v>
      </c>
    </row>
    <row r="976" spans="1:3" ht="15" hidden="1" customHeight="1" x14ac:dyDescent="0.2">
      <c r="A976" s="12">
        <v>3</v>
      </c>
      <c r="B976" s="12" t="s">
        <v>873</v>
      </c>
    </row>
    <row r="977" spans="1:2" ht="15" hidden="1" customHeight="1" x14ac:dyDescent="0.2">
      <c r="A977" s="12">
        <v>4</v>
      </c>
      <c r="B977" s="12" t="s">
        <v>874</v>
      </c>
    </row>
    <row r="978" spans="1:2" ht="15" hidden="1" customHeight="1" x14ac:dyDescent="0.2"/>
    <row r="979" spans="1:2" ht="15" hidden="1" customHeight="1" x14ac:dyDescent="0.2">
      <c r="A979" s="12" t="s">
        <v>294</v>
      </c>
    </row>
    <row r="980" spans="1:2" ht="15" hidden="1" customHeight="1" x14ac:dyDescent="0.2">
      <c r="A980" s="12">
        <v>0</v>
      </c>
      <c r="B980" s="225" t="s">
        <v>870</v>
      </c>
    </row>
    <row r="981" spans="1:2" ht="15" hidden="1" customHeight="1" x14ac:dyDescent="0.2">
      <c r="A981" s="12">
        <v>1</v>
      </c>
      <c r="B981" s="12" t="s">
        <v>875</v>
      </c>
    </row>
    <row r="982" spans="1:2" ht="15" hidden="1" customHeight="1" x14ac:dyDescent="0.2">
      <c r="A982" s="12">
        <v>2</v>
      </c>
      <c r="B982" s="12" t="s">
        <v>876</v>
      </c>
    </row>
    <row r="983" spans="1:2" ht="15" hidden="1" customHeight="1" x14ac:dyDescent="0.2">
      <c r="A983" s="12">
        <v>3</v>
      </c>
      <c r="B983" s="12" t="s">
        <v>877</v>
      </c>
    </row>
    <row r="984" spans="1:2" ht="15" hidden="1" customHeight="1" x14ac:dyDescent="0.2">
      <c r="A984" s="12">
        <v>4</v>
      </c>
      <c r="B984" s="12" t="s">
        <v>878</v>
      </c>
    </row>
    <row r="985" spans="1:2" ht="15" hidden="1" customHeight="1" x14ac:dyDescent="0.2"/>
    <row r="986" spans="1:2" ht="15" hidden="1" customHeight="1" x14ac:dyDescent="0.2">
      <c r="A986" s="12" t="s">
        <v>244</v>
      </c>
    </row>
    <row r="987" spans="1:2" ht="15" hidden="1" customHeight="1" x14ac:dyDescent="0.2">
      <c r="A987" s="12">
        <v>0</v>
      </c>
      <c r="B987" s="12" t="s">
        <v>245</v>
      </c>
    </row>
    <row r="988" spans="1:2" ht="15" hidden="1" customHeight="1" x14ac:dyDescent="0.2">
      <c r="A988" s="12">
        <v>1</v>
      </c>
      <c r="B988" s="12" t="s">
        <v>246</v>
      </c>
    </row>
    <row r="989" spans="1:2" ht="15" hidden="1" customHeight="1" x14ac:dyDescent="0.2">
      <c r="A989" s="12">
        <v>2</v>
      </c>
      <c r="B989" s="12" t="s">
        <v>247</v>
      </c>
    </row>
    <row r="990" spans="1:2" ht="15" hidden="1" customHeight="1" x14ac:dyDescent="0.2">
      <c r="A990" s="12">
        <v>3</v>
      </c>
      <c r="B990" s="12" t="s">
        <v>229</v>
      </c>
    </row>
    <row r="991" spans="1:2" ht="15" hidden="1" customHeight="1" x14ac:dyDescent="0.2">
      <c r="A991" s="12">
        <v>4</v>
      </c>
      <c r="B991" s="12" t="s">
        <v>248</v>
      </c>
    </row>
    <row r="992" spans="1:2" ht="15" hidden="1" customHeight="1" x14ac:dyDescent="0.2"/>
    <row r="993" spans="1:11" ht="15" hidden="1" customHeight="1" x14ac:dyDescent="0.2">
      <c r="A993" s="12" t="s">
        <v>381</v>
      </c>
    </row>
    <row r="994" spans="1:11" ht="15" hidden="1" customHeight="1" x14ac:dyDescent="0.2">
      <c r="A994" s="12">
        <v>0</v>
      </c>
      <c r="B994" s="12" t="s">
        <v>202</v>
      </c>
    </row>
    <row r="995" spans="1:11" ht="15" hidden="1" customHeight="1" x14ac:dyDescent="0.2">
      <c r="A995" s="12">
        <v>1</v>
      </c>
      <c r="B995" s="12" t="s">
        <v>190</v>
      </c>
    </row>
    <row r="996" spans="1:11" ht="15" hidden="1" customHeight="1" x14ac:dyDescent="0.2"/>
    <row r="997" spans="1:11" ht="15" hidden="1" customHeight="1" x14ac:dyDescent="0.2">
      <c r="A997" s="12" t="s">
        <v>249</v>
      </c>
    </row>
    <row r="998" spans="1:11" ht="15" hidden="1" customHeight="1" x14ac:dyDescent="0.2">
      <c r="A998" s="12">
        <v>0</v>
      </c>
      <c r="B998" s="12" t="s">
        <v>236</v>
      </c>
    </row>
    <row r="999" spans="1:11" ht="15" hidden="1" customHeight="1" x14ac:dyDescent="0.2">
      <c r="A999" s="12">
        <v>1</v>
      </c>
      <c r="B999" s="12" t="s">
        <v>237</v>
      </c>
    </row>
    <row r="1000" spans="1:11" ht="15" hidden="1" customHeight="1" x14ac:dyDescent="0.2">
      <c r="A1000" s="12">
        <v>2</v>
      </c>
      <c r="B1000" s="12" t="s">
        <v>235</v>
      </c>
    </row>
    <row r="1001" spans="1:11" ht="15" hidden="1" customHeight="1" x14ac:dyDescent="0.2">
      <c r="A1001" s="12">
        <v>3</v>
      </c>
      <c r="B1001" s="12" t="s">
        <v>238</v>
      </c>
    </row>
    <row r="1002" spans="1:11" ht="15" hidden="1" customHeight="1" x14ac:dyDescent="0.2">
      <c r="A1002" s="12">
        <v>4</v>
      </c>
      <c r="B1002" s="12" t="s">
        <v>234</v>
      </c>
    </row>
    <row r="1003" spans="1:11" ht="15" customHeight="1" x14ac:dyDescent="0.2">
      <c r="B1003" s="12" t="s">
        <v>685</v>
      </c>
    </row>
    <row r="1004" spans="1:11" ht="15" customHeight="1" x14ac:dyDescent="0.2">
      <c r="B1004" s="402" t="s">
        <v>755</v>
      </c>
      <c r="C1004" s="403"/>
      <c r="D1004" s="403"/>
      <c r="E1004" s="403"/>
      <c r="F1004" s="403"/>
      <c r="G1004" s="403"/>
      <c r="H1004" s="403"/>
      <c r="I1004" s="403"/>
      <c r="J1004" s="403"/>
      <c r="K1004" s="404"/>
    </row>
    <row r="1005" spans="1:11" ht="15" customHeight="1" x14ac:dyDescent="0.2">
      <c r="B1005" s="396"/>
      <c r="C1005" s="397"/>
      <c r="D1005" s="397"/>
      <c r="E1005" s="397"/>
      <c r="F1005" s="397"/>
      <c r="G1005" s="397"/>
      <c r="H1005" s="397"/>
      <c r="I1005" s="397"/>
      <c r="J1005" s="397"/>
      <c r="K1005" s="398"/>
    </row>
    <row r="1006" spans="1:11" ht="15" customHeight="1" x14ac:dyDescent="0.2">
      <c r="B1006" s="396" t="s">
        <v>692</v>
      </c>
      <c r="C1006" s="397"/>
      <c r="D1006" s="397"/>
      <c r="E1006" s="397"/>
      <c r="F1006" s="397"/>
      <c r="G1006" s="397"/>
      <c r="H1006" s="397"/>
      <c r="I1006" s="397"/>
      <c r="J1006" s="397"/>
      <c r="K1006" s="398"/>
    </row>
    <row r="1007" spans="1:11" ht="15" customHeight="1" x14ac:dyDescent="0.2">
      <c r="B1007" s="396"/>
      <c r="C1007" s="397"/>
      <c r="D1007" s="397"/>
      <c r="E1007" s="397"/>
      <c r="F1007" s="397"/>
      <c r="G1007" s="397"/>
      <c r="H1007" s="397"/>
      <c r="I1007" s="397"/>
      <c r="J1007" s="397"/>
      <c r="K1007" s="398"/>
    </row>
    <row r="1008" spans="1:11" ht="15" customHeight="1" x14ac:dyDescent="0.2">
      <c r="B1008" s="396" t="s">
        <v>756</v>
      </c>
      <c r="C1008" s="397"/>
      <c r="D1008" s="397"/>
      <c r="E1008" s="397"/>
      <c r="F1008" s="397"/>
      <c r="G1008" s="397"/>
      <c r="H1008" s="397"/>
      <c r="I1008" s="397"/>
      <c r="J1008" s="397"/>
      <c r="K1008" s="398"/>
    </row>
    <row r="1009" spans="2:11" ht="15" customHeight="1" x14ac:dyDescent="0.2">
      <c r="B1009" s="396"/>
      <c r="C1009" s="397"/>
      <c r="D1009" s="397"/>
      <c r="E1009" s="397"/>
      <c r="F1009" s="397"/>
      <c r="G1009" s="397"/>
      <c r="H1009" s="397"/>
      <c r="I1009" s="397"/>
      <c r="J1009" s="397"/>
      <c r="K1009" s="398"/>
    </row>
    <row r="1010" spans="2:11" ht="30" customHeight="1" x14ac:dyDescent="0.2">
      <c r="B1010" s="396" t="s">
        <v>754</v>
      </c>
      <c r="C1010" s="397"/>
      <c r="D1010" s="397"/>
      <c r="E1010" s="397"/>
      <c r="F1010" s="397"/>
      <c r="G1010" s="397"/>
      <c r="H1010" s="397"/>
      <c r="I1010" s="397"/>
      <c r="J1010" s="397"/>
      <c r="K1010" s="398"/>
    </row>
    <row r="1011" spans="2:11" ht="15" customHeight="1" x14ac:dyDescent="0.2">
      <c r="B1011" s="396"/>
      <c r="C1011" s="397"/>
      <c r="D1011" s="397"/>
      <c r="E1011" s="397"/>
      <c r="F1011" s="397"/>
      <c r="G1011" s="397"/>
      <c r="H1011" s="397"/>
      <c r="I1011" s="397"/>
      <c r="J1011" s="397"/>
      <c r="K1011" s="398"/>
    </row>
    <row r="1012" spans="2:11" ht="30" customHeight="1" x14ac:dyDescent="0.2">
      <c r="B1012" s="396" t="s">
        <v>757</v>
      </c>
      <c r="C1012" s="397"/>
      <c r="D1012" s="397"/>
      <c r="E1012" s="397"/>
      <c r="F1012" s="397"/>
      <c r="G1012" s="397"/>
      <c r="H1012" s="397"/>
      <c r="I1012" s="397"/>
      <c r="J1012" s="397"/>
      <c r="K1012" s="398"/>
    </row>
    <row r="1013" spans="2:11" ht="15" customHeight="1" x14ac:dyDescent="0.2">
      <c r="B1013" s="396"/>
      <c r="C1013" s="397"/>
      <c r="D1013" s="397"/>
      <c r="E1013" s="397"/>
      <c r="F1013" s="397"/>
      <c r="G1013" s="397"/>
      <c r="H1013" s="397"/>
      <c r="I1013" s="397"/>
      <c r="J1013" s="397"/>
      <c r="K1013" s="398"/>
    </row>
    <row r="1014" spans="2:11" ht="15" customHeight="1" x14ac:dyDescent="0.2">
      <c r="B1014" s="396" t="s">
        <v>759</v>
      </c>
      <c r="C1014" s="397"/>
      <c r="D1014" s="397"/>
      <c r="E1014" s="397"/>
      <c r="F1014" s="397"/>
      <c r="G1014" s="397"/>
      <c r="H1014" s="397"/>
      <c r="I1014" s="397"/>
      <c r="J1014" s="397"/>
      <c r="K1014" s="398"/>
    </row>
    <row r="1015" spans="2:11" ht="15" customHeight="1" x14ac:dyDescent="0.2">
      <c r="B1015" s="396"/>
      <c r="C1015" s="397"/>
      <c r="D1015" s="397"/>
      <c r="E1015" s="397"/>
      <c r="F1015" s="397"/>
      <c r="G1015" s="397"/>
      <c r="H1015" s="397"/>
      <c r="I1015" s="397"/>
      <c r="J1015" s="397"/>
      <c r="K1015" s="398"/>
    </row>
    <row r="1016" spans="2:11" ht="45" customHeight="1" x14ac:dyDescent="0.2">
      <c r="B1016" s="396" t="s">
        <v>758</v>
      </c>
      <c r="C1016" s="397"/>
      <c r="D1016" s="397"/>
      <c r="E1016" s="397"/>
      <c r="F1016" s="397"/>
      <c r="G1016" s="397"/>
      <c r="H1016" s="397"/>
      <c r="I1016" s="397"/>
      <c r="J1016" s="397"/>
      <c r="K1016" s="398"/>
    </row>
    <row r="1017" spans="2:11" ht="15" customHeight="1" x14ac:dyDescent="0.2">
      <c r="B1017" s="396"/>
      <c r="C1017" s="397"/>
      <c r="D1017" s="397"/>
      <c r="E1017" s="397"/>
      <c r="F1017" s="397"/>
      <c r="G1017" s="397"/>
      <c r="H1017" s="397"/>
      <c r="I1017" s="397"/>
      <c r="J1017" s="397"/>
      <c r="K1017" s="398"/>
    </row>
    <row r="1018" spans="2:11" ht="15" customHeight="1" x14ac:dyDescent="0.2">
      <c r="B1018" s="396"/>
      <c r="C1018" s="397"/>
      <c r="D1018" s="397"/>
      <c r="E1018" s="397"/>
      <c r="F1018" s="397"/>
      <c r="G1018" s="397"/>
      <c r="H1018" s="397"/>
      <c r="I1018" s="397"/>
      <c r="J1018" s="397"/>
      <c r="K1018" s="398"/>
    </row>
    <row r="1019" spans="2:11" ht="15" customHeight="1" x14ac:dyDescent="0.2">
      <c r="B1019" s="396"/>
      <c r="C1019" s="397"/>
      <c r="D1019" s="397"/>
      <c r="E1019" s="397"/>
      <c r="F1019" s="397"/>
      <c r="G1019" s="397"/>
      <c r="H1019" s="397"/>
      <c r="I1019" s="397"/>
      <c r="J1019" s="397"/>
      <c r="K1019" s="398"/>
    </row>
    <row r="1020" spans="2:11" ht="15" customHeight="1" x14ac:dyDescent="0.2">
      <c r="B1020" s="396"/>
      <c r="C1020" s="397"/>
      <c r="D1020" s="397"/>
      <c r="E1020" s="397"/>
      <c r="F1020" s="397"/>
      <c r="G1020" s="397"/>
      <c r="H1020" s="397"/>
      <c r="I1020" s="397"/>
      <c r="J1020" s="397"/>
      <c r="K1020" s="398"/>
    </row>
    <row r="1021" spans="2:11" ht="15" customHeight="1" x14ac:dyDescent="0.2">
      <c r="B1021" s="396"/>
      <c r="C1021" s="397"/>
      <c r="D1021" s="397"/>
      <c r="E1021" s="397"/>
      <c r="F1021" s="397"/>
      <c r="G1021" s="397"/>
      <c r="H1021" s="397"/>
      <c r="I1021" s="397"/>
      <c r="J1021" s="397"/>
      <c r="K1021" s="398"/>
    </row>
    <row r="1022" spans="2:11" ht="15" customHeight="1" x14ac:dyDescent="0.2">
      <c r="B1022" s="396"/>
      <c r="C1022" s="397"/>
      <c r="D1022" s="397"/>
      <c r="E1022" s="397"/>
      <c r="F1022" s="397"/>
      <c r="G1022" s="397"/>
      <c r="H1022" s="397"/>
      <c r="I1022" s="397"/>
      <c r="J1022" s="397"/>
      <c r="K1022" s="398"/>
    </row>
    <row r="1023" spans="2:11" ht="15" customHeight="1" x14ac:dyDescent="0.2">
      <c r="B1023" s="396"/>
      <c r="C1023" s="397"/>
      <c r="D1023" s="397"/>
      <c r="E1023" s="397"/>
      <c r="F1023" s="397"/>
      <c r="G1023" s="397"/>
      <c r="H1023" s="397"/>
      <c r="I1023" s="397"/>
      <c r="J1023" s="397"/>
      <c r="K1023" s="398"/>
    </row>
    <row r="1024" spans="2:11" ht="15" customHeight="1" x14ac:dyDescent="0.2">
      <c r="B1024" s="396"/>
      <c r="C1024" s="397"/>
      <c r="D1024" s="397"/>
      <c r="E1024" s="397"/>
      <c r="F1024" s="397"/>
      <c r="G1024" s="397"/>
      <c r="H1024" s="397"/>
      <c r="I1024" s="397"/>
      <c r="J1024" s="397"/>
      <c r="K1024" s="398"/>
    </row>
    <row r="1025" spans="2:11" ht="15" customHeight="1" x14ac:dyDescent="0.2">
      <c r="B1025" s="396"/>
      <c r="C1025" s="397"/>
      <c r="D1025" s="397"/>
      <c r="E1025" s="397"/>
      <c r="F1025" s="397"/>
      <c r="G1025" s="397"/>
      <c r="H1025" s="397"/>
      <c r="I1025" s="397"/>
      <c r="J1025" s="397"/>
      <c r="K1025" s="398"/>
    </row>
    <row r="1026" spans="2:11" ht="15" customHeight="1" x14ac:dyDescent="0.2">
      <c r="B1026" s="396"/>
      <c r="C1026" s="397"/>
      <c r="D1026" s="397"/>
      <c r="E1026" s="397"/>
      <c r="F1026" s="397"/>
      <c r="G1026" s="397"/>
      <c r="H1026" s="397"/>
      <c r="I1026" s="397"/>
      <c r="J1026" s="397"/>
      <c r="K1026" s="398"/>
    </row>
    <row r="1027" spans="2:11" ht="15" customHeight="1" x14ac:dyDescent="0.2">
      <c r="B1027" s="396"/>
      <c r="C1027" s="397"/>
      <c r="D1027" s="397"/>
      <c r="E1027" s="397"/>
      <c r="F1027" s="397"/>
      <c r="G1027" s="397"/>
      <c r="H1027" s="397"/>
      <c r="I1027" s="397"/>
      <c r="J1027" s="397"/>
      <c r="K1027" s="398"/>
    </row>
    <row r="1028" spans="2:11" ht="15" customHeight="1" x14ac:dyDescent="0.2">
      <c r="B1028" s="396"/>
      <c r="C1028" s="397"/>
      <c r="D1028" s="397"/>
      <c r="E1028" s="397"/>
      <c r="F1028" s="397"/>
      <c r="G1028" s="397"/>
      <c r="H1028" s="397"/>
      <c r="I1028" s="397"/>
      <c r="J1028" s="397"/>
      <c r="K1028" s="398"/>
    </row>
    <row r="1029" spans="2:11" ht="15" customHeight="1" x14ac:dyDescent="0.2">
      <c r="B1029" s="393"/>
      <c r="C1029" s="394"/>
      <c r="D1029" s="394"/>
      <c r="E1029" s="394"/>
      <c r="F1029" s="394"/>
      <c r="G1029" s="394"/>
      <c r="H1029" s="394"/>
      <c r="I1029" s="394"/>
      <c r="J1029" s="394"/>
      <c r="K1029" s="395"/>
    </row>
  </sheetData>
  <sheetProtection formatCells="0" formatColumns="0" formatRows="0" selectLockedCells="1"/>
  <mergeCells count="152">
    <mergeCell ref="C76:J76"/>
    <mergeCell ref="E15:J15"/>
    <mergeCell ref="C38:J38"/>
    <mergeCell ref="C57:J57"/>
    <mergeCell ref="B5:K5"/>
    <mergeCell ref="B6:K6"/>
    <mergeCell ref="B7:K7"/>
    <mergeCell ref="B8:K8"/>
    <mergeCell ref="B9:K9"/>
    <mergeCell ref="B10:K10"/>
    <mergeCell ref="C216:J216"/>
    <mergeCell ref="C237:J237"/>
    <mergeCell ref="C176:J176"/>
    <mergeCell ref="C196:J196"/>
    <mergeCell ref="C155:J155"/>
    <mergeCell ref="C120:J122"/>
    <mergeCell ref="C123:J124"/>
    <mergeCell ref="C129:J129"/>
    <mergeCell ref="C95:J95"/>
    <mergeCell ref="C114:J114"/>
    <mergeCell ref="C455:J455"/>
    <mergeCell ref="C402:J402"/>
    <mergeCell ref="C416:J416"/>
    <mergeCell ref="C438:J438"/>
    <mergeCell ref="C444:I445"/>
    <mergeCell ref="C365:J365"/>
    <mergeCell ref="C371:I372"/>
    <mergeCell ref="C305:J305"/>
    <mergeCell ref="C257:J257"/>
    <mergeCell ref="C286:J286"/>
    <mergeCell ref="C292:I293"/>
    <mergeCell ref="C420:I421"/>
    <mergeCell ref="C391:I392"/>
    <mergeCell ref="C311:I312"/>
    <mergeCell ref="C340:I341"/>
    <mergeCell ref="D343:I344"/>
    <mergeCell ref="C385:J385"/>
    <mergeCell ref="C324:J324"/>
    <mergeCell ref="C330:I331"/>
    <mergeCell ref="C347:J347"/>
    <mergeCell ref="C613:J613"/>
    <mergeCell ref="C620:I621"/>
    <mergeCell ref="C560:J560"/>
    <mergeCell ref="C566:I568"/>
    <mergeCell ref="C569:I571"/>
    <mergeCell ref="C524:I525"/>
    <mergeCell ref="C535:J535"/>
    <mergeCell ref="C518:J518"/>
    <mergeCell ref="C471:J471"/>
    <mergeCell ref="C477:I478"/>
    <mergeCell ref="C486:J486"/>
    <mergeCell ref="C502:J502"/>
    <mergeCell ref="C583:J583"/>
    <mergeCell ref="C599:J599"/>
    <mergeCell ref="C655:J655"/>
    <mergeCell ref="D664:I665"/>
    <mergeCell ref="C677:J677"/>
    <mergeCell ref="G719:H719"/>
    <mergeCell ref="G720:H720"/>
    <mergeCell ref="G721:H721"/>
    <mergeCell ref="C641:I643"/>
    <mergeCell ref="C633:J633"/>
    <mergeCell ref="C639:I640"/>
    <mergeCell ref="C714:J716"/>
    <mergeCell ref="G717:H717"/>
    <mergeCell ref="G718:H718"/>
    <mergeCell ref="G722:H722"/>
    <mergeCell ref="G723:H723"/>
    <mergeCell ref="G750:H750"/>
    <mergeCell ref="G751:H751"/>
    <mergeCell ref="G739:H739"/>
    <mergeCell ref="G740:H740"/>
    <mergeCell ref="G737:H737"/>
    <mergeCell ref="G738:H738"/>
    <mergeCell ref="C729:J731"/>
    <mergeCell ref="G732:H732"/>
    <mergeCell ref="G733:H733"/>
    <mergeCell ref="G734:H734"/>
    <mergeCell ref="G735:H735"/>
    <mergeCell ref="G724:H724"/>
    <mergeCell ref="G725:H725"/>
    <mergeCell ref="G736:H736"/>
    <mergeCell ref="C744:J746"/>
    <mergeCell ref="G747:H747"/>
    <mergeCell ref="G748:H748"/>
    <mergeCell ref="G749:H749"/>
    <mergeCell ref="G755:H755"/>
    <mergeCell ref="G850:H850"/>
    <mergeCell ref="F959:H960"/>
    <mergeCell ref="G886:H886"/>
    <mergeCell ref="G890:H890"/>
    <mergeCell ref="G878:H878"/>
    <mergeCell ref="G882:H882"/>
    <mergeCell ref="G870:H870"/>
    <mergeCell ref="G874:H874"/>
    <mergeCell ref="G862:H862"/>
    <mergeCell ref="G866:H866"/>
    <mergeCell ref="G854:H854"/>
    <mergeCell ref="G858:H858"/>
    <mergeCell ref="G846:H846"/>
    <mergeCell ref="C830:J831"/>
    <mergeCell ref="G834:H834"/>
    <mergeCell ref="G838:H838"/>
    <mergeCell ref="G842:H842"/>
    <mergeCell ref="G752:H752"/>
    <mergeCell ref="G753:H753"/>
    <mergeCell ref="C759:J761"/>
    <mergeCell ref="G762:H762"/>
    <mergeCell ref="G763:H763"/>
    <mergeCell ref="G764:H764"/>
    <mergeCell ref="G765:H765"/>
    <mergeCell ref="B1004:K1004"/>
    <mergeCell ref="B1005:K1005"/>
    <mergeCell ref="G928:H928"/>
    <mergeCell ref="G932:H932"/>
    <mergeCell ref="G924:H924"/>
    <mergeCell ref="G916:H916"/>
    <mergeCell ref="G920:H920"/>
    <mergeCell ref="C900:J901"/>
    <mergeCell ref="G904:H904"/>
    <mergeCell ref="G908:H908"/>
    <mergeCell ref="G912:H912"/>
    <mergeCell ref="G769:H769"/>
    <mergeCell ref="G770:H770"/>
    <mergeCell ref="G767:H767"/>
    <mergeCell ref="G768:H768"/>
    <mergeCell ref="G766:H766"/>
    <mergeCell ref="G754:H754"/>
    <mergeCell ref="B1006:K1006"/>
    <mergeCell ref="B1007:K1007"/>
    <mergeCell ref="B1008:K1008"/>
    <mergeCell ref="B1009:K1009"/>
    <mergeCell ref="B1010:K1010"/>
    <mergeCell ref="B1011:K1011"/>
    <mergeCell ref="B1012:K1012"/>
    <mergeCell ref="B1022:K1022"/>
    <mergeCell ref="B1023:K1023"/>
    <mergeCell ref="B1024:K1024"/>
    <mergeCell ref="B1025:K1025"/>
    <mergeCell ref="B1026:K1026"/>
    <mergeCell ref="B1027:K1027"/>
    <mergeCell ref="B1028:K1028"/>
    <mergeCell ref="B1029:K1029"/>
    <mergeCell ref="B1013:K1013"/>
    <mergeCell ref="B1014:K1014"/>
    <mergeCell ref="B1015:K1015"/>
    <mergeCell ref="B1016:K1016"/>
    <mergeCell ref="B1017:K1017"/>
    <mergeCell ref="B1018:K1018"/>
    <mergeCell ref="B1019:K1019"/>
    <mergeCell ref="B1020:K1020"/>
    <mergeCell ref="B1021:K1021"/>
  </mergeCells>
  <dataValidations disablePrompts="1" count="23">
    <dataValidation type="list" allowBlank="1" showInputMessage="1" showErrorMessage="1" sqref="E15:J15" xr:uid="{00000000-0002-0000-1C00-000000000000}">
      <formula1>$C$966:$C$970</formula1>
    </dataValidation>
    <dataValidation type="list" allowBlank="1" showInputMessage="1" showErrorMessage="1" sqref="G834:H834 G890:H890 G886:H886 G882:H882 G878:H878 G874:H874 G870:H870 G866:H866 G862:H862 G858:H858 G854:H854 G850:H850 G846:H846 G842:H842 G838:H838 G904:H904 G932:H932 G928:H928 G924:H924 G920:H920 G916:H916 G912:H912 G908:H908" xr:uid="{00000000-0002-0000-1C00-000001000000}">
      <formula1>$B$998:$B$1002</formula1>
    </dataValidation>
    <dataValidation type="list" allowBlank="1" showInputMessage="1" showErrorMessage="1" sqref="G717:H725 G762:H770 G732:H740 G747:H755" xr:uid="{00000000-0002-0000-1C00-000002000000}">
      <formula1>$B$994:$B$995</formula1>
    </dataValidation>
    <dataValidation type="list" allowBlank="1" showInputMessage="1" showErrorMessage="1" sqref="J302 J362" xr:uid="{00000000-0002-0000-1C00-000003000000}">
      <formula1>$B$980:$B$984</formula1>
    </dataValidation>
    <dataValidation type="list" allowBlank="1" showInputMessage="1" showErrorMessage="1" sqref="C123:J124" xr:uid="{00000000-0002-0000-1C00-000004000000}">
      <formula1>$B$987:$B$991</formula1>
    </dataValidation>
    <dataValidation type="list" allowBlank="1" showInputMessage="1" showErrorMessage="1" sqref="J35 J213 J283 J652 J234 J54 J193 J173 J152 J126 J111 J92 J73 J254 J435 J452 J468 J499 J515 J532 J557 J580 J596 J674 J630" xr:uid="{00000000-0002-0000-1C00-000005000000}">
      <formula1>$B$973:$B$977</formula1>
    </dataValidation>
    <dataValidation type="list" allowBlank="1" showInputMessage="1" showErrorMessage="1" sqref="J33" xr:uid="{00000000-0002-0000-1C00-000006000000}">
      <formula1>$N$32:$N$37</formula1>
    </dataValidation>
    <dataValidation type="list" allowBlank="1" showInputMessage="1" showErrorMessage="1" sqref="J52" xr:uid="{00000000-0002-0000-1C00-000007000000}">
      <formula1>$N$51:$N$56</formula1>
    </dataValidation>
    <dataValidation type="list" allowBlank="1" showInputMessage="1" showErrorMessage="1" sqref="J71" xr:uid="{00000000-0002-0000-1C00-000008000000}">
      <formula1>$N$70:$N$75</formula1>
    </dataValidation>
    <dataValidation type="list" allowBlank="1" showInputMessage="1" showErrorMessage="1" sqref="J90" xr:uid="{00000000-0002-0000-1C00-000009000000}">
      <formula1>$N$89:$N$94</formula1>
    </dataValidation>
    <dataValidation type="list" allowBlank="1" showInputMessage="1" showErrorMessage="1" sqref="J109" xr:uid="{00000000-0002-0000-1C00-00000A000000}">
      <formula1>$N$108:$N$113</formula1>
    </dataValidation>
    <dataValidation type="list" allowBlank="1" showInputMessage="1" showErrorMessage="1" sqref="J150" xr:uid="{00000000-0002-0000-1C00-00000B000000}">
      <formula1>$N$149:$N$154</formula1>
    </dataValidation>
    <dataValidation type="list" allowBlank="1" showInputMessage="1" showErrorMessage="1" sqref="J171" xr:uid="{00000000-0002-0000-1C00-00000C000000}">
      <formula1>$N$170:$N$175</formula1>
    </dataValidation>
    <dataValidation type="list" allowBlank="1" showInputMessage="1" showErrorMessage="1" sqref="J191" xr:uid="{00000000-0002-0000-1C00-00000D000000}">
      <formula1>$N$190:$N$195</formula1>
    </dataValidation>
    <dataValidation type="list" allowBlank="1" showInputMessage="1" showErrorMessage="1" sqref="J211" xr:uid="{00000000-0002-0000-1C00-00000E000000}">
      <formula1>$N$210:$N$215</formula1>
    </dataValidation>
    <dataValidation type="list" allowBlank="1" showInputMessage="1" showErrorMessage="1" sqref="J232" xr:uid="{00000000-0002-0000-1C00-00000F000000}">
      <formula1>$N$231:$N$236</formula1>
    </dataValidation>
    <dataValidation type="list" allowBlank="1" showInputMessage="1" showErrorMessage="1" sqref="J252" xr:uid="{00000000-0002-0000-1C00-000010000000}">
      <formula1>$N$251:$N$256</formula1>
    </dataValidation>
    <dataValidation type="list" allowBlank="1" showInputMessage="1" showErrorMessage="1" sqref="J281" xr:uid="{00000000-0002-0000-1C00-000011000000}">
      <formula1>$N$280:$N$285</formula1>
    </dataValidation>
    <dataValidation type="list" allowBlank="1" showInputMessage="1" showErrorMessage="1" sqref="J555" xr:uid="{00000000-0002-0000-1C00-000012000000}">
      <formula1>$N$554:$N$559</formula1>
    </dataValidation>
    <dataValidation type="list" allowBlank="1" showInputMessage="1" showErrorMessage="1" sqref="J578" xr:uid="{00000000-0002-0000-1C00-000013000000}">
      <formula1>$N$577:$N$582</formula1>
    </dataValidation>
    <dataValidation type="list" allowBlank="1" showInputMessage="1" showErrorMessage="1" sqref="J628" xr:uid="{00000000-0002-0000-1C00-000014000000}">
      <formula1>$N$627:$N$632</formula1>
    </dataValidation>
    <dataValidation type="list" allowBlank="1" showInputMessage="1" showErrorMessage="1" sqref="J650" xr:uid="{00000000-0002-0000-1C00-000015000000}">
      <formula1>$N$649:$N$654</formula1>
    </dataValidation>
    <dataValidation type="list" allowBlank="1" showInputMessage="1" showErrorMessage="1" sqref="J672" xr:uid="{00000000-0002-0000-1C00-000016000000}">
      <formula1>$N$671:$N$676</formula1>
    </dataValidation>
  </dataValidations>
  <pageMargins left="0.7" right="0.7" top="0.75" bottom="0.75" header="0.3" footer="0.3"/>
  <pageSetup scale="7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3"/>
  <dimension ref="B8:N65"/>
  <sheetViews>
    <sheetView showGridLines="0" showRowColHeaders="0" zoomScaleNormal="100" workbookViewId="0"/>
  </sheetViews>
  <sheetFormatPr baseColWidth="10" defaultColWidth="9.1640625" defaultRowHeight="15" x14ac:dyDescent="0.2"/>
  <cols>
    <col min="1" max="2" width="9.1640625" style="12"/>
    <col min="3" max="6" width="9.1640625" style="12" customWidth="1"/>
    <col min="7" max="16384" width="9.1640625" style="12"/>
  </cols>
  <sheetData>
    <row r="8" spans="2:14" x14ac:dyDescent="0.2">
      <c r="I8" s="15"/>
      <c r="J8" s="15"/>
    </row>
    <row r="9" spans="2:14" ht="48" x14ac:dyDescent="0.2">
      <c r="B9" s="319" t="s">
        <v>1111</v>
      </c>
      <c r="H9" s="16" t="s">
        <v>1038</v>
      </c>
      <c r="I9" s="15"/>
      <c r="J9" s="15"/>
    </row>
    <row r="10" spans="2:14" ht="16.5" customHeight="1" thickBot="1" x14ac:dyDescent="0.25">
      <c r="H10" s="16"/>
      <c r="I10" s="15"/>
      <c r="J10" s="15"/>
    </row>
    <row r="11" spans="2:14" ht="16.5" customHeight="1" x14ac:dyDescent="0.2">
      <c r="B11" s="344"/>
      <c r="C11" s="345"/>
      <c r="D11" s="345"/>
      <c r="E11" s="345"/>
      <c r="F11" s="345"/>
      <c r="G11" s="345"/>
      <c r="H11" s="345"/>
      <c r="I11" s="345"/>
      <c r="J11" s="345"/>
      <c r="K11" s="345"/>
      <c r="L11" s="345"/>
      <c r="M11" s="345"/>
      <c r="N11" s="346"/>
    </row>
    <row r="12" spans="2:14" ht="62" customHeight="1" x14ac:dyDescent="0.2">
      <c r="B12" s="21"/>
      <c r="C12" s="341" t="s">
        <v>1308</v>
      </c>
      <c r="D12" s="341"/>
      <c r="E12" s="341"/>
      <c r="F12" s="341"/>
      <c r="G12" s="341"/>
      <c r="H12" s="341"/>
      <c r="I12" s="341"/>
      <c r="J12" s="341"/>
      <c r="K12" s="341"/>
      <c r="L12" s="341"/>
      <c r="M12" s="341"/>
      <c r="N12" s="24"/>
    </row>
    <row r="13" spans="2:14" ht="62" customHeight="1" x14ac:dyDescent="0.2">
      <c r="B13" s="21"/>
      <c r="C13" s="341"/>
      <c r="D13" s="341"/>
      <c r="E13" s="341"/>
      <c r="F13" s="341"/>
      <c r="G13" s="341"/>
      <c r="H13" s="341"/>
      <c r="I13" s="341"/>
      <c r="J13" s="341"/>
      <c r="K13" s="341"/>
      <c r="L13" s="341"/>
      <c r="M13" s="341"/>
      <c r="N13" s="24"/>
    </row>
    <row r="14" spans="2:14" ht="62" customHeight="1" x14ac:dyDescent="0.2">
      <c r="B14" s="21"/>
      <c r="C14" s="341"/>
      <c r="D14" s="341"/>
      <c r="E14" s="341"/>
      <c r="F14" s="341"/>
      <c r="G14" s="341"/>
      <c r="H14" s="341"/>
      <c r="I14" s="341"/>
      <c r="J14" s="341"/>
      <c r="K14" s="341"/>
      <c r="L14" s="341"/>
      <c r="M14" s="341"/>
      <c r="N14" s="24"/>
    </row>
    <row r="15" spans="2:14" ht="62" customHeight="1" x14ac:dyDescent="0.2">
      <c r="B15" s="21"/>
      <c r="C15" s="341"/>
      <c r="D15" s="341"/>
      <c r="E15" s="341"/>
      <c r="F15" s="341"/>
      <c r="G15" s="341"/>
      <c r="H15" s="341"/>
      <c r="I15" s="341"/>
      <c r="J15" s="341"/>
      <c r="K15" s="341"/>
      <c r="L15" s="341"/>
      <c r="M15" s="341"/>
      <c r="N15" s="24"/>
    </row>
    <row r="16" spans="2:14" ht="62" customHeight="1" x14ac:dyDescent="0.2">
      <c r="B16" s="21"/>
      <c r="C16" s="341"/>
      <c r="D16" s="341"/>
      <c r="E16" s="341"/>
      <c r="F16" s="341"/>
      <c r="G16" s="341"/>
      <c r="H16" s="341"/>
      <c r="I16" s="341"/>
      <c r="J16" s="341"/>
      <c r="K16" s="341"/>
      <c r="L16" s="341"/>
      <c r="M16" s="341"/>
      <c r="N16" s="24"/>
    </row>
    <row r="17" spans="2:14" ht="62" customHeight="1" x14ac:dyDescent="0.2">
      <c r="B17" s="21"/>
      <c r="C17" s="341"/>
      <c r="D17" s="341"/>
      <c r="E17" s="341"/>
      <c r="F17" s="341"/>
      <c r="G17" s="341"/>
      <c r="H17" s="341"/>
      <c r="I17" s="341"/>
      <c r="J17" s="341"/>
      <c r="K17" s="341"/>
      <c r="L17" s="341"/>
      <c r="M17" s="341"/>
      <c r="N17" s="24"/>
    </row>
    <row r="18" spans="2:14" ht="28" customHeight="1" x14ac:dyDescent="0.2">
      <c r="B18" s="21"/>
      <c r="C18" s="341" t="s">
        <v>1307</v>
      </c>
      <c r="D18" s="341"/>
      <c r="E18" s="341"/>
      <c r="F18" s="341"/>
      <c r="G18" s="341"/>
      <c r="H18" s="341"/>
      <c r="I18" s="341"/>
      <c r="J18" s="341"/>
      <c r="K18" s="341"/>
      <c r="L18" s="341"/>
      <c r="M18" s="341"/>
      <c r="N18" s="24"/>
    </row>
    <row r="19" spans="2:14" ht="28" customHeight="1" x14ac:dyDescent="0.2">
      <c r="B19" s="21"/>
      <c r="C19" s="341"/>
      <c r="D19" s="341"/>
      <c r="E19" s="341"/>
      <c r="F19" s="341"/>
      <c r="G19" s="341"/>
      <c r="H19" s="341"/>
      <c r="I19" s="341"/>
      <c r="J19" s="341"/>
      <c r="K19" s="341"/>
      <c r="L19" s="341"/>
      <c r="M19" s="341"/>
      <c r="N19" s="24"/>
    </row>
    <row r="20" spans="2:14" ht="28" customHeight="1" x14ac:dyDescent="0.2">
      <c r="B20" s="21"/>
      <c r="C20" s="341"/>
      <c r="D20" s="341"/>
      <c r="E20" s="341"/>
      <c r="F20" s="341"/>
      <c r="G20" s="341"/>
      <c r="H20" s="341"/>
      <c r="I20" s="341"/>
      <c r="J20" s="341"/>
      <c r="K20" s="341"/>
      <c r="L20" s="341"/>
      <c r="M20" s="341"/>
      <c r="N20" s="24"/>
    </row>
    <row r="21" spans="2:14" ht="28" customHeight="1" x14ac:dyDescent="0.2">
      <c r="B21" s="21"/>
      <c r="C21" s="341"/>
      <c r="D21" s="341"/>
      <c r="E21" s="341"/>
      <c r="F21" s="341"/>
      <c r="G21" s="341"/>
      <c r="H21" s="341"/>
      <c r="I21" s="341"/>
      <c r="J21" s="341"/>
      <c r="K21" s="341"/>
      <c r="L21" s="341"/>
      <c r="M21" s="341"/>
      <c r="N21" s="24"/>
    </row>
    <row r="22" spans="2:14" ht="28" customHeight="1" x14ac:dyDescent="0.2">
      <c r="B22" s="21"/>
      <c r="C22" s="341"/>
      <c r="D22" s="341"/>
      <c r="E22" s="341"/>
      <c r="F22" s="341"/>
      <c r="G22" s="341"/>
      <c r="H22" s="341"/>
      <c r="I22" s="341"/>
      <c r="J22" s="341"/>
      <c r="K22" s="341"/>
      <c r="L22" s="341"/>
      <c r="M22" s="341"/>
      <c r="N22" s="24"/>
    </row>
    <row r="23" spans="2:14" ht="28" customHeight="1" x14ac:dyDescent="0.2">
      <c r="B23" s="21"/>
      <c r="C23" s="341"/>
      <c r="D23" s="341"/>
      <c r="E23" s="341"/>
      <c r="F23" s="341"/>
      <c r="G23" s="341"/>
      <c r="H23" s="341"/>
      <c r="I23" s="341"/>
      <c r="J23" s="341"/>
      <c r="K23" s="341"/>
      <c r="L23" s="341"/>
      <c r="M23" s="341"/>
      <c r="N23" s="24"/>
    </row>
    <row r="24" spans="2:14" ht="28" customHeight="1" x14ac:dyDescent="0.2">
      <c r="B24" s="21"/>
      <c r="C24" s="341"/>
      <c r="D24" s="341"/>
      <c r="E24" s="341"/>
      <c r="F24" s="341"/>
      <c r="G24" s="341"/>
      <c r="H24" s="341"/>
      <c r="I24" s="341"/>
      <c r="J24" s="341"/>
      <c r="K24" s="341"/>
      <c r="L24" s="341"/>
      <c r="M24" s="341"/>
      <c r="N24" s="24"/>
    </row>
    <row r="25" spans="2:14" ht="28" customHeight="1" x14ac:dyDescent="0.2">
      <c r="B25" s="21"/>
      <c r="C25" s="341"/>
      <c r="D25" s="341"/>
      <c r="E25" s="341"/>
      <c r="F25" s="341"/>
      <c r="G25" s="341"/>
      <c r="H25" s="341"/>
      <c r="I25" s="341"/>
      <c r="J25" s="341"/>
      <c r="K25" s="341"/>
      <c r="L25" s="341"/>
      <c r="M25" s="341"/>
      <c r="N25" s="24"/>
    </row>
    <row r="26" spans="2:14" ht="90" customHeight="1" x14ac:dyDescent="0.2">
      <c r="B26" s="21"/>
      <c r="C26" s="341" t="s">
        <v>1284</v>
      </c>
      <c r="D26" s="341"/>
      <c r="E26" s="341"/>
      <c r="F26" s="341"/>
      <c r="G26" s="341"/>
      <c r="H26" s="341"/>
      <c r="I26" s="341"/>
      <c r="J26" s="341"/>
      <c r="K26" s="341"/>
      <c r="L26" s="341"/>
      <c r="M26" s="341"/>
      <c r="N26" s="24"/>
    </row>
    <row r="27" spans="2:14" ht="10" customHeight="1" x14ac:dyDescent="0.2">
      <c r="B27" s="21"/>
      <c r="C27" s="347"/>
      <c r="D27" s="347"/>
      <c r="E27" s="347"/>
      <c r="F27" s="347"/>
      <c r="G27" s="347"/>
      <c r="H27" s="347"/>
      <c r="I27" s="347"/>
      <c r="J27" s="347"/>
      <c r="K27" s="347"/>
      <c r="L27" s="347"/>
      <c r="M27" s="347"/>
      <c r="N27" s="24"/>
    </row>
    <row r="28" spans="2:14" ht="130" customHeight="1" x14ac:dyDescent="0.2">
      <c r="B28" s="21"/>
      <c r="C28" s="341" t="s">
        <v>1310</v>
      </c>
      <c r="D28" s="341"/>
      <c r="E28" s="341"/>
      <c r="F28" s="341"/>
      <c r="G28" s="341"/>
      <c r="H28" s="341"/>
      <c r="I28" s="341"/>
      <c r="J28" s="341"/>
      <c r="K28" s="341"/>
      <c r="L28" s="341"/>
      <c r="M28" s="341"/>
      <c r="N28" s="24"/>
    </row>
    <row r="29" spans="2:14" ht="80" customHeight="1" x14ac:dyDescent="0.2">
      <c r="B29" s="21"/>
      <c r="C29" s="332" t="s">
        <v>659</v>
      </c>
      <c r="D29" s="341" t="s">
        <v>1293</v>
      </c>
      <c r="E29" s="342"/>
      <c r="F29" s="342"/>
      <c r="G29" s="342"/>
      <c r="H29" s="342"/>
      <c r="I29" s="342"/>
      <c r="J29" s="342"/>
      <c r="K29" s="342"/>
      <c r="L29" s="342"/>
      <c r="M29" s="342"/>
      <c r="N29" s="24"/>
    </row>
    <row r="30" spans="2:14" ht="80" customHeight="1" x14ac:dyDescent="0.2">
      <c r="B30" s="21"/>
      <c r="C30" s="332" t="s">
        <v>659</v>
      </c>
      <c r="D30" s="341" t="s">
        <v>1294</v>
      </c>
      <c r="E30" s="342"/>
      <c r="F30" s="342"/>
      <c r="G30" s="342"/>
      <c r="H30" s="342"/>
      <c r="I30" s="342"/>
      <c r="J30" s="342"/>
      <c r="K30" s="342"/>
      <c r="L30" s="342"/>
      <c r="M30" s="342"/>
      <c r="N30" s="24"/>
    </row>
    <row r="31" spans="2:14" ht="120" customHeight="1" x14ac:dyDescent="0.2">
      <c r="B31" s="21"/>
      <c r="C31" s="332" t="s">
        <v>659</v>
      </c>
      <c r="D31" s="341" t="s">
        <v>1295</v>
      </c>
      <c r="E31" s="342"/>
      <c r="F31" s="342"/>
      <c r="G31" s="342"/>
      <c r="H31" s="342"/>
      <c r="I31" s="342"/>
      <c r="J31" s="342"/>
      <c r="K31" s="342"/>
      <c r="L31" s="342"/>
      <c r="M31" s="342"/>
      <c r="N31" s="24"/>
    </row>
    <row r="32" spans="2:14" ht="120" customHeight="1" x14ac:dyDescent="0.2">
      <c r="B32" s="21"/>
      <c r="C32" s="332" t="s">
        <v>659</v>
      </c>
      <c r="D32" s="341" t="s">
        <v>1296</v>
      </c>
      <c r="E32" s="342"/>
      <c r="F32" s="342"/>
      <c r="G32" s="342"/>
      <c r="H32" s="342"/>
      <c r="I32" s="342"/>
      <c r="J32" s="342"/>
      <c r="K32" s="342"/>
      <c r="L32" s="342"/>
      <c r="M32" s="342"/>
      <c r="N32" s="24"/>
    </row>
    <row r="33" spans="2:14" ht="125" customHeight="1" x14ac:dyDescent="0.2">
      <c r="B33" s="21"/>
      <c r="C33" s="343" t="s">
        <v>1297</v>
      </c>
      <c r="D33" s="343"/>
      <c r="E33" s="343"/>
      <c r="F33" s="343"/>
      <c r="G33" s="343"/>
      <c r="H33" s="343"/>
      <c r="I33" s="343"/>
      <c r="J33" s="343"/>
      <c r="K33" s="343"/>
      <c r="L33" s="343"/>
      <c r="M33" s="343"/>
      <c r="N33" s="24"/>
    </row>
    <row r="34" spans="2:14" ht="62" customHeight="1" x14ac:dyDescent="0.2">
      <c r="B34" s="21"/>
      <c r="C34" s="332" t="s">
        <v>659</v>
      </c>
      <c r="D34" s="341" t="s">
        <v>1311</v>
      </c>
      <c r="E34" s="342"/>
      <c r="F34" s="342"/>
      <c r="G34" s="342"/>
      <c r="H34" s="342"/>
      <c r="I34" s="342"/>
      <c r="J34" s="342"/>
      <c r="K34" s="342"/>
      <c r="L34" s="342"/>
      <c r="M34" s="342"/>
      <c r="N34" s="24"/>
    </row>
    <row r="35" spans="2:14" ht="85" customHeight="1" x14ac:dyDescent="0.2">
      <c r="B35" s="21"/>
      <c r="C35" s="332" t="s">
        <v>659</v>
      </c>
      <c r="D35" s="341" t="s">
        <v>1298</v>
      </c>
      <c r="E35" s="342"/>
      <c r="F35" s="342"/>
      <c r="G35" s="342"/>
      <c r="H35" s="342"/>
      <c r="I35" s="342"/>
      <c r="J35" s="342"/>
      <c r="K35" s="342"/>
      <c r="L35" s="342"/>
      <c r="M35" s="342"/>
      <c r="N35" s="24"/>
    </row>
    <row r="36" spans="2:14" ht="75" customHeight="1" x14ac:dyDescent="0.2">
      <c r="B36" s="21"/>
      <c r="C36" s="332" t="s">
        <v>659</v>
      </c>
      <c r="D36" s="341" t="s">
        <v>1286</v>
      </c>
      <c r="E36" s="342"/>
      <c r="F36" s="342"/>
      <c r="G36" s="342"/>
      <c r="H36" s="342"/>
      <c r="I36" s="342"/>
      <c r="J36" s="342"/>
      <c r="K36" s="342"/>
      <c r="L36" s="342"/>
      <c r="M36" s="342"/>
      <c r="N36" s="24"/>
    </row>
    <row r="37" spans="2:14" ht="105" customHeight="1" x14ac:dyDescent="0.2">
      <c r="B37" s="21"/>
      <c r="C37" s="332" t="s">
        <v>659</v>
      </c>
      <c r="D37" s="341" t="s">
        <v>1279</v>
      </c>
      <c r="E37" s="342"/>
      <c r="F37" s="342"/>
      <c r="G37" s="342"/>
      <c r="H37" s="342"/>
      <c r="I37" s="342"/>
      <c r="J37" s="342"/>
      <c r="K37" s="342"/>
      <c r="L37" s="342"/>
      <c r="M37" s="342"/>
      <c r="N37" s="24"/>
    </row>
    <row r="38" spans="2:14" ht="55" customHeight="1" x14ac:dyDescent="0.2">
      <c r="B38" s="21"/>
      <c r="C38" s="332" t="s">
        <v>659</v>
      </c>
      <c r="D38" s="341" t="s">
        <v>1306</v>
      </c>
      <c r="E38" s="342"/>
      <c r="F38" s="342"/>
      <c r="G38" s="342"/>
      <c r="H38" s="342"/>
      <c r="I38" s="342"/>
      <c r="J38" s="342"/>
      <c r="K38" s="342"/>
      <c r="L38" s="342"/>
      <c r="M38" s="342"/>
      <c r="N38" s="24"/>
    </row>
    <row r="39" spans="2:14" ht="135" customHeight="1" x14ac:dyDescent="0.2">
      <c r="B39" s="21"/>
      <c r="C39" s="332" t="s">
        <v>659</v>
      </c>
      <c r="D39" s="341" t="s">
        <v>1305</v>
      </c>
      <c r="E39" s="342"/>
      <c r="F39" s="342"/>
      <c r="G39" s="342"/>
      <c r="H39" s="342"/>
      <c r="I39" s="342"/>
      <c r="J39" s="342"/>
      <c r="K39" s="342"/>
      <c r="L39" s="342"/>
      <c r="M39" s="342"/>
      <c r="N39" s="24"/>
    </row>
    <row r="40" spans="2:14" ht="15.75" customHeight="1" x14ac:dyDescent="0.2">
      <c r="B40" s="21"/>
      <c r="C40" s="132"/>
      <c r="D40" s="343"/>
      <c r="E40" s="343"/>
      <c r="F40" s="343"/>
      <c r="G40" s="343"/>
      <c r="H40" s="343"/>
      <c r="I40" s="343"/>
      <c r="J40" s="343"/>
      <c r="K40" s="343"/>
      <c r="L40" s="343"/>
      <c r="M40" s="343"/>
      <c r="N40" s="24"/>
    </row>
    <row r="41" spans="2:14" ht="17.25" customHeight="1" x14ac:dyDescent="0.2">
      <c r="B41" s="21"/>
      <c r="C41" s="132"/>
      <c r="D41" s="133"/>
      <c r="E41" s="341"/>
      <c r="F41" s="341"/>
      <c r="G41" s="341"/>
      <c r="H41" s="341"/>
      <c r="I41" s="341"/>
      <c r="J41" s="341"/>
      <c r="K41" s="341"/>
      <c r="L41" s="341"/>
      <c r="M41" s="341"/>
      <c r="N41" s="24"/>
    </row>
    <row r="42" spans="2:14" ht="80" customHeight="1" x14ac:dyDescent="0.2">
      <c r="B42" s="21"/>
      <c r="C42" s="348" t="s">
        <v>1292</v>
      </c>
      <c r="D42" s="349"/>
      <c r="E42" s="349"/>
      <c r="F42" s="349"/>
      <c r="G42" s="349"/>
      <c r="H42" s="349"/>
      <c r="I42" s="349"/>
      <c r="J42" s="349"/>
      <c r="K42" s="349"/>
      <c r="L42" s="349"/>
      <c r="M42" s="349"/>
      <c r="N42" s="24"/>
    </row>
    <row r="43" spans="2:14" ht="45" customHeight="1" x14ac:dyDescent="0.2">
      <c r="B43" s="21"/>
      <c r="C43" s="332" t="s">
        <v>659</v>
      </c>
      <c r="D43" s="341" t="s">
        <v>1287</v>
      </c>
      <c r="E43" s="342"/>
      <c r="F43" s="342"/>
      <c r="G43" s="342"/>
      <c r="H43" s="342"/>
      <c r="I43" s="342"/>
      <c r="J43" s="342"/>
      <c r="K43" s="342"/>
      <c r="L43" s="342"/>
      <c r="M43" s="342"/>
      <c r="N43" s="24"/>
    </row>
    <row r="44" spans="2:14" ht="60" customHeight="1" x14ac:dyDescent="0.2">
      <c r="B44" s="21"/>
      <c r="C44" s="332" t="s">
        <v>659</v>
      </c>
      <c r="D44" s="341" t="s">
        <v>1288</v>
      </c>
      <c r="E44" s="342"/>
      <c r="F44" s="342"/>
      <c r="G44" s="342"/>
      <c r="H44" s="342"/>
      <c r="I44" s="342"/>
      <c r="J44" s="342"/>
      <c r="K44" s="342"/>
      <c r="L44" s="342"/>
      <c r="M44" s="342"/>
      <c r="N44" s="24"/>
    </row>
    <row r="45" spans="2:14" ht="75" customHeight="1" x14ac:dyDescent="0.2">
      <c r="B45" s="21"/>
      <c r="C45" s="332" t="s">
        <v>659</v>
      </c>
      <c r="D45" s="341" t="s">
        <v>1304</v>
      </c>
      <c r="E45" s="342"/>
      <c r="F45" s="342"/>
      <c r="G45" s="342"/>
      <c r="H45" s="342"/>
      <c r="I45" s="342"/>
      <c r="J45" s="342"/>
      <c r="K45" s="342"/>
      <c r="L45" s="342"/>
      <c r="M45" s="342"/>
      <c r="N45" s="24"/>
    </row>
    <row r="46" spans="2:14" ht="90" customHeight="1" x14ac:dyDescent="0.2">
      <c r="B46" s="21"/>
      <c r="C46" s="343" t="s">
        <v>1309</v>
      </c>
      <c r="D46" s="343"/>
      <c r="E46" s="343"/>
      <c r="F46" s="343"/>
      <c r="G46" s="343"/>
      <c r="H46" s="343"/>
      <c r="I46" s="343"/>
      <c r="J46" s="343"/>
      <c r="K46" s="343"/>
      <c r="L46" s="343"/>
      <c r="M46" s="343"/>
      <c r="N46" s="24"/>
    </row>
    <row r="47" spans="2:14" ht="65" customHeight="1" x14ac:dyDescent="0.2">
      <c r="B47" s="21"/>
      <c r="C47" s="332" t="s">
        <v>659</v>
      </c>
      <c r="D47" s="341" t="s">
        <v>1289</v>
      </c>
      <c r="E47" s="342"/>
      <c r="F47" s="342"/>
      <c r="G47" s="342"/>
      <c r="H47" s="342"/>
      <c r="I47" s="342"/>
      <c r="J47" s="342"/>
      <c r="K47" s="342"/>
      <c r="L47" s="342"/>
      <c r="M47" s="342"/>
      <c r="N47" s="24"/>
    </row>
    <row r="48" spans="2:14" ht="45" customHeight="1" x14ac:dyDescent="0.2">
      <c r="B48" s="21"/>
      <c r="C48" s="332" t="s">
        <v>659</v>
      </c>
      <c r="D48" s="341" t="s">
        <v>1290</v>
      </c>
      <c r="E48" s="342"/>
      <c r="F48" s="342"/>
      <c r="G48" s="342"/>
      <c r="H48" s="342"/>
      <c r="I48" s="342"/>
      <c r="J48" s="342"/>
      <c r="K48" s="342"/>
      <c r="L48" s="342"/>
      <c r="M48" s="342"/>
      <c r="N48" s="24"/>
    </row>
    <row r="49" spans="2:14" ht="60" customHeight="1" x14ac:dyDescent="0.2">
      <c r="B49" s="21"/>
      <c r="C49" s="332" t="s">
        <v>659</v>
      </c>
      <c r="D49" s="341" t="s">
        <v>1303</v>
      </c>
      <c r="E49" s="342"/>
      <c r="F49" s="342"/>
      <c r="G49" s="342"/>
      <c r="H49" s="342"/>
      <c r="I49" s="342"/>
      <c r="J49" s="342"/>
      <c r="K49" s="342"/>
      <c r="L49" s="342"/>
      <c r="M49" s="342"/>
      <c r="N49" s="24"/>
    </row>
    <row r="50" spans="2:14" ht="85" customHeight="1" x14ac:dyDescent="0.2">
      <c r="B50" s="21"/>
      <c r="C50" s="332" t="s">
        <v>659</v>
      </c>
      <c r="D50" s="341" t="s">
        <v>1312</v>
      </c>
      <c r="E50" s="342"/>
      <c r="F50" s="342"/>
      <c r="G50" s="342"/>
      <c r="H50" s="342"/>
      <c r="I50" s="342"/>
      <c r="J50" s="342"/>
      <c r="K50" s="342"/>
      <c r="L50" s="342"/>
      <c r="M50" s="342"/>
      <c r="N50" s="24"/>
    </row>
    <row r="51" spans="2:14" ht="75" customHeight="1" x14ac:dyDescent="0.2">
      <c r="B51" s="21"/>
      <c r="C51" s="332" t="s">
        <v>659</v>
      </c>
      <c r="D51" s="341" t="s">
        <v>1291</v>
      </c>
      <c r="E51" s="342"/>
      <c r="F51" s="342"/>
      <c r="G51" s="342"/>
      <c r="H51" s="342"/>
      <c r="I51" s="342"/>
      <c r="J51" s="342"/>
      <c r="K51" s="342"/>
      <c r="L51" s="342"/>
      <c r="M51" s="342"/>
      <c r="N51" s="24"/>
    </row>
    <row r="52" spans="2:14" ht="75" customHeight="1" x14ac:dyDescent="0.2">
      <c r="B52" s="21"/>
      <c r="C52" s="332" t="s">
        <v>659</v>
      </c>
      <c r="D52" s="341" t="s">
        <v>1302</v>
      </c>
      <c r="E52" s="341"/>
      <c r="F52" s="341"/>
      <c r="G52" s="341"/>
      <c r="H52" s="341"/>
      <c r="I52" s="341"/>
      <c r="J52" s="341"/>
      <c r="K52" s="341"/>
      <c r="L52" s="341"/>
      <c r="M52" s="341"/>
      <c r="N52" s="24"/>
    </row>
    <row r="53" spans="2:14" ht="110" customHeight="1" x14ac:dyDescent="0.2">
      <c r="B53" s="21"/>
      <c r="C53" s="332" t="s">
        <v>659</v>
      </c>
      <c r="D53" s="341" t="s">
        <v>1300</v>
      </c>
      <c r="E53" s="341"/>
      <c r="F53" s="341"/>
      <c r="G53" s="341"/>
      <c r="H53" s="341"/>
      <c r="I53" s="341"/>
      <c r="J53" s="341"/>
      <c r="K53" s="341"/>
      <c r="L53" s="341"/>
      <c r="M53" s="341"/>
      <c r="N53" s="24"/>
    </row>
    <row r="54" spans="2:14" ht="50" customHeight="1" x14ac:dyDescent="0.2">
      <c r="B54" s="21"/>
      <c r="C54" s="332" t="s">
        <v>659</v>
      </c>
      <c r="D54" s="341" t="s">
        <v>1301</v>
      </c>
      <c r="E54" s="341"/>
      <c r="F54" s="341"/>
      <c r="G54" s="341"/>
      <c r="H54" s="341"/>
      <c r="I54" s="341"/>
      <c r="J54" s="341"/>
      <c r="K54" s="341"/>
      <c r="L54" s="341"/>
      <c r="M54" s="341"/>
      <c r="N54" s="24"/>
    </row>
    <row r="55" spans="2:14" ht="125" customHeight="1" x14ac:dyDescent="0.2">
      <c r="B55" s="21"/>
      <c r="C55" s="332" t="s">
        <v>659</v>
      </c>
      <c r="D55" s="341" t="s">
        <v>1299</v>
      </c>
      <c r="E55" s="341"/>
      <c r="F55" s="341"/>
      <c r="G55" s="341"/>
      <c r="H55" s="341"/>
      <c r="I55" s="341"/>
      <c r="J55" s="341"/>
      <c r="K55" s="341"/>
      <c r="L55" s="341"/>
      <c r="M55" s="341"/>
      <c r="N55" s="24"/>
    </row>
    <row r="56" spans="2:14" ht="45" customHeight="1" thickBot="1" x14ac:dyDescent="0.25">
      <c r="B56" s="25"/>
      <c r="C56" s="333"/>
      <c r="D56" s="26"/>
      <c r="E56" s="26"/>
      <c r="F56" s="26"/>
      <c r="G56" s="26"/>
      <c r="H56" s="26"/>
      <c r="I56" s="26"/>
      <c r="J56" s="26"/>
      <c r="K56" s="26"/>
      <c r="L56" s="26"/>
      <c r="M56" s="26"/>
      <c r="N56" s="28"/>
    </row>
    <row r="57" spans="2:14" ht="60" customHeight="1" x14ac:dyDescent="0.2"/>
    <row r="58" spans="2:14" ht="45" customHeight="1" x14ac:dyDescent="0.2">
      <c r="C58" s="319"/>
      <c r="F58" s="320"/>
      <c r="G58" s="320"/>
      <c r="H58" s="320"/>
      <c r="I58" s="320"/>
      <c r="J58" s="320"/>
      <c r="K58" s="320"/>
    </row>
    <row r="59" spans="2:14" ht="45" customHeight="1" x14ac:dyDescent="0.2"/>
    <row r="60" spans="2:14" ht="90" customHeight="1" x14ac:dyDescent="0.2"/>
    <row r="61" spans="2:14" ht="60" customHeight="1" x14ac:dyDescent="0.2"/>
    <row r="62" spans="2:14" ht="75" customHeight="1" x14ac:dyDescent="0.2"/>
    <row r="63" spans="2:14" ht="105" customHeight="1" x14ac:dyDescent="0.2"/>
    <row r="64" spans="2:14" ht="45" customHeight="1" x14ac:dyDescent="0.2"/>
    <row r="65" ht="150" customHeight="1" x14ac:dyDescent="0.2"/>
  </sheetData>
  <sheetProtection selectLockedCells="1" selectUnlockedCells="1"/>
  <mergeCells count="33">
    <mergeCell ref="C28:M28"/>
    <mergeCell ref="D32:M32"/>
    <mergeCell ref="D45:M45"/>
    <mergeCell ref="D40:M40"/>
    <mergeCell ref="E41:M41"/>
    <mergeCell ref="C42:M42"/>
    <mergeCell ref="D43:M43"/>
    <mergeCell ref="D44:M44"/>
    <mergeCell ref="D35:M35"/>
    <mergeCell ref="D36:M36"/>
    <mergeCell ref="D37:M37"/>
    <mergeCell ref="D39:M39"/>
    <mergeCell ref="D29:M29"/>
    <mergeCell ref="D30:M30"/>
    <mergeCell ref="D31:M31"/>
    <mergeCell ref="C33:M33"/>
    <mergeCell ref="B11:N11"/>
    <mergeCell ref="C12:M17"/>
    <mergeCell ref="C18:M25"/>
    <mergeCell ref="C26:M26"/>
    <mergeCell ref="C27:M27"/>
    <mergeCell ref="D34:M34"/>
    <mergeCell ref="D52:M52"/>
    <mergeCell ref="D53:M53"/>
    <mergeCell ref="D54:M54"/>
    <mergeCell ref="D55:M55"/>
    <mergeCell ref="D38:M38"/>
    <mergeCell ref="C46:M46"/>
    <mergeCell ref="D47:M47"/>
    <mergeCell ref="D48:M48"/>
    <mergeCell ref="D49:M49"/>
    <mergeCell ref="D50:M50"/>
    <mergeCell ref="D51:M51"/>
  </mergeCells>
  <pageMargins left="0.7" right="0.7" top="0.75" bottom="0.75" header="0.3" footer="0.3"/>
  <pageSetup scale="65"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67"/>
  <dimension ref="A1:N1029"/>
  <sheetViews>
    <sheetView showGridLines="0" showRowColHeaders="0" zoomScale="85" zoomScaleNormal="85" workbookViewId="0">
      <selection activeCell="G3" sqref="G3:I3"/>
    </sheetView>
  </sheetViews>
  <sheetFormatPr baseColWidth="10" defaultColWidth="9.1640625" defaultRowHeight="15" x14ac:dyDescent="0.2"/>
  <cols>
    <col min="1" max="1" width="9.1640625" style="12"/>
    <col min="2" max="3" width="9.1640625" style="12" customWidth="1"/>
    <col min="4" max="4" width="9.1640625" style="12"/>
    <col min="5" max="5" width="9.1640625" style="12" customWidth="1"/>
    <col min="6" max="9" width="9.1640625" style="12"/>
    <col min="10" max="10" width="25.6640625" style="12" customWidth="1"/>
    <col min="11" max="12" width="9.1640625" style="12"/>
    <col min="13" max="13" width="9.1640625" style="12" customWidth="1"/>
    <col min="14" max="14" width="9.1640625" style="12" hidden="1" customWidth="1"/>
    <col min="15" max="16384" width="9.1640625" style="12"/>
  </cols>
  <sheetData>
    <row r="1" spans="2:13" x14ac:dyDescent="0.2">
      <c r="I1" s="29"/>
    </row>
    <row r="2" spans="2:13" ht="33" x14ac:dyDescent="0.2">
      <c r="G2" s="16" t="s">
        <v>1038</v>
      </c>
      <c r="I2" s="29"/>
    </row>
    <row r="3" spans="2:13" ht="23" x14ac:dyDescent="0.25">
      <c r="F3" s="306" t="s">
        <v>1042</v>
      </c>
      <c r="G3" s="479"/>
      <c r="H3" s="480"/>
      <c r="I3" s="481"/>
      <c r="L3" s="157"/>
      <c r="M3" s="157"/>
    </row>
    <row r="4" spans="2:13" x14ac:dyDescent="0.2">
      <c r="G4" s="98"/>
      <c r="I4" s="29"/>
      <c r="L4" s="158"/>
      <c r="M4" s="157"/>
    </row>
    <row r="5" spans="2:13" x14ac:dyDescent="0.2">
      <c r="B5" s="12" t="s">
        <v>1043</v>
      </c>
      <c r="G5" s="98"/>
      <c r="I5" s="29"/>
      <c r="L5" s="158"/>
      <c r="M5" s="157"/>
    </row>
    <row r="6" spans="2:13" ht="121.5" customHeight="1" x14ac:dyDescent="0.2">
      <c r="B6" s="476"/>
      <c r="C6" s="477"/>
      <c r="D6" s="477"/>
      <c r="E6" s="477"/>
      <c r="F6" s="477"/>
      <c r="G6" s="477"/>
      <c r="H6" s="477"/>
      <c r="I6" s="477"/>
      <c r="J6" s="477"/>
      <c r="K6" s="478"/>
      <c r="L6" s="158"/>
      <c r="M6" s="157"/>
    </row>
    <row r="7" spans="2:13" x14ac:dyDescent="0.2">
      <c r="B7" s="426"/>
      <c r="C7" s="426"/>
      <c r="D7" s="426"/>
      <c r="E7" s="426"/>
      <c r="F7" s="426"/>
      <c r="G7" s="426"/>
      <c r="H7" s="426"/>
      <c r="I7" s="426"/>
      <c r="J7" s="426"/>
      <c r="K7" s="426"/>
      <c r="L7" s="158"/>
    </row>
    <row r="8" spans="2:13" s="307" customFormat="1" ht="75" customHeight="1" x14ac:dyDescent="0.2">
      <c r="B8" s="425" t="s">
        <v>664</v>
      </c>
      <c r="C8" s="341"/>
      <c r="D8" s="341"/>
      <c r="E8" s="341"/>
      <c r="F8" s="341"/>
      <c r="G8" s="341"/>
      <c r="H8" s="341"/>
      <c r="I8" s="341"/>
      <c r="J8" s="341"/>
      <c r="K8" s="341"/>
    </row>
    <row r="9" spans="2:13" ht="30" customHeight="1" x14ac:dyDescent="0.2">
      <c r="B9" s="445" t="s">
        <v>665</v>
      </c>
      <c r="C9" s="446"/>
      <c r="D9" s="446"/>
      <c r="E9" s="446"/>
      <c r="F9" s="446"/>
      <c r="G9" s="446"/>
      <c r="H9" s="446"/>
      <c r="I9" s="446"/>
      <c r="J9" s="446"/>
      <c r="K9" s="446"/>
    </row>
    <row r="10" spans="2:13" ht="121.5" customHeight="1" x14ac:dyDescent="0.2">
      <c r="B10" s="447"/>
      <c r="C10" s="448"/>
      <c r="D10" s="448"/>
      <c r="E10" s="448"/>
      <c r="F10" s="448"/>
      <c r="G10" s="448"/>
      <c r="H10" s="448"/>
      <c r="I10" s="448"/>
      <c r="J10" s="448"/>
      <c r="K10" s="449"/>
    </row>
    <row r="11" spans="2:13" ht="16" thickBot="1" x14ac:dyDescent="0.25"/>
    <row r="12" spans="2:13" x14ac:dyDescent="0.2">
      <c r="B12" s="159"/>
      <c r="C12" s="160"/>
      <c r="D12" s="160"/>
      <c r="E12" s="160"/>
      <c r="F12" s="160"/>
      <c r="G12" s="160"/>
      <c r="H12" s="160"/>
      <c r="I12" s="160"/>
      <c r="J12" s="160"/>
      <c r="K12" s="161"/>
    </row>
    <row r="13" spans="2:13" ht="21" x14ac:dyDescent="0.25">
      <c r="B13" s="162"/>
      <c r="C13" s="163"/>
      <c r="D13" s="163"/>
      <c r="E13" s="163"/>
      <c r="F13" s="163"/>
      <c r="G13" s="164" t="s">
        <v>226</v>
      </c>
      <c r="H13" s="163"/>
      <c r="I13" s="163"/>
      <c r="J13" s="163"/>
      <c r="K13" s="165"/>
    </row>
    <row r="14" spans="2:13" ht="21" x14ac:dyDescent="0.25">
      <c r="B14" s="162"/>
      <c r="C14" s="163"/>
      <c r="D14" s="163"/>
      <c r="E14" s="163"/>
      <c r="F14" s="163"/>
      <c r="G14" s="164"/>
      <c r="H14" s="163"/>
      <c r="I14" s="163"/>
      <c r="J14" s="163"/>
      <c r="K14" s="165"/>
    </row>
    <row r="15" spans="2:13" ht="26.25" customHeight="1" x14ac:dyDescent="0.2">
      <c r="B15" s="162"/>
      <c r="C15" s="163" t="s">
        <v>255</v>
      </c>
      <c r="D15" s="163"/>
      <c r="E15" s="412"/>
      <c r="F15" s="437"/>
      <c r="G15" s="437"/>
      <c r="H15" s="437"/>
      <c r="I15" s="437"/>
      <c r="J15" s="438"/>
      <c r="K15" s="165"/>
    </row>
    <row r="16" spans="2:13" x14ac:dyDescent="0.2">
      <c r="B16" s="162"/>
      <c r="C16" s="163"/>
      <c r="D16" s="163"/>
      <c r="E16" s="163"/>
      <c r="F16" s="163"/>
      <c r="G16" s="163"/>
      <c r="H16" s="163"/>
      <c r="I16" s="163"/>
      <c r="J16" s="163"/>
      <c r="K16" s="165"/>
    </row>
    <row r="17" spans="2:14" x14ac:dyDescent="0.2">
      <c r="B17" s="162"/>
      <c r="C17" s="166" t="s">
        <v>256</v>
      </c>
      <c r="D17" s="163"/>
      <c r="E17" s="167" t="str">
        <f>IF(E15=$C$966,$A$966,IF(E15=$C$967,$A$967,IF(E15=$C$968,$A$968,IF(E15=$C$969,$A$969,IF(E15=$C$970,$A$970,"Not Calculated")))))</f>
        <v>Not Calculated</v>
      </c>
      <c r="F17" s="163"/>
      <c r="G17" s="163"/>
      <c r="H17" s="163"/>
      <c r="I17" s="163"/>
      <c r="J17" s="163"/>
      <c r="K17" s="165"/>
    </row>
    <row r="18" spans="2:14" x14ac:dyDescent="0.2">
      <c r="B18" s="162"/>
      <c r="C18" s="163"/>
      <c r="D18" s="163"/>
      <c r="E18" s="167" t="str">
        <f>IF(E15=$C$966,$B$966,IF(E15=$C$967,$B$967,IF(E15=$C$968,$B$968,IF(E15=$C$969,$B$969,IF(E15=$C$970,$B$970,"Not Calculated")))))</f>
        <v>Not Calculated</v>
      </c>
      <c r="F18" s="163"/>
      <c r="G18" s="163"/>
      <c r="H18" s="163"/>
      <c r="I18" s="163"/>
      <c r="J18" s="163"/>
      <c r="K18" s="165"/>
    </row>
    <row r="19" spans="2:14" ht="16" thickBot="1" x14ac:dyDescent="0.25">
      <c r="B19" s="168"/>
      <c r="C19" s="169"/>
      <c r="D19" s="169"/>
      <c r="E19" s="169"/>
      <c r="F19" s="169"/>
      <c r="G19" s="169"/>
      <c r="H19" s="169"/>
      <c r="I19" s="169"/>
      <c r="J19" s="169"/>
      <c r="K19" s="170"/>
    </row>
    <row r="20" spans="2:14" ht="16" thickBot="1" x14ac:dyDescent="0.25"/>
    <row r="21" spans="2:14" x14ac:dyDescent="0.2">
      <c r="B21" s="33"/>
      <c r="C21" s="34"/>
      <c r="D21" s="34"/>
      <c r="E21" s="34"/>
      <c r="F21" s="34"/>
      <c r="G21" s="34"/>
      <c r="H21" s="34"/>
      <c r="I21" s="34"/>
      <c r="J21" s="34"/>
      <c r="K21" s="37"/>
    </row>
    <row r="22" spans="2:14" ht="21" x14ac:dyDescent="0.25">
      <c r="B22" s="38"/>
      <c r="C22" s="171"/>
      <c r="D22" s="40"/>
      <c r="E22" s="40"/>
      <c r="F22" s="40"/>
      <c r="G22" s="172" t="s">
        <v>26</v>
      </c>
      <c r="H22" s="40"/>
      <c r="I22" s="40"/>
      <c r="J22" s="40"/>
      <c r="K22" s="41"/>
    </row>
    <row r="23" spans="2:14" x14ac:dyDescent="0.2">
      <c r="B23" s="38"/>
      <c r="C23" s="40"/>
      <c r="D23" s="40"/>
      <c r="E23" s="40"/>
      <c r="F23" s="40"/>
      <c r="G23" s="40"/>
      <c r="H23" s="40"/>
      <c r="I23" s="40"/>
      <c r="J23" s="40"/>
      <c r="K23" s="41"/>
    </row>
    <row r="24" spans="2:14" ht="16" x14ac:dyDescent="0.2">
      <c r="B24" s="38"/>
      <c r="C24" s="45" t="s">
        <v>61</v>
      </c>
      <c r="D24" s="40"/>
      <c r="E24" s="40"/>
      <c r="F24" s="40"/>
      <c r="G24" s="40"/>
      <c r="H24" s="40"/>
      <c r="I24" s="40"/>
      <c r="J24" s="40"/>
      <c r="K24" s="41"/>
    </row>
    <row r="25" spans="2:14" x14ac:dyDescent="0.2">
      <c r="B25" s="38"/>
      <c r="C25" s="40" t="s">
        <v>434</v>
      </c>
      <c r="D25" s="40"/>
      <c r="E25" s="40"/>
      <c r="F25" s="40"/>
      <c r="G25" s="40"/>
      <c r="H25" s="40"/>
      <c r="I25" s="40"/>
      <c r="J25" s="252">
        <f>'Baseline Health'!G11</f>
        <v>0</v>
      </c>
      <c r="K25" s="41"/>
    </row>
    <row r="26" spans="2:14" x14ac:dyDescent="0.2">
      <c r="B26" s="38"/>
      <c r="C26" s="40" t="s">
        <v>288</v>
      </c>
      <c r="D26" s="40"/>
      <c r="E26" s="40"/>
      <c r="F26" s="40"/>
      <c r="G26" s="40"/>
      <c r="H26" s="40"/>
      <c r="I26" s="40"/>
      <c r="J26" s="264"/>
      <c r="K26" s="41"/>
    </row>
    <row r="27" spans="2:14" x14ac:dyDescent="0.2">
      <c r="B27" s="38"/>
      <c r="C27" s="40" t="s">
        <v>260</v>
      </c>
      <c r="D27" s="40"/>
      <c r="E27" s="40"/>
      <c r="F27" s="40"/>
      <c r="G27" s="40"/>
      <c r="H27" s="40"/>
      <c r="I27" s="40"/>
      <c r="J27" s="248" t="str">
        <f>IF(OR(J25=0,J25="Not Calculated")=TRUE,"Not Calculated",(IF(((J26+J25)/J25)&lt;=1,0,IF(((J26+J25)/J25)&lt;=1.05,1,IF(((J26+J25)/J25)&lt;=1.5, 2,IF(((J26+J25)/J25)&lt;=2,3,4))))))</f>
        <v>Not Calculated</v>
      </c>
      <c r="K27" s="41"/>
    </row>
    <row r="28" spans="2:14" ht="9.75" customHeight="1" x14ac:dyDescent="0.2">
      <c r="B28" s="38"/>
      <c r="C28" s="279" t="str">
        <f>"0:"</f>
        <v>0:</v>
      </c>
      <c r="D28" s="281" t="s">
        <v>918</v>
      </c>
      <c r="E28" s="40"/>
      <c r="F28" s="40"/>
      <c r="G28" s="40"/>
      <c r="H28" s="40"/>
      <c r="I28" s="40"/>
      <c r="J28" s="40"/>
      <c r="K28" s="41"/>
    </row>
    <row r="29" spans="2:14" ht="9.75" customHeight="1" x14ac:dyDescent="0.2">
      <c r="B29" s="38"/>
      <c r="C29" s="280" t="str">
        <f>"1:"</f>
        <v>1:</v>
      </c>
      <c r="D29" s="281" t="s">
        <v>919</v>
      </c>
      <c r="E29" s="40"/>
      <c r="F29" s="40"/>
      <c r="G29" s="40"/>
      <c r="H29" s="40"/>
      <c r="I29" s="40"/>
      <c r="J29" s="40"/>
      <c r="K29" s="41"/>
    </row>
    <row r="30" spans="2:14" ht="9.75" customHeight="1" x14ac:dyDescent="0.2">
      <c r="B30" s="38"/>
      <c r="C30" s="280" t="str">
        <f>"2:"</f>
        <v>2:</v>
      </c>
      <c r="D30" s="281" t="s">
        <v>920</v>
      </c>
      <c r="E30" s="40"/>
      <c r="F30" s="40"/>
      <c r="G30" s="40"/>
      <c r="H30" s="40"/>
      <c r="I30" s="40"/>
      <c r="J30" s="40"/>
      <c r="K30" s="41"/>
    </row>
    <row r="31" spans="2:14" ht="9.75" customHeight="1" x14ac:dyDescent="0.2">
      <c r="B31" s="38"/>
      <c r="C31" s="280" t="str">
        <f>"3:"</f>
        <v>3:</v>
      </c>
      <c r="D31" s="281" t="s">
        <v>921</v>
      </c>
      <c r="E31" s="40"/>
      <c r="F31" s="40"/>
      <c r="G31" s="40"/>
      <c r="H31" s="40"/>
      <c r="I31" s="40"/>
      <c r="J31" s="40"/>
      <c r="K31" s="41"/>
    </row>
    <row r="32" spans="2:14" ht="9.75" customHeight="1" x14ac:dyDescent="0.2">
      <c r="B32" s="38"/>
      <c r="C32" s="280" t="str">
        <f>"4:"</f>
        <v>4:</v>
      </c>
      <c r="D32" s="281" t="s">
        <v>922</v>
      </c>
      <c r="E32" s="40"/>
      <c r="F32" s="40"/>
      <c r="G32" s="40"/>
      <c r="H32" s="40"/>
      <c r="I32" s="40"/>
      <c r="J32" s="40"/>
      <c r="K32" s="41"/>
      <c r="N32" s="12" t="s">
        <v>661</v>
      </c>
    </row>
    <row r="33" spans="2:14" x14ac:dyDescent="0.2">
      <c r="B33" s="38"/>
      <c r="C33" s="174" t="s">
        <v>662</v>
      </c>
      <c r="D33" s="40"/>
      <c r="E33" s="40"/>
      <c r="F33" s="40"/>
      <c r="G33" s="40"/>
      <c r="H33" s="40"/>
      <c r="I33" s="40"/>
      <c r="J33" s="265" t="s">
        <v>661</v>
      </c>
      <c r="K33" s="41"/>
      <c r="N33" s="12" t="s">
        <v>894</v>
      </c>
    </row>
    <row r="34" spans="2:14" x14ac:dyDescent="0.2">
      <c r="B34" s="38"/>
      <c r="C34" s="174" t="s">
        <v>660</v>
      </c>
      <c r="D34" s="40"/>
      <c r="E34" s="40"/>
      <c r="F34" s="40"/>
      <c r="G34" s="40"/>
      <c r="H34" s="40"/>
      <c r="I34" s="40"/>
      <c r="J34" s="246" t="str">
        <f>IF(J33=N32,"N/A",IF(J33=N33,0,IF(J33=N34,1,IF(J33=N35,2,IF(J33=N36,3,IF(J33=N37,4,"N/A"))))))</f>
        <v>N/A</v>
      </c>
      <c r="K34" s="41"/>
      <c r="N34" s="12" t="s">
        <v>895</v>
      </c>
    </row>
    <row r="35" spans="2:14" x14ac:dyDescent="0.2">
      <c r="B35" s="38"/>
      <c r="C35" s="40" t="s">
        <v>257</v>
      </c>
      <c r="D35" s="40"/>
      <c r="E35" s="40"/>
      <c r="F35" s="40"/>
      <c r="G35" s="40"/>
      <c r="H35" s="40"/>
      <c r="I35" s="40"/>
      <c r="J35" s="266"/>
      <c r="K35" s="41"/>
      <c r="N35" s="12" t="s">
        <v>896</v>
      </c>
    </row>
    <row r="36" spans="2:14" x14ac:dyDescent="0.2">
      <c r="B36" s="38"/>
      <c r="C36" s="40" t="s">
        <v>261</v>
      </c>
      <c r="D36" s="40"/>
      <c r="E36" s="40"/>
      <c r="F36" s="40"/>
      <c r="G36" s="40"/>
      <c r="H36" s="40"/>
      <c r="I36" s="40"/>
      <c r="J36" s="245" t="str">
        <f>IF(J35=$B$973,$A$973,IF(J35=$B$974,$A$974,IF(J35=$B$975,$A$975,IF(J35=$B$976,$A$976,IF(J35=$B$977,$A$977,"Not Calculated")))))</f>
        <v>Not Calculated</v>
      </c>
      <c r="K36" s="41"/>
      <c r="N36" s="12" t="s">
        <v>897</v>
      </c>
    </row>
    <row r="37" spans="2:14" x14ac:dyDescent="0.2">
      <c r="B37" s="38"/>
      <c r="C37" s="40" t="s">
        <v>893</v>
      </c>
      <c r="D37" s="40"/>
      <c r="E37" s="40"/>
      <c r="F37" s="40"/>
      <c r="G37" s="40"/>
      <c r="H37" s="40"/>
      <c r="I37" s="40"/>
      <c r="J37" s="175"/>
      <c r="K37" s="41"/>
      <c r="N37" s="12" t="s">
        <v>898</v>
      </c>
    </row>
    <row r="38" spans="2:14" s="178" customFormat="1" x14ac:dyDescent="0.2">
      <c r="B38" s="176"/>
      <c r="C38" s="415"/>
      <c r="D38" s="400"/>
      <c r="E38" s="400"/>
      <c r="F38" s="400"/>
      <c r="G38" s="400"/>
      <c r="H38" s="400"/>
      <c r="I38" s="400"/>
      <c r="J38" s="401"/>
      <c r="K38" s="177"/>
    </row>
    <row r="39" spans="2:14" x14ac:dyDescent="0.2">
      <c r="B39" s="38"/>
      <c r="C39" s="40"/>
      <c r="D39" s="40"/>
      <c r="E39" s="40"/>
      <c r="F39" s="40"/>
      <c r="G39" s="40"/>
      <c r="H39" s="40"/>
      <c r="I39" s="40"/>
      <c r="J39" s="40"/>
      <c r="K39" s="41"/>
    </row>
    <row r="40" spans="2:14" x14ac:dyDescent="0.2">
      <c r="B40" s="38"/>
      <c r="C40" s="179" t="s">
        <v>258</v>
      </c>
      <c r="D40" s="40"/>
      <c r="E40" s="40"/>
      <c r="F40" s="40"/>
      <c r="G40" s="40"/>
      <c r="H40" s="40"/>
      <c r="I40" s="40"/>
      <c r="J40" s="245" t="str">
        <f>IF(J34="N/A",IF(OR(J27="Not Calculated",J36="Not Calculated")=TRUE,"Not Calculated",AVERAGE(J27,J36)),AVERAGE(J34,J36))</f>
        <v>Not Calculated</v>
      </c>
      <c r="K40" s="41"/>
    </row>
    <row r="41" spans="2:14" x14ac:dyDescent="0.2">
      <c r="B41" s="38"/>
      <c r="C41" s="179"/>
      <c r="D41" s="40"/>
      <c r="E41" s="40"/>
      <c r="F41" s="40"/>
      <c r="G41" s="40"/>
      <c r="H41" s="40"/>
      <c r="I41" s="40"/>
      <c r="J41" s="245"/>
      <c r="K41" s="41"/>
    </row>
    <row r="42" spans="2:14" x14ac:dyDescent="0.2">
      <c r="B42" s="38"/>
      <c r="C42" s="40"/>
      <c r="D42" s="40"/>
      <c r="E42" s="40"/>
      <c r="F42" s="40"/>
      <c r="G42" s="40"/>
      <c r="H42" s="40"/>
      <c r="I42" s="40"/>
      <c r="J42" s="40"/>
      <c r="K42" s="41"/>
    </row>
    <row r="43" spans="2:14" ht="16" x14ac:dyDescent="0.2">
      <c r="B43" s="38"/>
      <c r="C43" s="45" t="s">
        <v>51</v>
      </c>
      <c r="D43" s="40"/>
      <c r="E43" s="40"/>
      <c r="F43" s="40"/>
      <c r="G43" s="40"/>
      <c r="H43" s="40"/>
      <c r="I43" s="40"/>
      <c r="J43" s="40"/>
      <c r="K43" s="41"/>
    </row>
    <row r="44" spans="2:14" x14ac:dyDescent="0.2">
      <c r="B44" s="38"/>
      <c r="C44" s="40" t="s">
        <v>435</v>
      </c>
      <c r="D44" s="40"/>
      <c r="E44" s="40"/>
      <c r="F44" s="40"/>
      <c r="G44" s="40"/>
      <c r="H44" s="40"/>
      <c r="I44" s="40"/>
      <c r="J44" s="252">
        <f>'Baseline Health'!G17</f>
        <v>0</v>
      </c>
      <c r="K44" s="41"/>
    </row>
    <row r="45" spans="2:14" x14ac:dyDescent="0.2">
      <c r="B45" s="38"/>
      <c r="C45" s="40" t="s">
        <v>287</v>
      </c>
      <c r="D45" s="40"/>
      <c r="E45" s="40"/>
      <c r="F45" s="40"/>
      <c r="G45" s="40"/>
      <c r="H45" s="40"/>
      <c r="I45" s="40"/>
      <c r="J45" s="264"/>
      <c r="K45" s="41"/>
    </row>
    <row r="46" spans="2:14" x14ac:dyDescent="0.2">
      <c r="B46" s="38"/>
      <c r="C46" s="40" t="s">
        <v>260</v>
      </c>
      <c r="D46" s="40"/>
      <c r="E46" s="40"/>
      <c r="F46" s="40"/>
      <c r="G46" s="40"/>
      <c r="H46" s="40"/>
      <c r="I46" s="40"/>
      <c r="J46" s="248" t="str">
        <f>IF(OR(J44=0,J44="Not Calculated")=TRUE,"Not Calculated",(IF(((J45+J44)/J44)&lt;=1,0,IF(((J45+J44)/J44)&lt;=1.05,1,IF(((J45+J44)/J44)&lt;=1.5, 2,IF(((J45+J44)/J44)&lt;=2,3,4))))))</f>
        <v>Not Calculated</v>
      </c>
      <c r="K46" s="41"/>
    </row>
    <row r="47" spans="2:14" ht="9.75" customHeight="1" x14ac:dyDescent="0.2">
      <c r="B47" s="38"/>
      <c r="C47" s="279" t="str">
        <f>"0:"</f>
        <v>0:</v>
      </c>
      <c r="D47" s="281" t="s">
        <v>918</v>
      </c>
      <c r="E47" s="40"/>
      <c r="F47" s="40"/>
      <c r="G47" s="40"/>
      <c r="H47" s="40"/>
      <c r="I47" s="40"/>
      <c r="J47" s="40"/>
      <c r="K47" s="41"/>
    </row>
    <row r="48" spans="2:14" ht="9.75" customHeight="1" x14ac:dyDescent="0.2">
      <c r="B48" s="38"/>
      <c r="C48" s="280" t="str">
        <f>"1:"</f>
        <v>1:</v>
      </c>
      <c r="D48" s="281" t="s">
        <v>919</v>
      </c>
      <c r="E48" s="40"/>
      <c r="F48" s="40"/>
      <c r="G48" s="40"/>
      <c r="H48" s="40"/>
      <c r="I48" s="40"/>
      <c r="J48" s="40"/>
      <c r="K48" s="41"/>
    </row>
    <row r="49" spans="2:14" ht="9.75" customHeight="1" x14ac:dyDescent="0.2">
      <c r="B49" s="38"/>
      <c r="C49" s="280" t="str">
        <f>"2:"</f>
        <v>2:</v>
      </c>
      <c r="D49" s="281" t="s">
        <v>920</v>
      </c>
      <c r="E49" s="40"/>
      <c r="F49" s="40"/>
      <c r="G49" s="40"/>
      <c r="H49" s="40"/>
      <c r="I49" s="40"/>
      <c r="J49" s="40"/>
      <c r="K49" s="41"/>
    </row>
    <row r="50" spans="2:14" ht="9.75" customHeight="1" x14ac:dyDescent="0.2">
      <c r="B50" s="38"/>
      <c r="C50" s="280" t="str">
        <f>"3:"</f>
        <v>3:</v>
      </c>
      <c r="D50" s="281" t="s">
        <v>921</v>
      </c>
      <c r="E50" s="40"/>
      <c r="F50" s="40"/>
      <c r="G50" s="40"/>
      <c r="H50" s="40"/>
      <c r="I50" s="40"/>
      <c r="J50" s="40"/>
      <c r="K50" s="41"/>
    </row>
    <row r="51" spans="2:14" ht="9.75" customHeight="1" x14ac:dyDescent="0.2">
      <c r="B51" s="38"/>
      <c r="C51" s="280" t="str">
        <f>"4:"</f>
        <v>4:</v>
      </c>
      <c r="D51" s="281" t="s">
        <v>922</v>
      </c>
      <c r="E51" s="40"/>
      <c r="F51" s="40"/>
      <c r="G51" s="40"/>
      <c r="H51" s="40"/>
      <c r="I51" s="40"/>
      <c r="J51" s="40"/>
      <c r="K51" s="41"/>
      <c r="N51" s="12" t="s">
        <v>661</v>
      </c>
    </row>
    <row r="52" spans="2:14" x14ac:dyDescent="0.2">
      <c r="B52" s="38"/>
      <c r="C52" s="174" t="s">
        <v>662</v>
      </c>
      <c r="D52" s="40"/>
      <c r="E52" s="40"/>
      <c r="F52" s="40"/>
      <c r="G52" s="40"/>
      <c r="H52" s="40"/>
      <c r="I52" s="40"/>
      <c r="J52" s="265" t="s">
        <v>661</v>
      </c>
      <c r="K52" s="41"/>
      <c r="N52" s="12" t="s">
        <v>894</v>
      </c>
    </row>
    <row r="53" spans="2:14" x14ac:dyDescent="0.2">
      <c r="B53" s="38"/>
      <c r="C53" s="174" t="s">
        <v>660</v>
      </c>
      <c r="D53" s="40"/>
      <c r="E53" s="40"/>
      <c r="F53" s="40"/>
      <c r="G53" s="40"/>
      <c r="H53" s="40"/>
      <c r="I53" s="40"/>
      <c r="J53" s="246" t="str">
        <f>IF(J52=N51,"N/A",IF(J52=N52,0,IF(J52=N53,1,IF(J52=N54,2,IF(J52=N55,3,IF(J52=N56,4,"N/A"))))))</f>
        <v>N/A</v>
      </c>
      <c r="K53" s="41"/>
      <c r="N53" s="12" t="s">
        <v>895</v>
      </c>
    </row>
    <row r="54" spans="2:14" x14ac:dyDescent="0.2">
      <c r="B54" s="38"/>
      <c r="C54" s="40" t="s">
        <v>257</v>
      </c>
      <c r="D54" s="40"/>
      <c r="E54" s="40"/>
      <c r="F54" s="40"/>
      <c r="G54" s="40"/>
      <c r="H54" s="40"/>
      <c r="I54" s="40"/>
      <c r="J54" s="266"/>
      <c r="K54" s="41"/>
      <c r="N54" s="12" t="s">
        <v>896</v>
      </c>
    </row>
    <row r="55" spans="2:14" x14ac:dyDescent="0.2">
      <c r="B55" s="38"/>
      <c r="C55" s="40" t="s">
        <v>261</v>
      </c>
      <c r="D55" s="40"/>
      <c r="E55" s="40"/>
      <c r="F55" s="40"/>
      <c r="G55" s="40"/>
      <c r="H55" s="40"/>
      <c r="I55" s="40"/>
      <c r="J55" s="245" t="str">
        <f>IF(J54=$B$973,$A$973,IF(J54=$B$974,$A$974,IF(J54=$B$975,$A$975,IF(J54=$B$976,$A$976,IF(J54=$B$977,$A$977,"Not Calculated")))))</f>
        <v>Not Calculated</v>
      </c>
      <c r="K55" s="41"/>
      <c r="N55" s="12" t="s">
        <v>897</v>
      </c>
    </row>
    <row r="56" spans="2:14" x14ac:dyDescent="0.2">
      <c r="B56" s="38"/>
      <c r="C56" s="40" t="s">
        <v>893</v>
      </c>
      <c r="D56" s="40"/>
      <c r="E56" s="40"/>
      <c r="F56" s="40"/>
      <c r="G56" s="40"/>
      <c r="H56" s="40"/>
      <c r="I56" s="40"/>
      <c r="J56" s="175"/>
      <c r="K56" s="41"/>
      <c r="N56" s="12" t="s">
        <v>898</v>
      </c>
    </row>
    <row r="57" spans="2:14" s="178" customFormat="1" ht="15" customHeight="1" x14ac:dyDescent="0.2">
      <c r="B57" s="176"/>
      <c r="C57" s="415"/>
      <c r="D57" s="400"/>
      <c r="E57" s="400"/>
      <c r="F57" s="400"/>
      <c r="G57" s="400"/>
      <c r="H57" s="400"/>
      <c r="I57" s="400"/>
      <c r="J57" s="401"/>
      <c r="K57" s="177"/>
    </row>
    <row r="58" spans="2:14" x14ac:dyDescent="0.2">
      <c r="B58" s="38"/>
      <c r="C58" s="40"/>
      <c r="D58" s="40"/>
      <c r="E58" s="40"/>
      <c r="F58" s="40"/>
      <c r="G58" s="40"/>
      <c r="H58" s="40"/>
      <c r="I58" s="40"/>
      <c r="J58" s="40"/>
      <c r="K58" s="41"/>
    </row>
    <row r="59" spans="2:14" x14ac:dyDescent="0.2">
      <c r="B59" s="38"/>
      <c r="C59" s="179" t="s">
        <v>263</v>
      </c>
      <c r="D59" s="40"/>
      <c r="E59" s="40"/>
      <c r="F59" s="40"/>
      <c r="G59" s="40"/>
      <c r="H59" s="40"/>
      <c r="I59" s="40"/>
      <c r="J59" s="245" t="str">
        <f>IF(J53="N/A",IF(OR(J46="Not Calculated",J55="Not Calculated")=TRUE,"Not Calculated",AVERAGE(J46,J55)),AVERAGE(J53,J55))</f>
        <v>Not Calculated</v>
      </c>
      <c r="K59" s="41"/>
    </row>
    <row r="60" spans="2:14" x14ac:dyDescent="0.2">
      <c r="B60" s="38"/>
      <c r="C60" s="40"/>
      <c r="D60" s="40"/>
      <c r="E60" s="40"/>
      <c r="F60" s="40"/>
      <c r="G60" s="40"/>
      <c r="H60" s="40"/>
      <c r="I60" s="40"/>
      <c r="J60" s="40"/>
      <c r="K60" s="41"/>
    </row>
    <row r="61" spans="2:14" x14ac:dyDescent="0.2">
      <c r="B61" s="38"/>
      <c r="C61" s="40"/>
      <c r="D61" s="40"/>
      <c r="E61" s="40"/>
      <c r="F61" s="40"/>
      <c r="G61" s="40"/>
      <c r="H61" s="40"/>
      <c r="I61" s="40"/>
      <c r="J61" s="40"/>
      <c r="K61" s="41"/>
    </row>
    <row r="62" spans="2:14" ht="16" x14ac:dyDescent="0.2">
      <c r="B62" s="38"/>
      <c r="C62" s="45" t="s">
        <v>54</v>
      </c>
      <c r="D62" s="40"/>
      <c r="E62" s="40"/>
      <c r="F62" s="40"/>
      <c r="G62" s="40"/>
      <c r="H62" s="40"/>
      <c r="I62" s="40"/>
      <c r="J62" s="40"/>
      <c r="K62" s="41"/>
    </row>
    <row r="63" spans="2:14" x14ac:dyDescent="0.2">
      <c r="B63" s="38"/>
      <c r="C63" s="40" t="s">
        <v>436</v>
      </c>
      <c r="D63" s="40"/>
      <c r="E63" s="40"/>
      <c r="F63" s="40"/>
      <c r="G63" s="40"/>
      <c r="H63" s="40"/>
      <c r="I63" s="40"/>
      <c r="J63" s="252">
        <f>'Baseline Health'!G23</f>
        <v>0</v>
      </c>
      <c r="K63" s="41"/>
    </row>
    <row r="64" spans="2:14" x14ac:dyDescent="0.2">
      <c r="B64" s="38"/>
      <c r="C64" s="40" t="s">
        <v>289</v>
      </c>
      <c r="D64" s="40"/>
      <c r="E64" s="40"/>
      <c r="F64" s="40"/>
      <c r="G64" s="40"/>
      <c r="H64" s="40"/>
      <c r="I64" s="40"/>
      <c r="J64" s="264"/>
      <c r="K64" s="41"/>
    </row>
    <row r="65" spans="2:14" x14ac:dyDescent="0.2">
      <c r="B65" s="38"/>
      <c r="C65" s="40" t="s">
        <v>260</v>
      </c>
      <c r="D65" s="40"/>
      <c r="E65" s="40"/>
      <c r="F65" s="40"/>
      <c r="G65" s="40"/>
      <c r="H65" s="40"/>
      <c r="I65" s="40"/>
      <c r="J65" s="248" t="str">
        <f>IF(OR(J63=0,J63="Not Calculated")=TRUE,"Not Calculated",(IF(((J64+J63)/J63)&lt;=1,0,IF(((J64+J63)/J63)&lt;=1.05,1,IF(((J64+J63)/J63)&lt;=1.5, 2,IF(((J64+J63)/J63)&lt;=2,3,4))))))</f>
        <v>Not Calculated</v>
      </c>
      <c r="K65" s="41"/>
    </row>
    <row r="66" spans="2:14" ht="9.75" customHeight="1" x14ac:dyDescent="0.2">
      <c r="B66" s="38"/>
      <c r="C66" s="279" t="str">
        <f>"0:"</f>
        <v>0:</v>
      </c>
      <c r="D66" s="281" t="s">
        <v>918</v>
      </c>
      <c r="E66" s="40"/>
      <c r="F66" s="40"/>
      <c r="G66" s="40"/>
      <c r="H66" s="40"/>
      <c r="I66" s="40"/>
      <c r="J66" s="40"/>
      <c r="K66" s="41"/>
    </row>
    <row r="67" spans="2:14" ht="9.75" customHeight="1" x14ac:dyDescent="0.2">
      <c r="B67" s="38"/>
      <c r="C67" s="280" t="str">
        <f>"1:"</f>
        <v>1:</v>
      </c>
      <c r="D67" s="281" t="s">
        <v>919</v>
      </c>
      <c r="E67" s="40"/>
      <c r="F67" s="40"/>
      <c r="G67" s="40"/>
      <c r="H67" s="40"/>
      <c r="I67" s="40"/>
      <c r="J67" s="40"/>
      <c r="K67" s="41"/>
    </row>
    <row r="68" spans="2:14" ht="9.75" customHeight="1" x14ac:dyDescent="0.2">
      <c r="B68" s="38"/>
      <c r="C68" s="280" t="str">
        <f>"2:"</f>
        <v>2:</v>
      </c>
      <c r="D68" s="281" t="s">
        <v>920</v>
      </c>
      <c r="E68" s="40"/>
      <c r="F68" s="40"/>
      <c r="G68" s="40"/>
      <c r="H68" s="40"/>
      <c r="I68" s="40"/>
      <c r="J68" s="40"/>
      <c r="K68" s="41"/>
    </row>
    <row r="69" spans="2:14" ht="9.75" customHeight="1" x14ac:dyDescent="0.2">
      <c r="B69" s="38"/>
      <c r="C69" s="280" t="str">
        <f>"3:"</f>
        <v>3:</v>
      </c>
      <c r="D69" s="281" t="s">
        <v>921</v>
      </c>
      <c r="E69" s="40"/>
      <c r="F69" s="40"/>
      <c r="G69" s="40"/>
      <c r="H69" s="40"/>
      <c r="I69" s="40"/>
      <c r="J69" s="40"/>
      <c r="K69" s="41"/>
    </row>
    <row r="70" spans="2:14" ht="9.75" customHeight="1" x14ac:dyDescent="0.2">
      <c r="B70" s="38"/>
      <c r="C70" s="280" t="str">
        <f>"4:"</f>
        <v>4:</v>
      </c>
      <c r="D70" s="281" t="s">
        <v>922</v>
      </c>
      <c r="E70" s="40"/>
      <c r="F70" s="40"/>
      <c r="G70" s="40"/>
      <c r="H70" s="40"/>
      <c r="I70" s="40"/>
      <c r="J70" s="40"/>
      <c r="K70" s="41"/>
      <c r="N70" s="12" t="s">
        <v>661</v>
      </c>
    </row>
    <row r="71" spans="2:14" x14ac:dyDescent="0.2">
      <c r="B71" s="38"/>
      <c r="C71" s="174" t="s">
        <v>662</v>
      </c>
      <c r="D71" s="40"/>
      <c r="E71" s="40"/>
      <c r="F71" s="40"/>
      <c r="G71" s="40"/>
      <c r="H71" s="40"/>
      <c r="I71" s="40"/>
      <c r="J71" s="265" t="s">
        <v>661</v>
      </c>
      <c r="K71" s="41"/>
      <c r="N71" s="12" t="s">
        <v>894</v>
      </c>
    </row>
    <row r="72" spans="2:14" x14ac:dyDescent="0.2">
      <c r="B72" s="38"/>
      <c r="C72" s="174" t="s">
        <v>660</v>
      </c>
      <c r="D72" s="40"/>
      <c r="E72" s="40"/>
      <c r="F72" s="40"/>
      <c r="G72" s="40"/>
      <c r="H72" s="40"/>
      <c r="I72" s="40"/>
      <c r="J72" s="246" t="str">
        <f>IF(J71=N70,"N/A",IF(J71=N71,0,IF(J71=N72,1,IF(J71=N73,2,IF(J71=N74,3,IF(J71=N75,4,"N/A"))))))</f>
        <v>N/A</v>
      </c>
      <c r="K72" s="41"/>
      <c r="N72" s="12" t="s">
        <v>895</v>
      </c>
    </row>
    <row r="73" spans="2:14" x14ac:dyDescent="0.2">
      <c r="B73" s="38"/>
      <c r="C73" s="40" t="s">
        <v>257</v>
      </c>
      <c r="D73" s="40"/>
      <c r="E73" s="40"/>
      <c r="F73" s="40"/>
      <c r="G73" s="40"/>
      <c r="H73" s="40"/>
      <c r="I73" s="40"/>
      <c r="J73" s="266"/>
      <c r="K73" s="41"/>
      <c r="N73" s="12" t="s">
        <v>896</v>
      </c>
    </row>
    <row r="74" spans="2:14" x14ac:dyDescent="0.2">
      <c r="B74" s="38"/>
      <c r="C74" s="40" t="s">
        <v>261</v>
      </c>
      <c r="D74" s="40"/>
      <c r="E74" s="40"/>
      <c r="F74" s="40"/>
      <c r="G74" s="40"/>
      <c r="H74" s="40"/>
      <c r="I74" s="40"/>
      <c r="J74" s="245" t="str">
        <f>IF(J73=$B$973,$A$973,IF(J73=$B$974,$A$974,IF(J73=$B$975,$A$975,IF(J73=$B$976,$A$976,IF(J73=$B$977,$A$977,"Not Calculated")))))</f>
        <v>Not Calculated</v>
      </c>
      <c r="K74" s="41"/>
      <c r="N74" s="12" t="s">
        <v>897</v>
      </c>
    </row>
    <row r="75" spans="2:14" x14ac:dyDescent="0.2">
      <c r="B75" s="38"/>
      <c r="C75" s="40" t="s">
        <v>893</v>
      </c>
      <c r="D75" s="40"/>
      <c r="E75" s="40"/>
      <c r="F75" s="40"/>
      <c r="G75" s="40"/>
      <c r="H75" s="40"/>
      <c r="I75" s="40"/>
      <c r="J75" s="175"/>
      <c r="K75" s="41"/>
      <c r="N75" s="12" t="s">
        <v>898</v>
      </c>
    </row>
    <row r="76" spans="2:14" s="178" customFormat="1" x14ac:dyDescent="0.2">
      <c r="B76" s="176"/>
      <c r="C76" s="415"/>
      <c r="D76" s="400"/>
      <c r="E76" s="400"/>
      <c r="F76" s="400"/>
      <c r="G76" s="400"/>
      <c r="H76" s="400"/>
      <c r="I76" s="400"/>
      <c r="J76" s="401"/>
      <c r="K76" s="177"/>
    </row>
    <row r="77" spans="2:14" x14ac:dyDescent="0.2">
      <c r="B77" s="38"/>
      <c r="C77" s="40"/>
      <c r="D77" s="40"/>
      <c r="E77" s="40"/>
      <c r="F77" s="40"/>
      <c r="G77" s="40"/>
      <c r="H77" s="40"/>
      <c r="I77" s="40"/>
      <c r="J77" s="40"/>
      <c r="K77" s="41"/>
    </row>
    <row r="78" spans="2:14" x14ac:dyDescent="0.2">
      <c r="B78" s="38"/>
      <c r="C78" s="179" t="s">
        <v>264</v>
      </c>
      <c r="D78" s="40"/>
      <c r="E78" s="40"/>
      <c r="F78" s="40"/>
      <c r="G78" s="40"/>
      <c r="H78" s="40"/>
      <c r="I78" s="40"/>
      <c r="J78" s="245" t="str">
        <f>IF(J72="N/A",IF(OR(J65="Not Calculated",J74="Not Calculated")=TRUE,"Not Calculated",AVERAGE(J65,J74)),AVERAGE(J72,J74))</f>
        <v>Not Calculated</v>
      </c>
      <c r="K78" s="41"/>
    </row>
    <row r="79" spans="2:14" x14ac:dyDescent="0.2">
      <c r="B79" s="38"/>
      <c r="C79" s="40"/>
      <c r="D79" s="40"/>
      <c r="E79" s="40"/>
      <c r="F79" s="40"/>
      <c r="G79" s="40"/>
      <c r="H79" s="40"/>
      <c r="I79" s="40"/>
      <c r="J79" s="40"/>
      <c r="K79" s="41"/>
    </row>
    <row r="80" spans="2:14" x14ac:dyDescent="0.2">
      <c r="B80" s="38"/>
      <c r="C80" s="40"/>
      <c r="D80" s="40"/>
      <c r="E80" s="40"/>
      <c r="F80" s="40"/>
      <c r="G80" s="40"/>
      <c r="H80" s="40"/>
      <c r="I80" s="40"/>
      <c r="J80" s="40"/>
      <c r="K80" s="41"/>
    </row>
    <row r="81" spans="2:14" ht="16" x14ac:dyDescent="0.2">
      <c r="B81" s="38"/>
      <c r="C81" s="45" t="s">
        <v>57</v>
      </c>
      <c r="D81" s="40"/>
      <c r="E81" s="40"/>
      <c r="F81" s="40"/>
      <c r="G81" s="40"/>
      <c r="H81" s="40"/>
      <c r="I81" s="40"/>
      <c r="J81" s="40"/>
      <c r="K81" s="41"/>
    </row>
    <row r="82" spans="2:14" x14ac:dyDescent="0.2">
      <c r="B82" s="38"/>
      <c r="C82" s="40" t="s">
        <v>437</v>
      </c>
      <c r="D82" s="40"/>
      <c r="E82" s="40"/>
      <c r="F82" s="40"/>
      <c r="G82" s="40"/>
      <c r="H82" s="40"/>
      <c r="I82" s="40"/>
      <c r="J82" s="252">
        <f>'Baseline Health'!G29</f>
        <v>0</v>
      </c>
      <c r="K82" s="41"/>
    </row>
    <row r="83" spans="2:14" x14ac:dyDescent="0.2">
      <c r="B83" s="38"/>
      <c r="C83" s="40" t="s">
        <v>290</v>
      </c>
      <c r="D83" s="40"/>
      <c r="E83" s="40"/>
      <c r="F83" s="40"/>
      <c r="G83" s="40"/>
      <c r="H83" s="40"/>
      <c r="I83" s="40"/>
      <c r="J83" s="264"/>
      <c r="K83" s="41"/>
    </row>
    <row r="84" spans="2:14" x14ac:dyDescent="0.2">
      <c r="B84" s="38"/>
      <c r="C84" s="40" t="s">
        <v>260</v>
      </c>
      <c r="D84" s="40"/>
      <c r="E84" s="40"/>
      <c r="F84" s="40"/>
      <c r="G84" s="40"/>
      <c r="H84" s="40"/>
      <c r="I84" s="40"/>
      <c r="J84" s="248" t="str">
        <f>IF(OR(J82=0,J82="Not Calculated")=TRUE,"Not Calculated",(IF(((J83+J82)/J82)&lt;=1,0,IF(((J83+J82)/J82)&lt;=1.05,1,IF(((J83+J82)/J82)&lt;=1.5, 2,IF(((J83+J82)/J82)&lt;=2,3,4))))))</f>
        <v>Not Calculated</v>
      </c>
      <c r="K84" s="41"/>
    </row>
    <row r="85" spans="2:14" ht="9.75" customHeight="1" x14ac:dyDescent="0.2">
      <c r="B85" s="38"/>
      <c r="C85" s="279" t="str">
        <f>"0:"</f>
        <v>0:</v>
      </c>
      <c r="D85" s="281" t="s">
        <v>918</v>
      </c>
      <c r="E85" s="40"/>
      <c r="F85" s="40"/>
      <c r="G85" s="40"/>
      <c r="H85" s="40"/>
      <c r="I85" s="40"/>
      <c r="J85" s="40"/>
      <c r="K85" s="41"/>
    </row>
    <row r="86" spans="2:14" ht="9.75" customHeight="1" x14ac:dyDescent="0.2">
      <c r="B86" s="38"/>
      <c r="C86" s="280" t="str">
        <f>"1:"</f>
        <v>1:</v>
      </c>
      <c r="D86" s="281" t="s">
        <v>919</v>
      </c>
      <c r="E86" s="40"/>
      <c r="F86" s="40"/>
      <c r="G86" s="40"/>
      <c r="H86" s="40"/>
      <c r="I86" s="40"/>
      <c r="J86" s="40"/>
      <c r="K86" s="41"/>
    </row>
    <row r="87" spans="2:14" ht="9.75" customHeight="1" x14ac:dyDescent="0.2">
      <c r="B87" s="38"/>
      <c r="C87" s="280" t="str">
        <f>"2:"</f>
        <v>2:</v>
      </c>
      <c r="D87" s="281" t="s">
        <v>920</v>
      </c>
      <c r="E87" s="40"/>
      <c r="F87" s="40"/>
      <c r="G87" s="40"/>
      <c r="H87" s="40"/>
      <c r="I87" s="40"/>
      <c r="J87" s="40"/>
      <c r="K87" s="41"/>
    </row>
    <row r="88" spans="2:14" ht="9.75" customHeight="1" x14ac:dyDescent="0.2">
      <c r="B88" s="38"/>
      <c r="C88" s="280" t="str">
        <f>"3:"</f>
        <v>3:</v>
      </c>
      <c r="D88" s="281" t="s">
        <v>921</v>
      </c>
      <c r="E88" s="40"/>
      <c r="F88" s="40"/>
      <c r="G88" s="40"/>
      <c r="H88" s="40"/>
      <c r="I88" s="40"/>
      <c r="J88" s="40"/>
      <c r="K88" s="41"/>
    </row>
    <row r="89" spans="2:14" ht="9.75" customHeight="1" x14ac:dyDescent="0.2">
      <c r="B89" s="38"/>
      <c r="C89" s="280" t="str">
        <f>"4:"</f>
        <v>4:</v>
      </c>
      <c r="D89" s="281" t="s">
        <v>922</v>
      </c>
      <c r="E89" s="40"/>
      <c r="F89" s="40"/>
      <c r="G89" s="40"/>
      <c r="H89" s="40"/>
      <c r="I89" s="40"/>
      <c r="J89" s="40"/>
      <c r="K89" s="41"/>
      <c r="N89" s="12" t="s">
        <v>661</v>
      </c>
    </row>
    <row r="90" spans="2:14" x14ac:dyDescent="0.2">
      <c r="B90" s="38"/>
      <c r="C90" s="174" t="s">
        <v>662</v>
      </c>
      <c r="D90" s="40"/>
      <c r="E90" s="40"/>
      <c r="F90" s="40"/>
      <c r="G90" s="40"/>
      <c r="H90" s="40"/>
      <c r="I90" s="40"/>
      <c r="J90" s="265" t="s">
        <v>661</v>
      </c>
      <c r="K90" s="41"/>
      <c r="N90" s="12" t="s">
        <v>894</v>
      </c>
    </row>
    <row r="91" spans="2:14" x14ac:dyDescent="0.2">
      <c r="B91" s="38"/>
      <c r="C91" s="174" t="s">
        <v>660</v>
      </c>
      <c r="D91" s="40"/>
      <c r="E91" s="40"/>
      <c r="F91" s="40"/>
      <c r="G91" s="40"/>
      <c r="H91" s="40"/>
      <c r="I91" s="40"/>
      <c r="J91" s="246" t="str">
        <f>IF(J90=N89,"N/A",IF(J90=N90,0,IF(J90=N91,1,IF(J90=N92,2,IF(J90=N93,3,IF(J90=N94,4,"N/A"))))))</f>
        <v>N/A</v>
      </c>
      <c r="K91" s="41"/>
      <c r="N91" s="12" t="s">
        <v>895</v>
      </c>
    </row>
    <row r="92" spans="2:14" x14ac:dyDescent="0.2">
      <c r="B92" s="38"/>
      <c r="C92" s="40" t="s">
        <v>257</v>
      </c>
      <c r="D92" s="40"/>
      <c r="E92" s="40"/>
      <c r="F92" s="40"/>
      <c r="G92" s="40"/>
      <c r="H92" s="40"/>
      <c r="I92" s="40"/>
      <c r="J92" s="266"/>
      <c r="K92" s="41"/>
      <c r="N92" s="12" t="s">
        <v>896</v>
      </c>
    </row>
    <row r="93" spans="2:14" x14ac:dyDescent="0.2">
      <c r="B93" s="38"/>
      <c r="C93" s="40" t="s">
        <v>261</v>
      </c>
      <c r="D93" s="40"/>
      <c r="E93" s="40"/>
      <c r="F93" s="40"/>
      <c r="G93" s="40"/>
      <c r="H93" s="40"/>
      <c r="I93" s="40"/>
      <c r="J93" s="245" t="str">
        <f>IF(J92=$B$973,$A$973,IF(J92=$B$974,$A$974,IF(J92=$B$975,$A$975,IF(J92=$B$976,$A$976,IF(J92=$B$977,$A$977,"Not Calculated")))))</f>
        <v>Not Calculated</v>
      </c>
      <c r="K93" s="41"/>
      <c r="N93" s="12" t="s">
        <v>897</v>
      </c>
    </row>
    <row r="94" spans="2:14" x14ac:dyDescent="0.2">
      <c r="B94" s="38"/>
      <c r="C94" s="40" t="s">
        <v>893</v>
      </c>
      <c r="D94" s="40"/>
      <c r="E94" s="40"/>
      <c r="F94" s="40"/>
      <c r="G94" s="40"/>
      <c r="H94" s="40"/>
      <c r="I94" s="40"/>
      <c r="J94" s="175"/>
      <c r="K94" s="41"/>
      <c r="N94" s="12" t="s">
        <v>898</v>
      </c>
    </row>
    <row r="95" spans="2:14" s="178" customFormat="1" x14ac:dyDescent="0.2">
      <c r="B95" s="176"/>
      <c r="C95" s="415"/>
      <c r="D95" s="400"/>
      <c r="E95" s="400"/>
      <c r="F95" s="400"/>
      <c r="G95" s="400"/>
      <c r="H95" s="400"/>
      <c r="I95" s="400"/>
      <c r="J95" s="401"/>
      <c r="K95" s="177"/>
    </row>
    <row r="96" spans="2:14" x14ac:dyDescent="0.2">
      <c r="B96" s="38"/>
      <c r="C96" s="40"/>
      <c r="D96" s="40"/>
      <c r="E96" s="40"/>
      <c r="F96" s="40"/>
      <c r="G96" s="40"/>
      <c r="H96" s="40"/>
      <c r="I96" s="40"/>
      <c r="J96" s="40"/>
      <c r="K96" s="41"/>
    </row>
    <row r="97" spans="2:14" x14ac:dyDescent="0.2">
      <c r="B97" s="38"/>
      <c r="C97" s="179" t="s">
        <v>265</v>
      </c>
      <c r="D97" s="40"/>
      <c r="E97" s="40"/>
      <c r="F97" s="40"/>
      <c r="G97" s="40"/>
      <c r="H97" s="40"/>
      <c r="I97" s="40"/>
      <c r="J97" s="245" t="str">
        <f>IF(J91="N/A",IF(OR(J84="Not Calculated",J93="Not Calculated")=TRUE,"Not Calculated",AVERAGE(J84,J93)),AVERAGE(J91,J93))</f>
        <v>Not Calculated</v>
      </c>
      <c r="K97" s="41"/>
    </row>
    <row r="98" spans="2:14" x14ac:dyDescent="0.2">
      <c r="B98" s="38"/>
      <c r="C98" s="40"/>
      <c r="D98" s="40"/>
      <c r="E98" s="40"/>
      <c r="F98" s="40"/>
      <c r="G98" s="40"/>
      <c r="H98" s="40"/>
      <c r="I98" s="40"/>
      <c r="J98" s="40"/>
      <c r="K98" s="41"/>
    </row>
    <row r="99" spans="2:14" x14ac:dyDescent="0.2">
      <c r="B99" s="38"/>
      <c r="C99" s="40"/>
      <c r="D99" s="40"/>
      <c r="E99" s="40"/>
      <c r="F99" s="40"/>
      <c r="G99" s="40"/>
      <c r="H99" s="40"/>
      <c r="I99" s="40"/>
      <c r="J99" s="40"/>
      <c r="K99" s="41"/>
    </row>
    <row r="100" spans="2:14" ht="16" x14ac:dyDescent="0.2">
      <c r="B100" s="38"/>
      <c r="C100" s="45" t="s">
        <v>60</v>
      </c>
      <c r="D100" s="40"/>
      <c r="E100" s="40"/>
      <c r="F100" s="40"/>
      <c r="G100" s="40"/>
      <c r="H100" s="40"/>
      <c r="I100" s="40"/>
      <c r="J100" s="40"/>
      <c r="K100" s="41"/>
    </row>
    <row r="101" spans="2:14" x14ac:dyDescent="0.2">
      <c r="B101" s="38"/>
      <c r="C101" s="40" t="s">
        <v>438</v>
      </c>
      <c r="D101" s="40"/>
      <c r="E101" s="40"/>
      <c r="F101" s="40"/>
      <c r="G101" s="40"/>
      <c r="H101" s="40"/>
      <c r="I101" s="40"/>
      <c r="J101" s="252">
        <f>'Baseline Health'!G35</f>
        <v>0</v>
      </c>
      <c r="K101" s="41"/>
    </row>
    <row r="102" spans="2:14" x14ac:dyDescent="0.2">
      <c r="B102" s="38"/>
      <c r="C102" s="40" t="s">
        <v>291</v>
      </c>
      <c r="D102" s="40"/>
      <c r="E102" s="40"/>
      <c r="F102" s="40"/>
      <c r="G102" s="40"/>
      <c r="H102" s="40"/>
      <c r="I102" s="40"/>
      <c r="J102" s="264"/>
      <c r="K102" s="41"/>
    </row>
    <row r="103" spans="2:14" x14ac:dyDescent="0.2">
      <c r="B103" s="38"/>
      <c r="C103" s="40" t="s">
        <v>260</v>
      </c>
      <c r="D103" s="40"/>
      <c r="E103" s="40"/>
      <c r="F103" s="40"/>
      <c r="G103" s="40"/>
      <c r="H103" s="40"/>
      <c r="I103" s="40"/>
      <c r="J103" s="248" t="str">
        <f>IF(OR(J101=0,J101="Not Calculated")=TRUE,"Not Calculated",(IF(((J102+J101)/J101)&lt;=1,0,IF(((J102+J101)/J101)&lt;=1.05,1,IF(((J102+J101)/J101)&lt;=1.5, 2,IF(((J102+J101)/J101)&lt;=2,3,4))))))</f>
        <v>Not Calculated</v>
      </c>
      <c r="K103" s="41"/>
    </row>
    <row r="104" spans="2:14" ht="9.75" customHeight="1" x14ac:dyDescent="0.2">
      <c r="B104" s="38"/>
      <c r="C104" s="279" t="str">
        <f>"0:"</f>
        <v>0:</v>
      </c>
      <c r="D104" s="281" t="s">
        <v>918</v>
      </c>
      <c r="E104" s="40"/>
      <c r="F104" s="40"/>
      <c r="G104" s="40"/>
      <c r="H104" s="40"/>
      <c r="I104" s="40"/>
      <c r="J104" s="40"/>
      <c r="K104" s="41"/>
    </row>
    <row r="105" spans="2:14" ht="9.75" customHeight="1" x14ac:dyDescent="0.2">
      <c r="B105" s="38"/>
      <c r="C105" s="280" t="str">
        <f>"1:"</f>
        <v>1:</v>
      </c>
      <c r="D105" s="281" t="s">
        <v>919</v>
      </c>
      <c r="E105" s="40"/>
      <c r="F105" s="40"/>
      <c r="G105" s="40"/>
      <c r="H105" s="40"/>
      <c r="I105" s="40"/>
      <c r="J105" s="40"/>
      <c r="K105" s="41"/>
    </row>
    <row r="106" spans="2:14" ht="9.75" customHeight="1" x14ac:dyDescent="0.2">
      <c r="B106" s="38"/>
      <c r="C106" s="280" t="str">
        <f>"2:"</f>
        <v>2:</v>
      </c>
      <c r="D106" s="281" t="s">
        <v>920</v>
      </c>
      <c r="E106" s="40"/>
      <c r="F106" s="40"/>
      <c r="G106" s="40"/>
      <c r="H106" s="40"/>
      <c r="I106" s="40"/>
      <c r="J106" s="40"/>
      <c r="K106" s="41"/>
    </row>
    <row r="107" spans="2:14" ht="9.75" customHeight="1" x14ac:dyDescent="0.2">
      <c r="B107" s="38"/>
      <c r="C107" s="280" t="str">
        <f>"3:"</f>
        <v>3:</v>
      </c>
      <c r="D107" s="281" t="s">
        <v>921</v>
      </c>
      <c r="E107" s="40"/>
      <c r="F107" s="40"/>
      <c r="G107" s="40"/>
      <c r="H107" s="40"/>
      <c r="I107" s="40"/>
      <c r="J107" s="40"/>
      <c r="K107" s="41"/>
    </row>
    <row r="108" spans="2:14" ht="9.75" customHeight="1" x14ac:dyDescent="0.2">
      <c r="B108" s="38"/>
      <c r="C108" s="280" t="str">
        <f>"4:"</f>
        <v>4:</v>
      </c>
      <c r="D108" s="281" t="s">
        <v>922</v>
      </c>
      <c r="E108" s="40"/>
      <c r="F108" s="40"/>
      <c r="G108" s="40"/>
      <c r="H108" s="40"/>
      <c r="I108" s="40"/>
      <c r="J108" s="40"/>
      <c r="K108" s="41"/>
      <c r="N108" s="12" t="s">
        <v>661</v>
      </c>
    </row>
    <row r="109" spans="2:14" x14ac:dyDescent="0.2">
      <c r="B109" s="38"/>
      <c r="C109" s="174" t="s">
        <v>662</v>
      </c>
      <c r="D109" s="40"/>
      <c r="E109" s="40"/>
      <c r="F109" s="40"/>
      <c r="G109" s="40"/>
      <c r="H109" s="40"/>
      <c r="I109" s="40"/>
      <c r="J109" s="265" t="s">
        <v>661</v>
      </c>
      <c r="K109" s="41"/>
      <c r="N109" s="12" t="s">
        <v>894</v>
      </c>
    </row>
    <row r="110" spans="2:14" x14ac:dyDescent="0.2">
      <c r="B110" s="38"/>
      <c r="C110" s="174" t="s">
        <v>660</v>
      </c>
      <c r="D110" s="40"/>
      <c r="E110" s="40"/>
      <c r="F110" s="40"/>
      <c r="G110" s="40"/>
      <c r="H110" s="40"/>
      <c r="I110" s="40"/>
      <c r="J110" s="246" t="str">
        <f>IF(J109=N108,"N/A",IF(J109=N109,0,IF(J109=N110,1,IF(J109=N111,2,IF(J109=N112,3,IF(J109=N113,4,"N/A"))))))</f>
        <v>N/A</v>
      </c>
      <c r="K110" s="41"/>
      <c r="N110" s="12" t="s">
        <v>895</v>
      </c>
    </row>
    <row r="111" spans="2:14" x14ac:dyDescent="0.2">
      <c r="B111" s="38"/>
      <c r="C111" s="40" t="s">
        <v>257</v>
      </c>
      <c r="D111" s="40"/>
      <c r="E111" s="40"/>
      <c r="F111" s="40"/>
      <c r="G111" s="40"/>
      <c r="H111" s="40"/>
      <c r="I111" s="40"/>
      <c r="J111" s="266"/>
      <c r="K111" s="41"/>
      <c r="N111" s="12" t="s">
        <v>896</v>
      </c>
    </row>
    <row r="112" spans="2:14" x14ac:dyDescent="0.2">
      <c r="B112" s="38"/>
      <c r="C112" s="40" t="s">
        <v>261</v>
      </c>
      <c r="D112" s="40"/>
      <c r="E112" s="40"/>
      <c r="F112" s="40"/>
      <c r="G112" s="40"/>
      <c r="H112" s="40"/>
      <c r="I112" s="40"/>
      <c r="J112" s="245" t="str">
        <f>IF(J111=$B$973,$A$973,IF(J111=$B$974,$A$974,IF(J111=$B$975,$A$975,IF(J111=$B$976,$A$976,IF(J111=$B$977,$A$977,"Not Calculated")))))</f>
        <v>Not Calculated</v>
      </c>
      <c r="K112" s="41"/>
      <c r="N112" s="12" t="s">
        <v>897</v>
      </c>
    </row>
    <row r="113" spans="2:14" x14ac:dyDescent="0.2">
      <c r="B113" s="38"/>
      <c r="C113" s="40" t="s">
        <v>893</v>
      </c>
      <c r="D113" s="40"/>
      <c r="E113" s="40"/>
      <c r="F113" s="40"/>
      <c r="G113" s="40"/>
      <c r="H113" s="40"/>
      <c r="I113" s="40"/>
      <c r="J113" s="175"/>
      <c r="K113" s="41"/>
      <c r="N113" s="12" t="s">
        <v>898</v>
      </c>
    </row>
    <row r="114" spans="2:14" s="178" customFormat="1" x14ac:dyDescent="0.2">
      <c r="B114" s="176"/>
      <c r="C114" s="415"/>
      <c r="D114" s="400"/>
      <c r="E114" s="400"/>
      <c r="F114" s="400"/>
      <c r="G114" s="400"/>
      <c r="H114" s="400"/>
      <c r="I114" s="400"/>
      <c r="J114" s="401"/>
      <c r="K114" s="177"/>
    </row>
    <row r="115" spans="2:14" x14ac:dyDescent="0.2">
      <c r="B115" s="38"/>
      <c r="C115" s="40"/>
      <c r="D115" s="40"/>
      <c r="E115" s="40"/>
      <c r="F115" s="40"/>
      <c r="G115" s="40"/>
      <c r="H115" s="40"/>
      <c r="I115" s="40"/>
      <c r="J115" s="40"/>
      <c r="K115" s="41"/>
    </row>
    <row r="116" spans="2:14" x14ac:dyDescent="0.2">
      <c r="B116" s="38"/>
      <c r="C116" s="179" t="s">
        <v>266</v>
      </c>
      <c r="D116" s="40"/>
      <c r="E116" s="40"/>
      <c r="F116" s="40"/>
      <c r="G116" s="40"/>
      <c r="H116" s="40"/>
      <c r="I116" s="40"/>
      <c r="J116" s="245" t="str">
        <f>IF(J110="N/A",IF(OR(J103="Not Calculated",J112="Not Calculated")=TRUE,"Not Calculated",AVERAGE(J103,J112)),AVERAGE(J110,J112))</f>
        <v>Not Calculated</v>
      </c>
      <c r="K116" s="41"/>
    </row>
    <row r="117" spans="2:14" x14ac:dyDescent="0.2">
      <c r="B117" s="38"/>
      <c r="C117" s="40"/>
      <c r="D117" s="40"/>
      <c r="E117" s="40"/>
      <c r="F117" s="40"/>
      <c r="G117" s="40"/>
      <c r="H117" s="40"/>
      <c r="I117" s="40"/>
      <c r="J117" s="40"/>
      <c r="K117" s="41"/>
    </row>
    <row r="118" spans="2:14" x14ac:dyDescent="0.2">
      <c r="B118" s="38"/>
      <c r="C118" s="40"/>
      <c r="D118" s="40"/>
      <c r="E118" s="40"/>
      <c r="F118" s="40"/>
      <c r="G118" s="40"/>
      <c r="H118" s="40"/>
      <c r="I118" s="40"/>
      <c r="J118" s="40"/>
      <c r="K118" s="41"/>
    </row>
    <row r="119" spans="2:14" ht="16" x14ac:dyDescent="0.2">
      <c r="B119" s="38"/>
      <c r="C119" s="45" t="s">
        <v>262</v>
      </c>
      <c r="D119" s="40"/>
      <c r="E119" s="40"/>
      <c r="F119" s="40"/>
      <c r="G119" s="40"/>
      <c r="H119" s="40"/>
      <c r="I119" s="40"/>
      <c r="J119" s="40"/>
      <c r="K119" s="41"/>
    </row>
    <row r="120" spans="2:14" ht="15" customHeight="1" x14ac:dyDescent="0.2">
      <c r="B120" s="38"/>
      <c r="C120" s="422" t="s">
        <v>268</v>
      </c>
      <c r="D120" s="422"/>
      <c r="E120" s="422"/>
      <c r="F120" s="422"/>
      <c r="G120" s="422"/>
      <c r="H120" s="422"/>
      <c r="I120" s="422"/>
      <c r="J120" s="422"/>
      <c r="K120" s="41"/>
    </row>
    <row r="121" spans="2:14" x14ac:dyDescent="0.2">
      <c r="B121" s="38"/>
      <c r="C121" s="422"/>
      <c r="D121" s="422"/>
      <c r="E121" s="422"/>
      <c r="F121" s="422"/>
      <c r="G121" s="422"/>
      <c r="H121" s="422"/>
      <c r="I121" s="422"/>
      <c r="J121" s="422"/>
      <c r="K121" s="41"/>
    </row>
    <row r="122" spans="2:14" x14ac:dyDescent="0.2">
      <c r="B122" s="38"/>
      <c r="C122" s="423"/>
      <c r="D122" s="423"/>
      <c r="E122" s="423"/>
      <c r="F122" s="423"/>
      <c r="G122" s="423"/>
      <c r="H122" s="423"/>
      <c r="I122" s="423"/>
      <c r="J122" s="423"/>
      <c r="K122" s="41"/>
    </row>
    <row r="123" spans="2:14" ht="15" customHeight="1" x14ac:dyDescent="0.2">
      <c r="B123" s="38"/>
      <c r="C123" s="416"/>
      <c r="D123" s="417"/>
      <c r="E123" s="417"/>
      <c r="F123" s="417"/>
      <c r="G123" s="417"/>
      <c r="H123" s="417"/>
      <c r="I123" s="417"/>
      <c r="J123" s="418"/>
      <c r="K123" s="41"/>
    </row>
    <row r="124" spans="2:14" x14ac:dyDescent="0.2">
      <c r="B124" s="38"/>
      <c r="C124" s="419"/>
      <c r="D124" s="420"/>
      <c r="E124" s="420"/>
      <c r="F124" s="420"/>
      <c r="G124" s="420"/>
      <c r="H124" s="420"/>
      <c r="I124" s="420"/>
      <c r="J124" s="421"/>
      <c r="K124" s="41"/>
    </row>
    <row r="125" spans="2:14" ht="15" customHeight="1" x14ac:dyDescent="0.2">
      <c r="B125" s="38"/>
      <c r="C125" s="40" t="s">
        <v>260</v>
      </c>
      <c r="D125" s="40"/>
      <c r="E125" s="40"/>
      <c r="F125" s="40"/>
      <c r="G125" s="40"/>
      <c r="H125" s="40"/>
      <c r="I125" s="40"/>
      <c r="J125" s="247" t="str">
        <f>IF(C123=B987,A987,IF(C123=B988,A988,IF(C123=B989,A989,IF(C123=B990,A990,IF(C123=B991,A991,"Not Calculated")))))</f>
        <v>Not Calculated</v>
      </c>
      <c r="K125" s="41"/>
    </row>
    <row r="126" spans="2:14" ht="15" customHeight="1" x14ac:dyDescent="0.2">
      <c r="B126" s="38"/>
      <c r="C126" s="40" t="s">
        <v>257</v>
      </c>
      <c r="D126" s="40"/>
      <c r="E126" s="40"/>
      <c r="F126" s="40"/>
      <c r="G126" s="40"/>
      <c r="H126" s="40"/>
      <c r="I126" s="40"/>
      <c r="J126" s="266"/>
      <c r="K126" s="41"/>
    </row>
    <row r="127" spans="2:14" x14ac:dyDescent="0.2">
      <c r="B127" s="38"/>
      <c r="C127" s="40" t="s">
        <v>261</v>
      </c>
      <c r="D127" s="40"/>
      <c r="E127" s="40"/>
      <c r="F127" s="40"/>
      <c r="G127" s="40"/>
      <c r="H127" s="40"/>
      <c r="I127" s="40"/>
      <c r="J127" s="245" t="str">
        <f>IF(J126=$B$973,$A$973,IF(J126=$B$974,$A$974,IF(J126=$B$975,$A$975,IF(J126=$B$976,$A$976,IF(J126=$B$977,$A$977,"Not Calculated")))))</f>
        <v>Not Calculated</v>
      </c>
      <c r="K127" s="41"/>
    </row>
    <row r="128" spans="2:14" ht="15" customHeight="1" x14ac:dyDescent="0.2">
      <c r="B128" s="38"/>
      <c r="C128" s="40" t="s">
        <v>893</v>
      </c>
      <c r="D128" s="40"/>
      <c r="E128" s="40"/>
      <c r="F128" s="40"/>
      <c r="G128" s="40"/>
      <c r="H128" s="40"/>
      <c r="I128" s="40"/>
      <c r="J128" s="175"/>
      <c r="K128" s="41"/>
    </row>
    <row r="129" spans="2:11" s="178" customFormat="1" ht="15" customHeight="1" x14ac:dyDescent="0.2">
      <c r="B129" s="176"/>
      <c r="C129" s="415"/>
      <c r="D129" s="400"/>
      <c r="E129" s="400"/>
      <c r="F129" s="400"/>
      <c r="G129" s="400"/>
      <c r="H129" s="400"/>
      <c r="I129" s="400"/>
      <c r="J129" s="401"/>
      <c r="K129" s="177"/>
    </row>
    <row r="130" spans="2:11" x14ac:dyDescent="0.2">
      <c r="B130" s="38"/>
      <c r="C130" s="40"/>
      <c r="D130" s="40"/>
      <c r="E130" s="40"/>
      <c r="F130" s="40"/>
      <c r="G130" s="40"/>
      <c r="H130" s="40"/>
      <c r="I130" s="40"/>
      <c r="J130" s="40"/>
      <c r="K130" s="41"/>
    </row>
    <row r="131" spans="2:11" x14ac:dyDescent="0.2">
      <c r="B131" s="38"/>
      <c r="C131" s="179" t="s">
        <v>267</v>
      </c>
      <c r="D131" s="40"/>
      <c r="E131" s="40"/>
      <c r="F131" s="40"/>
      <c r="G131" s="40"/>
      <c r="H131" s="40"/>
      <c r="I131" s="40"/>
      <c r="J131" s="245" t="str">
        <f>IF(OR(J125="Not Calculated",J127="Not Calculated")=TRUE,"Not Calculated",AVERAGE(J125,J127))</f>
        <v>Not Calculated</v>
      </c>
      <c r="K131" s="41"/>
    </row>
    <row r="132" spans="2:11" x14ac:dyDescent="0.2">
      <c r="B132" s="38"/>
      <c r="C132" s="179"/>
      <c r="D132" s="40"/>
      <c r="E132" s="40"/>
      <c r="F132" s="40"/>
      <c r="G132" s="40"/>
      <c r="H132" s="40"/>
      <c r="I132" s="40"/>
      <c r="J132" s="245"/>
      <c r="K132" s="41"/>
    </row>
    <row r="133" spans="2:11" ht="18" x14ac:dyDescent="0.2">
      <c r="B133" s="38"/>
      <c r="C133" s="180" t="s">
        <v>269</v>
      </c>
      <c r="D133" s="40"/>
      <c r="E133" s="40"/>
      <c r="F133" s="40"/>
      <c r="G133" s="40"/>
      <c r="H133" s="40"/>
      <c r="I133" s="40"/>
      <c r="J133" s="244" t="str">
        <f>IF(OR(J40="Not Calculated",J59="Not Calculated",J78="Not Calculated",J97="Not Calculated",J116="Not Calculated",J131="Not Calculated",)=TRUE,"Not Calculated",AVERAGE(J40,J59,J78,J97,J116,J131))</f>
        <v>Not Calculated</v>
      </c>
      <c r="K133" s="41"/>
    </row>
    <row r="134" spans="2:11" ht="16" thickBot="1" x14ac:dyDescent="0.25">
      <c r="B134" s="46"/>
      <c r="C134" s="47"/>
      <c r="D134" s="47"/>
      <c r="E134" s="47"/>
      <c r="F134" s="47"/>
      <c r="G134" s="47"/>
      <c r="H134" s="47"/>
      <c r="I134" s="47"/>
      <c r="J134" s="47"/>
      <c r="K134" s="49"/>
    </row>
    <row r="135" spans="2:11" ht="16" thickBot="1" x14ac:dyDescent="0.25"/>
    <row r="136" spans="2:11" x14ac:dyDescent="0.2">
      <c r="B136" s="33"/>
      <c r="C136" s="34"/>
      <c r="D136" s="34"/>
      <c r="E136" s="34"/>
      <c r="F136" s="34"/>
      <c r="G136" s="34"/>
      <c r="H136" s="34"/>
      <c r="I136" s="34"/>
      <c r="J136" s="34"/>
      <c r="K136" s="37"/>
    </row>
    <row r="137" spans="2:11" ht="21" x14ac:dyDescent="0.25">
      <c r="B137" s="38"/>
      <c r="C137" s="171"/>
      <c r="D137" s="40"/>
      <c r="E137" s="40"/>
      <c r="F137" s="40"/>
      <c r="G137" s="172" t="s">
        <v>27</v>
      </c>
      <c r="H137" s="40"/>
      <c r="I137" s="40"/>
      <c r="J137" s="40"/>
      <c r="K137" s="41"/>
    </row>
    <row r="138" spans="2:11" x14ac:dyDescent="0.2">
      <c r="B138" s="38"/>
      <c r="C138" s="40"/>
      <c r="D138" s="40"/>
      <c r="E138" s="40"/>
      <c r="F138" s="40"/>
      <c r="G138" s="40"/>
      <c r="H138" s="40"/>
      <c r="I138" s="40"/>
      <c r="J138" s="40"/>
      <c r="K138" s="41"/>
    </row>
    <row r="139" spans="2:11" ht="16" x14ac:dyDescent="0.2">
      <c r="B139" s="38"/>
      <c r="C139" s="45" t="s">
        <v>72</v>
      </c>
      <c r="D139" s="40"/>
      <c r="E139" s="40"/>
      <c r="F139" s="40"/>
      <c r="G139" s="40"/>
      <c r="H139" s="40"/>
      <c r="I139" s="40"/>
      <c r="J139" s="40"/>
      <c r="K139" s="41"/>
    </row>
    <row r="140" spans="2:11" x14ac:dyDescent="0.2">
      <c r="B140" s="38"/>
      <c r="C140" s="40" t="s">
        <v>440</v>
      </c>
      <c r="D140" s="40"/>
      <c r="E140" s="40"/>
      <c r="F140" s="40"/>
      <c r="G140" s="40"/>
      <c r="H140" s="40"/>
      <c r="I140" s="40"/>
      <c r="J140" s="252">
        <f>'Baseline Health'!G45</f>
        <v>0</v>
      </c>
      <c r="K140" s="41"/>
    </row>
    <row r="141" spans="2:11" x14ac:dyDescent="0.2">
      <c r="B141" s="38"/>
      <c r="C141" s="40" t="s">
        <v>270</v>
      </c>
      <c r="D141" s="40"/>
      <c r="E141" s="40"/>
      <c r="F141" s="40"/>
      <c r="G141" s="40"/>
      <c r="H141" s="40"/>
      <c r="I141" s="40"/>
      <c r="J141" s="264"/>
      <c r="K141" s="41"/>
    </row>
    <row r="142" spans="2:11" x14ac:dyDescent="0.2">
      <c r="B142" s="38"/>
      <c r="C142" s="40" t="s">
        <v>439</v>
      </c>
      <c r="D142" s="40"/>
      <c r="E142" s="40"/>
      <c r="F142" s="40"/>
      <c r="G142" s="40"/>
      <c r="H142" s="40"/>
      <c r="I142" s="40"/>
      <c r="J142" s="251">
        <f>J83/20</f>
        <v>0</v>
      </c>
      <c r="K142" s="41"/>
    </row>
    <row r="143" spans="2:11" x14ac:dyDescent="0.2">
      <c r="B143" s="38"/>
      <c r="C143" s="40"/>
      <c r="D143" s="40" t="s">
        <v>351</v>
      </c>
      <c r="E143" s="40"/>
      <c r="F143" s="40"/>
      <c r="G143" s="40"/>
      <c r="H143" s="40"/>
      <c r="I143" s="40"/>
      <c r="J143" s="40"/>
      <c r="K143" s="41"/>
    </row>
    <row r="144" spans="2:11" x14ac:dyDescent="0.2">
      <c r="B144" s="38"/>
      <c r="C144" s="40" t="s">
        <v>260</v>
      </c>
      <c r="D144" s="40"/>
      <c r="E144" s="40"/>
      <c r="F144" s="40"/>
      <c r="G144" s="40"/>
      <c r="H144" s="40"/>
      <c r="I144" s="40"/>
      <c r="J144" s="245" t="str">
        <f>IF(OR(J140=0,J140="Not Calculated")=TRUE,"Not Calculated",IF((J140-J141)&lt;=0,4,IF(((J140+J142)/(J140-J141))&lt;=1,0,IF(((J140+J142)/(J140-J141))&lt;=1.05,1,IF(((J140+J142)/(J140-J141))&lt;=1.5, 2,IF(((J140+J142)/(J140-J141))&lt;=2,3,4))))))</f>
        <v>Not Calculated</v>
      </c>
      <c r="K144" s="41"/>
    </row>
    <row r="145" spans="2:14" ht="9.75" customHeight="1" x14ac:dyDescent="0.2">
      <c r="B145" s="38"/>
      <c r="C145" s="279" t="str">
        <f>"0:"</f>
        <v>0:</v>
      </c>
      <c r="D145" s="278" t="s">
        <v>918</v>
      </c>
      <c r="E145" s="40"/>
      <c r="F145" s="40"/>
      <c r="G145" s="40"/>
      <c r="H145" s="40"/>
      <c r="I145" s="40"/>
      <c r="J145" s="40"/>
      <c r="K145" s="41"/>
    </row>
    <row r="146" spans="2:14" ht="9.75" customHeight="1" x14ac:dyDescent="0.2">
      <c r="B146" s="38"/>
      <c r="C146" s="280" t="str">
        <f>"1:"</f>
        <v>1:</v>
      </c>
      <c r="D146" s="278" t="s">
        <v>923</v>
      </c>
      <c r="E146" s="40"/>
      <c r="F146" s="40"/>
      <c r="G146" s="40"/>
      <c r="H146" s="40"/>
      <c r="I146" s="40"/>
      <c r="J146" s="40"/>
      <c r="K146" s="41"/>
    </row>
    <row r="147" spans="2:14" ht="9.75" customHeight="1" x14ac:dyDescent="0.2">
      <c r="B147" s="38"/>
      <c r="C147" s="280" t="str">
        <f>"2:"</f>
        <v>2:</v>
      </c>
      <c r="D147" s="278" t="s">
        <v>924</v>
      </c>
      <c r="E147" s="40"/>
      <c r="F147" s="40"/>
      <c r="G147" s="40"/>
      <c r="H147" s="40"/>
      <c r="I147" s="40"/>
      <c r="J147" s="40"/>
      <c r="K147" s="41"/>
    </row>
    <row r="148" spans="2:14" ht="9.75" customHeight="1" x14ac:dyDescent="0.2">
      <c r="B148" s="38"/>
      <c r="C148" s="280" t="str">
        <f>"3:"</f>
        <v>3:</v>
      </c>
      <c r="D148" s="278" t="s">
        <v>925</v>
      </c>
      <c r="E148" s="40"/>
      <c r="F148" s="40"/>
      <c r="G148" s="40"/>
      <c r="H148" s="40"/>
      <c r="I148" s="40"/>
      <c r="J148" s="40"/>
      <c r="K148" s="41"/>
    </row>
    <row r="149" spans="2:14" ht="9.75" customHeight="1" x14ac:dyDescent="0.2">
      <c r="B149" s="38"/>
      <c r="C149" s="280" t="str">
        <f>"4:"</f>
        <v>4:</v>
      </c>
      <c r="D149" s="278" t="s">
        <v>926</v>
      </c>
      <c r="E149" s="40"/>
      <c r="F149" s="40"/>
      <c r="G149" s="40"/>
      <c r="H149" s="40"/>
      <c r="I149" s="40"/>
      <c r="J149" s="40"/>
      <c r="K149" s="41"/>
      <c r="N149" s="12" t="s">
        <v>661</v>
      </c>
    </row>
    <row r="150" spans="2:14" x14ac:dyDescent="0.2">
      <c r="B150" s="38"/>
      <c r="C150" s="174" t="s">
        <v>662</v>
      </c>
      <c r="D150" s="40"/>
      <c r="E150" s="40"/>
      <c r="F150" s="40"/>
      <c r="G150" s="40"/>
      <c r="H150" s="40"/>
      <c r="I150" s="40"/>
      <c r="J150" s="265" t="s">
        <v>661</v>
      </c>
      <c r="K150" s="41"/>
      <c r="N150" s="12" t="s">
        <v>894</v>
      </c>
    </row>
    <row r="151" spans="2:14" x14ac:dyDescent="0.2">
      <c r="B151" s="38"/>
      <c r="C151" s="174" t="s">
        <v>660</v>
      </c>
      <c r="D151" s="40"/>
      <c r="E151" s="40"/>
      <c r="F151" s="40"/>
      <c r="G151" s="40"/>
      <c r="H151" s="40"/>
      <c r="I151" s="40"/>
      <c r="J151" s="246" t="str">
        <f>IF(J150=N149,"N/A",IF(J150=N150,0,IF(J150=N151,1,IF(J150=N152,2,IF(J150=N153,3,IF(J150=N154,4,"N/A"))))))</f>
        <v>N/A</v>
      </c>
      <c r="K151" s="41"/>
      <c r="N151" s="12" t="s">
        <v>899</v>
      </c>
    </row>
    <row r="152" spans="2:14" x14ac:dyDescent="0.2">
      <c r="B152" s="38"/>
      <c r="C152" s="40" t="s">
        <v>257</v>
      </c>
      <c r="D152" s="40"/>
      <c r="E152" s="40"/>
      <c r="F152" s="40"/>
      <c r="G152" s="40"/>
      <c r="H152" s="40"/>
      <c r="I152" s="40"/>
      <c r="J152" s="266"/>
      <c r="K152" s="41"/>
      <c r="N152" s="12" t="s">
        <v>900</v>
      </c>
    </row>
    <row r="153" spans="2:14" x14ac:dyDescent="0.2">
      <c r="B153" s="38"/>
      <c r="C153" s="40" t="s">
        <v>261</v>
      </c>
      <c r="D153" s="40"/>
      <c r="E153" s="40"/>
      <c r="F153" s="40"/>
      <c r="G153" s="40"/>
      <c r="H153" s="40"/>
      <c r="I153" s="40"/>
      <c r="J153" s="245" t="str">
        <f>IF(J152=$B$973,$A$973,IF(J152=$B$974,$A$974,IF(J152=$B$975,$A$975,IF(J152=$B$976,$A$976,IF(J152=$B$977,$A$977,"Not Calculated")))))</f>
        <v>Not Calculated</v>
      </c>
      <c r="K153" s="41"/>
      <c r="N153" s="12" t="s">
        <v>901</v>
      </c>
    </row>
    <row r="154" spans="2:14" x14ac:dyDescent="0.2">
      <c r="B154" s="38"/>
      <c r="C154" s="40" t="s">
        <v>893</v>
      </c>
      <c r="D154" s="40"/>
      <c r="E154" s="40"/>
      <c r="F154" s="40"/>
      <c r="G154" s="40"/>
      <c r="H154" s="40"/>
      <c r="I154" s="40"/>
      <c r="J154" s="40"/>
      <c r="K154" s="41"/>
      <c r="N154" s="12" t="s">
        <v>902</v>
      </c>
    </row>
    <row r="155" spans="2:14" ht="15" customHeight="1" x14ac:dyDescent="0.2">
      <c r="B155" s="38"/>
      <c r="C155" s="399"/>
      <c r="D155" s="400"/>
      <c r="E155" s="400"/>
      <c r="F155" s="400"/>
      <c r="G155" s="400"/>
      <c r="H155" s="400"/>
      <c r="I155" s="400"/>
      <c r="J155" s="401"/>
      <c r="K155" s="41"/>
    </row>
    <row r="156" spans="2:14" x14ac:dyDescent="0.2">
      <c r="B156" s="38"/>
      <c r="C156" s="40"/>
      <c r="D156" s="40"/>
      <c r="E156" s="40"/>
      <c r="F156" s="40"/>
      <c r="G156" s="40"/>
      <c r="H156" s="40"/>
      <c r="I156" s="40"/>
      <c r="J156" s="40"/>
      <c r="K156" s="41"/>
    </row>
    <row r="157" spans="2:14" x14ac:dyDescent="0.2">
      <c r="B157" s="38"/>
      <c r="C157" s="179" t="s">
        <v>271</v>
      </c>
      <c r="D157" s="40"/>
      <c r="E157" s="40"/>
      <c r="F157" s="40"/>
      <c r="G157" s="40"/>
      <c r="H157" s="40"/>
      <c r="I157" s="40"/>
      <c r="J157" s="245" t="str">
        <f>IF(J151="N/A",IF(OR(J144="Not Calculated",J153="Not Calculated")=TRUE,"Not Calculated",AVERAGE(J144,J153)),AVERAGE(J151,J153))</f>
        <v>Not Calculated</v>
      </c>
      <c r="K157" s="41"/>
    </row>
    <row r="158" spans="2:14" x14ac:dyDescent="0.2">
      <c r="B158" s="38"/>
      <c r="C158" s="40"/>
      <c r="D158" s="40"/>
      <c r="E158" s="40"/>
      <c r="F158" s="40"/>
      <c r="G158" s="40"/>
      <c r="H158" s="40"/>
      <c r="I158" s="40"/>
      <c r="J158" s="40"/>
      <c r="K158" s="41"/>
    </row>
    <row r="159" spans="2:14" x14ac:dyDescent="0.2">
      <c r="B159" s="38"/>
      <c r="C159" s="40"/>
      <c r="D159" s="40"/>
      <c r="E159" s="40"/>
      <c r="F159" s="40"/>
      <c r="G159" s="40"/>
      <c r="H159" s="40"/>
      <c r="I159" s="40"/>
      <c r="J159" s="40"/>
      <c r="K159" s="41"/>
    </row>
    <row r="160" spans="2:14" ht="16" x14ac:dyDescent="0.2">
      <c r="B160" s="38"/>
      <c r="C160" s="45" t="s">
        <v>273</v>
      </c>
      <c r="D160" s="40"/>
      <c r="E160" s="40"/>
      <c r="F160" s="40"/>
      <c r="G160" s="40"/>
      <c r="H160" s="40"/>
      <c r="I160" s="40"/>
      <c r="J160" s="40"/>
      <c r="K160" s="41"/>
    </row>
    <row r="161" spans="2:14" x14ac:dyDescent="0.2">
      <c r="B161" s="38"/>
      <c r="C161" s="40" t="s">
        <v>441</v>
      </c>
      <c r="D161" s="40"/>
      <c r="E161" s="40"/>
      <c r="F161" s="40"/>
      <c r="G161" s="40"/>
      <c r="H161" s="40"/>
      <c r="I161" s="40"/>
      <c r="J161" s="252">
        <f>'Baseline Health'!G51</f>
        <v>0</v>
      </c>
      <c r="K161" s="41"/>
    </row>
    <row r="162" spans="2:14" x14ac:dyDescent="0.2">
      <c r="B162" s="38"/>
      <c r="C162" s="40" t="s">
        <v>280</v>
      </c>
      <c r="D162" s="40"/>
      <c r="E162" s="40"/>
      <c r="F162" s="40"/>
      <c r="G162" s="40"/>
      <c r="H162" s="40"/>
      <c r="I162" s="40"/>
      <c r="J162" s="264"/>
      <c r="K162" s="41"/>
    </row>
    <row r="163" spans="2:14" x14ac:dyDescent="0.2">
      <c r="B163" s="38"/>
      <c r="C163" s="40" t="s">
        <v>442</v>
      </c>
      <c r="D163" s="40"/>
      <c r="E163" s="40"/>
      <c r="F163" s="40"/>
      <c r="G163" s="40"/>
      <c r="H163" s="40"/>
      <c r="I163" s="40"/>
      <c r="J163" s="251">
        <f>(J64)/4.5</f>
        <v>0</v>
      </c>
      <c r="K163" s="41"/>
    </row>
    <row r="164" spans="2:14" x14ac:dyDescent="0.2">
      <c r="B164" s="38"/>
      <c r="C164" s="40"/>
      <c r="D164" s="40" t="s">
        <v>353</v>
      </c>
      <c r="E164" s="40"/>
      <c r="F164" s="40"/>
      <c r="G164" s="40"/>
      <c r="H164" s="40"/>
      <c r="I164" s="40"/>
      <c r="J164" s="40"/>
      <c r="K164" s="41"/>
    </row>
    <row r="165" spans="2:14" x14ac:dyDescent="0.2">
      <c r="B165" s="38"/>
      <c r="C165" s="40" t="s">
        <v>260</v>
      </c>
      <c r="D165" s="40"/>
      <c r="E165" s="40"/>
      <c r="F165" s="40"/>
      <c r="G165" s="40"/>
      <c r="H165" s="40"/>
      <c r="I165" s="40"/>
      <c r="J165" s="245" t="str">
        <f>IF(OR(J161=0,J161="Not Calculated")=TRUE,"Not Calculated",IF((J161-J162)&lt;=0,4,IF(((J161+J163)/(J161-J162))&lt;=1,0,IF(((J161+J163)/(J161-J162))&lt;=1.05,1,IF(((J161+J163)/(J161-J162))&lt;=1.5, 2,IF(((J161+J163)/(J161-J162))&lt;=2,3,4))))))</f>
        <v>Not Calculated</v>
      </c>
      <c r="K165" s="41"/>
    </row>
    <row r="166" spans="2:14" ht="9.75" customHeight="1" x14ac:dyDescent="0.2">
      <c r="B166" s="38"/>
      <c r="C166" s="279" t="str">
        <f>"0:"</f>
        <v>0:</v>
      </c>
      <c r="D166" s="278" t="s">
        <v>918</v>
      </c>
      <c r="E166" s="40"/>
      <c r="F166" s="40"/>
      <c r="G166" s="40"/>
      <c r="H166" s="40"/>
      <c r="I166" s="40"/>
      <c r="J166" s="40"/>
      <c r="K166" s="41"/>
    </row>
    <row r="167" spans="2:14" ht="9.75" customHeight="1" x14ac:dyDescent="0.2">
      <c r="B167" s="38"/>
      <c r="C167" s="280" t="str">
        <f>"1:"</f>
        <v>1:</v>
      </c>
      <c r="D167" s="278" t="s">
        <v>923</v>
      </c>
      <c r="E167" s="40"/>
      <c r="F167" s="40"/>
      <c r="G167" s="40"/>
      <c r="H167" s="40"/>
      <c r="I167" s="40"/>
      <c r="J167" s="40"/>
      <c r="K167" s="41"/>
    </row>
    <row r="168" spans="2:14" ht="9.75" customHeight="1" x14ac:dyDescent="0.2">
      <c r="B168" s="38"/>
      <c r="C168" s="280" t="str">
        <f>"2:"</f>
        <v>2:</v>
      </c>
      <c r="D168" s="278" t="s">
        <v>924</v>
      </c>
      <c r="E168" s="40"/>
      <c r="F168" s="40"/>
      <c r="G168" s="40"/>
      <c r="H168" s="40"/>
      <c r="I168" s="40"/>
      <c r="J168" s="40"/>
      <c r="K168" s="41"/>
    </row>
    <row r="169" spans="2:14" ht="9.75" customHeight="1" x14ac:dyDescent="0.2">
      <c r="B169" s="38"/>
      <c r="C169" s="280" t="str">
        <f>"3:"</f>
        <v>3:</v>
      </c>
      <c r="D169" s="278" t="s">
        <v>925</v>
      </c>
      <c r="E169" s="40"/>
      <c r="F169" s="40"/>
      <c r="G169" s="40"/>
      <c r="H169" s="40"/>
      <c r="I169" s="40"/>
      <c r="J169" s="40"/>
      <c r="K169" s="41"/>
    </row>
    <row r="170" spans="2:14" ht="9.75" customHeight="1" x14ac:dyDescent="0.2">
      <c r="B170" s="38"/>
      <c r="C170" s="280" t="str">
        <f>"4:"</f>
        <v>4:</v>
      </c>
      <c r="D170" s="278" t="s">
        <v>926</v>
      </c>
      <c r="E170" s="40"/>
      <c r="F170" s="40"/>
      <c r="G170" s="40"/>
      <c r="H170" s="40"/>
      <c r="I170" s="40"/>
      <c r="J170" s="40"/>
      <c r="K170" s="41"/>
      <c r="N170" s="12" t="s">
        <v>661</v>
      </c>
    </row>
    <row r="171" spans="2:14" x14ac:dyDescent="0.2">
      <c r="B171" s="38"/>
      <c r="C171" s="174" t="s">
        <v>662</v>
      </c>
      <c r="D171" s="40"/>
      <c r="E171" s="40"/>
      <c r="F171" s="40"/>
      <c r="G171" s="40"/>
      <c r="H171" s="40"/>
      <c r="I171" s="40"/>
      <c r="J171" s="265"/>
      <c r="K171" s="41"/>
      <c r="N171" s="12" t="s">
        <v>894</v>
      </c>
    </row>
    <row r="172" spans="2:14" x14ac:dyDescent="0.2">
      <c r="B172" s="38"/>
      <c r="C172" s="174" t="s">
        <v>660</v>
      </c>
      <c r="D172" s="40"/>
      <c r="E172" s="40"/>
      <c r="F172" s="40"/>
      <c r="G172" s="40"/>
      <c r="H172" s="40"/>
      <c r="I172" s="40"/>
      <c r="J172" s="246" t="str">
        <f>IF(J171=N170,"N/A",IF(J171=N171,0,IF(J171=N172,1,IF(J171=N173,2,IF(J171=N174,3,IF(J171=N175,4,"N/A"))))))</f>
        <v>N/A</v>
      </c>
      <c r="K172" s="41"/>
      <c r="N172" s="12" t="s">
        <v>899</v>
      </c>
    </row>
    <row r="173" spans="2:14" x14ac:dyDescent="0.2">
      <c r="B173" s="38"/>
      <c r="C173" s="40" t="s">
        <v>257</v>
      </c>
      <c r="D173" s="40"/>
      <c r="E173" s="40"/>
      <c r="F173" s="40"/>
      <c r="G173" s="40"/>
      <c r="H173" s="40"/>
      <c r="I173" s="40"/>
      <c r="J173" s="266"/>
      <c r="K173" s="41"/>
      <c r="N173" s="12" t="s">
        <v>900</v>
      </c>
    </row>
    <row r="174" spans="2:14" x14ac:dyDescent="0.2">
      <c r="B174" s="38"/>
      <c r="C174" s="40" t="s">
        <v>261</v>
      </c>
      <c r="D174" s="40"/>
      <c r="E174" s="40"/>
      <c r="F174" s="40"/>
      <c r="G174" s="40"/>
      <c r="H174" s="40"/>
      <c r="I174" s="40"/>
      <c r="J174" s="245" t="str">
        <f>IF(J173=$B$973,$A$973,IF(J173=$B$974,$A$974,IF(J173=$B$975,$A$975,IF(J173=$B$976,$A$976,IF(J173=$B$977,$A$977,"Not Calculated")))))</f>
        <v>Not Calculated</v>
      </c>
      <c r="K174" s="41"/>
      <c r="N174" s="12" t="s">
        <v>901</v>
      </c>
    </row>
    <row r="175" spans="2:14" x14ac:dyDescent="0.2">
      <c r="B175" s="38"/>
      <c r="C175" s="40" t="s">
        <v>893</v>
      </c>
      <c r="D175" s="40"/>
      <c r="E175" s="40"/>
      <c r="F175" s="40"/>
      <c r="G175" s="40"/>
      <c r="H175" s="40"/>
      <c r="I175" s="40"/>
      <c r="J175" s="40"/>
      <c r="K175" s="41"/>
      <c r="N175" s="12" t="s">
        <v>902</v>
      </c>
    </row>
    <row r="176" spans="2:14" ht="15" customHeight="1" x14ac:dyDescent="0.2">
      <c r="B176" s="38"/>
      <c r="C176" s="399"/>
      <c r="D176" s="400"/>
      <c r="E176" s="400"/>
      <c r="F176" s="400"/>
      <c r="G176" s="400"/>
      <c r="H176" s="400"/>
      <c r="I176" s="400"/>
      <c r="J176" s="401"/>
      <c r="K176" s="41"/>
    </row>
    <row r="177" spans="2:14" x14ac:dyDescent="0.2">
      <c r="B177" s="38"/>
      <c r="C177" s="40"/>
      <c r="D177" s="40"/>
      <c r="E177" s="40"/>
      <c r="F177" s="40"/>
      <c r="G177" s="40"/>
      <c r="H177" s="40"/>
      <c r="I177" s="40"/>
      <c r="J177" s="40"/>
      <c r="K177" s="41"/>
    </row>
    <row r="178" spans="2:14" x14ac:dyDescent="0.2">
      <c r="B178" s="38"/>
      <c r="C178" s="179" t="s">
        <v>274</v>
      </c>
      <c r="D178" s="40"/>
      <c r="E178" s="40"/>
      <c r="F178" s="40"/>
      <c r="G178" s="40"/>
      <c r="H178" s="40"/>
      <c r="I178" s="40"/>
      <c r="J178" s="245" t="str">
        <f>IF(J172="N/A",IF(OR(J165="Not Calculated",J174="Not Calculated")=TRUE,"Not Calculated",AVERAGE(J165,J174)),AVERAGE(J172,J174))</f>
        <v>Not Calculated</v>
      </c>
      <c r="K178" s="41"/>
    </row>
    <row r="179" spans="2:14" x14ac:dyDescent="0.2">
      <c r="B179" s="38"/>
      <c r="C179" s="40"/>
      <c r="D179" s="40"/>
      <c r="E179" s="40"/>
      <c r="F179" s="40"/>
      <c r="G179" s="40"/>
      <c r="H179" s="40"/>
      <c r="I179" s="40"/>
      <c r="J179" s="40"/>
      <c r="K179" s="41"/>
    </row>
    <row r="180" spans="2:14" x14ac:dyDescent="0.2">
      <c r="B180" s="38"/>
      <c r="C180" s="40"/>
      <c r="D180" s="40"/>
      <c r="E180" s="40"/>
      <c r="F180" s="40"/>
      <c r="G180" s="40"/>
      <c r="H180" s="40"/>
      <c r="I180" s="40"/>
      <c r="J180" s="40"/>
      <c r="K180" s="41"/>
    </row>
    <row r="181" spans="2:14" ht="16" x14ac:dyDescent="0.2">
      <c r="B181" s="38"/>
      <c r="C181" s="45" t="s">
        <v>74</v>
      </c>
      <c r="D181" s="40"/>
      <c r="E181" s="40"/>
      <c r="F181" s="40"/>
      <c r="G181" s="40"/>
      <c r="H181" s="40"/>
      <c r="I181" s="40"/>
      <c r="J181" s="40"/>
      <c r="K181" s="41"/>
    </row>
    <row r="182" spans="2:14" x14ac:dyDescent="0.2">
      <c r="B182" s="38"/>
      <c r="C182" s="40" t="s">
        <v>443</v>
      </c>
      <c r="D182" s="40"/>
      <c r="E182" s="40"/>
      <c r="F182" s="40"/>
      <c r="G182" s="40"/>
      <c r="H182" s="40"/>
      <c r="I182" s="40"/>
      <c r="J182" s="252">
        <f>'Baseline Health'!G59</f>
        <v>0</v>
      </c>
      <c r="K182" s="41"/>
    </row>
    <row r="183" spans="2:14" x14ac:dyDescent="0.2">
      <c r="B183" s="38"/>
      <c r="C183" s="40" t="s">
        <v>281</v>
      </c>
      <c r="D183" s="40"/>
      <c r="E183" s="40"/>
      <c r="F183" s="40"/>
      <c r="G183" s="40"/>
      <c r="H183" s="40"/>
      <c r="I183" s="40"/>
      <c r="J183" s="264"/>
      <c r="K183" s="41"/>
    </row>
    <row r="184" spans="2:14" x14ac:dyDescent="0.2">
      <c r="B184" s="38"/>
      <c r="C184" s="40" t="s">
        <v>354</v>
      </c>
      <c r="D184" s="40"/>
      <c r="E184" s="40"/>
      <c r="F184" s="40"/>
      <c r="G184" s="40"/>
      <c r="H184" s="40"/>
      <c r="I184" s="40"/>
      <c r="J184" s="264"/>
      <c r="K184" s="41"/>
    </row>
    <row r="185" spans="2:14" x14ac:dyDescent="0.2">
      <c r="B185" s="38"/>
      <c r="C185" s="40" t="s">
        <v>260</v>
      </c>
      <c r="D185" s="40"/>
      <c r="E185" s="40"/>
      <c r="F185" s="40"/>
      <c r="G185" s="40"/>
      <c r="H185" s="40"/>
      <c r="I185" s="40"/>
      <c r="J185" s="245" t="str">
        <f>IF(OR(J182=0,J182="Not Calculated")=TRUE,"Not Calculated",IF(J182-J183=0,4,IF(((J182+J184)/(J182-J183))&lt;=1,0,IF(((J182+J184)/(J182-J183))&lt;=1.05,1,IF(((J182+J184)/(J182-J183))&lt;=1.5, 2,IF(((J182+J184)/(J182-J183))&lt;=2,3,4))))))</f>
        <v>Not Calculated</v>
      </c>
      <c r="K185" s="41"/>
    </row>
    <row r="186" spans="2:14" ht="9.75" customHeight="1" x14ac:dyDescent="0.2">
      <c r="B186" s="38"/>
      <c r="C186" s="279" t="str">
        <f>"0:"</f>
        <v>0:</v>
      </c>
      <c r="D186" s="278" t="s">
        <v>918</v>
      </c>
      <c r="E186" s="40"/>
      <c r="F186" s="40"/>
      <c r="G186" s="40"/>
      <c r="H186" s="40"/>
      <c r="I186" s="40"/>
      <c r="J186" s="40"/>
      <c r="K186" s="41"/>
    </row>
    <row r="187" spans="2:14" ht="9.75" customHeight="1" x14ac:dyDescent="0.2">
      <c r="B187" s="38"/>
      <c r="C187" s="280" t="str">
        <f>"1:"</f>
        <v>1:</v>
      </c>
      <c r="D187" s="278" t="s">
        <v>923</v>
      </c>
      <c r="E187" s="40"/>
      <c r="F187" s="40"/>
      <c r="G187" s="40"/>
      <c r="H187" s="40"/>
      <c r="I187" s="40"/>
      <c r="J187" s="40"/>
      <c r="K187" s="41"/>
    </row>
    <row r="188" spans="2:14" ht="9.75" customHeight="1" x14ac:dyDescent="0.2">
      <c r="B188" s="38"/>
      <c r="C188" s="280" t="str">
        <f>"2:"</f>
        <v>2:</v>
      </c>
      <c r="D188" s="278" t="s">
        <v>924</v>
      </c>
      <c r="E188" s="40"/>
      <c r="F188" s="40"/>
      <c r="G188" s="40"/>
      <c r="H188" s="40"/>
      <c r="I188" s="40"/>
      <c r="J188" s="40"/>
      <c r="K188" s="41"/>
    </row>
    <row r="189" spans="2:14" ht="9.75" customHeight="1" x14ac:dyDescent="0.2">
      <c r="B189" s="38"/>
      <c r="C189" s="280" t="str">
        <f>"3:"</f>
        <v>3:</v>
      </c>
      <c r="D189" s="278" t="s">
        <v>925</v>
      </c>
      <c r="E189" s="40"/>
      <c r="F189" s="40"/>
      <c r="G189" s="40"/>
      <c r="H189" s="40"/>
      <c r="I189" s="40"/>
      <c r="J189" s="40"/>
      <c r="K189" s="41"/>
    </row>
    <row r="190" spans="2:14" ht="9.75" customHeight="1" x14ac:dyDescent="0.2">
      <c r="B190" s="38"/>
      <c r="C190" s="280" t="str">
        <f>"4:"</f>
        <v>4:</v>
      </c>
      <c r="D190" s="278" t="s">
        <v>926</v>
      </c>
      <c r="E190" s="40"/>
      <c r="F190" s="40"/>
      <c r="G190" s="40"/>
      <c r="H190" s="40"/>
      <c r="I190" s="40"/>
      <c r="J190" s="40"/>
      <c r="K190" s="41"/>
      <c r="N190" s="12" t="s">
        <v>661</v>
      </c>
    </row>
    <row r="191" spans="2:14" x14ac:dyDescent="0.2">
      <c r="B191" s="38"/>
      <c r="C191" s="174" t="s">
        <v>662</v>
      </c>
      <c r="D191" s="40"/>
      <c r="E191" s="40"/>
      <c r="F191" s="40"/>
      <c r="G191" s="40"/>
      <c r="H191" s="40"/>
      <c r="I191" s="40"/>
      <c r="J191" s="265" t="s">
        <v>661</v>
      </c>
      <c r="K191" s="41"/>
      <c r="N191" s="12" t="s">
        <v>894</v>
      </c>
    </row>
    <row r="192" spans="2:14" x14ac:dyDescent="0.2">
      <c r="B192" s="38"/>
      <c r="C192" s="174" t="s">
        <v>660</v>
      </c>
      <c r="D192" s="40"/>
      <c r="E192" s="40"/>
      <c r="F192" s="40"/>
      <c r="G192" s="40"/>
      <c r="H192" s="40"/>
      <c r="I192" s="40"/>
      <c r="J192" s="246" t="str">
        <f>IF(J191=N190,"N/A",IF(J191=N191,0,IF(J191=N192,1,IF(J191=N193,2,IF(J191=N194,3,IF(J191=N195,4,"N/A"))))))</f>
        <v>N/A</v>
      </c>
      <c r="K192" s="41"/>
      <c r="N192" s="12" t="s">
        <v>899</v>
      </c>
    </row>
    <row r="193" spans="2:14" x14ac:dyDescent="0.2">
      <c r="B193" s="38"/>
      <c r="C193" s="40" t="s">
        <v>257</v>
      </c>
      <c r="D193" s="40"/>
      <c r="E193" s="40"/>
      <c r="F193" s="40"/>
      <c r="G193" s="40"/>
      <c r="H193" s="40"/>
      <c r="I193" s="40"/>
      <c r="J193" s="266"/>
      <c r="K193" s="41"/>
      <c r="N193" s="12" t="s">
        <v>900</v>
      </c>
    </row>
    <row r="194" spans="2:14" x14ac:dyDescent="0.2">
      <c r="B194" s="38"/>
      <c r="C194" s="40" t="s">
        <v>261</v>
      </c>
      <c r="D194" s="40"/>
      <c r="E194" s="40"/>
      <c r="F194" s="40"/>
      <c r="G194" s="40"/>
      <c r="H194" s="40"/>
      <c r="I194" s="40"/>
      <c r="J194" s="245" t="str">
        <f>IF(J193=$B$973,$A$973,IF(J193=$B$974,$A$974,IF(J193=$B$975,$A$975,IF(J193=$B$976,$A$976,IF(J193=$B$977,$A$977,"Not Calculated")))))</f>
        <v>Not Calculated</v>
      </c>
      <c r="K194" s="41"/>
      <c r="N194" s="12" t="s">
        <v>901</v>
      </c>
    </row>
    <row r="195" spans="2:14" x14ac:dyDescent="0.2">
      <c r="B195" s="38"/>
      <c r="C195" s="40" t="s">
        <v>893</v>
      </c>
      <c r="D195" s="40"/>
      <c r="E195" s="40"/>
      <c r="F195" s="40"/>
      <c r="G195" s="40"/>
      <c r="H195" s="40"/>
      <c r="I195" s="40"/>
      <c r="J195" s="40"/>
      <c r="K195" s="41"/>
      <c r="N195" s="12" t="s">
        <v>902</v>
      </c>
    </row>
    <row r="196" spans="2:14" x14ac:dyDescent="0.2">
      <c r="B196" s="38"/>
      <c r="C196" s="399"/>
      <c r="D196" s="400"/>
      <c r="E196" s="400"/>
      <c r="F196" s="400"/>
      <c r="G196" s="400"/>
      <c r="H196" s="400"/>
      <c r="I196" s="400"/>
      <c r="J196" s="401"/>
      <c r="K196" s="41"/>
    </row>
    <row r="197" spans="2:14" x14ac:dyDescent="0.2">
      <c r="B197" s="38"/>
      <c r="C197" s="40"/>
      <c r="D197" s="40"/>
      <c r="E197" s="40"/>
      <c r="F197" s="40"/>
      <c r="G197" s="40"/>
      <c r="H197" s="40"/>
      <c r="I197" s="40"/>
      <c r="J197" s="40"/>
      <c r="K197" s="41"/>
    </row>
    <row r="198" spans="2:14" x14ac:dyDescent="0.2">
      <c r="B198" s="38"/>
      <c r="C198" s="179" t="s">
        <v>275</v>
      </c>
      <c r="D198" s="40"/>
      <c r="E198" s="40"/>
      <c r="F198" s="40"/>
      <c r="G198" s="40"/>
      <c r="H198" s="40"/>
      <c r="I198" s="40"/>
      <c r="J198" s="245" t="str">
        <f>IF(J192="N/A",IF(OR(J185="Not Calculated",J194="Not Calculated")=TRUE,"Not Calculated",AVERAGE(J185,J194)),AVERAGE(J192,J194))</f>
        <v>Not Calculated</v>
      </c>
      <c r="K198" s="41"/>
    </row>
    <row r="199" spans="2:14" x14ac:dyDescent="0.2">
      <c r="B199" s="38"/>
      <c r="C199" s="40"/>
      <c r="D199" s="40"/>
      <c r="E199" s="40"/>
      <c r="F199" s="40"/>
      <c r="G199" s="40"/>
      <c r="H199" s="40"/>
      <c r="I199" s="40"/>
      <c r="J199" s="40"/>
      <c r="K199" s="41"/>
    </row>
    <row r="200" spans="2:14" x14ac:dyDescent="0.2">
      <c r="B200" s="38"/>
      <c r="C200" s="40"/>
      <c r="D200" s="40"/>
      <c r="E200" s="40"/>
      <c r="F200" s="40"/>
      <c r="G200" s="40"/>
      <c r="H200" s="40"/>
      <c r="I200" s="40"/>
      <c r="J200" s="40"/>
      <c r="K200" s="41"/>
    </row>
    <row r="201" spans="2:14" ht="16" x14ac:dyDescent="0.2">
      <c r="B201" s="38"/>
      <c r="C201" s="45" t="s">
        <v>75</v>
      </c>
      <c r="D201" s="40"/>
      <c r="E201" s="40"/>
      <c r="F201" s="40"/>
      <c r="G201" s="40"/>
      <c r="H201" s="40"/>
      <c r="I201" s="40"/>
      <c r="J201" s="40"/>
      <c r="K201" s="41"/>
    </row>
    <row r="202" spans="2:14" x14ac:dyDescent="0.2">
      <c r="B202" s="38"/>
      <c r="C202" s="40" t="s">
        <v>444</v>
      </c>
      <c r="D202" s="40"/>
      <c r="E202" s="40"/>
      <c r="F202" s="40"/>
      <c r="G202" s="40"/>
      <c r="H202" s="40"/>
      <c r="I202" s="40"/>
      <c r="J202" s="252">
        <f>'Baseline Health'!G65</f>
        <v>0</v>
      </c>
      <c r="K202" s="41"/>
    </row>
    <row r="203" spans="2:14" x14ac:dyDescent="0.2">
      <c r="B203" s="38"/>
      <c r="C203" s="40" t="s">
        <v>282</v>
      </c>
      <c r="D203" s="40"/>
      <c r="E203" s="40"/>
      <c r="F203" s="40"/>
      <c r="G203" s="40"/>
      <c r="H203" s="40"/>
      <c r="I203" s="40"/>
      <c r="J203" s="264"/>
      <c r="K203" s="41"/>
    </row>
    <row r="204" spans="2:14" x14ac:dyDescent="0.2">
      <c r="B204" s="38"/>
      <c r="C204" s="40" t="s">
        <v>355</v>
      </c>
      <c r="D204" s="40"/>
      <c r="E204" s="40"/>
      <c r="F204" s="40"/>
      <c r="G204" s="40"/>
      <c r="H204" s="40"/>
      <c r="I204" s="40"/>
      <c r="J204" s="264"/>
      <c r="K204" s="41"/>
    </row>
    <row r="205" spans="2:14" x14ac:dyDescent="0.2">
      <c r="B205" s="38"/>
      <c r="C205" s="40" t="s">
        <v>260</v>
      </c>
      <c r="D205" s="40"/>
      <c r="E205" s="40"/>
      <c r="F205" s="40"/>
      <c r="G205" s="40"/>
      <c r="H205" s="40"/>
      <c r="I205" s="40"/>
      <c r="J205" s="245" t="str">
        <f>IF(OR(J202=0,J202="Not Calculated")=TRUE,"Not Calculated",IF(J202-J203=0,4,IF(((J202+J204)/(J202-J203))&lt;=1,0,IF(((J202+J204)/(J202-J203))&lt;=1.05,1,IF(((J202+J204)/(J202-J203))&lt;=1.5, 2,IF(((J202+J204)/(J202-J203))&lt;=2,3,4))))))</f>
        <v>Not Calculated</v>
      </c>
      <c r="K205" s="41"/>
    </row>
    <row r="206" spans="2:14" ht="9.75" customHeight="1" x14ac:dyDescent="0.2">
      <c r="B206" s="38"/>
      <c r="C206" s="279" t="str">
        <f>"0:"</f>
        <v>0:</v>
      </c>
      <c r="D206" s="278" t="s">
        <v>918</v>
      </c>
      <c r="E206" s="40"/>
      <c r="F206" s="40"/>
      <c r="G206" s="40"/>
      <c r="H206" s="40"/>
      <c r="I206" s="40"/>
      <c r="J206" s="40"/>
      <c r="K206" s="41"/>
    </row>
    <row r="207" spans="2:14" ht="9.75" customHeight="1" x14ac:dyDescent="0.2">
      <c r="B207" s="38"/>
      <c r="C207" s="280" t="str">
        <f>"1:"</f>
        <v>1:</v>
      </c>
      <c r="D207" s="278" t="s">
        <v>923</v>
      </c>
      <c r="E207" s="40"/>
      <c r="F207" s="40"/>
      <c r="G207" s="40"/>
      <c r="H207" s="40"/>
      <c r="I207" s="40"/>
      <c r="J207" s="40"/>
      <c r="K207" s="41"/>
    </row>
    <row r="208" spans="2:14" ht="9.75" customHeight="1" x14ac:dyDescent="0.2">
      <c r="B208" s="38"/>
      <c r="C208" s="280" t="str">
        <f>"2:"</f>
        <v>2:</v>
      </c>
      <c r="D208" s="278" t="s">
        <v>924</v>
      </c>
      <c r="E208" s="40"/>
      <c r="F208" s="40"/>
      <c r="G208" s="40"/>
      <c r="H208" s="40"/>
      <c r="I208" s="40"/>
      <c r="J208" s="40"/>
      <c r="K208" s="41"/>
    </row>
    <row r="209" spans="2:14" ht="9.75" customHeight="1" x14ac:dyDescent="0.2">
      <c r="B209" s="38"/>
      <c r="C209" s="280" t="str">
        <f>"3:"</f>
        <v>3:</v>
      </c>
      <c r="D209" s="278" t="s">
        <v>925</v>
      </c>
      <c r="E209" s="40"/>
      <c r="F209" s="40"/>
      <c r="G209" s="40"/>
      <c r="H209" s="40"/>
      <c r="I209" s="40"/>
      <c r="J209" s="40"/>
      <c r="K209" s="41"/>
    </row>
    <row r="210" spans="2:14" ht="9.75" customHeight="1" x14ac:dyDescent="0.2">
      <c r="B210" s="38"/>
      <c r="C210" s="280" t="str">
        <f>"4:"</f>
        <v>4:</v>
      </c>
      <c r="D210" s="278" t="s">
        <v>926</v>
      </c>
      <c r="E210" s="40"/>
      <c r="F210" s="40"/>
      <c r="G210" s="40"/>
      <c r="H210" s="40"/>
      <c r="I210" s="40"/>
      <c r="J210" s="40"/>
      <c r="K210" s="41"/>
      <c r="N210" s="12" t="s">
        <v>661</v>
      </c>
    </row>
    <row r="211" spans="2:14" x14ac:dyDescent="0.2">
      <c r="B211" s="38"/>
      <c r="C211" s="174" t="s">
        <v>662</v>
      </c>
      <c r="D211" s="40"/>
      <c r="E211" s="40"/>
      <c r="F211" s="40"/>
      <c r="G211" s="40"/>
      <c r="H211" s="40"/>
      <c r="I211" s="40"/>
      <c r="J211" s="265" t="s">
        <v>661</v>
      </c>
      <c r="K211" s="41"/>
      <c r="N211" s="12" t="s">
        <v>894</v>
      </c>
    </row>
    <row r="212" spans="2:14" x14ac:dyDescent="0.2">
      <c r="B212" s="38"/>
      <c r="C212" s="174" t="s">
        <v>660</v>
      </c>
      <c r="D212" s="40"/>
      <c r="E212" s="40"/>
      <c r="F212" s="40"/>
      <c r="G212" s="40"/>
      <c r="H212" s="40"/>
      <c r="I212" s="40"/>
      <c r="J212" s="246" t="str">
        <f>IF(J211=N210,"N/A",IF(J211=N211,0,IF(J211=N212,1,IF(J211=N213,2,IF(J211=N214,3,IF(J211=N215,4,"N/A"))))))</f>
        <v>N/A</v>
      </c>
      <c r="K212" s="41"/>
      <c r="N212" s="12" t="s">
        <v>899</v>
      </c>
    </row>
    <row r="213" spans="2:14" x14ac:dyDescent="0.2">
      <c r="B213" s="38"/>
      <c r="C213" s="40" t="s">
        <v>257</v>
      </c>
      <c r="D213" s="40"/>
      <c r="E213" s="40"/>
      <c r="F213" s="40"/>
      <c r="G213" s="40"/>
      <c r="H213" s="40"/>
      <c r="I213" s="40"/>
      <c r="J213" s="266"/>
      <c r="K213" s="41"/>
      <c r="N213" s="12" t="s">
        <v>900</v>
      </c>
    </row>
    <row r="214" spans="2:14" x14ac:dyDescent="0.2">
      <c r="B214" s="38"/>
      <c r="C214" s="40" t="s">
        <v>261</v>
      </c>
      <c r="D214" s="40"/>
      <c r="E214" s="40"/>
      <c r="F214" s="40"/>
      <c r="G214" s="40"/>
      <c r="H214" s="40"/>
      <c r="I214" s="40"/>
      <c r="J214" s="245" t="str">
        <f>IF(J213=$B$973,$A$973,IF(J213=$B$974,$A$974,IF(J213=$B$975,$A$975,IF(J213=$B$976,$A$976,IF(J213=$B$977,$A$977,"Not Calculated")))))</f>
        <v>Not Calculated</v>
      </c>
      <c r="K214" s="41"/>
      <c r="N214" s="12" t="s">
        <v>901</v>
      </c>
    </row>
    <row r="215" spans="2:14" x14ac:dyDescent="0.2">
      <c r="B215" s="38"/>
      <c r="C215" s="40" t="s">
        <v>893</v>
      </c>
      <c r="D215" s="40"/>
      <c r="E215" s="40"/>
      <c r="F215" s="40"/>
      <c r="G215" s="40"/>
      <c r="H215" s="40"/>
      <c r="I215" s="40"/>
      <c r="J215" s="40"/>
      <c r="K215" s="41"/>
      <c r="N215" s="12" t="s">
        <v>902</v>
      </c>
    </row>
    <row r="216" spans="2:14" ht="15" customHeight="1" x14ac:dyDescent="0.2">
      <c r="B216" s="38"/>
      <c r="C216" s="399"/>
      <c r="D216" s="400"/>
      <c r="E216" s="400"/>
      <c r="F216" s="400"/>
      <c r="G216" s="400"/>
      <c r="H216" s="400"/>
      <c r="I216" s="400"/>
      <c r="J216" s="401"/>
      <c r="K216" s="41"/>
    </row>
    <row r="217" spans="2:14" x14ac:dyDescent="0.2">
      <c r="B217" s="38"/>
      <c r="C217" s="40"/>
      <c r="D217" s="40"/>
      <c r="E217" s="40"/>
      <c r="F217" s="40"/>
      <c r="G217" s="40"/>
      <c r="H217" s="40"/>
      <c r="I217" s="40"/>
      <c r="J217" s="40"/>
      <c r="K217" s="41"/>
    </row>
    <row r="218" spans="2:14" x14ac:dyDescent="0.2">
      <c r="B218" s="38"/>
      <c r="C218" s="179" t="s">
        <v>276</v>
      </c>
      <c r="D218" s="40"/>
      <c r="E218" s="40"/>
      <c r="F218" s="40"/>
      <c r="G218" s="40"/>
      <c r="H218" s="40"/>
      <c r="I218" s="40"/>
      <c r="J218" s="245" t="str">
        <f>IF(J212="N/A",IF(OR(J205="Not Calculated",J214="Not Calculated")=TRUE,"Not Calculated",AVERAGE(J205,J214)),AVERAGE(J212,J214))</f>
        <v>Not Calculated</v>
      </c>
      <c r="K218" s="41"/>
    </row>
    <row r="219" spans="2:14" x14ac:dyDescent="0.2">
      <c r="B219" s="38"/>
      <c r="C219" s="40"/>
      <c r="D219" s="40"/>
      <c r="E219" s="40"/>
      <c r="F219" s="40"/>
      <c r="G219" s="40"/>
      <c r="H219" s="40"/>
      <c r="I219" s="40"/>
      <c r="J219" s="40"/>
      <c r="K219" s="41"/>
    </row>
    <row r="220" spans="2:14" x14ac:dyDescent="0.2">
      <c r="B220" s="38"/>
      <c r="C220" s="40"/>
      <c r="D220" s="40"/>
      <c r="E220" s="40"/>
      <c r="F220" s="40"/>
      <c r="G220" s="40"/>
      <c r="H220" s="40"/>
      <c r="I220" s="40"/>
      <c r="J220" s="40"/>
      <c r="K220" s="41"/>
    </row>
    <row r="221" spans="2:14" ht="16" x14ac:dyDescent="0.2">
      <c r="B221" s="38"/>
      <c r="C221" s="45" t="s">
        <v>76</v>
      </c>
      <c r="D221" s="40"/>
      <c r="E221" s="40"/>
      <c r="F221" s="40"/>
      <c r="G221" s="40"/>
      <c r="H221" s="40"/>
      <c r="I221" s="40"/>
      <c r="J221" s="40"/>
      <c r="K221" s="41"/>
    </row>
    <row r="222" spans="2:14" ht="15" customHeight="1" x14ac:dyDescent="0.2">
      <c r="B222" s="38"/>
      <c r="C222" s="40" t="s">
        <v>356</v>
      </c>
      <c r="D222" s="40"/>
      <c r="E222" s="40"/>
      <c r="F222" s="40"/>
      <c r="G222" s="40"/>
      <c r="H222" s="40"/>
      <c r="I222" s="40"/>
      <c r="J222" s="252">
        <f>'Baseline Health'!G71</f>
        <v>0</v>
      </c>
      <c r="K222" s="41"/>
    </row>
    <row r="223" spans="2:14" x14ac:dyDescent="0.2">
      <c r="B223" s="38"/>
      <c r="C223" s="40" t="s">
        <v>357</v>
      </c>
      <c r="D223" s="40"/>
      <c r="E223" s="40"/>
      <c r="F223" s="40"/>
      <c r="G223" s="40"/>
      <c r="H223" s="40"/>
      <c r="I223" s="40"/>
      <c r="J223" s="264"/>
      <c r="K223" s="41"/>
    </row>
    <row r="224" spans="2:14" x14ac:dyDescent="0.2">
      <c r="B224" s="38"/>
      <c r="C224" s="40" t="s">
        <v>445</v>
      </c>
      <c r="D224" s="40"/>
      <c r="E224" s="40"/>
      <c r="F224" s="40"/>
      <c r="G224" s="40"/>
      <c r="H224" s="40"/>
      <c r="I224" s="40"/>
      <c r="J224" s="251">
        <f>J102</f>
        <v>0</v>
      </c>
      <c r="K224" s="41"/>
    </row>
    <row r="225" spans="2:14" x14ac:dyDescent="0.2">
      <c r="B225" s="38"/>
      <c r="C225" s="40"/>
      <c r="D225" s="40" t="s">
        <v>446</v>
      </c>
      <c r="E225" s="40"/>
      <c r="F225" s="40"/>
      <c r="G225" s="40"/>
      <c r="H225" s="40"/>
      <c r="I225" s="40"/>
      <c r="J225" s="40"/>
      <c r="K225" s="41"/>
    </row>
    <row r="226" spans="2:14" x14ac:dyDescent="0.2">
      <c r="B226" s="38"/>
      <c r="C226" s="40" t="s">
        <v>260</v>
      </c>
      <c r="D226" s="40"/>
      <c r="E226" s="40"/>
      <c r="F226" s="40"/>
      <c r="G226" s="40"/>
      <c r="H226" s="40"/>
      <c r="I226" s="40"/>
      <c r="J226" s="245" t="str">
        <f>IF(OR(J222=0,J222="Not Calculated")=TRUE,"Not Calculated",IF(J222-J223=0,4,IF(((J222+J224)/(J222-J223))&lt;=1,0,IF(((J222+J224)/(J222-J223))&lt;=1.05,1,IF(((J222+J224)/(J222-J223))&lt;=1.5, 2,IF(((J222+J224)/(J222-J223))&lt;=2,3,4))))))</f>
        <v>Not Calculated</v>
      </c>
      <c r="K226" s="41"/>
    </row>
    <row r="227" spans="2:14" ht="9.75" customHeight="1" x14ac:dyDescent="0.2">
      <c r="B227" s="38"/>
      <c r="C227" s="279" t="str">
        <f>"0:"</f>
        <v>0:</v>
      </c>
      <c r="D227" s="278" t="s">
        <v>918</v>
      </c>
      <c r="E227" s="40"/>
      <c r="F227" s="40"/>
      <c r="G227" s="40"/>
      <c r="H227" s="40"/>
      <c r="I227" s="40"/>
      <c r="J227" s="40"/>
      <c r="K227" s="41"/>
    </row>
    <row r="228" spans="2:14" ht="9.75" customHeight="1" x14ac:dyDescent="0.2">
      <c r="B228" s="38"/>
      <c r="C228" s="280" t="str">
        <f>"1:"</f>
        <v>1:</v>
      </c>
      <c r="D228" s="278" t="s">
        <v>923</v>
      </c>
      <c r="E228" s="40"/>
      <c r="F228" s="40"/>
      <c r="G228" s="40"/>
      <c r="H228" s="40"/>
      <c r="I228" s="40"/>
      <c r="J228" s="40"/>
      <c r="K228" s="41"/>
    </row>
    <row r="229" spans="2:14" ht="9.75" customHeight="1" x14ac:dyDescent="0.2">
      <c r="B229" s="38"/>
      <c r="C229" s="280" t="str">
        <f>"2:"</f>
        <v>2:</v>
      </c>
      <c r="D229" s="278" t="s">
        <v>924</v>
      </c>
      <c r="E229" s="40"/>
      <c r="F229" s="40"/>
      <c r="G229" s="40"/>
      <c r="H229" s="40"/>
      <c r="I229" s="40"/>
      <c r="J229" s="40"/>
      <c r="K229" s="41"/>
    </row>
    <row r="230" spans="2:14" ht="9.75" customHeight="1" x14ac:dyDescent="0.2">
      <c r="B230" s="38"/>
      <c r="C230" s="280" t="str">
        <f>"3:"</f>
        <v>3:</v>
      </c>
      <c r="D230" s="278" t="s">
        <v>925</v>
      </c>
      <c r="E230" s="40"/>
      <c r="F230" s="40"/>
      <c r="G230" s="40"/>
      <c r="H230" s="40"/>
      <c r="I230" s="40"/>
      <c r="J230" s="40"/>
      <c r="K230" s="41"/>
    </row>
    <row r="231" spans="2:14" ht="9.75" customHeight="1" x14ac:dyDescent="0.2">
      <c r="B231" s="38"/>
      <c r="C231" s="280" t="str">
        <f>"4:"</f>
        <v>4:</v>
      </c>
      <c r="D231" s="278" t="s">
        <v>926</v>
      </c>
      <c r="E231" s="40"/>
      <c r="F231" s="40"/>
      <c r="G231" s="40"/>
      <c r="H231" s="40"/>
      <c r="I231" s="40"/>
      <c r="J231" s="40"/>
      <c r="K231" s="41"/>
      <c r="N231" s="12" t="s">
        <v>661</v>
      </c>
    </row>
    <row r="232" spans="2:14" x14ac:dyDescent="0.2">
      <c r="B232" s="38"/>
      <c r="C232" s="174" t="s">
        <v>662</v>
      </c>
      <c r="D232" s="40"/>
      <c r="E232" s="40"/>
      <c r="F232" s="40"/>
      <c r="G232" s="40"/>
      <c r="H232" s="40"/>
      <c r="I232" s="40"/>
      <c r="J232" s="265" t="s">
        <v>661</v>
      </c>
      <c r="K232" s="41"/>
      <c r="N232" s="12" t="s">
        <v>894</v>
      </c>
    </row>
    <row r="233" spans="2:14" x14ac:dyDescent="0.2">
      <c r="B233" s="38"/>
      <c r="C233" s="174" t="s">
        <v>660</v>
      </c>
      <c r="D233" s="40"/>
      <c r="E233" s="40"/>
      <c r="F233" s="40"/>
      <c r="G233" s="40"/>
      <c r="H233" s="40"/>
      <c r="I233" s="40"/>
      <c r="J233" s="246" t="str">
        <f>IF(J232=N231,"N/A",IF(J232=N232,0,IF(J232=N233,1,IF(J232=N234,2,IF(J232=N235,3,IF(J232=N236,4,"N/A"))))))</f>
        <v>N/A</v>
      </c>
      <c r="K233" s="41"/>
      <c r="N233" s="12" t="s">
        <v>899</v>
      </c>
    </row>
    <row r="234" spans="2:14" x14ac:dyDescent="0.2">
      <c r="B234" s="38"/>
      <c r="C234" s="40" t="s">
        <v>257</v>
      </c>
      <c r="D234" s="40"/>
      <c r="E234" s="40"/>
      <c r="F234" s="40"/>
      <c r="G234" s="40"/>
      <c r="H234" s="40"/>
      <c r="I234" s="40"/>
      <c r="J234" s="266"/>
      <c r="K234" s="41"/>
      <c r="N234" s="12" t="s">
        <v>900</v>
      </c>
    </row>
    <row r="235" spans="2:14" x14ac:dyDescent="0.2">
      <c r="B235" s="38"/>
      <c r="C235" s="40" t="s">
        <v>261</v>
      </c>
      <c r="D235" s="40"/>
      <c r="E235" s="40"/>
      <c r="F235" s="40"/>
      <c r="G235" s="40"/>
      <c r="H235" s="40"/>
      <c r="I235" s="40"/>
      <c r="J235" s="245" t="str">
        <f>IF(J234=$B$973,$A$973,IF(J234=$B$974,$A$974,IF(J234=$B$975,$A$975,IF(J234=$B$976,$A$976,IF(J234=$B$977,$A$977,"Not Calculated")))))</f>
        <v>Not Calculated</v>
      </c>
      <c r="K235" s="41"/>
      <c r="N235" s="12" t="s">
        <v>901</v>
      </c>
    </row>
    <row r="236" spans="2:14" x14ac:dyDescent="0.2">
      <c r="B236" s="38"/>
      <c r="C236" s="40" t="s">
        <v>893</v>
      </c>
      <c r="D236" s="40"/>
      <c r="E236" s="40"/>
      <c r="F236" s="40"/>
      <c r="G236" s="40"/>
      <c r="H236" s="40"/>
      <c r="I236" s="40"/>
      <c r="J236" s="40"/>
      <c r="K236" s="41"/>
      <c r="N236" s="12" t="s">
        <v>902</v>
      </c>
    </row>
    <row r="237" spans="2:14" ht="15" customHeight="1" x14ac:dyDescent="0.2">
      <c r="B237" s="38"/>
      <c r="C237" s="399"/>
      <c r="D237" s="400"/>
      <c r="E237" s="400"/>
      <c r="F237" s="400"/>
      <c r="G237" s="400"/>
      <c r="H237" s="400"/>
      <c r="I237" s="400"/>
      <c r="J237" s="401"/>
      <c r="K237" s="41"/>
    </row>
    <row r="238" spans="2:14" x14ac:dyDescent="0.2">
      <c r="B238" s="38"/>
      <c r="C238" s="40"/>
      <c r="D238" s="40"/>
      <c r="E238" s="40"/>
      <c r="F238" s="40"/>
      <c r="G238" s="40"/>
      <c r="H238" s="40"/>
      <c r="I238" s="40"/>
      <c r="J238" s="40"/>
      <c r="K238" s="41"/>
    </row>
    <row r="239" spans="2:14" x14ac:dyDescent="0.2">
      <c r="B239" s="38"/>
      <c r="C239" s="179" t="s">
        <v>277</v>
      </c>
      <c r="D239" s="40"/>
      <c r="E239" s="40"/>
      <c r="F239" s="40"/>
      <c r="G239" s="40"/>
      <c r="H239" s="40"/>
      <c r="I239" s="40"/>
      <c r="J239" s="245" t="str">
        <f>IF(J233="N/A",IF(OR(J226="Not Calculated",J235="Not Calculated")=TRUE,"Not Calculated",AVERAGE(J226,J235)),AVERAGE(J233,J235))</f>
        <v>Not Calculated</v>
      </c>
      <c r="K239" s="41"/>
    </row>
    <row r="240" spans="2:14" x14ac:dyDescent="0.2">
      <c r="B240" s="38"/>
      <c r="C240" s="40"/>
      <c r="D240" s="40"/>
      <c r="E240" s="40"/>
      <c r="F240" s="40"/>
      <c r="G240" s="40"/>
      <c r="H240" s="40"/>
      <c r="I240" s="40"/>
      <c r="J240" s="40"/>
      <c r="K240" s="41"/>
    </row>
    <row r="241" spans="2:14" x14ac:dyDescent="0.2">
      <c r="B241" s="38"/>
      <c r="C241" s="40"/>
      <c r="D241" s="40"/>
      <c r="E241" s="40"/>
      <c r="F241" s="40"/>
      <c r="G241" s="40"/>
      <c r="H241" s="40"/>
      <c r="I241" s="40"/>
      <c r="J241" s="40"/>
      <c r="K241" s="41"/>
    </row>
    <row r="242" spans="2:14" ht="16" x14ac:dyDescent="0.2">
      <c r="B242" s="38"/>
      <c r="C242" s="45" t="s">
        <v>278</v>
      </c>
      <c r="D242" s="40"/>
      <c r="E242" s="40"/>
      <c r="F242" s="40"/>
      <c r="G242" s="40"/>
      <c r="H242" s="40"/>
      <c r="I242" s="40"/>
      <c r="J242" s="40"/>
      <c r="K242" s="41"/>
    </row>
    <row r="243" spans="2:14" ht="15" customHeight="1" x14ac:dyDescent="0.2">
      <c r="B243" s="38"/>
      <c r="C243" s="40" t="s">
        <v>447</v>
      </c>
      <c r="D243" s="40"/>
      <c r="E243" s="40"/>
      <c r="F243" s="40"/>
      <c r="G243" s="40"/>
      <c r="H243" s="40"/>
      <c r="I243" s="40"/>
      <c r="J243" s="254">
        <f>'Baseline Health'!G77</f>
        <v>0</v>
      </c>
      <c r="K243" s="41"/>
    </row>
    <row r="244" spans="2:14" x14ac:dyDescent="0.2">
      <c r="B244" s="38"/>
      <c r="C244" s="40" t="s">
        <v>358</v>
      </c>
      <c r="D244" s="40"/>
      <c r="E244" s="40"/>
      <c r="F244" s="40"/>
      <c r="G244" s="40"/>
      <c r="H244" s="40"/>
      <c r="I244" s="40"/>
      <c r="J244" s="264"/>
      <c r="K244" s="41"/>
    </row>
    <row r="245" spans="2:14" x14ac:dyDescent="0.2">
      <c r="B245" s="38"/>
      <c r="C245" s="40" t="s">
        <v>360</v>
      </c>
      <c r="D245" s="291"/>
      <c r="E245" s="291"/>
      <c r="F245" s="291"/>
      <c r="G245" s="291"/>
      <c r="H245" s="291"/>
      <c r="I245" s="291"/>
      <c r="J245" s="264"/>
      <c r="K245" s="41"/>
    </row>
    <row r="246" spans="2:14" x14ac:dyDescent="0.2">
      <c r="B246" s="38"/>
      <c r="C246" s="40" t="s">
        <v>260</v>
      </c>
      <c r="D246" s="40"/>
      <c r="E246" s="40"/>
      <c r="F246" s="40"/>
      <c r="G246" s="40"/>
      <c r="H246" s="40"/>
      <c r="I246" s="40"/>
      <c r="J246" s="245" t="str">
        <f>IF(OR(J243=0,J243="Not Calculated")=TRUE,"Not Calculated",IF(J243-J244=0,4,(IF(((J243+J245)/(J243-J244))&lt;=1,0,IF(((J243+J245)/(J243-J244))&lt;=1.05,1,IF(((J243+J245)/(J243-J244))&lt;=1.5,2,IF(((J243+J245)/(J243-J244))&lt;=2,3,4)))))))</f>
        <v>Not Calculated</v>
      </c>
      <c r="K246" s="41"/>
    </row>
    <row r="247" spans="2:14" ht="9.75" customHeight="1" x14ac:dyDescent="0.2">
      <c r="B247" s="38"/>
      <c r="C247" s="279" t="str">
        <f>"0:"</f>
        <v>0:</v>
      </c>
      <c r="D247" s="278" t="s">
        <v>918</v>
      </c>
      <c r="E247" s="40"/>
      <c r="F247" s="40"/>
      <c r="G247" s="40"/>
      <c r="H247" s="40"/>
      <c r="I247" s="40"/>
      <c r="J247" s="40"/>
      <c r="K247" s="41"/>
    </row>
    <row r="248" spans="2:14" ht="9.75" customHeight="1" x14ac:dyDescent="0.2">
      <c r="B248" s="38"/>
      <c r="C248" s="280" t="str">
        <f>"1:"</f>
        <v>1:</v>
      </c>
      <c r="D248" s="278" t="s">
        <v>923</v>
      </c>
      <c r="E248" s="40"/>
      <c r="F248" s="40"/>
      <c r="G248" s="40"/>
      <c r="H248" s="40"/>
      <c r="I248" s="40"/>
      <c r="J248" s="40"/>
      <c r="K248" s="41"/>
    </row>
    <row r="249" spans="2:14" ht="9.75" customHeight="1" x14ac:dyDescent="0.2">
      <c r="B249" s="38"/>
      <c r="C249" s="280" t="str">
        <f>"2:"</f>
        <v>2:</v>
      </c>
      <c r="D249" s="278" t="s">
        <v>924</v>
      </c>
      <c r="E249" s="40"/>
      <c r="F249" s="40"/>
      <c r="G249" s="40"/>
      <c r="H249" s="40"/>
      <c r="I249" s="40"/>
      <c r="J249" s="40"/>
      <c r="K249" s="41"/>
    </row>
    <row r="250" spans="2:14" ht="9.75" customHeight="1" x14ac:dyDescent="0.2">
      <c r="B250" s="38"/>
      <c r="C250" s="280" t="str">
        <f>"3:"</f>
        <v>3:</v>
      </c>
      <c r="D250" s="278" t="s">
        <v>925</v>
      </c>
      <c r="E250" s="40"/>
      <c r="F250" s="40"/>
      <c r="G250" s="40"/>
      <c r="H250" s="40"/>
      <c r="I250" s="40"/>
      <c r="J250" s="40"/>
      <c r="K250" s="41"/>
    </row>
    <row r="251" spans="2:14" ht="9.75" customHeight="1" x14ac:dyDescent="0.2">
      <c r="B251" s="38"/>
      <c r="C251" s="280" t="str">
        <f>"4:"</f>
        <v>4:</v>
      </c>
      <c r="D251" s="278" t="s">
        <v>926</v>
      </c>
      <c r="E251" s="40"/>
      <c r="F251" s="40"/>
      <c r="G251" s="40"/>
      <c r="H251" s="40"/>
      <c r="I251" s="40"/>
      <c r="J251" s="40"/>
      <c r="K251" s="41"/>
      <c r="N251" s="12" t="s">
        <v>661</v>
      </c>
    </row>
    <row r="252" spans="2:14" x14ac:dyDescent="0.2">
      <c r="B252" s="38"/>
      <c r="C252" s="174" t="s">
        <v>662</v>
      </c>
      <c r="D252" s="40"/>
      <c r="E252" s="40"/>
      <c r="F252" s="40"/>
      <c r="G252" s="40"/>
      <c r="H252" s="40"/>
      <c r="I252" s="40"/>
      <c r="J252" s="265" t="s">
        <v>661</v>
      </c>
      <c r="K252" s="41"/>
      <c r="N252" s="12" t="s">
        <v>894</v>
      </c>
    </row>
    <row r="253" spans="2:14" x14ac:dyDescent="0.2">
      <c r="B253" s="38"/>
      <c r="C253" s="174" t="s">
        <v>660</v>
      </c>
      <c r="D253" s="40"/>
      <c r="E253" s="40"/>
      <c r="F253" s="40"/>
      <c r="G253" s="40"/>
      <c r="H253" s="40"/>
      <c r="I253" s="40"/>
      <c r="J253" s="246" t="str">
        <f>IF(J252=N251,"N/A",IF(J252=N252,0,IF(J252=N253,1,IF(J252=N254,2,IF(J252=N255,3,IF(J252=N256,4,"N/A"))))))</f>
        <v>N/A</v>
      </c>
      <c r="K253" s="41"/>
      <c r="N253" s="12" t="s">
        <v>899</v>
      </c>
    </row>
    <row r="254" spans="2:14" x14ac:dyDescent="0.2">
      <c r="B254" s="38"/>
      <c r="C254" s="40" t="s">
        <v>257</v>
      </c>
      <c r="D254" s="40"/>
      <c r="E254" s="40"/>
      <c r="F254" s="40"/>
      <c r="G254" s="40"/>
      <c r="H254" s="40"/>
      <c r="I254" s="40"/>
      <c r="J254" s="266"/>
      <c r="K254" s="41"/>
      <c r="N254" s="12" t="s">
        <v>900</v>
      </c>
    </row>
    <row r="255" spans="2:14" x14ac:dyDescent="0.2">
      <c r="B255" s="38"/>
      <c r="C255" s="40" t="s">
        <v>261</v>
      </c>
      <c r="D255" s="40"/>
      <c r="E255" s="40"/>
      <c r="F255" s="40"/>
      <c r="G255" s="40"/>
      <c r="H255" s="40"/>
      <c r="I255" s="40"/>
      <c r="J255" s="245" t="str">
        <f>IF(J254=$B$973,$A$973,IF(J254=$B$974,$A$974,IF(J254=$B$975,$A$975,IF(J254=$B$976,$A$976,IF(J254=$B$977,$A$977,"Not Calculated")))))</f>
        <v>Not Calculated</v>
      </c>
      <c r="K255" s="41"/>
      <c r="N255" s="12" t="s">
        <v>901</v>
      </c>
    </row>
    <row r="256" spans="2:14" x14ac:dyDescent="0.2">
      <c r="B256" s="38"/>
      <c r="C256" s="40" t="s">
        <v>893</v>
      </c>
      <c r="D256" s="40"/>
      <c r="E256" s="40"/>
      <c r="F256" s="40"/>
      <c r="G256" s="40"/>
      <c r="H256" s="40"/>
      <c r="I256" s="40"/>
      <c r="J256" s="40"/>
      <c r="K256" s="41"/>
      <c r="N256" s="12" t="s">
        <v>902</v>
      </c>
    </row>
    <row r="257" spans="2:11" x14ac:dyDescent="0.2">
      <c r="B257" s="38"/>
      <c r="C257" s="399"/>
      <c r="D257" s="400"/>
      <c r="E257" s="400"/>
      <c r="F257" s="400"/>
      <c r="G257" s="400"/>
      <c r="H257" s="400"/>
      <c r="I257" s="400"/>
      <c r="J257" s="401"/>
      <c r="K257" s="41"/>
    </row>
    <row r="258" spans="2:11" x14ac:dyDescent="0.2">
      <c r="B258" s="38"/>
      <c r="C258" s="40"/>
      <c r="D258" s="40"/>
      <c r="E258" s="40"/>
      <c r="F258" s="40"/>
      <c r="G258" s="40"/>
      <c r="H258" s="40"/>
      <c r="I258" s="40"/>
      <c r="J258" s="40"/>
      <c r="K258" s="41"/>
    </row>
    <row r="259" spans="2:11" x14ac:dyDescent="0.2">
      <c r="B259" s="38"/>
      <c r="C259" s="179" t="s">
        <v>279</v>
      </c>
      <c r="D259" s="40"/>
      <c r="E259" s="40"/>
      <c r="F259" s="40"/>
      <c r="G259" s="40"/>
      <c r="H259" s="40"/>
      <c r="I259" s="40"/>
      <c r="J259" s="245" t="str">
        <f>IF(J253="N/A",IF(OR(J246="Not Calculated",J255="Not Calculated")=TRUE,"Not Calculated",AVERAGE(J246,J255)),AVERAGE(J253,J255))</f>
        <v>Not Calculated</v>
      </c>
      <c r="K259" s="41"/>
    </row>
    <row r="260" spans="2:11" x14ac:dyDescent="0.2">
      <c r="B260" s="38"/>
      <c r="C260" s="40"/>
      <c r="D260" s="40"/>
      <c r="E260" s="40"/>
      <c r="F260" s="40"/>
      <c r="G260" s="40"/>
      <c r="H260" s="40"/>
      <c r="I260" s="40"/>
      <c r="J260" s="40"/>
      <c r="K260" s="41"/>
    </row>
    <row r="261" spans="2:11" ht="18" x14ac:dyDescent="0.2">
      <c r="B261" s="38"/>
      <c r="C261" s="180" t="s">
        <v>272</v>
      </c>
      <c r="D261" s="40"/>
      <c r="E261" s="40"/>
      <c r="F261" s="40"/>
      <c r="G261" s="40"/>
      <c r="H261" s="40"/>
      <c r="I261" s="40"/>
      <c r="J261" s="244" t="str">
        <f>IF(OR(J157="Not Calculated",J178="Not Calculated",J198="Not Calculated",J218="Not Calculated",J239="Not Calculated",J259="Not Calculated",)=TRUE,"Not Calculated",AVERAGE(J157,J178,J198,J218,J239,J259))</f>
        <v>Not Calculated</v>
      </c>
      <c r="K261" s="41"/>
    </row>
    <row r="262" spans="2:11" ht="16" thickBot="1" x14ac:dyDescent="0.25">
      <c r="B262" s="46"/>
      <c r="C262" s="47"/>
      <c r="D262" s="47"/>
      <c r="E262" s="47"/>
      <c r="F262" s="47"/>
      <c r="G262" s="47"/>
      <c r="H262" s="47"/>
      <c r="I262" s="47"/>
      <c r="J262" s="47"/>
      <c r="K262" s="49"/>
    </row>
    <row r="263" spans="2:11" ht="16" thickBot="1" x14ac:dyDescent="0.25"/>
    <row r="264" spans="2:11" x14ac:dyDescent="0.2">
      <c r="B264" s="33"/>
      <c r="C264" s="34"/>
      <c r="D264" s="34"/>
      <c r="E264" s="34"/>
      <c r="F264" s="34"/>
      <c r="G264" s="34"/>
      <c r="H264" s="34"/>
      <c r="I264" s="34"/>
      <c r="J264" s="34"/>
      <c r="K264" s="37"/>
    </row>
    <row r="265" spans="2:11" ht="21" x14ac:dyDescent="0.25">
      <c r="B265" s="38"/>
      <c r="C265" s="40"/>
      <c r="D265" s="40"/>
      <c r="E265" s="40"/>
      <c r="F265" s="40"/>
      <c r="G265" s="172" t="s">
        <v>864</v>
      </c>
      <c r="H265" s="40"/>
      <c r="I265" s="40"/>
      <c r="J265" s="40"/>
      <c r="K265" s="41"/>
    </row>
    <row r="266" spans="2:11" ht="15" customHeight="1" x14ac:dyDescent="0.2">
      <c r="B266" s="38"/>
      <c r="C266" s="40"/>
      <c r="D266" s="40"/>
      <c r="E266" s="40"/>
      <c r="F266" s="40"/>
      <c r="G266" s="40"/>
      <c r="H266" s="40"/>
      <c r="I266" s="40"/>
      <c r="J266" s="40"/>
      <c r="K266" s="41"/>
    </row>
    <row r="267" spans="2:11" ht="16" x14ac:dyDescent="0.2">
      <c r="B267" s="38"/>
      <c r="C267" s="45" t="s">
        <v>80</v>
      </c>
      <c r="D267" s="40"/>
      <c r="E267" s="40"/>
      <c r="F267" s="40"/>
      <c r="G267" s="40"/>
      <c r="H267" s="40"/>
      <c r="I267" s="40"/>
      <c r="J267" s="40"/>
      <c r="K267" s="41"/>
    </row>
    <row r="268" spans="2:11" x14ac:dyDescent="0.2">
      <c r="B268" s="38"/>
      <c r="C268" s="40" t="s">
        <v>283</v>
      </c>
      <c r="D268" s="40"/>
      <c r="E268" s="40"/>
      <c r="F268" s="40"/>
      <c r="G268" s="40"/>
      <c r="H268" s="40"/>
      <c r="I268" s="40"/>
      <c r="J268" s="250">
        <f>'Baseline Health'!G88</f>
        <v>0</v>
      </c>
      <c r="K268" s="41"/>
    </row>
    <row r="269" spans="2:11" x14ac:dyDescent="0.2">
      <c r="B269" s="38"/>
      <c r="C269" s="40" t="s">
        <v>284</v>
      </c>
      <c r="D269" s="40"/>
      <c r="E269" s="40"/>
      <c r="F269" s="40"/>
      <c r="G269" s="40"/>
      <c r="H269" s="40"/>
      <c r="I269" s="40"/>
      <c r="J269" s="264"/>
      <c r="K269" s="41"/>
    </row>
    <row r="270" spans="2:11" x14ac:dyDescent="0.2">
      <c r="B270" s="38"/>
      <c r="C270" s="40" t="s">
        <v>285</v>
      </c>
      <c r="D270" s="40"/>
      <c r="E270" s="40"/>
      <c r="F270" s="40"/>
      <c r="G270" s="40"/>
      <c r="H270" s="40"/>
      <c r="I270" s="40"/>
      <c r="J270" s="259">
        <f>'Baseline Health'!G93</f>
        <v>0</v>
      </c>
      <c r="K270" s="41"/>
    </row>
    <row r="271" spans="2:11" x14ac:dyDescent="0.2">
      <c r="B271" s="38"/>
      <c r="C271" s="40" t="s">
        <v>286</v>
      </c>
      <c r="D271" s="40"/>
      <c r="E271" s="40"/>
      <c r="F271" s="40"/>
      <c r="G271" s="40"/>
      <c r="H271" s="40"/>
      <c r="I271" s="40"/>
      <c r="J271" s="250">
        <f>J184</f>
        <v>0</v>
      </c>
      <c r="K271" s="41"/>
    </row>
    <row r="272" spans="2:11" x14ac:dyDescent="0.2">
      <c r="B272" s="38"/>
      <c r="C272" s="40"/>
      <c r="D272" s="40" t="s">
        <v>432</v>
      </c>
      <c r="E272" s="40"/>
      <c r="F272" s="40"/>
      <c r="G272" s="40"/>
      <c r="H272" s="40"/>
      <c r="I272" s="40"/>
      <c r="J272" s="40"/>
      <c r="K272" s="41"/>
    </row>
    <row r="273" spans="2:14" x14ac:dyDescent="0.2">
      <c r="B273" s="38"/>
      <c r="C273" s="40" t="s">
        <v>292</v>
      </c>
      <c r="D273" s="40"/>
      <c r="E273" s="40"/>
      <c r="F273" s="40"/>
      <c r="G273" s="40"/>
      <c r="H273" s="40"/>
      <c r="I273" s="40"/>
      <c r="J273" s="258" t="str">
        <f>'Baseline Health'!G97</f>
        <v>N/A</v>
      </c>
      <c r="K273" s="41"/>
    </row>
    <row r="274" spans="2:14" x14ac:dyDescent="0.2">
      <c r="B274" s="38"/>
      <c r="C274" s="40" t="s">
        <v>293</v>
      </c>
      <c r="D274" s="40"/>
      <c r="E274" s="40"/>
      <c r="F274" s="40"/>
      <c r="G274" s="40"/>
      <c r="H274" s="40"/>
      <c r="I274" s="40"/>
      <c r="J274" s="258" t="str">
        <f>IF(J273="N/A","N/A",IF(J268-J269=0,"No Nurses",((J270+J271)/(J268-J269))))</f>
        <v>N/A</v>
      </c>
      <c r="K274" s="41"/>
    </row>
    <row r="275" spans="2:14" x14ac:dyDescent="0.2">
      <c r="B275" s="38"/>
      <c r="C275" s="40" t="s">
        <v>260</v>
      </c>
      <c r="D275" s="40"/>
      <c r="E275" s="40"/>
      <c r="F275" s="40"/>
      <c r="G275" s="40"/>
      <c r="H275" s="40"/>
      <c r="I275" s="40"/>
      <c r="J275" s="245">
        <f>IF(J273=0,"Not Calculated",IF(J274="N/A",0,IF(J274="No Nurses",4,IF((J274/J273)&lt;=1,0,IF((J274/J273)&lt;=1.1,1,IF((J274/J273)&lt;=1=1.25,2,IF((J274/J273)&lt;=1.5,3,4)))))))</f>
        <v>0</v>
      </c>
      <c r="K275" s="41"/>
    </row>
    <row r="276" spans="2:14" ht="9.75" customHeight="1" x14ac:dyDescent="0.2">
      <c r="B276" s="38"/>
      <c r="C276" s="279" t="str">
        <f>"0:"</f>
        <v>0:</v>
      </c>
      <c r="D276" s="278" t="s">
        <v>927</v>
      </c>
      <c r="E276" s="40"/>
      <c r="F276" s="40"/>
      <c r="G276" s="40"/>
      <c r="H276" s="40"/>
      <c r="I276" s="40"/>
      <c r="J276" s="258"/>
      <c r="K276" s="41"/>
    </row>
    <row r="277" spans="2:14" ht="9.75" customHeight="1" x14ac:dyDescent="0.2">
      <c r="B277" s="38"/>
      <c r="C277" s="280" t="str">
        <f>"1:"</f>
        <v>1:</v>
      </c>
      <c r="D277" s="278" t="s">
        <v>928</v>
      </c>
      <c r="E277" s="40"/>
      <c r="F277" s="40"/>
      <c r="G277" s="40"/>
      <c r="H277" s="40"/>
      <c r="I277" s="40"/>
      <c r="J277" s="258"/>
      <c r="K277" s="41"/>
    </row>
    <row r="278" spans="2:14" ht="9.75" customHeight="1" x14ac:dyDescent="0.2">
      <c r="B278" s="38"/>
      <c r="C278" s="280" t="str">
        <f>"2:"</f>
        <v>2:</v>
      </c>
      <c r="D278" s="278" t="s">
        <v>929</v>
      </c>
      <c r="E278" s="40"/>
      <c r="F278" s="40"/>
      <c r="G278" s="40"/>
      <c r="H278" s="40"/>
      <c r="I278" s="40"/>
      <c r="J278" s="258"/>
      <c r="K278" s="41"/>
    </row>
    <row r="279" spans="2:14" ht="9.75" customHeight="1" x14ac:dyDescent="0.2">
      <c r="B279" s="38"/>
      <c r="C279" s="280" t="str">
        <f>"3:"</f>
        <v>3:</v>
      </c>
      <c r="D279" s="278" t="s">
        <v>930</v>
      </c>
      <c r="E279" s="40"/>
      <c r="F279" s="40"/>
      <c r="G279" s="40"/>
      <c r="H279" s="40"/>
      <c r="I279" s="40"/>
      <c r="J279" s="258"/>
      <c r="K279" s="41"/>
    </row>
    <row r="280" spans="2:14" ht="9.75" customHeight="1" x14ac:dyDescent="0.2">
      <c r="B280" s="38"/>
      <c r="C280" s="280" t="str">
        <f>"4:"</f>
        <v>4:</v>
      </c>
      <c r="D280" s="278" t="s">
        <v>931</v>
      </c>
      <c r="E280" s="40"/>
      <c r="F280" s="40"/>
      <c r="G280" s="40"/>
      <c r="H280" s="40"/>
      <c r="I280" s="40"/>
      <c r="J280" s="40"/>
      <c r="K280" s="41"/>
      <c r="N280" s="12" t="s">
        <v>661</v>
      </c>
    </row>
    <row r="281" spans="2:14" x14ac:dyDescent="0.2">
      <c r="B281" s="38"/>
      <c r="C281" s="174" t="s">
        <v>662</v>
      </c>
      <c r="D281" s="40"/>
      <c r="E281" s="40"/>
      <c r="F281" s="40"/>
      <c r="G281" s="40"/>
      <c r="H281" s="40"/>
      <c r="I281" s="40"/>
      <c r="J281" s="265" t="s">
        <v>661</v>
      </c>
      <c r="K281" s="41"/>
      <c r="N281" s="12" t="s">
        <v>903</v>
      </c>
    </row>
    <row r="282" spans="2:14" x14ac:dyDescent="0.2">
      <c r="B282" s="38"/>
      <c r="C282" s="174" t="s">
        <v>660</v>
      </c>
      <c r="D282" s="40"/>
      <c r="E282" s="40"/>
      <c r="F282" s="40"/>
      <c r="G282" s="40"/>
      <c r="H282" s="40"/>
      <c r="I282" s="40"/>
      <c r="J282" s="246" t="str">
        <f>IF(J281=N280,"N/A",IF(J281=N281,0,IF(J281=N282,1,IF(J281=N283,2,IF(J281=N284,3,IF(J281=N285,4,"N/A"))))))</f>
        <v>N/A</v>
      </c>
      <c r="K282" s="41"/>
      <c r="N282" s="12" t="s">
        <v>904</v>
      </c>
    </row>
    <row r="283" spans="2:14" x14ac:dyDescent="0.2">
      <c r="B283" s="38"/>
      <c r="C283" s="40" t="s">
        <v>257</v>
      </c>
      <c r="D283" s="40"/>
      <c r="E283" s="40"/>
      <c r="F283" s="40"/>
      <c r="G283" s="40"/>
      <c r="H283" s="40"/>
      <c r="I283" s="40"/>
      <c r="J283" s="266"/>
      <c r="K283" s="41"/>
      <c r="N283" s="12" t="s">
        <v>905</v>
      </c>
    </row>
    <row r="284" spans="2:14" x14ac:dyDescent="0.2">
      <c r="B284" s="38"/>
      <c r="C284" s="40" t="s">
        <v>261</v>
      </c>
      <c r="D284" s="40"/>
      <c r="E284" s="40"/>
      <c r="F284" s="40"/>
      <c r="G284" s="40"/>
      <c r="H284" s="40"/>
      <c r="I284" s="40"/>
      <c r="J284" s="248" t="str">
        <f>IF(J283=$B$973,$A$973,IF(J283=$B$974,$A$974,IF(J283=$B$975,$A$975,IF(J283=$B$976,$A$976,IF(J283=$B$977,$A$977,"Not Calculated")))))</f>
        <v>Not Calculated</v>
      </c>
      <c r="K284" s="41"/>
      <c r="N284" s="12" t="s">
        <v>906</v>
      </c>
    </row>
    <row r="285" spans="2:14" x14ac:dyDescent="0.2">
      <c r="B285" s="38"/>
      <c r="C285" s="40" t="s">
        <v>893</v>
      </c>
      <c r="D285" s="40"/>
      <c r="E285" s="40"/>
      <c r="F285" s="40"/>
      <c r="G285" s="40"/>
      <c r="H285" s="40"/>
      <c r="I285" s="40"/>
      <c r="J285" s="40"/>
      <c r="K285" s="41"/>
      <c r="N285" s="12" t="s">
        <v>907</v>
      </c>
    </row>
    <row r="286" spans="2:14" x14ac:dyDescent="0.2">
      <c r="B286" s="38"/>
      <c r="C286" s="399"/>
      <c r="D286" s="400"/>
      <c r="E286" s="400"/>
      <c r="F286" s="400"/>
      <c r="G286" s="400"/>
      <c r="H286" s="400"/>
      <c r="I286" s="400"/>
      <c r="J286" s="401"/>
      <c r="K286" s="41"/>
    </row>
    <row r="287" spans="2:14" x14ac:dyDescent="0.2">
      <c r="B287" s="38"/>
      <c r="C287" s="40"/>
      <c r="D287" s="40"/>
      <c r="E287" s="40"/>
      <c r="F287" s="40"/>
      <c r="G287" s="40"/>
      <c r="H287" s="40"/>
      <c r="I287" s="40"/>
      <c r="J287" s="40"/>
      <c r="K287" s="41"/>
    </row>
    <row r="288" spans="2:14" x14ac:dyDescent="0.2">
      <c r="B288" s="38"/>
      <c r="C288" s="179" t="s">
        <v>295</v>
      </c>
      <c r="D288" s="40"/>
      <c r="E288" s="40"/>
      <c r="F288" s="40"/>
      <c r="G288" s="40"/>
      <c r="H288" s="40"/>
      <c r="I288" s="40"/>
      <c r="J288" s="245" t="str">
        <f>IF(J282="N/A",IF(OR(J275="Not Calculated",J284="Not Calculated")=TRUE,"Not Calculated",AVERAGE(J275,J284)),AVERAGE(J282,J284))</f>
        <v>Not Calculated</v>
      </c>
      <c r="K288" s="41"/>
    </row>
    <row r="289" spans="2:11" x14ac:dyDescent="0.2">
      <c r="B289" s="38"/>
      <c r="C289" s="40"/>
      <c r="D289" s="40"/>
      <c r="E289" s="40"/>
      <c r="F289" s="40"/>
      <c r="G289" s="40"/>
      <c r="H289" s="40"/>
      <c r="I289" s="40"/>
      <c r="J289" s="245"/>
      <c r="K289" s="41"/>
    </row>
    <row r="290" spans="2:11" x14ac:dyDescent="0.2">
      <c r="B290" s="38"/>
      <c r="C290" s="40"/>
      <c r="D290" s="40"/>
      <c r="E290" s="40"/>
      <c r="F290" s="40"/>
      <c r="G290" s="40"/>
      <c r="H290" s="40"/>
      <c r="I290" s="40"/>
      <c r="J290" s="40"/>
      <c r="K290" s="41"/>
    </row>
    <row r="291" spans="2:11" ht="16" x14ac:dyDescent="0.2">
      <c r="B291" s="38"/>
      <c r="C291" s="45" t="s">
        <v>856</v>
      </c>
      <c r="D291" s="40"/>
      <c r="E291" s="40"/>
      <c r="F291" s="40"/>
      <c r="G291" s="40"/>
      <c r="H291" s="40"/>
      <c r="I291" s="40"/>
      <c r="J291" s="40"/>
      <c r="K291" s="41"/>
    </row>
    <row r="292" spans="2:11" ht="15" customHeight="1" x14ac:dyDescent="0.2">
      <c r="B292" s="38"/>
      <c r="C292" s="380" t="s">
        <v>855</v>
      </c>
      <c r="D292" s="380"/>
      <c r="E292" s="380"/>
      <c r="F292" s="380"/>
      <c r="G292" s="380"/>
      <c r="H292" s="380"/>
      <c r="I292" s="380"/>
      <c r="J292" s="40"/>
      <c r="K292" s="41"/>
    </row>
    <row r="293" spans="2:11" x14ac:dyDescent="0.2">
      <c r="B293" s="38"/>
      <c r="C293" s="380"/>
      <c r="D293" s="380"/>
      <c r="E293" s="380"/>
      <c r="F293" s="380"/>
      <c r="G293" s="380"/>
      <c r="H293" s="380"/>
      <c r="I293" s="380"/>
      <c r="J293" s="264"/>
      <c r="K293" s="41"/>
    </row>
    <row r="294" spans="2:11" x14ac:dyDescent="0.2">
      <c r="B294" s="38"/>
      <c r="C294" s="40" t="s">
        <v>853</v>
      </c>
      <c r="D294" s="291"/>
      <c r="E294" s="291"/>
      <c r="F294" s="291"/>
      <c r="G294" s="291"/>
      <c r="H294" s="291"/>
      <c r="I294" s="291"/>
      <c r="J294" s="255">
        <f>'Baseline Health'!$G$102</f>
        <v>0</v>
      </c>
      <c r="K294" s="41"/>
    </row>
    <row r="295" spans="2:11" x14ac:dyDescent="0.2">
      <c r="B295" s="38"/>
      <c r="C295" s="40" t="s">
        <v>842</v>
      </c>
      <c r="D295" s="40"/>
      <c r="E295" s="40"/>
      <c r="F295" s="40"/>
      <c r="G295" s="40"/>
      <c r="H295" s="40"/>
      <c r="I295" s="40"/>
      <c r="J295" s="244" t="str">
        <f>IF('Baseline Health'!$G$102=0,"Not Calculated",100*J293/'Baseline Health'!$G$102)</f>
        <v>Not Calculated</v>
      </c>
      <c r="K295" s="41"/>
    </row>
    <row r="296" spans="2:11" x14ac:dyDescent="0.2">
      <c r="B296" s="38"/>
      <c r="C296" s="40" t="s">
        <v>260</v>
      </c>
      <c r="D296" s="40"/>
      <c r="E296" s="40"/>
      <c r="F296" s="40"/>
      <c r="G296" s="40"/>
      <c r="H296" s="40"/>
      <c r="I296" s="40"/>
      <c r="J296" s="245">
        <f>IF(J295&lt;=0,0,IF(J295&lt;=1,1,IF(J295&lt;=5,2,IF(J295&lt;=10,3,4))))</f>
        <v>4</v>
      </c>
      <c r="K296" s="41"/>
    </row>
    <row r="297" spans="2:11" ht="9.75" customHeight="1" x14ac:dyDescent="0.2">
      <c r="B297" s="38"/>
      <c r="C297" s="279" t="str">
        <f>"0:"</f>
        <v>0:</v>
      </c>
      <c r="D297" s="278" t="s">
        <v>932</v>
      </c>
      <c r="E297" s="40"/>
      <c r="F297" s="40"/>
      <c r="G297" s="40"/>
      <c r="H297" s="40"/>
      <c r="I297" s="40"/>
      <c r="J297" s="244"/>
      <c r="K297" s="41"/>
    </row>
    <row r="298" spans="2:11" ht="9.75" customHeight="1" x14ac:dyDescent="0.2">
      <c r="B298" s="38"/>
      <c r="C298" s="280" t="str">
        <f>"1:"</f>
        <v>1:</v>
      </c>
      <c r="D298" s="278" t="s">
        <v>934</v>
      </c>
      <c r="E298" s="40"/>
      <c r="F298" s="40"/>
      <c r="G298" s="40"/>
      <c r="H298" s="40"/>
      <c r="I298" s="40"/>
      <c r="J298" s="244"/>
      <c r="K298" s="41"/>
    </row>
    <row r="299" spans="2:11" ht="9.75" customHeight="1" x14ac:dyDescent="0.2">
      <c r="B299" s="38"/>
      <c r="C299" s="280" t="str">
        <f>"2:"</f>
        <v>2:</v>
      </c>
      <c r="D299" s="278" t="s">
        <v>933</v>
      </c>
      <c r="E299" s="40"/>
      <c r="F299" s="40"/>
      <c r="G299" s="40"/>
      <c r="H299" s="40"/>
      <c r="I299" s="40"/>
      <c r="J299" s="244"/>
      <c r="K299" s="41"/>
    </row>
    <row r="300" spans="2:11" ht="9.75" customHeight="1" x14ac:dyDescent="0.2">
      <c r="B300" s="38"/>
      <c r="C300" s="280" t="str">
        <f>"3:"</f>
        <v>3:</v>
      </c>
      <c r="D300" s="278" t="s">
        <v>935</v>
      </c>
      <c r="E300" s="40"/>
      <c r="F300" s="40"/>
      <c r="G300" s="40"/>
      <c r="H300" s="40"/>
      <c r="I300" s="40"/>
      <c r="J300" s="244"/>
      <c r="K300" s="41"/>
    </row>
    <row r="301" spans="2:11" ht="9.75" customHeight="1" x14ac:dyDescent="0.2">
      <c r="B301" s="38"/>
      <c r="C301" s="280" t="str">
        <f>"4:"</f>
        <v>4:</v>
      </c>
      <c r="D301" s="278" t="s">
        <v>936</v>
      </c>
      <c r="E301" s="40"/>
      <c r="F301" s="40"/>
      <c r="G301" s="40"/>
      <c r="H301" s="40"/>
      <c r="I301" s="40"/>
      <c r="J301" s="40"/>
      <c r="K301" s="41"/>
    </row>
    <row r="302" spans="2:11" x14ac:dyDescent="0.2">
      <c r="B302" s="38"/>
      <c r="C302" s="40" t="s">
        <v>257</v>
      </c>
      <c r="D302" s="40"/>
      <c r="E302" s="40"/>
      <c r="F302" s="40"/>
      <c r="G302" s="40"/>
      <c r="H302" s="40"/>
      <c r="I302" s="40"/>
      <c r="J302" s="266"/>
      <c r="K302" s="41"/>
    </row>
    <row r="303" spans="2:11" x14ac:dyDescent="0.2">
      <c r="B303" s="38"/>
      <c r="C303" s="40" t="s">
        <v>261</v>
      </c>
      <c r="D303" s="40"/>
      <c r="E303" s="40"/>
      <c r="F303" s="40"/>
      <c r="G303" s="40"/>
      <c r="H303" s="40"/>
      <c r="I303" s="40"/>
      <c r="J303" s="245" t="str">
        <f>IF(J302=$B$980,$A$980,IF(J302=$B$981,$A$981,IF(J302=$B$982,$A$982,IF(J302=$B$983,$A$983,IF(J302=$B$984,$A$984,"Not Calculated")))))</f>
        <v>Not Calculated</v>
      </c>
      <c r="K303" s="41"/>
    </row>
    <row r="304" spans="2:11" x14ac:dyDescent="0.2">
      <c r="B304" s="38"/>
      <c r="C304" s="40" t="s">
        <v>893</v>
      </c>
      <c r="D304" s="40"/>
      <c r="E304" s="40"/>
      <c r="F304" s="40"/>
      <c r="G304" s="40"/>
      <c r="H304" s="40"/>
      <c r="I304" s="40"/>
      <c r="J304" s="40"/>
      <c r="K304" s="41"/>
    </row>
    <row r="305" spans="2:11" ht="15" customHeight="1" x14ac:dyDescent="0.2">
      <c r="B305" s="38"/>
      <c r="C305" s="399"/>
      <c r="D305" s="400"/>
      <c r="E305" s="400"/>
      <c r="F305" s="400"/>
      <c r="G305" s="400"/>
      <c r="H305" s="400"/>
      <c r="I305" s="400"/>
      <c r="J305" s="401"/>
      <c r="K305" s="41"/>
    </row>
    <row r="306" spans="2:11" x14ac:dyDescent="0.2">
      <c r="B306" s="38"/>
      <c r="C306" s="40"/>
      <c r="D306" s="40"/>
      <c r="E306" s="40"/>
      <c r="F306" s="40"/>
      <c r="G306" s="40"/>
      <c r="H306" s="40"/>
      <c r="I306" s="40"/>
      <c r="J306" s="40"/>
      <c r="K306" s="41"/>
    </row>
    <row r="307" spans="2:11" x14ac:dyDescent="0.2">
      <c r="B307" s="38"/>
      <c r="C307" s="179" t="s">
        <v>885</v>
      </c>
      <c r="D307" s="40"/>
      <c r="E307" s="40"/>
      <c r="F307" s="40"/>
      <c r="G307" s="40"/>
      <c r="H307" s="40"/>
      <c r="I307" s="40"/>
      <c r="J307" s="245" t="str">
        <f>IF(OR(J296="Not Calculated",J303="Not Calculated")=TRUE,"Not Calculated",AVERAGE(J296,J303))</f>
        <v>Not Calculated</v>
      </c>
      <c r="K307" s="41"/>
    </row>
    <row r="308" spans="2:11" x14ac:dyDescent="0.2">
      <c r="B308" s="38"/>
      <c r="C308" s="40"/>
      <c r="D308" s="40"/>
      <c r="E308" s="40"/>
      <c r="F308" s="40"/>
      <c r="G308" s="40"/>
      <c r="H308" s="40"/>
      <c r="I308" s="40"/>
      <c r="J308" s="40"/>
      <c r="K308" s="41"/>
    </row>
    <row r="309" spans="2:11" x14ac:dyDescent="0.2">
      <c r="B309" s="38"/>
      <c r="C309" s="40"/>
      <c r="D309" s="40"/>
      <c r="E309" s="40"/>
      <c r="F309" s="40"/>
      <c r="G309" s="40"/>
      <c r="H309" s="40"/>
      <c r="I309" s="40"/>
      <c r="J309" s="40"/>
      <c r="K309" s="41"/>
    </row>
    <row r="310" spans="2:11" ht="16" x14ac:dyDescent="0.2">
      <c r="B310" s="38"/>
      <c r="C310" s="45" t="s">
        <v>857</v>
      </c>
      <c r="D310" s="40"/>
      <c r="E310" s="40"/>
      <c r="F310" s="40"/>
      <c r="G310" s="40"/>
      <c r="H310" s="40"/>
      <c r="I310" s="40"/>
      <c r="J310" s="40"/>
      <c r="K310" s="41"/>
    </row>
    <row r="311" spans="2:11" x14ac:dyDescent="0.2">
      <c r="B311" s="38"/>
      <c r="C311" s="380" t="s">
        <v>843</v>
      </c>
      <c r="D311" s="380"/>
      <c r="E311" s="380"/>
      <c r="F311" s="380"/>
      <c r="G311" s="380"/>
      <c r="H311" s="380"/>
      <c r="I311" s="380"/>
      <c r="J311" s="40"/>
      <c r="K311" s="41"/>
    </row>
    <row r="312" spans="2:11" x14ac:dyDescent="0.2">
      <c r="B312" s="38"/>
      <c r="C312" s="380"/>
      <c r="D312" s="380"/>
      <c r="E312" s="380"/>
      <c r="F312" s="380"/>
      <c r="G312" s="380"/>
      <c r="H312" s="380"/>
      <c r="I312" s="380"/>
      <c r="J312" s="264"/>
      <c r="K312" s="41"/>
    </row>
    <row r="313" spans="2:11" x14ac:dyDescent="0.2">
      <c r="B313" s="38"/>
      <c r="C313" s="40" t="s">
        <v>853</v>
      </c>
      <c r="D313" s="291"/>
      <c r="E313" s="291"/>
      <c r="F313" s="291"/>
      <c r="G313" s="291"/>
      <c r="H313" s="291"/>
      <c r="I313" s="291"/>
      <c r="J313" s="255">
        <f>'Baseline Health'!$G$102</f>
        <v>0</v>
      </c>
      <c r="K313" s="41"/>
    </row>
    <row r="314" spans="2:11" x14ac:dyDescent="0.2">
      <c r="B314" s="38"/>
      <c r="C314" s="40" t="s">
        <v>842</v>
      </c>
      <c r="D314" s="40"/>
      <c r="E314" s="40"/>
      <c r="F314" s="40"/>
      <c r="G314" s="40"/>
      <c r="H314" s="40"/>
      <c r="I314" s="40"/>
      <c r="J314" s="244" t="str">
        <f>IF('Baseline Health'!$G$102=0,"Not Calculated",100*J312/'Baseline Health'!$G$102)</f>
        <v>Not Calculated</v>
      </c>
      <c r="K314" s="41"/>
    </row>
    <row r="315" spans="2:11" x14ac:dyDescent="0.2">
      <c r="B315" s="38"/>
      <c r="C315" s="40" t="s">
        <v>260</v>
      </c>
      <c r="D315" s="40"/>
      <c r="E315" s="40"/>
      <c r="F315" s="40"/>
      <c r="G315" s="40"/>
      <c r="H315" s="40"/>
      <c r="I315" s="40"/>
      <c r="J315" s="245">
        <f>IF(J314&lt;=0,0,IF(J314&lt;=1,1,IF(J314&lt;=5,2,IF(J314&lt;=10,3,4))))</f>
        <v>4</v>
      </c>
      <c r="K315" s="41"/>
    </row>
    <row r="316" spans="2:11" ht="9.75" customHeight="1" x14ac:dyDescent="0.2">
      <c r="B316" s="38"/>
      <c r="C316" s="279" t="str">
        <f>"0:"</f>
        <v>0:</v>
      </c>
      <c r="D316" s="278" t="s">
        <v>932</v>
      </c>
      <c r="E316" s="40"/>
      <c r="F316" s="40"/>
      <c r="G316" s="40"/>
      <c r="H316" s="40"/>
      <c r="I316" s="40"/>
      <c r="J316" s="244"/>
      <c r="K316" s="41"/>
    </row>
    <row r="317" spans="2:11" ht="9.75" customHeight="1" x14ac:dyDescent="0.2">
      <c r="B317" s="38"/>
      <c r="C317" s="280" t="str">
        <f>"1:"</f>
        <v>1:</v>
      </c>
      <c r="D317" s="278" t="s">
        <v>934</v>
      </c>
      <c r="E317" s="40"/>
      <c r="F317" s="40"/>
      <c r="G317" s="40"/>
      <c r="H317" s="40"/>
      <c r="I317" s="40"/>
      <c r="J317" s="244"/>
      <c r="K317" s="41"/>
    </row>
    <row r="318" spans="2:11" ht="9.75" customHeight="1" x14ac:dyDescent="0.2">
      <c r="B318" s="38"/>
      <c r="C318" s="280" t="str">
        <f>"2:"</f>
        <v>2:</v>
      </c>
      <c r="D318" s="278" t="s">
        <v>933</v>
      </c>
      <c r="E318" s="40"/>
      <c r="F318" s="40"/>
      <c r="G318" s="40"/>
      <c r="H318" s="40"/>
      <c r="I318" s="40"/>
      <c r="J318" s="244"/>
      <c r="K318" s="41"/>
    </row>
    <row r="319" spans="2:11" ht="9.75" customHeight="1" x14ac:dyDescent="0.2">
      <c r="B319" s="38"/>
      <c r="C319" s="280" t="str">
        <f>"3:"</f>
        <v>3:</v>
      </c>
      <c r="D319" s="278" t="s">
        <v>935</v>
      </c>
      <c r="E319" s="40"/>
      <c r="F319" s="40"/>
      <c r="G319" s="40"/>
      <c r="H319" s="40"/>
      <c r="I319" s="40"/>
      <c r="J319" s="244"/>
      <c r="K319" s="41"/>
    </row>
    <row r="320" spans="2:11" ht="9.75" customHeight="1" x14ac:dyDescent="0.2">
      <c r="B320" s="38"/>
      <c r="C320" s="280" t="str">
        <f>"4:"</f>
        <v>4:</v>
      </c>
      <c r="D320" s="278" t="s">
        <v>936</v>
      </c>
      <c r="E320" s="40"/>
      <c r="F320" s="40"/>
      <c r="G320" s="40"/>
      <c r="H320" s="40"/>
      <c r="I320" s="40"/>
      <c r="J320" s="40"/>
      <c r="K320" s="41"/>
    </row>
    <row r="321" spans="2:11" x14ac:dyDescent="0.2">
      <c r="B321" s="38"/>
      <c r="C321" s="40" t="s">
        <v>296</v>
      </c>
      <c r="D321" s="40"/>
      <c r="E321" s="40"/>
      <c r="F321" s="40"/>
      <c r="G321" s="40"/>
      <c r="H321" s="40"/>
      <c r="I321" s="40"/>
      <c r="J321" s="266"/>
      <c r="K321" s="41"/>
    </row>
    <row r="322" spans="2:11" x14ac:dyDescent="0.2">
      <c r="B322" s="38"/>
      <c r="C322" s="40" t="s">
        <v>261</v>
      </c>
      <c r="D322" s="40"/>
      <c r="E322" s="40"/>
      <c r="F322" s="40"/>
      <c r="G322" s="40"/>
      <c r="H322" s="40"/>
      <c r="I322" s="40"/>
      <c r="J322" s="245">
        <f>IF(J321&lt;=0,0,IF(J321&lt;=2,1,IF(J321&lt;=6,2,IF(J321&lt;=12,3,4))))</f>
        <v>0</v>
      </c>
      <c r="K322" s="41"/>
    </row>
    <row r="323" spans="2:11" x14ac:dyDescent="0.2">
      <c r="B323" s="38"/>
      <c r="C323" s="40" t="s">
        <v>893</v>
      </c>
      <c r="D323" s="40"/>
      <c r="E323" s="40"/>
      <c r="F323" s="40"/>
      <c r="G323" s="40"/>
      <c r="H323" s="40"/>
      <c r="I323" s="40"/>
      <c r="J323" s="40"/>
      <c r="K323" s="41"/>
    </row>
    <row r="324" spans="2:11" ht="15" customHeight="1" x14ac:dyDescent="0.2">
      <c r="B324" s="38"/>
      <c r="C324" s="399"/>
      <c r="D324" s="400"/>
      <c r="E324" s="400"/>
      <c r="F324" s="400"/>
      <c r="G324" s="400"/>
      <c r="H324" s="400"/>
      <c r="I324" s="400"/>
      <c r="J324" s="401"/>
      <c r="K324" s="41"/>
    </row>
    <row r="325" spans="2:11" x14ac:dyDescent="0.2">
      <c r="B325" s="38"/>
      <c r="C325" s="40"/>
      <c r="D325" s="40"/>
      <c r="E325" s="40"/>
      <c r="F325" s="40"/>
      <c r="G325" s="40"/>
      <c r="H325" s="40"/>
      <c r="I325" s="40"/>
      <c r="J325" s="40"/>
      <c r="K325" s="41"/>
    </row>
    <row r="326" spans="2:11" x14ac:dyDescent="0.2">
      <c r="B326" s="38"/>
      <c r="C326" s="179" t="s">
        <v>886</v>
      </c>
      <c r="D326" s="40"/>
      <c r="E326" s="40"/>
      <c r="F326" s="40"/>
      <c r="G326" s="40"/>
      <c r="H326" s="40"/>
      <c r="I326" s="40"/>
      <c r="J326" s="245">
        <f>IF(OR(J315="Not Calculated",J322="Not Calculated")=TRUE,"Not Calculated",AVERAGE(J315,J322))</f>
        <v>2</v>
      </c>
      <c r="K326" s="41"/>
    </row>
    <row r="327" spans="2:11" x14ac:dyDescent="0.2">
      <c r="B327" s="38"/>
      <c r="C327" s="40"/>
      <c r="D327" s="40"/>
      <c r="E327" s="40"/>
      <c r="F327" s="40"/>
      <c r="G327" s="40"/>
      <c r="H327" s="40"/>
      <c r="I327" s="40"/>
      <c r="J327" s="40"/>
      <c r="K327" s="41"/>
    </row>
    <row r="328" spans="2:11" x14ac:dyDescent="0.2">
      <c r="B328" s="38"/>
      <c r="C328" s="40"/>
      <c r="D328" s="40"/>
      <c r="E328" s="40"/>
      <c r="F328" s="40"/>
      <c r="G328" s="40"/>
      <c r="H328" s="40"/>
      <c r="I328" s="40"/>
      <c r="J328" s="40"/>
      <c r="K328" s="41"/>
    </row>
    <row r="329" spans="2:11" ht="16" x14ac:dyDescent="0.2">
      <c r="B329" s="38"/>
      <c r="C329" s="45" t="s">
        <v>858</v>
      </c>
      <c r="D329" s="40"/>
      <c r="E329" s="40"/>
      <c r="F329" s="40"/>
      <c r="G329" s="40"/>
      <c r="H329" s="40"/>
      <c r="I329" s="40"/>
      <c r="J329" s="40"/>
      <c r="K329" s="41"/>
    </row>
    <row r="330" spans="2:11" ht="15" customHeight="1" x14ac:dyDescent="0.2">
      <c r="B330" s="38"/>
      <c r="C330" s="380" t="s">
        <v>844</v>
      </c>
      <c r="D330" s="380"/>
      <c r="E330" s="380"/>
      <c r="F330" s="380"/>
      <c r="G330" s="380"/>
      <c r="H330" s="380"/>
      <c r="I330" s="380"/>
      <c r="J330" s="40"/>
      <c r="K330" s="41"/>
    </row>
    <row r="331" spans="2:11" x14ac:dyDescent="0.2">
      <c r="B331" s="38"/>
      <c r="C331" s="380"/>
      <c r="D331" s="380"/>
      <c r="E331" s="380"/>
      <c r="F331" s="380"/>
      <c r="G331" s="380"/>
      <c r="H331" s="380"/>
      <c r="I331" s="380"/>
      <c r="J331" s="264"/>
      <c r="K331" s="41"/>
    </row>
    <row r="332" spans="2:11" x14ac:dyDescent="0.2">
      <c r="B332" s="38"/>
      <c r="C332" s="40" t="s">
        <v>853</v>
      </c>
      <c r="D332" s="291"/>
      <c r="E332" s="291"/>
      <c r="F332" s="291"/>
      <c r="G332" s="291"/>
      <c r="H332" s="291"/>
      <c r="I332" s="291"/>
      <c r="J332" s="255">
        <f>'Baseline Health'!$G$102</f>
        <v>0</v>
      </c>
      <c r="K332" s="41"/>
    </row>
    <row r="333" spans="2:11" x14ac:dyDescent="0.2">
      <c r="B333" s="38"/>
      <c r="C333" s="40" t="s">
        <v>845</v>
      </c>
      <c r="D333" s="40"/>
      <c r="E333" s="40"/>
      <c r="F333" s="40"/>
      <c r="G333" s="40"/>
      <c r="H333" s="40"/>
      <c r="I333" s="40"/>
      <c r="J333" s="244" t="str">
        <f>IF('Baseline Health'!$G$102=0,"Not Calculated",100*J331/'Baseline Health'!$G$102)</f>
        <v>Not Calculated</v>
      </c>
      <c r="K333" s="41"/>
    </row>
    <row r="334" spans="2:11" x14ac:dyDescent="0.2">
      <c r="B334" s="38"/>
      <c r="C334" s="40" t="s">
        <v>260</v>
      </c>
      <c r="D334" s="40"/>
      <c r="E334" s="40"/>
      <c r="F334" s="40"/>
      <c r="G334" s="40"/>
      <c r="H334" s="40"/>
      <c r="I334" s="40"/>
      <c r="J334" s="245">
        <f>IF(J333&lt;=0,0,IF(J333&lt;=1,1,IF(J333&lt;=5,2,IF(J333&lt;=10,3,4))))</f>
        <v>4</v>
      </c>
      <c r="K334" s="41"/>
    </row>
    <row r="335" spans="2:11" ht="9.75" customHeight="1" x14ac:dyDescent="0.2">
      <c r="B335" s="38"/>
      <c r="C335" s="279" t="str">
        <f>"0:"</f>
        <v>0:</v>
      </c>
      <c r="D335" s="278" t="s">
        <v>932</v>
      </c>
      <c r="E335" s="40"/>
      <c r="F335" s="40"/>
      <c r="G335" s="40"/>
      <c r="H335" s="40"/>
      <c r="I335" s="40"/>
      <c r="J335" s="244"/>
      <c r="K335" s="41"/>
    </row>
    <row r="336" spans="2:11" ht="9.75" customHeight="1" x14ac:dyDescent="0.2">
      <c r="B336" s="38"/>
      <c r="C336" s="280" t="str">
        <f>"1:"</f>
        <v>1:</v>
      </c>
      <c r="D336" s="278" t="s">
        <v>934</v>
      </c>
      <c r="E336" s="40"/>
      <c r="F336" s="40"/>
      <c r="G336" s="40"/>
      <c r="H336" s="40"/>
      <c r="I336" s="40"/>
      <c r="J336" s="244"/>
      <c r="K336" s="41"/>
    </row>
    <row r="337" spans="2:11" ht="9.75" customHeight="1" x14ac:dyDescent="0.2">
      <c r="B337" s="38"/>
      <c r="C337" s="280" t="str">
        <f>"2:"</f>
        <v>2:</v>
      </c>
      <c r="D337" s="278" t="s">
        <v>933</v>
      </c>
      <c r="E337" s="40"/>
      <c r="F337" s="40"/>
      <c r="G337" s="40"/>
      <c r="H337" s="40"/>
      <c r="I337" s="40"/>
      <c r="J337" s="244"/>
      <c r="K337" s="41"/>
    </row>
    <row r="338" spans="2:11" ht="9.75" customHeight="1" x14ac:dyDescent="0.2">
      <c r="B338" s="38"/>
      <c r="C338" s="280" t="str">
        <f>"3:"</f>
        <v>3:</v>
      </c>
      <c r="D338" s="278" t="s">
        <v>935</v>
      </c>
      <c r="E338" s="40"/>
      <c r="F338" s="40"/>
      <c r="G338" s="40"/>
      <c r="H338" s="40"/>
      <c r="I338" s="40"/>
      <c r="J338" s="244"/>
      <c r="K338" s="41"/>
    </row>
    <row r="339" spans="2:11" ht="9.75" customHeight="1" x14ac:dyDescent="0.2">
      <c r="B339" s="38"/>
      <c r="C339" s="280" t="str">
        <f>"4:"</f>
        <v>4:</v>
      </c>
      <c r="D339" s="278" t="s">
        <v>936</v>
      </c>
      <c r="E339" s="40"/>
      <c r="F339" s="40"/>
      <c r="G339" s="40"/>
      <c r="H339" s="40"/>
      <c r="I339" s="40"/>
      <c r="J339" s="40"/>
      <c r="K339" s="41"/>
    </row>
    <row r="340" spans="2:11" x14ac:dyDescent="0.2">
      <c r="B340" s="38"/>
      <c r="C340" s="380" t="s">
        <v>84</v>
      </c>
      <c r="D340" s="380"/>
      <c r="E340" s="380"/>
      <c r="F340" s="380"/>
      <c r="G340" s="380"/>
      <c r="H340" s="380"/>
      <c r="I340" s="380"/>
      <c r="J340" s="245"/>
      <c r="K340" s="41"/>
    </row>
    <row r="341" spans="2:11" x14ac:dyDescent="0.2">
      <c r="B341" s="38"/>
      <c r="C341" s="380"/>
      <c r="D341" s="380"/>
      <c r="E341" s="380"/>
      <c r="F341" s="380"/>
      <c r="G341" s="380"/>
      <c r="H341" s="380"/>
      <c r="I341" s="380"/>
      <c r="J341" s="245">
        <f>'Baseline Health'!G108</f>
        <v>40</v>
      </c>
      <c r="K341" s="41"/>
    </row>
    <row r="342" spans="2:11" ht="15" customHeight="1" x14ac:dyDescent="0.2">
      <c r="B342" s="38"/>
      <c r="C342" s="40" t="s">
        <v>833</v>
      </c>
      <c r="D342" s="40"/>
      <c r="E342" s="40"/>
      <c r="F342" s="40"/>
      <c r="G342" s="40"/>
      <c r="H342" s="40"/>
      <c r="I342" s="40"/>
      <c r="J342" s="245">
        <f>IF(J341&gt;J321,0,J321-J341)</f>
        <v>0</v>
      </c>
      <c r="K342" s="41"/>
    </row>
    <row r="343" spans="2:11" x14ac:dyDescent="0.2">
      <c r="B343" s="38"/>
      <c r="C343" s="40"/>
      <c r="D343" s="380" t="s">
        <v>834</v>
      </c>
      <c r="E343" s="380"/>
      <c r="F343" s="380"/>
      <c r="G343" s="380"/>
      <c r="H343" s="380"/>
      <c r="I343" s="380"/>
      <c r="J343" s="40"/>
      <c r="K343" s="41"/>
    </row>
    <row r="344" spans="2:11" x14ac:dyDescent="0.2">
      <c r="B344" s="38"/>
      <c r="C344" s="40"/>
      <c r="D344" s="380"/>
      <c r="E344" s="380"/>
      <c r="F344" s="380"/>
      <c r="G344" s="380"/>
      <c r="H344" s="380"/>
      <c r="I344" s="380"/>
      <c r="J344" s="40"/>
      <c r="K344" s="41"/>
    </row>
    <row r="345" spans="2:11" x14ac:dyDescent="0.2">
      <c r="B345" s="38"/>
      <c r="C345" s="40" t="s">
        <v>261</v>
      </c>
      <c r="D345" s="40"/>
      <c r="E345" s="40"/>
      <c r="F345" s="40"/>
      <c r="G345" s="40"/>
      <c r="H345" s="40"/>
      <c r="I345" s="40"/>
      <c r="J345" s="245">
        <f>IF(J342&lt;=0,0,IF(J342&lt;=2,1,IF(J342&lt;=6,2,IF(J342&lt;=12,3,4))))</f>
        <v>0</v>
      </c>
      <c r="K345" s="41"/>
    </row>
    <row r="346" spans="2:11" x14ac:dyDescent="0.2">
      <c r="B346" s="38"/>
      <c r="C346" s="40" t="s">
        <v>893</v>
      </c>
      <c r="D346" s="40"/>
      <c r="E346" s="40"/>
      <c r="F346" s="40"/>
      <c r="G346" s="40"/>
      <c r="H346" s="40"/>
      <c r="I346" s="40"/>
      <c r="J346" s="40"/>
      <c r="K346" s="41"/>
    </row>
    <row r="347" spans="2:11" ht="15" customHeight="1" x14ac:dyDescent="0.2">
      <c r="B347" s="38"/>
      <c r="C347" s="399"/>
      <c r="D347" s="400"/>
      <c r="E347" s="400"/>
      <c r="F347" s="400"/>
      <c r="G347" s="400"/>
      <c r="H347" s="400"/>
      <c r="I347" s="400"/>
      <c r="J347" s="401"/>
      <c r="K347" s="41"/>
    </row>
    <row r="348" spans="2:11" x14ac:dyDescent="0.2">
      <c r="B348" s="38"/>
      <c r="C348" s="40"/>
      <c r="D348" s="40"/>
      <c r="E348" s="40"/>
      <c r="F348" s="40"/>
      <c r="G348" s="40"/>
      <c r="H348" s="40"/>
      <c r="I348" s="40"/>
      <c r="J348" s="40"/>
      <c r="K348" s="41"/>
    </row>
    <row r="349" spans="2:11" x14ac:dyDescent="0.2">
      <c r="B349" s="38"/>
      <c r="C349" s="179" t="s">
        <v>887</v>
      </c>
      <c r="D349" s="40"/>
      <c r="E349" s="40"/>
      <c r="F349" s="40"/>
      <c r="G349" s="40"/>
      <c r="H349" s="40"/>
      <c r="I349" s="40"/>
      <c r="J349" s="245">
        <f>IF(OR(J334="Not Calculated",J345="Not Calculated")=TRUE,"Not Calculated",AVERAGE(J334,J345))</f>
        <v>2</v>
      </c>
      <c r="K349" s="41"/>
    </row>
    <row r="350" spans="2:11" x14ac:dyDescent="0.2">
      <c r="B350" s="38"/>
      <c r="C350" s="40"/>
      <c r="D350" s="40"/>
      <c r="E350" s="40"/>
      <c r="F350" s="40"/>
      <c r="G350" s="40"/>
      <c r="H350" s="40"/>
      <c r="I350" s="40"/>
      <c r="J350" s="40"/>
      <c r="K350" s="41"/>
    </row>
    <row r="351" spans="2:11" x14ac:dyDescent="0.2">
      <c r="B351" s="38"/>
      <c r="C351" s="40"/>
      <c r="D351" s="40"/>
      <c r="E351" s="40"/>
      <c r="F351" s="40"/>
      <c r="G351" s="40"/>
      <c r="H351" s="40"/>
      <c r="I351" s="40"/>
      <c r="J351" s="40"/>
      <c r="K351" s="41"/>
    </row>
    <row r="352" spans="2:11" ht="15" customHeight="1" x14ac:dyDescent="0.2">
      <c r="B352" s="38"/>
      <c r="C352" s="45" t="s">
        <v>859</v>
      </c>
      <c r="D352" s="40"/>
      <c r="E352" s="40"/>
      <c r="F352" s="40"/>
      <c r="G352" s="40"/>
      <c r="H352" s="40"/>
      <c r="I352" s="40"/>
      <c r="J352" s="40"/>
      <c r="K352" s="41"/>
    </row>
    <row r="353" spans="2:11" x14ac:dyDescent="0.2">
      <c r="B353" s="38"/>
      <c r="C353" s="40" t="s">
        <v>846</v>
      </c>
      <c r="D353" s="40"/>
      <c r="E353" s="40"/>
      <c r="F353" s="40"/>
      <c r="G353" s="40"/>
      <c r="H353" s="40"/>
      <c r="I353" s="40"/>
      <c r="J353" s="264"/>
      <c r="K353" s="41"/>
    </row>
    <row r="354" spans="2:11" x14ac:dyDescent="0.2">
      <c r="B354" s="38"/>
      <c r="C354" s="40" t="s">
        <v>854</v>
      </c>
      <c r="D354" s="40"/>
      <c r="E354" s="40"/>
      <c r="F354" s="40"/>
      <c r="G354" s="40"/>
      <c r="H354" s="40"/>
      <c r="I354" s="40"/>
      <c r="J354" s="255">
        <f>'Baseline Health'!$G$59</f>
        <v>0</v>
      </c>
      <c r="K354" s="41"/>
    </row>
    <row r="355" spans="2:11" x14ac:dyDescent="0.2">
      <c r="B355" s="38"/>
      <c r="C355" s="40" t="s">
        <v>847</v>
      </c>
      <c r="D355" s="40"/>
      <c r="E355" s="40"/>
      <c r="F355" s="40"/>
      <c r="G355" s="40"/>
      <c r="H355" s="40"/>
      <c r="I355" s="40"/>
      <c r="J355" s="244">
        <f>IF(J353=0,0,IF('Baseline Health'!G$59=0,"Not Calculated",100*J353/'Baseline Health'!$G$59))</f>
        <v>0</v>
      </c>
      <c r="K355" s="41"/>
    </row>
    <row r="356" spans="2:11" x14ac:dyDescent="0.2">
      <c r="B356" s="38"/>
      <c r="C356" s="40" t="s">
        <v>260</v>
      </c>
      <c r="D356" s="40"/>
      <c r="E356" s="40"/>
      <c r="F356" s="40"/>
      <c r="G356" s="40"/>
      <c r="H356" s="40"/>
      <c r="I356" s="40"/>
      <c r="J356" s="245">
        <f>IF(J355&lt;=0,0,IF(J355&lt;=5,1,IF(J355&lt;=10,2,IF(J355&lt;=25,3,4))))</f>
        <v>0</v>
      </c>
      <c r="K356" s="41"/>
    </row>
    <row r="357" spans="2:11" ht="9.75" customHeight="1" x14ac:dyDescent="0.2">
      <c r="B357" s="38"/>
      <c r="C357" s="279" t="str">
        <f>"0:"</f>
        <v>0:</v>
      </c>
      <c r="D357" s="278" t="s">
        <v>932</v>
      </c>
      <c r="E357" s="40"/>
      <c r="F357" s="40"/>
      <c r="G357" s="40"/>
      <c r="H357" s="40"/>
      <c r="I357" s="40"/>
      <c r="J357" s="244"/>
      <c r="K357" s="41"/>
    </row>
    <row r="358" spans="2:11" ht="9.75" customHeight="1" x14ac:dyDescent="0.2">
      <c r="B358" s="38"/>
      <c r="C358" s="280" t="str">
        <f>"1:"</f>
        <v>1:</v>
      </c>
      <c r="D358" s="278" t="s">
        <v>933</v>
      </c>
      <c r="E358" s="40"/>
      <c r="F358" s="40"/>
      <c r="G358" s="40"/>
      <c r="H358" s="40"/>
      <c r="I358" s="40"/>
      <c r="J358" s="244"/>
      <c r="K358" s="41"/>
    </row>
    <row r="359" spans="2:11" ht="9.75" customHeight="1" x14ac:dyDescent="0.2">
      <c r="B359" s="38"/>
      <c r="C359" s="280" t="str">
        <f>"2:"</f>
        <v>2:</v>
      </c>
      <c r="D359" s="278" t="s">
        <v>935</v>
      </c>
      <c r="E359" s="40"/>
      <c r="F359" s="40"/>
      <c r="G359" s="40"/>
      <c r="H359" s="40"/>
      <c r="I359" s="40"/>
      <c r="J359" s="244"/>
      <c r="K359" s="41"/>
    </row>
    <row r="360" spans="2:11" ht="9.75" customHeight="1" x14ac:dyDescent="0.2">
      <c r="B360" s="38"/>
      <c r="C360" s="280" t="str">
        <f>"3:"</f>
        <v>3:</v>
      </c>
      <c r="D360" s="278" t="s">
        <v>937</v>
      </c>
      <c r="E360" s="40"/>
      <c r="F360" s="40"/>
      <c r="G360" s="40"/>
      <c r="H360" s="40"/>
      <c r="I360" s="40"/>
      <c r="J360" s="244"/>
      <c r="K360" s="41"/>
    </row>
    <row r="361" spans="2:11" ht="9.75" customHeight="1" x14ac:dyDescent="0.2">
      <c r="B361" s="38"/>
      <c r="C361" s="280" t="str">
        <f>"4:"</f>
        <v>4:</v>
      </c>
      <c r="D361" s="278" t="s">
        <v>938</v>
      </c>
      <c r="E361" s="40"/>
      <c r="F361" s="40"/>
      <c r="G361" s="40"/>
      <c r="H361" s="40"/>
      <c r="I361" s="40"/>
      <c r="J361" s="40"/>
      <c r="K361" s="41"/>
    </row>
    <row r="362" spans="2:11" x14ac:dyDescent="0.2">
      <c r="B362" s="38"/>
      <c r="C362" s="40" t="s">
        <v>257</v>
      </c>
      <c r="D362" s="40"/>
      <c r="E362" s="40"/>
      <c r="F362" s="40"/>
      <c r="G362" s="40"/>
      <c r="H362" s="40"/>
      <c r="I362" s="40"/>
      <c r="J362" s="266"/>
      <c r="K362" s="41"/>
    </row>
    <row r="363" spans="2:11" x14ac:dyDescent="0.2">
      <c r="B363" s="38"/>
      <c r="C363" s="40" t="s">
        <v>261</v>
      </c>
      <c r="D363" s="40"/>
      <c r="E363" s="40"/>
      <c r="F363" s="40"/>
      <c r="G363" s="40"/>
      <c r="H363" s="40"/>
      <c r="I363" s="40"/>
      <c r="J363" s="245" t="str">
        <f>IF(J362=$B$980,$A$980,IF(J362=$B$981,$A$981,IF(J362=$B$982,$A$982,IF(J362=$B$983,$A$983,IF(J362=$B$984,$A$984,"Not Calculated")))))</f>
        <v>Not Calculated</v>
      </c>
      <c r="K363" s="41"/>
    </row>
    <row r="364" spans="2:11" x14ac:dyDescent="0.2">
      <c r="B364" s="38"/>
      <c r="C364" s="40" t="s">
        <v>893</v>
      </c>
      <c r="D364" s="40"/>
      <c r="E364" s="40"/>
      <c r="F364" s="40"/>
      <c r="G364" s="40"/>
      <c r="H364" s="40"/>
      <c r="I364" s="40"/>
      <c r="J364" s="40"/>
      <c r="K364" s="41"/>
    </row>
    <row r="365" spans="2:11" ht="15" customHeight="1" x14ac:dyDescent="0.2">
      <c r="B365" s="38"/>
      <c r="C365" s="399"/>
      <c r="D365" s="400"/>
      <c r="E365" s="400"/>
      <c r="F365" s="400"/>
      <c r="G365" s="400"/>
      <c r="H365" s="400"/>
      <c r="I365" s="400"/>
      <c r="J365" s="401"/>
      <c r="K365" s="41"/>
    </row>
    <row r="366" spans="2:11" x14ac:dyDescent="0.2">
      <c r="B366" s="38"/>
      <c r="C366" s="40"/>
      <c r="D366" s="40"/>
      <c r="E366" s="40"/>
      <c r="F366" s="40"/>
      <c r="G366" s="40"/>
      <c r="H366" s="40"/>
      <c r="I366" s="40"/>
      <c r="J366" s="40"/>
      <c r="K366" s="41"/>
    </row>
    <row r="367" spans="2:11" x14ac:dyDescent="0.2">
      <c r="B367" s="38"/>
      <c r="C367" s="179" t="s">
        <v>888</v>
      </c>
      <c r="D367" s="40"/>
      <c r="E367" s="40"/>
      <c r="F367" s="40"/>
      <c r="G367" s="40"/>
      <c r="H367" s="40"/>
      <c r="I367" s="40"/>
      <c r="J367" s="245" t="str">
        <f>IF(OR(J356="Not Calculated",J363="Not Calculated")=TRUE,"Not Calculated",AVERAGE(J356,J363))</f>
        <v>Not Calculated</v>
      </c>
      <c r="K367" s="41"/>
    </row>
    <row r="368" spans="2:11" x14ac:dyDescent="0.2">
      <c r="B368" s="38"/>
      <c r="C368" s="40"/>
      <c r="D368" s="40"/>
      <c r="E368" s="40"/>
      <c r="F368" s="40"/>
      <c r="G368" s="40"/>
      <c r="H368" s="40"/>
      <c r="I368" s="40"/>
      <c r="J368" s="40"/>
      <c r="K368" s="41"/>
    </row>
    <row r="369" spans="2:11" x14ac:dyDescent="0.2">
      <c r="B369" s="38"/>
      <c r="C369" s="40"/>
      <c r="D369" s="40"/>
      <c r="E369" s="40"/>
      <c r="F369" s="40"/>
      <c r="G369" s="40"/>
      <c r="H369" s="40"/>
      <c r="I369" s="40"/>
      <c r="J369" s="40"/>
      <c r="K369" s="41"/>
    </row>
    <row r="370" spans="2:11" ht="16" x14ac:dyDescent="0.2">
      <c r="B370" s="38"/>
      <c r="C370" s="45" t="s">
        <v>863</v>
      </c>
      <c r="D370" s="40"/>
      <c r="E370" s="40"/>
      <c r="F370" s="40"/>
      <c r="G370" s="40"/>
      <c r="H370" s="40"/>
      <c r="I370" s="40"/>
      <c r="J370" s="40"/>
      <c r="K370" s="41"/>
    </row>
    <row r="371" spans="2:11" ht="15" customHeight="1" x14ac:dyDescent="0.2">
      <c r="B371" s="38"/>
      <c r="C371" s="380" t="s">
        <v>848</v>
      </c>
      <c r="D371" s="380"/>
      <c r="E371" s="380"/>
      <c r="F371" s="380"/>
      <c r="G371" s="380"/>
      <c r="H371" s="380"/>
      <c r="I371" s="380"/>
      <c r="J371" s="181"/>
      <c r="K371" s="41"/>
    </row>
    <row r="372" spans="2:11" x14ac:dyDescent="0.2">
      <c r="B372" s="38"/>
      <c r="C372" s="380"/>
      <c r="D372" s="380"/>
      <c r="E372" s="380"/>
      <c r="F372" s="380"/>
      <c r="G372" s="380"/>
      <c r="H372" s="380"/>
      <c r="I372" s="380"/>
      <c r="J372" s="264"/>
      <c r="K372" s="41"/>
    </row>
    <row r="373" spans="2:11" x14ac:dyDescent="0.2">
      <c r="B373" s="38"/>
      <c r="C373" s="40" t="s">
        <v>853</v>
      </c>
      <c r="D373" s="291"/>
      <c r="E373" s="291"/>
      <c r="F373" s="291"/>
      <c r="G373" s="291"/>
      <c r="H373" s="291"/>
      <c r="I373" s="291"/>
      <c r="J373" s="255">
        <f>'Baseline Health'!$G$102</f>
        <v>0</v>
      </c>
      <c r="K373" s="41"/>
    </row>
    <row r="374" spans="2:11" x14ac:dyDescent="0.2">
      <c r="B374" s="38"/>
      <c r="C374" s="40" t="s">
        <v>842</v>
      </c>
      <c r="D374" s="291"/>
      <c r="E374" s="291"/>
      <c r="F374" s="291"/>
      <c r="G374" s="291"/>
      <c r="H374" s="291"/>
      <c r="I374" s="291"/>
      <c r="J374" s="244" t="str">
        <f>IF('Baseline Health'!$G$102=0,"Not Calculated",100*J372/'Baseline Health'!$G$102)</f>
        <v>Not Calculated</v>
      </c>
      <c r="K374" s="41"/>
    </row>
    <row r="375" spans="2:11" x14ac:dyDescent="0.2">
      <c r="B375" s="38"/>
      <c r="C375" s="40" t="s">
        <v>260</v>
      </c>
      <c r="D375" s="40"/>
      <c r="E375" s="40"/>
      <c r="F375" s="40"/>
      <c r="G375" s="40"/>
      <c r="H375" s="40"/>
      <c r="I375" s="40"/>
      <c r="J375" s="251">
        <f>IF(J374&lt;=0,0,IF(J374&lt;=1,1,IF(J374&lt;=5,2,IF(J374&lt;=10,3,4))))</f>
        <v>4</v>
      </c>
      <c r="K375" s="41"/>
    </row>
    <row r="376" spans="2:11" ht="9.75" customHeight="1" x14ac:dyDescent="0.2">
      <c r="B376" s="38"/>
      <c r="C376" s="279" t="str">
        <f>"0:"</f>
        <v>0:</v>
      </c>
      <c r="D376" s="278" t="s">
        <v>932</v>
      </c>
      <c r="E376" s="291"/>
      <c r="F376" s="291"/>
      <c r="G376" s="291"/>
      <c r="H376" s="291"/>
      <c r="I376" s="291"/>
      <c r="J376" s="244"/>
      <c r="K376" s="41"/>
    </row>
    <row r="377" spans="2:11" ht="9.75" customHeight="1" x14ac:dyDescent="0.2">
      <c r="B377" s="38"/>
      <c r="C377" s="280" t="str">
        <f>"1:"</f>
        <v>1:</v>
      </c>
      <c r="D377" s="278" t="s">
        <v>934</v>
      </c>
      <c r="E377" s="291"/>
      <c r="F377" s="291"/>
      <c r="G377" s="291"/>
      <c r="H377" s="291"/>
      <c r="I377" s="291"/>
      <c r="J377" s="244"/>
      <c r="K377" s="41"/>
    </row>
    <row r="378" spans="2:11" ht="9.75" customHeight="1" x14ac:dyDescent="0.2">
      <c r="B378" s="38"/>
      <c r="C378" s="280" t="str">
        <f>"2:"</f>
        <v>2:</v>
      </c>
      <c r="D378" s="278" t="s">
        <v>933</v>
      </c>
      <c r="E378" s="291"/>
      <c r="F378" s="291"/>
      <c r="G378" s="291"/>
      <c r="H378" s="291"/>
      <c r="I378" s="291"/>
      <c r="J378" s="244"/>
      <c r="K378" s="41"/>
    </row>
    <row r="379" spans="2:11" ht="9.75" customHeight="1" x14ac:dyDescent="0.2">
      <c r="B379" s="38"/>
      <c r="C379" s="280" t="str">
        <f>"3:"</f>
        <v>3:</v>
      </c>
      <c r="D379" s="278" t="s">
        <v>935</v>
      </c>
      <c r="E379" s="291"/>
      <c r="F379" s="291"/>
      <c r="G379" s="291"/>
      <c r="H379" s="291"/>
      <c r="I379" s="291"/>
      <c r="J379" s="244"/>
      <c r="K379" s="41"/>
    </row>
    <row r="380" spans="2:11" ht="9.75" customHeight="1" x14ac:dyDescent="0.2">
      <c r="B380" s="38"/>
      <c r="C380" s="280" t="str">
        <f>"4:"</f>
        <v>4:</v>
      </c>
      <c r="D380" s="278" t="s">
        <v>936</v>
      </c>
      <c r="E380" s="40"/>
      <c r="F380" s="40"/>
      <c r="G380" s="40"/>
      <c r="H380" s="40"/>
      <c r="I380" s="40"/>
      <c r="J380" s="40"/>
      <c r="K380" s="41"/>
    </row>
    <row r="381" spans="2:11" x14ac:dyDescent="0.2">
      <c r="B381" s="38"/>
      <c r="C381" s="40" t="s">
        <v>85</v>
      </c>
      <c r="D381" s="40"/>
      <c r="E381" s="40"/>
      <c r="F381" s="40"/>
      <c r="G381" s="40"/>
      <c r="H381" s="40"/>
      <c r="I381" s="40"/>
      <c r="J381" s="252">
        <f>'Baseline Health'!G114</f>
        <v>7</v>
      </c>
      <c r="K381" s="41"/>
    </row>
    <row r="382" spans="2:11" x14ac:dyDescent="0.2">
      <c r="B382" s="38"/>
      <c r="C382" s="40" t="s">
        <v>297</v>
      </c>
      <c r="D382" s="40"/>
      <c r="E382" s="40"/>
      <c r="F382" s="40"/>
      <c r="G382" s="40"/>
      <c r="H382" s="40"/>
      <c r="I382" s="40"/>
      <c r="J382" s="266"/>
      <c r="K382" s="41"/>
    </row>
    <row r="383" spans="2:11" x14ac:dyDescent="0.2">
      <c r="B383" s="38"/>
      <c r="C383" s="40" t="s">
        <v>261</v>
      </c>
      <c r="D383" s="40"/>
      <c r="E383" s="40"/>
      <c r="F383" s="40"/>
      <c r="G383" s="40"/>
      <c r="H383" s="40"/>
      <c r="I383" s="40"/>
      <c r="J383" s="248">
        <f>IF((J382-J381)&lt;1,0,IF((J382-J381)&lt;3,1,IF((J382-J381)&lt;5,2,IF((J382-J381)&lt;7,3,4))))</f>
        <v>0</v>
      </c>
      <c r="K383" s="41"/>
    </row>
    <row r="384" spans="2:11" x14ac:dyDescent="0.2">
      <c r="B384" s="38"/>
      <c r="C384" s="40" t="s">
        <v>893</v>
      </c>
      <c r="D384" s="40"/>
      <c r="E384" s="40"/>
      <c r="F384" s="40"/>
      <c r="G384" s="40"/>
      <c r="H384" s="40"/>
      <c r="I384" s="40"/>
      <c r="J384" s="40"/>
      <c r="K384" s="41"/>
    </row>
    <row r="385" spans="2:11" x14ac:dyDescent="0.2">
      <c r="B385" s="38"/>
      <c r="C385" s="399"/>
      <c r="D385" s="400"/>
      <c r="E385" s="400"/>
      <c r="F385" s="400"/>
      <c r="G385" s="400"/>
      <c r="H385" s="400"/>
      <c r="I385" s="400"/>
      <c r="J385" s="401"/>
      <c r="K385" s="41"/>
    </row>
    <row r="386" spans="2:11" x14ac:dyDescent="0.2">
      <c r="B386" s="38"/>
      <c r="C386" s="40"/>
      <c r="D386" s="40"/>
      <c r="E386" s="40"/>
      <c r="F386" s="40"/>
      <c r="G386" s="40"/>
      <c r="H386" s="40"/>
      <c r="I386" s="40"/>
      <c r="J386" s="40"/>
      <c r="K386" s="41"/>
    </row>
    <row r="387" spans="2:11" x14ac:dyDescent="0.2">
      <c r="B387" s="38"/>
      <c r="C387" s="179" t="s">
        <v>889</v>
      </c>
      <c r="D387" s="40"/>
      <c r="E387" s="40"/>
      <c r="F387" s="40"/>
      <c r="G387" s="40"/>
      <c r="H387" s="40"/>
      <c r="I387" s="40"/>
      <c r="J387" s="245">
        <f>IF(OR(J375="Not Calculated",J383="Not Calculated")=TRUE,"Not Calculated",AVERAGE(J375,J383))</f>
        <v>2</v>
      </c>
      <c r="K387" s="41"/>
    </row>
    <row r="388" spans="2:11" x14ac:dyDescent="0.2">
      <c r="B388" s="38"/>
      <c r="C388" s="40"/>
      <c r="D388" s="40"/>
      <c r="E388" s="40"/>
      <c r="F388" s="40"/>
      <c r="G388" s="40"/>
      <c r="H388" s="40"/>
      <c r="I388" s="40"/>
      <c r="J388" s="40"/>
      <c r="K388" s="41"/>
    </row>
    <row r="389" spans="2:11" x14ac:dyDescent="0.2">
      <c r="B389" s="38"/>
      <c r="C389" s="40"/>
      <c r="D389" s="40"/>
      <c r="E389" s="40"/>
      <c r="F389" s="40"/>
      <c r="G389" s="40"/>
      <c r="H389" s="40"/>
      <c r="I389" s="40"/>
      <c r="J389" s="40"/>
      <c r="K389" s="41"/>
    </row>
    <row r="390" spans="2:11" ht="16" x14ac:dyDescent="0.2">
      <c r="B390" s="38"/>
      <c r="C390" s="45" t="s">
        <v>860</v>
      </c>
      <c r="D390" s="40"/>
      <c r="E390" s="40"/>
      <c r="F390" s="40"/>
      <c r="G390" s="40"/>
      <c r="H390" s="40"/>
      <c r="I390" s="40"/>
      <c r="J390" s="40"/>
      <c r="K390" s="41"/>
    </row>
    <row r="391" spans="2:11" x14ac:dyDescent="0.2">
      <c r="B391" s="38"/>
      <c r="C391" s="380" t="s">
        <v>849</v>
      </c>
      <c r="D391" s="380"/>
      <c r="E391" s="380"/>
      <c r="F391" s="380"/>
      <c r="G391" s="380"/>
      <c r="H391" s="380"/>
      <c r="I391" s="380"/>
      <c r="J391" s="181"/>
      <c r="K391" s="41"/>
    </row>
    <row r="392" spans="2:11" x14ac:dyDescent="0.2">
      <c r="B392" s="38"/>
      <c r="C392" s="380"/>
      <c r="D392" s="380"/>
      <c r="E392" s="380"/>
      <c r="F392" s="380"/>
      <c r="G392" s="380"/>
      <c r="H392" s="380"/>
      <c r="I392" s="380"/>
      <c r="J392" s="264"/>
      <c r="K392" s="41"/>
    </row>
    <row r="393" spans="2:11" x14ac:dyDescent="0.2">
      <c r="B393" s="38"/>
      <c r="C393" s="40" t="s">
        <v>853</v>
      </c>
      <c r="D393" s="291"/>
      <c r="E393" s="291"/>
      <c r="F393" s="291"/>
      <c r="G393" s="291"/>
      <c r="H393" s="291"/>
      <c r="I393" s="291"/>
      <c r="J393" s="255">
        <f>'Baseline Health'!$G$102</f>
        <v>0</v>
      </c>
      <c r="K393" s="41"/>
    </row>
    <row r="394" spans="2:11" ht="15" customHeight="1" x14ac:dyDescent="0.2">
      <c r="B394" s="38"/>
      <c r="C394" s="40" t="s">
        <v>850</v>
      </c>
      <c r="D394" s="291"/>
      <c r="E394" s="291"/>
      <c r="F394" s="291"/>
      <c r="G394" s="291"/>
      <c r="H394" s="291"/>
      <c r="I394" s="291"/>
      <c r="J394" s="244" t="str">
        <f>IF('Baseline Health'!$G$102=0,"Not Calculated",100*J392/'Baseline Health'!$G$102)</f>
        <v>Not Calculated</v>
      </c>
      <c r="K394" s="41"/>
    </row>
    <row r="395" spans="2:11" ht="15" customHeight="1" x14ac:dyDescent="0.2">
      <c r="B395" s="38"/>
      <c r="C395" s="40" t="s">
        <v>260</v>
      </c>
      <c r="D395" s="40"/>
      <c r="E395" s="40"/>
      <c r="F395" s="40"/>
      <c r="G395" s="40"/>
      <c r="H395" s="40"/>
      <c r="I395" s="40"/>
      <c r="J395" s="43">
        <f>IF(J394&lt;=0,0,IF(J394&lt;=1,1,IF(J394&lt;=5,2,IF(J394&lt;=10,3,4))))</f>
        <v>4</v>
      </c>
      <c r="K395" s="41"/>
    </row>
    <row r="396" spans="2:11" ht="9.75" customHeight="1" x14ac:dyDescent="0.2">
      <c r="B396" s="38"/>
      <c r="C396" s="279" t="str">
        <f>"0:"</f>
        <v>0:</v>
      </c>
      <c r="D396" s="278" t="s">
        <v>932</v>
      </c>
      <c r="E396" s="291"/>
      <c r="F396" s="291"/>
      <c r="G396" s="291"/>
      <c r="H396" s="291"/>
      <c r="I396" s="291"/>
      <c r="J396" s="244"/>
      <c r="K396" s="41"/>
    </row>
    <row r="397" spans="2:11" ht="9.75" customHeight="1" x14ac:dyDescent="0.2">
      <c r="B397" s="38"/>
      <c r="C397" s="280" t="str">
        <f>"1:"</f>
        <v>1:</v>
      </c>
      <c r="D397" s="278" t="s">
        <v>934</v>
      </c>
      <c r="E397" s="291"/>
      <c r="F397" s="291"/>
      <c r="G397" s="291"/>
      <c r="H397" s="291"/>
      <c r="I397" s="291"/>
      <c r="J397" s="244"/>
      <c r="K397" s="41"/>
    </row>
    <row r="398" spans="2:11" ht="9.75" customHeight="1" x14ac:dyDescent="0.2">
      <c r="B398" s="38"/>
      <c r="C398" s="280" t="str">
        <f>"2:"</f>
        <v>2:</v>
      </c>
      <c r="D398" s="278" t="s">
        <v>933</v>
      </c>
      <c r="E398" s="291"/>
      <c r="F398" s="291"/>
      <c r="G398" s="291"/>
      <c r="H398" s="291"/>
      <c r="I398" s="291"/>
      <c r="J398" s="244"/>
      <c r="K398" s="41"/>
    </row>
    <row r="399" spans="2:11" ht="9.75" customHeight="1" x14ac:dyDescent="0.2">
      <c r="B399" s="38"/>
      <c r="C399" s="280" t="str">
        <f>"3:"</f>
        <v>3:</v>
      </c>
      <c r="D399" s="278" t="s">
        <v>935</v>
      </c>
      <c r="E399" s="291"/>
      <c r="F399" s="291"/>
      <c r="G399" s="291"/>
      <c r="H399" s="291"/>
      <c r="I399" s="291"/>
      <c r="J399" s="244"/>
      <c r="K399" s="41"/>
    </row>
    <row r="400" spans="2:11" ht="9.75" customHeight="1" x14ac:dyDescent="0.2">
      <c r="B400" s="38"/>
      <c r="C400" s="280" t="str">
        <f>"4:"</f>
        <v>4:</v>
      </c>
      <c r="D400" s="278" t="s">
        <v>936</v>
      </c>
      <c r="E400" s="40"/>
      <c r="F400" s="40"/>
      <c r="G400" s="40"/>
      <c r="H400" s="40"/>
      <c r="I400" s="40"/>
      <c r="J400" s="40"/>
      <c r="K400" s="41"/>
    </row>
    <row r="401" spans="2:11" x14ac:dyDescent="0.2">
      <c r="B401" s="38"/>
      <c r="C401" s="40" t="s">
        <v>893</v>
      </c>
      <c r="D401" s="40"/>
      <c r="E401" s="40"/>
      <c r="F401" s="40"/>
      <c r="G401" s="40"/>
      <c r="H401" s="40"/>
      <c r="I401" s="40"/>
      <c r="J401" s="40"/>
      <c r="K401" s="41"/>
    </row>
    <row r="402" spans="2:11" ht="15" customHeight="1" x14ac:dyDescent="0.2">
      <c r="B402" s="38"/>
      <c r="C402" s="399"/>
      <c r="D402" s="400"/>
      <c r="E402" s="400"/>
      <c r="F402" s="400"/>
      <c r="G402" s="400"/>
      <c r="H402" s="400"/>
      <c r="I402" s="400"/>
      <c r="J402" s="401"/>
      <c r="K402" s="41"/>
    </row>
    <row r="403" spans="2:11" x14ac:dyDescent="0.2">
      <c r="B403" s="38"/>
      <c r="C403" s="40"/>
      <c r="D403" s="40"/>
      <c r="E403" s="40"/>
      <c r="F403" s="40"/>
      <c r="G403" s="40"/>
      <c r="H403" s="40"/>
      <c r="I403" s="40"/>
      <c r="J403" s="40"/>
      <c r="K403" s="41"/>
    </row>
    <row r="404" spans="2:11" x14ac:dyDescent="0.2">
      <c r="B404" s="38"/>
      <c r="C404" s="179" t="s">
        <v>890</v>
      </c>
      <c r="D404" s="40"/>
      <c r="E404" s="40"/>
      <c r="F404" s="40"/>
      <c r="G404" s="40"/>
      <c r="H404" s="40"/>
      <c r="I404" s="40"/>
      <c r="J404" s="245">
        <f>J395</f>
        <v>4</v>
      </c>
      <c r="K404" s="41"/>
    </row>
    <row r="405" spans="2:11" x14ac:dyDescent="0.2">
      <c r="B405" s="38"/>
      <c r="C405" s="40"/>
      <c r="D405" s="40"/>
      <c r="E405" s="40"/>
      <c r="F405" s="40"/>
      <c r="G405" s="40"/>
      <c r="H405" s="40"/>
      <c r="I405" s="40"/>
      <c r="J405" s="40"/>
      <c r="K405" s="41"/>
    </row>
    <row r="406" spans="2:11" x14ac:dyDescent="0.2">
      <c r="B406" s="38"/>
      <c r="C406" s="40"/>
      <c r="D406" s="40"/>
      <c r="E406" s="40"/>
      <c r="F406" s="40"/>
      <c r="G406" s="40"/>
      <c r="H406" s="40"/>
      <c r="I406" s="40"/>
      <c r="J406" s="40"/>
      <c r="K406" s="41"/>
    </row>
    <row r="407" spans="2:11" ht="16" x14ac:dyDescent="0.2">
      <c r="B407" s="38"/>
      <c r="C407" s="45" t="s">
        <v>861</v>
      </c>
      <c r="D407" s="40"/>
      <c r="E407" s="40"/>
      <c r="F407" s="40"/>
      <c r="G407" s="40"/>
      <c r="H407" s="40"/>
      <c r="I407" s="40"/>
      <c r="J407" s="40"/>
      <c r="K407" s="41"/>
    </row>
    <row r="408" spans="2:11" x14ac:dyDescent="0.2">
      <c r="B408" s="38"/>
      <c r="C408" s="40" t="s">
        <v>298</v>
      </c>
      <c r="D408" s="40"/>
      <c r="E408" s="40"/>
      <c r="F408" s="40"/>
      <c r="G408" s="40"/>
      <c r="H408" s="40"/>
      <c r="I408" s="40"/>
      <c r="J408" s="269"/>
      <c r="K408" s="41"/>
    </row>
    <row r="409" spans="2:11" x14ac:dyDescent="0.2">
      <c r="B409" s="38"/>
      <c r="C409" s="40" t="s">
        <v>260</v>
      </c>
      <c r="D409" s="40"/>
      <c r="E409" s="40"/>
      <c r="F409" s="40"/>
      <c r="G409" s="40"/>
      <c r="H409" s="40"/>
      <c r="I409" s="40"/>
      <c r="J409" s="253">
        <f>IF(J408&lt;=0,0,IF(J408&lt;=(J161*0.01),1,IF(J408&lt;=(J161*0.05),2,IF(J408&lt;=(J161*0.1),3,4))))</f>
        <v>0</v>
      </c>
      <c r="K409" s="41"/>
    </row>
    <row r="410" spans="2:11" ht="9.75" customHeight="1" x14ac:dyDescent="0.2">
      <c r="B410" s="38"/>
      <c r="C410" s="279" t="str">
        <f>"0:"</f>
        <v>0:</v>
      </c>
      <c r="D410" s="278" t="s">
        <v>939</v>
      </c>
      <c r="E410" s="40"/>
      <c r="F410" s="40"/>
      <c r="G410" s="40"/>
      <c r="H410" s="40"/>
      <c r="I410" s="40"/>
      <c r="J410" s="282"/>
      <c r="K410" s="41"/>
    </row>
    <row r="411" spans="2:11" ht="9.75" customHeight="1" x14ac:dyDescent="0.2">
      <c r="B411" s="38"/>
      <c r="C411" s="280" t="str">
        <f>"1:"</f>
        <v>1:</v>
      </c>
      <c r="D411" s="278" t="s">
        <v>940</v>
      </c>
      <c r="E411" s="40"/>
      <c r="F411" s="40"/>
      <c r="G411" s="40"/>
      <c r="H411" s="40"/>
      <c r="I411" s="40"/>
      <c r="J411" s="282"/>
      <c r="K411" s="41"/>
    </row>
    <row r="412" spans="2:11" ht="9.75" customHeight="1" x14ac:dyDescent="0.2">
      <c r="B412" s="38"/>
      <c r="C412" s="280" t="str">
        <f>"2:"</f>
        <v>2:</v>
      </c>
      <c r="D412" s="278" t="s">
        <v>941</v>
      </c>
      <c r="E412" s="40"/>
      <c r="F412" s="40"/>
      <c r="G412" s="40"/>
      <c r="H412" s="40"/>
      <c r="I412" s="40"/>
      <c r="J412" s="282"/>
      <c r="K412" s="41"/>
    </row>
    <row r="413" spans="2:11" ht="9.75" customHeight="1" x14ac:dyDescent="0.2">
      <c r="B413" s="38"/>
      <c r="C413" s="280" t="str">
        <f>"3:"</f>
        <v>3:</v>
      </c>
      <c r="D413" s="278" t="s">
        <v>942</v>
      </c>
      <c r="E413" s="40"/>
      <c r="F413" s="40"/>
      <c r="G413" s="40"/>
      <c r="H413" s="40"/>
      <c r="I413" s="40"/>
      <c r="J413" s="282"/>
      <c r="K413" s="41"/>
    </row>
    <row r="414" spans="2:11" ht="9.75" customHeight="1" x14ac:dyDescent="0.2">
      <c r="B414" s="38"/>
      <c r="C414" s="280" t="str">
        <f>"4:"</f>
        <v>4:</v>
      </c>
      <c r="D414" s="278" t="s">
        <v>943</v>
      </c>
      <c r="E414" s="40"/>
      <c r="F414" s="40"/>
      <c r="G414" s="40"/>
      <c r="H414" s="40"/>
      <c r="I414" s="40"/>
      <c r="J414" s="40"/>
      <c r="K414" s="41"/>
    </row>
    <row r="415" spans="2:11" x14ac:dyDescent="0.2">
      <c r="B415" s="38"/>
      <c r="C415" s="40" t="s">
        <v>893</v>
      </c>
      <c r="D415" s="40"/>
      <c r="E415" s="40"/>
      <c r="F415" s="40"/>
      <c r="G415" s="40"/>
      <c r="H415" s="40"/>
      <c r="I415" s="40"/>
      <c r="J415" s="40"/>
      <c r="K415" s="41"/>
    </row>
    <row r="416" spans="2:11" ht="15" customHeight="1" x14ac:dyDescent="0.2">
      <c r="B416" s="38"/>
      <c r="C416" s="399"/>
      <c r="D416" s="400"/>
      <c r="E416" s="400"/>
      <c r="F416" s="400"/>
      <c r="G416" s="400"/>
      <c r="H416" s="400"/>
      <c r="I416" s="400"/>
      <c r="J416" s="401"/>
      <c r="K416" s="41"/>
    </row>
    <row r="417" spans="2:11" x14ac:dyDescent="0.2">
      <c r="B417" s="38"/>
      <c r="C417" s="40"/>
      <c r="D417" s="40"/>
      <c r="E417" s="40"/>
      <c r="F417" s="40"/>
      <c r="G417" s="40"/>
      <c r="H417" s="40"/>
      <c r="I417" s="40"/>
      <c r="J417" s="40"/>
      <c r="K417" s="41"/>
    </row>
    <row r="418" spans="2:11" x14ac:dyDescent="0.2">
      <c r="B418" s="38"/>
      <c r="C418" s="179" t="s">
        <v>891</v>
      </c>
      <c r="D418" s="40"/>
      <c r="E418" s="40"/>
      <c r="F418" s="40"/>
      <c r="G418" s="40"/>
      <c r="H418" s="40"/>
      <c r="I418" s="40"/>
      <c r="J418" s="245">
        <f>J409</f>
        <v>0</v>
      </c>
      <c r="K418" s="41"/>
    </row>
    <row r="419" spans="2:11" x14ac:dyDescent="0.2">
      <c r="B419" s="38"/>
      <c r="C419" s="40"/>
      <c r="D419" s="40"/>
      <c r="E419" s="40"/>
      <c r="F419" s="40"/>
      <c r="G419" s="40"/>
      <c r="H419" s="40"/>
      <c r="I419" s="40"/>
      <c r="J419" s="40"/>
      <c r="K419" s="41"/>
    </row>
    <row r="420" spans="2:11" x14ac:dyDescent="0.2">
      <c r="B420" s="38"/>
      <c r="C420" s="410" t="s">
        <v>881</v>
      </c>
      <c r="D420" s="410"/>
      <c r="E420" s="410"/>
      <c r="F420" s="410"/>
      <c r="G420" s="410"/>
      <c r="H420" s="410"/>
      <c r="I420" s="410"/>
      <c r="J420" s="40"/>
      <c r="K420" s="41"/>
    </row>
    <row r="421" spans="2:11" x14ac:dyDescent="0.2">
      <c r="B421" s="38"/>
      <c r="C421" s="410"/>
      <c r="D421" s="410"/>
      <c r="E421" s="410"/>
      <c r="F421" s="410"/>
      <c r="G421" s="410"/>
      <c r="H421" s="410"/>
      <c r="I421" s="410"/>
      <c r="J421" s="244" t="str">
        <f>IF(OR(J288="Not Calculated",J307="Not Calculated",J326="Not Calculated",J349="Not Calculated",J367="Not Calculated",J387="Not Calculated",J404="Not Calculated",J418="Not Calculated")=TRUE,"Not Calculated",AVERAGE(J288,J307,J326,J349,J367,J387,J404,J418))</f>
        <v>Not Calculated</v>
      </c>
      <c r="K421" s="41"/>
    </row>
    <row r="422" spans="2:11" ht="16" thickBot="1" x14ac:dyDescent="0.25">
      <c r="B422" s="46"/>
      <c r="C422" s="47"/>
      <c r="D422" s="47"/>
      <c r="E422" s="47"/>
      <c r="F422" s="47"/>
      <c r="G422" s="47"/>
      <c r="H422" s="47"/>
      <c r="I422" s="47"/>
      <c r="J422" s="47"/>
      <c r="K422" s="49"/>
    </row>
    <row r="423" spans="2:11" ht="16" thickBot="1" x14ac:dyDescent="0.25"/>
    <row r="424" spans="2:11" x14ac:dyDescent="0.2">
      <c r="B424" s="33"/>
      <c r="C424" s="34"/>
      <c r="D424" s="34"/>
      <c r="E424" s="34"/>
      <c r="F424" s="34"/>
      <c r="G424" s="34"/>
      <c r="H424" s="34"/>
      <c r="I424" s="34"/>
      <c r="J424" s="34"/>
      <c r="K424" s="37"/>
    </row>
    <row r="425" spans="2:11" ht="21" x14ac:dyDescent="0.25">
      <c r="B425" s="38"/>
      <c r="C425" s="40"/>
      <c r="D425" s="40"/>
      <c r="E425" s="40"/>
      <c r="F425" s="40"/>
      <c r="G425" s="172" t="s">
        <v>230</v>
      </c>
      <c r="H425" s="40"/>
      <c r="I425" s="40"/>
      <c r="J425" s="40"/>
      <c r="K425" s="41"/>
    </row>
    <row r="426" spans="2:11" x14ac:dyDescent="0.2">
      <c r="B426" s="38"/>
      <c r="C426" s="40"/>
      <c r="D426" s="40"/>
      <c r="E426" s="40"/>
      <c r="F426" s="40"/>
      <c r="G426" s="40"/>
      <c r="H426" s="40"/>
      <c r="I426" s="40"/>
      <c r="J426" s="40"/>
      <c r="K426" s="41"/>
    </row>
    <row r="427" spans="2:11" ht="16" x14ac:dyDescent="0.2">
      <c r="B427" s="38"/>
      <c r="C427" s="45" t="s">
        <v>299</v>
      </c>
      <c r="D427" s="40"/>
      <c r="E427" s="40"/>
      <c r="F427" s="40"/>
      <c r="G427" s="40"/>
      <c r="H427" s="40"/>
      <c r="I427" s="40"/>
      <c r="J427" s="40"/>
      <c r="K427" s="41"/>
    </row>
    <row r="428" spans="2:11" x14ac:dyDescent="0.2">
      <c r="B428" s="38"/>
      <c r="C428" s="40" t="s">
        <v>300</v>
      </c>
      <c r="D428" s="40"/>
      <c r="E428" s="40"/>
      <c r="F428" s="40"/>
      <c r="G428" s="40"/>
      <c r="H428" s="40"/>
      <c r="I428" s="40"/>
      <c r="J428" s="270"/>
      <c r="K428" s="41"/>
    </row>
    <row r="429" spans="2:11" x14ac:dyDescent="0.2">
      <c r="B429" s="38"/>
      <c r="C429" s="40" t="s">
        <v>260</v>
      </c>
      <c r="D429" s="40"/>
      <c r="E429" s="40"/>
      <c r="F429" s="40"/>
      <c r="G429" s="40"/>
      <c r="H429" s="40"/>
      <c r="I429" s="40"/>
      <c r="J429" s="248">
        <f>IF(J428&lt;=0,0,IF(J428&lt;=1,1,IF(J428&lt;=5,2,IF(J428&lt;=10,3,4))))</f>
        <v>0</v>
      </c>
      <c r="K429" s="41"/>
    </row>
    <row r="430" spans="2:11" s="98" customFormat="1" ht="9.75" customHeight="1" x14ac:dyDescent="0.2">
      <c r="B430" s="288"/>
      <c r="C430" s="279" t="str">
        <f>"0:"</f>
        <v>0:</v>
      </c>
      <c r="D430" s="290" t="s">
        <v>944</v>
      </c>
      <c r="E430" s="245"/>
      <c r="F430" s="245"/>
      <c r="G430" s="245"/>
      <c r="H430" s="245"/>
      <c r="I430" s="245"/>
      <c r="J430" s="245"/>
      <c r="K430" s="289"/>
    </row>
    <row r="431" spans="2:11" s="98" customFormat="1" ht="9.75" customHeight="1" x14ac:dyDescent="0.2">
      <c r="B431" s="288"/>
      <c r="C431" s="280" t="str">
        <f>"1:"</f>
        <v>1:</v>
      </c>
      <c r="D431" s="290" t="s">
        <v>945</v>
      </c>
      <c r="E431" s="245"/>
      <c r="F431" s="245"/>
      <c r="G431" s="245"/>
      <c r="H431" s="245"/>
      <c r="I431" s="245"/>
      <c r="J431" s="245"/>
      <c r="K431" s="289"/>
    </row>
    <row r="432" spans="2:11" s="98" customFormat="1" ht="9.75" customHeight="1" x14ac:dyDescent="0.2">
      <c r="B432" s="288"/>
      <c r="C432" s="280" t="str">
        <f>"2:"</f>
        <v>2:</v>
      </c>
      <c r="D432" s="290" t="s">
        <v>946</v>
      </c>
      <c r="E432" s="245"/>
      <c r="F432" s="245"/>
      <c r="G432" s="245"/>
      <c r="H432" s="245"/>
      <c r="I432" s="245"/>
      <c r="J432" s="245"/>
      <c r="K432" s="289"/>
    </row>
    <row r="433" spans="2:11" s="98" customFormat="1" ht="9.75" customHeight="1" x14ac:dyDescent="0.2">
      <c r="B433" s="288"/>
      <c r="C433" s="280" t="str">
        <f>"3:"</f>
        <v>3:</v>
      </c>
      <c r="D433" s="290" t="s">
        <v>947</v>
      </c>
      <c r="E433" s="245"/>
      <c r="F433" s="245"/>
      <c r="G433" s="245"/>
      <c r="H433" s="245"/>
      <c r="I433" s="245"/>
      <c r="J433" s="245"/>
      <c r="K433" s="289"/>
    </row>
    <row r="434" spans="2:11" s="98" customFormat="1" ht="9.75" customHeight="1" x14ac:dyDescent="0.2">
      <c r="B434" s="288"/>
      <c r="C434" s="280" t="str">
        <f>"4:"</f>
        <v>4:</v>
      </c>
      <c r="D434" s="290" t="s">
        <v>948</v>
      </c>
      <c r="E434" s="245"/>
      <c r="F434" s="245"/>
      <c r="G434" s="245"/>
      <c r="H434" s="245"/>
      <c r="I434" s="245"/>
      <c r="J434" s="247"/>
      <c r="K434" s="289"/>
    </row>
    <row r="435" spans="2:11" x14ac:dyDescent="0.2">
      <c r="B435" s="38"/>
      <c r="C435" s="40" t="s">
        <v>257</v>
      </c>
      <c r="D435" s="40"/>
      <c r="E435" s="40"/>
      <c r="F435" s="40"/>
      <c r="G435" s="40"/>
      <c r="H435" s="40"/>
      <c r="I435" s="40"/>
      <c r="J435" s="266"/>
      <c r="K435" s="41"/>
    </row>
    <row r="436" spans="2:11" x14ac:dyDescent="0.2">
      <c r="B436" s="38"/>
      <c r="C436" s="40" t="s">
        <v>261</v>
      </c>
      <c r="D436" s="40"/>
      <c r="E436" s="40"/>
      <c r="F436" s="40"/>
      <c r="G436" s="40"/>
      <c r="H436" s="40"/>
      <c r="I436" s="40"/>
      <c r="J436" s="245" t="str">
        <f>IF(J435=$B$973,$A$973,IF(J435=$B$974,$A$974,IF(J435=$B$975,$A$975,IF(J435=$B$976,$A$976,IF(J435=$B$977,$A$977,"Not Calculated")))))</f>
        <v>Not Calculated</v>
      </c>
      <c r="K436" s="41"/>
    </row>
    <row r="437" spans="2:11" x14ac:dyDescent="0.2">
      <c r="B437" s="38"/>
      <c r="C437" s="40" t="s">
        <v>893</v>
      </c>
      <c r="D437" s="40"/>
      <c r="E437" s="40"/>
      <c r="F437" s="40"/>
      <c r="G437" s="40"/>
      <c r="H437" s="40"/>
      <c r="I437" s="40"/>
      <c r="J437" s="40"/>
      <c r="K437" s="41"/>
    </row>
    <row r="438" spans="2:11" x14ac:dyDescent="0.2">
      <c r="B438" s="38"/>
      <c r="C438" s="399"/>
      <c r="D438" s="400"/>
      <c r="E438" s="400"/>
      <c r="F438" s="400"/>
      <c r="G438" s="400"/>
      <c r="H438" s="400"/>
      <c r="I438" s="400"/>
      <c r="J438" s="401"/>
      <c r="K438" s="41"/>
    </row>
    <row r="439" spans="2:11" x14ac:dyDescent="0.2">
      <c r="B439" s="38"/>
      <c r="C439" s="40"/>
      <c r="D439" s="40"/>
      <c r="E439" s="40"/>
      <c r="F439" s="40"/>
      <c r="G439" s="40"/>
      <c r="H439" s="40"/>
      <c r="I439" s="40"/>
      <c r="J439" s="40"/>
      <c r="K439" s="41"/>
    </row>
    <row r="440" spans="2:11" x14ac:dyDescent="0.2">
      <c r="B440" s="38"/>
      <c r="C440" s="179" t="s">
        <v>301</v>
      </c>
      <c r="D440" s="40"/>
      <c r="E440" s="40"/>
      <c r="F440" s="40"/>
      <c r="G440" s="40"/>
      <c r="H440" s="40"/>
      <c r="I440" s="40"/>
      <c r="J440" s="245" t="str">
        <f>IF(OR(J429="Not Calculated",J436="Not Calculated")=TRUE,"Not Calculated",AVERAGE(J429,J436))</f>
        <v>Not Calculated</v>
      </c>
      <c r="K440" s="41"/>
    </row>
    <row r="441" spans="2:11" x14ac:dyDescent="0.2">
      <c r="B441" s="38"/>
      <c r="C441" s="40"/>
      <c r="D441" s="40"/>
      <c r="E441" s="40"/>
      <c r="F441" s="40"/>
      <c r="G441" s="40"/>
      <c r="H441" s="40"/>
      <c r="I441" s="40"/>
      <c r="J441" s="40"/>
      <c r="K441" s="41"/>
    </row>
    <row r="442" spans="2:11" x14ac:dyDescent="0.2">
      <c r="B442" s="38"/>
      <c r="C442" s="40"/>
      <c r="D442" s="40"/>
      <c r="E442" s="40"/>
      <c r="F442" s="40"/>
      <c r="G442" s="40"/>
      <c r="H442" s="40"/>
      <c r="I442" s="40"/>
      <c r="J442" s="40"/>
      <c r="K442" s="41"/>
    </row>
    <row r="443" spans="2:11" ht="16" x14ac:dyDescent="0.2">
      <c r="B443" s="38"/>
      <c r="C443" s="45" t="s">
        <v>303</v>
      </c>
      <c r="D443" s="40"/>
      <c r="E443" s="40"/>
      <c r="F443" s="40"/>
      <c r="G443" s="40"/>
      <c r="H443" s="40"/>
      <c r="I443" s="40"/>
      <c r="J443" s="40"/>
      <c r="K443" s="41"/>
    </row>
    <row r="444" spans="2:11" ht="15" customHeight="1" x14ac:dyDescent="0.2">
      <c r="B444" s="38"/>
      <c r="C444" s="380" t="s">
        <v>305</v>
      </c>
      <c r="D444" s="380"/>
      <c r="E444" s="380"/>
      <c r="F444" s="380"/>
      <c r="G444" s="380"/>
      <c r="H444" s="380"/>
      <c r="I444" s="380"/>
      <c r="J444" s="40"/>
      <c r="K444" s="41"/>
    </row>
    <row r="445" spans="2:11" x14ac:dyDescent="0.2">
      <c r="B445" s="38"/>
      <c r="C445" s="380"/>
      <c r="D445" s="380"/>
      <c r="E445" s="380"/>
      <c r="F445" s="380"/>
      <c r="G445" s="380"/>
      <c r="H445" s="380"/>
      <c r="I445" s="380"/>
      <c r="J445" s="270"/>
      <c r="K445" s="41"/>
    </row>
    <row r="446" spans="2:11" x14ac:dyDescent="0.2">
      <c r="B446" s="38"/>
      <c r="C446" s="40" t="s">
        <v>260</v>
      </c>
      <c r="D446" s="40"/>
      <c r="E446" s="40"/>
      <c r="F446" s="40"/>
      <c r="G446" s="40"/>
      <c r="H446" s="40"/>
      <c r="I446" s="40"/>
      <c r="J446" s="248">
        <f>IF(J445&lt;=0,0,IF(J445&lt;=1,1,IF(J445&lt;=5,2,IF(J445&lt;=10,3,4))))</f>
        <v>0</v>
      </c>
      <c r="K446" s="41"/>
    </row>
    <row r="447" spans="2:11" ht="9.75" customHeight="1" x14ac:dyDescent="0.2">
      <c r="B447" s="38"/>
      <c r="C447" s="279" t="str">
        <f>"0:"</f>
        <v>0:</v>
      </c>
      <c r="D447" s="278" t="s">
        <v>944</v>
      </c>
      <c r="E447" s="40"/>
      <c r="F447" s="40"/>
      <c r="G447" s="40"/>
      <c r="H447" s="40"/>
      <c r="I447" s="40"/>
      <c r="J447" s="245"/>
      <c r="K447" s="41"/>
    </row>
    <row r="448" spans="2:11" ht="9.75" customHeight="1" x14ac:dyDescent="0.2">
      <c r="B448" s="38"/>
      <c r="C448" s="280" t="str">
        <f>"1:"</f>
        <v>1:</v>
      </c>
      <c r="D448" s="278" t="s">
        <v>945</v>
      </c>
      <c r="E448" s="40"/>
      <c r="F448" s="40"/>
      <c r="G448" s="40"/>
      <c r="H448" s="40"/>
      <c r="I448" s="40"/>
      <c r="J448" s="245"/>
      <c r="K448" s="41"/>
    </row>
    <row r="449" spans="2:11" ht="9.75" customHeight="1" x14ac:dyDescent="0.2">
      <c r="B449" s="38"/>
      <c r="C449" s="280" t="str">
        <f>"2:"</f>
        <v>2:</v>
      </c>
      <c r="D449" s="278" t="s">
        <v>946</v>
      </c>
      <c r="E449" s="40"/>
      <c r="F449" s="40"/>
      <c r="G449" s="40"/>
      <c r="H449" s="40"/>
      <c r="I449" s="40"/>
      <c r="J449" s="245"/>
      <c r="K449" s="41"/>
    </row>
    <row r="450" spans="2:11" ht="9.75" customHeight="1" x14ac:dyDescent="0.2">
      <c r="B450" s="38"/>
      <c r="C450" s="280" t="str">
        <f>"3:"</f>
        <v>3:</v>
      </c>
      <c r="D450" s="278" t="s">
        <v>947</v>
      </c>
      <c r="E450" s="40"/>
      <c r="F450" s="40"/>
      <c r="G450" s="40"/>
      <c r="H450" s="40"/>
      <c r="I450" s="40"/>
      <c r="J450" s="245"/>
      <c r="K450" s="41"/>
    </row>
    <row r="451" spans="2:11" ht="9.75" customHeight="1" x14ac:dyDescent="0.2">
      <c r="B451" s="38"/>
      <c r="C451" s="280" t="str">
        <f>"4:"</f>
        <v>4:</v>
      </c>
      <c r="D451" s="278" t="s">
        <v>948</v>
      </c>
      <c r="E451" s="40"/>
      <c r="F451" s="40"/>
      <c r="G451" s="40"/>
      <c r="H451" s="40"/>
      <c r="I451" s="40"/>
      <c r="J451" s="247"/>
      <c r="K451" s="41"/>
    </row>
    <row r="452" spans="2:11" x14ac:dyDescent="0.2">
      <c r="B452" s="38"/>
      <c r="C452" s="40" t="s">
        <v>257</v>
      </c>
      <c r="D452" s="40"/>
      <c r="E452" s="40"/>
      <c r="F452" s="40"/>
      <c r="G452" s="40"/>
      <c r="H452" s="40"/>
      <c r="I452" s="40"/>
      <c r="J452" s="266"/>
      <c r="K452" s="41"/>
    </row>
    <row r="453" spans="2:11" x14ac:dyDescent="0.2">
      <c r="B453" s="38"/>
      <c r="C453" s="40" t="s">
        <v>261</v>
      </c>
      <c r="D453" s="40"/>
      <c r="E453" s="40"/>
      <c r="F453" s="40"/>
      <c r="G453" s="40"/>
      <c r="H453" s="40"/>
      <c r="I453" s="40"/>
      <c r="J453" s="245" t="str">
        <f>IF(J452=$B$973,$A$973,IF(J452=$B$974,$A$974,IF(J452=$B$975,$A$975,IF(J452=$B$976,$A$976,IF(J452=$B$977,$A$977,"Not Calculated")))))</f>
        <v>Not Calculated</v>
      </c>
      <c r="K453" s="41"/>
    </row>
    <row r="454" spans="2:11" x14ac:dyDescent="0.2">
      <c r="B454" s="38"/>
      <c r="C454" s="40" t="s">
        <v>893</v>
      </c>
      <c r="D454" s="40"/>
      <c r="E454" s="40"/>
      <c r="F454" s="40"/>
      <c r="G454" s="40"/>
      <c r="H454" s="40"/>
      <c r="I454" s="40"/>
      <c r="J454" s="40"/>
      <c r="K454" s="41"/>
    </row>
    <row r="455" spans="2:11" ht="15" customHeight="1" x14ac:dyDescent="0.2">
      <c r="B455" s="38"/>
      <c r="C455" s="399"/>
      <c r="D455" s="400"/>
      <c r="E455" s="400"/>
      <c r="F455" s="400"/>
      <c r="G455" s="400"/>
      <c r="H455" s="400"/>
      <c r="I455" s="400"/>
      <c r="J455" s="401"/>
      <c r="K455" s="41"/>
    </row>
    <row r="456" spans="2:11" x14ac:dyDescent="0.2">
      <c r="B456" s="38"/>
      <c r="C456" s="40"/>
      <c r="D456" s="40"/>
      <c r="E456" s="40"/>
      <c r="F456" s="40"/>
      <c r="G456" s="40"/>
      <c r="H456" s="40"/>
      <c r="I456" s="40"/>
      <c r="J456" s="40"/>
      <c r="K456" s="41"/>
    </row>
    <row r="457" spans="2:11" x14ac:dyDescent="0.2">
      <c r="B457" s="38"/>
      <c r="C457" s="179" t="s">
        <v>304</v>
      </c>
      <c r="D457" s="40"/>
      <c r="E457" s="40"/>
      <c r="F457" s="40"/>
      <c r="G457" s="40"/>
      <c r="H457" s="40"/>
      <c r="I457" s="40"/>
      <c r="J457" s="245" t="str">
        <f>IF(OR(J446="Not Calculated",J453="Not Calculated")=TRUE,"Not Calculated",AVERAGE(J446,J453))</f>
        <v>Not Calculated</v>
      </c>
      <c r="K457" s="41"/>
    </row>
    <row r="458" spans="2:11" x14ac:dyDescent="0.2">
      <c r="B458" s="38"/>
      <c r="C458" s="40"/>
      <c r="D458" s="40"/>
      <c r="E458" s="40"/>
      <c r="F458" s="40"/>
      <c r="G458" s="40"/>
      <c r="H458" s="40"/>
      <c r="I458" s="40"/>
      <c r="J458" s="40"/>
      <c r="K458" s="41"/>
    </row>
    <row r="459" spans="2:11" x14ac:dyDescent="0.2">
      <c r="B459" s="38"/>
      <c r="C459" s="40"/>
      <c r="D459" s="40"/>
      <c r="E459" s="40"/>
      <c r="F459" s="40"/>
      <c r="G459" s="40"/>
      <c r="H459" s="40"/>
      <c r="I459" s="40"/>
      <c r="J459" s="40"/>
      <c r="K459" s="41"/>
    </row>
    <row r="460" spans="2:11" ht="16" x14ac:dyDescent="0.2">
      <c r="B460" s="38"/>
      <c r="C460" s="45" t="s">
        <v>306</v>
      </c>
      <c r="D460" s="40"/>
      <c r="E460" s="40"/>
      <c r="F460" s="40"/>
      <c r="G460" s="40"/>
      <c r="H460" s="40"/>
      <c r="I460" s="40"/>
      <c r="J460" s="40"/>
      <c r="K460" s="41"/>
    </row>
    <row r="461" spans="2:11" x14ac:dyDescent="0.2">
      <c r="B461" s="38"/>
      <c r="C461" s="40" t="s">
        <v>949</v>
      </c>
      <c r="D461" s="40"/>
      <c r="E461" s="40"/>
      <c r="F461" s="40"/>
      <c r="G461" s="40"/>
      <c r="H461" s="40"/>
      <c r="I461" s="40"/>
      <c r="J461" s="270"/>
      <c r="K461" s="41"/>
    </row>
    <row r="462" spans="2:11" x14ac:dyDescent="0.2">
      <c r="B462" s="38"/>
      <c r="C462" s="40" t="s">
        <v>260</v>
      </c>
      <c r="D462" s="40"/>
      <c r="E462" s="40"/>
      <c r="F462" s="40"/>
      <c r="G462" s="40"/>
      <c r="H462" s="40"/>
      <c r="I462" s="40"/>
      <c r="J462" s="248">
        <f>IF(J461&lt;=0,0,IF(J461&lt;=1,1,IF(J461&lt;=5,2,IF(J461&lt;=10,3,4))))</f>
        <v>0</v>
      </c>
      <c r="K462" s="41"/>
    </row>
    <row r="463" spans="2:11" ht="9.75" customHeight="1" x14ac:dyDescent="0.2">
      <c r="B463" s="38"/>
      <c r="C463" s="279" t="str">
        <f>"0:"</f>
        <v>0:</v>
      </c>
      <c r="D463" s="290" t="s">
        <v>944</v>
      </c>
      <c r="E463" s="40"/>
      <c r="F463" s="40"/>
      <c r="G463" s="40"/>
      <c r="H463" s="40"/>
      <c r="I463" s="40"/>
      <c r="J463" s="245"/>
      <c r="K463" s="41"/>
    </row>
    <row r="464" spans="2:11" ht="9.75" customHeight="1" x14ac:dyDescent="0.2">
      <c r="B464" s="38"/>
      <c r="C464" s="280" t="str">
        <f>"1:"</f>
        <v>1:</v>
      </c>
      <c r="D464" s="290" t="s">
        <v>945</v>
      </c>
      <c r="E464" s="40"/>
      <c r="F464" s="40"/>
      <c r="G464" s="40"/>
      <c r="H464" s="40"/>
      <c r="I464" s="40"/>
      <c r="J464" s="245"/>
      <c r="K464" s="41"/>
    </row>
    <row r="465" spans="2:11" ht="9.75" customHeight="1" x14ac:dyDescent="0.2">
      <c r="B465" s="38"/>
      <c r="C465" s="280" t="str">
        <f>"2:"</f>
        <v>2:</v>
      </c>
      <c r="D465" s="290" t="s">
        <v>946</v>
      </c>
      <c r="E465" s="40"/>
      <c r="F465" s="40"/>
      <c r="G465" s="40"/>
      <c r="H465" s="40"/>
      <c r="I465" s="40"/>
      <c r="J465" s="245"/>
      <c r="K465" s="41"/>
    </row>
    <row r="466" spans="2:11" ht="9.75" customHeight="1" x14ac:dyDescent="0.2">
      <c r="B466" s="38"/>
      <c r="C466" s="280" t="str">
        <f>"3:"</f>
        <v>3:</v>
      </c>
      <c r="D466" s="290" t="s">
        <v>947</v>
      </c>
      <c r="E466" s="40"/>
      <c r="F466" s="40"/>
      <c r="G466" s="40"/>
      <c r="H466" s="40"/>
      <c r="I466" s="40"/>
      <c r="J466" s="245"/>
      <c r="K466" s="41"/>
    </row>
    <row r="467" spans="2:11" ht="9.75" customHeight="1" x14ac:dyDescent="0.2">
      <c r="B467" s="38"/>
      <c r="C467" s="280" t="str">
        <f>"4:"</f>
        <v>4:</v>
      </c>
      <c r="D467" s="290" t="s">
        <v>948</v>
      </c>
      <c r="E467" s="40"/>
      <c r="F467" s="40"/>
      <c r="G467" s="40"/>
      <c r="H467" s="40"/>
      <c r="I467" s="40"/>
      <c r="J467" s="247"/>
      <c r="K467" s="41"/>
    </row>
    <row r="468" spans="2:11" x14ac:dyDescent="0.2">
      <c r="B468" s="38"/>
      <c r="C468" s="40" t="s">
        <v>257</v>
      </c>
      <c r="D468" s="40"/>
      <c r="E468" s="40"/>
      <c r="F468" s="40"/>
      <c r="G468" s="40"/>
      <c r="H468" s="40"/>
      <c r="I468" s="40"/>
      <c r="J468" s="266"/>
      <c r="K468" s="41"/>
    </row>
    <row r="469" spans="2:11" ht="15" customHeight="1" x14ac:dyDescent="0.2">
      <c r="B469" s="38"/>
      <c r="C469" s="40" t="s">
        <v>261</v>
      </c>
      <c r="D469" s="40"/>
      <c r="E469" s="40"/>
      <c r="F469" s="40"/>
      <c r="G469" s="40"/>
      <c r="H469" s="40"/>
      <c r="I469" s="40"/>
      <c r="J469" s="245" t="str">
        <f>IF(J468=$B$973,$A$973,IF(J468=$B$974,$A$974,IF(J468=$B$975,$A$975,IF(J468=$B$976,$A$976,IF(J468=$B$977,$A$977,"Not Calculated")))))</f>
        <v>Not Calculated</v>
      </c>
      <c r="K469" s="41"/>
    </row>
    <row r="470" spans="2:11" x14ac:dyDescent="0.2">
      <c r="B470" s="38"/>
      <c r="C470" s="40" t="s">
        <v>893</v>
      </c>
      <c r="D470" s="40"/>
      <c r="E470" s="40"/>
      <c r="F470" s="40"/>
      <c r="G470" s="40"/>
      <c r="H470" s="40"/>
      <c r="I470" s="40"/>
      <c r="J470" s="40"/>
      <c r="K470" s="41"/>
    </row>
    <row r="471" spans="2:11" x14ac:dyDescent="0.2">
      <c r="B471" s="38"/>
      <c r="C471" s="399"/>
      <c r="D471" s="400"/>
      <c r="E471" s="400"/>
      <c r="F471" s="400"/>
      <c r="G471" s="400"/>
      <c r="H471" s="400"/>
      <c r="I471" s="400"/>
      <c r="J471" s="401"/>
      <c r="K471" s="41"/>
    </row>
    <row r="472" spans="2:11" x14ac:dyDescent="0.2">
      <c r="B472" s="38"/>
      <c r="C472" s="40"/>
      <c r="D472" s="40"/>
      <c r="E472" s="40"/>
      <c r="F472" s="40"/>
      <c r="G472" s="40"/>
      <c r="H472" s="40"/>
      <c r="I472" s="40"/>
      <c r="J472" s="40"/>
      <c r="K472" s="41"/>
    </row>
    <row r="473" spans="2:11" x14ac:dyDescent="0.2">
      <c r="B473" s="38"/>
      <c r="C473" s="179" t="s">
        <v>307</v>
      </c>
      <c r="D473" s="40"/>
      <c r="E473" s="40"/>
      <c r="F473" s="40"/>
      <c r="G473" s="40"/>
      <c r="H473" s="40"/>
      <c r="I473" s="40"/>
      <c r="J473" s="245" t="str">
        <f>IF(OR(J462="Not Calculated",J469="Not Calculated")=TRUE,"Not Calculated",AVERAGE(J462,J469))</f>
        <v>Not Calculated</v>
      </c>
      <c r="K473" s="41"/>
    </row>
    <row r="474" spans="2:11" x14ac:dyDescent="0.2">
      <c r="B474" s="38"/>
      <c r="C474" s="40"/>
      <c r="D474" s="40"/>
      <c r="E474" s="40"/>
      <c r="F474" s="40"/>
      <c r="G474" s="40"/>
      <c r="H474" s="40"/>
      <c r="I474" s="40"/>
      <c r="J474" s="40"/>
      <c r="K474" s="41"/>
    </row>
    <row r="475" spans="2:11" x14ac:dyDescent="0.2">
      <c r="B475" s="38"/>
      <c r="C475" s="40"/>
      <c r="D475" s="40"/>
      <c r="E475" s="40"/>
      <c r="F475" s="40"/>
      <c r="G475" s="40"/>
      <c r="H475" s="40"/>
      <c r="I475" s="40"/>
      <c r="J475" s="40"/>
      <c r="K475" s="41"/>
    </row>
    <row r="476" spans="2:11" ht="16" x14ac:dyDescent="0.2">
      <c r="B476" s="38"/>
      <c r="C476" s="45" t="s">
        <v>308</v>
      </c>
      <c r="D476" s="40"/>
      <c r="E476" s="40"/>
      <c r="F476" s="40"/>
      <c r="G476" s="40"/>
      <c r="H476" s="40"/>
      <c r="I476" s="40"/>
      <c r="J476" s="40"/>
      <c r="K476" s="41"/>
    </row>
    <row r="477" spans="2:11" ht="15" customHeight="1" x14ac:dyDescent="0.2">
      <c r="B477" s="38"/>
      <c r="C477" s="380" t="s">
        <v>310</v>
      </c>
      <c r="D477" s="380"/>
      <c r="E477" s="380"/>
      <c r="F477" s="380"/>
      <c r="G477" s="380"/>
      <c r="H477" s="380"/>
      <c r="I477" s="380"/>
      <c r="J477" s="40"/>
      <c r="K477" s="41"/>
    </row>
    <row r="478" spans="2:11" x14ac:dyDescent="0.2">
      <c r="B478" s="38"/>
      <c r="C478" s="380"/>
      <c r="D478" s="380"/>
      <c r="E478" s="380"/>
      <c r="F478" s="380"/>
      <c r="G478" s="380"/>
      <c r="H478" s="380"/>
      <c r="I478" s="380"/>
      <c r="J478" s="131"/>
      <c r="K478" s="41"/>
    </row>
    <row r="479" spans="2:11" x14ac:dyDescent="0.2">
      <c r="B479" s="38"/>
      <c r="C479" s="40" t="s">
        <v>261</v>
      </c>
      <c r="D479" s="40"/>
      <c r="E479" s="40"/>
      <c r="F479" s="40"/>
      <c r="G479" s="40"/>
      <c r="H479" s="40"/>
      <c r="I479" s="40"/>
      <c r="J479" s="245">
        <f>IF(J478&lt;=0,0,IF(J478&lt;=1,1,IF(J478&lt;=7,2,IF(J478&lt;=14,3,4))))</f>
        <v>0</v>
      </c>
      <c r="K479" s="41"/>
    </row>
    <row r="480" spans="2:11" s="51" customFormat="1" ht="9.75" customHeight="1" x14ac:dyDescent="0.2">
      <c r="B480" s="283"/>
      <c r="C480" s="279" t="str">
        <f>"0:"</f>
        <v>0:</v>
      </c>
      <c r="D480" s="284" t="s">
        <v>950</v>
      </c>
      <c r="E480" s="285"/>
      <c r="F480" s="285"/>
      <c r="G480" s="285"/>
      <c r="H480" s="285"/>
      <c r="I480" s="285"/>
      <c r="J480" s="43"/>
      <c r="K480" s="286"/>
    </row>
    <row r="481" spans="2:11" s="51" customFormat="1" ht="9.75" customHeight="1" x14ac:dyDescent="0.2">
      <c r="B481" s="283"/>
      <c r="C481" s="280" t="str">
        <f>"1:"</f>
        <v>1:</v>
      </c>
      <c r="D481" s="284" t="s">
        <v>951</v>
      </c>
      <c r="E481" s="285"/>
      <c r="F481" s="285"/>
      <c r="G481" s="285"/>
      <c r="H481" s="285"/>
      <c r="I481" s="285"/>
      <c r="J481" s="43"/>
      <c r="K481" s="286"/>
    </row>
    <row r="482" spans="2:11" s="51" customFormat="1" ht="9.75" customHeight="1" x14ac:dyDescent="0.2">
      <c r="B482" s="283"/>
      <c r="C482" s="280" t="str">
        <f>"2:"</f>
        <v>2:</v>
      </c>
      <c r="D482" s="284" t="s">
        <v>952</v>
      </c>
      <c r="E482" s="285"/>
      <c r="F482" s="285"/>
      <c r="G482" s="285"/>
      <c r="H482" s="285"/>
      <c r="I482" s="285"/>
      <c r="J482" s="43"/>
      <c r="K482" s="286"/>
    </row>
    <row r="483" spans="2:11" s="51" customFormat="1" ht="9.75" customHeight="1" x14ac:dyDescent="0.2">
      <c r="B483" s="283"/>
      <c r="C483" s="280" t="str">
        <f>"3:"</f>
        <v>3:</v>
      </c>
      <c r="D483" s="284" t="s">
        <v>953</v>
      </c>
      <c r="E483" s="285"/>
      <c r="F483" s="285"/>
      <c r="G483" s="285"/>
      <c r="H483" s="285"/>
      <c r="I483" s="285"/>
      <c r="J483" s="43"/>
      <c r="K483" s="286"/>
    </row>
    <row r="484" spans="2:11" s="51" customFormat="1" ht="9.75" customHeight="1" x14ac:dyDescent="0.2">
      <c r="B484" s="283"/>
      <c r="C484" s="280" t="str">
        <f>"4:"</f>
        <v>4:</v>
      </c>
      <c r="D484" s="284" t="s">
        <v>954</v>
      </c>
      <c r="E484" s="285"/>
      <c r="F484" s="285"/>
      <c r="G484" s="285"/>
      <c r="H484" s="285"/>
      <c r="I484" s="285"/>
      <c r="J484" s="43"/>
      <c r="K484" s="286"/>
    </row>
    <row r="485" spans="2:11" x14ac:dyDescent="0.2">
      <c r="B485" s="38"/>
      <c r="C485" s="40" t="s">
        <v>893</v>
      </c>
      <c r="D485" s="40"/>
      <c r="E485" s="40"/>
      <c r="F485" s="40"/>
      <c r="G485" s="40"/>
      <c r="H485" s="40"/>
      <c r="I485" s="40"/>
      <c r="J485" s="40"/>
      <c r="K485" s="41"/>
    </row>
    <row r="486" spans="2:11" x14ac:dyDescent="0.2">
      <c r="B486" s="38"/>
      <c r="C486" s="399"/>
      <c r="D486" s="400"/>
      <c r="E486" s="400"/>
      <c r="F486" s="400"/>
      <c r="G486" s="400"/>
      <c r="H486" s="400"/>
      <c r="I486" s="400"/>
      <c r="J486" s="401"/>
      <c r="K486" s="41"/>
    </row>
    <row r="487" spans="2:11" x14ac:dyDescent="0.2">
      <c r="B487" s="38"/>
      <c r="C487" s="40"/>
      <c r="D487" s="40"/>
      <c r="E487" s="40"/>
      <c r="F487" s="40"/>
      <c r="G487" s="40"/>
      <c r="H487" s="40"/>
      <c r="I487" s="40"/>
      <c r="J487" s="40"/>
      <c r="K487" s="41"/>
    </row>
    <row r="488" spans="2:11" x14ac:dyDescent="0.2">
      <c r="B488" s="38"/>
      <c r="C488" s="179" t="s">
        <v>309</v>
      </c>
      <c r="D488" s="40"/>
      <c r="E488" s="40"/>
      <c r="F488" s="40"/>
      <c r="G488" s="40"/>
      <c r="H488" s="40"/>
      <c r="I488" s="40"/>
      <c r="J488" s="245">
        <f>J479</f>
        <v>0</v>
      </c>
      <c r="K488" s="41"/>
    </row>
    <row r="489" spans="2:11" x14ac:dyDescent="0.2">
      <c r="B489" s="38"/>
      <c r="C489" s="40"/>
      <c r="D489" s="40"/>
      <c r="E489" s="40"/>
      <c r="F489" s="40"/>
      <c r="G489" s="40"/>
      <c r="H489" s="40"/>
      <c r="I489" s="40"/>
      <c r="J489" s="40"/>
      <c r="K489" s="41"/>
    </row>
    <row r="490" spans="2:11" x14ac:dyDescent="0.2">
      <c r="B490" s="38"/>
      <c r="C490" s="40"/>
      <c r="D490" s="40"/>
      <c r="E490" s="40"/>
      <c r="F490" s="40"/>
      <c r="G490" s="40"/>
      <c r="H490" s="40"/>
      <c r="I490" s="40"/>
      <c r="J490" s="40"/>
      <c r="K490" s="41"/>
    </row>
    <row r="491" spans="2:11" ht="16" x14ac:dyDescent="0.2">
      <c r="B491" s="38"/>
      <c r="C491" s="45" t="s">
        <v>311</v>
      </c>
      <c r="D491" s="40"/>
      <c r="E491" s="40"/>
      <c r="F491" s="40"/>
      <c r="G491" s="40"/>
      <c r="H491" s="40"/>
      <c r="I491" s="40"/>
      <c r="J491" s="40"/>
      <c r="K491" s="41"/>
    </row>
    <row r="492" spans="2:11" x14ac:dyDescent="0.2">
      <c r="B492" s="38"/>
      <c r="C492" s="40" t="s">
        <v>312</v>
      </c>
      <c r="D492" s="40"/>
      <c r="E492" s="40"/>
      <c r="F492" s="40"/>
      <c r="G492" s="40"/>
      <c r="H492" s="40"/>
      <c r="I492" s="40"/>
      <c r="J492" s="270"/>
      <c r="K492" s="41"/>
    </row>
    <row r="493" spans="2:11" x14ac:dyDescent="0.2">
      <c r="B493" s="38"/>
      <c r="C493" s="40" t="s">
        <v>260</v>
      </c>
      <c r="D493" s="40"/>
      <c r="E493" s="40"/>
      <c r="F493" s="40"/>
      <c r="G493" s="40"/>
      <c r="H493" s="40"/>
      <c r="I493" s="40"/>
      <c r="J493" s="248">
        <f>IF(J492&lt;=0,0,IF(J492&lt;=1,1,IF(J492&lt;=5,2,IF(J492&lt;=10,3,4))))</f>
        <v>0</v>
      </c>
      <c r="K493" s="41"/>
    </row>
    <row r="494" spans="2:11" ht="9.75" customHeight="1" x14ac:dyDescent="0.2">
      <c r="B494" s="38"/>
      <c r="C494" s="279" t="str">
        <f>"0:"</f>
        <v>0:</v>
      </c>
      <c r="D494" s="290" t="s">
        <v>955</v>
      </c>
      <c r="E494" s="40"/>
      <c r="F494" s="40"/>
      <c r="G494" s="40"/>
      <c r="H494" s="40"/>
      <c r="I494" s="40"/>
      <c r="J494" s="245"/>
      <c r="K494" s="41"/>
    </row>
    <row r="495" spans="2:11" ht="9.75" customHeight="1" x14ac:dyDescent="0.2">
      <c r="B495" s="38"/>
      <c r="C495" s="280" t="str">
        <f>"1:"</f>
        <v>1:</v>
      </c>
      <c r="D495" s="290" t="s">
        <v>956</v>
      </c>
      <c r="E495" s="40"/>
      <c r="F495" s="40"/>
      <c r="G495" s="40"/>
      <c r="H495" s="40"/>
      <c r="I495" s="40"/>
      <c r="J495" s="245"/>
      <c r="K495" s="41"/>
    </row>
    <row r="496" spans="2:11" ht="9.75" customHeight="1" x14ac:dyDescent="0.2">
      <c r="B496" s="38"/>
      <c r="C496" s="280" t="str">
        <f>"2:"</f>
        <v>2:</v>
      </c>
      <c r="D496" s="290" t="s">
        <v>957</v>
      </c>
      <c r="E496" s="40"/>
      <c r="F496" s="40"/>
      <c r="G496" s="40"/>
      <c r="H496" s="40"/>
      <c r="I496" s="40"/>
      <c r="J496" s="245"/>
      <c r="K496" s="41"/>
    </row>
    <row r="497" spans="2:11" ht="9.75" customHeight="1" x14ac:dyDescent="0.2">
      <c r="B497" s="38"/>
      <c r="C497" s="280" t="str">
        <f>"3:"</f>
        <v>3:</v>
      </c>
      <c r="D497" s="290" t="s">
        <v>958</v>
      </c>
      <c r="E497" s="40"/>
      <c r="F497" s="40"/>
      <c r="G497" s="40"/>
      <c r="H497" s="40"/>
      <c r="I497" s="40"/>
      <c r="J497" s="245"/>
      <c r="K497" s="41"/>
    </row>
    <row r="498" spans="2:11" ht="9.75" customHeight="1" x14ac:dyDescent="0.2">
      <c r="B498" s="38"/>
      <c r="C498" s="280" t="str">
        <f>"4:"</f>
        <v>4:</v>
      </c>
      <c r="D498" s="290" t="s">
        <v>959</v>
      </c>
      <c r="E498" s="40"/>
      <c r="F498" s="40"/>
      <c r="G498" s="40"/>
      <c r="H498" s="40"/>
      <c r="I498" s="40"/>
      <c r="J498" s="247"/>
      <c r="K498" s="41"/>
    </row>
    <row r="499" spans="2:11" x14ac:dyDescent="0.2">
      <c r="B499" s="38"/>
      <c r="C499" s="40" t="s">
        <v>313</v>
      </c>
      <c r="D499" s="40"/>
      <c r="E499" s="40"/>
      <c r="F499" s="40"/>
      <c r="G499" s="40"/>
      <c r="H499" s="40"/>
      <c r="I499" s="40"/>
      <c r="J499" s="266"/>
      <c r="K499" s="41"/>
    </row>
    <row r="500" spans="2:11" x14ac:dyDescent="0.2">
      <c r="B500" s="38"/>
      <c r="C500" s="40" t="s">
        <v>261</v>
      </c>
      <c r="D500" s="40"/>
      <c r="E500" s="40"/>
      <c r="F500" s="40"/>
      <c r="G500" s="40"/>
      <c r="H500" s="40"/>
      <c r="I500" s="40"/>
      <c r="J500" s="245" t="str">
        <f>IF(J499=$B$973,$A$973,IF(J499=$B$974,$A$974,IF(J499=$B$975,$A$975,IF(J499=$B$976,$A$976,IF(J499=$B$977,$A$977,"Not Calculated")))))</f>
        <v>Not Calculated</v>
      </c>
      <c r="K500" s="41"/>
    </row>
    <row r="501" spans="2:11" x14ac:dyDescent="0.2">
      <c r="B501" s="38"/>
      <c r="C501" s="40" t="s">
        <v>893</v>
      </c>
      <c r="D501" s="40"/>
      <c r="E501" s="40"/>
      <c r="F501" s="40"/>
      <c r="G501" s="40"/>
      <c r="H501" s="40"/>
      <c r="I501" s="40"/>
      <c r="J501" s="40"/>
      <c r="K501" s="41"/>
    </row>
    <row r="502" spans="2:11" x14ac:dyDescent="0.2">
      <c r="B502" s="38"/>
      <c r="C502" s="399"/>
      <c r="D502" s="400"/>
      <c r="E502" s="400"/>
      <c r="F502" s="400"/>
      <c r="G502" s="400"/>
      <c r="H502" s="400"/>
      <c r="I502" s="400"/>
      <c r="J502" s="401"/>
      <c r="K502" s="41"/>
    </row>
    <row r="503" spans="2:11" x14ac:dyDescent="0.2">
      <c r="B503" s="38"/>
      <c r="C503" s="40"/>
      <c r="D503" s="40"/>
      <c r="E503" s="40"/>
      <c r="F503" s="40"/>
      <c r="G503" s="40"/>
      <c r="H503" s="40"/>
      <c r="I503" s="40"/>
      <c r="J503" s="40"/>
      <c r="K503" s="41"/>
    </row>
    <row r="504" spans="2:11" x14ac:dyDescent="0.2">
      <c r="B504" s="38"/>
      <c r="C504" s="179" t="s">
        <v>321</v>
      </c>
      <c r="D504" s="40"/>
      <c r="E504" s="40"/>
      <c r="F504" s="40"/>
      <c r="G504" s="40"/>
      <c r="H504" s="40"/>
      <c r="I504" s="40"/>
      <c r="J504" s="245" t="str">
        <f>IF(OR(J493="Not Calculated",J500="Not Calculated")=TRUE,"Not Calculated",AVERAGE(J493,J500))</f>
        <v>Not Calculated</v>
      </c>
      <c r="K504" s="41"/>
    </row>
    <row r="505" spans="2:11" x14ac:dyDescent="0.2">
      <c r="B505" s="38"/>
      <c r="C505" s="40"/>
      <c r="D505" s="40"/>
      <c r="E505" s="40"/>
      <c r="F505" s="40"/>
      <c r="G505" s="40"/>
      <c r="H505" s="40"/>
      <c r="I505" s="40"/>
      <c r="J505" s="40"/>
      <c r="K505" s="41"/>
    </row>
    <row r="506" spans="2:11" x14ac:dyDescent="0.2">
      <c r="B506" s="38"/>
      <c r="C506" s="40"/>
      <c r="D506" s="40"/>
      <c r="E506" s="40"/>
      <c r="F506" s="40"/>
      <c r="G506" s="40"/>
      <c r="H506" s="40"/>
      <c r="I506" s="40"/>
      <c r="J506" s="40"/>
      <c r="K506" s="41"/>
    </row>
    <row r="507" spans="2:11" ht="16" x14ac:dyDescent="0.2">
      <c r="B507" s="38"/>
      <c r="C507" s="45" t="s">
        <v>314</v>
      </c>
      <c r="D507" s="40"/>
      <c r="E507" s="40"/>
      <c r="F507" s="40"/>
      <c r="G507" s="40"/>
      <c r="H507" s="40"/>
      <c r="I507" s="40"/>
      <c r="J507" s="40"/>
      <c r="K507" s="41"/>
    </row>
    <row r="508" spans="2:11" x14ac:dyDescent="0.2">
      <c r="B508" s="38"/>
      <c r="C508" s="40" t="s">
        <v>316</v>
      </c>
      <c r="D508" s="40"/>
      <c r="E508" s="40"/>
      <c r="F508" s="40"/>
      <c r="G508" s="40"/>
      <c r="H508" s="40"/>
      <c r="I508" s="40"/>
      <c r="J508" s="269"/>
      <c r="K508" s="41"/>
    </row>
    <row r="509" spans="2:11" x14ac:dyDescent="0.2">
      <c r="B509" s="38"/>
      <c r="C509" s="40" t="s">
        <v>260</v>
      </c>
      <c r="D509" s="40"/>
      <c r="E509" s="40"/>
      <c r="F509" s="40"/>
      <c r="G509" s="40"/>
      <c r="H509" s="40"/>
      <c r="I509" s="40"/>
      <c r="J509" s="248">
        <f>IF(J508&lt;=0,0,IF(J508&lt;=1000,1,IF(J508&lt;=5000,2,IF(J508&lt;=25000,3,4))))</f>
        <v>0</v>
      </c>
      <c r="K509" s="41"/>
    </row>
    <row r="510" spans="2:11" s="51" customFormat="1" ht="9.75" customHeight="1" x14ac:dyDescent="0.2">
      <c r="B510" s="283"/>
      <c r="C510" s="279" t="str">
        <f>"0:"</f>
        <v>0:</v>
      </c>
      <c r="D510" s="284" t="s">
        <v>960</v>
      </c>
      <c r="E510" s="285"/>
      <c r="F510" s="285"/>
      <c r="G510" s="285"/>
      <c r="H510" s="285"/>
      <c r="I510" s="285"/>
      <c r="J510" s="43"/>
      <c r="K510" s="286"/>
    </row>
    <row r="511" spans="2:11" s="51" customFormat="1" ht="9.75" customHeight="1" x14ac:dyDescent="0.2">
      <c r="B511" s="283"/>
      <c r="C511" s="280" t="str">
        <f>"1:"</f>
        <v>1:</v>
      </c>
      <c r="D511" s="284" t="s">
        <v>961</v>
      </c>
      <c r="E511" s="285"/>
      <c r="F511" s="285"/>
      <c r="G511" s="285"/>
      <c r="H511" s="285"/>
      <c r="I511" s="285"/>
      <c r="J511" s="43"/>
      <c r="K511" s="286"/>
    </row>
    <row r="512" spans="2:11" s="51" customFormat="1" ht="9.75" customHeight="1" x14ac:dyDescent="0.2">
      <c r="B512" s="283"/>
      <c r="C512" s="280" t="str">
        <f>"2:"</f>
        <v>2:</v>
      </c>
      <c r="D512" s="284" t="s">
        <v>962</v>
      </c>
      <c r="E512" s="285"/>
      <c r="F512" s="285"/>
      <c r="G512" s="285"/>
      <c r="H512" s="285"/>
      <c r="I512" s="285"/>
      <c r="J512" s="43"/>
      <c r="K512" s="286"/>
    </row>
    <row r="513" spans="2:11" s="51" customFormat="1" ht="9.75" customHeight="1" x14ac:dyDescent="0.2">
      <c r="B513" s="283"/>
      <c r="C513" s="280" t="str">
        <f>"3:"</f>
        <v>3:</v>
      </c>
      <c r="D513" s="284" t="s">
        <v>963</v>
      </c>
      <c r="E513" s="285"/>
      <c r="F513" s="285"/>
      <c r="G513" s="285"/>
      <c r="H513" s="285"/>
      <c r="I513" s="285"/>
      <c r="J513" s="43"/>
      <c r="K513" s="286"/>
    </row>
    <row r="514" spans="2:11" s="51" customFormat="1" ht="9.75" customHeight="1" x14ac:dyDescent="0.2">
      <c r="B514" s="283"/>
      <c r="C514" s="280" t="str">
        <f>"4:"</f>
        <v>4:</v>
      </c>
      <c r="D514" s="284" t="s">
        <v>964</v>
      </c>
      <c r="E514" s="285"/>
      <c r="F514" s="285"/>
      <c r="G514" s="285"/>
      <c r="H514" s="285"/>
      <c r="I514" s="285"/>
      <c r="J514" s="287"/>
      <c r="K514" s="286"/>
    </row>
    <row r="515" spans="2:11" x14ac:dyDescent="0.2">
      <c r="B515" s="38"/>
      <c r="C515" s="40" t="s">
        <v>315</v>
      </c>
      <c r="D515" s="40"/>
      <c r="E515" s="40"/>
      <c r="F515" s="40"/>
      <c r="G515" s="40"/>
      <c r="H515" s="40"/>
      <c r="I515" s="40"/>
      <c r="J515" s="266"/>
      <c r="K515" s="41"/>
    </row>
    <row r="516" spans="2:11" x14ac:dyDescent="0.2">
      <c r="B516" s="38"/>
      <c r="C516" s="40" t="s">
        <v>261</v>
      </c>
      <c r="D516" s="40"/>
      <c r="E516" s="40"/>
      <c r="F516" s="40"/>
      <c r="G516" s="40"/>
      <c r="H516" s="40"/>
      <c r="I516" s="40"/>
      <c r="J516" s="245" t="str">
        <f>IF(J515=$B$973,$A$973,IF(J515=$B$974,$A$974,IF(J515=$B$975,$A$975,IF(J515=$B$976,$A$976,IF(J515=$B$977,$A$977,"Not Calculated")))))</f>
        <v>Not Calculated</v>
      </c>
      <c r="K516" s="41"/>
    </row>
    <row r="517" spans="2:11" x14ac:dyDescent="0.2">
      <c r="B517" s="38"/>
      <c r="C517" s="40" t="s">
        <v>893</v>
      </c>
      <c r="D517" s="40"/>
      <c r="E517" s="40"/>
      <c r="F517" s="40"/>
      <c r="G517" s="40"/>
      <c r="H517" s="40"/>
      <c r="I517" s="40"/>
      <c r="J517" s="40"/>
      <c r="K517" s="41"/>
    </row>
    <row r="518" spans="2:11" ht="15" customHeight="1" x14ac:dyDescent="0.2">
      <c r="B518" s="38"/>
      <c r="C518" s="399"/>
      <c r="D518" s="400"/>
      <c r="E518" s="400"/>
      <c r="F518" s="400"/>
      <c r="G518" s="400"/>
      <c r="H518" s="400"/>
      <c r="I518" s="400"/>
      <c r="J518" s="401"/>
      <c r="K518" s="41"/>
    </row>
    <row r="519" spans="2:11" x14ac:dyDescent="0.2">
      <c r="B519" s="38"/>
      <c r="C519" s="40"/>
      <c r="D519" s="40"/>
      <c r="E519" s="40"/>
      <c r="F519" s="40"/>
      <c r="G519" s="40"/>
      <c r="H519" s="40"/>
      <c r="I519" s="40"/>
      <c r="J519" s="40"/>
      <c r="K519" s="41"/>
    </row>
    <row r="520" spans="2:11" x14ac:dyDescent="0.2">
      <c r="B520" s="38"/>
      <c r="C520" s="179" t="s">
        <v>320</v>
      </c>
      <c r="D520" s="40"/>
      <c r="E520" s="40"/>
      <c r="F520" s="40"/>
      <c r="G520" s="40"/>
      <c r="H520" s="40"/>
      <c r="I520" s="40"/>
      <c r="J520" s="245" t="str">
        <f>IF(OR(J509="Not Calculated",J516="Not Calculated")=TRUE,"Not Calculated",AVERAGE(J509,J516))</f>
        <v>Not Calculated</v>
      </c>
      <c r="K520" s="41"/>
    </row>
    <row r="521" spans="2:11" x14ac:dyDescent="0.2">
      <c r="B521" s="38"/>
      <c r="C521" s="40"/>
      <c r="D521" s="40"/>
      <c r="E521" s="40"/>
      <c r="F521" s="40"/>
      <c r="G521" s="40"/>
      <c r="H521" s="40"/>
      <c r="I521" s="40"/>
      <c r="J521" s="40"/>
      <c r="K521" s="41"/>
    </row>
    <row r="522" spans="2:11" x14ac:dyDescent="0.2">
      <c r="B522" s="38"/>
      <c r="C522" s="40"/>
      <c r="D522" s="40"/>
      <c r="E522" s="40"/>
      <c r="F522" s="40"/>
      <c r="G522" s="40"/>
      <c r="H522" s="40"/>
      <c r="I522" s="40"/>
      <c r="J522" s="40"/>
      <c r="K522" s="41"/>
    </row>
    <row r="523" spans="2:11" ht="16" x14ac:dyDescent="0.2">
      <c r="B523" s="38"/>
      <c r="C523" s="45" t="s">
        <v>317</v>
      </c>
      <c r="D523" s="40"/>
      <c r="E523" s="40"/>
      <c r="F523" s="40"/>
      <c r="G523" s="40"/>
      <c r="H523" s="40"/>
      <c r="I523" s="40"/>
      <c r="J523" s="40"/>
      <c r="K523" s="41"/>
    </row>
    <row r="524" spans="2:11" ht="15" customHeight="1" x14ac:dyDescent="0.2">
      <c r="B524" s="38"/>
      <c r="C524" s="380" t="s">
        <v>318</v>
      </c>
      <c r="D524" s="380"/>
      <c r="E524" s="380"/>
      <c r="F524" s="380"/>
      <c r="G524" s="380"/>
      <c r="H524" s="380"/>
      <c r="I524" s="380"/>
      <c r="J524" s="40"/>
      <c r="K524" s="41"/>
    </row>
    <row r="525" spans="2:11" x14ac:dyDescent="0.2">
      <c r="B525" s="38"/>
      <c r="C525" s="380"/>
      <c r="D525" s="380"/>
      <c r="E525" s="380"/>
      <c r="F525" s="380"/>
      <c r="G525" s="380"/>
      <c r="H525" s="380"/>
      <c r="I525" s="380"/>
      <c r="J525" s="274"/>
      <c r="K525" s="41"/>
    </row>
    <row r="526" spans="2:11" x14ac:dyDescent="0.2">
      <c r="B526" s="38"/>
      <c r="C526" s="40" t="s">
        <v>260</v>
      </c>
      <c r="D526" s="40"/>
      <c r="E526" s="40"/>
      <c r="F526" s="40"/>
      <c r="G526" s="40"/>
      <c r="H526" s="40"/>
      <c r="I526" s="40"/>
      <c r="J526" s="248">
        <f>IF(J525&lt;=0,0,IF(J525&lt;=1,1,IF(J525&lt;=5,2,IF(J525&lt;=10,3,4))))</f>
        <v>0</v>
      </c>
      <c r="K526" s="41"/>
    </row>
    <row r="527" spans="2:11" s="51" customFormat="1" ht="9.75" customHeight="1" x14ac:dyDescent="0.2">
      <c r="B527" s="283"/>
      <c r="C527" s="279" t="str">
        <f>"0:"</f>
        <v>0:</v>
      </c>
      <c r="D527" s="284" t="s">
        <v>965</v>
      </c>
      <c r="E527" s="285"/>
      <c r="F527" s="285"/>
      <c r="G527" s="285"/>
      <c r="H527" s="285"/>
      <c r="I527" s="285"/>
      <c r="J527" s="43"/>
      <c r="K527" s="286"/>
    </row>
    <row r="528" spans="2:11" s="51" customFormat="1" ht="9.75" customHeight="1" x14ac:dyDescent="0.2">
      <c r="B528" s="283"/>
      <c r="C528" s="280" t="str">
        <f>"1:"</f>
        <v>1:</v>
      </c>
      <c r="D528" s="284" t="s">
        <v>966</v>
      </c>
      <c r="E528" s="285"/>
      <c r="F528" s="285"/>
      <c r="G528" s="285"/>
      <c r="H528" s="285"/>
      <c r="I528" s="285"/>
      <c r="J528" s="43"/>
      <c r="K528" s="286"/>
    </row>
    <row r="529" spans="2:11" s="51" customFormat="1" ht="9.75" customHeight="1" x14ac:dyDescent="0.2">
      <c r="B529" s="283"/>
      <c r="C529" s="280" t="str">
        <f>"2:"</f>
        <v>2:</v>
      </c>
      <c r="D529" s="284" t="s">
        <v>967</v>
      </c>
      <c r="E529" s="285"/>
      <c r="F529" s="285"/>
      <c r="G529" s="285"/>
      <c r="H529" s="285"/>
      <c r="I529" s="285"/>
      <c r="J529" s="43"/>
      <c r="K529" s="286"/>
    </row>
    <row r="530" spans="2:11" s="51" customFormat="1" ht="9.75" customHeight="1" x14ac:dyDescent="0.2">
      <c r="B530" s="283"/>
      <c r="C530" s="280" t="str">
        <f>"3:"</f>
        <v>3:</v>
      </c>
      <c r="D530" s="284" t="s">
        <v>968</v>
      </c>
      <c r="E530" s="285"/>
      <c r="F530" s="285"/>
      <c r="G530" s="285"/>
      <c r="H530" s="285"/>
      <c r="I530" s="285"/>
      <c r="J530" s="43"/>
      <c r="K530" s="286"/>
    </row>
    <row r="531" spans="2:11" s="51" customFormat="1" ht="9.75" customHeight="1" x14ac:dyDescent="0.2">
      <c r="B531" s="283"/>
      <c r="C531" s="280" t="str">
        <f>"4:"</f>
        <v>4:</v>
      </c>
      <c r="D531" s="284" t="s">
        <v>969</v>
      </c>
      <c r="E531" s="285"/>
      <c r="F531" s="285"/>
      <c r="G531" s="285"/>
      <c r="H531" s="285"/>
      <c r="I531" s="285"/>
      <c r="J531" s="287"/>
      <c r="K531" s="286"/>
    </row>
    <row r="532" spans="2:11" x14ac:dyDescent="0.2">
      <c r="B532" s="38"/>
      <c r="C532" s="40" t="s">
        <v>257</v>
      </c>
      <c r="D532" s="40"/>
      <c r="E532" s="40"/>
      <c r="F532" s="40"/>
      <c r="G532" s="40"/>
      <c r="H532" s="40"/>
      <c r="I532" s="40"/>
      <c r="J532" s="266"/>
      <c r="K532" s="41"/>
    </row>
    <row r="533" spans="2:11" x14ac:dyDescent="0.2">
      <c r="B533" s="38"/>
      <c r="C533" s="40" t="s">
        <v>261</v>
      </c>
      <c r="D533" s="40"/>
      <c r="E533" s="40"/>
      <c r="F533" s="40"/>
      <c r="G533" s="40"/>
      <c r="H533" s="40"/>
      <c r="I533" s="40"/>
      <c r="J533" s="245" t="str">
        <f>IF(J532=$B$973,$A$973,IF(J532=$B$974,$A$974,IF(J532=$B$975,$A$975,IF(J532=$B$976,$A$976,IF(J532=$B$977,$A$977,"Not Calculated")))))</f>
        <v>Not Calculated</v>
      </c>
      <c r="K533" s="41"/>
    </row>
    <row r="534" spans="2:11" x14ac:dyDescent="0.2">
      <c r="B534" s="38"/>
      <c r="C534" s="40" t="s">
        <v>893</v>
      </c>
      <c r="D534" s="40"/>
      <c r="E534" s="40"/>
      <c r="F534" s="40"/>
      <c r="G534" s="40"/>
      <c r="H534" s="40"/>
      <c r="I534" s="40"/>
      <c r="J534" s="40"/>
      <c r="K534" s="41"/>
    </row>
    <row r="535" spans="2:11" ht="15" customHeight="1" x14ac:dyDescent="0.2">
      <c r="B535" s="38"/>
      <c r="C535" s="399"/>
      <c r="D535" s="400"/>
      <c r="E535" s="400"/>
      <c r="F535" s="400"/>
      <c r="G535" s="400"/>
      <c r="H535" s="400"/>
      <c r="I535" s="400"/>
      <c r="J535" s="401"/>
      <c r="K535" s="41"/>
    </row>
    <row r="536" spans="2:11" x14ac:dyDescent="0.2">
      <c r="B536" s="38"/>
      <c r="C536" s="40"/>
      <c r="D536" s="40"/>
      <c r="E536" s="40"/>
      <c r="F536" s="40"/>
      <c r="G536" s="40"/>
      <c r="H536" s="40"/>
      <c r="I536" s="40"/>
      <c r="J536" s="40"/>
      <c r="K536" s="41"/>
    </row>
    <row r="537" spans="2:11" x14ac:dyDescent="0.2">
      <c r="B537" s="38"/>
      <c r="C537" s="179" t="s">
        <v>319</v>
      </c>
      <c r="D537" s="40"/>
      <c r="E537" s="40"/>
      <c r="F537" s="40"/>
      <c r="G537" s="40"/>
      <c r="H537" s="40"/>
      <c r="I537" s="40"/>
      <c r="J537" s="245" t="str">
        <f>IF(OR(J526="Not Calculated",J533="Not Calculated")=TRUE,"Not Calculated",AVERAGE(J526,J533))</f>
        <v>Not Calculated</v>
      </c>
      <c r="K537" s="41"/>
    </row>
    <row r="538" spans="2:11" x14ac:dyDescent="0.2">
      <c r="B538" s="38"/>
      <c r="C538" s="40"/>
      <c r="D538" s="40"/>
      <c r="E538" s="40"/>
      <c r="F538" s="40"/>
      <c r="G538" s="40"/>
      <c r="H538" s="40"/>
      <c r="I538" s="40"/>
      <c r="J538" s="40"/>
      <c r="K538" s="41"/>
    </row>
    <row r="539" spans="2:11" ht="18" x14ac:dyDescent="0.2">
      <c r="B539" s="38"/>
      <c r="C539" s="180" t="s">
        <v>302</v>
      </c>
      <c r="D539" s="40"/>
      <c r="E539" s="40"/>
      <c r="F539" s="40"/>
      <c r="G539" s="40"/>
      <c r="H539" s="40"/>
      <c r="I539" s="40"/>
      <c r="J539" s="244" t="str">
        <f>IF(OR(J440="Not Calculated",J457="Not Calculated",J473="Not Calculated",J488="Not Calculated",J504="Not Calculated",J520="Not Calculated",J537="Not Calculated")=TRUE,"Not Calculated",AVERAGE(J440,J457,J473,J488,J504,J520,J537))</f>
        <v>Not Calculated</v>
      </c>
      <c r="K539" s="41"/>
    </row>
    <row r="540" spans="2:11" ht="16" thickBot="1" x14ac:dyDescent="0.25">
      <c r="B540" s="46"/>
      <c r="C540" s="47"/>
      <c r="D540" s="47"/>
      <c r="E540" s="47"/>
      <c r="F540" s="47"/>
      <c r="G540" s="47"/>
      <c r="H540" s="47"/>
      <c r="I540" s="47"/>
      <c r="J540" s="47"/>
      <c r="K540" s="49"/>
    </row>
    <row r="541" spans="2:11" ht="16" thickBot="1" x14ac:dyDescent="0.25"/>
    <row r="542" spans="2:11" x14ac:dyDescent="0.2">
      <c r="B542" s="33"/>
      <c r="C542" s="34"/>
      <c r="D542" s="34"/>
      <c r="E542" s="34"/>
      <c r="F542" s="34"/>
      <c r="G542" s="34"/>
      <c r="H542" s="34"/>
      <c r="I542" s="34"/>
      <c r="J542" s="34"/>
      <c r="K542" s="37"/>
    </row>
    <row r="543" spans="2:11" ht="21" x14ac:dyDescent="0.25">
      <c r="B543" s="38"/>
      <c r="C543" s="40"/>
      <c r="D543" s="40"/>
      <c r="E543" s="40"/>
      <c r="F543" s="40"/>
      <c r="G543" s="172" t="s">
        <v>29</v>
      </c>
      <c r="H543" s="40"/>
      <c r="I543" s="40"/>
      <c r="J543" s="40"/>
      <c r="K543" s="41"/>
    </row>
    <row r="544" spans="2:11" ht="15" customHeight="1" x14ac:dyDescent="0.2">
      <c r="B544" s="38"/>
      <c r="C544" s="40"/>
      <c r="D544" s="40"/>
      <c r="E544" s="40"/>
      <c r="F544" s="40"/>
      <c r="G544" s="40"/>
      <c r="H544" s="40"/>
      <c r="I544" s="40"/>
      <c r="J544" s="40"/>
      <c r="K544" s="41"/>
    </row>
    <row r="545" spans="2:14" ht="16" x14ac:dyDescent="0.2">
      <c r="B545" s="38"/>
      <c r="C545" s="45" t="s">
        <v>88</v>
      </c>
      <c r="D545" s="40"/>
      <c r="E545" s="40"/>
      <c r="F545" s="40"/>
      <c r="G545" s="40"/>
      <c r="H545" s="40"/>
      <c r="I545" s="40"/>
      <c r="J545" s="40"/>
      <c r="K545" s="41"/>
    </row>
    <row r="546" spans="2:14" x14ac:dyDescent="0.2">
      <c r="B546" s="38"/>
      <c r="C546" s="40" t="s">
        <v>448</v>
      </c>
      <c r="D546" s="40"/>
      <c r="E546" s="40"/>
      <c r="F546" s="40"/>
      <c r="G546" s="40"/>
      <c r="H546" s="40"/>
      <c r="I546" s="40"/>
      <c r="J546" s="251">
        <f>'Baseline Health'!G123</f>
        <v>0</v>
      </c>
      <c r="K546" s="41"/>
    </row>
    <row r="547" spans="2:14" x14ac:dyDescent="0.2">
      <c r="B547" s="38"/>
      <c r="C547" s="40" t="s">
        <v>322</v>
      </c>
      <c r="D547" s="40"/>
      <c r="E547" s="40"/>
      <c r="F547" s="40"/>
      <c r="G547" s="40"/>
      <c r="H547" s="40"/>
      <c r="I547" s="40"/>
      <c r="J547" s="264"/>
      <c r="K547" s="41"/>
    </row>
    <row r="548" spans="2:14" x14ac:dyDescent="0.2">
      <c r="B548" s="38"/>
      <c r="C548" s="40" t="s">
        <v>428</v>
      </c>
      <c r="D548" s="40"/>
      <c r="E548" s="40"/>
      <c r="F548" s="40"/>
      <c r="G548" s="40"/>
      <c r="H548" s="40"/>
      <c r="I548" s="40"/>
      <c r="J548" s="264"/>
      <c r="K548" s="41"/>
    </row>
    <row r="549" spans="2:14" x14ac:dyDescent="0.2">
      <c r="B549" s="38"/>
      <c r="C549" s="40" t="s">
        <v>260</v>
      </c>
      <c r="D549" s="40"/>
      <c r="E549" s="40"/>
      <c r="F549" s="40"/>
      <c r="G549" s="40"/>
      <c r="H549" s="40"/>
      <c r="I549" s="40"/>
      <c r="J549" s="245" t="str">
        <f>IF(OR(J546=0,J546="Not Calculated")=TRUE,"Not Calculated",IF(J546-J547=0,4,(IF(((J546+J548)/(J546-J547))&lt;=1,0,IF(((J546+J548)/(J546-J547))&lt;=1.05,1,IF(((J546+J548)/(J546-J547))&lt;=1.5, 2,IF(((J546+J548)/(J546-J547))&lt;=2,3,4)))))))</f>
        <v>Not Calculated</v>
      </c>
      <c r="K549" s="41"/>
    </row>
    <row r="550" spans="2:14" ht="9.75" customHeight="1" x14ac:dyDescent="0.2">
      <c r="B550" s="38"/>
      <c r="C550" s="279" t="str">
        <f>"0:"</f>
        <v>0:</v>
      </c>
      <c r="D550" s="278" t="s">
        <v>918</v>
      </c>
      <c r="E550" s="40"/>
      <c r="F550" s="40"/>
      <c r="G550" s="40"/>
      <c r="H550" s="40"/>
      <c r="I550" s="40"/>
      <c r="J550" s="251"/>
      <c r="K550" s="41"/>
    </row>
    <row r="551" spans="2:14" ht="9.75" customHeight="1" x14ac:dyDescent="0.2">
      <c r="B551" s="38"/>
      <c r="C551" s="280" t="str">
        <f>"1:"</f>
        <v>1:</v>
      </c>
      <c r="D551" s="278" t="s">
        <v>923</v>
      </c>
      <c r="E551" s="40"/>
      <c r="F551" s="40"/>
      <c r="G551" s="40"/>
      <c r="H551" s="40"/>
      <c r="I551" s="40"/>
      <c r="J551" s="251"/>
      <c r="K551" s="41"/>
    </row>
    <row r="552" spans="2:14" ht="9.75" customHeight="1" x14ac:dyDescent="0.2">
      <c r="B552" s="38"/>
      <c r="C552" s="280" t="str">
        <f>"2:"</f>
        <v>2:</v>
      </c>
      <c r="D552" s="278" t="s">
        <v>924</v>
      </c>
      <c r="E552" s="40"/>
      <c r="F552" s="40"/>
      <c r="G552" s="40"/>
      <c r="H552" s="40"/>
      <c r="I552" s="40"/>
      <c r="J552" s="251"/>
      <c r="K552" s="41"/>
    </row>
    <row r="553" spans="2:14" ht="9.75" customHeight="1" x14ac:dyDescent="0.2">
      <c r="B553" s="38"/>
      <c r="C553" s="280" t="str">
        <f>"3:"</f>
        <v>3:</v>
      </c>
      <c r="D553" s="278" t="s">
        <v>925</v>
      </c>
      <c r="E553" s="40"/>
      <c r="F553" s="40"/>
      <c r="G553" s="40"/>
      <c r="H553" s="40"/>
      <c r="I553" s="40"/>
      <c r="J553" s="251"/>
      <c r="K553" s="41"/>
    </row>
    <row r="554" spans="2:14" ht="9.75" customHeight="1" x14ac:dyDescent="0.2">
      <c r="B554" s="38"/>
      <c r="C554" s="280" t="str">
        <f>"4:"</f>
        <v>4:</v>
      </c>
      <c r="D554" s="278" t="s">
        <v>926</v>
      </c>
      <c r="E554" s="40"/>
      <c r="F554" s="40"/>
      <c r="G554" s="40"/>
      <c r="H554" s="40"/>
      <c r="I554" s="40"/>
      <c r="J554" s="40"/>
      <c r="K554" s="41"/>
      <c r="N554" s="12" t="s">
        <v>661</v>
      </c>
    </row>
    <row r="555" spans="2:14" x14ac:dyDescent="0.2">
      <c r="B555" s="38"/>
      <c r="C555" s="174" t="s">
        <v>662</v>
      </c>
      <c r="D555" s="40"/>
      <c r="E555" s="40"/>
      <c r="F555" s="40"/>
      <c r="G555" s="40"/>
      <c r="H555" s="40"/>
      <c r="I555" s="40"/>
      <c r="J555" s="265" t="s">
        <v>661</v>
      </c>
      <c r="K555" s="41"/>
      <c r="N555" s="12" t="s">
        <v>894</v>
      </c>
    </row>
    <row r="556" spans="2:14" x14ac:dyDescent="0.2">
      <c r="B556" s="38"/>
      <c r="C556" s="174" t="s">
        <v>660</v>
      </c>
      <c r="D556" s="40"/>
      <c r="E556" s="40"/>
      <c r="F556" s="40"/>
      <c r="G556" s="40"/>
      <c r="H556" s="40"/>
      <c r="I556" s="40"/>
      <c r="J556" s="247" t="str">
        <f>IF(J555=N554,"N/A",IF(J555=N555,0,IF(J555=N556,1,IF(J555=N557,2,IF(J555=N558,3,IF(J555=N559,4,"N/A"))))))</f>
        <v>N/A</v>
      </c>
      <c r="K556" s="41"/>
      <c r="N556" s="12" t="s">
        <v>899</v>
      </c>
    </row>
    <row r="557" spans="2:14" x14ac:dyDescent="0.2">
      <c r="B557" s="38"/>
      <c r="C557" s="40" t="s">
        <v>257</v>
      </c>
      <c r="D557" s="40"/>
      <c r="E557" s="40"/>
      <c r="F557" s="40"/>
      <c r="G557" s="40"/>
      <c r="H557" s="40"/>
      <c r="I557" s="40"/>
      <c r="J557" s="266"/>
      <c r="K557" s="41"/>
      <c r="N557" s="12" t="s">
        <v>900</v>
      </c>
    </row>
    <row r="558" spans="2:14" x14ac:dyDescent="0.2">
      <c r="B558" s="38"/>
      <c r="C558" s="40" t="s">
        <v>261</v>
      </c>
      <c r="D558" s="40"/>
      <c r="E558" s="40"/>
      <c r="F558" s="40"/>
      <c r="G558" s="40"/>
      <c r="H558" s="40"/>
      <c r="I558" s="40"/>
      <c r="J558" s="245" t="str">
        <f>IF(J557=$B$973,$A$973,IF(J557=$B$974,$A$974,IF(J557=$B$975,$A$975,IF(J557=$B$976,$A$976,IF(J557=$B$977,$A$977,"Not Calculated")))))</f>
        <v>Not Calculated</v>
      </c>
      <c r="K558" s="41"/>
      <c r="N558" s="12" t="s">
        <v>901</v>
      </c>
    </row>
    <row r="559" spans="2:14" x14ac:dyDescent="0.2">
      <c r="B559" s="38"/>
      <c r="C559" s="40" t="s">
        <v>893</v>
      </c>
      <c r="D559" s="40"/>
      <c r="E559" s="40"/>
      <c r="F559" s="40"/>
      <c r="G559" s="40"/>
      <c r="H559" s="40"/>
      <c r="I559" s="40"/>
      <c r="J559" s="40"/>
      <c r="K559" s="41"/>
      <c r="N559" s="12" t="s">
        <v>902</v>
      </c>
    </row>
    <row r="560" spans="2:14" ht="15" customHeight="1" x14ac:dyDescent="0.2">
      <c r="B560" s="38"/>
      <c r="C560" s="399"/>
      <c r="D560" s="400"/>
      <c r="E560" s="400"/>
      <c r="F560" s="400"/>
      <c r="G560" s="400"/>
      <c r="H560" s="400"/>
      <c r="I560" s="400"/>
      <c r="J560" s="401"/>
      <c r="K560" s="41"/>
    </row>
    <row r="561" spans="2:11" x14ac:dyDescent="0.2">
      <c r="B561" s="38"/>
      <c r="C561" s="40"/>
      <c r="D561" s="40"/>
      <c r="E561" s="40"/>
      <c r="F561" s="40"/>
      <c r="G561" s="40"/>
      <c r="H561" s="40"/>
      <c r="I561" s="40"/>
      <c r="J561" s="40"/>
      <c r="K561" s="41"/>
    </row>
    <row r="562" spans="2:11" x14ac:dyDescent="0.2">
      <c r="B562" s="38"/>
      <c r="C562" s="179" t="s">
        <v>323</v>
      </c>
      <c r="D562" s="40"/>
      <c r="E562" s="40"/>
      <c r="F562" s="40"/>
      <c r="G562" s="40"/>
      <c r="H562" s="40"/>
      <c r="I562" s="40"/>
      <c r="J562" s="245" t="str">
        <f>IF(J556="N/A",IF(OR(J549="Not Calculated",J558="Not Calculated")=TRUE,"Not Calculated",AVERAGE(J549,J558)),AVERAGE(J556,J558))</f>
        <v>Not Calculated</v>
      </c>
      <c r="K562" s="41"/>
    </row>
    <row r="563" spans="2:11" x14ac:dyDescent="0.2">
      <c r="B563" s="38"/>
      <c r="C563" s="40"/>
      <c r="D563" s="40"/>
      <c r="E563" s="40"/>
      <c r="F563" s="40"/>
      <c r="G563" s="40"/>
      <c r="H563" s="40"/>
      <c r="I563" s="40"/>
      <c r="J563" s="40"/>
      <c r="K563" s="41"/>
    </row>
    <row r="564" spans="2:11" x14ac:dyDescent="0.2">
      <c r="B564" s="38"/>
      <c r="C564" s="40"/>
      <c r="D564" s="40"/>
      <c r="E564" s="40"/>
      <c r="F564" s="40"/>
      <c r="G564" s="40"/>
      <c r="H564" s="40"/>
      <c r="I564" s="40"/>
      <c r="J564" s="40"/>
      <c r="K564" s="41"/>
    </row>
    <row r="565" spans="2:11" ht="16" x14ac:dyDescent="0.2">
      <c r="B565" s="38"/>
      <c r="C565" s="45" t="s">
        <v>89</v>
      </c>
      <c r="D565" s="40"/>
      <c r="E565" s="40"/>
      <c r="F565" s="40"/>
      <c r="G565" s="40"/>
      <c r="H565" s="40"/>
      <c r="I565" s="40"/>
      <c r="J565" s="40"/>
      <c r="K565" s="41"/>
    </row>
    <row r="566" spans="2:11" ht="15" customHeight="1" x14ac:dyDescent="0.2">
      <c r="B566" s="38"/>
      <c r="C566" s="380" t="s">
        <v>333</v>
      </c>
      <c r="D566" s="380"/>
      <c r="E566" s="380"/>
      <c r="F566" s="380"/>
      <c r="G566" s="380"/>
      <c r="H566" s="380"/>
      <c r="I566" s="380"/>
      <c r="J566" s="40"/>
      <c r="K566" s="41"/>
    </row>
    <row r="567" spans="2:11" x14ac:dyDescent="0.2">
      <c r="B567" s="38"/>
      <c r="C567" s="380"/>
      <c r="D567" s="380"/>
      <c r="E567" s="380"/>
      <c r="F567" s="380"/>
      <c r="G567" s="380"/>
      <c r="H567" s="380"/>
      <c r="I567" s="380"/>
      <c r="J567" s="40"/>
      <c r="K567" s="41"/>
    </row>
    <row r="568" spans="2:11" x14ac:dyDescent="0.2">
      <c r="B568" s="38"/>
      <c r="C568" s="380"/>
      <c r="D568" s="380"/>
      <c r="E568" s="380"/>
      <c r="F568" s="380"/>
      <c r="G568" s="380"/>
      <c r="H568" s="380"/>
      <c r="I568" s="380"/>
      <c r="J568" s="251">
        <f>'Baseline Health'!G132</f>
        <v>0</v>
      </c>
      <c r="K568" s="41"/>
    </row>
    <row r="569" spans="2:11" ht="15" customHeight="1" x14ac:dyDescent="0.2">
      <c r="B569" s="38"/>
      <c r="C569" s="380" t="s">
        <v>334</v>
      </c>
      <c r="D569" s="380"/>
      <c r="E569" s="380"/>
      <c r="F569" s="380"/>
      <c r="G569" s="380"/>
      <c r="H569" s="380"/>
      <c r="I569" s="380"/>
      <c r="J569" s="245"/>
      <c r="K569" s="41"/>
    </row>
    <row r="570" spans="2:11" x14ac:dyDescent="0.2">
      <c r="B570" s="38"/>
      <c r="C570" s="380"/>
      <c r="D570" s="380"/>
      <c r="E570" s="380"/>
      <c r="F570" s="380"/>
      <c r="G570" s="380"/>
      <c r="H570" s="380"/>
      <c r="I570" s="380"/>
      <c r="J570" s="245"/>
      <c r="K570" s="41"/>
    </row>
    <row r="571" spans="2:11" x14ac:dyDescent="0.2">
      <c r="B571" s="38"/>
      <c r="C571" s="380"/>
      <c r="D571" s="380"/>
      <c r="E571" s="380"/>
      <c r="F571" s="380"/>
      <c r="G571" s="380"/>
      <c r="H571" s="380"/>
      <c r="I571" s="380"/>
      <c r="J571" s="264"/>
      <c r="K571" s="41"/>
    </row>
    <row r="572" spans="2:11" x14ac:dyDescent="0.2">
      <c r="B572" s="38"/>
      <c r="C572" s="40" t="s">
        <v>260</v>
      </c>
      <c r="D572" s="40"/>
      <c r="E572" s="40"/>
      <c r="F572" s="40"/>
      <c r="G572" s="40"/>
      <c r="H572" s="40"/>
      <c r="I572" s="40"/>
      <c r="J572" s="245" t="str">
        <f>IF(OR(J568=0,J568="Not Calculated")=TRUE,"Not Calculated",IF(((J568+J571)/J568)&lt;=1,0,IF(((J568+J571)/J568)&lt;=1.05,1,IF(((J568+J571)/J568)&lt;=1.5, 2,IF(((J568+J571)/J568)&lt;=2,3,4)))))</f>
        <v>Not Calculated</v>
      </c>
      <c r="K572" s="41"/>
    </row>
    <row r="573" spans="2:11" ht="9.75" customHeight="1" x14ac:dyDescent="0.2">
      <c r="B573" s="38"/>
      <c r="C573" s="279" t="str">
        <f>"0:"</f>
        <v>0:</v>
      </c>
      <c r="D573" s="281" t="s">
        <v>918</v>
      </c>
      <c r="E573" s="291"/>
      <c r="F573" s="291"/>
      <c r="G573" s="291"/>
      <c r="H573" s="291"/>
      <c r="I573" s="291"/>
      <c r="J573" s="251"/>
      <c r="K573" s="41"/>
    </row>
    <row r="574" spans="2:11" ht="9.75" customHeight="1" x14ac:dyDescent="0.2">
      <c r="B574" s="38"/>
      <c r="C574" s="280" t="str">
        <f>"1:"</f>
        <v>1:</v>
      </c>
      <c r="D574" s="281" t="s">
        <v>919</v>
      </c>
      <c r="E574" s="291"/>
      <c r="F574" s="291"/>
      <c r="G574" s="291"/>
      <c r="H574" s="291"/>
      <c r="I574" s="291"/>
      <c r="J574" s="251"/>
      <c r="K574" s="41"/>
    </row>
    <row r="575" spans="2:11" ht="9.75" customHeight="1" x14ac:dyDescent="0.2">
      <c r="B575" s="38"/>
      <c r="C575" s="280" t="str">
        <f>"2:"</f>
        <v>2:</v>
      </c>
      <c r="D575" s="281" t="s">
        <v>920</v>
      </c>
      <c r="E575" s="291"/>
      <c r="F575" s="291"/>
      <c r="G575" s="291"/>
      <c r="H575" s="291"/>
      <c r="I575" s="291"/>
      <c r="J575" s="251"/>
      <c r="K575" s="41"/>
    </row>
    <row r="576" spans="2:11" ht="9.75" customHeight="1" x14ac:dyDescent="0.2">
      <c r="B576" s="38"/>
      <c r="C576" s="280" t="str">
        <f>"3:"</f>
        <v>3:</v>
      </c>
      <c r="D576" s="281" t="s">
        <v>921</v>
      </c>
      <c r="E576" s="291"/>
      <c r="F576" s="291"/>
      <c r="G576" s="291"/>
      <c r="H576" s="291"/>
      <c r="I576" s="291"/>
      <c r="J576" s="251"/>
      <c r="K576" s="41"/>
    </row>
    <row r="577" spans="2:14" ht="9.75" customHeight="1" x14ac:dyDescent="0.2">
      <c r="B577" s="38"/>
      <c r="C577" s="280" t="str">
        <f>"4:"</f>
        <v>4:</v>
      </c>
      <c r="D577" s="281" t="s">
        <v>922</v>
      </c>
      <c r="E577" s="40"/>
      <c r="F577" s="40"/>
      <c r="G577" s="40"/>
      <c r="H577" s="40"/>
      <c r="I577" s="40"/>
      <c r="J577" s="40"/>
      <c r="K577" s="41"/>
      <c r="N577" s="12" t="s">
        <v>661</v>
      </c>
    </row>
    <row r="578" spans="2:14" ht="15" customHeight="1" x14ac:dyDescent="0.2">
      <c r="B578" s="38"/>
      <c r="C578" s="174" t="s">
        <v>662</v>
      </c>
      <c r="D578" s="40"/>
      <c r="E578" s="40"/>
      <c r="F578" s="40"/>
      <c r="G578" s="40"/>
      <c r="H578" s="40"/>
      <c r="I578" s="40"/>
      <c r="J578" s="265" t="s">
        <v>661</v>
      </c>
      <c r="K578" s="41"/>
      <c r="N578" s="12" t="s">
        <v>894</v>
      </c>
    </row>
    <row r="579" spans="2:14" ht="15" customHeight="1" x14ac:dyDescent="0.2">
      <c r="B579" s="38"/>
      <c r="C579" s="174" t="s">
        <v>660</v>
      </c>
      <c r="D579" s="40"/>
      <c r="E579" s="40"/>
      <c r="F579" s="40"/>
      <c r="G579" s="40"/>
      <c r="H579" s="40"/>
      <c r="I579" s="40"/>
      <c r="J579" s="247" t="str">
        <f>IF(J578=N577,"N/A",IF(J578=N578,0,IF(J578=N579,1,IF(J578=N580,2,IF(J578=N581,3,IF(J578=N582,4,"N/A"))))))</f>
        <v>N/A</v>
      </c>
      <c r="K579" s="41"/>
      <c r="N579" s="12" t="s">
        <v>895</v>
      </c>
    </row>
    <row r="580" spans="2:14" x14ac:dyDescent="0.2">
      <c r="B580" s="38"/>
      <c r="C580" s="40" t="s">
        <v>257</v>
      </c>
      <c r="D580" s="40"/>
      <c r="E580" s="40"/>
      <c r="F580" s="40"/>
      <c r="G580" s="40"/>
      <c r="H580" s="40"/>
      <c r="I580" s="40"/>
      <c r="J580" s="266"/>
      <c r="K580" s="41"/>
      <c r="N580" s="12" t="s">
        <v>896</v>
      </c>
    </row>
    <row r="581" spans="2:14" x14ac:dyDescent="0.2">
      <c r="B581" s="38"/>
      <c r="C581" s="40" t="s">
        <v>261</v>
      </c>
      <c r="D581" s="40"/>
      <c r="E581" s="40"/>
      <c r="F581" s="40"/>
      <c r="G581" s="40"/>
      <c r="H581" s="40"/>
      <c r="I581" s="40"/>
      <c r="J581" s="245" t="str">
        <f>IF(J580=$B$973,$A$973,IF(J580=$B$974,$A$974,IF(J580=$B$975,$A$975,IF(J580=$B$976,$A$976,IF(J580=$B$977,$A$977,"Not Calculated")))))</f>
        <v>Not Calculated</v>
      </c>
      <c r="K581" s="41"/>
      <c r="N581" s="12" t="s">
        <v>897</v>
      </c>
    </row>
    <row r="582" spans="2:14" x14ac:dyDescent="0.2">
      <c r="B582" s="38"/>
      <c r="C582" s="40" t="s">
        <v>893</v>
      </c>
      <c r="D582" s="40"/>
      <c r="E582" s="40"/>
      <c r="F582" s="40"/>
      <c r="G582" s="40"/>
      <c r="H582" s="40"/>
      <c r="I582" s="40"/>
      <c r="J582" s="40"/>
      <c r="K582" s="41"/>
      <c r="N582" s="12" t="s">
        <v>898</v>
      </c>
    </row>
    <row r="583" spans="2:14" ht="15" customHeight="1" x14ac:dyDescent="0.2">
      <c r="B583" s="38"/>
      <c r="C583" s="399"/>
      <c r="D583" s="400"/>
      <c r="E583" s="400"/>
      <c r="F583" s="400"/>
      <c r="G583" s="400"/>
      <c r="H583" s="400"/>
      <c r="I583" s="400"/>
      <c r="J583" s="401"/>
      <c r="K583" s="41"/>
    </row>
    <row r="584" spans="2:14" x14ac:dyDescent="0.2">
      <c r="B584" s="38"/>
      <c r="C584" s="40"/>
      <c r="D584" s="40"/>
      <c r="E584" s="40"/>
      <c r="F584" s="40"/>
      <c r="G584" s="40"/>
      <c r="H584" s="40"/>
      <c r="I584" s="40"/>
      <c r="J584" s="40"/>
      <c r="K584" s="41"/>
    </row>
    <row r="585" spans="2:14" x14ac:dyDescent="0.2">
      <c r="B585" s="38"/>
      <c r="C585" s="179" t="s">
        <v>324</v>
      </c>
      <c r="D585" s="40"/>
      <c r="E585" s="40"/>
      <c r="F585" s="40"/>
      <c r="G585" s="40"/>
      <c r="H585" s="40"/>
      <c r="I585" s="40"/>
      <c r="J585" s="245" t="str">
        <f>IF(J579="N/A",IF(OR(J572="Not Calculated",J581="Not Calculated")=TRUE,"Not Calculated",AVERAGE(J572,J581)),AVERAGE(J579,J581))</f>
        <v>Not Calculated</v>
      </c>
      <c r="K585" s="41"/>
    </row>
    <row r="586" spans="2:14" x14ac:dyDescent="0.2">
      <c r="B586" s="38"/>
      <c r="C586" s="40"/>
      <c r="D586" s="40"/>
      <c r="E586" s="40"/>
      <c r="F586" s="40"/>
      <c r="G586" s="40"/>
      <c r="H586" s="40"/>
      <c r="I586" s="40"/>
      <c r="J586" s="40"/>
      <c r="K586" s="41"/>
    </row>
    <row r="587" spans="2:14" x14ac:dyDescent="0.2">
      <c r="B587" s="38"/>
      <c r="C587" s="40"/>
      <c r="D587" s="40"/>
      <c r="E587" s="40"/>
      <c r="F587" s="40"/>
      <c r="G587" s="40"/>
      <c r="H587" s="40"/>
      <c r="I587" s="40"/>
      <c r="J587" s="40"/>
      <c r="K587" s="41"/>
    </row>
    <row r="588" spans="2:14" ht="16" x14ac:dyDescent="0.2">
      <c r="B588" s="38"/>
      <c r="C588" s="45" t="s">
        <v>115</v>
      </c>
      <c r="D588" s="40"/>
      <c r="E588" s="40"/>
      <c r="F588" s="40"/>
      <c r="G588" s="40"/>
      <c r="H588" s="40"/>
      <c r="I588" s="40"/>
      <c r="J588" s="40"/>
      <c r="K588" s="41"/>
    </row>
    <row r="589" spans="2:14" x14ac:dyDescent="0.2">
      <c r="B589" s="38"/>
      <c r="C589" s="40" t="s">
        <v>335</v>
      </c>
      <c r="D589" s="40"/>
      <c r="E589" s="40"/>
      <c r="F589" s="40"/>
      <c r="G589" s="40"/>
      <c r="H589" s="40"/>
      <c r="I589" s="40"/>
      <c r="J589" s="264"/>
      <c r="K589" s="41"/>
    </row>
    <row r="590" spans="2:14" x14ac:dyDescent="0.2">
      <c r="B590" s="38"/>
      <c r="C590" s="40" t="s">
        <v>260</v>
      </c>
      <c r="D590" s="40"/>
      <c r="E590" s="40"/>
      <c r="F590" s="40"/>
      <c r="G590" s="40"/>
      <c r="H590" s="40"/>
      <c r="I590" s="40"/>
      <c r="J590" s="255">
        <f>IF(J589&lt;=0,0,IF(J589&lt;=1000,1,IF(J589&lt;=5000,2,IF(J589&lt;=25000,3,4))))</f>
        <v>0</v>
      </c>
      <c r="K590" s="41"/>
    </row>
    <row r="591" spans="2:14" ht="9.75" customHeight="1" x14ac:dyDescent="0.2">
      <c r="B591" s="38"/>
      <c r="C591" s="279" t="str">
        <f>"0:"</f>
        <v>0:</v>
      </c>
      <c r="D591" s="284" t="s">
        <v>970</v>
      </c>
      <c r="E591" s="40"/>
      <c r="F591" s="40"/>
      <c r="G591" s="40"/>
      <c r="H591" s="40"/>
      <c r="I591" s="40"/>
      <c r="J591" s="251"/>
      <c r="K591" s="41"/>
    </row>
    <row r="592" spans="2:14" ht="9.75" customHeight="1" x14ac:dyDescent="0.2">
      <c r="B592" s="38"/>
      <c r="C592" s="280" t="str">
        <f>"1:"</f>
        <v>1:</v>
      </c>
      <c r="D592" s="284" t="s">
        <v>961</v>
      </c>
      <c r="E592" s="40"/>
      <c r="F592" s="40"/>
      <c r="G592" s="40"/>
      <c r="H592" s="40"/>
      <c r="I592" s="40"/>
      <c r="J592" s="251"/>
      <c r="K592" s="41"/>
    </row>
    <row r="593" spans="2:11" ht="9.75" customHeight="1" x14ac:dyDescent="0.2">
      <c r="B593" s="38"/>
      <c r="C593" s="280" t="str">
        <f>"2:"</f>
        <v>2:</v>
      </c>
      <c r="D593" s="284" t="s">
        <v>971</v>
      </c>
      <c r="E593" s="40"/>
      <c r="F593" s="40"/>
      <c r="G593" s="40"/>
      <c r="H593" s="40"/>
      <c r="I593" s="40"/>
      <c r="J593" s="251"/>
      <c r="K593" s="41"/>
    </row>
    <row r="594" spans="2:11" ht="9.75" customHeight="1" x14ac:dyDescent="0.2">
      <c r="B594" s="38"/>
      <c r="C594" s="280" t="str">
        <f>"3:"</f>
        <v>3:</v>
      </c>
      <c r="D594" s="284" t="s">
        <v>963</v>
      </c>
      <c r="E594" s="40"/>
      <c r="F594" s="40"/>
      <c r="G594" s="40"/>
      <c r="H594" s="40"/>
      <c r="I594" s="40"/>
      <c r="J594" s="251"/>
      <c r="K594" s="41"/>
    </row>
    <row r="595" spans="2:11" ht="9.75" customHeight="1" x14ac:dyDescent="0.2">
      <c r="B595" s="38"/>
      <c r="C595" s="280" t="str">
        <f>"4:"</f>
        <v>4:</v>
      </c>
      <c r="D595" s="284" t="s">
        <v>964</v>
      </c>
      <c r="E595" s="40"/>
      <c r="F595" s="40"/>
      <c r="G595" s="40"/>
      <c r="H595" s="40"/>
      <c r="I595" s="40"/>
      <c r="J595" s="40"/>
      <c r="K595" s="41"/>
    </row>
    <row r="596" spans="2:11" ht="15" customHeight="1" x14ac:dyDescent="0.2">
      <c r="B596" s="38"/>
      <c r="C596" s="40" t="s">
        <v>257</v>
      </c>
      <c r="D596" s="40"/>
      <c r="E596" s="40"/>
      <c r="F596" s="40"/>
      <c r="G596" s="40"/>
      <c r="H596" s="40"/>
      <c r="I596" s="40"/>
      <c r="J596" s="266"/>
      <c r="K596" s="41"/>
    </row>
    <row r="597" spans="2:11" ht="15" customHeight="1" x14ac:dyDescent="0.2">
      <c r="B597" s="38"/>
      <c r="C597" s="40" t="s">
        <v>261</v>
      </c>
      <c r="D597" s="40"/>
      <c r="E597" s="40"/>
      <c r="F597" s="40"/>
      <c r="G597" s="40"/>
      <c r="H597" s="40"/>
      <c r="I597" s="40"/>
      <c r="J597" s="245" t="str">
        <f>IF(J596=$B$973,$A$973,IF(J596=$B$974,$A$974,IF(J596=$B$975,$A$975,IF(J596=$B$976,$A$976,IF(J596=$B$977,$A$977,"Not Calculated")))))</f>
        <v>Not Calculated</v>
      </c>
      <c r="K597" s="41"/>
    </row>
    <row r="598" spans="2:11" x14ac:dyDescent="0.2">
      <c r="B598" s="38"/>
      <c r="C598" s="40" t="s">
        <v>893</v>
      </c>
      <c r="D598" s="40"/>
      <c r="E598" s="40"/>
      <c r="F598" s="40"/>
      <c r="G598" s="40"/>
      <c r="H598" s="40"/>
      <c r="I598" s="40"/>
      <c r="J598" s="40"/>
      <c r="K598" s="41"/>
    </row>
    <row r="599" spans="2:11" ht="15" customHeight="1" x14ac:dyDescent="0.2">
      <c r="B599" s="38"/>
      <c r="C599" s="399"/>
      <c r="D599" s="400"/>
      <c r="E599" s="400"/>
      <c r="F599" s="400"/>
      <c r="G599" s="400"/>
      <c r="H599" s="400"/>
      <c r="I599" s="400"/>
      <c r="J599" s="401"/>
      <c r="K599" s="41"/>
    </row>
    <row r="600" spans="2:11" x14ac:dyDescent="0.2">
      <c r="B600" s="38"/>
      <c r="C600" s="40"/>
      <c r="D600" s="40"/>
      <c r="E600" s="40"/>
      <c r="F600" s="40"/>
      <c r="G600" s="40"/>
      <c r="H600" s="40"/>
      <c r="I600" s="40"/>
      <c r="J600" s="40"/>
      <c r="K600" s="41"/>
    </row>
    <row r="601" spans="2:11" x14ac:dyDescent="0.2">
      <c r="B601" s="38"/>
      <c r="C601" s="179" t="s">
        <v>325</v>
      </c>
      <c r="D601" s="40"/>
      <c r="E601" s="40"/>
      <c r="F601" s="40"/>
      <c r="G601" s="40"/>
      <c r="H601" s="40"/>
      <c r="I601" s="40"/>
      <c r="J601" s="245">
        <f>IF(J590="Not Calculated","Not Calculated",AVERAGE(J590,J597))</f>
        <v>0</v>
      </c>
      <c r="K601" s="41"/>
    </row>
    <row r="602" spans="2:11" x14ac:dyDescent="0.2">
      <c r="B602" s="38"/>
      <c r="C602" s="40"/>
      <c r="D602" s="40"/>
      <c r="E602" s="40"/>
      <c r="F602" s="40"/>
      <c r="G602" s="40"/>
      <c r="H602" s="40"/>
      <c r="I602" s="40"/>
      <c r="J602" s="40"/>
      <c r="K602" s="41"/>
    </row>
    <row r="603" spans="2:11" x14ac:dyDescent="0.2">
      <c r="B603" s="38"/>
      <c r="C603" s="40"/>
      <c r="D603" s="40"/>
      <c r="E603" s="40"/>
      <c r="F603" s="40"/>
      <c r="G603" s="40"/>
      <c r="H603" s="40"/>
      <c r="I603" s="40"/>
      <c r="J603" s="40"/>
      <c r="K603" s="41"/>
    </row>
    <row r="604" spans="2:11" ht="16" x14ac:dyDescent="0.2">
      <c r="B604" s="38"/>
      <c r="C604" s="45" t="s">
        <v>326</v>
      </c>
      <c r="D604" s="40"/>
      <c r="E604" s="40"/>
      <c r="F604" s="40"/>
      <c r="G604" s="40"/>
      <c r="H604" s="40"/>
      <c r="I604" s="40"/>
      <c r="J604" s="40"/>
      <c r="K604" s="41"/>
    </row>
    <row r="605" spans="2:11" x14ac:dyDescent="0.2">
      <c r="B605" s="38"/>
      <c r="C605" s="40" t="s">
        <v>336</v>
      </c>
      <c r="D605" s="40"/>
      <c r="E605" s="40"/>
      <c r="F605" s="40"/>
      <c r="G605" s="40"/>
      <c r="H605" s="40"/>
      <c r="I605" s="40"/>
      <c r="J605" s="271"/>
      <c r="K605" s="41"/>
    </row>
    <row r="606" spans="2:11" x14ac:dyDescent="0.2">
      <c r="B606" s="38"/>
      <c r="C606" s="40" t="s">
        <v>260</v>
      </c>
      <c r="D606" s="40"/>
      <c r="E606" s="40"/>
      <c r="F606" s="40"/>
      <c r="G606" s="40"/>
      <c r="H606" s="40"/>
      <c r="I606" s="40"/>
      <c r="J606" s="248">
        <f>IF(J605&lt;=0,0,IF(J605&lt;=10,1,IF(J605&lt;=25,2,IF(J605&lt;=50,3,4))))</f>
        <v>0</v>
      </c>
      <c r="K606" s="41"/>
    </row>
    <row r="607" spans="2:11" ht="9.75" customHeight="1" x14ac:dyDescent="0.2">
      <c r="B607" s="38"/>
      <c r="C607" s="279" t="str">
        <f>"0:"</f>
        <v>0:</v>
      </c>
      <c r="D607" s="290" t="s">
        <v>944</v>
      </c>
      <c r="E607" s="40"/>
      <c r="F607" s="40"/>
      <c r="G607" s="40"/>
      <c r="H607" s="40"/>
      <c r="I607" s="40"/>
      <c r="J607" s="244"/>
      <c r="K607" s="41"/>
    </row>
    <row r="608" spans="2:11" ht="9.75" customHeight="1" x14ac:dyDescent="0.2">
      <c r="B608" s="38"/>
      <c r="C608" s="280" t="str">
        <f>"1:"</f>
        <v>1:</v>
      </c>
      <c r="D608" s="290" t="s">
        <v>947</v>
      </c>
      <c r="E608" s="40"/>
      <c r="F608" s="40"/>
      <c r="G608" s="40"/>
      <c r="H608" s="40"/>
      <c r="I608" s="40"/>
      <c r="J608" s="244"/>
      <c r="K608" s="41"/>
    </row>
    <row r="609" spans="2:11" ht="9.75" customHeight="1" x14ac:dyDescent="0.2">
      <c r="B609" s="38"/>
      <c r="C609" s="280" t="str">
        <f>"2:"</f>
        <v>2:</v>
      </c>
      <c r="D609" s="290" t="s">
        <v>972</v>
      </c>
      <c r="E609" s="40"/>
      <c r="F609" s="40"/>
      <c r="G609" s="40"/>
      <c r="H609" s="40"/>
      <c r="I609" s="40"/>
      <c r="J609" s="244"/>
      <c r="K609" s="41"/>
    </row>
    <row r="610" spans="2:11" ht="9.75" customHeight="1" x14ac:dyDescent="0.2">
      <c r="B610" s="38"/>
      <c r="C610" s="280" t="str">
        <f>"3:"</f>
        <v>3:</v>
      </c>
      <c r="D610" s="290" t="s">
        <v>973</v>
      </c>
      <c r="E610" s="40"/>
      <c r="F610" s="40"/>
      <c r="G610" s="40"/>
      <c r="H610" s="40"/>
      <c r="I610" s="40"/>
      <c r="J610" s="244"/>
      <c r="K610" s="41"/>
    </row>
    <row r="611" spans="2:11" ht="9.75" customHeight="1" x14ac:dyDescent="0.2">
      <c r="B611" s="38"/>
      <c r="C611" s="280" t="str">
        <f>"4:"</f>
        <v>4:</v>
      </c>
      <c r="D611" s="290" t="s">
        <v>974</v>
      </c>
      <c r="E611" s="40"/>
      <c r="F611" s="40"/>
      <c r="G611" s="40"/>
      <c r="H611" s="40"/>
      <c r="I611" s="40"/>
      <c r="J611" s="40"/>
      <c r="K611" s="41"/>
    </row>
    <row r="612" spans="2:11" x14ac:dyDescent="0.2">
      <c r="B612" s="38"/>
      <c r="C612" s="40" t="s">
        <v>893</v>
      </c>
      <c r="D612" s="40"/>
      <c r="E612" s="40"/>
      <c r="F612" s="40"/>
      <c r="G612" s="40"/>
      <c r="H612" s="40"/>
      <c r="I612" s="40"/>
      <c r="J612" s="40"/>
      <c r="K612" s="41"/>
    </row>
    <row r="613" spans="2:11" ht="15" customHeight="1" x14ac:dyDescent="0.2">
      <c r="B613" s="38"/>
      <c r="C613" s="399"/>
      <c r="D613" s="400"/>
      <c r="E613" s="400"/>
      <c r="F613" s="400"/>
      <c r="G613" s="400"/>
      <c r="H613" s="400"/>
      <c r="I613" s="400"/>
      <c r="J613" s="401"/>
      <c r="K613" s="41"/>
    </row>
    <row r="614" spans="2:11" x14ac:dyDescent="0.2">
      <c r="B614" s="38"/>
      <c r="C614" s="40"/>
      <c r="D614" s="40"/>
      <c r="E614" s="40"/>
      <c r="F614" s="40"/>
      <c r="G614" s="40"/>
      <c r="H614" s="40"/>
      <c r="I614" s="40"/>
      <c r="J614" s="40"/>
      <c r="K614" s="41"/>
    </row>
    <row r="615" spans="2:11" x14ac:dyDescent="0.2">
      <c r="B615" s="38"/>
      <c r="C615" s="179" t="s">
        <v>327</v>
      </c>
      <c r="D615" s="40"/>
      <c r="E615" s="40"/>
      <c r="F615" s="40"/>
      <c r="G615" s="40"/>
      <c r="H615" s="40"/>
      <c r="I615" s="40"/>
      <c r="J615" s="245">
        <f>J606</f>
        <v>0</v>
      </c>
      <c r="K615" s="41"/>
    </row>
    <row r="616" spans="2:11" x14ac:dyDescent="0.2">
      <c r="B616" s="38"/>
      <c r="C616" s="40"/>
      <c r="D616" s="40"/>
      <c r="E616" s="40"/>
      <c r="F616" s="40"/>
      <c r="G616" s="40"/>
      <c r="H616" s="40"/>
      <c r="I616" s="40"/>
      <c r="J616" s="40"/>
      <c r="K616" s="41"/>
    </row>
    <row r="617" spans="2:11" x14ac:dyDescent="0.2">
      <c r="B617" s="38"/>
      <c r="C617" s="40"/>
      <c r="D617" s="40"/>
      <c r="E617" s="40"/>
      <c r="F617" s="40"/>
      <c r="G617" s="40"/>
      <c r="H617" s="40"/>
      <c r="I617" s="40"/>
      <c r="J617" s="40"/>
      <c r="K617" s="41"/>
    </row>
    <row r="618" spans="2:11" ht="16" x14ac:dyDescent="0.2">
      <c r="B618" s="38"/>
      <c r="C618" s="45" t="s">
        <v>92</v>
      </c>
      <c r="D618" s="40"/>
      <c r="E618" s="40"/>
      <c r="F618" s="40"/>
      <c r="G618" s="40"/>
      <c r="H618" s="40"/>
      <c r="I618" s="40"/>
      <c r="J618" s="40"/>
      <c r="K618" s="41"/>
    </row>
    <row r="619" spans="2:11" x14ac:dyDescent="0.2">
      <c r="B619" s="38"/>
      <c r="C619" s="40" t="s">
        <v>337</v>
      </c>
      <c r="D619" s="40"/>
      <c r="E619" s="40"/>
      <c r="F619" s="40"/>
      <c r="G619" s="40"/>
      <c r="H619" s="40"/>
      <c r="I619" s="40"/>
      <c r="J619" s="251">
        <f>'Baseline Health'!G137</f>
        <v>1</v>
      </c>
      <c r="K619" s="41"/>
    </row>
    <row r="620" spans="2:11" ht="15" customHeight="1" x14ac:dyDescent="0.2">
      <c r="B620" s="38"/>
      <c r="C620" s="380" t="s">
        <v>338</v>
      </c>
      <c r="D620" s="380"/>
      <c r="E620" s="380"/>
      <c r="F620" s="380"/>
      <c r="G620" s="380"/>
      <c r="H620" s="380"/>
      <c r="I620" s="380"/>
      <c r="J620" s="251"/>
      <c r="K620" s="41"/>
    </row>
    <row r="621" spans="2:11" x14ac:dyDescent="0.2">
      <c r="B621" s="38"/>
      <c r="C621" s="380"/>
      <c r="D621" s="380"/>
      <c r="E621" s="380"/>
      <c r="F621" s="380"/>
      <c r="G621" s="380"/>
      <c r="H621" s="380"/>
      <c r="I621" s="380"/>
      <c r="J621" s="264"/>
      <c r="K621" s="41"/>
    </row>
    <row r="622" spans="2:11" x14ac:dyDescent="0.2">
      <c r="B622" s="38"/>
      <c r="C622" s="40" t="s">
        <v>260</v>
      </c>
      <c r="D622" s="40"/>
      <c r="E622" s="40"/>
      <c r="F622" s="40"/>
      <c r="G622" s="40"/>
      <c r="H622" s="40"/>
      <c r="I622" s="40"/>
      <c r="J622" s="245">
        <f>IF(OR(J619=0,J619="Not Calculated")=TRUE,"Not Calculated",IF(((J619+J621)/J619)&lt;=1,0,IF(((J619+J621)/J619)&lt;=1.05,1,IF(((J619+J621)/J619)&lt;=1.5, 2,IF(((J619+J621)/J619)&lt;=2,3,4)))))</f>
        <v>0</v>
      </c>
      <c r="K622" s="41"/>
    </row>
    <row r="623" spans="2:11" ht="9.75" customHeight="1" x14ac:dyDescent="0.2">
      <c r="B623" s="38"/>
      <c r="C623" s="279" t="str">
        <f>"0:"</f>
        <v>0:</v>
      </c>
      <c r="D623" s="281" t="s">
        <v>918</v>
      </c>
      <c r="E623" s="291"/>
      <c r="F623" s="291"/>
      <c r="G623" s="291"/>
      <c r="H623" s="291"/>
      <c r="I623" s="291"/>
      <c r="J623" s="251"/>
      <c r="K623" s="41"/>
    </row>
    <row r="624" spans="2:11" ht="9.75" customHeight="1" x14ac:dyDescent="0.2">
      <c r="B624" s="38"/>
      <c r="C624" s="280" t="str">
        <f>"1:"</f>
        <v>1:</v>
      </c>
      <c r="D624" s="281" t="s">
        <v>919</v>
      </c>
      <c r="E624" s="291"/>
      <c r="F624" s="291"/>
      <c r="G624" s="291"/>
      <c r="H624" s="291"/>
      <c r="I624" s="291"/>
      <c r="J624" s="251"/>
      <c r="K624" s="41"/>
    </row>
    <row r="625" spans="2:14" ht="9.75" customHeight="1" x14ac:dyDescent="0.2">
      <c r="B625" s="38"/>
      <c r="C625" s="280" t="str">
        <f>"2:"</f>
        <v>2:</v>
      </c>
      <c r="D625" s="281" t="s">
        <v>920</v>
      </c>
      <c r="E625" s="291"/>
      <c r="F625" s="291"/>
      <c r="G625" s="291"/>
      <c r="H625" s="291"/>
      <c r="I625" s="291"/>
      <c r="J625" s="251"/>
      <c r="K625" s="41"/>
    </row>
    <row r="626" spans="2:14" ht="9.75" customHeight="1" x14ac:dyDescent="0.2">
      <c r="B626" s="38"/>
      <c r="C626" s="280" t="str">
        <f>"3:"</f>
        <v>3:</v>
      </c>
      <c r="D626" s="281" t="s">
        <v>921</v>
      </c>
      <c r="E626" s="291"/>
      <c r="F626" s="291"/>
      <c r="G626" s="291"/>
      <c r="H626" s="291"/>
      <c r="I626" s="291"/>
      <c r="J626" s="251"/>
      <c r="K626" s="41"/>
    </row>
    <row r="627" spans="2:14" ht="9.75" customHeight="1" x14ac:dyDescent="0.2">
      <c r="B627" s="38"/>
      <c r="C627" s="280" t="str">
        <f>"4:"</f>
        <v>4:</v>
      </c>
      <c r="D627" s="281" t="s">
        <v>922</v>
      </c>
      <c r="E627" s="40"/>
      <c r="F627" s="40"/>
      <c r="G627" s="40"/>
      <c r="H627" s="40"/>
      <c r="I627" s="40"/>
      <c r="J627" s="40"/>
      <c r="K627" s="41"/>
      <c r="N627" s="12" t="s">
        <v>661</v>
      </c>
    </row>
    <row r="628" spans="2:14" x14ac:dyDescent="0.2">
      <c r="B628" s="38"/>
      <c r="C628" s="174" t="s">
        <v>662</v>
      </c>
      <c r="D628" s="40"/>
      <c r="E628" s="40"/>
      <c r="F628" s="40"/>
      <c r="G628" s="40"/>
      <c r="H628" s="40"/>
      <c r="I628" s="40"/>
      <c r="J628" s="265" t="s">
        <v>661</v>
      </c>
      <c r="K628" s="41"/>
      <c r="N628" s="12" t="s">
        <v>894</v>
      </c>
    </row>
    <row r="629" spans="2:14" x14ac:dyDescent="0.2">
      <c r="B629" s="38"/>
      <c r="C629" s="174" t="s">
        <v>660</v>
      </c>
      <c r="D629" s="40"/>
      <c r="E629" s="40"/>
      <c r="F629" s="40"/>
      <c r="G629" s="40"/>
      <c r="H629" s="40"/>
      <c r="I629" s="40"/>
      <c r="J629" s="247" t="str">
        <f>IF(J628=N627,"N/A",IF(J628=N628,0,IF(J628=N629,1,IF(J628=N630,2,IF(J628=N631,3,IF(J628=N632,4,"N/A"))))))</f>
        <v>N/A</v>
      </c>
      <c r="K629" s="41"/>
      <c r="N629" s="12" t="s">
        <v>895</v>
      </c>
    </row>
    <row r="630" spans="2:14" x14ac:dyDescent="0.2">
      <c r="B630" s="38"/>
      <c r="C630" s="40" t="s">
        <v>257</v>
      </c>
      <c r="D630" s="40"/>
      <c r="E630" s="40"/>
      <c r="F630" s="40"/>
      <c r="G630" s="40"/>
      <c r="H630" s="40"/>
      <c r="I630" s="40"/>
      <c r="J630" s="266"/>
      <c r="K630" s="41"/>
      <c r="N630" s="12" t="s">
        <v>896</v>
      </c>
    </row>
    <row r="631" spans="2:14" x14ac:dyDescent="0.2">
      <c r="B631" s="38"/>
      <c r="C631" s="40" t="s">
        <v>261</v>
      </c>
      <c r="D631" s="40"/>
      <c r="E631" s="40"/>
      <c r="F631" s="40"/>
      <c r="G631" s="40"/>
      <c r="H631" s="40"/>
      <c r="I631" s="40"/>
      <c r="J631" s="245" t="str">
        <f>IF(J630=$B$973,$A$973,IF(J630=$B$974,$A$974,IF(J630=$B$975,$A$975,IF(J630=$B$976,$A$976,IF(J630=$B$977,$A$977,"Not Calculated")))))</f>
        <v>Not Calculated</v>
      </c>
      <c r="K631" s="41"/>
      <c r="N631" s="12" t="s">
        <v>897</v>
      </c>
    </row>
    <row r="632" spans="2:14" x14ac:dyDescent="0.2">
      <c r="B632" s="38"/>
      <c r="C632" s="40" t="s">
        <v>893</v>
      </c>
      <c r="D632" s="40"/>
      <c r="E632" s="40"/>
      <c r="F632" s="40"/>
      <c r="G632" s="40"/>
      <c r="H632" s="40"/>
      <c r="I632" s="40"/>
      <c r="J632" s="40"/>
      <c r="K632" s="41"/>
      <c r="N632" s="12" t="s">
        <v>898</v>
      </c>
    </row>
    <row r="633" spans="2:14" ht="15" customHeight="1" x14ac:dyDescent="0.2">
      <c r="B633" s="38"/>
      <c r="C633" s="399"/>
      <c r="D633" s="400"/>
      <c r="E633" s="400"/>
      <c r="F633" s="400"/>
      <c r="G633" s="400"/>
      <c r="H633" s="400"/>
      <c r="I633" s="400"/>
      <c r="J633" s="401"/>
      <c r="K633" s="41"/>
    </row>
    <row r="634" spans="2:14" x14ac:dyDescent="0.2">
      <c r="B634" s="38"/>
      <c r="C634" s="40"/>
      <c r="D634" s="40"/>
      <c r="E634" s="40"/>
      <c r="F634" s="40"/>
      <c r="G634" s="40"/>
      <c r="H634" s="40"/>
      <c r="I634" s="40"/>
      <c r="J634" s="40"/>
      <c r="K634" s="41"/>
    </row>
    <row r="635" spans="2:14" x14ac:dyDescent="0.2">
      <c r="B635" s="38"/>
      <c r="C635" s="179" t="s">
        <v>328</v>
      </c>
      <c r="D635" s="40"/>
      <c r="E635" s="40"/>
      <c r="F635" s="40"/>
      <c r="G635" s="40"/>
      <c r="H635" s="40"/>
      <c r="I635" s="40"/>
      <c r="J635" s="245" t="str">
        <f>IF(J629="N/A",IF(OR(J622="Not Calculated",J631="Not Calculated")=TRUE,"Not Calculated",AVERAGE(J622,J631)),AVERAGE(J629,J631))</f>
        <v>Not Calculated</v>
      </c>
      <c r="K635" s="41"/>
    </row>
    <row r="636" spans="2:14" x14ac:dyDescent="0.2">
      <c r="B636" s="38"/>
      <c r="C636" s="40"/>
      <c r="D636" s="40"/>
      <c r="E636" s="40"/>
      <c r="F636" s="40"/>
      <c r="G636" s="40"/>
      <c r="H636" s="40"/>
      <c r="I636" s="40"/>
      <c r="J636" s="40"/>
      <c r="K636" s="41"/>
    </row>
    <row r="637" spans="2:14" x14ac:dyDescent="0.2">
      <c r="B637" s="38"/>
      <c r="C637" s="40"/>
      <c r="D637" s="40"/>
      <c r="E637" s="40"/>
      <c r="F637" s="40"/>
      <c r="G637" s="40"/>
      <c r="H637" s="40"/>
      <c r="I637" s="40"/>
      <c r="J637" s="40"/>
      <c r="K637" s="41"/>
    </row>
    <row r="638" spans="2:14" ht="16" x14ac:dyDescent="0.2">
      <c r="B638" s="38"/>
      <c r="C638" s="45" t="s">
        <v>329</v>
      </c>
      <c r="D638" s="40"/>
      <c r="E638" s="40"/>
      <c r="F638" s="40"/>
      <c r="G638" s="40"/>
      <c r="H638" s="40"/>
      <c r="I638" s="40"/>
      <c r="J638" s="40"/>
      <c r="K638" s="41"/>
    </row>
    <row r="639" spans="2:14" ht="15" customHeight="1" x14ac:dyDescent="0.2">
      <c r="B639" s="38"/>
      <c r="C639" s="380" t="s">
        <v>339</v>
      </c>
      <c r="D639" s="380"/>
      <c r="E639" s="380"/>
      <c r="F639" s="380"/>
      <c r="G639" s="380"/>
      <c r="H639" s="380"/>
      <c r="I639" s="380"/>
      <c r="J639" s="40"/>
      <c r="K639" s="41"/>
    </row>
    <row r="640" spans="2:14" x14ac:dyDescent="0.2">
      <c r="B640" s="38"/>
      <c r="C640" s="380"/>
      <c r="D640" s="380"/>
      <c r="E640" s="380"/>
      <c r="F640" s="380"/>
      <c r="G640" s="380"/>
      <c r="H640" s="380"/>
      <c r="I640" s="380"/>
      <c r="J640" s="250">
        <f>'Baseline Health'!G145</f>
        <v>0</v>
      </c>
      <c r="K640" s="41"/>
    </row>
    <row r="641" spans="2:14" ht="15" customHeight="1" x14ac:dyDescent="0.2">
      <c r="B641" s="38"/>
      <c r="C641" s="380" t="s">
        <v>340</v>
      </c>
      <c r="D641" s="380"/>
      <c r="E641" s="380"/>
      <c r="F641" s="380"/>
      <c r="G641" s="380"/>
      <c r="H641" s="380"/>
      <c r="I641" s="380"/>
      <c r="J641" s="245"/>
      <c r="K641" s="41"/>
    </row>
    <row r="642" spans="2:14" x14ac:dyDescent="0.2">
      <c r="B642" s="38"/>
      <c r="C642" s="380"/>
      <c r="D642" s="380"/>
      <c r="E642" s="380"/>
      <c r="F642" s="380"/>
      <c r="G642" s="380"/>
      <c r="H642" s="380"/>
      <c r="I642" s="380"/>
      <c r="J642" s="245"/>
      <c r="K642" s="41"/>
    </row>
    <row r="643" spans="2:14" x14ac:dyDescent="0.2">
      <c r="B643" s="38"/>
      <c r="C643" s="380"/>
      <c r="D643" s="380"/>
      <c r="E643" s="380"/>
      <c r="F643" s="380"/>
      <c r="G643" s="380"/>
      <c r="H643" s="380"/>
      <c r="I643" s="380"/>
      <c r="J643" s="272"/>
      <c r="K643" s="41"/>
    </row>
    <row r="644" spans="2:14" x14ac:dyDescent="0.2">
      <c r="B644" s="38"/>
      <c r="C644" s="40" t="s">
        <v>260</v>
      </c>
      <c r="D644" s="40"/>
      <c r="E644" s="40"/>
      <c r="F644" s="40"/>
      <c r="G644" s="40"/>
      <c r="H644" s="40"/>
      <c r="I644" s="40"/>
      <c r="J644" s="245" t="str">
        <f>IF(OR(J640=0,J640="Not Calculated")=TRUE,"Not Calculated",IF(((J640+J643)/J640)&lt;=1,0,IF(((J640+J643)/J640)&lt;=1.05,1,IF(((J640+J643)/J640)&lt;=1.5, 2,IF(((J640+J643)/J640)&lt;=2,3,4)))))</f>
        <v>Not Calculated</v>
      </c>
      <c r="K644" s="41"/>
    </row>
    <row r="645" spans="2:14" ht="9.75" customHeight="1" x14ac:dyDescent="0.2">
      <c r="B645" s="38"/>
      <c r="C645" s="279" t="str">
        <f>"0:"</f>
        <v>0:</v>
      </c>
      <c r="D645" s="281" t="s">
        <v>918</v>
      </c>
      <c r="E645" s="291"/>
      <c r="F645" s="291"/>
      <c r="G645" s="291"/>
      <c r="H645" s="291"/>
      <c r="I645" s="291"/>
      <c r="J645" s="250"/>
      <c r="K645" s="41"/>
    </row>
    <row r="646" spans="2:14" ht="9.75" customHeight="1" x14ac:dyDescent="0.2">
      <c r="B646" s="38"/>
      <c r="C646" s="280" t="str">
        <f>"1:"</f>
        <v>1:</v>
      </c>
      <c r="D646" s="281" t="s">
        <v>919</v>
      </c>
      <c r="E646" s="291"/>
      <c r="F646" s="291"/>
      <c r="G646" s="291"/>
      <c r="H646" s="291"/>
      <c r="I646" s="291"/>
      <c r="J646" s="250"/>
      <c r="K646" s="41"/>
    </row>
    <row r="647" spans="2:14" ht="9.75" customHeight="1" x14ac:dyDescent="0.2">
      <c r="B647" s="38"/>
      <c r="C647" s="280" t="str">
        <f>"2:"</f>
        <v>2:</v>
      </c>
      <c r="D647" s="281" t="s">
        <v>920</v>
      </c>
      <c r="E647" s="291"/>
      <c r="F647" s="291"/>
      <c r="G647" s="291"/>
      <c r="H647" s="291"/>
      <c r="I647" s="291"/>
      <c r="J647" s="250"/>
      <c r="K647" s="41"/>
    </row>
    <row r="648" spans="2:14" ht="9.75" customHeight="1" x14ac:dyDescent="0.2">
      <c r="B648" s="38"/>
      <c r="C648" s="280" t="str">
        <f>"3:"</f>
        <v>3:</v>
      </c>
      <c r="D648" s="281" t="s">
        <v>921</v>
      </c>
      <c r="E648" s="291"/>
      <c r="F648" s="291"/>
      <c r="G648" s="291"/>
      <c r="H648" s="291"/>
      <c r="I648" s="291"/>
      <c r="J648" s="250"/>
      <c r="K648" s="41"/>
    </row>
    <row r="649" spans="2:14" ht="9.75" customHeight="1" x14ac:dyDescent="0.2">
      <c r="B649" s="38"/>
      <c r="C649" s="280" t="str">
        <f>"4:"</f>
        <v>4:</v>
      </c>
      <c r="D649" s="281" t="s">
        <v>922</v>
      </c>
      <c r="E649" s="40"/>
      <c r="F649" s="40"/>
      <c r="G649" s="40"/>
      <c r="H649" s="40"/>
      <c r="I649" s="40"/>
      <c r="J649" s="40"/>
      <c r="K649" s="41"/>
      <c r="N649" s="12" t="s">
        <v>661</v>
      </c>
    </row>
    <row r="650" spans="2:14" x14ac:dyDescent="0.2">
      <c r="B650" s="38"/>
      <c r="C650" s="174" t="s">
        <v>662</v>
      </c>
      <c r="D650" s="40"/>
      <c r="E650" s="40"/>
      <c r="F650" s="40"/>
      <c r="G650" s="40"/>
      <c r="H650" s="40"/>
      <c r="I650" s="40"/>
      <c r="J650" s="265" t="s">
        <v>661</v>
      </c>
      <c r="K650" s="41"/>
      <c r="N650" s="12" t="s">
        <v>894</v>
      </c>
    </row>
    <row r="651" spans="2:14" x14ac:dyDescent="0.2">
      <c r="B651" s="38"/>
      <c r="C651" s="174" t="s">
        <v>660</v>
      </c>
      <c r="D651" s="40"/>
      <c r="E651" s="40"/>
      <c r="F651" s="40"/>
      <c r="G651" s="40"/>
      <c r="H651" s="40"/>
      <c r="I651" s="40"/>
      <c r="J651" s="247" t="str">
        <f>IF(J650=N649,"N/A",IF(J650=N650,0,IF(J650=N651,1,IF(J650=N652,2,IF(J650=N653,3,IF(J650=N654,4,"N/A"))))))</f>
        <v>N/A</v>
      </c>
      <c r="K651" s="41"/>
      <c r="N651" s="12" t="s">
        <v>895</v>
      </c>
    </row>
    <row r="652" spans="2:14" ht="15" customHeight="1" x14ac:dyDescent="0.2">
      <c r="B652" s="38"/>
      <c r="C652" s="40" t="s">
        <v>257</v>
      </c>
      <c r="D652" s="40"/>
      <c r="E652" s="40"/>
      <c r="F652" s="40"/>
      <c r="G652" s="40"/>
      <c r="H652" s="40"/>
      <c r="I652" s="40"/>
      <c r="J652" s="266"/>
      <c r="K652" s="41"/>
      <c r="N652" s="12" t="s">
        <v>896</v>
      </c>
    </row>
    <row r="653" spans="2:14" x14ac:dyDescent="0.2">
      <c r="B653" s="38"/>
      <c r="C653" s="40" t="s">
        <v>261</v>
      </c>
      <c r="D653" s="40"/>
      <c r="E653" s="40"/>
      <c r="F653" s="40"/>
      <c r="G653" s="40"/>
      <c r="H653" s="40"/>
      <c r="I653" s="40"/>
      <c r="J653" s="245" t="str">
        <f>IF(J652=$B$973,$A$973,IF(J652=$B$974,$A$974,IF(J652=$B$975,$A$975,IF(J652=$B$976,$A$976,IF(J652=$B$977,$A$977,"Not Calculated")))))</f>
        <v>Not Calculated</v>
      </c>
      <c r="K653" s="41"/>
      <c r="N653" s="12" t="s">
        <v>897</v>
      </c>
    </row>
    <row r="654" spans="2:14" x14ac:dyDescent="0.2">
      <c r="B654" s="38"/>
      <c r="C654" s="40" t="s">
        <v>893</v>
      </c>
      <c r="D654" s="40"/>
      <c r="E654" s="40"/>
      <c r="F654" s="40"/>
      <c r="G654" s="40"/>
      <c r="H654" s="40"/>
      <c r="I654" s="40"/>
      <c r="J654" s="40"/>
      <c r="K654" s="41"/>
      <c r="N654" s="12" t="s">
        <v>898</v>
      </c>
    </row>
    <row r="655" spans="2:14" x14ac:dyDescent="0.2">
      <c r="B655" s="38"/>
      <c r="C655" s="399"/>
      <c r="D655" s="400"/>
      <c r="E655" s="400"/>
      <c r="F655" s="400"/>
      <c r="G655" s="400"/>
      <c r="H655" s="400"/>
      <c r="I655" s="400"/>
      <c r="J655" s="401"/>
      <c r="K655" s="41"/>
    </row>
    <row r="656" spans="2:14" x14ac:dyDescent="0.2">
      <c r="B656" s="38"/>
      <c r="C656" s="40"/>
      <c r="D656" s="40"/>
      <c r="E656" s="40"/>
      <c r="F656" s="40"/>
      <c r="G656" s="40"/>
      <c r="H656" s="40"/>
      <c r="I656" s="40"/>
      <c r="J656" s="40"/>
      <c r="K656" s="41"/>
    </row>
    <row r="657" spans="2:14" x14ac:dyDescent="0.2">
      <c r="B657" s="38"/>
      <c r="C657" s="179" t="s">
        <v>330</v>
      </c>
      <c r="D657" s="40"/>
      <c r="E657" s="40"/>
      <c r="F657" s="40"/>
      <c r="G657" s="40"/>
      <c r="H657" s="40"/>
      <c r="I657" s="40"/>
      <c r="J657" s="245" t="str">
        <f>IF(J651="N/A",IF(OR(J644="Not Calculated",J653="Not Calculated")=TRUE,"Not Calculated",AVERAGE(J644,J653)),AVERAGE(J651,J653))</f>
        <v>Not Calculated</v>
      </c>
      <c r="K657" s="41"/>
    </row>
    <row r="658" spans="2:14" x14ac:dyDescent="0.2">
      <c r="B658" s="38"/>
      <c r="C658" s="40"/>
      <c r="D658" s="40"/>
      <c r="E658" s="40"/>
      <c r="F658" s="40"/>
      <c r="G658" s="40"/>
      <c r="H658" s="40"/>
      <c r="I658" s="40"/>
      <c r="J658" s="40"/>
      <c r="K658" s="41"/>
    </row>
    <row r="659" spans="2:14" x14ac:dyDescent="0.2">
      <c r="B659" s="38"/>
      <c r="C659" s="40"/>
      <c r="D659" s="40"/>
      <c r="E659" s="40"/>
      <c r="F659" s="40"/>
      <c r="G659" s="40"/>
      <c r="H659" s="40"/>
      <c r="I659" s="40"/>
      <c r="J659" s="40"/>
      <c r="K659" s="41"/>
    </row>
    <row r="660" spans="2:14" ht="16" x14ac:dyDescent="0.2">
      <c r="B660" s="38"/>
      <c r="C660" s="45" t="s">
        <v>97</v>
      </c>
      <c r="D660" s="40"/>
      <c r="E660" s="40"/>
      <c r="F660" s="40"/>
      <c r="G660" s="40"/>
      <c r="H660" s="40"/>
      <c r="I660" s="40"/>
      <c r="J660" s="40"/>
      <c r="K660" s="41"/>
    </row>
    <row r="661" spans="2:14" x14ac:dyDescent="0.2">
      <c r="B661" s="38"/>
      <c r="C661" s="40" t="s">
        <v>449</v>
      </c>
      <c r="D661" s="40"/>
      <c r="E661" s="40"/>
      <c r="F661" s="40"/>
      <c r="G661" s="40"/>
      <c r="H661" s="40"/>
      <c r="I661" s="40"/>
      <c r="J661" s="263">
        <f>'Baseline Health'!G150</f>
        <v>0</v>
      </c>
      <c r="K661" s="41"/>
    </row>
    <row r="662" spans="2:14" x14ac:dyDescent="0.2">
      <c r="B662" s="38"/>
      <c r="C662" s="40" t="s">
        <v>341</v>
      </c>
      <c r="D662" s="40"/>
      <c r="E662" s="40"/>
      <c r="F662" s="40"/>
      <c r="G662" s="40"/>
      <c r="H662" s="40"/>
      <c r="I662" s="40"/>
      <c r="J662" s="273"/>
      <c r="K662" s="41"/>
    </row>
    <row r="663" spans="2:14" x14ac:dyDescent="0.2">
      <c r="B663" s="38"/>
      <c r="C663" s="40" t="s">
        <v>450</v>
      </c>
      <c r="D663" s="40"/>
      <c r="E663" s="40"/>
      <c r="F663" s="40"/>
      <c r="G663" s="40"/>
      <c r="H663" s="40"/>
      <c r="I663" s="40"/>
      <c r="J663" s="263">
        <f>J26</f>
        <v>0</v>
      </c>
      <c r="K663" s="41"/>
    </row>
    <row r="664" spans="2:14" ht="15" customHeight="1" x14ac:dyDescent="0.2">
      <c r="B664" s="38"/>
      <c r="C664" s="291"/>
      <c r="D664" s="380" t="s">
        <v>342</v>
      </c>
      <c r="E664" s="380"/>
      <c r="F664" s="380"/>
      <c r="G664" s="380"/>
      <c r="H664" s="380"/>
      <c r="I664" s="380"/>
      <c r="J664" s="245"/>
      <c r="K664" s="41"/>
    </row>
    <row r="665" spans="2:14" x14ac:dyDescent="0.2">
      <c r="B665" s="38"/>
      <c r="C665" s="291"/>
      <c r="D665" s="380"/>
      <c r="E665" s="380"/>
      <c r="F665" s="380"/>
      <c r="G665" s="380"/>
      <c r="H665" s="380"/>
      <c r="I665" s="380"/>
      <c r="J665" s="245"/>
      <c r="K665" s="41"/>
    </row>
    <row r="666" spans="2:14" x14ac:dyDescent="0.2">
      <c r="B666" s="38"/>
      <c r="C666" s="40" t="s">
        <v>260</v>
      </c>
      <c r="D666" s="40"/>
      <c r="E666" s="40"/>
      <c r="F666" s="40"/>
      <c r="G666" s="40"/>
      <c r="H666" s="40"/>
      <c r="I666" s="40"/>
      <c r="J666" s="245" t="str">
        <f>IF(OR(J661=0,J661="Not Calculated")=TRUE,"Not Calculated",IF(((J661+J663)/(J661-J662))&lt;=1,0,IF(((J661+J663)/(J661-J662))&lt;=1.1,1,IF(((J661+J663)/(J661-J662))&lt;=1.5, 2,IF(((J661+J663)/(J661-J662))&lt;=2,3,4)))))</f>
        <v>Not Calculated</v>
      </c>
      <c r="K666" s="41"/>
    </row>
    <row r="667" spans="2:14" ht="9.75" customHeight="1" x14ac:dyDescent="0.2">
      <c r="B667" s="38"/>
      <c r="C667" s="279" t="str">
        <f>"0:"</f>
        <v>0:</v>
      </c>
      <c r="D667" s="278" t="s">
        <v>918</v>
      </c>
      <c r="E667" s="291"/>
      <c r="F667" s="291"/>
      <c r="G667" s="291"/>
      <c r="H667" s="291"/>
      <c r="I667" s="291"/>
      <c r="J667" s="245"/>
      <c r="K667" s="41"/>
    </row>
    <row r="668" spans="2:14" ht="9.75" customHeight="1" x14ac:dyDescent="0.2">
      <c r="B668" s="38"/>
      <c r="C668" s="280" t="str">
        <f>"1:"</f>
        <v>1:</v>
      </c>
      <c r="D668" s="278" t="s">
        <v>923</v>
      </c>
      <c r="E668" s="291"/>
      <c r="F668" s="291"/>
      <c r="G668" s="291"/>
      <c r="H668" s="291"/>
      <c r="I668" s="291"/>
      <c r="J668" s="245"/>
      <c r="K668" s="41"/>
    </row>
    <row r="669" spans="2:14" ht="9.75" customHeight="1" x14ac:dyDescent="0.2">
      <c r="B669" s="38"/>
      <c r="C669" s="280" t="str">
        <f>"2:"</f>
        <v>2:</v>
      </c>
      <c r="D669" s="278" t="s">
        <v>924</v>
      </c>
      <c r="E669" s="291"/>
      <c r="F669" s="291"/>
      <c r="G669" s="291"/>
      <c r="H669" s="291"/>
      <c r="I669" s="291"/>
      <c r="J669" s="245"/>
      <c r="K669" s="41"/>
    </row>
    <row r="670" spans="2:14" ht="9.75" customHeight="1" x14ac:dyDescent="0.2">
      <c r="B670" s="38"/>
      <c r="C670" s="280" t="str">
        <f>"3:"</f>
        <v>3:</v>
      </c>
      <c r="D670" s="278" t="s">
        <v>925</v>
      </c>
      <c r="E670" s="291"/>
      <c r="F670" s="291"/>
      <c r="G670" s="291"/>
      <c r="H670" s="291"/>
      <c r="I670" s="291"/>
      <c r="J670" s="245"/>
      <c r="K670" s="41"/>
    </row>
    <row r="671" spans="2:14" ht="9.75" customHeight="1" x14ac:dyDescent="0.2">
      <c r="B671" s="38"/>
      <c r="C671" s="280" t="str">
        <f>"4:"</f>
        <v>4:</v>
      </c>
      <c r="D671" s="278" t="s">
        <v>926</v>
      </c>
      <c r="E671" s="40"/>
      <c r="F671" s="40"/>
      <c r="G671" s="40"/>
      <c r="H671" s="40"/>
      <c r="I671" s="40"/>
      <c r="J671" s="40"/>
      <c r="K671" s="41"/>
      <c r="N671" s="12" t="s">
        <v>661</v>
      </c>
    </row>
    <row r="672" spans="2:14" ht="15" customHeight="1" x14ac:dyDescent="0.2">
      <c r="B672" s="38"/>
      <c r="C672" s="174" t="s">
        <v>662</v>
      </c>
      <c r="D672" s="40"/>
      <c r="E672" s="40"/>
      <c r="F672" s="40"/>
      <c r="G672" s="40"/>
      <c r="H672" s="40"/>
      <c r="I672" s="40"/>
      <c r="J672" s="265" t="s">
        <v>661</v>
      </c>
      <c r="K672" s="41"/>
      <c r="N672" s="12" t="s">
        <v>894</v>
      </c>
    </row>
    <row r="673" spans="2:14" ht="15" customHeight="1" x14ac:dyDescent="0.2">
      <c r="B673" s="38"/>
      <c r="C673" s="174" t="s">
        <v>660</v>
      </c>
      <c r="D673" s="40"/>
      <c r="E673" s="40"/>
      <c r="F673" s="40"/>
      <c r="G673" s="40"/>
      <c r="H673" s="40"/>
      <c r="I673" s="40"/>
      <c r="J673" s="246" t="str">
        <f>IF(J672=N671,"N/A",IF(J672=N672,0,IF(J672=N673,1,IF(J672=N674,2,IF(J672=N675,3,IF(J672=N676,4,"N/A"))))))</f>
        <v>N/A</v>
      </c>
      <c r="K673" s="41"/>
      <c r="N673" s="12" t="s">
        <v>908</v>
      </c>
    </row>
    <row r="674" spans="2:14" ht="15" customHeight="1" x14ac:dyDescent="0.2">
      <c r="B674" s="38"/>
      <c r="C674" s="40" t="s">
        <v>257</v>
      </c>
      <c r="D674" s="40"/>
      <c r="E674" s="40"/>
      <c r="F674" s="40"/>
      <c r="G674" s="40"/>
      <c r="H674" s="40"/>
      <c r="I674" s="40"/>
      <c r="J674" s="266"/>
      <c r="K674" s="41"/>
      <c r="N674" s="12" t="s">
        <v>900</v>
      </c>
    </row>
    <row r="675" spans="2:14" x14ac:dyDescent="0.2">
      <c r="B675" s="38"/>
      <c r="C675" s="40" t="s">
        <v>261</v>
      </c>
      <c r="D675" s="40"/>
      <c r="E675" s="40"/>
      <c r="F675" s="40"/>
      <c r="G675" s="40"/>
      <c r="H675" s="40"/>
      <c r="I675" s="40"/>
      <c r="J675" s="245" t="str">
        <f>IF(J674=$B$973,$A$973,IF(J674=$B$974,$A$974,IF(J674=$B$975,$A$975,IF(J674=$B$976,$A$976,IF(J674=$B$977,$A$977,"Not Calculated")))))</f>
        <v>Not Calculated</v>
      </c>
      <c r="K675" s="41"/>
      <c r="N675" s="12" t="s">
        <v>901</v>
      </c>
    </row>
    <row r="676" spans="2:14" ht="15" customHeight="1" x14ac:dyDescent="0.2">
      <c r="B676" s="38"/>
      <c r="C676" s="40" t="s">
        <v>893</v>
      </c>
      <c r="D676" s="40"/>
      <c r="E676" s="40"/>
      <c r="F676" s="40"/>
      <c r="G676" s="40"/>
      <c r="H676" s="40"/>
      <c r="I676" s="40"/>
      <c r="J676" s="40"/>
      <c r="K676" s="41"/>
      <c r="N676" s="12" t="s">
        <v>909</v>
      </c>
    </row>
    <row r="677" spans="2:14" ht="15" customHeight="1" x14ac:dyDescent="0.2">
      <c r="B677" s="38"/>
      <c r="C677" s="399"/>
      <c r="D677" s="400"/>
      <c r="E677" s="400"/>
      <c r="F677" s="400"/>
      <c r="G677" s="400"/>
      <c r="H677" s="400"/>
      <c r="I677" s="400"/>
      <c r="J677" s="401"/>
      <c r="K677" s="41"/>
    </row>
    <row r="678" spans="2:14" x14ac:dyDescent="0.2">
      <c r="B678" s="38"/>
      <c r="C678" s="40"/>
      <c r="D678" s="40"/>
      <c r="E678" s="40"/>
      <c r="F678" s="40"/>
      <c r="G678" s="40"/>
      <c r="H678" s="40"/>
      <c r="I678" s="40"/>
      <c r="J678" s="40"/>
      <c r="K678" s="41"/>
    </row>
    <row r="679" spans="2:14" x14ac:dyDescent="0.2">
      <c r="B679" s="38"/>
      <c r="C679" s="179" t="s">
        <v>331</v>
      </c>
      <c r="D679" s="40"/>
      <c r="E679" s="40"/>
      <c r="F679" s="40"/>
      <c r="G679" s="40"/>
      <c r="H679" s="40"/>
      <c r="I679" s="40"/>
      <c r="J679" s="245" t="str">
        <f>IF(J673="N/A",IF(OR(J666="Not Calculated",J675="Not Calculated")=TRUE,"Not Calculated",AVERAGE(J666,J675)),AVERAGE(J673,J675))</f>
        <v>Not Calculated</v>
      </c>
      <c r="K679" s="41"/>
    </row>
    <row r="680" spans="2:14" x14ac:dyDescent="0.2">
      <c r="B680" s="38"/>
      <c r="C680" s="40"/>
      <c r="D680" s="40"/>
      <c r="E680" s="40"/>
      <c r="F680" s="40"/>
      <c r="G680" s="40"/>
      <c r="H680" s="40"/>
      <c r="I680" s="40"/>
      <c r="J680" s="40"/>
      <c r="K680" s="41"/>
    </row>
    <row r="681" spans="2:14" ht="18" x14ac:dyDescent="0.2">
      <c r="B681" s="38"/>
      <c r="C681" s="180" t="s">
        <v>332</v>
      </c>
      <c r="D681" s="40"/>
      <c r="E681" s="40"/>
      <c r="F681" s="40"/>
      <c r="G681" s="40"/>
      <c r="H681" s="40"/>
      <c r="I681" s="40"/>
      <c r="J681" s="244" t="str">
        <f>IF(OR(J562="Not Calculated",J585="Not Calculated",J601="Not Calculated",J615="Not Calculated",J635="Not Calculated",J657="Not Calculated",J679="Not Calculated")=TRUE,"Not Calculated",AVERAGE(J562,J585,J601,J615,J635,J657,J679))</f>
        <v>Not Calculated</v>
      </c>
      <c r="K681" s="41"/>
    </row>
    <row r="682" spans="2:14" ht="16" thickBot="1" x14ac:dyDescent="0.25">
      <c r="B682" s="46"/>
      <c r="C682" s="47"/>
      <c r="D682" s="47"/>
      <c r="E682" s="47"/>
      <c r="F682" s="47"/>
      <c r="G682" s="47"/>
      <c r="H682" s="47"/>
      <c r="I682" s="47"/>
      <c r="J682" s="47"/>
      <c r="K682" s="49"/>
    </row>
    <row r="683" spans="2:14" ht="16" thickBot="1" x14ac:dyDescent="0.25"/>
    <row r="684" spans="2:14" x14ac:dyDescent="0.2">
      <c r="B684" s="33"/>
      <c r="C684" s="34"/>
      <c r="D684" s="34"/>
      <c r="E684" s="34"/>
      <c r="F684" s="34"/>
      <c r="G684" s="34"/>
      <c r="H684" s="34"/>
      <c r="I684" s="34"/>
      <c r="J684" s="34"/>
      <c r="K684" s="37"/>
    </row>
    <row r="685" spans="2:14" ht="21" x14ac:dyDescent="0.25">
      <c r="B685" s="38"/>
      <c r="C685" s="40"/>
      <c r="D685" s="40"/>
      <c r="E685" s="40"/>
      <c r="F685" s="40"/>
      <c r="G685" s="172" t="s">
        <v>346</v>
      </c>
      <c r="H685" s="40"/>
      <c r="I685" s="40"/>
      <c r="J685" s="40"/>
      <c r="K685" s="41"/>
    </row>
    <row r="686" spans="2:14" x14ac:dyDescent="0.2">
      <c r="B686" s="38"/>
      <c r="C686" s="40"/>
      <c r="D686" s="40"/>
      <c r="E686" s="40"/>
      <c r="F686" s="40"/>
      <c r="G686" s="40"/>
      <c r="H686" s="40"/>
      <c r="I686" s="40"/>
      <c r="J686" s="40"/>
      <c r="K686" s="41"/>
    </row>
    <row r="687" spans="2:14" ht="16" x14ac:dyDescent="0.2">
      <c r="B687" s="38"/>
      <c r="C687" s="182" t="s">
        <v>986</v>
      </c>
      <c r="D687" s="40"/>
      <c r="E687" s="40"/>
      <c r="F687" s="40"/>
      <c r="G687" s="40"/>
      <c r="H687" s="40"/>
      <c r="I687" s="40"/>
      <c r="J687" s="257" t="str">
        <f>IF(OR($J$133="Not Calculated",$J$261="Not Calculated",$J$421="Not Calculated",$J$539="Not Calculated",$J$681="Not Calculated")=TRUE,"Not Calculated",AVERAGE($J$133,$J$261,$J$421,$J$539,$J$681))</f>
        <v>Not Calculated</v>
      </c>
      <c r="K687" s="41"/>
    </row>
    <row r="688" spans="2:14" x14ac:dyDescent="0.2">
      <c r="B688" s="38"/>
      <c r="C688" s="40"/>
      <c r="D688" s="40" t="s">
        <v>343</v>
      </c>
      <c r="E688" s="40"/>
      <c r="F688" s="40"/>
      <c r="G688" s="40"/>
      <c r="H688" s="40"/>
      <c r="I688" s="40"/>
      <c r="J688" s="40"/>
      <c r="K688" s="41"/>
    </row>
    <row r="689" spans="2:11" ht="15" customHeight="1" x14ac:dyDescent="0.2">
      <c r="B689" s="38"/>
      <c r="C689" s="40"/>
      <c r="D689" s="40"/>
      <c r="E689" s="40"/>
      <c r="F689" s="40"/>
      <c r="G689" s="40"/>
      <c r="H689" s="40"/>
      <c r="I689" s="40"/>
      <c r="J689" s="40"/>
      <c r="K689" s="41"/>
    </row>
    <row r="690" spans="2:11" ht="16" x14ac:dyDescent="0.2">
      <c r="B690" s="38"/>
      <c r="C690" s="182" t="s">
        <v>987</v>
      </c>
      <c r="D690" s="40"/>
      <c r="E690" s="40"/>
      <c r="F690" s="40"/>
      <c r="G690" s="40"/>
      <c r="H690" s="40"/>
      <c r="I690" s="40"/>
      <c r="J690" s="257" t="str">
        <f>IF(OR($J$133="Not Calculated",$J$261="Not Calculated",$J$539="Not Calculated",$J$681="Not Calculated")=TRUE,"Not Calculated",AVERAGE($J$133,$J$261,$J$539,$J$681))</f>
        <v>Not Calculated</v>
      </c>
      <c r="K690" s="41"/>
    </row>
    <row r="691" spans="2:11" ht="15" customHeight="1" x14ac:dyDescent="0.2">
      <c r="B691" s="38"/>
      <c r="C691" s="40"/>
      <c r="D691" s="40" t="s">
        <v>344</v>
      </c>
      <c r="E691" s="40"/>
      <c r="F691" s="40"/>
      <c r="G691" s="40"/>
      <c r="H691" s="40"/>
      <c r="I691" s="40"/>
      <c r="J691" s="40"/>
      <c r="K691" s="41"/>
    </row>
    <row r="692" spans="2:11" x14ac:dyDescent="0.2">
      <c r="B692" s="38"/>
      <c r="C692" s="40"/>
      <c r="D692" s="40"/>
      <c r="E692" s="40"/>
      <c r="F692" s="40"/>
      <c r="G692" s="40"/>
      <c r="H692" s="40"/>
      <c r="I692" s="40"/>
      <c r="J692" s="40"/>
      <c r="K692" s="41"/>
    </row>
    <row r="693" spans="2:11" ht="16" x14ac:dyDescent="0.2">
      <c r="B693" s="38"/>
      <c r="C693" s="182" t="s">
        <v>988</v>
      </c>
      <c r="D693" s="40"/>
      <c r="E693" s="40"/>
      <c r="F693" s="40"/>
      <c r="G693" s="40"/>
      <c r="H693" s="40"/>
      <c r="I693" s="40"/>
      <c r="J693" s="257" t="str">
        <f>IF(OR($J$133="Not Calculated",$J$261="Not Calculated",$J$421="Not Calculated")=TRUE,"Not Calculated",AVERAGE($J$133,$J$261,$J$421))</f>
        <v>Not Calculated</v>
      </c>
      <c r="K693" s="41"/>
    </row>
    <row r="694" spans="2:11" x14ac:dyDescent="0.2">
      <c r="B694" s="38"/>
      <c r="C694" s="40"/>
      <c r="D694" s="40" t="s">
        <v>345</v>
      </c>
      <c r="E694" s="40"/>
      <c r="F694" s="40"/>
      <c r="G694" s="40"/>
      <c r="H694" s="40"/>
      <c r="I694" s="40"/>
      <c r="J694" s="40"/>
      <c r="K694" s="41"/>
    </row>
    <row r="695" spans="2:11" ht="16" thickBot="1" x14ac:dyDescent="0.25">
      <c r="B695" s="46"/>
      <c r="C695" s="47"/>
      <c r="D695" s="47"/>
      <c r="E695" s="47"/>
      <c r="F695" s="47"/>
      <c r="G695" s="47"/>
      <c r="H695" s="47"/>
      <c r="I695" s="47"/>
      <c r="J695" s="47"/>
      <c r="K695" s="49"/>
    </row>
    <row r="696" spans="2:11" ht="16" thickBot="1" x14ac:dyDescent="0.25"/>
    <row r="697" spans="2:11" x14ac:dyDescent="0.2">
      <c r="B697" s="183"/>
      <c r="C697" s="184"/>
      <c r="D697" s="184"/>
      <c r="E697" s="184"/>
      <c r="F697" s="184"/>
      <c r="G697" s="184"/>
      <c r="H697" s="184"/>
      <c r="I697" s="184"/>
      <c r="J697" s="184"/>
      <c r="K697" s="185"/>
    </row>
    <row r="698" spans="2:11" ht="21" x14ac:dyDescent="0.25">
      <c r="B698" s="186"/>
      <c r="C698" s="187"/>
      <c r="D698" s="187"/>
      <c r="E698" s="187"/>
      <c r="F698" s="187"/>
      <c r="G698" s="188" t="s">
        <v>231</v>
      </c>
      <c r="H698" s="187"/>
      <c r="I698" s="187"/>
      <c r="J698" s="187"/>
      <c r="K698" s="189"/>
    </row>
    <row r="699" spans="2:11" x14ac:dyDescent="0.2">
      <c r="B699" s="186"/>
      <c r="C699" s="187"/>
      <c r="D699" s="187"/>
      <c r="E699" s="187"/>
      <c r="F699" s="187"/>
      <c r="G699" s="187"/>
      <c r="H699" s="187"/>
      <c r="I699" s="187"/>
      <c r="J699" s="187"/>
      <c r="K699" s="189"/>
    </row>
    <row r="700" spans="2:11" ht="16" x14ac:dyDescent="0.2">
      <c r="B700" s="186"/>
      <c r="C700" s="190" t="s">
        <v>989</v>
      </c>
      <c r="D700" s="187"/>
      <c r="E700" s="187"/>
      <c r="F700" s="187"/>
      <c r="G700" s="187"/>
      <c r="H700" s="187"/>
      <c r="I700" s="187"/>
      <c r="J700" s="256" t="str">
        <f>IF(OR(J687="Not Calculated",$E$17="Not Calculated")=TRUE,"Not Calculated",(J687*$E$17*100/16))</f>
        <v>Not Calculated</v>
      </c>
      <c r="K700" s="189"/>
    </row>
    <row r="701" spans="2:11" x14ac:dyDescent="0.2">
      <c r="B701" s="186"/>
      <c r="C701" s="187"/>
      <c r="D701" s="187" t="s">
        <v>377</v>
      </c>
      <c r="E701" s="187"/>
      <c r="F701" s="187"/>
      <c r="G701" s="187"/>
      <c r="H701" s="187"/>
      <c r="I701" s="187"/>
      <c r="J701" s="187"/>
      <c r="K701" s="189"/>
    </row>
    <row r="702" spans="2:11" x14ac:dyDescent="0.2">
      <c r="B702" s="186"/>
      <c r="C702" s="187"/>
      <c r="D702" s="187"/>
      <c r="E702" s="187"/>
      <c r="F702" s="187"/>
      <c r="G702" s="187"/>
      <c r="H702" s="187"/>
      <c r="I702" s="187"/>
      <c r="J702" s="187"/>
      <c r="K702" s="189"/>
    </row>
    <row r="703" spans="2:11" ht="16" x14ac:dyDescent="0.2">
      <c r="B703" s="186"/>
      <c r="C703" s="190" t="s">
        <v>990</v>
      </c>
      <c r="D703" s="187"/>
      <c r="E703" s="187"/>
      <c r="F703" s="187"/>
      <c r="G703" s="187"/>
      <c r="H703" s="187"/>
      <c r="I703" s="187"/>
      <c r="J703" s="256" t="str">
        <f>IF(OR(J690="Not Calculated",$E$17="Not Calculated")=TRUE,"Not Calculated",(J690*$E$17*100/16))</f>
        <v>Not Calculated</v>
      </c>
      <c r="K703" s="189"/>
    </row>
    <row r="704" spans="2:11" x14ac:dyDescent="0.2">
      <c r="B704" s="186"/>
      <c r="C704" s="187"/>
      <c r="D704" s="187" t="s">
        <v>378</v>
      </c>
      <c r="E704" s="187"/>
      <c r="F704" s="187"/>
      <c r="G704" s="187"/>
      <c r="H704" s="187"/>
      <c r="I704" s="187"/>
      <c r="J704" s="187"/>
      <c r="K704" s="189"/>
    </row>
    <row r="705" spans="2:11" x14ac:dyDescent="0.2">
      <c r="B705" s="186"/>
      <c r="C705" s="187"/>
      <c r="D705" s="187"/>
      <c r="E705" s="187"/>
      <c r="F705" s="187"/>
      <c r="G705" s="187"/>
      <c r="H705" s="187"/>
      <c r="I705" s="187"/>
      <c r="J705" s="187"/>
      <c r="K705" s="189"/>
    </row>
    <row r="706" spans="2:11" ht="16" x14ac:dyDescent="0.2">
      <c r="B706" s="186"/>
      <c r="C706" s="190" t="s">
        <v>991</v>
      </c>
      <c r="D706" s="187"/>
      <c r="E706" s="187"/>
      <c r="F706" s="187"/>
      <c r="G706" s="187"/>
      <c r="H706" s="187"/>
      <c r="I706" s="187"/>
      <c r="J706" s="256" t="str">
        <f>IF(OR(J693="Not Calculated",$E$17="Not Calculated")=TRUE,"Not Calculated",(J693*$E$17*100/16))</f>
        <v>Not Calculated</v>
      </c>
      <c r="K706" s="189"/>
    </row>
    <row r="707" spans="2:11" x14ac:dyDescent="0.2">
      <c r="B707" s="186"/>
      <c r="C707" s="187"/>
      <c r="D707" s="187" t="s">
        <v>379</v>
      </c>
      <c r="E707" s="187"/>
      <c r="F707" s="187"/>
      <c r="G707" s="187"/>
      <c r="H707" s="187"/>
      <c r="I707" s="187"/>
      <c r="J707" s="187"/>
      <c r="K707" s="189"/>
    </row>
    <row r="708" spans="2:11" ht="16" thickBot="1" x14ac:dyDescent="0.25">
      <c r="B708" s="191"/>
      <c r="C708" s="192"/>
      <c r="D708" s="192"/>
      <c r="E708" s="192"/>
      <c r="F708" s="192"/>
      <c r="G708" s="192"/>
      <c r="H708" s="192"/>
      <c r="I708" s="192"/>
      <c r="J708" s="192"/>
      <c r="K708" s="193"/>
    </row>
    <row r="709" spans="2:11" ht="16" thickBot="1" x14ac:dyDescent="0.25"/>
    <row r="710" spans="2:11" x14ac:dyDescent="0.2">
      <c r="B710" s="53"/>
      <c r="C710" s="54"/>
      <c r="D710" s="54"/>
      <c r="E710" s="54"/>
      <c r="F710" s="54"/>
      <c r="G710" s="54"/>
      <c r="H710" s="54"/>
      <c r="I710" s="54"/>
      <c r="J710" s="54"/>
      <c r="K710" s="56"/>
    </row>
    <row r="711" spans="2:11" ht="21" x14ac:dyDescent="0.25">
      <c r="B711" s="57"/>
      <c r="C711" s="59"/>
      <c r="D711" s="59"/>
      <c r="E711" s="59"/>
      <c r="F711" s="59"/>
      <c r="G711" s="194" t="s">
        <v>232</v>
      </c>
      <c r="H711" s="59"/>
      <c r="I711" s="59"/>
      <c r="J711" s="59"/>
      <c r="K711" s="61"/>
    </row>
    <row r="712" spans="2:11" x14ac:dyDescent="0.2">
      <c r="B712" s="57"/>
      <c r="C712" s="59"/>
      <c r="D712" s="59"/>
      <c r="E712" s="59"/>
      <c r="F712" s="59"/>
      <c r="G712" s="59"/>
      <c r="H712" s="59"/>
      <c r="I712" s="59"/>
      <c r="J712" s="59"/>
      <c r="K712" s="61"/>
    </row>
    <row r="713" spans="2:11" ht="16" x14ac:dyDescent="0.2">
      <c r="B713" s="57"/>
      <c r="C713" s="195" t="s">
        <v>363</v>
      </c>
      <c r="D713" s="59"/>
      <c r="E713" s="59"/>
      <c r="F713" s="59"/>
      <c r="G713" s="59"/>
      <c r="H713" s="59"/>
      <c r="I713" s="59"/>
      <c r="J713" s="59"/>
      <c r="K713" s="61"/>
    </row>
    <row r="714" spans="2:11" ht="15" customHeight="1" x14ac:dyDescent="0.2">
      <c r="B714" s="57"/>
      <c r="C714" s="411" t="s">
        <v>364</v>
      </c>
      <c r="D714" s="411"/>
      <c r="E714" s="411"/>
      <c r="F714" s="411"/>
      <c r="G714" s="411"/>
      <c r="H714" s="411"/>
      <c r="I714" s="411"/>
      <c r="J714" s="411"/>
      <c r="K714" s="61"/>
    </row>
    <row r="715" spans="2:11" x14ac:dyDescent="0.2">
      <c r="B715" s="57"/>
      <c r="C715" s="411"/>
      <c r="D715" s="411"/>
      <c r="E715" s="411"/>
      <c r="F715" s="411"/>
      <c r="G715" s="411"/>
      <c r="H715" s="411"/>
      <c r="I715" s="411"/>
      <c r="J715" s="411"/>
      <c r="K715" s="61"/>
    </row>
    <row r="716" spans="2:11" x14ac:dyDescent="0.2">
      <c r="B716" s="57"/>
      <c r="C716" s="411"/>
      <c r="D716" s="411"/>
      <c r="E716" s="411"/>
      <c r="F716" s="411"/>
      <c r="G716" s="411"/>
      <c r="H716" s="411"/>
      <c r="I716" s="411"/>
      <c r="J716" s="411"/>
      <c r="K716" s="61"/>
    </row>
    <row r="717" spans="2:11" x14ac:dyDescent="0.2">
      <c r="B717" s="57"/>
      <c r="C717" s="196" t="s">
        <v>30</v>
      </c>
      <c r="D717" s="59"/>
      <c r="E717" s="59"/>
      <c r="F717" s="59"/>
      <c r="G717" s="431"/>
      <c r="H717" s="431"/>
      <c r="I717" s="59"/>
      <c r="J717" s="260" t="str">
        <f>IF(G717=$B$994,$A$994,IF(G717=$B$995,$A$995,"Not Calculated"))</f>
        <v>Not Calculated</v>
      </c>
      <c r="K717" s="61"/>
    </row>
    <row r="718" spans="2:11" x14ac:dyDescent="0.2">
      <c r="B718" s="57"/>
      <c r="C718" s="196" t="s">
        <v>32</v>
      </c>
      <c r="D718" s="59"/>
      <c r="E718" s="59"/>
      <c r="F718" s="59"/>
      <c r="G718" s="431"/>
      <c r="H718" s="431"/>
      <c r="I718" s="59"/>
      <c r="J718" s="260" t="str">
        <f t="shared" ref="J718:J725" si="0">IF(G718=$B$994,$A$994,IF(G718=$B$995,$A$995,"Not Calculated"))</f>
        <v>Not Calculated</v>
      </c>
      <c r="K718" s="61"/>
    </row>
    <row r="719" spans="2:11" x14ac:dyDescent="0.2">
      <c r="B719" s="57"/>
      <c r="C719" s="196" t="s">
        <v>34</v>
      </c>
      <c r="D719" s="59"/>
      <c r="E719" s="59"/>
      <c r="F719" s="59"/>
      <c r="G719" s="431"/>
      <c r="H719" s="431"/>
      <c r="I719" s="59"/>
      <c r="J719" s="260" t="str">
        <f t="shared" si="0"/>
        <v>Not Calculated</v>
      </c>
      <c r="K719" s="61"/>
    </row>
    <row r="720" spans="2:11" x14ac:dyDescent="0.2">
      <c r="B720" s="57"/>
      <c r="C720" s="196" t="s">
        <v>35</v>
      </c>
      <c r="D720" s="59"/>
      <c r="E720" s="59"/>
      <c r="F720" s="59"/>
      <c r="G720" s="431"/>
      <c r="H720" s="431"/>
      <c r="I720" s="59"/>
      <c r="J720" s="260" t="str">
        <f t="shared" si="0"/>
        <v>Not Calculated</v>
      </c>
      <c r="K720" s="61"/>
    </row>
    <row r="721" spans="2:11" x14ac:dyDescent="0.2">
      <c r="B721" s="57"/>
      <c r="C721" s="196" t="s">
        <v>37</v>
      </c>
      <c r="D721" s="59"/>
      <c r="E721" s="59"/>
      <c r="F721" s="59"/>
      <c r="G721" s="431"/>
      <c r="H721" s="431"/>
      <c r="I721" s="59"/>
      <c r="J721" s="260" t="str">
        <f t="shared" si="0"/>
        <v>Not Calculated</v>
      </c>
      <c r="K721" s="61"/>
    </row>
    <row r="722" spans="2:11" x14ac:dyDescent="0.2">
      <c r="B722" s="57"/>
      <c r="C722" s="196" t="s">
        <v>38</v>
      </c>
      <c r="D722" s="59"/>
      <c r="E722" s="59"/>
      <c r="F722" s="59"/>
      <c r="G722" s="431"/>
      <c r="H722" s="431"/>
      <c r="I722" s="59"/>
      <c r="J722" s="260" t="str">
        <f t="shared" si="0"/>
        <v>Not Calculated</v>
      </c>
      <c r="K722" s="61"/>
    </row>
    <row r="723" spans="2:11" x14ac:dyDescent="0.2">
      <c r="B723" s="57"/>
      <c r="C723" s="196" t="s">
        <v>40</v>
      </c>
      <c r="D723" s="59"/>
      <c r="E723" s="59"/>
      <c r="F723" s="59"/>
      <c r="G723" s="431"/>
      <c r="H723" s="431"/>
      <c r="I723" s="59"/>
      <c r="J723" s="260" t="str">
        <f t="shared" si="0"/>
        <v>Not Calculated</v>
      </c>
      <c r="K723" s="61"/>
    </row>
    <row r="724" spans="2:11" x14ac:dyDescent="0.2">
      <c r="B724" s="57"/>
      <c r="C724" s="196" t="s">
        <v>41</v>
      </c>
      <c r="D724" s="59"/>
      <c r="E724" s="59"/>
      <c r="F724" s="59"/>
      <c r="G724" s="431"/>
      <c r="H724" s="431"/>
      <c r="I724" s="59"/>
      <c r="J724" s="260" t="str">
        <f t="shared" si="0"/>
        <v>Not Calculated</v>
      </c>
      <c r="K724" s="61"/>
    </row>
    <row r="725" spans="2:11" x14ac:dyDescent="0.2">
      <c r="B725" s="57"/>
      <c r="C725" s="196" t="s">
        <v>43</v>
      </c>
      <c r="D725" s="59"/>
      <c r="E725" s="59"/>
      <c r="F725" s="59"/>
      <c r="G725" s="431"/>
      <c r="H725" s="431"/>
      <c r="I725" s="59"/>
      <c r="J725" s="260" t="str">
        <f t="shared" si="0"/>
        <v>Not Calculated</v>
      </c>
      <c r="K725" s="61"/>
    </row>
    <row r="726" spans="2:11" x14ac:dyDescent="0.2">
      <c r="B726" s="57"/>
      <c r="C726" s="59"/>
      <c r="D726" s="59"/>
      <c r="E726" s="59"/>
      <c r="F726" s="59"/>
      <c r="G726" s="59"/>
      <c r="H726" s="59"/>
      <c r="I726" s="59"/>
      <c r="J726" s="59"/>
      <c r="K726" s="61"/>
    </row>
    <row r="727" spans="2:11" x14ac:dyDescent="0.2">
      <c r="B727" s="57"/>
      <c r="C727" s="59"/>
      <c r="D727" s="59"/>
      <c r="E727" s="59"/>
      <c r="F727" s="59"/>
      <c r="G727" s="59"/>
      <c r="H727" s="59"/>
      <c r="I727" s="59"/>
      <c r="J727" s="59"/>
      <c r="K727" s="61"/>
    </row>
    <row r="728" spans="2:11" ht="16" x14ac:dyDescent="0.2">
      <c r="B728" s="57"/>
      <c r="C728" s="195" t="s">
        <v>115</v>
      </c>
      <c r="D728" s="59"/>
      <c r="E728" s="59"/>
      <c r="F728" s="59"/>
      <c r="G728" s="59"/>
      <c r="H728" s="59"/>
      <c r="I728" s="59"/>
      <c r="J728" s="59"/>
      <c r="K728" s="61"/>
    </row>
    <row r="729" spans="2:11" ht="15" customHeight="1" x14ac:dyDescent="0.2">
      <c r="B729" s="57"/>
      <c r="C729" s="411" t="s">
        <v>365</v>
      </c>
      <c r="D729" s="411"/>
      <c r="E729" s="411"/>
      <c r="F729" s="411"/>
      <c r="G729" s="411"/>
      <c r="H729" s="411"/>
      <c r="I729" s="411"/>
      <c r="J729" s="411"/>
      <c r="K729" s="61"/>
    </row>
    <row r="730" spans="2:11" x14ac:dyDescent="0.2">
      <c r="B730" s="57"/>
      <c r="C730" s="411"/>
      <c r="D730" s="411"/>
      <c r="E730" s="411"/>
      <c r="F730" s="411"/>
      <c r="G730" s="411"/>
      <c r="H730" s="411"/>
      <c r="I730" s="411"/>
      <c r="J730" s="411"/>
      <c r="K730" s="61"/>
    </row>
    <row r="731" spans="2:11" x14ac:dyDescent="0.2">
      <c r="B731" s="57"/>
      <c r="C731" s="411"/>
      <c r="D731" s="411"/>
      <c r="E731" s="411"/>
      <c r="F731" s="411"/>
      <c r="G731" s="411"/>
      <c r="H731" s="411"/>
      <c r="I731" s="411"/>
      <c r="J731" s="411"/>
      <c r="K731" s="61"/>
    </row>
    <row r="732" spans="2:11" x14ac:dyDescent="0.2">
      <c r="B732" s="57"/>
      <c r="C732" s="196" t="s">
        <v>30</v>
      </c>
      <c r="D732" s="59"/>
      <c r="E732" s="59"/>
      <c r="F732" s="59"/>
      <c r="G732" s="431"/>
      <c r="H732" s="431"/>
      <c r="I732" s="59"/>
      <c r="J732" s="260" t="str">
        <f>IF(G732=$B$994,$A$994,IF(G732=$B$995,$A$995,"Not Calculated"))</f>
        <v>Not Calculated</v>
      </c>
      <c r="K732" s="61"/>
    </row>
    <row r="733" spans="2:11" x14ac:dyDescent="0.2">
      <c r="B733" s="57"/>
      <c r="C733" s="196" t="s">
        <v>32</v>
      </c>
      <c r="D733" s="59"/>
      <c r="E733" s="59"/>
      <c r="F733" s="59"/>
      <c r="G733" s="431"/>
      <c r="H733" s="431"/>
      <c r="I733" s="59"/>
      <c r="J733" s="260" t="str">
        <f t="shared" ref="J733:J740" si="1">IF(G733=$B$994,$A$994,IF(G733=$B$995,$A$995,"Not Calculated"))</f>
        <v>Not Calculated</v>
      </c>
      <c r="K733" s="61"/>
    </row>
    <row r="734" spans="2:11" ht="15" customHeight="1" x14ac:dyDescent="0.2">
      <c r="B734" s="57"/>
      <c r="C734" s="196" t="s">
        <v>34</v>
      </c>
      <c r="D734" s="59"/>
      <c r="E734" s="59"/>
      <c r="F734" s="59"/>
      <c r="G734" s="431"/>
      <c r="H734" s="431"/>
      <c r="I734" s="59"/>
      <c r="J734" s="260" t="str">
        <f t="shared" si="1"/>
        <v>Not Calculated</v>
      </c>
      <c r="K734" s="61"/>
    </row>
    <row r="735" spans="2:11" x14ac:dyDescent="0.2">
      <c r="B735" s="57"/>
      <c r="C735" s="196" t="s">
        <v>35</v>
      </c>
      <c r="D735" s="59"/>
      <c r="E735" s="59"/>
      <c r="F735" s="59"/>
      <c r="G735" s="431"/>
      <c r="H735" s="431"/>
      <c r="I735" s="59"/>
      <c r="J735" s="260" t="str">
        <f t="shared" si="1"/>
        <v>Not Calculated</v>
      </c>
      <c r="K735" s="61"/>
    </row>
    <row r="736" spans="2:11" x14ac:dyDescent="0.2">
      <c r="B736" s="57"/>
      <c r="C736" s="196" t="s">
        <v>37</v>
      </c>
      <c r="D736" s="59"/>
      <c r="E736" s="59"/>
      <c r="F736" s="59"/>
      <c r="G736" s="431"/>
      <c r="H736" s="431"/>
      <c r="I736" s="59"/>
      <c r="J736" s="260" t="str">
        <f t="shared" si="1"/>
        <v>Not Calculated</v>
      </c>
      <c r="K736" s="61"/>
    </row>
    <row r="737" spans="2:11" x14ac:dyDescent="0.2">
      <c r="B737" s="57"/>
      <c r="C737" s="196" t="s">
        <v>38</v>
      </c>
      <c r="D737" s="59"/>
      <c r="E737" s="59"/>
      <c r="F737" s="59"/>
      <c r="G737" s="431"/>
      <c r="H737" s="431"/>
      <c r="I737" s="59"/>
      <c r="J737" s="260" t="str">
        <f t="shared" si="1"/>
        <v>Not Calculated</v>
      </c>
      <c r="K737" s="61"/>
    </row>
    <row r="738" spans="2:11" x14ac:dyDescent="0.2">
      <c r="B738" s="57"/>
      <c r="C738" s="196" t="s">
        <v>40</v>
      </c>
      <c r="D738" s="59"/>
      <c r="E738" s="59"/>
      <c r="F738" s="59"/>
      <c r="G738" s="431"/>
      <c r="H738" s="431"/>
      <c r="I738" s="59"/>
      <c r="J738" s="260" t="str">
        <f t="shared" si="1"/>
        <v>Not Calculated</v>
      </c>
      <c r="K738" s="61"/>
    </row>
    <row r="739" spans="2:11" x14ac:dyDescent="0.2">
      <c r="B739" s="57"/>
      <c r="C739" s="196" t="s">
        <v>41</v>
      </c>
      <c r="D739" s="59"/>
      <c r="E739" s="59"/>
      <c r="F739" s="59"/>
      <c r="G739" s="431"/>
      <c r="H739" s="431"/>
      <c r="I739" s="59"/>
      <c r="J739" s="260" t="str">
        <f t="shared" si="1"/>
        <v>Not Calculated</v>
      </c>
      <c r="K739" s="61"/>
    </row>
    <row r="740" spans="2:11" x14ac:dyDescent="0.2">
      <c r="B740" s="57"/>
      <c r="C740" s="196" t="s">
        <v>43</v>
      </c>
      <c r="D740" s="59"/>
      <c r="E740" s="59"/>
      <c r="F740" s="59"/>
      <c r="G740" s="431"/>
      <c r="H740" s="431"/>
      <c r="I740" s="59"/>
      <c r="J740" s="260" t="str">
        <f t="shared" si="1"/>
        <v>Not Calculated</v>
      </c>
      <c r="K740" s="61"/>
    </row>
    <row r="741" spans="2:11" x14ac:dyDescent="0.2">
      <c r="B741" s="57"/>
      <c r="C741" s="59"/>
      <c r="D741" s="59"/>
      <c r="E741" s="59"/>
      <c r="F741" s="59"/>
      <c r="G741" s="59"/>
      <c r="H741" s="59"/>
      <c r="I741" s="59"/>
      <c r="J741" s="59"/>
      <c r="K741" s="61"/>
    </row>
    <row r="742" spans="2:11" x14ac:dyDescent="0.2">
      <c r="B742" s="57"/>
      <c r="C742" s="59"/>
      <c r="D742" s="59"/>
      <c r="E742" s="59"/>
      <c r="F742" s="59"/>
      <c r="G742" s="59"/>
      <c r="H742" s="59"/>
      <c r="I742" s="59"/>
      <c r="J742" s="59"/>
      <c r="K742" s="61"/>
    </row>
    <row r="743" spans="2:11" ht="16" x14ac:dyDescent="0.2">
      <c r="B743" s="57"/>
      <c r="C743" s="195" t="s">
        <v>366</v>
      </c>
      <c r="D743" s="59"/>
      <c r="E743" s="59"/>
      <c r="F743" s="59"/>
      <c r="G743" s="59"/>
      <c r="H743" s="59"/>
      <c r="I743" s="59"/>
      <c r="J743" s="59"/>
      <c r="K743" s="61"/>
    </row>
    <row r="744" spans="2:11" ht="15" customHeight="1" x14ac:dyDescent="0.2">
      <c r="B744" s="57"/>
      <c r="C744" s="411" t="s">
        <v>367</v>
      </c>
      <c r="D744" s="411"/>
      <c r="E744" s="411"/>
      <c r="F744" s="411"/>
      <c r="G744" s="411"/>
      <c r="H744" s="411"/>
      <c r="I744" s="411"/>
      <c r="J744" s="411"/>
      <c r="K744" s="61"/>
    </row>
    <row r="745" spans="2:11" x14ac:dyDescent="0.2">
      <c r="B745" s="57"/>
      <c r="C745" s="411"/>
      <c r="D745" s="411"/>
      <c r="E745" s="411"/>
      <c r="F745" s="411"/>
      <c r="G745" s="411"/>
      <c r="H745" s="411"/>
      <c r="I745" s="411"/>
      <c r="J745" s="411"/>
      <c r="K745" s="61"/>
    </row>
    <row r="746" spans="2:11" x14ac:dyDescent="0.2">
      <c r="B746" s="57"/>
      <c r="C746" s="411"/>
      <c r="D746" s="411"/>
      <c r="E746" s="411"/>
      <c r="F746" s="411"/>
      <c r="G746" s="411"/>
      <c r="H746" s="411"/>
      <c r="I746" s="411"/>
      <c r="J746" s="411"/>
      <c r="K746" s="61"/>
    </row>
    <row r="747" spans="2:11" x14ac:dyDescent="0.2">
      <c r="B747" s="57"/>
      <c r="C747" s="196" t="s">
        <v>30</v>
      </c>
      <c r="D747" s="59"/>
      <c r="E747" s="59"/>
      <c r="F747" s="59"/>
      <c r="G747" s="431"/>
      <c r="H747" s="431"/>
      <c r="I747" s="59"/>
      <c r="J747" s="260" t="str">
        <f>IF(G747=$B$994,$A$994,IF(G747=$B$995,$A$995,"Not Calculated"))</f>
        <v>Not Calculated</v>
      </c>
      <c r="K747" s="61"/>
    </row>
    <row r="748" spans="2:11" x14ac:dyDescent="0.2">
      <c r="B748" s="57"/>
      <c r="C748" s="196" t="s">
        <v>32</v>
      </c>
      <c r="D748" s="59"/>
      <c r="E748" s="59"/>
      <c r="F748" s="59"/>
      <c r="G748" s="431"/>
      <c r="H748" s="431"/>
      <c r="I748" s="59"/>
      <c r="J748" s="260" t="str">
        <f t="shared" ref="J748:J755" si="2">IF(G748=$B$994,$A$994,IF(G748=$B$995,$A$995,"Not Calculated"))</f>
        <v>Not Calculated</v>
      </c>
      <c r="K748" s="61"/>
    </row>
    <row r="749" spans="2:11" ht="15" customHeight="1" x14ac:dyDescent="0.2">
      <c r="B749" s="57"/>
      <c r="C749" s="196" t="s">
        <v>34</v>
      </c>
      <c r="D749" s="59"/>
      <c r="E749" s="59"/>
      <c r="F749" s="59"/>
      <c r="G749" s="431"/>
      <c r="H749" s="431"/>
      <c r="I749" s="59"/>
      <c r="J749" s="260" t="str">
        <f t="shared" si="2"/>
        <v>Not Calculated</v>
      </c>
      <c r="K749" s="61"/>
    </row>
    <row r="750" spans="2:11" x14ac:dyDescent="0.2">
      <c r="B750" s="57"/>
      <c r="C750" s="196" t="s">
        <v>35</v>
      </c>
      <c r="D750" s="59"/>
      <c r="E750" s="59"/>
      <c r="F750" s="59"/>
      <c r="G750" s="431"/>
      <c r="H750" s="431"/>
      <c r="I750" s="59"/>
      <c r="J750" s="260" t="str">
        <f t="shared" si="2"/>
        <v>Not Calculated</v>
      </c>
      <c r="K750" s="61"/>
    </row>
    <row r="751" spans="2:11" x14ac:dyDescent="0.2">
      <c r="B751" s="57"/>
      <c r="C751" s="196" t="s">
        <v>37</v>
      </c>
      <c r="D751" s="59"/>
      <c r="E751" s="59"/>
      <c r="F751" s="59"/>
      <c r="G751" s="431"/>
      <c r="H751" s="431"/>
      <c r="I751" s="59"/>
      <c r="J751" s="260" t="str">
        <f t="shared" si="2"/>
        <v>Not Calculated</v>
      </c>
      <c r="K751" s="61"/>
    </row>
    <row r="752" spans="2:11" x14ac:dyDescent="0.2">
      <c r="B752" s="57"/>
      <c r="C752" s="196" t="s">
        <v>38</v>
      </c>
      <c r="D752" s="59"/>
      <c r="E752" s="59"/>
      <c r="F752" s="59"/>
      <c r="G752" s="431"/>
      <c r="H752" s="431"/>
      <c r="I752" s="59"/>
      <c r="J752" s="260" t="str">
        <f t="shared" si="2"/>
        <v>Not Calculated</v>
      </c>
      <c r="K752" s="61"/>
    </row>
    <row r="753" spans="2:11" x14ac:dyDescent="0.2">
      <c r="B753" s="57"/>
      <c r="C753" s="196" t="s">
        <v>40</v>
      </c>
      <c r="D753" s="59"/>
      <c r="E753" s="59"/>
      <c r="F753" s="59"/>
      <c r="G753" s="431"/>
      <c r="H753" s="431"/>
      <c r="I753" s="59"/>
      <c r="J753" s="260" t="str">
        <f t="shared" si="2"/>
        <v>Not Calculated</v>
      </c>
      <c r="K753" s="61"/>
    </row>
    <row r="754" spans="2:11" x14ac:dyDescent="0.2">
      <c r="B754" s="57"/>
      <c r="C754" s="196" t="s">
        <v>41</v>
      </c>
      <c r="D754" s="59"/>
      <c r="E754" s="59"/>
      <c r="F754" s="59"/>
      <c r="G754" s="431"/>
      <c r="H754" s="431"/>
      <c r="I754" s="59"/>
      <c r="J754" s="260" t="str">
        <f t="shared" si="2"/>
        <v>Not Calculated</v>
      </c>
      <c r="K754" s="61"/>
    </row>
    <row r="755" spans="2:11" x14ac:dyDescent="0.2">
      <c r="B755" s="57"/>
      <c r="C755" s="196" t="s">
        <v>43</v>
      </c>
      <c r="D755" s="59"/>
      <c r="E755" s="59"/>
      <c r="F755" s="59"/>
      <c r="G755" s="431"/>
      <c r="H755" s="431"/>
      <c r="I755" s="59"/>
      <c r="J755" s="260" t="str">
        <f t="shared" si="2"/>
        <v>Not Calculated</v>
      </c>
      <c r="K755" s="61"/>
    </row>
    <row r="756" spans="2:11" x14ac:dyDescent="0.2">
      <c r="B756" s="57"/>
      <c r="C756" s="59"/>
      <c r="D756" s="59"/>
      <c r="E756" s="59"/>
      <c r="F756" s="59"/>
      <c r="G756" s="59"/>
      <c r="H756" s="59"/>
      <c r="I756" s="59"/>
      <c r="J756" s="59"/>
      <c r="K756" s="61"/>
    </row>
    <row r="757" spans="2:11" x14ac:dyDescent="0.2">
      <c r="B757" s="57"/>
      <c r="C757" s="59"/>
      <c r="D757" s="59"/>
      <c r="E757" s="59"/>
      <c r="F757" s="59"/>
      <c r="G757" s="59"/>
      <c r="H757" s="59"/>
      <c r="I757" s="59"/>
      <c r="J757" s="59"/>
      <c r="K757" s="61"/>
    </row>
    <row r="758" spans="2:11" ht="16" x14ac:dyDescent="0.2">
      <c r="B758" s="57"/>
      <c r="C758" s="195" t="s">
        <v>368</v>
      </c>
      <c r="D758" s="59"/>
      <c r="E758" s="59"/>
      <c r="F758" s="59"/>
      <c r="G758" s="59"/>
      <c r="H758" s="59"/>
      <c r="I758" s="59"/>
      <c r="J758" s="59"/>
      <c r="K758" s="61"/>
    </row>
    <row r="759" spans="2:11" ht="15" customHeight="1" x14ac:dyDescent="0.2">
      <c r="B759" s="57"/>
      <c r="C759" s="411" t="s">
        <v>369</v>
      </c>
      <c r="D759" s="411"/>
      <c r="E759" s="411"/>
      <c r="F759" s="411"/>
      <c r="G759" s="411"/>
      <c r="H759" s="411"/>
      <c r="I759" s="411"/>
      <c r="J759" s="411"/>
      <c r="K759" s="61"/>
    </row>
    <row r="760" spans="2:11" x14ac:dyDescent="0.2">
      <c r="B760" s="57"/>
      <c r="C760" s="411"/>
      <c r="D760" s="411"/>
      <c r="E760" s="411"/>
      <c r="F760" s="411"/>
      <c r="G760" s="411"/>
      <c r="H760" s="411"/>
      <c r="I760" s="411"/>
      <c r="J760" s="411"/>
      <c r="K760" s="61"/>
    </row>
    <row r="761" spans="2:11" x14ac:dyDescent="0.2">
      <c r="B761" s="57"/>
      <c r="C761" s="411"/>
      <c r="D761" s="411"/>
      <c r="E761" s="411"/>
      <c r="F761" s="411"/>
      <c r="G761" s="411"/>
      <c r="H761" s="411"/>
      <c r="I761" s="411"/>
      <c r="J761" s="411"/>
      <c r="K761" s="61"/>
    </row>
    <row r="762" spans="2:11" x14ac:dyDescent="0.2">
      <c r="B762" s="57"/>
      <c r="C762" s="196" t="s">
        <v>30</v>
      </c>
      <c r="D762" s="59"/>
      <c r="E762" s="59"/>
      <c r="F762" s="59"/>
      <c r="G762" s="431"/>
      <c r="H762" s="431"/>
      <c r="I762" s="59"/>
      <c r="J762" s="260" t="str">
        <f>IF(G762=$B$994,$A$994,IF(G762=$B$995,$A$995,"Not Calculated"))</f>
        <v>Not Calculated</v>
      </c>
      <c r="K762" s="61"/>
    </row>
    <row r="763" spans="2:11" x14ac:dyDescent="0.2">
      <c r="B763" s="57"/>
      <c r="C763" s="196" t="s">
        <v>32</v>
      </c>
      <c r="D763" s="59"/>
      <c r="E763" s="59"/>
      <c r="F763" s="59"/>
      <c r="G763" s="431"/>
      <c r="H763" s="431"/>
      <c r="I763" s="59"/>
      <c r="J763" s="260" t="str">
        <f t="shared" ref="J763:J770" si="3">IF(G763=$B$994,$A$994,IF(G763=$B$995,$A$995,"Not Calculated"))</f>
        <v>Not Calculated</v>
      </c>
      <c r="K763" s="61"/>
    </row>
    <row r="764" spans="2:11" ht="15" customHeight="1" x14ac:dyDescent="0.2">
      <c r="B764" s="57"/>
      <c r="C764" s="196" t="s">
        <v>34</v>
      </c>
      <c r="D764" s="59"/>
      <c r="E764" s="59"/>
      <c r="F764" s="59"/>
      <c r="G764" s="431"/>
      <c r="H764" s="431"/>
      <c r="I764" s="59"/>
      <c r="J764" s="260" t="str">
        <f t="shared" si="3"/>
        <v>Not Calculated</v>
      </c>
      <c r="K764" s="61"/>
    </row>
    <row r="765" spans="2:11" x14ac:dyDescent="0.2">
      <c r="B765" s="57"/>
      <c r="C765" s="196" t="s">
        <v>35</v>
      </c>
      <c r="D765" s="59"/>
      <c r="E765" s="59"/>
      <c r="F765" s="59"/>
      <c r="G765" s="431"/>
      <c r="H765" s="431"/>
      <c r="I765" s="59"/>
      <c r="J765" s="260" t="str">
        <f t="shared" si="3"/>
        <v>Not Calculated</v>
      </c>
      <c r="K765" s="61"/>
    </row>
    <row r="766" spans="2:11" x14ac:dyDescent="0.2">
      <c r="B766" s="57"/>
      <c r="C766" s="196" t="s">
        <v>37</v>
      </c>
      <c r="D766" s="59"/>
      <c r="E766" s="59"/>
      <c r="F766" s="59"/>
      <c r="G766" s="431"/>
      <c r="H766" s="431"/>
      <c r="I766" s="59"/>
      <c r="J766" s="260" t="str">
        <f t="shared" si="3"/>
        <v>Not Calculated</v>
      </c>
      <c r="K766" s="61"/>
    </row>
    <row r="767" spans="2:11" x14ac:dyDescent="0.2">
      <c r="B767" s="57"/>
      <c r="C767" s="196" t="s">
        <v>38</v>
      </c>
      <c r="D767" s="59"/>
      <c r="E767" s="59"/>
      <c r="F767" s="59"/>
      <c r="G767" s="431"/>
      <c r="H767" s="431"/>
      <c r="I767" s="59"/>
      <c r="J767" s="260" t="str">
        <f t="shared" si="3"/>
        <v>Not Calculated</v>
      </c>
      <c r="K767" s="61"/>
    </row>
    <row r="768" spans="2:11" x14ac:dyDescent="0.2">
      <c r="B768" s="57"/>
      <c r="C768" s="196" t="s">
        <v>40</v>
      </c>
      <c r="D768" s="59"/>
      <c r="E768" s="59"/>
      <c r="F768" s="59"/>
      <c r="G768" s="431"/>
      <c r="H768" s="431"/>
      <c r="I768" s="59"/>
      <c r="J768" s="260" t="str">
        <f t="shared" si="3"/>
        <v>Not Calculated</v>
      </c>
      <c r="K768" s="61"/>
    </row>
    <row r="769" spans="2:11" x14ac:dyDescent="0.2">
      <c r="B769" s="57"/>
      <c r="C769" s="196" t="s">
        <v>41</v>
      </c>
      <c r="D769" s="59"/>
      <c r="E769" s="59"/>
      <c r="F769" s="59"/>
      <c r="G769" s="431"/>
      <c r="H769" s="431"/>
      <c r="I769" s="59"/>
      <c r="J769" s="260" t="str">
        <f t="shared" si="3"/>
        <v>Not Calculated</v>
      </c>
      <c r="K769" s="61"/>
    </row>
    <row r="770" spans="2:11" x14ac:dyDescent="0.2">
      <c r="B770" s="57"/>
      <c r="C770" s="196" t="s">
        <v>43</v>
      </c>
      <c r="D770" s="59"/>
      <c r="E770" s="59"/>
      <c r="F770" s="59"/>
      <c r="G770" s="431"/>
      <c r="H770" s="431"/>
      <c r="I770" s="59"/>
      <c r="J770" s="260" t="str">
        <f t="shared" si="3"/>
        <v>Not Calculated</v>
      </c>
      <c r="K770" s="61"/>
    </row>
    <row r="771" spans="2:11" x14ac:dyDescent="0.2">
      <c r="B771" s="57"/>
      <c r="C771" s="59"/>
      <c r="D771" s="59"/>
      <c r="E771" s="59"/>
      <c r="F771" s="59"/>
      <c r="G771" s="59"/>
      <c r="H771" s="59"/>
      <c r="I771" s="59"/>
      <c r="J771" s="59"/>
      <c r="K771" s="61"/>
    </row>
    <row r="772" spans="2:11" x14ac:dyDescent="0.2">
      <c r="B772" s="57"/>
      <c r="C772" s="59"/>
      <c r="D772" s="59"/>
      <c r="E772" s="59"/>
      <c r="F772" s="59"/>
      <c r="G772" s="59"/>
      <c r="H772" s="59"/>
      <c r="I772" s="59"/>
      <c r="J772" s="59"/>
      <c r="K772" s="61"/>
    </row>
    <row r="773" spans="2:11" ht="16" x14ac:dyDescent="0.2">
      <c r="B773" s="57"/>
      <c r="C773" s="197" t="s">
        <v>30</v>
      </c>
      <c r="D773" s="59"/>
      <c r="E773" s="59"/>
      <c r="F773" s="59"/>
      <c r="G773" s="59"/>
      <c r="H773" s="59"/>
      <c r="I773" s="59"/>
      <c r="J773" s="59"/>
      <c r="K773" s="61"/>
    </row>
    <row r="774" spans="2:11" x14ac:dyDescent="0.2">
      <c r="B774" s="57"/>
      <c r="C774" s="59"/>
      <c r="D774" s="59" t="s">
        <v>370</v>
      </c>
      <c r="E774" s="59"/>
      <c r="F774" s="59"/>
      <c r="G774" s="59"/>
      <c r="H774" s="59"/>
      <c r="I774" s="59"/>
      <c r="J774" s="60">
        <f>'Baseline At-Risk Pops'!H8</f>
        <v>0</v>
      </c>
      <c r="K774" s="61"/>
    </row>
    <row r="775" spans="2:11" x14ac:dyDescent="0.2">
      <c r="B775" s="57"/>
      <c r="C775" s="59"/>
      <c r="D775" s="59" t="s">
        <v>371</v>
      </c>
      <c r="E775" s="59"/>
      <c r="F775" s="59"/>
      <c r="G775" s="59"/>
      <c r="H775" s="59"/>
      <c r="I775" s="59"/>
      <c r="J775" s="60">
        <f>SUM(J717,J732,J747,J762)</f>
        <v>0</v>
      </c>
      <c r="K775" s="61"/>
    </row>
    <row r="776" spans="2:11" x14ac:dyDescent="0.2">
      <c r="B776" s="57"/>
      <c r="C776" s="59"/>
      <c r="D776" s="196" t="s">
        <v>372</v>
      </c>
      <c r="E776" s="59"/>
      <c r="F776" s="59"/>
      <c r="G776" s="59"/>
      <c r="H776" s="59"/>
      <c r="I776" s="59"/>
      <c r="J776" s="60">
        <f>AVERAGE(J774,J775)</f>
        <v>0</v>
      </c>
      <c r="K776" s="61"/>
    </row>
    <row r="777" spans="2:11" ht="16" x14ac:dyDescent="0.2">
      <c r="B777" s="57"/>
      <c r="C777" s="197" t="s">
        <v>32</v>
      </c>
      <c r="D777" s="59"/>
      <c r="E777" s="59"/>
      <c r="F777" s="59"/>
      <c r="G777" s="59"/>
      <c r="H777" s="59"/>
      <c r="I777" s="59"/>
      <c r="J777" s="60"/>
      <c r="K777" s="61"/>
    </row>
    <row r="778" spans="2:11" x14ac:dyDescent="0.2">
      <c r="B778" s="57"/>
      <c r="C778" s="59"/>
      <c r="D778" s="59" t="s">
        <v>370</v>
      </c>
      <c r="E778" s="59"/>
      <c r="F778" s="59"/>
      <c r="G778" s="59"/>
      <c r="H778" s="59"/>
      <c r="I778" s="59"/>
      <c r="J778" s="60">
        <f>'Baseline At-Risk Pops'!H14</f>
        <v>0</v>
      </c>
      <c r="K778" s="61"/>
    </row>
    <row r="779" spans="2:11" ht="15" customHeight="1" x14ac:dyDescent="0.2">
      <c r="B779" s="57"/>
      <c r="C779" s="59"/>
      <c r="D779" s="59" t="s">
        <v>371</v>
      </c>
      <c r="E779" s="59"/>
      <c r="F779" s="59"/>
      <c r="G779" s="59"/>
      <c r="H779" s="59"/>
      <c r="I779" s="59"/>
      <c r="J779" s="60">
        <f>SUM(J718,J733,J748,J763)</f>
        <v>0</v>
      </c>
      <c r="K779" s="61"/>
    </row>
    <row r="780" spans="2:11" x14ac:dyDescent="0.2">
      <c r="B780" s="57"/>
      <c r="C780" s="59"/>
      <c r="D780" s="196" t="s">
        <v>372</v>
      </c>
      <c r="E780" s="59"/>
      <c r="F780" s="59"/>
      <c r="G780" s="59"/>
      <c r="H780" s="59"/>
      <c r="I780" s="59"/>
      <c r="J780" s="60">
        <f>AVERAGE(J778,J779)</f>
        <v>0</v>
      </c>
      <c r="K780" s="61"/>
    </row>
    <row r="781" spans="2:11" ht="16" x14ac:dyDescent="0.2">
      <c r="B781" s="57"/>
      <c r="C781" s="197" t="s">
        <v>34</v>
      </c>
      <c r="D781" s="59"/>
      <c r="E781" s="59"/>
      <c r="F781" s="59"/>
      <c r="G781" s="59"/>
      <c r="H781" s="59"/>
      <c r="I781" s="59"/>
      <c r="J781" s="60"/>
      <c r="K781" s="61"/>
    </row>
    <row r="782" spans="2:11" ht="16" x14ac:dyDescent="0.2">
      <c r="B782" s="57"/>
      <c r="C782" s="197"/>
      <c r="D782" s="59" t="s">
        <v>370</v>
      </c>
      <c r="E782" s="59"/>
      <c r="F782" s="59"/>
      <c r="G782" s="59"/>
      <c r="H782" s="59"/>
      <c r="I782" s="59"/>
      <c r="J782" s="60">
        <f>'Baseline At-Risk Pops'!H21</f>
        <v>0</v>
      </c>
      <c r="K782" s="61"/>
    </row>
    <row r="783" spans="2:11" x14ac:dyDescent="0.2">
      <c r="B783" s="57"/>
      <c r="C783" s="59"/>
      <c r="D783" s="59" t="s">
        <v>371</v>
      </c>
      <c r="E783" s="59"/>
      <c r="F783" s="59"/>
      <c r="G783" s="59"/>
      <c r="H783" s="59"/>
      <c r="I783" s="59"/>
      <c r="J783" s="60">
        <f>SUM(J719,J734,J749,J764)</f>
        <v>0</v>
      </c>
      <c r="K783" s="61"/>
    </row>
    <row r="784" spans="2:11" x14ac:dyDescent="0.2">
      <c r="B784" s="57"/>
      <c r="C784" s="59"/>
      <c r="D784" s="196" t="s">
        <v>372</v>
      </c>
      <c r="E784" s="59"/>
      <c r="F784" s="59"/>
      <c r="G784" s="59"/>
      <c r="H784" s="59"/>
      <c r="I784" s="59"/>
      <c r="J784" s="60">
        <f>AVERAGE(J782,J783)</f>
        <v>0</v>
      </c>
      <c r="K784" s="61"/>
    </row>
    <row r="785" spans="2:11" ht="16" x14ac:dyDescent="0.2">
      <c r="B785" s="57"/>
      <c r="C785" s="197" t="s">
        <v>35</v>
      </c>
      <c r="D785" s="59"/>
      <c r="E785" s="59"/>
      <c r="F785" s="59"/>
      <c r="G785" s="59"/>
      <c r="H785" s="59"/>
      <c r="I785" s="59"/>
      <c r="J785" s="60"/>
      <c r="K785" s="61"/>
    </row>
    <row r="786" spans="2:11" x14ac:dyDescent="0.2">
      <c r="B786" s="57"/>
      <c r="C786" s="59"/>
      <c r="D786" s="59" t="s">
        <v>370</v>
      </c>
      <c r="E786" s="59"/>
      <c r="F786" s="59"/>
      <c r="G786" s="59"/>
      <c r="H786" s="59"/>
      <c r="I786" s="59"/>
      <c r="J786" s="60">
        <f>'Baseline At-Risk Pops'!H27</f>
        <v>0</v>
      </c>
      <c r="K786" s="61"/>
    </row>
    <row r="787" spans="2:11" x14ac:dyDescent="0.2">
      <c r="B787" s="57"/>
      <c r="C787" s="59"/>
      <c r="D787" s="59" t="s">
        <v>371</v>
      </c>
      <c r="E787" s="59"/>
      <c r="F787" s="59"/>
      <c r="G787" s="59"/>
      <c r="H787" s="59"/>
      <c r="I787" s="59"/>
      <c r="J787" s="60">
        <f>SUM(J720,J735,J750,J765)</f>
        <v>0</v>
      </c>
      <c r="K787" s="61"/>
    </row>
    <row r="788" spans="2:11" x14ac:dyDescent="0.2">
      <c r="B788" s="57"/>
      <c r="C788" s="59"/>
      <c r="D788" s="196" t="s">
        <v>372</v>
      </c>
      <c r="E788" s="59"/>
      <c r="F788" s="59"/>
      <c r="G788" s="59"/>
      <c r="H788" s="59"/>
      <c r="I788" s="59"/>
      <c r="J788" s="60">
        <f>AVERAGE(J786,J787)</f>
        <v>0</v>
      </c>
      <c r="K788" s="61"/>
    </row>
    <row r="789" spans="2:11" ht="16" x14ac:dyDescent="0.2">
      <c r="B789" s="57"/>
      <c r="C789" s="197" t="s">
        <v>37</v>
      </c>
      <c r="D789" s="59"/>
      <c r="E789" s="59"/>
      <c r="F789" s="59"/>
      <c r="G789" s="59"/>
      <c r="H789" s="59"/>
      <c r="I789" s="59"/>
      <c r="J789" s="60"/>
      <c r="K789" s="61"/>
    </row>
    <row r="790" spans="2:11" x14ac:dyDescent="0.2">
      <c r="B790" s="57"/>
      <c r="C790" s="59"/>
      <c r="D790" s="59" t="s">
        <v>370</v>
      </c>
      <c r="E790" s="59"/>
      <c r="F790" s="59"/>
      <c r="G790" s="59"/>
      <c r="H790" s="59"/>
      <c r="I790" s="59"/>
      <c r="J790" s="60">
        <f>'Baseline At-Risk Pops'!H34</f>
        <v>0</v>
      </c>
      <c r="K790" s="61"/>
    </row>
    <row r="791" spans="2:11" x14ac:dyDescent="0.2">
      <c r="B791" s="57"/>
      <c r="C791" s="59"/>
      <c r="D791" s="59" t="s">
        <v>371</v>
      </c>
      <c r="E791" s="59"/>
      <c r="F791" s="59"/>
      <c r="G791" s="59"/>
      <c r="H791" s="59"/>
      <c r="I791" s="59"/>
      <c r="J791" s="60">
        <f>SUM(J721,J736,J751,J766)</f>
        <v>0</v>
      </c>
      <c r="K791" s="61"/>
    </row>
    <row r="792" spans="2:11" x14ac:dyDescent="0.2">
      <c r="B792" s="57"/>
      <c r="C792" s="59"/>
      <c r="D792" s="196" t="s">
        <v>372</v>
      </c>
      <c r="E792" s="59"/>
      <c r="F792" s="59"/>
      <c r="G792" s="59"/>
      <c r="H792" s="59"/>
      <c r="I792" s="59"/>
      <c r="J792" s="60">
        <f>AVERAGE(J790,J791)</f>
        <v>0</v>
      </c>
      <c r="K792" s="61"/>
    </row>
    <row r="793" spans="2:11" ht="16" x14ac:dyDescent="0.2">
      <c r="B793" s="57"/>
      <c r="C793" s="197" t="s">
        <v>38</v>
      </c>
      <c r="D793" s="59"/>
      <c r="E793" s="59"/>
      <c r="F793" s="59"/>
      <c r="G793" s="59"/>
      <c r="H793" s="59"/>
      <c r="I793" s="59"/>
      <c r="J793" s="60"/>
      <c r="K793" s="61"/>
    </row>
    <row r="794" spans="2:11" x14ac:dyDescent="0.2">
      <c r="B794" s="57"/>
      <c r="C794" s="59"/>
      <c r="D794" s="59" t="s">
        <v>370</v>
      </c>
      <c r="E794" s="59"/>
      <c r="F794" s="59"/>
      <c r="G794" s="59"/>
      <c r="H794" s="59"/>
      <c r="I794" s="59"/>
      <c r="J794" s="60">
        <f>'Baseline At-Risk Pops'!H40</f>
        <v>0</v>
      </c>
      <c r="K794" s="61"/>
    </row>
    <row r="795" spans="2:11" x14ac:dyDescent="0.2">
      <c r="B795" s="57"/>
      <c r="C795" s="59"/>
      <c r="D795" s="59" t="s">
        <v>371</v>
      </c>
      <c r="E795" s="59"/>
      <c r="F795" s="59"/>
      <c r="G795" s="59"/>
      <c r="H795" s="59"/>
      <c r="I795" s="59"/>
      <c r="J795" s="60">
        <f>SUM(J722,J737,J752,J767)</f>
        <v>0</v>
      </c>
      <c r="K795" s="61"/>
    </row>
    <row r="796" spans="2:11" x14ac:dyDescent="0.2">
      <c r="B796" s="57"/>
      <c r="C796" s="59"/>
      <c r="D796" s="196" t="s">
        <v>372</v>
      </c>
      <c r="E796" s="59"/>
      <c r="F796" s="59"/>
      <c r="G796" s="59"/>
      <c r="H796" s="59"/>
      <c r="I796" s="59"/>
      <c r="J796" s="60">
        <f>AVERAGE(J794,J795)</f>
        <v>0</v>
      </c>
      <c r="K796" s="61"/>
    </row>
    <row r="797" spans="2:11" ht="16" x14ac:dyDescent="0.2">
      <c r="B797" s="57"/>
      <c r="C797" s="197" t="s">
        <v>40</v>
      </c>
      <c r="D797" s="59"/>
      <c r="E797" s="59"/>
      <c r="F797" s="59"/>
      <c r="G797" s="59"/>
      <c r="H797" s="59"/>
      <c r="I797" s="59"/>
      <c r="J797" s="60"/>
      <c r="K797" s="61"/>
    </row>
    <row r="798" spans="2:11" x14ac:dyDescent="0.2">
      <c r="B798" s="57"/>
      <c r="C798" s="59"/>
      <c r="D798" s="59" t="s">
        <v>370</v>
      </c>
      <c r="E798" s="59"/>
      <c r="F798" s="59"/>
      <c r="G798" s="59"/>
      <c r="H798" s="59"/>
      <c r="I798" s="59"/>
      <c r="J798" s="60">
        <f>'Baseline At-Risk Pops'!H46</f>
        <v>0</v>
      </c>
      <c r="K798" s="61"/>
    </row>
    <row r="799" spans="2:11" x14ac:dyDescent="0.2">
      <c r="B799" s="57"/>
      <c r="C799" s="59"/>
      <c r="D799" s="59" t="s">
        <v>371</v>
      </c>
      <c r="E799" s="59"/>
      <c r="F799" s="59"/>
      <c r="G799" s="59"/>
      <c r="H799" s="59"/>
      <c r="I799" s="59"/>
      <c r="J799" s="60">
        <f>SUM(J723,J738,J753,J768)</f>
        <v>0</v>
      </c>
      <c r="K799" s="61"/>
    </row>
    <row r="800" spans="2:11" x14ac:dyDescent="0.2">
      <c r="B800" s="57"/>
      <c r="C800" s="59"/>
      <c r="D800" s="196" t="s">
        <v>372</v>
      </c>
      <c r="E800" s="59"/>
      <c r="F800" s="59"/>
      <c r="G800" s="59"/>
      <c r="H800" s="59"/>
      <c r="I800" s="59"/>
      <c r="J800" s="60">
        <f>AVERAGE(J798,J799)</f>
        <v>0</v>
      </c>
      <c r="K800" s="61"/>
    </row>
    <row r="801" spans="2:11" ht="16" x14ac:dyDescent="0.2">
      <c r="B801" s="57"/>
      <c r="C801" s="197" t="s">
        <v>41</v>
      </c>
      <c r="D801" s="59"/>
      <c r="E801" s="59"/>
      <c r="F801" s="59"/>
      <c r="G801" s="59"/>
      <c r="H801" s="59"/>
      <c r="I801" s="59"/>
      <c r="J801" s="60"/>
      <c r="K801" s="61"/>
    </row>
    <row r="802" spans="2:11" ht="16" x14ac:dyDescent="0.2">
      <c r="B802" s="57"/>
      <c r="C802" s="197"/>
      <c r="D802" s="59" t="s">
        <v>370</v>
      </c>
      <c r="E802" s="59"/>
      <c r="F802" s="59"/>
      <c r="G802" s="59"/>
      <c r="H802" s="59"/>
      <c r="I802" s="59"/>
      <c r="J802" s="60">
        <f>'Baseline At-Risk Pops'!H52</f>
        <v>0</v>
      </c>
      <c r="K802" s="61"/>
    </row>
    <row r="803" spans="2:11" x14ac:dyDescent="0.2">
      <c r="B803" s="57"/>
      <c r="C803" s="59"/>
      <c r="D803" s="59" t="s">
        <v>371</v>
      </c>
      <c r="E803" s="59"/>
      <c r="F803" s="59"/>
      <c r="G803" s="59"/>
      <c r="H803" s="59"/>
      <c r="I803" s="59"/>
      <c r="J803" s="60">
        <f>SUM(J724,J739,J754,J769)</f>
        <v>0</v>
      </c>
      <c r="K803" s="61"/>
    </row>
    <row r="804" spans="2:11" x14ac:dyDescent="0.2">
      <c r="B804" s="57"/>
      <c r="C804" s="59"/>
      <c r="D804" s="196" t="s">
        <v>372</v>
      </c>
      <c r="E804" s="59"/>
      <c r="F804" s="59"/>
      <c r="G804" s="59"/>
      <c r="H804" s="59"/>
      <c r="I804" s="59"/>
      <c r="J804" s="60">
        <f>AVERAGE(J802,J803)</f>
        <v>0</v>
      </c>
      <c r="K804" s="61"/>
    </row>
    <row r="805" spans="2:11" ht="16" x14ac:dyDescent="0.2">
      <c r="B805" s="57"/>
      <c r="C805" s="197" t="s">
        <v>43</v>
      </c>
      <c r="D805" s="59"/>
      <c r="E805" s="59"/>
      <c r="F805" s="59"/>
      <c r="G805" s="59"/>
      <c r="H805" s="59"/>
      <c r="I805" s="59"/>
      <c r="J805" s="60"/>
      <c r="K805" s="61"/>
    </row>
    <row r="806" spans="2:11" x14ac:dyDescent="0.2">
      <c r="B806" s="57"/>
      <c r="C806" s="59"/>
      <c r="D806" s="59" t="s">
        <v>370</v>
      </c>
      <c r="E806" s="59"/>
      <c r="F806" s="59"/>
      <c r="G806" s="59"/>
      <c r="H806" s="59"/>
      <c r="I806" s="59"/>
      <c r="J806" s="60">
        <f>'Baseline At-Risk Pops'!H58</f>
        <v>0</v>
      </c>
      <c r="K806" s="61"/>
    </row>
    <row r="807" spans="2:11" x14ac:dyDescent="0.2">
      <c r="B807" s="57"/>
      <c r="C807" s="59"/>
      <c r="D807" s="59" t="s">
        <v>371</v>
      </c>
      <c r="E807" s="59"/>
      <c r="F807" s="59"/>
      <c r="G807" s="59"/>
      <c r="H807" s="59"/>
      <c r="I807" s="59"/>
      <c r="J807" s="60">
        <f>SUM(J725,J740,J755,J770)</f>
        <v>0</v>
      </c>
      <c r="K807" s="61"/>
    </row>
    <row r="808" spans="2:11" x14ac:dyDescent="0.2">
      <c r="B808" s="57"/>
      <c r="C808" s="59"/>
      <c r="D808" s="196" t="s">
        <v>372</v>
      </c>
      <c r="E808" s="59"/>
      <c r="F808" s="59"/>
      <c r="G808" s="59"/>
      <c r="H808" s="59"/>
      <c r="I808" s="59"/>
      <c r="J808" s="60">
        <f>AVERAGE(J806,J807)</f>
        <v>0</v>
      </c>
      <c r="K808" s="61"/>
    </row>
    <row r="809" spans="2:11" x14ac:dyDescent="0.2">
      <c r="B809" s="57"/>
      <c r="C809" s="59"/>
      <c r="D809" s="59"/>
      <c r="E809" s="59"/>
      <c r="F809" s="59"/>
      <c r="G809" s="59"/>
      <c r="H809" s="59"/>
      <c r="I809" s="59"/>
      <c r="J809" s="59"/>
      <c r="K809" s="61"/>
    </row>
    <row r="810" spans="2:11" x14ac:dyDescent="0.2">
      <c r="B810" s="57"/>
      <c r="C810" s="59"/>
      <c r="D810" s="59"/>
      <c r="E810" s="59"/>
      <c r="F810" s="59"/>
      <c r="G810" s="59"/>
      <c r="H810" s="59"/>
      <c r="I810" s="59"/>
      <c r="J810" s="59"/>
      <c r="K810" s="61"/>
    </row>
    <row r="811" spans="2:11" ht="16" x14ac:dyDescent="0.2">
      <c r="B811" s="57"/>
      <c r="C811" s="198" t="s">
        <v>373</v>
      </c>
      <c r="D811" s="59"/>
      <c r="E811" s="59"/>
      <c r="F811" s="59"/>
      <c r="G811" s="59"/>
      <c r="H811" s="59"/>
      <c r="I811" s="59"/>
      <c r="J811" s="261">
        <f>AVERAGE(J776,J780,J784,J788,J792,J796,J800,J804,J808)</f>
        <v>0</v>
      </c>
      <c r="K811" s="61"/>
    </row>
    <row r="812" spans="2:11" ht="16" thickBot="1" x14ac:dyDescent="0.25">
      <c r="B812" s="73"/>
      <c r="C812" s="74"/>
      <c r="D812" s="74"/>
      <c r="E812" s="74"/>
      <c r="F812" s="74"/>
      <c r="G812" s="74"/>
      <c r="H812" s="74"/>
      <c r="I812" s="74"/>
      <c r="J812" s="74"/>
      <c r="K812" s="76"/>
    </row>
    <row r="813" spans="2:11" ht="16" thickBot="1" x14ac:dyDescent="0.25"/>
    <row r="814" spans="2:11" x14ac:dyDescent="0.2">
      <c r="B814" s="199"/>
      <c r="C814" s="200"/>
      <c r="D814" s="200"/>
      <c r="E814" s="200"/>
      <c r="F814" s="200"/>
      <c r="G814" s="200"/>
      <c r="H814" s="200"/>
      <c r="I814" s="200"/>
      <c r="J814" s="200"/>
      <c r="K814" s="201"/>
    </row>
    <row r="815" spans="2:11" ht="21" x14ac:dyDescent="0.25">
      <c r="B815" s="202"/>
      <c r="C815" s="203"/>
      <c r="D815" s="203"/>
      <c r="E815" s="203"/>
      <c r="F815" s="203"/>
      <c r="G815" s="204" t="s">
        <v>233</v>
      </c>
      <c r="H815" s="203"/>
      <c r="I815" s="203"/>
      <c r="J815" s="203"/>
      <c r="K815" s="205"/>
    </row>
    <row r="816" spans="2:11" x14ac:dyDescent="0.2">
      <c r="B816" s="202"/>
      <c r="C816" s="203"/>
      <c r="D816" s="203"/>
      <c r="E816" s="203"/>
      <c r="F816" s="203"/>
      <c r="G816" s="203"/>
      <c r="H816" s="203"/>
      <c r="I816" s="203"/>
      <c r="J816" s="203"/>
      <c r="K816" s="205"/>
    </row>
    <row r="817" spans="2:11" ht="16" x14ac:dyDescent="0.2">
      <c r="B817" s="202"/>
      <c r="C817" s="206" t="s">
        <v>992</v>
      </c>
      <c r="D817" s="203"/>
      <c r="E817" s="203"/>
      <c r="F817" s="203"/>
      <c r="G817" s="203"/>
      <c r="H817" s="203"/>
      <c r="I817" s="203"/>
      <c r="J817" s="262" t="str">
        <f>IF(J700="Not Calculated","Not Calculated",J700*(($J$811/4)+1))</f>
        <v>Not Calculated</v>
      </c>
      <c r="K817" s="205"/>
    </row>
    <row r="818" spans="2:11" x14ac:dyDescent="0.2">
      <c r="B818" s="202"/>
      <c r="C818" s="203"/>
      <c r="D818" s="203" t="s">
        <v>374</v>
      </c>
      <c r="E818" s="203"/>
      <c r="F818" s="203"/>
      <c r="G818" s="203"/>
      <c r="H818" s="203"/>
      <c r="I818" s="203"/>
      <c r="J818" s="203"/>
      <c r="K818" s="205"/>
    </row>
    <row r="819" spans="2:11" x14ac:dyDescent="0.2">
      <c r="B819" s="202"/>
      <c r="C819" s="203"/>
      <c r="D819" s="203"/>
      <c r="E819" s="203"/>
      <c r="F819" s="203"/>
      <c r="G819" s="203"/>
      <c r="H819" s="203"/>
      <c r="I819" s="203"/>
      <c r="J819" s="203"/>
      <c r="K819" s="205"/>
    </row>
    <row r="820" spans="2:11" ht="16" x14ac:dyDescent="0.2">
      <c r="B820" s="202"/>
      <c r="C820" s="206" t="s">
        <v>993</v>
      </c>
      <c r="D820" s="203"/>
      <c r="E820" s="203"/>
      <c r="F820" s="203"/>
      <c r="G820" s="203"/>
      <c r="H820" s="203"/>
      <c r="I820" s="203"/>
      <c r="J820" s="262" t="str">
        <f>IF(J703="Not Calculated","Not Calculated",J703*(($J$811/4)+1))</f>
        <v>Not Calculated</v>
      </c>
      <c r="K820" s="205"/>
    </row>
    <row r="821" spans="2:11" x14ac:dyDescent="0.2">
      <c r="B821" s="202"/>
      <c r="C821" s="203"/>
      <c r="D821" s="203" t="s">
        <v>375</v>
      </c>
      <c r="E821" s="203"/>
      <c r="F821" s="203"/>
      <c r="G821" s="203"/>
      <c r="H821" s="203"/>
      <c r="I821" s="203"/>
      <c r="J821" s="203"/>
      <c r="K821" s="205"/>
    </row>
    <row r="822" spans="2:11" x14ac:dyDescent="0.2">
      <c r="B822" s="202"/>
      <c r="C822" s="203"/>
      <c r="D822" s="203"/>
      <c r="E822" s="203"/>
      <c r="F822" s="203"/>
      <c r="G822" s="203"/>
      <c r="H822" s="203"/>
      <c r="I822" s="203"/>
      <c r="J822" s="203"/>
      <c r="K822" s="205"/>
    </row>
    <row r="823" spans="2:11" ht="16" x14ac:dyDescent="0.2">
      <c r="B823" s="202"/>
      <c r="C823" s="206" t="s">
        <v>994</v>
      </c>
      <c r="D823" s="203"/>
      <c r="E823" s="203"/>
      <c r="F823" s="203"/>
      <c r="G823" s="203"/>
      <c r="H823" s="203"/>
      <c r="I823" s="203"/>
      <c r="J823" s="262" t="str">
        <f>IF(J706="Not Calculated","Not Calculated",J706*(($J$811/4)+1))</f>
        <v>Not Calculated</v>
      </c>
      <c r="K823" s="205"/>
    </row>
    <row r="824" spans="2:11" x14ac:dyDescent="0.2">
      <c r="B824" s="202"/>
      <c r="C824" s="203"/>
      <c r="D824" s="203" t="s">
        <v>376</v>
      </c>
      <c r="E824" s="203"/>
      <c r="F824" s="203"/>
      <c r="G824" s="203"/>
      <c r="H824" s="203"/>
      <c r="I824" s="203"/>
      <c r="J824" s="203"/>
      <c r="K824" s="205"/>
    </row>
    <row r="825" spans="2:11" ht="16" thickBot="1" x14ac:dyDescent="0.25">
      <c r="B825" s="207"/>
      <c r="C825" s="208"/>
      <c r="D825" s="208"/>
      <c r="E825" s="208"/>
      <c r="F825" s="208"/>
      <c r="G825" s="208"/>
      <c r="H825" s="208"/>
      <c r="I825" s="208"/>
      <c r="J825" s="208"/>
      <c r="K825" s="209"/>
    </row>
    <row r="826" spans="2:11" ht="16" thickBot="1" x14ac:dyDescent="0.25"/>
    <row r="827" spans="2:11" x14ac:dyDescent="0.2">
      <c r="B827" s="77"/>
      <c r="C827" s="78"/>
      <c r="D827" s="78"/>
      <c r="E827" s="78"/>
      <c r="F827" s="78"/>
      <c r="G827" s="78"/>
      <c r="H827" s="78"/>
      <c r="I827" s="78"/>
      <c r="J827" s="78"/>
      <c r="K827" s="80"/>
    </row>
    <row r="828" spans="2:11" ht="21" x14ac:dyDescent="0.25">
      <c r="B828" s="81"/>
      <c r="C828" s="85"/>
      <c r="D828" s="85"/>
      <c r="E828" s="85"/>
      <c r="F828" s="85"/>
      <c r="G828" s="210" t="s">
        <v>806</v>
      </c>
      <c r="H828" s="85"/>
      <c r="I828" s="85"/>
      <c r="J828" s="85"/>
      <c r="K828" s="87"/>
    </row>
    <row r="829" spans="2:11" x14ac:dyDescent="0.2">
      <c r="B829" s="81"/>
      <c r="C829" s="85"/>
      <c r="D829" s="85"/>
      <c r="E829" s="85"/>
      <c r="F829" s="85"/>
      <c r="G829" s="85"/>
      <c r="H829" s="85"/>
      <c r="I829" s="85"/>
      <c r="J829" s="85"/>
      <c r="K829" s="87"/>
    </row>
    <row r="830" spans="2:11" ht="15" customHeight="1" x14ac:dyDescent="0.2">
      <c r="B830" s="81"/>
      <c r="C830" s="424" t="s">
        <v>808</v>
      </c>
      <c r="D830" s="424"/>
      <c r="E830" s="424"/>
      <c r="F830" s="424"/>
      <c r="G830" s="424"/>
      <c r="H830" s="424"/>
      <c r="I830" s="424"/>
      <c r="J830" s="424"/>
      <c r="K830" s="87"/>
    </row>
    <row r="831" spans="2:11" x14ac:dyDescent="0.2">
      <c r="B831" s="81"/>
      <c r="C831" s="424"/>
      <c r="D831" s="424"/>
      <c r="E831" s="424"/>
      <c r="F831" s="424"/>
      <c r="G831" s="424"/>
      <c r="H831" s="424"/>
      <c r="I831" s="424"/>
      <c r="J831" s="424"/>
      <c r="K831" s="87"/>
    </row>
    <row r="832" spans="2:11" x14ac:dyDescent="0.2">
      <c r="B832" s="81"/>
      <c r="C832" s="85"/>
      <c r="D832" s="85"/>
      <c r="E832" s="85"/>
      <c r="F832" s="85"/>
      <c r="G832" s="85"/>
      <c r="H832" s="85"/>
      <c r="I832" s="85"/>
      <c r="J832" s="85"/>
      <c r="K832" s="87"/>
    </row>
    <row r="833" spans="2:11" ht="16" x14ac:dyDescent="0.2">
      <c r="B833" s="81"/>
      <c r="C833" s="211" t="s">
        <v>654</v>
      </c>
      <c r="D833" s="85"/>
      <c r="E833" s="85"/>
      <c r="F833" s="85"/>
      <c r="G833" s="85"/>
      <c r="H833" s="85"/>
      <c r="I833" s="85"/>
      <c r="J833" s="85"/>
      <c r="K833" s="87"/>
    </row>
    <row r="834" spans="2:11" x14ac:dyDescent="0.2">
      <c r="B834" s="81"/>
      <c r="C834" s="85" t="s">
        <v>380</v>
      </c>
      <c r="D834" s="85"/>
      <c r="E834" s="85"/>
      <c r="F834" s="85"/>
      <c r="G834" s="406"/>
      <c r="H834" s="407"/>
      <c r="I834" s="85"/>
      <c r="J834" s="83" t="str">
        <f>IF(G834=$B$998,$A$998,IF(G834=$B$999,$A$999,IF(G834=$B$1000,$A$1000,IF(G834=$B$1001,$A$1001,IF(G834=$B$1002,$A$1002,"Not Calculated")))))</f>
        <v>Not Calculated</v>
      </c>
      <c r="K834" s="87"/>
    </row>
    <row r="835" spans="2:11" x14ac:dyDescent="0.2">
      <c r="B835" s="81"/>
      <c r="C835" s="85" t="s">
        <v>134</v>
      </c>
      <c r="D835" s="85"/>
      <c r="E835" s="85"/>
      <c r="F835" s="85"/>
      <c r="G835" s="85"/>
      <c r="H835" s="85"/>
      <c r="I835" s="85"/>
      <c r="J835" s="240">
        <f>'Baseline PHP'!J16</f>
        <v>0</v>
      </c>
      <c r="K835" s="87"/>
    </row>
    <row r="836" spans="2:11" x14ac:dyDescent="0.2">
      <c r="B836" s="81"/>
      <c r="C836" s="85"/>
      <c r="D836" s="85"/>
      <c r="E836" s="85"/>
      <c r="F836" s="85"/>
      <c r="G836" s="85"/>
      <c r="H836" s="85"/>
      <c r="I836" s="85"/>
      <c r="J836" s="85"/>
      <c r="K836" s="87"/>
    </row>
    <row r="837" spans="2:11" ht="16" x14ac:dyDescent="0.2">
      <c r="B837" s="81"/>
      <c r="C837" s="211" t="s">
        <v>655</v>
      </c>
      <c r="D837" s="85"/>
      <c r="E837" s="85"/>
      <c r="F837" s="85"/>
      <c r="G837" s="85"/>
      <c r="H837" s="85"/>
      <c r="I837" s="85"/>
      <c r="J837" s="85"/>
      <c r="K837" s="87"/>
    </row>
    <row r="838" spans="2:11" x14ac:dyDescent="0.2">
      <c r="B838" s="81"/>
      <c r="C838" s="85" t="s">
        <v>380</v>
      </c>
      <c r="D838" s="85"/>
      <c r="E838" s="85"/>
      <c r="F838" s="85"/>
      <c r="G838" s="406"/>
      <c r="H838" s="407"/>
      <c r="I838" s="85"/>
      <c r="J838" s="83" t="str">
        <f>IF(G838=$B$998,$A$998,IF(G838=$B$999,$A$999,IF(G838=$B$1000,$A$1000,IF(G838=$B$1001,$A$1001,IF(G838=$B$1002,$A$1002,"Not Calculated")))))</f>
        <v>Not Calculated</v>
      </c>
      <c r="K838" s="87"/>
    </row>
    <row r="839" spans="2:11" x14ac:dyDescent="0.2">
      <c r="B839" s="81"/>
      <c r="C839" s="85" t="s">
        <v>134</v>
      </c>
      <c r="D839" s="85"/>
      <c r="E839" s="85"/>
      <c r="F839" s="85"/>
      <c r="G839" s="85"/>
      <c r="H839" s="85"/>
      <c r="I839" s="85"/>
      <c r="J839" s="240">
        <f>'Baseline PHP'!J28</f>
        <v>0</v>
      </c>
      <c r="K839" s="87"/>
    </row>
    <row r="840" spans="2:11" x14ac:dyDescent="0.2">
      <c r="B840" s="81"/>
      <c r="C840" s="85"/>
      <c r="D840" s="85"/>
      <c r="E840" s="85"/>
      <c r="F840" s="85"/>
      <c r="G840" s="85"/>
      <c r="H840" s="85"/>
      <c r="I840" s="85"/>
      <c r="J840" s="85"/>
      <c r="K840" s="87"/>
    </row>
    <row r="841" spans="2:11" ht="16" x14ac:dyDescent="0.2">
      <c r="B841" s="81"/>
      <c r="C841" s="211" t="s">
        <v>645</v>
      </c>
      <c r="D841" s="85"/>
      <c r="E841" s="85"/>
      <c r="F841" s="85"/>
      <c r="G841" s="85"/>
      <c r="H841" s="85"/>
      <c r="I841" s="85"/>
      <c r="J841" s="85"/>
      <c r="K841" s="87"/>
    </row>
    <row r="842" spans="2:11" x14ac:dyDescent="0.2">
      <c r="B842" s="81"/>
      <c r="C842" s="85" t="s">
        <v>380</v>
      </c>
      <c r="D842" s="85"/>
      <c r="E842" s="85"/>
      <c r="F842" s="85"/>
      <c r="G842" s="406"/>
      <c r="H842" s="407"/>
      <c r="I842" s="85"/>
      <c r="J842" s="83" t="str">
        <f>IF(G842=$B$998,$A$998,IF(G842=$B$999,$A$999,IF(G842=$B$1000,$A$1000,IF(G842=$B$1001,$A$1001,IF(G842=$B$1002,$A$1002,"Not Calculated")))))</f>
        <v>Not Calculated</v>
      </c>
      <c r="K842" s="87"/>
    </row>
    <row r="843" spans="2:11" x14ac:dyDescent="0.2">
      <c r="B843" s="81"/>
      <c r="C843" s="85" t="s">
        <v>134</v>
      </c>
      <c r="D843" s="85"/>
      <c r="E843" s="85"/>
      <c r="F843" s="85"/>
      <c r="G843" s="85"/>
      <c r="H843" s="85"/>
      <c r="I843" s="85"/>
      <c r="J843" s="240">
        <f>'Baseline PHP'!J44</f>
        <v>0</v>
      </c>
      <c r="K843" s="87"/>
    </row>
    <row r="844" spans="2:11" x14ac:dyDescent="0.2">
      <c r="B844" s="81"/>
      <c r="C844" s="85"/>
      <c r="D844" s="85"/>
      <c r="E844" s="85"/>
      <c r="F844" s="85"/>
      <c r="G844" s="85"/>
      <c r="H844" s="85"/>
      <c r="I844" s="85"/>
      <c r="J844" s="85"/>
      <c r="K844" s="87"/>
    </row>
    <row r="845" spans="2:11" ht="16" x14ac:dyDescent="0.2">
      <c r="B845" s="81"/>
      <c r="C845" s="211" t="s">
        <v>646</v>
      </c>
      <c r="D845" s="85"/>
      <c r="E845" s="85"/>
      <c r="F845" s="85"/>
      <c r="G845" s="85"/>
      <c r="H845" s="85"/>
      <c r="I845" s="85"/>
      <c r="J845" s="85"/>
      <c r="K845" s="87"/>
    </row>
    <row r="846" spans="2:11" x14ac:dyDescent="0.2">
      <c r="B846" s="81"/>
      <c r="C846" s="85" t="s">
        <v>380</v>
      </c>
      <c r="D846" s="85"/>
      <c r="E846" s="85"/>
      <c r="F846" s="85"/>
      <c r="G846" s="406"/>
      <c r="H846" s="407"/>
      <c r="I846" s="85"/>
      <c r="J846" s="83" t="str">
        <f>IF(G846=$B$998,$A$998,IF(G846=$B$999,$A$999,IF(G846=$B$1000,$A$1000,IF(G846=$B$1001,$A$1001,IF(G846=$B$1002,$A$1002,"Not Calculated")))))</f>
        <v>Not Calculated</v>
      </c>
      <c r="K846" s="87"/>
    </row>
    <row r="847" spans="2:11" x14ac:dyDescent="0.2">
      <c r="B847" s="81"/>
      <c r="C847" s="85" t="s">
        <v>134</v>
      </c>
      <c r="D847" s="85"/>
      <c r="E847" s="85"/>
      <c r="F847" s="85"/>
      <c r="G847" s="85"/>
      <c r="H847" s="85"/>
      <c r="I847" s="85"/>
      <c r="J847" s="240">
        <f>'Baseline PHP'!J60</f>
        <v>0</v>
      </c>
      <c r="K847" s="87"/>
    </row>
    <row r="848" spans="2:11" x14ac:dyDescent="0.2">
      <c r="B848" s="81"/>
      <c r="C848" s="85"/>
      <c r="D848" s="85"/>
      <c r="E848" s="85"/>
      <c r="F848" s="85"/>
      <c r="G848" s="85"/>
      <c r="H848" s="85"/>
      <c r="I848" s="85"/>
      <c r="J848" s="85"/>
      <c r="K848" s="87"/>
    </row>
    <row r="849" spans="2:11" ht="16" x14ac:dyDescent="0.2">
      <c r="B849" s="81"/>
      <c r="C849" s="211" t="s">
        <v>648</v>
      </c>
      <c r="D849" s="85"/>
      <c r="E849" s="85"/>
      <c r="F849" s="85"/>
      <c r="G849" s="85"/>
      <c r="H849" s="85"/>
      <c r="I849" s="85"/>
      <c r="J849" s="85"/>
      <c r="K849" s="87"/>
    </row>
    <row r="850" spans="2:11" ht="15" customHeight="1" x14ac:dyDescent="0.2">
      <c r="B850" s="81"/>
      <c r="C850" s="85" t="s">
        <v>380</v>
      </c>
      <c r="D850" s="85"/>
      <c r="E850" s="85"/>
      <c r="F850" s="85"/>
      <c r="G850" s="406"/>
      <c r="H850" s="407"/>
      <c r="I850" s="85"/>
      <c r="J850" s="83" t="str">
        <f>IF(G850=$B$998,$A$998,IF(G850=$B$999,$A$999,IF(G850=$B$1000,$A$1000,IF(G850=$B$1001,$A$1001,IF(G850=$B$1002,$A$1002,"Not Calculated")))))</f>
        <v>Not Calculated</v>
      </c>
      <c r="K850" s="87"/>
    </row>
    <row r="851" spans="2:11" x14ac:dyDescent="0.2">
      <c r="B851" s="81"/>
      <c r="C851" s="85" t="s">
        <v>134</v>
      </c>
      <c r="D851" s="85"/>
      <c r="E851" s="85"/>
      <c r="F851" s="85"/>
      <c r="G851" s="85"/>
      <c r="H851" s="85"/>
      <c r="I851" s="85"/>
      <c r="J851" s="240">
        <f>'Baseline PHP'!J76</f>
        <v>0</v>
      </c>
      <c r="K851" s="87"/>
    </row>
    <row r="852" spans="2:11" x14ac:dyDescent="0.2">
      <c r="B852" s="81"/>
      <c r="C852" s="85"/>
      <c r="D852" s="85"/>
      <c r="E852" s="85"/>
      <c r="F852" s="85"/>
      <c r="G852" s="85"/>
      <c r="H852" s="85"/>
      <c r="I852" s="85"/>
      <c r="J852" s="85"/>
      <c r="K852" s="87"/>
    </row>
    <row r="853" spans="2:11" ht="16" x14ac:dyDescent="0.2">
      <c r="B853" s="81"/>
      <c r="C853" s="211" t="s">
        <v>647</v>
      </c>
      <c r="D853" s="85"/>
      <c r="E853" s="85"/>
      <c r="F853" s="85"/>
      <c r="G853" s="85"/>
      <c r="H853" s="85"/>
      <c r="I853" s="85"/>
      <c r="J853" s="85"/>
      <c r="K853" s="87"/>
    </row>
    <row r="854" spans="2:11" x14ac:dyDescent="0.2">
      <c r="B854" s="81"/>
      <c r="C854" s="85" t="s">
        <v>380</v>
      </c>
      <c r="D854" s="85"/>
      <c r="E854" s="85"/>
      <c r="F854" s="85"/>
      <c r="G854" s="406"/>
      <c r="H854" s="407"/>
      <c r="I854" s="85"/>
      <c r="J854" s="83" t="str">
        <f>IF(G854=$B$998,$A$998,IF(G854=$B$999,$A$999,IF(G854=$B$1000,$A$1000,IF(G854=$B$1001,$A$1001,IF(G854=$B$1002,$A$1002,"Not Calculated")))))</f>
        <v>Not Calculated</v>
      </c>
      <c r="K854" s="87"/>
    </row>
    <row r="855" spans="2:11" x14ac:dyDescent="0.2">
      <c r="B855" s="81"/>
      <c r="C855" s="85" t="s">
        <v>134</v>
      </c>
      <c r="D855" s="85"/>
      <c r="E855" s="85"/>
      <c r="F855" s="85"/>
      <c r="G855" s="85"/>
      <c r="H855" s="85"/>
      <c r="I855" s="85"/>
      <c r="J855" s="240">
        <f>'Baseline PHP'!J88</f>
        <v>0</v>
      </c>
      <c r="K855" s="87"/>
    </row>
    <row r="856" spans="2:11" x14ac:dyDescent="0.2">
      <c r="B856" s="81"/>
      <c r="C856" s="85"/>
      <c r="D856" s="85"/>
      <c r="E856" s="85"/>
      <c r="F856" s="85"/>
      <c r="G856" s="85"/>
      <c r="H856" s="85"/>
      <c r="I856" s="85"/>
      <c r="J856" s="85"/>
      <c r="K856" s="87"/>
    </row>
    <row r="857" spans="2:11" ht="16" x14ac:dyDescent="0.2">
      <c r="B857" s="81"/>
      <c r="C857" s="211" t="s">
        <v>115</v>
      </c>
      <c r="D857" s="85"/>
      <c r="E857" s="85"/>
      <c r="F857" s="85"/>
      <c r="G857" s="85"/>
      <c r="H857" s="85"/>
      <c r="I857" s="85"/>
      <c r="J857" s="85"/>
      <c r="K857" s="87"/>
    </row>
    <row r="858" spans="2:11" x14ac:dyDescent="0.2">
      <c r="B858" s="81"/>
      <c r="C858" s="85" t="s">
        <v>380</v>
      </c>
      <c r="D858" s="85"/>
      <c r="E858" s="85"/>
      <c r="F858" s="85"/>
      <c r="G858" s="406"/>
      <c r="H858" s="407"/>
      <c r="I858" s="85"/>
      <c r="J858" s="83" t="str">
        <f>IF(G858=$B$998,$A$998,IF(G858=$B$999,$A$999,IF(G858=$B$1000,$A$1000,IF(G858=$B$1001,$A$1001,IF(G858=$B$1002,$A$1002,"Not Calculated")))))</f>
        <v>Not Calculated</v>
      </c>
      <c r="K858" s="87"/>
    </row>
    <row r="859" spans="2:11" x14ac:dyDescent="0.2">
      <c r="B859" s="81"/>
      <c r="C859" s="85" t="s">
        <v>134</v>
      </c>
      <c r="D859" s="85"/>
      <c r="E859" s="85"/>
      <c r="F859" s="85"/>
      <c r="G859" s="85"/>
      <c r="H859" s="85"/>
      <c r="I859" s="85"/>
      <c r="J859" s="240">
        <f>'Baseline PHP'!J102</f>
        <v>0</v>
      </c>
      <c r="K859" s="87"/>
    </row>
    <row r="860" spans="2:11" x14ac:dyDescent="0.2">
      <c r="B860" s="81"/>
      <c r="C860" s="85"/>
      <c r="D860" s="85"/>
      <c r="E860" s="85"/>
      <c r="F860" s="85"/>
      <c r="G860" s="85"/>
      <c r="H860" s="85"/>
      <c r="I860" s="85"/>
      <c r="J860" s="85"/>
      <c r="K860" s="87"/>
    </row>
    <row r="861" spans="2:11" ht="16" x14ac:dyDescent="0.2">
      <c r="B861" s="81"/>
      <c r="C861" s="211" t="s">
        <v>649</v>
      </c>
      <c r="D861" s="85"/>
      <c r="E861" s="85"/>
      <c r="F861" s="85"/>
      <c r="G861" s="85"/>
      <c r="H861" s="85"/>
      <c r="I861" s="85"/>
      <c r="J861" s="85"/>
      <c r="K861" s="87"/>
    </row>
    <row r="862" spans="2:11" x14ac:dyDescent="0.2">
      <c r="B862" s="81"/>
      <c r="C862" s="85" t="s">
        <v>380</v>
      </c>
      <c r="D862" s="85"/>
      <c r="E862" s="85"/>
      <c r="F862" s="85"/>
      <c r="G862" s="406"/>
      <c r="H862" s="407"/>
      <c r="I862" s="85"/>
      <c r="J862" s="83" t="str">
        <f>IF(G862=$B$998,$A$998,IF(G862=$B$999,$A$999,IF(G862=$B$1000,$A$1000,IF(G862=$B$1001,$A$1001,IF(G862=$B$1002,$A$1002,"Not Calculated")))))</f>
        <v>Not Calculated</v>
      </c>
      <c r="K862" s="87"/>
    </row>
    <row r="863" spans="2:11" x14ac:dyDescent="0.2">
      <c r="B863" s="81"/>
      <c r="C863" s="85" t="s">
        <v>134</v>
      </c>
      <c r="D863" s="85"/>
      <c r="E863" s="85"/>
      <c r="F863" s="85"/>
      <c r="G863" s="85"/>
      <c r="H863" s="85"/>
      <c r="I863" s="85"/>
      <c r="J863" s="240">
        <f>'Baseline PHP'!J118</f>
        <v>0</v>
      </c>
      <c r="K863" s="87"/>
    </row>
    <row r="864" spans="2:11" x14ac:dyDescent="0.2">
      <c r="B864" s="81"/>
      <c r="C864" s="85"/>
      <c r="D864" s="85"/>
      <c r="E864" s="85"/>
      <c r="F864" s="85"/>
      <c r="G864" s="85"/>
      <c r="H864" s="85"/>
      <c r="I864" s="85"/>
      <c r="J864" s="85"/>
      <c r="K864" s="87"/>
    </row>
    <row r="865" spans="2:11" ht="16" x14ac:dyDescent="0.2">
      <c r="B865" s="81"/>
      <c r="C865" s="211" t="s">
        <v>656</v>
      </c>
      <c r="D865" s="85"/>
      <c r="E865" s="85"/>
      <c r="F865" s="85"/>
      <c r="G865" s="85"/>
      <c r="H865" s="85"/>
      <c r="I865" s="85"/>
      <c r="J865" s="85"/>
      <c r="K865" s="87"/>
    </row>
    <row r="866" spans="2:11" x14ac:dyDescent="0.2">
      <c r="B866" s="81"/>
      <c r="C866" s="85" t="s">
        <v>380</v>
      </c>
      <c r="D866" s="85"/>
      <c r="E866" s="85"/>
      <c r="F866" s="85"/>
      <c r="G866" s="406"/>
      <c r="H866" s="407"/>
      <c r="I866" s="85"/>
      <c r="J866" s="83" t="str">
        <f>IF(G866=$B$998,$A$998,IF(G866=$B$999,$A$999,IF(G866=$B$1000,$A$1000,IF(G866=$B$1001,$A$1001,IF(G866=$B$1002,$A$1002,"Not Calculated")))))</f>
        <v>Not Calculated</v>
      </c>
      <c r="K866" s="87"/>
    </row>
    <row r="867" spans="2:11" x14ac:dyDescent="0.2">
      <c r="B867" s="81"/>
      <c r="C867" s="85" t="s">
        <v>134</v>
      </c>
      <c r="D867" s="85"/>
      <c r="E867" s="85"/>
      <c r="F867" s="85"/>
      <c r="G867" s="85"/>
      <c r="H867" s="85"/>
      <c r="I867" s="85"/>
      <c r="J867" s="240">
        <f>'Baseline PHP'!J136</f>
        <v>0</v>
      </c>
      <c r="K867" s="87"/>
    </row>
    <row r="868" spans="2:11" x14ac:dyDescent="0.2">
      <c r="B868" s="81"/>
      <c r="C868" s="85"/>
      <c r="D868" s="85"/>
      <c r="E868" s="85"/>
      <c r="F868" s="85"/>
      <c r="G868" s="85"/>
      <c r="H868" s="85"/>
      <c r="I868" s="85"/>
      <c r="J868" s="85"/>
      <c r="K868" s="87"/>
    </row>
    <row r="869" spans="2:11" ht="16" x14ac:dyDescent="0.2">
      <c r="B869" s="81"/>
      <c r="C869" s="211" t="s">
        <v>121</v>
      </c>
      <c r="D869" s="85"/>
      <c r="E869" s="85"/>
      <c r="F869" s="85"/>
      <c r="G869" s="85"/>
      <c r="H869" s="85"/>
      <c r="I869" s="85"/>
      <c r="J869" s="85"/>
      <c r="K869" s="87"/>
    </row>
    <row r="870" spans="2:11" x14ac:dyDescent="0.2">
      <c r="B870" s="81"/>
      <c r="C870" s="85" t="s">
        <v>380</v>
      </c>
      <c r="D870" s="85"/>
      <c r="E870" s="85"/>
      <c r="F870" s="85"/>
      <c r="G870" s="406"/>
      <c r="H870" s="407"/>
      <c r="I870" s="85"/>
      <c r="J870" s="83" t="str">
        <f>IF(G870=$B$998,$A$998,IF(G870=$B$999,$A$999,IF(G870=$B$1000,$A$1000,IF(G870=$B$1001,$A$1001,IF(G870=$B$1002,$A$1002,"Not Calculated")))))</f>
        <v>Not Calculated</v>
      </c>
      <c r="K870" s="87"/>
    </row>
    <row r="871" spans="2:11" x14ac:dyDescent="0.2">
      <c r="B871" s="81"/>
      <c r="C871" s="85" t="s">
        <v>134</v>
      </c>
      <c r="D871" s="85"/>
      <c r="E871" s="85"/>
      <c r="F871" s="85"/>
      <c r="G871" s="85"/>
      <c r="H871" s="85"/>
      <c r="I871" s="85"/>
      <c r="J871" s="240">
        <f>'Baseline PHP'!J150</f>
        <v>0</v>
      </c>
      <c r="K871" s="87"/>
    </row>
    <row r="872" spans="2:11" x14ac:dyDescent="0.2">
      <c r="B872" s="81"/>
      <c r="C872" s="85"/>
      <c r="D872" s="85"/>
      <c r="E872" s="85"/>
      <c r="F872" s="85"/>
      <c r="G872" s="85"/>
      <c r="H872" s="85"/>
      <c r="I872" s="85"/>
      <c r="J872" s="85"/>
      <c r="K872" s="87"/>
    </row>
    <row r="873" spans="2:11" ht="16" x14ac:dyDescent="0.2">
      <c r="B873" s="81"/>
      <c r="C873" s="211" t="s">
        <v>657</v>
      </c>
      <c r="D873" s="85"/>
      <c r="E873" s="85"/>
      <c r="F873" s="85"/>
      <c r="G873" s="85"/>
      <c r="H873" s="85"/>
      <c r="I873" s="85"/>
      <c r="J873" s="85"/>
      <c r="K873" s="87"/>
    </row>
    <row r="874" spans="2:11" x14ac:dyDescent="0.2">
      <c r="B874" s="81"/>
      <c r="C874" s="85" t="s">
        <v>380</v>
      </c>
      <c r="D874" s="85"/>
      <c r="E874" s="85"/>
      <c r="F874" s="85"/>
      <c r="G874" s="406"/>
      <c r="H874" s="407"/>
      <c r="I874" s="85"/>
      <c r="J874" s="83" t="str">
        <f>IF(G874=$B$998,$A$998,IF(G874=$B$999,$A$999,IF(G874=$B$1000,$A$1000,IF(G874=$B$1001,$A$1001,IF(G874=$B$1002,$A$1002,"Not Calculated")))))</f>
        <v>Not Calculated</v>
      </c>
      <c r="K874" s="87"/>
    </row>
    <row r="875" spans="2:11" x14ac:dyDescent="0.2">
      <c r="B875" s="81"/>
      <c r="C875" s="85" t="s">
        <v>134</v>
      </c>
      <c r="D875" s="85"/>
      <c r="E875" s="85"/>
      <c r="F875" s="85"/>
      <c r="G875" s="85"/>
      <c r="H875" s="85"/>
      <c r="I875" s="85"/>
      <c r="J875" s="240">
        <f>'Baseline PHP'!J164</f>
        <v>0</v>
      </c>
      <c r="K875" s="87"/>
    </row>
    <row r="876" spans="2:11" x14ac:dyDescent="0.2">
      <c r="B876" s="81"/>
      <c r="C876" s="85"/>
      <c r="D876" s="85"/>
      <c r="E876" s="85"/>
      <c r="F876" s="85"/>
      <c r="G876" s="85"/>
      <c r="H876" s="85"/>
      <c r="I876" s="85"/>
      <c r="J876" s="85"/>
      <c r="K876" s="87"/>
    </row>
    <row r="877" spans="2:11" ht="16" x14ac:dyDescent="0.2">
      <c r="B877" s="81"/>
      <c r="C877" s="211" t="s">
        <v>650</v>
      </c>
      <c r="D877" s="85"/>
      <c r="E877" s="85"/>
      <c r="F877" s="85"/>
      <c r="G877" s="85"/>
      <c r="H877" s="85"/>
      <c r="I877" s="85"/>
      <c r="J877" s="85"/>
      <c r="K877" s="87"/>
    </row>
    <row r="878" spans="2:11" x14ac:dyDescent="0.2">
      <c r="B878" s="81"/>
      <c r="C878" s="85" t="s">
        <v>380</v>
      </c>
      <c r="D878" s="85"/>
      <c r="E878" s="85"/>
      <c r="F878" s="85"/>
      <c r="G878" s="406"/>
      <c r="H878" s="407"/>
      <c r="I878" s="85"/>
      <c r="J878" s="83" t="str">
        <f>IF(G878=$B$998,$A$998,IF(G878=$B$999,$A$999,IF(G878=$B$1000,$A$1000,IF(G878=$B$1001,$A$1001,IF(G878=$B$1002,$A$1002,"Not Calculated")))))</f>
        <v>Not Calculated</v>
      </c>
      <c r="K878" s="87"/>
    </row>
    <row r="879" spans="2:11" x14ac:dyDescent="0.2">
      <c r="B879" s="81"/>
      <c r="C879" s="85" t="s">
        <v>134</v>
      </c>
      <c r="D879" s="85"/>
      <c r="E879" s="85"/>
      <c r="F879" s="85"/>
      <c r="G879" s="85"/>
      <c r="H879" s="85"/>
      <c r="I879" s="85"/>
      <c r="J879" s="240">
        <f>'Baseline PHP'!J180</f>
        <v>0</v>
      </c>
      <c r="K879" s="87"/>
    </row>
    <row r="880" spans="2:11" x14ac:dyDescent="0.2">
      <c r="B880" s="81"/>
      <c r="C880" s="85"/>
      <c r="D880" s="85"/>
      <c r="E880" s="85"/>
      <c r="F880" s="85"/>
      <c r="G880" s="85"/>
      <c r="H880" s="85"/>
      <c r="I880" s="85"/>
      <c r="J880" s="85"/>
      <c r="K880" s="87"/>
    </row>
    <row r="881" spans="2:11" ht="16" x14ac:dyDescent="0.2">
      <c r="B881" s="81"/>
      <c r="C881" s="211" t="s">
        <v>651</v>
      </c>
      <c r="D881" s="85"/>
      <c r="E881" s="85"/>
      <c r="F881" s="85"/>
      <c r="G881" s="85"/>
      <c r="H881" s="85"/>
      <c r="I881" s="85"/>
      <c r="J881" s="85"/>
      <c r="K881" s="87"/>
    </row>
    <row r="882" spans="2:11" x14ac:dyDescent="0.2">
      <c r="B882" s="81"/>
      <c r="C882" s="85" t="s">
        <v>380</v>
      </c>
      <c r="D882" s="85"/>
      <c r="E882" s="85"/>
      <c r="F882" s="85"/>
      <c r="G882" s="406"/>
      <c r="H882" s="407"/>
      <c r="I882" s="85"/>
      <c r="J882" s="83" t="str">
        <f>IF(G882=$B$998,$A$998,IF(G882=$B$999,$A$999,IF(G882=$B$1000,$A$1000,IF(G882=$B$1001,$A$1001,IF(G882=$B$1002,$A$1002,"Not Calculated")))))</f>
        <v>Not Calculated</v>
      </c>
      <c r="K882" s="87"/>
    </row>
    <row r="883" spans="2:11" x14ac:dyDescent="0.2">
      <c r="B883" s="81"/>
      <c r="C883" s="85" t="s">
        <v>134</v>
      </c>
      <c r="D883" s="85"/>
      <c r="E883" s="85"/>
      <c r="F883" s="85"/>
      <c r="G883" s="85"/>
      <c r="H883" s="85"/>
      <c r="I883" s="85"/>
      <c r="J883" s="240">
        <f>'Baseline PHP'!J194</f>
        <v>0</v>
      </c>
      <c r="K883" s="87"/>
    </row>
    <row r="884" spans="2:11" x14ac:dyDescent="0.2">
      <c r="B884" s="81"/>
      <c r="C884" s="85"/>
      <c r="D884" s="85"/>
      <c r="E884" s="85"/>
      <c r="F884" s="85"/>
      <c r="G884" s="85"/>
      <c r="H884" s="85"/>
      <c r="I884" s="85"/>
      <c r="J884" s="85"/>
      <c r="K884" s="87"/>
    </row>
    <row r="885" spans="2:11" ht="16" x14ac:dyDescent="0.2">
      <c r="B885" s="81"/>
      <c r="C885" s="211" t="s">
        <v>652</v>
      </c>
      <c r="D885" s="85"/>
      <c r="E885" s="85"/>
      <c r="F885" s="85"/>
      <c r="G885" s="85"/>
      <c r="H885" s="85"/>
      <c r="I885" s="85"/>
      <c r="J885" s="85"/>
      <c r="K885" s="87"/>
    </row>
    <row r="886" spans="2:11" x14ac:dyDescent="0.2">
      <c r="B886" s="81"/>
      <c r="C886" s="85" t="s">
        <v>380</v>
      </c>
      <c r="D886" s="85"/>
      <c r="E886" s="85"/>
      <c r="F886" s="85"/>
      <c r="G886" s="406"/>
      <c r="H886" s="407"/>
      <c r="I886" s="85"/>
      <c r="J886" s="83" t="str">
        <f>IF(G886=$B$998,$A$998,IF(G886=$B$999,$A$999,IF(G886=$B$1000,$A$1000,IF(G886=$B$1001,$A$1001,IF(G886=$B$1002,$A$1002,"Not Calculated")))))</f>
        <v>Not Calculated</v>
      </c>
      <c r="K886" s="87"/>
    </row>
    <row r="887" spans="2:11" x14ac:dyDescent="0.2">
      <c r="B887" s="81"/>
      <c r="C887" s="85" t="s">
        <v>134</v>
      </c>
      <c r="D887" s="85"/>
      <c r="E887" s="85"/>
      <c r="F887" s="85"/>
      <c r="G887" s="85"/>
      <c r="H887" s="85"/>
      <c r="I887" s="85"/>
      <c r="J887" s="240">
        <f>'Baseline PHP'!J208</f>
        <v>0</v>
      </c>
      <c r="K887" s="87"/>
    </row>
    <row r="888" spans="2:11" x14ac:dyDescent="0.2">
      <c r="B888" s="81"/>
      <c r="C888" s="85"/>
      <c r="D888" s="85"/>
      <c r="E888" s="85"/>
      <c r="F888" s="85"/>
      <c r="G888" s="85"/>
      <c r="H888" s="85"/>
      <c r="I888" s="85"/>
      <c r="J888" s="85"/>
      <c r="K888" s="87"/>
    </row>
    <row r="889" spans="2:11" ht="16" x14ac:dyDescent="0.2">
      <c r="B889" s="81"/>
      <c r="C889" s="211" t="s">
        <v>653</v>
      </c>
      <c r="D889" s="85"/>
      <c r="E889" s="85"/>
      <c r="F889" s="85"/>
      <c r="G889" s="85"/>
      <c r="H889" s="85"/>
      <c r="I889" s="85"/>
      <c r="J889" s="85"/>
      <c r="K889" s="87"/>
    </row>
    <row r="890" spans="2:11" x14ac:dyDescent="0.2">
      <c r="B890" s="81"/>
      <c r="C890" s="85" t="s">
        <v>380</v>
      </c>
      <c r="D890" s="85"/>
      <c r="E890" s="85"/>
      <c r="F890" s="85"/>
      <c r="G890" s="406"/>
      <c r="H890" s="407"/>
      <c r="I890" s="85"/>
      <c r="J890" s="83" t="str">
        <f>IF(G890=$B$998,$A$998,IF(G890=$B$999,$A$999,IF(G890=$B$1000,$A$1000,IF(G890=$B$1001,$A$1001,IF(G890=$B$1002,$A$1002,"Not Calculated")))))</f>
        <v>Not Calculated</v>
      </c>
      <c r="K890" s="87"/>
    </row>
    <row r="891" spans="2:11" x14ac:dyDescent="0.2">
      <c r="B891" s="81"/>
      <c r="C891" s="85" t="s">
        <v>134</v>
      </c>
      <c r="D891" s="85"/>
      <c r="E891" s="85"/>
      <c r="F891" s="85"/>
      <c r="G891" s="85"/>
      <c r="H891" s="85"/>
      <c r="I891" s="85"/>
      <c r="J891" s="240">
        <f>'Baseline PHP'!J222</f>
        <v>0</v>
      </c>
      <c r="K891" s="87"/>
    </row>
    <row r="892" spans="2:11" x14ac:dyDescent="0.2">
      <c r="B892" s="81"/>
      <c r="C892" s="85"/>
      <c r="D892" s="85"/>
      <c r="E892" s="85"/>
      <c r="F892" s="85"/>
      <c r="G892" s="85"/>
      <c r="H892" s="85"/>
      <c r="I892" s="85"/>
      <c r="J892" s="85"/>
      <c r="K892" s="87"/>
    </row>
    <row r="893" spans="2:11" x14ac:dyDescent="0.2">
      <c r="B893" s="81"/>
      <c r="C893" s="85"/>
      <c r="D893" s="85"/>
      <c r="E893" s="85"/>
      <c r="F893" s="85"/>
      <c r="G893" s="85"/>
      <c r="H893" s="85"/>
      <c r="I893" s="85"/>
      <c r="J893" s="85"/>
      <c r="K893" s="87"/>
    </row>
    <row r="894" spans="2:11" ht="16" x14ac:dyDescent="0.2">
      <c r="B894" s="81"/>
      <c r="C894" s="212" t="s">
        <v>813</v>
      </c>
      <c r="D894" s="85"/>
      <c r="E894" s="85"/>
      <c r="F894" s="85"/>
      <c r="G894" s="85"/>
      <c r="H894" s="85"/>
      <c r="I894" s="85"/>
      <c r="J894" s="241" t="str">
        <f>IF(OR(J854="Not Calculated",J858="Not Calculated",J862="Not Calculated",J866="Not Calculated",J870="Not Calculated",J874="Not Calculated",J878="Not Calculated",J882="Not Calculated",J886="Not Calculated",J890="Not Calculated",J834="Not Calculated",J838="Not Calculated",J842="Not Calculated",J846="Not Calculated",J850="Not Calculated",J855="Not Calculated",J859="Not Calculated",J863="Not Calculated",J867="Not Calculated",J871="Not Calculated",J875="Not Calculated",J879="Not Calculated",J883="Not Calculated",J887="Not Calculated",J891="Not Calculated",J835="Not Calculated",J839="Not Calculated",J843="Not Calculated",J847="Not Calculated",J851="Not Calculated")=TRUE,"Not Calculated",((J834*J835)+(J838*J839)+(J842*J843)+(J846*J847)+(J850*J851)+(J854*J855)+(J858*J859)+(J862*J863)+(J866*J867)+(J870*J871)+(J874*J875)+(J878*J879)+(J882*J883)+(J886*J887)+(J890*J891))/(J834+J838+J842+J846+J850+J854+J858+J862+J866+J870+J874+J878+J882+J886+J890))</f>
        <v>Not Calculated</v>
      </c>
      <c r="K894" s="87"/>
    </row>
    <row r="895" spans="2:11" ht="16" thickBot="1" x14ac:dyDescent="0.25">
      <c r="B895" s="213"/>
      <c r="C895" s="94"/>
      <c r="D895" s="94"/>
      <c r="E895" s="94"/>
      <c r="F895" s="94"/>
      <c r="G895" s="94"/>
      <c r="H895" s="94"/>
      <c r="I895" s="94"/>
      <c r="J895" s="94"/>
      <c r="K895" s="96"/>
    </row>
    <row r="896" spans="2:11" ht="16" thickBot="1" x14ac:dyDescent="0.25"/>
    <row r="897" spans="2:11" x14ac:dyDescent="0.2">
      <c r="B897" s="77"/>
      <c r="C897" s="78"/>
      <c r="D897" s="78"/>
      <c r="E897" s="78"/>
      <c r="F897" s="78"/>
      <c r="G897" s="78"/>
      <c r="H897" s="78"/>
      <c r="I897" s="78"/>
      <c r="J897" s="78"/>
      <c r="K897" s="80"/>
    </row>
    <row r="898" spans="2:11" ht="21" x14ac:dyDescent="0.25">
      <c r="B898" s="81"/>
      <c r="C898" s="85"/>
      <c r="D898" s="85"/>
      <c r="E898" s="85"/>
      <c r="F898" s="85"/>
      <c r="G898" s="210" t="s">
        <v>807</v>
      </c>
      <c r="H898" s="85"/>
      <c r="I898" s="85"/>
      <c r="J898" s="85"/>
      <c r="K898" s="87"/>
    </row>
    <row r="899" spans="2:11" x14ac:dyDescent="0.2">
      <c r="B899" s="81"/>
      <c r="C899" s="85"/>
      <c r="D899" s="85"/>
      <c r="E899" s="85"/>
      <c r="F899" s="85"/>
      <c r="G899" s="85"/>
      <c r="H899" s="85"/>
      <c r="I899" s="85"/>
      <c r="J899" s="85"/>
      <c r="K899" s="87"/>
    </row>
    <row r="900" spans="2:11" ht="15" customHeight="1" x14ac:dyDescent="0.2">
      <c r="B900" s="81"/>
      <c r="C900" s="424" t="s">
        <v>809</v>
      </c>
      <c r="D900" s="424"/>
      <c r="E900" s="424"/>
      <c r="F900" s="424"/>
      <c r="G900" s="424"/>
      <c r="H900" s="424"/>
      <c r="I900" s="424"/>
      <c r="J900" s="424"/>
      <c r="K900" s="87"/>
    </row>
    <row r="901" spans="2:11" x14ac:dyDescent="0.2">
      <c r="B901" s="81"/>
      <c r="C901" s="424"/>
      <c r="D901" s="424"/>
      <c r="E901" s="424"/>
      <c r="F901" s="424"/>
      <c r="G901" s="424"/>
      <c r="H901" s="424"/>
      <c r="I901" s="424"/>
      <c r="J901" s="424"/>
      <c r="K901" s="87"/>
    </row>
    <row r="902" spans="2:11" x14ac:dyDescent="0.2">
      <c r="B902" s="81"/>
      <c r="C902" s="85"/>
      <c r="D902" s="85"/>
      <c r="E902" s="85"/>
      <c r="F902" s="85"/>
      <c r="G902" s="85"/>
      <c r="H902" s="85"/>
      <c r="I902" s="85"/>
      <c r="J902" s="85"/>
      <c r="K902" s="87"/>
    </row>
    <row r="903" spans="2:11" ht="16" x14ac:dyDescent="0.2">
      <c r="B903" s="81"/>
      <c r="C903" s="211" t="s">
        <v>810</v>
      </c>
      <c r="D903" s="85"/>
      <c r="E903" s="85"/>
      <c r="F903" s="85"/>
      <c r="G903" s="85"/>
      <c r="H903" s="85"/>
      <c r="I903" s="85"/>
      <c r="J903" s="85"/>
      <c r="K903" s="87"/>
    </row>
    <row r="904" spans="2:11" x14ac:dyDescent="0.2">
      <c r="B904" s="81"/>
      <c r="C904" s="85" t="s">
        <v>380</v>
      </c>
      <c r="D904" s="85"/>
      <c r="E904" s="85"/>
      <c r="F904" s="85"/>
      <c r="G904" s="406"/>
      <c r="H904" s="407"/>
      <c r="I904" s="85"/>
      <c r="J904" s="83" t="str">
        <f>IF(G904=$B$998,$A$998,IF(G904=$B$999,$A$999,IF(G904=$B$1000,$A$1000,IF(G904=$B$1001,$A$1001,IF(G904=$B$1002,$A$1002,"Not Calculated")))))</f>
        <v>Not Calculated</v>
      </c>
      <c r="K904" s="87"/>
    </row>
    <row r="905" spans="2:11" x14ac:dyDescent="0.2">
      <c r="B905" s="81"/>
      <c r="C905" s="85" t="s">
        <v>134</v>
      </c>
      <c r="D905" s="85"/>
      <c r="E905" s="85"/>
      <c r="F905" s="85"/>
      <c r="G905" s="85"/>
      <c r="H905" s="85"/>
      <c r="I905" s="85"/>
      <c r="J905" s="240">
        <f>'Baseline HP'!J22</f>
        <v>0</v>
      </c>
      <c r="K905" s="87"/>
    </row>
    <row r="906" spans="2:11" x14ac:dyDescent="0.2">
      <c r="B906" s="81"/>
      <c r="C906" s="85"/>
      <c r="D906" s="85"/>
      <c r="E906" s="85"/>
      <c r="F906" s="85"/>
      <c r="G906" s="85"/>
      <c r="H906" s="85"/>
      <c r="I906" s="85"/>
      <c r="J906" s="85"/>
      <c r="K906" s="87"/>
    </row>
    <row r="907" spans="2:11" ht="16" x14ac:dyDescent="0.2">
      <c r="B907" s="81"/>
      <c r="C907" s="211" t="s">
        <v>811</v>
      </c>
      <c r="D907" s="85"/>
      <c r="E907" s="85"/>
      <c r="F907" s="85"/>
      <c r="G907" s="85"/>
      <c r="H907" s="85"/>
      <c r="I907" s="85"/>
      <c r="J907" s="85"/>
      <c r="K907" s="87"/>
    </row>
    <row r="908" spans="2:11" x14ac:dyDescent="0.2">
      <c r="B908" s="81"/>
      <c r="C908" s="85" t="s">
        <v>380</v>
      </c>
      <c r="D908" s="85"/>
      <c r="E908" s="85"/>
      <c r="F908" s="85"/>
      <c r="G908" s="406"/>
      <c r="H908" s="407"/>
      <c r="I908" s="85"/>
      <c r="J908" s="83" t="str">
        <f>IF(G908=$B$998,$A$998,IF(G908=$B$999,$A$999,IF(G908=$B$1000,$A$1000,IF(G908=$B$1001,$A$1001,IF(G908=$B$1002,$A$1002,"Not Calculated")))))</f>
        <v>Not Calculated</v>
      </c>
      <c r="K908" s="87"/>
    </row>
    <row r="909" spans="2:11" x14ac:dyDescent="0.2">
      <c r="B909" s="81"/>
      <c r="C909" s="85" t="s">
        <v>134</v>
      </c>
      <c r="D909" s="85"/>
      <c r="E909" s="85"/>
      <c r="F909" s="85"/>
      <c r="G909" s="85"/>
      <c r="H909" s="85"/>
      <c r="I909" s="85"/>
      <c r="J909" s="240">
        <f>'Baseline HP'!J32</f>
        <v>0</v>
      </c>
      <c r="K909" s="87"/>
    </row>
    <row r="910" spans="2:11" x14ac:dyDescent="0.2">
      <c r="B910" s="81"/>
      <c r="C910" s="85"/>
      <c r="D910" s="85"/>
      <c r="E910" s="85"/>
      <c r="F910" s="85"/>
      <c r="G910" s="85"/>
      <c r="H910" s="85"/>
      <c r="I910" s="85"/>
      <c r="J910" s="85"/>
      <c r="K910" s="87"/>
    </row>
    <row r="911" spans="2:11" ht="16" x14ac:dyDescent="0.2">
      <c r="B911" s="81"/>
      <c r="C911" s="211" t="s">
        <v>645</v>
      </c>
      <c r="D911" s="85"/>
      <c r="E911" s="85"/>
      <c r="F911" s="85"/>
      <c r="G911" s="85"/>
      <c r="H911" s="85"/>
      <c r="I911" s="85"/>
      <c r="J911" s="85"/>
      <c r="K911" s="87"/>
    </row>
    <row r="912" spans="2:11" x14ac:dyDescent="0.2">
      <c r="B912" s="81"/>
      <c r="C912" s="85" t="s">
        <v>380</v>
      </c>
      <c r="D912" s="85"/>
      <c r="E912" s="85"/>
      <c r="F912" s="85"/>
      <c r="G912" s="406"/>
      <c r="H912" s="407"/>
      <c r="I912" s="85"/>
      <c r="J912" s="83" t="str">
        <f>IF(G912=$B$998,$A$998,IF(G912=$B$999,$A$999,IF(G912=$B$1000,$A$1000,IF(G912=$B$1001,$A$1001,IF(G912=$B$1002,$A$1002,"Not Calculated")))))</f>
        <v>Not Calculated</v>
      </c>
      <c r="K912" s="87"/>
    </row>
    <row r="913" spans="2:11" x14ac:dyDescent="0.2">
      <c r="B913" s="81"/>
      <c r="C913" s="85" t="s">
        <v>134</v>
      </c>
      <c r="D913" s="85"/>
      <c r="E913" s="85"/>
      <c r="F913" s="85"/>
      <c r="G913" s="85"/>
      <c r="H913" s="85"/>
      <c r="I913" s="85"/>
      <c r="J913" s="240">
        <f>'Baseline HP'!J46</f>
        <v>0</v>
      </c>
      <c r="K913" s="87"/>
    </row>
    <row r="914" spans="2:11" x14ac:dyDescent="0.2">
      <c r="B914" s="81"/>
      <c r="C914" s="85"/>
      <c r="D914" s="85"/>
      <c r="E914" s="85"/>
      <c r="F914" s="85"/>
      <c r="G914" s="85"/>
      <c r="H914" s="85"/>
      <c r="I914" s="85"/>
      <c r="J914" s="85"/>
      <c r="K914" s="87"/>
    </row>
    <row r="915" spans="2:11" ht="16" x14ac:dyDescent="0.2">
      <c r="B915" s="81"/>
      <c r="C915" s="211" t="s">
        <v>648</v>
      </c>
      <c r="D915" s="85"/>
      <c r="E915" s="85"/>
      <c r="F915" s="85"/>
      <c r="G915" s="85"/>
      <c r="H915" s="85"/>
      <c r="I915" s="85"/>
      <c r="J915" s="85"/>
      <c r="K915" s="87"/>
    </row>
    <row r="916" spans="2:11" ht="15" customHeight="1" x14ac:dyDescent="0.2">
      <c r="B916" s="81"/>
      <c r="C916" s="85" t="s">
        <v>380</v>
      </c>
      <c r="D916" s="85"/>
      <c r="E916" s="85"/>
      <c r="F916" s="85"/>
      <c r="G916" s="406"/>
      <c r="H916" s="407"/>
      <c r="I916" s="85"/>
      <c r="J916" s="83" t="str">
        <f>IF(G916=$B$998,$A$998,IF(G916=$B$999,$A$999,IF(G916=$B$1000,$A$1000,IF(G916=$B$1001,$A$1001,IF(G916=$B$1002,$A$1002,"Not Calculated")))))</f>
        <v>Not Calculated</v>
      </c>
      <c r="K916" s="87"/>
    </row>
    <row r="917" spans="2:11" x14ac:dyDescent="0.2">
      <c r="B917" s="81"/>
      <c r="C917" s="85" t="s">
        <v>134</v>
      </c>
      <c r="D917" s="85"/>
      <c r="E917" s="85"/>
      <c r="F917" s="85"/>
      <c r="G917" s="85"/>
      <c r="H917" s="85"/>
      <c r="I917" s="85"/>
      <c r="J917" s="240">
        <f>'Baseline HP'!J58</f>
        <v>0</v>
      </c>
      <c r="K917" s="87"/>
    </row>
    <row r="918" spans="2:11" x14ac:dyDescent="0.2">
      <c r="B918" s="81"/>
      <c r="C918" s="85"/>
      <c r="D918" s="85"/>
      <c r="E918" s="85"/>
      <c r="F918" s="85"/>
      <c r="G918" s="85"/>
      <c r="H918" s="85"/>
      <c r="I918" s="85"/>
      <c r="J918" s="85"/>
      <c r="K918" s="87"/>
    </row>
    <row r="919" spans="2:11" ht="16" x14ac:dyDescent="0.2">
      <c r="B919" s="81"/>
      <c r="C919" s="211" t="s">
        <v>647</v>
      </c>
      <c r="D919" s="85"/>
      <c r="E919" s="85"/>
      <c r="F919" s="85"/>
      <c r="G919" s="85"/>
      <c r="H919" s="85"/>
      <c r="I919" s="85"/>
      <c r="J919" s="85"/>
      <c r="K919" s="87"/>
    </row>
    <row r="920" spans="2:11" x14ac:dyDescent="0.2">
      <c r="B920" s="81"/>
      <c r="C920" s="85" t="s">
        <v>380</v>
      </c>
      <c r="D920" s="85"/>
      <c r="E920" s="85"/>
      <c r="F920" s="85"/>
      <c r="G920" s="406"/>
      <c r="H920" s="407"/>
      <c r="I920" s="85"/>
      <c r="J920" s="83" t="str">
        <f>IF(G920=$B$998,$A$998,IF(G920=$B$999,$A$999,IF(G920=$B$1000,$A$1000,IF(G920=$B$1001,$A$1001,IF(G920=$B$1002,$A$1002,"Not Calculated")))))</f>
        <v>Not Calculated</v>
      </c>
      <c r="K920" s="87"/>
    </row>
    <row r="921" spans="2:11" x14ac:dyDescent="0.2">
      <c r="B921" s="81"/>
      <c r="C921" s="85" t="s">
        <v>134</v>
      </c>
      <c r="D921" s="85"/>
      <c r="E921" s="85"/>
      <c r="F921" s="85"/>
      <c r="G921" s="85"/>
      <c r="H921" s="85"/>
      <c r="I921" s="85"/>
      <c r="J921" s="240">
        <f>'Baseline HP'!J68</f>
        <v>0</v>
      </c>
      <c r="K921" s="87"/>
    </row>
    <row r="922" spans="2:11" x14ac:dyDescent="0.2">
      <c r="B922" s="81"/>
      <c r="C922" s="85"/>
      <c r="D922" s="85"/>
      <c r="E922" s="85"/>
      <c r="F922" s="85"/>
      <c r="G922" s="85"/>
      <c r="H922" s="85"/>
      <c r="I922" s="85"/>
      <c r="J922" s="85"/>
      <c r="K922" s="87"/>
    </row>
    <row r="923" spans="2:11" ht="16" x14ac:dyDescent="0.2">
      <c r="B923" s="81"/>
      <c r="C923" s="211" t="s">
        <v>121</v>
      </c>
      <c r="D923" s="85"/>
      <c r="E923" s="85"/>
      <c r="F923" s="85"/>
      <c r="G923" s="85"/>
      <c r="H923" s="85"/>
      <c r="I923" s="85"/>
      <c r="J923" s="85"/>
      <c r="K923" s="87"/>
    </row>
    <row r="924" spans="2:11" x14ac:dyDescent="0.2">
      <c r="B924" s="81"/>
      <c r="C924" s="85" t="s">
        <v>380</v>
      </c>
      <c r="D924" s="85"/>
      <c r="E924" s="85"/>
      <c r="F924" s="85"/>
      <c r="G924" s="406"/>
      <c r="H924" s="407"/>
      <c r="I924" s="85"/>
      <c r="J924" s="83" t="str">
        <f>IF(G924=$B$998,$A$998,IF(G924=$B$999,$A$999,IF(G924=$B$1000,$A$1000,IF(G924=$B$1001,$A$1001,IF(G924=$B$1002,$A$1002,"Not Calculated")))))</f>
        <v>Not Calculated</v>
      </c>
      <c r="K924" s="87"/>
    </row>
    <row r="925" spans="2:11" x14ac:dyDescent="0.2">
      <c r="B925" s="81"/>
      <c r="C925" s="85" t="s">
        <v>134</v>
      </c>
      <c r="D925" s="85"/>
      <c r="E925" s="85"/>
      <c r="F925" s="85"/>
      <c r="G925" s="85"/>
      <c r="H925" s="85"/>
      <c r="I925" s="85"/>
      <c r="J925" s="240">
        <f>'Baseline HP'!J84</f>
        <v>0</v>
      </c>
      <c r="K925" s="87"/>
    </row>
    <row r="926" spans="2:11" x14ac:dyDescent="0.2">
      <c r="B926" s="81"/>
      <c r="C926" s="85"/>
      <c r="D926" s="85"/>
      <c r="E926" s="85"/>
      <c r="F926" s="85"/>
      <c r="G926" s="85"/>
      <c r="H926" s="85"/>
      <c r="I926" s="85"/>
      <c r="J926" s="85"/>
      <c r="K926" s="87"/>
    </row>
    <row r="927" spans="2:11" ht="16" x14ac:dyDescent="0.2">
      <c r="B927" s="81"/>
      <c r="C927" s="211" t="s">
        <v>652</v>
      </c>
      <c r="D927" s="85"/>
      <c r="E927" s="85"/>
      <c r="F927" s="85"/>
      <c r="G927" s="85"/>
      <c r="H927" s="85"/>
      <c r="I927" s="85"/>
      <c r="J927" s="85"/>
      <c r="K927" s="87"/>
    </row>
    <row r="928" spans="2:11" x14ac:dyDescent="0.2">
      <c r="B928" s="81"/>
      <c r="C928" s="85" t="s">
        <v>380</v>
      </c>
      <c r="D928" s="85"/>
      <c r="E928" s="85"/>
      <c r="F928" s="85"/>
      <c r="G928" s="406"/>
      <c r="H928" s="407"/>
      <c r="I928" s="85"/>
      <c r="J928" s="83" t="str">
        <f>IF(G928=$B$998,$A$998,IF(G928=$B$999,$A$999,IF(G928=$B$1000,$A$1000,IF(G928=$B$1001,$A$1001,IF(G928=$B$1002,$A$1002,"Not Calculated")))))</f>
        <v>Not Calculated</v>
      </c>
      <c r="K928" s="87"/>
    </row>
    <row r="929" spans="2:11" x14ac:dyDescent="0.2">
      <c r="B929" s="81"/>
      <c r="C929" s="85" t="s">
        <v>134</v>
      </c>
      <c r="D929" s="85"/>
      <c r="E929" s="85"/>
      <c r="F929" s="85"/>
      <c r="G929" s="85"/>
      <c r="H929" s="85"/>
      <c r="I929" s="85"/>
      <c r="J929" s="240">
        <f>'Baseline HP'!J94</f>
        <v>0</v>
      </c>
      <c r="K929" s="87"/>
    </row>
    <row r="930" spans="2:11" x14ac:dyDescent="0.2">
      <c r="B930" s="81"/>
      <c r="C930" s="85"/>
      <c r="D930" s="85"/>
      <c r="E930" s="85"/>
      <c r="F930" s="85"/>
      <c r="G930" s="85"/>
      <c r="H930" s="85"/>
      <c r="I930" s="85"/>
      <c r="J930" s="85"/>
      <c r="K930" s="87"/>
    </row>
    <row r="931" spans="2:11" ht="16" x14ac:dyDescent="0.2">
      <c r="B931" s="81"/>
      <c r="C931" s="211" t="s">
        <v>653</v>
      </c>
      <c r="D931" s="85"/>
      <c r="E931" s="85"/>
      <c r="F931" s="85"/>
      <c r="G931" s="85"/>
      <c r="H931" s="85"/>
      <c r="I931" s="85"/>
      <c r="J931" s="85"/>
      <c r="K931" s="87"/>
    </row>
    <row r="932" spans="2:11" x14ac:dyDescent="0.2">
      <c r="B932" s="81"/>
      <c r="C932" s="85" t="s">
        <v>380</v>
      </c>
      <c r="D932" s="85"/>
      <c r="E932" s="85"/>
      <c r="F932" s="85"/>
      <c r="G932" s="406"/>
      <c r="H932" s="407"/>
      <c r="I932" s="85"/>
      <c r="J932" s="83" t="str">
        <f>IF(G932=$B$998,$A$998,IF(G932=$B$999,$A$999,IF(G932=$B$1000,$A$1000,IF(G932=$B$1001,$A$1001,IF(G932=$B$1002,$A$1002,"Not Calculated")))))</f>
        <v>Not Calculated</v>
      </c>
      <c r="K932" s="87"/>
    </row>
    <row r="933" spans="2:11" x14ac:dyDescent="0.2">
      <c r="B933" s="81"/>
      <c r="C933" s="85" t="s">
        <v>134</v>
      </c>
      <c r="D933" s="85"/>
      <c r="E933" s="85"/>
      <c r="F933" s="85"/>
      <c r="G933" s="85"/>
      <c r="H933" s="85"/>
      <c r="I933" s="85"/>
      <c r="J933" s="240">
        <f>'Baseline HP'!J108</f>
        <v>0</v>
      </c>
      <c r="K933" s="87"/>
    </row>
    <row r="934" spans="2:11" x14ac:dyDescent="0.2">
      <c r="B934" s="81"/>
      <c r="C934" s="85"/>
      <c r="D934" s="85"/>
      <c r="E934" s="85"/>
      <c r="F934" s="85"/>
      <c r="G934" s="85"/>
      <c r="H934" s="85"/>
      <c r="I934" s="85"/>
      <c r="J934" s="85"/>
      <c r="K934" s="87"/>
    </row>
    <row r="935" spans="2:11" x14ac:dyDescent="0.2">
      <c r="B935" s="81"/>
      <c r="C935" s="85"/>
      <c r="D935" s="85"/>
      <c r="E935" s="85"/>
      <c r="F935" s="85"/>
      <c r="G935" s="85"/>
      <c r="H935" s="85"/>
      <c r="I935" s="85"/>
      <c r="J935" s="85"/>
      <c r="K935" s="87"/>
    </row>
    <row r="936" spans="2:11" ht="16" x14ac:dyDescent="0.2">
      <c r="B936" s="81"/>
      <c r="C936" s="212" t="s">
        <v>812</v>
      </c>
      <c r="D936" s="85"/>
      <c r="E936" s="85"/>
      <c r="F936" s="85"/>
      <c r="G936" s="85"/>
      <c r="H936" s="85"/>
      <c r="I936" s="85"/>
      <c r="J936" s="241" t="str">
        <f>IF(OR(J920="Not Calculated",J924="Not Calculated",J928="Not Calculated",J932="Not Calculated",J904="Not Calculated",J908="Not Calculated",J912="Not Calculated",J916="Not Calculated",J921="Not Calculated",J925="Not Calculated",J929="Not Calculated",J933="Not Calculated",J905="Not Calculated",J909="Not Calculated",J913="Not Calculated",J917="Not Calculated")=TRUE,"Not Calculated",((J904*J905)+(J908*J909)+(J912*J913)+(J916*J917)+(J920*J921)+(J924*J925)+(J928*J929)+(J932*J933))/(J904+J908+J912+J916+J920+J924+J928+J932))</f>
        <v>Not Calculated</v>
      </c>
      <c r="K936" s="87"/>
    </row>
    <row r="937" spans="2:11" ht="16" thickBot="1" x14ac:dyDescent="0.25">
      <c r="B937" s="213"/>
      <c r="C937" s="94"/>
      <c r="D937" s="94"/>
      <c r="E937" s="94"/>
      <c r="F937" s="94"/>
      <c r="G937" s="94"/>
      <c r="H937" s="94"/>
      <c r="I937" s="94"/>
      <c r="J937" s="94"/>
      <c r="K937" s="96"/>
    </row>
    <row r="938" spans="2:11" ht="16" thickBot="1" x14ac:dyDescent="0.25"/>
    <row r="939" spans="2:11" x14ac:dyDescent="0.2">
      <c r="B939" s="77"/>
      <c r="C939" s="78"/>
      <c r="D939" s="78"/>
      <c r="E939" s="78"/>
      <c r="F939" s="78"/>
      <c r="G939" s="78"/>
      <c r="H939" s="78"/>
      <c r="I939" s="78"/>
      <c r="J939" s="78"/>
      <c r="K939" s="80"/>
    </row>
    <row r="940" spans="2:11" ht="21" x14ac:dyDescent="0.25">
      <c r="B940" s="81"/>
      <c r="C940" s="85"/>
      <c r="D940" s="85"/>
      <c r="E940" s="85"/>
      <c r="F940" s="85"/>
      <c r="G940" s="210" t="s">
        <v>815</v>
      </c>
      <c r="H940" s="85"/>
      <c r="I940" s="85"/>
      <c r="J940" s="85"/>
      <c r="K940" s="87"/>
    </row>
    <row r="941" spans="2:11" ht="21" x14ac:dyDescent="0.25">
      <c r="B941" s="81"/>
      <c r="C941" s="85"/>
      <c r="D941" s="85"/>
      <c r="E941" s="85"/>
      <c r="F941" s="85"/>
      <c r="G941" s="210"/>
      <c r="H941" s="85"/>
      <c r="I941" s="85"/>
      <c r="J941" s="85"/>
      <c r="K941" s="87"/>
    </row>
    <row r="942" spans="2:11" ht="16" x14ac:dyDescent="0.2">
      <c r="B942" s="81"/>
      <c r="C942" s="212" t="s">
        <v>995</v>
      </c>
      <c r="D942" s="85"/>
      <c r="E942" s="85"/>
      <c r="F942" s="85"/>
      <c r="G942" s="85"/>
      <c r="H942" s="85"/>
      <c r="I942" s="85"/>
      <c r="J942" s="241" t="str">
        <f>IF(OR(J936="Not Calculated",J894="Not Calculated")=TRUE,"Not Calculated",AVERAGE(J936,J894))</f>
        <v>Not Calculated</v>
      </c>
      <c r="K942" s="87"/>
    </row>
    <row r="943" spans="2:11" ht="16" x14ac:dyDescent="0.2">
      <c r="B943" s="81"/>
      <c r="C943" s="212"/>
      <c r="D943" s="85" t="s">
        <v>814</v>
      </c>
      <c r="E943" s="85"/>
      <c r="F943" s="85"/>
      <c r="G943" s="85"/>
      <c r="H943" s="85"/>
      <c r="I943" s="85"/>
      <c r="J943" s="241"/>
      <c r="K943" s="87"/>
    </row>
    <row r="944" spans="2:11" ht="17" thickBot="1" x14ac:dyDescent="0.25">
      <c r="B944" s="213"/>
      <c r="C944" s="227"/>
      <c r="D944" s="94"/>
      <c r="E944" s="94"/>
      <c r="F944" s="94"/>
      <c r="G944" s="94"/>
      <c r="H944" s="94"/>
      <c r="I944" s="94"/>
      <c r="J944" s="228"/>
      <c r="K944" s="96"/>
    </row>
    <row r="945" spans="2:11" ht="16" thickBot="1" x14ac:dyDescent="0.25"/>
    <row r="946" spans="2:11" x14ac:dyDescent="0.2">
      <c r="B946" s="214"/>
      <c r="C946" s="215"/>
      <c r="D946" s="215"/>
      <c r="E946" s="215"/>
      <c r="F946" s="215"/>
      <c r="G946" s="215"/>
      <c r="H946" s="215"/>
      <c r="I946" s="215"/>
      <c r="J946" s="215"/>
      <c r="K946" s="216"/>
    </row>
    <row r="947" spans="2:11" ht="21" x14ac:dyDescent="0.25">
      <c r="B947" s="217"/>
      <c r="C947" s="218"/>
      <c r="D947" s="218"/>
      <c r="E947" s="218"/>
      <c r="F947" s="218"/>
      <c r="G947" s="219" t="s">
        <v>239</v>
      </c>
      <c r="H947" s="218"/>
      <c r="I947" s="218"/>
      <c r="J947" s="218"/>
      <c r="K947" s="220"/>
    </row>
    <row r="948" spans="2:11" x14ac:dyDescent="0.2">
      <c r="B948" s="217"/>
      <c r="C948" s="218"/>
      <c r="D948" s="218"/>
      <c r="E948" s="218"/>
      <c r="F948" s="218"/>
      <c r="G948" s="218"/>
      <c r="H948" s="218"/>
      <c r="I948" s="218"/>
      <c r="J948" s="218"/>
      <c r="K948" s="220"/>
    </row>
    <row r="949" spans="2:11" ht="16" x14ac:dyDescent="0.2">
      <c r="B949" s="217"/>
      <c r="C949" s="221" t="s">
        <v>393</v>
      </c>
      <c r="D949" s="218"/>
      <c r="E949" s="218"/>
      <c r="F949" s="218"/>
      <c r="G949" s="218"/>
      <c r="H949" s="218"/>
      <c r="I949" s="218"/>
      <c r="J949" s="242" t="str">
        <f>IF(OR(J817="Not Calculated",J942="Not Calculated")=TRUE,"Not Calculated",J817/J942)</f>
        <v>Not Calculated</v>
      </c>
      <c r="K949" s="220"/>
    </row>
    <row r="950" spans="2:11" x14ac:dyDescent="0.2">
      <c r="B950" s="217"/>
      <c r="C950" s="218"/>
      <c r="D950" s="218" t="s">
        <v>816</v>
      </c>
      <c r="E950" s="218"/>
      <c r="F950" s="218"/>
      <c r="G950" s="218"/>
      <c r="H950" s="218"/>
      <c r="I950" s="218"/>
      <c r="J950" s="218"/>
      <c r="K950" s="220"/>
    </row>
    <row r="951" spans="2:11" x14ac:dyDescent="0.2">
      <c r="B951" s="217"/>
      <c r="C951" s="218"/>
      <c r="D951" s="218"/>
      <c r="E951" s="218"/>
      <c r="F951" s="218"/>
      <c r="G951" s="218"/>
      <c r="H951" s="218"/>
      <c r="I951" s="218"/>
      <c r="J951" s="218"/>
      <c r="K951" s="220"/>
    </row>
    <row r="952" spans="2:11" ht="16" x14ac:dyDescent="0.2">
      <c r="B952" s="217"/>
      <c r="C952" s="221" t="s">
        <v>996</v>
      </c>
      <c r="D952" s="218"/>
      <c r="E952" s="218"/>
      <c r="F952" s="218"/>
      <c r="G952" s="218"/>
      <c r="H952" s="218"/>
      <c r="I952" s="218"/>
      <c r="J952" s="242" t="str">
        <f>IF(OR(J820="Not Calculated",J894="Not Calculated")=TRUE,"Not Calculated",J820/J894)</f>
        <v>Not Calculated</v>
      </c>
      <c r="K952" s="220"/>
    </row>
    <row r="953" spans="2:11" x14ac:dyDescent="0.2">
      <c r="B953" s="217"/>
      <c r="C953" s="218"/>
      <c r="D953" s="218" t="s">
        <v>817</v>
      </c>
      <c r="E953" s="218"/>
      <c r="F953" s="218"/>
      <c r="G953" s="218"/>
      <c r="H953" s="218"/>
      <c r="I953" s="218"/>
      <c r="J953" s="218"/>
      <c r="K953" s="220"/>
    </row>
    <row r="954" spans="2:11" x14ac:dyDescent="0.2">
      <c r="B954" s="217"/>
      <c r="C954" s="218"/>
      <c r="D954" s="218"/>
      <c r="E954" s="218"/>
      <c r="F954" s="218"/>
      <c r="G954" s="218"/>
      <c r="H954" s="218"/>
      <c r="I954" s="218"/>
      <c r="J954" s="218"/>
      <c r="K954" s="220"/>
    </row>
    <row r="955" spans="2:11" ht="16" x14ac:dyDescent="0.2">
      <c r="B955" s="217"/>
      <c r="C955" s="221" t="s">
        <v>997</v>
      </c>
      <c r="D955" s="218"/>
      <c r="E955" s="218"/>
      <c r="F955" s="218"/>
      <c r="G955" s="218"/>
      <c r="H955" s="218"/>
      <c r="I955" s="218"/>
      <c r="J955" s="242" t="str">
        <f>IF(OR(J936="Not Calculated",J823="Not Calculated")=TRUE,"Not Calculated",J823/J936)</f>
        <v>Not Calculated</v>
      </c>
      <c r="K955" s="220"/>
    </row>
    <row r="956" spans="2:11" x14ac:dyDescent="0.2">
      <c r="B956" s="217"/>
      <c r="C956" s="218"/>
      <c r="D956" s="218" t="s">
        <v>818</v>
      </c>
      <c r="E956" s="218"/>
      <c r="F956" s="218"/>
      <c r="G956" s="218"/>
      <c r="H956" s="218"/>
      <c r="I956" s="218"/>
      <c r="J956" s="218"/>
      <c r="K956" s="220"/>
    </row>
    <row r="957" spans="2:11" ht="16" thickBot="1" x14ac:dyDescent="0.25">
      <c r="B957" s="222"/>
      <c r="C957" s="223"/>
      <c r="D957" s="223"/>
      <c r="E957" s="223"/>
      <c r="F957" s="223"/>
      <c r="G957" s="223"/>
      <c r="H957" s="223"/>
      <c r="I957" s="223"/>
      <c r="J957" s="223"/>
      <c r="K957" s="224"/>
    </row>
    <row r="959" spans="2:11" ht="15" customHeight="1" x14ac:dyDescent="0.2">
      <c r="F959" s="405"/>
      <c r="G959" s="405"/>
      <c r="H959" s="405"/>
    </row>
    <row r="960" spans="2:11" x14ac:dyDescent="0.2">
      <c r="F960" s="405"/>
      <c r="G960" s="405"/>
      <c r="H960" s="405"/>
    </row>
    <row r="965" spans="1:3" ht="15" hidden="1" customHeight="1" x14ac:dyDescent="0.2">
      <c r="A965" s="12" t="s">
        <v>228</v>
      </c>
    </row>
    <row r="966" spans="1:3" ht="15" hidden="1" customHeight="1" x14ac:dyDescent="0.2">
      <c r="A966" s="12">
        <v>0</v>
      </c>
      <c r="B966" s="12" t="s">
        <v>250</v>
      </c>
      <c r="C966" s="12" t="s">
        <v>240</v>
      </c>
    </row>
    <row r="967" spans="1:3" ht="15" hidden="1" customHeight="1" x14ac:dyDescent="0.2">
      <c r="A967" s="12">
        <v>1</v>
      </c>
      <c r="B967" s="12" t="s">
        <v>251</v>
      </c>
      <c r="C967" s="12" t="s">
        <v>241</v>
      </c>
    </row>
    <row r="968" spans="1:3" ht="15" hidden="1" customHeight="1" x14ac:dyDescent="0.2">
      <c r="A968" s="12">
        <v>2</v>
      </c>
      <c r="B968" s="12" t="s">
        <v>252</v>
      </c>
      <c r="C968" s="12" t="s">
        <v>242</v>
      </c>
    </row>
    <row r="969" spans="1:3" ht="15" hidden="1" customHeight="1" x14ac:dyDescent="0.2">
      <c r="A969" s="12">
        <v>3</v>
      </c>
      <c r="B969" s="12" t="s">
        <v>253</v>
      </c>
      <c r="C969" s="12" t="s">
        <v>227</v>
      </c>
    </row>
    <row r="970" spans="1:3" ht="15" hidden="1" customHeight="1" x14ac:dyDescent="0.2">
      <c r="A970" s="12">
        <v>4</v>
      </c>
      <c r="B970" s="12" t="s">
        <v>254</v>
      </c>
      <c r="C970" s="12" t="s">
        <v>243</v>
      </c>
    </row>
    <row r="971" spans="1:3" ht="15" hidden="1" customHeight="1" x14ac:dyDescent="0.2"/>
    <row r="972" spans="1:3" ht="15" hidden="1" customHeight="1" x14ac:dyDescent="0.2">
      <c r="A972" s="12" t="s">
        <v>259</v>
      </c>
    </row>
    <row r="973" spans="1:3" ht="15" hidden="1" customHeight="1" x14ac:dyDescent="0.2">
      <c r="A973" s="12">
        <v>0</v>
      </c>
      <c r="B973" s="225" t="s">
        <v>870</v>
      </c>
    </row>
    <row r="974" spans="1:3" ht="15" hidden="1" customHeight="1" x14ac:dyDescent="0.2">
      <c r="A974" s="12">
        <v>1</v>
      </c>
      <c r="B974" s="12" t="s">
        <v>880</v>
      </c>
    </row>
    <row r="975" spans="1:3" ht="15" hidden="1" customHeight="1" x14ac:dyDescent="0.2">
      <c r="A975" s="12">
        <v>2</v>
      </c>
      <c r="B975" s="12" t="s">
        <v>872</v>
      </c>
    </row>
    <row r="976" spans="1:3" ht="15" hidden="1" customHeight="1" x14ac:dyDescent="0.2">
      <c r="A976" s="12">
        <v>3</v>
      </c>
      <c r="B976" s="12" t="s">
        <v>873</v>
      </c>
    </row>
    <row r="977" spans="1:2" ht="15" hidden="1" customHeight="1" x14ac:dyDescent="0.2">
      <c r="A977" s="12">
        <v>4</v>
      </c>
      <c r="B977" s="12" t="s">
        <v>874</v>
      </c>
    </row>
    <row r="978" spans="1:2" ht="15" hidden="1" customHeight="1" x14ac:dyDescent="0.2"/>
    <row r="979" spans="1:2" ht="15" hidden="1" customHeight="1" x14ac:dyDescent="0.2">
      <c r="A979" s="12" t="s">
        <v>294</v>
      </c>
    </row>
    <row r="980" spans="1:2" ht="15" hidden="1" customHeight="1" x14ac:dyDescent="0.2">
      <c r="A980" s="12">
        <v>0</v>
      </c>
      <c r="B980" s="225" t="s">
        <v>870</v>
      </c>
    </row>
    <row r="981" spans="1:2" ht="15" hidden="1" customHeight="1" x14ac:dyDescent="0.2">
      <c r="A981" s="12">
        <v>1</v>
      </c>
      <c r="B981" s="12" t="s">
        <v>875</v>
      </c>
    </row>
    <row r="982" spans="1:2" ht="15" hidden="1" customHeight="1" x14ac:dyDescent="0.2">
      <c r="A982" s="12">
        <v>2</v>
      </c>
      <c r="B982" s="12" t="s">
        <v>876</v>
      </c>
    </row>
    <row r="983" spans="1:2" ht="15" hidden="1" customHeight="1" x14ac:dyDescent="0.2">
      <c r="A983" s="12">
        <v>3</v>
      </c>
      <c r="B983" s="12" t="s">
        <v>877</v>
      </c>
    </row>
    <row r="984" spans="1:2" ht="15" hidden="1" customHeight="1" x14ac:dyDescent="0.2">
      <c r="A984" s="12">
        <v>4</v>
      </c>
      <c r="B984" s="12" t="s">
        <v>878</v>
      </c>
    </row>
    <row r="985" spans="1:2" ht="15" hidden="1" customHeight="1" x14ac:dyDescent="0.2"/>
    <row r="986" spans="1:2" ht="15" hidden="1" customHeight="1" x14ac:dyDescent="0.2">
      <c r="A986" s="12" t="s">
        <v>244</v>
      </c>
    </row>
    <row r="987" spans="1:2" ht="15" hidden="1" customHeight="1" x14ac:dyDescent="0.2">
      <c r="A987" s="12">
        <v>0</v>
      </c>
      <c r="B987" s="12" t="s">
        <v>245</v>
      </c>
    </row>
    <row r="988" spans="1:2" ht="15" hidden="1" customHeight="1" x14ac:dyDescent="0.2">
      <c r="A988" s="12">
        <v>1</v>
      </c>
      <c r="B988" s="12" t="s">
        <v>246</v>
      </c>
    </row>
    <row r="989" spans="1:2" ht="15" hidden="1" customHeight="1" x14ac:dyDescent="0.2">
      <c r="A989" s="12">
        <v>2</v>
      </c>
      <c r="B989" s="12" t="s">
        <v>247</v>
      </c>
    </row>
    <row r="990" spans="1:2" ht="15" hidden="1" customHeight="1" x14ac:dyDescent="0.2">
      <c r="A990" s="12">
        <v>3</v>
      </c>
      <c r="B990" s="12" t="s">
        <v>229</v>
      </c>
    </row>
    <row r="991" spans="1:2" ht="15" hidden="1" customHeight="1" x14ac:dyDescent="0.2">
      <c r="A991" s="12">
        <v>4</v>
      </c>
      <c r="B991" s="12" t="s">
        <v>248</v>
      </c>
    </row>
    <row r="992" spans="1:2" ht="15" hidden="1" customHeight="1" x14ac:dyDescent="0.2"/>
    <row r="993" spans="1:11" ht="15" hidden="1" customHeight="1" x14ac:dyDescent="0.2">
      <c r="A993" s="12" t="s">
        <v>381</v>
      </c>
    </row>
    <row r="994" spans="1:11" ht="15" hidden="1" customHeight="1" x14ac:dyDescent="0.2">
      <c r="A994" s="12">
        <v>0</v>
      </c>
      <c r="B994" s="12" t="s">
        <v>202</v>
      </c>
    </row>
    <row r="995" spans="1:11" ht="15" hidden="1" customHeight="1" x14ac:dyDescent="0.2">
      <c r="A995" s="12">
        <v>1</v>
      </c>
      <c r="B995" s="12" t="s">
        <v>190</v>
      </c>
    </row>
    <row r="996" spans="1:11" ht="15" hidden="1" customHeight="1" x14ac:dyDescent="0.2"/>
    <row r="997" spans="1:11" ht="15" hidden="1" customHeight="1" x14ac:dyDescent="0.2">
      <c r="A997" s="12" t="s">
        <v>249</v>
      </c>
    </row>
    <row r="998" spans="1:11" ht="15" hidden="1" customHeight="1" x14ac:dyDescent="0.2">
      <c r="A998" s="12">
        <v>0</v>
      </c>
      <c r="B998" s="12" t="s">
        <v>236</v>
      </c>
    </row>
    <row r="999" spans="1:11" ht="15" hidden="1" customHeight="1" x14ac:dyDescent="0.2">
      <c r="A999" s="12">
        <v>1</v>
      </c>
      <c r="B999" s="12" t="s">
        <v>237</v>
      </c>
    </row>
    <row r="1000" spans="1:11" ht="15" hidden="1" customHeight="1" x14ac:dyDescent="0.2">
      <c r="A1000" s="12">
        <v>2</v>
      </c>
      <c r="B1000" s="12" t="s">
        <v>235</v>
      </c>
    </row>
    <row r="1001" spans="1:11" ht="15" hidden="1" customHeight="1" x14ac:dyDescent="0.2">
      <c r="A1001" s="12">
        <v>3</v>
      </c>
      <c r="B1001" s="12" t="s">
        <v>238</v>
      </c>
    </row>
    <row r="1002" spans="1:11" ht="15" hidden="1" customHeight="1" x14ac:dyDescent="0.2">
      <c r="A1002" s="12">
        <v>4</v>
      </c>
      <c r="B1002" s="12" t="s">
        <v>234</v>
      </c>
    </row>
    <row r="1003" spans="1:11" ht="15" customHeight="1" x14ac:dyDescent="0.2">
      <c r="B1003" s="12" t="s">
        <v>685</v>
      </c>
    </row>
    <row r="1004" spans="1:11" ht="15" customHeight="1" x14ac:dyDescent="0.2">
      <c r="B1004" s="402"/>
      <c r="C1004" s="403"/>
      <c r="D1004" s="403"/>
      <c r="E1004" s="403"/>
      <c r="F1004" s="403"/>
      <c r="G1004" s="403"/>
      <c r="H1004" s="403"/>
      <c r="I1004" s="403"/>
      <c r="J1004" s="403"/>
      <c r="K1004" s="404"/>
    </row>
    <row r="1005" spans="1:11" ht="15" customHeight="1" x14ac:dyDescent="0.2">
      <c r="B1005" s="396"/>
      <c r="C1005" s="397"/>
      <c r="D1005" s="397"/>
      <c r="E1005" s="397"/>
      <c r="F1005" s="397"/>
      <c r="G1005" s="397"/>
      <c r="H1005" s="397"/>
      <c r="I1005" s="397"/>
      <c r="J1005" s="397"/>
      <c r="K1005" s="398"/>
    </row>
    <row r="1006" spans="1:11" ht="15" customHeight="1" x14ac:dyDescent="0.2">
      <c r="B1006" s="396"/>
      <c r="C1006" s="397"/>
      <c r="D1006" s="397"/>
      <c r="E1006" s="397"/>
      <c r="F1006" s="397"/>
      <c r="G1006" s="397"/>
      <c r="H1006" s="397"/>
      <c r="I1006" s="397"/>
      <c r="J1006" s="397"/>
      <c r="K1006" s="398"/>
    </row>
    <row r="1007" spans="1:11" ht="15" customHeight="1" x14ac:dyDescent="0.2">
      <c r="B1007" s="396"/>
      <c r="C1007" s="397"/>
      <c r="D1007" s="397"/>
      <c r="E1007" s="397"/>
      <c r="F1007" s="397"/>
      <c r="G1007" s="397"/>
      <c r="H1007" s="397"/>
      <c r="I1007" s="397"/>
      <c r="J1007" s="397"/>
      <c r="K1007" s="398"/>
    </row>
    <row r="1008" spans="1:11" ht="15" customHeight="1" x14ac:dyDescent="0.2">
      <c r="B1008" s="396"/>
      <c r="C1008" s="397"/>
      <c r="D1008" s="397"/>
      <c r="E1008" s="397"/>
      <c r="F1008" s="397"/>
      <c r="G1008" s="397"/>
      <c r="H1008" s="397"/>
      <c r="I1008" s="397"/>
      <c r="J1008" s="397"/>
      <c r="K1008" s="398"/>
    </row>
    <row r="1009" spans="2:11" ht="15" customHeight="1" x14ac:dyDescent="0.2">
      <c r="B1009" s="396"/>
      <c r="C1009" s="397"/>
      <c r="D1009" s="397"/>
      <c r="E1009" s="397"/>
      <c r="F1009" s="397"/>
      <c r="G1009" s="397"/>
      <c r="H1009" s="397"/>
      <c r="I1009" s="397"/>
      <c r="J1009" s="397"/>
      <c r="K1009" s="398"/>
    </row>
    <row r="1010" spans="2:11" x14ac:dyDescent="0.2">
      <c r="B1010" s="396"/>
      <c r="C1010" s="397"/>
      <c r="D1010" s="397"/>
      <c r="E1010" s="397"/>
      <c r="F1010" s="397"/>
      <c r="G1010" s="397"/>
      <c r="H1010" s="397"/>
      <c r="I1010" s="397"/>
      <c r="J1010" s="397"/>
      <c r="K1010" s="398"/>
    </row>
    <row r="1011" spans="2:11" ht="15" customHeight="1" x14ac:dyDescent="0.2">
      <c r="B1011" s="396"/>
      <c r="C1011" s="397"/>
      <c r="D1011" s="397"/>
      <c r="E1011" s="397"/>
      <c r="F1011" s="397"/>
      <c r="G1011" s="397"/>
      <c r="H1011" s="397"/>
      <c r="I1011" s="397"/>
      <c r="J1011" s="397"/>
      <c r="K1011" s="398"/>
    </row>
    <row r="1012" spans="2:11" ht="30" customHeight="1" x14ac:dyDescent="0.2">
      <c r="B1012" s="396"/>
      <c r="C1012" s="397"/>
      <c r="D1012" s="397"/>
      <c r="E1012" s="397"/>
      <c r="F1012" s="397"/>
      <c r="G1012" s="397"/>
      <c r="H1012" s="397"/>
      <c r="I1012" s="397"/>
      <c r="J1012" s="397"/>
      <c r="K1012" s="398"/>
    </row>
    <row r="1013" spans="2:11" ht="15" customHeight="1" x14ac:dyDescent="0.2">
      <c r="B1013" s="396"/>
      <c r="C1013" s="397"/>
      <c r="D1013" s="397"/>
      <c r="E1013" s="397"/>
      <c r="F1013" s="397"/>
      <c r="G1013" s="397"/>
      <c r="H1013" s="397"/>
      <c r="I1013" s="397"/>
      <c r="J1013" s="397"/>
      <c r="K1013" s="398"/>
    </row>
    <row r="1014" spans="2:11" ht="15" customHeight="1" x14ac:dyDescent="0.2">
      <c r="B1014" s="396"/>
      <c r="C1014" s="397"/>
      <c r="D1014" s="397"/>
      <c r="E1014" s="397"/>
      <c r="F1014" s="397"/>
      <c r="G1014" s="397"/>
      <c r="H1014" s="397"/>
      <c r="I1014" s="397"/>
      <c r="J1014" s="397"/>
      <c r="K1014" s="398"/>
    </row>
    <row r="1015" spans="2:11" ht="15" customHeight="1" x14ac:dyDescent="0.2">
      <c r="B1015" s="396"/>
      <c r="C1015" s="397"/>
      <c r="D1015" s="397"/>
      <c r="E1015" s="397"/>
      <c r="F1015" s="397"/>
      <c r="G1015" s="397"/>
      <c r="H1015" s="397"/>
      <c r="I1015" s="397"/>
      <c r="J1015" s="397"/>
      <c r="K1015" s="398"/>
    </row>
    <row r="1016" spans="2:11" x14ac:dyDescent="0.2">
      <c r="B1016" s="396"/>
      <c r="C1016" s="397"/>
      <c r="D1016" s="397"/>
      <c r="E1016" s="397"/>
      <c r="F1016" s="397"/>
      <c r="G1016" s="397"/>
      <c r="H1016" s="397"/>
      <c r="I1016" s="397"/>
      <c r="J1016" s="397"/>
      <c r="K1016" s="398"/>
    </row>
    <row r="1017" spans="2:11" ht="15" customHeight="1" x14ac:dyDescent="0.2">
      <c r="B1017" s="396"/>
      <c r="C1017" s="397"/>
      <c r="D1017" s="397"/>
      <c r="E1017" s="397"/>
      <c r="F1017" s="397"/>
      <c r="G1017" s="397"/>
      <c r="H1017" s="397"/>
      <c r="I1017" s="397"/>
      <c r="J1017" s="397"/>
      <c r="K1017" s="398"/>
    </row>
    <row r="1018" spans="2:11" ht="15" customHeight="1" x14ac:dyDescent="0.2">
      <c r="B1018" s="396"/>
      <c r="C1018" s="397"/>
      <c r="D1018" s="397"/>
      <c r="E1018" s="397"/>
      <c r="F1018" s="397"/>
      <c r="G1018" s="397"/>
      <c r="H1018" s="397"/>
      <c r="I1018" s="397"/>
      <c r="J1018" s="397"/>
      <c r="K1018" s="398"/>
    </row>
    <row r="1019" spans="2:11" ht="15" customHeight="1" x14ac:dyDescent="0.2">
      <c r="B1019" s="396"/>
      <c r="C1019" s="397"/>
      <c r="D1019" s="397"/>
      <c r="E1019" s="397"/>
      <c r="F1019" s="397"/>
      <c r="G1019" s="397"/>
      <c r="H1019" s="397"/>
      <c r="I1019" s="397"/>
      <c r="J1019" s="397"/>
      <c r="K1019" s="398"/>
    </row>
    <row r="1020" spans="2:11" ht="15" customHeight="1" x14ac:dyDescent="0.2">
      <c r="B1020" s="396"/>
      <c r="C1020" s="397"/>
      <c r="D1020" s="397"/>
      <c r="E1020" s="397"/>
      <c r="F1020" s="397"/>
      <c r="G1020" s="397"/>
      <c r="H1020" s="397"/>
      <c r="I1020" s="397"/>
      <c r="J1020" s="397"/>
      <c r="K1020" s="398"/>
    </row>
    <row r="1021" spans="2:11" ht="15" customHeight="1" x14ac:dyDescent="0.2">
      <c r="B1021" s="396"/>
      <c r="C1021" s="397"/>
      <c r="D1021" s="397"/>
      <c r="E1021" s="397"/>
      <c r="F1021" s="397"/>
      <c r="G1021" s="397"/>
      <c r="H1021" s="397"/>
      <c r="I1021" s="397"/>
      <c r="J1021" s="397"/>
      <c r="K1021" s="398"/>
    </row>
    <row r="1022" spans="2:11" ht="15" customHeight="1" x14ac:dyDescent="0.2">
      <c r="B1022" s="396"/>
      <c r="C1022" s="397"/>
      <c r="D1022" s="397"/>
      <c r="E1022" s="397"/>
      <c r="F1022" s="397"/>
      <c r="G1022" s="397"/>
      <c r="H1022" s="397"/>
      <c r="I1022" s="397"/>
      <c r="J1022" s="397"/>
      <c r="K1022" s="398"/>
    </row>
    <row r="1023" spans="2:11" ht="15" customHeight="1" x14ac:dyDescent="0.2">
      <c r="B1023" s="396"/>
      <c r="C1023" s="397"/>
      <c r="D1023" s="397"/>
      <c r="E1023" s="397"/>
      <c r="F1023" s="397"/>
      <c r="G1023" s="397"/>
      <c r="H1023" s="397"/>
      <c r="I1023" s="397"/>
      <c r="J1023" s="397"/>
      <c r="K1023" s="398"/>
    </row>
    <row r="1024" spans="2:11" ht="15" customHeight="1" x14ac:dyDescent="0.2">
      <c r="B1024" s="396"/>
      <c r="C1024" s="397"/>
      <c r="D1024" s="397"/>
      <c r="E1024" s="397"/>
      <c r="F1024" s="397"/>
      <c r="G1024" s="397"/>
      <c r="H1024" s="397"/>
      <c r="I1024" s="397"/>
      <c r="J1024" s="397"/>
      <c r="K1024" s="398"/>
    </row>
    <row r="1025" spans="2:11" ht="15" customHeight="1" x14ac:dyDescent="0.2">
      <c r="B1025" s="396"/>
      <c r="C1025" s="397"/>
      <c r="D1025" s="397"/>
      <c r="E1025" s="397"/>
      <c r="F1025" s="397"/>
      <c r="G1025" s="397"/>
      <c r="H1025" s="397"/>
      <c r="I1025" s="397"/>
      <c r="J1025" s="397"/>
      <c r="K1025" s="398"/>
    </row>
    <row r="1026" spans="2:11" ht="15" customHeight="1" x14ac:dyDescent="0.2">
      <c r="B1026" s="396"/>
      <c r="C1026" s="397"/>
      <c r="D1026" s="397"/>
      <c r="E1026" s="397"/>
      <c r="F1026" s="397"/>
      <c r="G1026" s="397"/>
      <c r="H1026" s="397"/>
      <c r="I1026" s="397"/>
      <c r="J1026" s="397"/>
      <c r="K1026" s="398"/>
    </row>
    <row r="1027" spans="2:11" ht="15" customHeight="1" x14ac:dyDescent="0.2">
      <c r="B1027" s="396"/>
      <c r="C1027" s="397"/>
      <c r="D1027" s="397"/>
      <c r="E1027" s="397"/>
      <c r="F1027" s="397"/>
      <c r="G1027" s="397"/>
      <c r="H1027" s="397"/>
      <c r="I1027" s="397"/>
      <c r="J1027" s="397"/>
      <c r="K1027" s="398"/>
    </row>
    <row r="1028" spans="2:11" ht="15" customHeight="1" x14ac:dyDescent="0.2">
      <c r="B1028" s="396"/>
      <c r="C1028" s="397"/>
      <c r="D1028" s="397"/>
      <c r="E1028" s="397"/>
      <c r="F1028" s="397"/>
      <c r="G1028" s="397"/>
      <c r="H1028" s="397"/>
      <c r="I1028" s="397"/>
      <c r="J1028" s="397"/>
      <c r="K1028" s="398"/>
    </row>
    <row r="1029" spans="2:11" ht="15" customHeight="1" x14ac:dyDescent="0.2">
      <c r="B1029" s="393"/>
      <c r="C1029" s="394"/>
      <c r="D1029" s="394"/>
      <c r="E1029" s="394"/>
      <c r="F1029" s="394"/>
      <c r="G1029" s="394"/>
      <c r="H1029" s="394"/>
      <c r="I1029" s="394"/>
      <c r="J1029" s="394"/>
      <c r="K1029" s="395"/>
    </row>
  </sheetData>
  <sheetProtection password="C7B0" sheet="1" objects="1" scenarios="1" formatCells="0" formatColumns="0" formatRows="0" selectLockedCells="1"/>
  <mergeCells count="152">
    <mergeCell ref="B1028:K1028"/>
    <mergeCell ref="B1029:K1029"/>
    <mergeCell ref="G3:I3"/>
    <mergeCell ref="B1022:K1022"/>
    <mergeCell ref="B1023:K1023"/>
    <mergeCell ref="B1024:K1024"/>
    <mergeCell ref="B1025:K1025"/>
    <mergeCell ref="B1026:K1026"/>
    <mergeCell ref="B1027:K1027"/>
    <mergeCell ref="B1016:K1016"/>
    <mergeCell ref="B1017:K1017"/>
    <mergeCell ref="B1018:K1018"/>
    <mergeCell ref="B1019:K1019"/>
    <mergeCell ref="B1020:K1020"/>
    <mergeCell ref="B1021:K1021"/>
    <mergeCell ref="B1010:K1010"/>
    <mergeCell ref="B1011:K1011"/>
    <mergeCell ref="B1012:K1012"/>
    <mergeCell ref="B1013:K1013"/>
    <mergeCell ref="B1014:K1014"/>
    <mergeCell ref="B1015:K1015"/>
    <mergeCell ref="B1004:K1004"/>
    <mergeCell ref="B1005:K1005"/>
    <mergeCell ref="B1006:K1006"/>
    <mergeCell ref="B1007:K1007"/>
    <mergeCell ref="B1008:K1008"/>
    <mergeCell ref="B1009:K1009"/>
    <mergeCell ref="G916:H916"/>
    <mergeCell ref="G920:H920"/>
    <mergeCell ref="G924:H924"/>
    <mergeCell ref="G928:H928"/>
    <mergeCell ref="G932:H932"/>
    <mergeCell ref="F959:H960"/>
    <mergeCell ref="G886:H886"/>
    <mergeCell ref="G890:H890"/>
    <mergeCell ref="C900:J901"/>
    <mergeCell ref="G904:H904"/>
    <mergeCell ref="G908:H908"/>
    <mergeCell ref="G912:H912"/>
    <mergeCell ref="G862:H862"/>
    <mergeCell ref="G866:H866"/>
    <mergeCell ref="G870:H870"/>
    <mergeCell ref="G874:H874"/>
    <mergeCell ref="G878:H878"/>
    <mergeCell ref="G882:H882"/>
    <mergeCell ref="G838:H838"/>
    <mergeCell ref="G842:H842"/>
    <mergeCell ref="G846:H846"/>
    <mergeCell ref="G850:H850"/>
    <mergeCell ref="G854:H854"/>
    <mergeCell ref="G858:H858"/>
    <mergeCell ref="G767:H767"/>
    <mergeCell ref="G768:H768"/>
    <mergeCell ref="G769:H769"/>
    <mergeCell ref="G770:H770"/>
    <mergeCell ref="C830:J831"/>
    <mergeCell ref="G834:H834"/>
    <mergeCell ref="C759:J761"/>
    <mergeCell ref="G762:H762"/>
    <mergeCell ref="G763:H763"/>
    <mergeCell ref="G764:H764"/>
    <mergeCell ref="G765:H765"/>
    <mergeCell ref="G766:H766"/>
    <mergeCell ref="G750:H750"/>
    <mergeCell ref="G751:H751"/>
    <mergeCell ref="G752:H752"/>
    <mergeCell ref="G753:H753"/>
    <mergeCell ref="G754:H754"/>
    <mergeCell ref="G755:H755"/>
    <mergeCell ref="G739:H739"/>
    <mergeCell ref="G740:H740"/>
    <mergeCell ref="C744:J746"/>
    <mergeCell ref="G747:H747"/>
    <mergeCell ref="G748:H748"/>
    <mergeCell ref="G749:H749"/>
    <mergeCell ref="G733:H733"/>
    <mergeCell ref="G734:H734"/>
    <mergeCell ref="G735:H735"/>
    <mergeCell ref="G736:H736"/>
    <mergeCell ref="G737:H737"/>
    <mergeCell ref="G738:H738"/>
    <mergeCell ref="G722:H722"/>
    <mergeCell ref="G723:H723"/>
    <mergeCell ref="G724:H724"/>
    <mergeCell ref="G725:H725"/>
    <mergeCell ref="C729:J731"/>
    <mergeCell ref="G732:H732"/>
    <mergeCell ref="C714:J716"/>
    <mergeCell ref="G717:H717"/>
    <mergeCell ref="G718:H718"/>
    <mergeCell ref="G719:H719"/>
    <mergeCell ref="G720:H720"/>
    <mergeCell ref="G721:H721"/>
    <mergeCell ref="C633:J633"/>
    <mergeCell ref="C639:I640"/>
    <mergeCell ref="C641:I643"/>
    <mergeCell ref="C655:J655"/>
    <mergeCell ref="D664:I665"/>
    <mergeCell ref="C677:J677"/>
    <mergeCell ref="C566:I568"/>
    <mergeCell ref="C569:I571"/>
    <mergeCell ref="C583:J583"/>
    <mergeCell ref="C599:J599"/>
    <mergeCell ref="C613:J613"/>
    <mergeCell ref="C620:I621"/>
    <mergeCell ref="C486:J486"/>
    <mergeCell ref="C502:J502"/>
    <mergeCell ref="C518:J518"/>
    <mergeCell ref="C524:I525"/>
    <mergeCell ref="C535:J535"/>
    <mergeCell ref="C560:J560"/>
    <mergeCell ref="C420:I421"/>
    <mergeCell ref="C438:J438"/>
    <mergeCell ref="C444:I445"/>
    <mergeCell ref="C455:J455"/>
    <mergeCell ref="C471:J471"/>
    <mergeCell ref="C477:I478"/>
    <mergeCell ref="C365:J365"/>
    <mergeCell ref="C371:I372"/>
    <mergeCell ref="C385:J385"/>
    <mergeCell ref="C391:I392"/>
    <mergeCell ref="C402:J402"/>
    <mergeCell ref="C416:J416"/>
    <mergeCell ref="C311:I312"/>
    <mergeCell ref="C324:J324"/>
    <mergeCell ref="C330:I331"/>
    <mergeCell ref="C340:I341"/>
    <mergeCell ref="D343:I344"/>
    <mergeCell ref="C347:J347"/>
    <mergeCell ref="C216:J216"/>
    <mergeCell ref="C237:J237"/>
    <mergeCell ref="C257:J257"/>
    <mergeCell ref="C286:J286"/>
    <mergeCell ref="C292:I293"/>
    <mergeCell ref="C305:J305"/>
    <mergeCell ref="C120:J122"/>
    <mergeCell ref="C123:J124"/>
    <mergeCell ref="C129:J129"/>
    <mergeCell ref="C155:J155"/>
    <mergeCell ref="C176:J176"/>
    <mergeCell ref="C196:J196"/>
    <mergeCell ref="E15:J15"/>
    <mergeCell ref="C38:J38"/>
    <mergeCell ref="C57:J57"/>
    <mergeCell ref="C76:J76"/>
    <mergeCell ref="C95:J95"/>
    <mergeCell ref="C114:J114"/>
    <mergeCell ref="B6:K6"/>
    <mergeCell ref="B7:K7"/>
    <mergeCell ref="B8:K8"/>
    <mergeCell ref="B9:K9"/>
    <mergeCell ref="B10:K10"/>
  </mergeCells>
  <dataValidations count="23">
    <dataValidation type="list" allowBlank="1" showInputMessage="1" showErrorMessage="1" sqref="J672" xr:uid="{00000000-0002-0000-1D00-000000000000}">
      <formula1>$N$671:$N$676</formula1>
    </dataValidation>
    <dataValidation type="list" allowBlank="1" showInputMessage="1" showErrorMessage="1" sqref="J650" xr:uid="{00000000-0002-0000-1D00-000001000000}">
      <formula1>$N$649:$N$654</formula1>
    </dataValidation>
    <dataValidation type="list" allowBlank="1" showInputMessage="1" showErrorMessage="1" sqref="J628" xr:uid="{00000000-0002-0000-1D00-000002000000}">
      <formula1>$N$627:$N$632</formula1>
    </dataValidation>
    <dataValidation type="list" allowBlank="1" showInputMessage="1" showErrorMessage="1" sqref="J578" xr:uid="{00000000-0002-0000-1D00-000003000000}">
      <formula1>$N$577:$N$582</formula1>
    </dataValidation>
    <dataValidation type="list" allowBlank="1" showInputMessage="1" showErrorMessage="1" sqref="J555" xr:uid="{00000000-0002-0000-1D00-000004000000}">
      <formula1>$N$554:$N$559</formula1>
    </dataValidation>
    <dataValidation type="list" allowBlank="1" showInputMessage="1" showErrorMessage="1" sqref="J281" xr:uid="{00000000-0002-0000-1D00-000005000000}">
      <formula1>$N$280:$N$285</formula1>
    </dataValidation>
    <dataValidation type="list" allowBlank="1" showInputMessage="1" showErrorMessage="1" sqref="J252" xr:uid="{00000000-0002-0000-1D00-000006000000}">
      <formula1>$N$251:$N$256</formula1>
    </dataValidation>
    <dataValidation type="list" allowBlank="1" showInputMessage="1" showErrorMessage="1" sqref="J232" xr:uid="{00000000-0002-0000-1D00-000007000000}">
      <formula1>$N$231:$N$236</formula1>
    </dataValidation>
    <dataValidation type="list" allowBlank="1" showInputMessage="1" showErrorMessage="1" sqref="J211" xr:uid="{00000000-0002-0000-1D00-000008000000}">
      <formula1>$N$210:$N$215</formula1>
    </dataValidation>
    <dataValidation type="list" allowBlank="1" showInputMessage="1" showErrorMessage="1" sqref="J191" xr:uid="{00000000-0002-0000-1D00-000009000000}">
      <formula1>$N$190:$N$195</formula1>
    </dataValidation>
    <dataValidation type="list" allowBlank="1" showInputMessage="1" showErrorMessage="1" sqref="J171" xr:uid="{00000000-0002-0000-1D00-00000A000000}">
      <formula1>$N$170:$N$175</formula1>
    </dataValidation>
    <dataValidation type="list" allowBlank="1" showInputMessage="1" showErrorMessage="1" sqref="J150" xr:uid="{00000000-0002-0000-1D00-00000B000000}">
      <formula1>$N$149:$N$154</formula1>
    </dataValidation>
    <dataValidation type="list" allowBlank="1" showInputMessage="1" showErrorMessage="1" sqref="J109" xr:uid="{00000000-0002-0000-1D00-00000C000000}">
      <formula1>$N$108:$N$113</formula1>
    </dataValidation>
    <dataValidation type="list" allowBlank="1" showInputMessage="1" showErrorMessage="1" sqref="J90" xr:uid="{00000000-0002-0000-1D00-00000D000000}">
      <formula1>$N$89:$N$94</formula1>
    </dataValidation>
    <dataValidation type="list" allowBlank="1" showInputMessage="1" showErrorMessage="1" sqref="J71" xr:uid="{00000000-0002-0000-1D00-00000E000000}">
      <formula1>$N$70:$N$75</formula1>
    </dataValidation>
    <dataValidation type="list" allowBlank="1" showInputMessage="1" showErrorMessage="1" sqref="J52" xr:uid="{00000000-0002-0000-1D00-00000F000000}">
      <formula1>$N$51:$N$56</formula1>
    </dataValidation>
    <dataValidation type="list" allowBlank="1" showInputMessage="1" showErrorMessage="1" sqref="J33" xr:uid="{00000000-0002-0000-1D00-000010000000}">
      <formula1>$N$32:$N$37</formula1>
    </dataValidation>
    <dataValidation type="list" allowBlank="1" showInputMessage="1" showErrorMessage="1" sqref="J35 J213 J283 J652 J234 J54 J193 J173 J152 J126 J111 J92 J73 J254 J435 J452 J468 J499 J515 J532 J557 J580 J596 J674 J630" xr:uid="{00000000-0002-0000-1D00-000011000000}">
      <formula1>$B$973:$B$977</formula1>
    </dataValidation>
    <dataValidation type="list" allowBlank="1" showInputMessage="1" showErrorMessage="1" sqref="C123:J124" xr:uid="{00000000-0002-0000-1D00-000012000000}">
      <formula1>$B$987:$B$991</formula1>
    </dataValidation>
    <dataValidation type="list" allowBlank="1" showInputMessage="1" showErrorMessage="1" sqref="J302 J362" xr:uid="{00000000-0002-0000-1D00-000013000000}">
      <formula1>$B$980:$B$984</formula1>
    </dataValidation>
    <dataValidation type="list" allowBlank="1" showInputMessage="1" showErrorMessage="1" sqref="G717:H725 G762:H770 G732:H740 G747:H755" xr:uid="{00000000-0002-0000-1D00-000014000000}">
      <formula1>$B$994:$B$995</formula1>
    </dataValidation>
    <dataValidation type="list" allowBlank="1" showInputMessage="1" showErrorMessage="1" sqref="G834:H834 G890:H890 G886:H886 G882:H882 G878:H878 G874:H874 G870:H870 G866:H866 G862:H862 G858:H858 G854:H854 G850:H850 G846:H846 G842:H842 G838:H838 G904:H904 G932:H932 G928:H928 G924:H924 G920:H920 G916:H916 G912:H912 G908:H908" xr:uid="{00000000-0002-0000-1D00-000015000000}">
      <formula1>$B$998:$B$1002</formula1>
    </dataValidation>
    <dataValidation type="list" allowBlank="1" showInputMessage="1" showErrorMessage="1" sqref="E15:J15" xr:uid="{00000000-0002-0000-1D00-000016000000}">
      <formula1>$C$966:$C$970</formula1>
    </dataValidation>
  </dataValidations>
  <pageMargins left="0.7" right="0.7" top="0.75" bottom="0.75" header="0.3" footer="0.3"/>
  <pageSetup scale="70"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68"/>
  <dimension ref="A1:N1029"/>
  <sheetViews>
    <sheetView showGridLines="0" showRowColHeaders="0" zoomScale="85" zoomScaleNormal="85" workbookViewId="0">
      <selection activeCell="G3" sqref="G3:I3"/>
    </sheetView>
  </sheetViews>
  <sheetFormatPr baseColWidth="10" defaultColWidth="9.1640625" defaultRowHeight="15" x14ac:dyDescent="0.2"/>
  <cols>
    <col min="1" max="1" width="9.1640625" style="12"/>
    <col min="2" max="3" width="9.1640625" style="12" customWidth="1"/>
    <col min="4" max="4" width="9.1640625" style="12"/>
    <col min="5" max="5" width="9.1640625" style="12" customWidth="1"/>
    <col min="6" max="9" width="9.1640625" style="12"/>
    <col min="10" max="10" width="25.6640625" style="12" customWidth="1"/>
    <col min="11" max="12" width="9.1640625" style="12"/>
    <col min="13" max="13" width="9.1640625" style="12" customWidth="1"/>
    <col min="14" max="14" width="9.1640625" style="12" hidden="1" customWidth="1"/>
    <col min="15" max="16384" width="9.1640625" style="12"/>
  </cols>
  <sheetData>
    <row r="1" spans="2:13" x14ac:dyDescent="0.2">
      <c r="I1" s="29"/>
    </row>
    <row r="2" spans="2:13" ht="33" x14ac:dyDescent="0.2">
      <c r="G2" s="16" t="s">
        <v>1038</v>
      </c>
      <c r="I2" s="29"/>
    </row>
    <row r="3" spans="2:13" ht="23" x14ac:dyDescent="0.25">
      <c r="F3" s="306" t="s">
        <v>1042</v>
      </c>
      <c r="G3" s="479"/>
      <c r="H3" s="480"/>
      <c r="I3" s="481"/>
      <c r="L3" s="157"/>
      <c r="M3" s="157"/>
    </row>
    <row r="4" spans="2:13" x14ac:dyDescent="0.2">
      <c r="G4" s="98"/>
      <c r="I4" s="29"/>
      <c r="L4" s="158"/>
      <c r="M4" s="157"/>
    </row>
    <row r="5" spans="2:13" x14ac:dyDescent="0.2">
      <c r="B5" s="12" t="s">
        <v>1043</v>
      </c>
      <c r="G5" s="98"/>
      <c r="I5" s="29"/>
      <c r="L5" s="158"/>
      <c r="M5" s="157"/>
    </row>
    <row r="6" spans="2:13" ht="121.5" customHeight="1" x14ac:dyDescent="0.2">
      <c r="B6" s="476"/>
      <c r="C6" s="477"/>
      <c r="D6" s="477"/>
      <c r="E6" s="477"/>
      <c r="F6" s="477"/>
      <c r="G6" s="477"/>
      <c r="H6" s="477"/>
      <c r="I6" s="477"/>
      <c r="J6" s="477"/>
      <c r="K6" s="478"/>
      <c r="L6" s="158"/>
      <c r="M6" s="157"/>
    </row>
    <row r="7" spans="2:13" x14ac:dyDescent="0.2">
      <c r="B7" s="426"/>
      <c r="C7" s="426"/>
      <c r="D7" s="426"/>
      <c r="E7" s="426"/>
      <c r="F7" s="426"/>
      <c r="G7" s="426"/>
      <c r="H7" s="426"/>
      <c r="I7" s="426"/>
      <c r="J7" s="426"/>
      <c r="K7" s="426"/>
      <c r="L7" s="158"/>
    </row>
    <row r="8" spans="2:13" ht="75" customHeight="1" x14ac:dyDescent="0.2">
      <c r="B8" s="425" t="s">
        <v>664</v>
      </c>
      <c r="C8" s="341"/>
      <c r="D8" s="341"/>
      <c r="E8" s="341"/>
      <c r="F8" s="341"/>
      <c r="G8" s="341"/>
      <c r="H8" s="341"/>
      <c r="I8" s="341"/>
      <c r="J8" s="341"/>
      <c r="K8" s="341"/>
    </row>
    <row r="9" spans="2:13" ht="30" customHeight="1" x14ac:dyDescent="0.2">
      <c r="B9" s="445" t="s">
        <v>665</v>
      </c>
      <c r="C9" s="446"/>
      <c r="D9" s="446"/>
      <c r="E9" s="446"/>
      <c r="F9" s="446"/>
      <c r="G9" s="446"/>
      <c r="H9" s="446"/>
      <c r="I9" s="446"/>
      <c r="J9" s="446"/>
      <c r="K9" s="446"/>
    </row>
    <row r="10" spans="2:13" ht="121.5" customHeight="1" x14ac:dyDescent="0.2">
      <c r="B10" s="447"/>
      <c r="C10" s="448"/>
      <c r="D10" s="448"/>
      <c r="E10" s="448"/>
      <c r="F10" s="448"/>
      <c r="G10" s="448"/>
      <c r="H10" s="448"/>
      <c r="I10" s="448"/>
      <c r="J10" s="448"/>
      <c r="K10" s="449"/>
    </row>
    <row r="11" spans="2:13" ht="16" thickBot="1" x14ac:dyDescent="0.25"/>
    <row r="12" spans="2:13" x14ac:dyDescent="0.2">
      <c r="B12" s="159"/>
      <c r="C12" s="160"/>
      <c r="D12" s="160"/>
      <c r="E12" s="160"/>
      <c r="F12" s="160"/>
      <c r="G12" s="160"/>
      <c r="H12" s="160"/>
      <c r="I12" s="160"/>
      <c r="J12" s="160"/>
      <c r="K12" s="161"/>
    </row>
    <row r="13" spans="2:13" ht="21" x14ac:dyDescent="0.25">
      <c r="B13" s="162"/>
      <c r="C13" s="163"/>
      <c r="D13" s="163"/>
      <c r="E13" s="163"/>
      <c r="F13" s="163"/>
      <c r="G13" s="164" t="s">
        <v>226</v>
      </c>
      <c r="H13" s="163"/>
      <c r="I13" s="163"/>
      <c r="J13" s="163"/>
      <c r="K13" s="165"/>
    </row>
    <row r="14" spans="2:13" ht="21" x14ac:dyDescent="0.25">
      <c r="B14" s="162"/>
      <c r="C14" s="163"/>
      <c r="D14" s="163"/>
      <c r="E14" s="163"/>
      <c r="F14" s="163"/>
      <c r="G14" s="164"/>
      <c r="H14" s="163"/>
      <c r="I14" s="163"/>
      <c r="J14" s="163"/>
      <c r="K14" s="165"/>
    </row>
    <row r="15" spans="2:13" ht="26.25" customHeight="1" x14ac:dyDescent="0.2">
      <c r="B15" s="162"/>
      <c r="C15" s="163" t="s">
        <v>255</v>
      </c>
      <c r="D15" s="163"/>
      <c r="E15" s="412"/>
      <c r="F15" s="437"/>
      <c r="G15" s="437"/>
      <c r="H15" s="437"/>
      <c r="I15" s="437"/>
      <c r="J15" s="438"/>
      <c r="K15" s="165"/>
    </row>
    <row r="16" spans="2:13" x14ac:dyDescent="0.2">
      <c r="B16" s="162"/>
      <c r="C16" s="163"/>
      <c r="D16" s="163"/>
      <c r="E16" s="163"/>
      <c r="F16" s="163"/>
      <c r="G16" s="163"/>
      <c r="H16" s="163"/>
      <c r="I16" s="163"/>
      <c r="J16" s="163"/>
      <c r="K16" s="165"/>
    </row>
    <row r="17" spans="2:14" x14ac:dyDescent="0.2">
      <c r="B17" s="162"/>
      <c r="C17" s="166" t="s">
        <v>256</v>
      </c>
      <c r="D17" s="163"/>
      <c r="E17" s="167" t="str">
        <f>IF(E15=$C$966,$A$966,IF(E15=$C$967,$A$967,IF(E15=$C$968,$A$968,IF(E15=$C$969,$A$969,IF(E15=$C$970,$A$970,"Not Calculated")))))</f>
        <v>Not Calculated</v>
      </c>
      <c r="F17" s="163"/>
      <c r="G17" s="163"/>
      <c r="H17" s="163"/>
      <c r="I17" s="163"/>
      <c r="J17" s="163"/>
      <c r="K17" s="165"/>
    </row>
    <row r="18" spans="2:14" x14ac:dyDescent="0.2">
      <c r="B18" s="162"/>
      <c r="C18" s="163"/>
      <c r="D18" s="163"/>
      <c r="E18" s="167" t="str">
        <f>IF(E15=$C$966,$B$966,IF(E15=$C$967,$B$967,IF(E15=$C$968,$B$968,IF(E15=$C$969,$B$969,IF(E15=$C$970,$B$970,"Not Calculated")))))</f>
        <v>Not Calculated</v>
      </c>
      <c r="F18" s="163"/>
      <c r="G18" s="163"/>
      <c r="H18" s="163"/>
      <c r="I18" s="163"/>
      <c r="J18" s="163"/>
      <c r="K18" s="165"/>
    </row>
    <row r="19" spans="2:14" ht="16" thickBot="1" x14ac:dyDescent="0.25">
      <c r="B19" s="168"/>
      <c r="C19" s="169"/>
      <c r="D19" s="169"/>
      <c r="E19" s="169"/>
      <c r="F19" s="169"/>
      <c r="G19" s="169"/>
      <c r="H19" s="169"/>
      <c r="I19" s="169"/>
      <c r="J19" s="169"/>
      <c r="K19" s="170"/>
    </row>
    <row r="20" spans="2:14" ht="16" thickBot="1" x14ac:dyDescent="0.25"/>
    <row r="21" spans="2:14" x14ac:dyDescent="0.2">
      <c r="B21" s="33"/>
      <c r="C21" s="34"/>
      <c r="D21" s="34"/>
      <c r="E21" s="34"/>
      <c r="F21" s="34"/>
      <c r="G21" s="34"/>
      <c r="H21" s="34"/>
      <c r="I21" s="34"/>
      <c r="J21" s="34"/>
      <c r="K21" s="37"/>
    </row>
    <row r="22" spans="2:14" ht="21" x14ac:dyDescent="0.25">
      <c r="B22" s="38"/>
      <c r="C22" s="171"/>
      <c r="D22" s="40"/>
      <c r="E22" s="40"/>
      <c r="F22" s="40"/>
      <c r="G22" s="172" t="s">
        <v>26</v>
      </c>
      <c r="H22" s="40"/>
      <c r="I22" s="40"/>
      <c r="J22" s="40"/>
      <c r="K22" s="41"/>
    </row>
    <row r="23" spans="2:14" x14ac:dyDescent="0.2">
      <c r="B23" s="38"/>
      <c r="C23" s="40"/>
      <c r="D23" s="40"/>
      <c r="E23" s="40"/>
      <c r="F23" s="40"/>
      <c r="G23" s="40"/>
      <c r="H23" s="40"/>
      <c r="I23" s="40"/>
      <c r="J23" s="40"/>
      <c r="K23" s="41"/>
    </row>
    <row r="24" spans="2:14" ht="16" x14ac:dyDescent="0.2">
      <c r="B24" s="38"/>
      <c r="C24" s="45" t="s">
        <v>61</v>
      </c>
      <c r="D24" s="40"/>
      <c r="E24" s="40"/>
      <c r="F24" s="40"/>
      <c r="G24" s="40"/>
      <c r="H24" s="40"/>
      <c r="I24" s="40"/>
      <c r="J24" s="40"/>
      <c r="K24" s="41"/>
    </row>
    <row r="25" spans="2:14" x14ac:dyDescent="0.2">
      <c r="B25" s="38"/>
      <c r="C25" s="40" t="s">
        <v>434</v>
      </c>
      <c r="D25" s="40"/>
      <c r="E25" s="40"/>
      <c r="F25" s="40"/>
      <c r="G25" s="40"/>
      <c r="H25" s="40"/>
      <c r="I25" s="40"/>
      <c r="J25" s="252">
        <f>'Baseline Health'!G11</f>
        <v>0</v>
      </c>
      <c r="K25" s="41"/>
    </row>
    <row r="26" spans="2:14" x14ac:dyDescent="0.2">
      <c r="B26" s="38"/>
      <c r="C26" s="40" t="s">
        <v>288</v>
      </c>
      <c r="D26" s="40"/>
      <c r="E26" s="40"/>
      <c r="F26" s="40"/>
      <c r="G26" s="40"/>
      <c r="H26" s="40"/>
      <c r="I26" s="40"/>
      <c r="J26" s="264"/>
      <c r="K26" s="41"/>
    </row>
    <row r="27" spans="2:14" x14ac:dyDescent="0.2">
      <c r="B27" s="38"/>
      <c r="C27" s="40" t="s">
        <v>260</v>
      </c>
      <c r="D27" s="40"/>
      <c r="E27" s="40"/>
      <c r="F27" s="40"/>
      <c r="G27" s="40"/>
      <c r="H27" s="40"/>
      <c r="I27" s="40"/>
      <c r="J27" s="248" t="str">
        <f>IF(OR(J25=0,J25="Not Calculated")=TRUE,"Not Calculated",(IF(((J26+J25)/J25)&lt;=1,0,IF(((J26+J25)/J25)&lt;=1.05,1,IF(((J26+J25)/J25)&lt;=1.5, 2,IF(((J26+J25)/J25)&lt;=2,3,4))))))</f>
        <v>Not Calculated</v>
      </c>
      <c r="K27" s="41"/>
    </row>
    <row r="28" spans="2:14" ht="9.75" customHeight="1" x14ac:dyDescent="0.2">
      <c r="B28" s="38"/>
      <c r="C28" s="279" t="str">
        <f>"0:"</f>
        <v>0:</v>
      </c>
      <c r="D28" s="281" t="s">
        <v>918</v>
      </c>
      <c r="E28" s="40"/>
      <c r="F28" s="40"/>
      <c r="G28" s="40"/>
      <c r="H28" s="40"/>
      <c r="I28" s="40"/>
      <c r="J28" s="40"/>
      <c r="K28" s="41"/>
    </row>
    <row r="29" spans="2:14" ht="9.75" customHeight="1" x14ac:dyDescent="0.2">
      <c r="B29" s="38"/>
      <c r="C29" s="280" t="str">
        <f>"1:"</f>
        <v>1:</v>
      </c>
      <c r="D29" s="281" t="s">
        <v>919</v>
      </c>
      <c r="E29" s="40"/>
      <c r="F29" s="40"/>
      <c r="G29" s="40"/>
      <c r="H29" s="40"/>
      <c r="I29" s="40"/>
      <c r="J29" s="40"/>
      <c r="K29" s="41"/>
    </row>
    <row r="30" spans="2:14" ht="9.75" customHeight="1" x14ac:dyDescent="0.2">
      <c r="B30" s="38"/>
      <c r="C30" s="280" t="str">
        <f>"2:"</f>
        <v>2:</v>
      </c>
      <c r="D30" s="281" t="s">
        <v>920</v>
      </c>
      <c r="E30" s="40"/>
      <c r="F30" s="40"/>
      <c r="G30" s="40"/>
      <c r="H30" s="40"/>
      <c r="I30" s="40"/>
      <c r="J30" s="40"/>
      <c r="K30" s="41"/>
    </row>
    <row r="31" spans="2:14" ht="9.75" customHeight="1" x14ac:dyDescent="0.2">
      <c r="B31" s="38"/>
      <c r="C31" s="280" t="str">
        <f>"3:"</f>
        <v>3:</v>
      </c>
      <c r="D31" s="281" t="s">
        <v>921</v>
      </c>
      <c r="E31" s="40"/>
      <c r="F31" s="40"/>
      <c r="G31" s="40"/>
      <c r="H31" s="40"/>
      <c r="I31" s="40"/>
      <c r="J31" s="40"/>
      <c r="K31" s="41"/>
    </row>
    <row r="32" spans="2:14" ht="9.75" customHeight="1" x14ac:dyDescent="0.2">
      <c r="B32" s="38"/>
      <c r="C32" s="280" t="str">
        <f>"4:"</f>
        <v>4:</v>
      </c>
      <c r="D32" s="281" t="s">
        <v>922</v>
      </c>
      <c r="E32" s="40"/>
      <c r="F32" s="40"/>
      <c r="G32" s="40"/>
      <c r="H32" s="40"/>
      <c r="I32" s="40"/>
      <c r="J32" s="40"/>
      <c r="K32" s="41"/>
      <c r="N32" s="12" t="s">
        <v>661</v>
      </c>
    </row>
    <row r="33" spans="2:14" x14ac:dyDescent="0.2">
      <c r="B33" s="38"/>
      <c r="C33" s="174" t="s">
        <v>662</v>
      </c>
      <c r="D33" s="40"/>
      <c r="E33" s="40"/>
      <c r="F33" s="40"/>
      <c r="G33" s="40"/>
      <c r="H33" s="40"/>
      <c r="I33" s="40"/>
      <c r="J33" s="265" t="s">
        <v>661</v>
      </c>
      <c r="K33" s="41"/>
      <c r="N33" s="12" t="s">
        <v>894</v>
      </c>
    </row>
    <row r="34" spans="2:14" x14ac:dyDescent="0.2">
      <c r="B34" s="38"/>
      <c r="C34" s="174" t="s">
        <v>660</v>
      </c>
      <c r="D34" s="40"/>
      <c r="E34" s="40"/>
      <c r="F34" s="40"/>
      <c r="G34" s="40"/>
      <c r="H34" s="40"/>
      <c r="I34" s="40"/>
      <c r="J34" s="246" t="str">
        <f>IF(J33=N32,"N/A",IF(J33=N33,0,IF(J33=N34,1,IF(J33=N35,2,IF(J33=N36,3,IF(J33=N37,4,"N/A"))))))</f>
        <v>N/A</v>
      </c>
      <c r="K34" s="41"/>
      <c r="N34" s="12" t="s">
        <v>895</v>
      </c>
    </row>
    <row r="35" spans="2:14" x14ac:dyDescent="0.2">
      <c r="B35" s="38"/>
      <c r="C35" s="40" t="s">
        <v>257</v>
      </c>
      <c r="D35" s="40"/>
      <c r="E35" s="40"/>
      <c r="F35" s="40"/>
      <c r="G35" s="40"/>
      <c r="H35" s="40"/>
      <c r="I35" s="40"/>
      <c r="J35" s="266"/>
      <c r="K35" s="41"/>
      <c r="N35" s="12" t="s">
        <v>896</v>
      </c>
    </row>
    <row r="36" spans="2:14" x14ac:dyDescent="0.2">
      <c r="B36" s="38"/>
      <c r="C36" s="40" t="s">
        <v>261</v>
      </c>
      <c r="D36" s="40"/>
      <c r="E36" s="40"/>
      <c r="F36" s="40"/>
      <c r="G36" s="40"/>
      <c r="H36" s="40"/>
      <c r="I36" s="40"/>
      <c r="J36" s="245" t="str">
        <f>IF(J35=$B$973,$A$973,IF(J35=$B$974,$A$974,IF(J35=$B$975,$A$975,IF(J35=$B$976,$A$976,IF(J35=$B$977,$A$977,"Not Calculated")))))</f>
        <v>Not Calculated</v>
      </c>
      <c r="K36" s="41"/>
      <c r="N36" s="12" t="s">
        <v>897</v>
      </c>
    </row>
    <row r="37" spans="2:14" x14ac:dyDescent="0.2">
      <c r="B37" s="38"/>
      <c r="C37" s="40" t="s">
        <v>893</v>
      </c>
      <c r="D37" s="40"/>
      <c r="E37" s="40"/>
      <c r="F37" s="40"/>
      <c r="G37" s="40"/>
      <c r="H37" s="40"/>
      <c r="I37" s="40"/>
      <c r="J37" s="175"/>
      <c r="K37" s="41"/>
      <c r="N37" s="12" t="s">
        <v>898</v>
      </c>
    </row>
    <row r="38" spans="2:14" s="178" customFormat="1" x14ac:dyDescent="0.2">
      <c r="B38" s="176"/>
      <c r="C38" s="415"/>
      <c r="D38" s="400"/>
      <c r="E38" s="400"/>
      <c r="F38" s="400"/>
      <c r="G38" s="400"/>
      <c r="H38" s="400"/>
      <c r="I38" s="400"/>
      <c r="J38" s="401"/>
      <c r="K38" s="177"/>
    </row>
    <row r="39" spans="2:14" x14ac:dyDescent="0.2">
      <c r="B39" s="38"/>
      <c r="C39" s="40"/>
      <c r="D39" s="40"/>
      <c r="E39" s="40"/>
      <c r="F39" s="40"/>
      <c r="G39" s="40"/>
      <c r="H39" s="40"/>
      <c r="I39" s="40"/>
      <c r="J39" s="40"/>
      <c r="K39" s="41"/>
    </row>
    <row r="40" spans="2:14" x14ac:dyDescent="0.2">
      <c r="B40" s="38"/>
      <c r="C40" s="179" t="s">
        <v>258</v>
      </c>
      <c r="D40" s="40"/>
      <c r="E40" s="40"/>
      <c r="F40" s="40"/>
      <c r="G40" s="40"/>
      <c r="H40" s="40"/>
      <c r="I40" s="40"/>
      <c r="J40" s="245" t="str">
        <f>IF(J34="N/A",IF(OR(J27="Not Calculated",J36="Not Calculated")=TRUE,"Not Calculated",AVERAGE(J27,J36)),AVERAGE(J34,J36))</f>
        <v>Not Calculated</v>
      </c>
      <c r="K40" s="41"/>
    </row>
    <row r="41" spans="2:14" x14ac:dyDescent="0.2">
      <c r="B41" s="38"/>
      <c r="C41" s="179"/>
      <c r="D41" s="40"/>
      <c r="E41" s="40"/>
      <c r="F41" s="40"/>
      <c r="G41" s="40"/>
      <c r="H41" s="40"/>
      <c r="I41" s="40"/>
      <c r="J41" s="245"/>
      <c r="K41" s="41"/>
    </row>
    <row r="42" spans="2:14" x14ac:dyDescent="0.2">
      <c r="B42" s="38"/>
      <c r="C42" s="40"/>
      <c r="D42" s="40"/>
      <c r="E42" s="40"/>
      <c r="F42" s="40"/>
      <c r="G42" s="40"/>
      <c r="H42" s="40"/>
      <c r="I42" s="40"/>
      <c r="J42" s="40"/>
      <c r="K42" s="41"/>
    </row>
    <row r="43" spans="2:14" ht="16" x14ac:dyDescent="0.2">
      <c r="B43" s="38"/>
      <c r="C43" s="45" t="s">
        <v>51</v>
      </c>
      <c r="D43" s="40"/>
      <c r="E43" s="40"/>
      <c r="F43" s="40"/>
      <c r="G43" s="40"/>
      <c r="H43" s="40"/>
      <c r="I43" s="40"/>
      <c r="J43" s="40"/>
      <c r="K43" s="41"/>
    </row>
    <row r="44" spans="2:14" x14ac:dyDescent="0.2">
      <c r="B44" s="38"/>
      <c r="C44" s="40" t="s">
        <v>435</v>
      </c>
      <c r="D44" s="40"/>
      <c r="E44" s="40"/>
      <c r="F44" s="40"/>
      <c r="G44" s="40"/>
      <c r="H44" s="40"/>
      <c r="I44" s="40"/>
      <c r="J44" s="252">
        <f>'Baseline Health'!G17</f>
        <v>0</v>
      </c>
      <c r="K44" s="41"/>
    </row>
    <row r="45" spans="2:14" x14ac:dyDescent="0.2">
      <c r="B45" s="38"/>
      <c r="C45" s="40" t="s">
        <v>287</v>
      </c>
      <c r="D45" s="40"/>
      <c r="E45" s="40"/>
      <c r="F45" s="40"/>
      <c r="G45" s="40"/>
      <c r="H45" s="40"/>
      <c r="I45" s="40"/>
      <c r="J45" s="264"/>
      <c r="K45" s="41"/>
    </row>
    <row r="46" spans="2:14" x14ac:dyDescent="0.2">
      <c r="B46" s="38"/>
      <c r="C46" s="40" t="s">
        <v>260</v>
      </c>
      <c r="D46" s="40"/>
      <c r="E46" s="40"/>
      <c r="F46" s="40"/>
      <c r="G46" s="40"/>
      <c r="H46" s="40"/>
      <c r="I46" s="40"/>
      <c r="J46" s="248" t="str">
        <f>IF(OR(J44=0,J44="Not Calculated")=TRUE,"Not Calculated",(IF(((J45+J44)/J44)&lt;=1,0,IF(((J45+J44)/J44)&lt;=1.05,1,IF(((J45+J44)/J44)&lt;=1.5, 2,IF(((J45+J44)/J44)&lt;=2,3,4))))))</f>
        <v>Not Calculated</v>
      </c>
      <c r="K46" s="41"/>
    </row>
    <row r="47" spans="2:14" ht="9.75" customHeight="1" x14ac:dyDescent="0.2">
      <c r="B47" s="38"/>
      <c r="C47" s="279" t="str">
        <f>"0:"</f>
        <v>0:</v>
      </c>
      <c r="D47" s="281" t="s">
        <v>918</v>
      </c>
      <c r="E47" s="40"/>
      <c r="F47" s="40"/>
      <c r="G47" s="40"/>
      <c r="H47" s="40"/>
      <c r="I47" s="40"/>
      <c r="J47" s="40"/>
      <c r="K47" s="41"/>
    </row>
    <row r="48" spans="2:14" ht="9.75" customHeight="1" x14ac:dyDescent="0.2">
      <c r="B48" s="38"/>
      <c r="C48" s="280" t="str">
        <f>"1:"</f>
        <v>1:</v>
      </c>
      <c r="D48" s="281" t="s">
        <v>919</v>
      </c>
      <c r="E48" s="40"/>
      <c r="F48" s="40"/>
      <c r="G48" s="40"/>
      <c r="H48" s="40"/>
      <c r="I48" s="40"/>
      <c r="J48" s="40"/>
      <c r="K48" s="41"/>
    </row>
    <row r="49" spans="2:14" ht="9.75" customHeight="1" x14ac:dyDescent="0.2">
      <c r="B49" s="38"/>
      <c r="C49" s="280" t="str">
        <f>"2:"</f>
        <v>2:</v>
      </c>
      <c r="D49" s="281" t="s">
        <v>920</v>
      </c>
      <c r="E49" s="40"/>
      <c r="F49" s="40"/>
      <c r="G49" s="40"/>
      <c r="H49" s="40"/>
      <c r="I49" s="40"/>
      <c r="J49" s="40"/>
      <c r="K49" s="41"/>
    </row>
    <row r="50" spans="2:14" ht="9.75" customHeight="1" x14ac:dyDescent="0.2">
      <c r="B50" s="38"/>
      <c r="C50" s="280" t="str">
        <f>"3:"</f>
        <v>3:</v>
      </c>
      <c r="D50" s="281" t="s">
        <v>921</v>
      </c>
      <c r="E50" s="40"/>
      <c r="F50" s="40"/>
      <c r="G50" s="40"/>
      <c r="H50" s="40"/>
      <c r="I50" s="40"/>
      <c r="J50" s="40"/>
      <c r="K50" s="41"/>
    </row>
    <row r="51" spans="2:14" ht="9.75" customHeight="1" x14ac:dyDescent="0.2">
      <c r="B51" s="38"/>
      <c r="C51" s="280" t="str">
        <f>"4:"</f>
        <v>4:</v>
      </c>
      <c r="D51" s="281" t="s">
        <v>922</v>
      </c>
      <c r="E51" s="40"/>
      <c r="F51" s="40"/>
      <c r="G51" s="40"/>
      <c r="H51" s="40"/>
      <c r="I51" s="40"/>
      <c r="J51" s="40"/>
      <c r="K51" s="41"/>
      <c r="N51" s="12" t="s">
        <v>661</v>
      </c>
    </row>
    <row r="52" spans="2:14" x14ac:dyDescent="0.2">
      <c r="B52" s="38"/>
      <c r="C52" s="174" t="s">
        <v>662</v>
      </c>
      <c r="D52" s="40"/>
      <c r="E52" s="40"/>
      <c r="F52" s="40"/>
      <c r="G52" s="40"/>
      <c r="H52" s="40"/>
      <c r="I52" s="40"/>
      <c r="J52" s="265" t="s">
        <v>661</v>
      </c>
      <c r="K52" s="41"/>
      <c r="N52" s="12" t="s">
        <v>894</v>
      </c>
    </row>
    <row r="53" spans="2:14" x14ac:dyDescent="0.2">
      <c r="B53" s="38"/>
      <c r="C53" s="174" t="s">
        <v>660</v>
      </c>
      <c r="D53" s="40"/>
      <c r="E53" s="40"/>
      <c r="F53" s="40"/>
      <c r="G53" s="40"/>
      <c r="H53" s="40"/>
      <c r="I53" s="40"/>
      <c r="J53" s="246" t="str">
        <f>IF(J52=N51,"N/A",IF(J52=N52,0,IF(J52=N53,1,IF(J52=N54,2,IF(J52=N55,3,IF(J52=N56,4,"N/A"))))))</f>
        <v>N/A</v>
      </c>
      <c r="K53" s="41"/>
      <c r="N53" s="12" t="s">
        <v>895</v>
      </c>
    </row>
    <row r="54" spans="2:14" x14ac:dyDescent="0.2">
      <c r="B54" s="38"/>
      <c r="C54" s="40" t="s">
        <v>257</v>
      </c>
      <c r="D54" s="40"/>
      <c r="E54" s="40"/>
      <c r="F54" s="40"/>
      <c r="G54" s="40"/>
      <c r="H54" s="40"/>
      <c r="I54" s="40"/>
      <c r="J54" s="266"/>
      <c r="K54" s="41"/>
      <c r="N54" s="12" t="s">
        <v>896</v>
      </c>
    </row>
    <row r="55" spans="2:14" x14ac:dyDescent="0.2">
      <c r="B55" s="38"/>
      <c r="C55" s="40" t="s">
        <v>261</v>
      </c>
      <c r="D55" s="40"/>
      <c r="E55" s="40"/>
      <c r="F55" s="40"/>
      <c r="G55" s="40"/>
      <c r="H55" s="40"/>
      <c r="I55" s="40"/>
      <c r="J55" s="245" t="str">
        <f>IF(J54=$B$973,$A$973,IF(J54=$B$974,$A$974,IF(J54=$B$975,$A$975,IF(J54=$B$976,$A$976,IF(J54=$B$977,$A$977,"Not Calculated")))))</f>
        <v>Not Calculated</v>
      </c>
      <c r="K55" s="41"/>
      <c r="N55" s="12" t="s">
        <v>897</v>
      </c>
    </row>
    <row r="56" spans="2:14" x14ac:dyDescent="0.2">
      <c r="B56" s="38"/>
      <c r="C56" s="40" t="s">
        <v>893</v>
      </c>
      <c r="D56" s="40"/>
      <c r="E56" s="40"/>
      <c r="F56" s="40"/>
      <c r="G56" s="40"/>
      <c r="H56" s="40"/>
      <c r="I56" s="40"/>
      <c r="J56" s="175"/>
      <c r="K56" s="41"/>
      <c r="N56" s="12" t="s">
        <v>898</v>
      </c>
    </row>
    <row r="57" spans="2:14" s="178" customFormat="1" ht="15" customHeight="1" x14ac:dyDescent="0.2">
      <c r="B57" s="176"/>
      <c r="C57" s="415"/>
      <c r="D57" s="400"/>
      <c r="E57" s="400"/>
      <c r="F57" s="400"/>
      <c r="G57" s="400"/>
      <c r="H57" s="400"/>
      <c r="I57" s="400"/>
      <c r="J57" s="401"/>
      <c r="K57" s="177"/>
    </row>
    <row r="58" spans="2:14" x14ac:dyDescent="0.2">
      <c r="B58" s="38"/>
      <c r="C58" s="40"/>
      <c r="D58" s="40"/>
      <c r="E58" s="40"/>
      <c r="F58" s="40"/>
      <c r="G58" s="40"/>
      <c r="H58" s="40"/>
      <c r="I58" s="40"/>
      <c r="J58" s="40"/>
      <c r="K58" s="41"/>
    </row>
    <row r="59" spans="2:14" x14ac:dyDescent="0.2">
      <c r="B59" s="38"/>
      <c r="C59" s="179" t="s">
        <v>263</v>
      </c>
      <c r="D59" s="40"/>
      <c r="E59" s="40"/>
      <c r="F59" s="40"/>
      <c r="G59" s="40"/>
      <c r="H59" s="40"/>
      <c r="I59" s="40"/>
      <c r="J59" s="245" t="str">
        <f>IF(J53="N/A",IF(OR(J46="Not Calculated",J55="Not Calculated")=TRUE,"Not Calculated",AVERAGE(J46,J55)),AVERAGE(J53,J55))</f>
        <v>Not Calculated</v>
      </c>
      <c r="K59" s="41"/>
    </row>
    <row r="60" spans="2:14" x14ac:dyDescent="0.2">
      <c r="B60" s="38"/>
      <c r="C60" s="40"/>
      <c r="D60" s="40"/>
      <c r="E60" s="40"/>
      <c r="F60" s="40"/>
      <c r="G60" s="40"/>
      <c r="H60" s="40"/>
      <c r="I60" s="40"/>
      <c r="J60" s="40"/>
      <c r="K60" s="41"/>
    </row>
    <row r="61" spans="2:14" x14ac:dyDescent="0.2">
      <c r="B61" s="38"/>
      <c r="C61" s="40"/>
      <c r="D61" s="40"/>
      <c r="E61" s="40"/>
      <c r="F61" s="40"/>
      <c r="G61" s="40"/>
      <c r="H61" s="40"/>
      <c r="I61" s="40"/>
      <c r="J61" s="40"/>
      <c r="K61" s="41"/>
    </row>
    <row r="62" spans="2:14" ht="16" x14ac:dyDescent="0.2">
      <c r="B62" s="38"/>
      <c r="C62" s="45" t="s">
        <v>54</v>
      </c>
      <c r="D62" s="40"/>
      <c r="E62" s="40"/>
      <c r="F62" s="40"/>
      <c r="G62" s="40"/>
      <c r="H62" s="40"/>
      <c r="I62" s="40"/>
      <c r="J62" s="40"/>
      <c r="K62" s="41"/>
    </row>
    <row r="63" spans="2:14" x14ac:dyDescent="0.2">
      <c r="B63" s="38"/>
      <c r="C63" s="40" t="s">
        <v>436</v>
      </c>
      <c r="D63" s="40"/>
      <c r="E63" s="40"/>
      <c r="F63" s="40"/>
      <c r="G63" s="40"/>
      <c r="H63" s="40"/>
      <c r="I63" s="40"/>
      <c r="J63" s="252">
        <f>'Baseline Health'!G23</f>
        <v>0</v>
      </c>
      <c r="K63" s="41"/>
    </row>
    <row r="64" spans="2:14" x14ac:dyDescent="0.2">
      <c r="B64" s="38"/>
      <c r="C64" s="40" t="s">
        <v>289</v>
      </c>
      <c r="D64" s="40"/>
      <c r="E64" s="40"/>
      <c r="F64" s="40"/>
      <c r="G64" s="40"/>
      <c r="H64" s="40"/>
      <c r="I64" s="40"/>
      <c r="J64" s="264"/>
      <c r="K64" s="41"/>
    </row>
    <row r="65" spans="2:14" x14ac:dyDescent="0.2">
      <c r="B65" s="38"/>
      <c r="C65" s="40" t="s">
        <v>260</v>
      </c>
      <c r="D65" s="40"/>
      <c r="E65" s="40"/>
      <c r="F65" s="40"/>
      <c r="G65" s="40"/>
      <c r="H65" s="40"/>
      <c r="I65" s="40"/>
      <c r="J65" s="248" t="str">
        <f>IF(OR(J63=0,J63="Not Calculated")=TRUE,"Not Calculated",(IF(((J64+J63)/J63)&lt;=1,0,IF(((J64+J63)/J63)&lt;=1.05,1,IF(((J64+J63)/J63)&lt;=1.5, 2,IF(((J64+J63)/J63)&lt;=2,3,4))))))</f>
        <v>Not Calculated</v>
      </c>
      <c r="K65" s="41"/>
    </row>
    <row r="66" spans="2:14" ht="9.75" customHeight="1" x14ac:dyDescent="0.2">
      <c r="B66" s="38"/>
      <c r="C66" s="279" t="str">
        <f>"0:"</f>
        <v>0:</v>
      </c>
      <c r="D66" s="281" t="s">
        <v>918</v>
      </c>
      <c r="E66" s="40"/>
      <c r="F66" s="40"/>
      <c r="G66" s="40"/>
      <c r="H66" s="40"/>
      <c r="I66" s="40"/>
      <c r="J66" s="40"/>
      <c r="K66" s="41"/>
    </row>
    <row r="67" spans="2:14" ht="9.75" customHeight="1" x14ac:dyDescent="0.2">
      <c r="B67" s="38"/>
      <c r="C67" s="280" t="str">
        <f>"1:"</f>
        <v>1:</v>
      </c>
      <c r="D67" s="281" t="s">
        <v>919</v>
      </c>
      <c r="E67" s="40"/>
      <c r="F67" s="40"/>
      <c r="G67" s="40"/>
      <c r="H67" s="40"/>
      <c r="I67" s="40"/>
      <c r="J67" s="40"/>
      <c r="K67" s="41"/>
    </row>
    <row r="68" spans="2:14" ht="9.75" customHeight="1" x14ac:dyDescent="0.2">
      <c r="B68" s="38"/>
      <c r="C68" s="280" t="str">
        <f>"2:"</f>
        <v>2:</v>
      </c>
      <c r="D68" s="281" t="s">
        <v>920</v>
      </c>
      <c r="E68" s="40"/>
      <c r="F68" s="40"/>
      <c r="G68" s="40"/>
      <c r="H68" s="40"/>
      <c r="I68" s="40"/>
      <c r="J68" s="40"/>
      <c r="K68" s="41"/>
    </row>
    <row r="69" spans="2:14" ht="9.75" customHeight="1" x14ac:dyDescent="0.2">
      <c r="B69" s="38"/>
      <c r="C69" s="280" t="str">
        <f>"3:"</f>
        <v>3:</v>
      </c>
      <c r="D69" s="281" t="s">
        <v>921</v>
      </c>
      <c r="E69" s="40"/>
      <c r="F69" s="40"/>
      <c r="G69" s="40"/>
      <c r="H69" s="40"/>
      <c r="I69" s="40"/>
      <c r="J69" s="40"/>
      <c r="K69" s="41"/>
    </row>
    <row r="70" spans="2:14" ht="9.75" customHeight="1" x14ac:dyDescent="0.2">
      <c r="B70" s="38"/>
      <c r="C70" s="280" t="str">
        <f>"4:"</f>
        <v>4:</v>
      </c>
      <c r="D70" s="281" t="s">
        <v>922</v>
      </c>
      <c r="E70" s="40"/>
      <c r="F70" s="40"/>
      <c r="G70" s="40"/>
      <c r="H70" s="40"/>
      <c r="I70" s="40"/>
      <c r="J70" s="40"/>
      <c r="K70" s="41"/>
      <c r="N70" s="12" t="s">
        <v>661</v>
      </c>
    </row>
    <row r="71" spans="2:14" x14ac:dyDescent="0.2">
      <c r="B71" s="38"/>
      <c r="C71" s="174" t="s">
        <v>662</v>
      </c>
      <c r="D71" s="40"/>
      <c r="E71" s="40"/>
      <c r="F71" s="40"/>
      <c r="G71" s="40"/>
      <c r="H71" s="40"/>
      <c r="I71" s="40"/>
      <c r="J71" s="265" t="s">
        <v>661</v>
      </c>
      <c r="K71" s="41"/>
      <c r="N71" s="12" t="s">
        <v>894</v>
      </c>
    </row>
    <row r="72" spans="2:14" x14ac:dyDescent="0.2">
      <c r="B72" s="38"/>
      <c r="C72" s="174" t="s">
        <v>660</v>
      </c>
      <c r="D72" s="40"/>
      <c r="E72" s="40"/>
      <c r="F72" s="40"/>
      <c r="G72" s="40"/>
      <c r="H72" s="40"/>
      <c r="I72" s="40"/>
      <c r="J72" s="246" t="str">
        <f>IF(J71=N70,"N/A",IF(J71=N71,0,IF(J71=N72,1,IF(J71=N73,2,IF(J71=N74,3,IF(J71=N75,4,"N/A"))))))</f>
        <v>N/A</v>
      </c>
      <c r="K72" s="41"/>
      <c r="N72" s="12" t="s">
        <v>895</v>
      </c>
    </row>
    <row r="73" spans="2:14" x14ac:dyDescent="0.2">
      <c r="B73" s="38"/>
      <c r="C73" s="40" t="s">
        <v>257</v>
      </c>
      <c r="D73" s="40"/>
      <c r="E73" s="40"/>
      <c r="F73" s="40"/>
      <c r="G73" s="40"/>
      <c r="H73" s="40"/>
      <c r="I73" s="40"/>
      <c r="J73" s="266"/>
      <c r="K73" s="41"/>
      <c r="N73" s="12" t="s">
        <v>896</v>
      </c>
    </row>
    <row r="74" spans="2:14" x14ac:dyDescent="0.2">
      <c r="B74" s="38"/>
      <c r="C74" s="40" t="s">
        <v>261</v>
      </c>
      <c r="D74" s="40"/>
      <c r="E74" s="40"/>
      <c r="F74" s="40"/>
      <c r="G74" s="40"/>
      <c r="H74" s="40"/>
      <c r="I74" s="40"/>
      <c r="J74" s="245" t="str">
        <f>IF(J73=$B$973,$A$973,IF(J73=$B$974,$A$974,IF(J73=$B$975,$A$975,IF(J73=$B$976,$A$976,IF(J73=$B$977,$A$977,"Not Calculated")))))</f>
        <v>Not Calculated</v>
      </c>
      <c r="K74" s="41"/>
      <c r="N74" s="12" t="s">
        <v>897</v>
      </c>
    </row>
    <row r="75" spans="2:14" x14ac:dyDescent="0.2">
      <c r="B75" s="38"/>
      <c r="C75" s="40" t="s">
        <v>893</v>
      </c>
      <c r="D75" s="40"/>
      <c r="E75" s="40"/>
      <c r="F75" s="40"/>
      <c r="G75" s="40"/>
      <c r="H75" s="40"/>
      <c r="I75" s="40"/>
      <c r="J75" s="175"/>
      <c r="K75" s="41"/>
      <c r="N75" s="12" t="s">
        <v>898</v>
      </c>
    </row>
    <row r="76" spans="2:14" s="178" customFormat="1" x14ac:dyDescent="0.2">
      <c r="B76" s="176"/>
      <c r="C76" s="415"/>
      <c r="D76" s="400"/>
      <c r="E76" s="400"/>
      <c r="F76" s="400"/>
      <c r="G76" s="400"/>
      <c r="H76" s="400"/>
      <c r="I76" s="400"/>
      <c r="J76" s="401"/>
      <c r="K76" s="177"/>
    </row>
    <row r="77" spans="2:14" x14ac:dyDescent="0.2">
      <c r="B77" s="38"/>
      <c r="C77" s="40"/>
      <c r="D77" s="40"/>
      <c r="E77" s="40"/>
      <c r="F77" s="40"/>
      <c r="G77" s="40"/>
      <c r="H77" s="40"/>
      <c r="I77" s="40"/>
      <c r="J77" s="40"/>
      <c r="K77" s="41"/>
    </row>
    <row r="78" spans="2:14" x14ac:dyDescent="0.2">
      <c r="B78" s="38"/>
      <c r="C78" s="179" t="s">
        <v>264</v>
      </c>
      <c r="D78" s="40"/>
      <c r="E78" s="40"/>
      <c r="F78" s="40"/>
      <c r="G78" s="40"/>
      <c r="H78" s="40"/>
      <c r="I78" s="40"/>
      <c r="J78" s="245" t="str">
        <f>IF(J72="N/A",IF(OR(J65="Not Calculated",J74="Not Calculated")=TRUE,"Not Calculated",AVERAGE(J65,J74)),AVERAGE(J72,J74))</f>
        <v>Not Calculated</v>
      </c>
      <c r="K78" s="41"/>
    </row>
    <row r="79" spans="2:14" x14ac:dyDescent="0.2">
      <c r="B79" s="38"/>
      <c r="C79" s="40"/>
      <c r="D79" s="40"/>
      <c r="E79" s="40"/>
      <c r="F79" s="40"/>
      <c r="G79" s="40"/>
      <c r="H79" s="40"/>
      <c r="I79" s="40"/>
      <c r="J79" s="40"/>
      <c r="K79" s="41"/>
    </row>
    <row r="80" spans="2:14" x14ac:dyDescent="0.2">
      <c r="B80" s="38"/>
      <c r="C80" s="40"/>
      <c r="D80" s="40"/>
      <c r="E80" s="40"/>
      <c r="F80" s="40"/>
      <c r="G80" s="40"/>
      <c r="H80" s="40"/>
      <c r="I80" s="40"/>
      <c r="J80" s="40"/>
      <c r="K80" s="41"/>
    </row>
    <row r="81" spans="2:14" ht="16" x14ac:dyDescent="0.2">
      <c r="B81" s="38"/>
      <c r="C81" s="45" t="s">
        <v>57</v>
      </c>
      <c r="D81" s="40"/>
      <c r="E81" s="40"/>
      <c r="F81" s="40"/>
      <c r="G81" s="40"/>
      <c r="H81" s="40"/>
      <c r="I81" s="40"/>
      <c r="J81" s="40"/>
      <c r="K81" s="41"/>
    </row>
    <row r="82" spans="2:14" x14ac:dyDescent="0.2">
      <c r="B82" s="38"/>
      <c r="C82" s="40" t="s">
        <v>437</v>
      </c>
      <c r="D82" s="40"/>
      <c r="E82" s="40"/>
      <c r="F82" s="40"/>
      <c r="G82" s="40"/>
      <c r="H82" s="40"/>
      <c r="I82" s="40"/>
      <c r="J82" s="252">
        <f>'Baseline Health'!G29</f>
        <v>0</v>
      </c>
      <c r="K82" s="41"/>
    </row>
    <row r="83" spans="2:14" x14ac:dyDescent="0.2">
      <c r="B83" s="38"/>
      <c r="C83" s="40" t="s">
        <v>290</v>
      </c>
      <c r="D83" s="40"/>
      <c r="E83" s="40"/>
      <c r="F83" s="40"/>
      <c r="G83" s="40"/>
      <c r="H83" s="40"/>
      <c r="I83" s="40"/>
      <c r="J83" s="264"/>
      <c r="K83" s="41"/>
    </row>
    <row r="84" spans="2:14" x14ac:dyDescent="0.2">
      <c r="B84" s="38"/>
      <c r="C84" s="40" t="s">
        <v>260</v>
      </c>
      <c r="D84" s="40"/>
      <c r="E84" s="40"/>
      <c r="F84" s="40"/>
      <c r="G84" s="40"/>
      <c r="H84" s="40"/>
      <c r="I84" s="40"/>
      <c r="J84" s="248" t="str">
        <f>IF(OR(J82=0,J82="Not Calculated")=TRUE,"Not Calculated",(IF(((J83+J82)/J82)&lt;=1,0,IF(((J83+J82)/J82)&lt;=1.05,1,IF(((J83+J82)/J82)&lt;=1.5, 2,IF(((J83+J82)/J82)&lt;=2,3,4))))))</f>
        <v>Not Calculated</v>
      </c>
      <c r="K84" s="41"/>
    </row>
    <row r="85" spans="2:14" ht="9.75" customHeight="1" x14ac:dyDescent="0.2">
      <c r="B85" s="38"/>
      <c r="C85" s="279" t="str">
        <f>"0:"</f>
        <v>0:</v>
      </c>
      <c r="D85" s="281" t="s">
        <v>918</v>
      </c>
      <c r="E85" s="40"/>
      <c r="F85" s="40"/>
      <c r="G85" s="40"/>
      <c r="H85" s="40"/>
      <c r="I85" s="40"/>
      <c r="J85" s="40"/>
      <c r="K85" s="41"/>
    </row>
    <row r="86" spans="2:14" ht="9.75" customHeight="1" x14ac:dyDescent="0.2">
      <c r="B86" s="38"/>
      <c r="C86" s="280" t="str">
        <f>"1:"</f>
        <v>1:</v>
      </c>
      <c r="D86" s="281" t="s">
        <v>919</v>
      </c>
      <c r="E86" s="40"/>
      <c r="F86" s="40"/>
      <c r="G86" s="40"/>
      <c r="H86" s="40"/>
      <c r="I86" s="40"/>
      <c r="J86" s="40"/>
      <c r="K86" s="41"/>
    </row>
    <row r="87" spans="2:14" ht="9.75" customHeight="1" x14ac:dyDescent="0.2">
      <c r="B87" s="38"/>
      <c r="C87" s="280" t="str">
        <f>"2:"</f>
        <v>2:</v>
      </c>
      <c r="D87" s="281" t="s">
        <v>920</v>
      </c>
      <c r="E87" s="40"/>
      <c r="F87" s="40"/>
      <c r="G87" s="40"/>
      <c r="H87" s="40"/>
      <c r="I87" s="40"/>
      <c r="J87" s="40"/>
      <c r="K87" s="41"/>
    </row>
    <row r="88" spans="2:14" ht="9.75" customHeight="1" x14ac:dyDescent="0.2">
      <c r="B88" s="38"/>
      <c r="C88" s="280" t="str">
        <f>"3:"</f>
        <v>3:</v>
      </c>
      <c r="D88" s="281" t="s">
        <v>921</v>
      </c>
      <c r="E88" s="40"/>
      <c r="F88" s="40"/>
      <c r="G88" s="40"/>
      <c r="H88" s="40"/>
      <c r="I88" s="40"/>
      <c r="J88" s="40"/>
      <c r="K88" s="41"/>
    </row>
    <row r="89" spans="2:14" ht="9.75" customHeight="1" x14ac:dyDescent="0.2">
      <c r="B89" s="38"/>
      <c r="C89" s="280" t="str">
        <f>"4:"</f>
        <v>4:</v>
      </c>
      <c r="D89" s="281" t="s">
        <v>922</v>
      </c>
      <c r="E89" s="40"/>
      <c r="F89" s="40"/>
      <c r="G89" s="40"/>
      <c r="H89" s="40"/>
      <c r="I89" s="40"/>
      <c r="J89" s="40"/>
      <c r="K89" s="41"/>
      <c r="N89" s="12" t="s">
        <v>661</v>
      </c>
    </row>
    <row r="90" spans="2:14" x14ac:dyDescent="0.2">
      <c r="B90" s="38"/>
      <c r="C90" s="174" t="s">
        <v>662</v>
      </c>
      <c r="D90" s="40"/>
      <c r="E90" s="40"/>
      <c r="F90" s="40"/>
      <c r="G90" s="40"/>
      <c r="H90" s="40"/>
      <c r="I90" s="40"/>
      <c r="J90" s="265" t="s">
        <v>661</v>
      </c>
      <c r="K90" s="41"/>
      <c r="N90" s="12" t="s">
        <v>894</v>
      </c>
    </row>
    <row r="91" spans="2:14" x14ac:dyDescent="0.2">
      <c r="B91" s="38"/>
      <c r="C91" s="174" t="s">
        <v>660</v>
      </c>
      <c r="D91" s="40"/>
      <c r="E91" s="40"/>
      <c r="F91" s="40"/>
      <c r="G91" s="40"/>
      <c r="H91" s="40"/>
      <c r="I91" s="40"/>
      <c r="J91" s="246" t="str">
        <f>IF(J90=N89,"N/A",IF(J90=N90,0,IF(J90=N91,1,IF(J90=N92,2,IF(J90=N93,3,IF(J90=N94,4,"N/A"))))))</f>
        <v>N/A</v>
      </c>
      <c r="K91" s="41"/>
      <c r="N91" s="12" t="s">
        <v>895</v>
      </c>
    </row>
    <row r="92" spans="2:14" x14ac:dyDescent="0.2">
      <c r="B92" s="38"/>
      <c r="C92" s="40" t="s">
        <v>257</v>
      </c>
      <c r="D92" s="40"/>
      <c r="E92" s="40"/>
      <c r="F92" s="40"/>
      <c r="G92" s="40"/>
      <c r="H92" s="40"/>
      <c r="I92" s="40"/>
      <c r="J92" s="266"/>
      <c r="K92" s="41"/>
      <c r="N92" s="12" t="s">
        <v>896</v>
      </c>
    </row>
    <row r="93" spans="2:14" x14ac:dyDescent="0.2">
      <c r="B93" s="38"/>
      <c r="C93" s="40" t="s">
        <v>261</v>
      </c>
      <c r="D93" s="40"/>
      <c r="E93" s="40"/>
      <c r="F93" s="40"/>
      <c r="G93" s="40"/>
      <c r="H93" s="40"/>
      <c r="I93" s="40"/>
      <c r="J93" s="245" t="str">
        <f>IF(J92=$B$973,$A$973,IF(J92=$B$974,$A$974,IF(J92=$B$975,$A$975,IF(J92=$B$976,$A$976,IF(J92=$B$977,$A$977,"Not Calculated")))))</f>
        <v>Not Calculated</v>
      </c>
      <c r="K93" s="41"/>
      <c r="N93" s="12" t="s">
        <v>897</v>
      </c>
    </row>
    <row r="94" spans="2:14" x14ac:dyDescent="0.2">
      <c r="B94" s="38"/>
      <c r="C94" s="40" t="s">
        <v>893</v>
      </c>
      <c r="D94" s="40"/>
      <c r="E94" s="40"/>
      <c r="F94" s="40"/>
      <c r="G94" s="40"/>
      <c r="H94" s="40"/>
      <c r="I94" s="40"/>
      <c r="J94" s="175"/>
      <c r="K94" s="41"/>
      <c r="N94" s="12" t="s">
        <v>898</v>
      </c>
    </row>
    <row r="95" spans="2:14" s="178" customFormat="1" x14ac:dyDescent="0.2">
      <c r="B95" s="176"/>
      <c r="C95" s="415"/>
      <c r="D95" s="400"/>
      <c r="E95" s="400"/>
      <c r="F95" s="400"/>
      <c r="G95" s="400"/>
      <c r="H95" s="400"/>
      <c r="I95" s="400"/>
      <c r="J95" s="401"/>
      <c r="K95" s="177"/>
    </row>
    <row r="96" spans="2:14" x14ac:dyDescent="0.2">
      <c r="B96" s="38"/>
      <c r="C96" s="40"/>
      <c r="D96" s="40"/>
      <c r="E96" s="40"/>
      <c r="F96" s="40"/>
      <c r="G96" s="40"/>
      <c r="H96" s="40"/>
      <c r="I96" s="40"/>
      <c r="J96" s="40"/>
      <c r="K96" s="41"/>
    </row>
    <row r="97" spans="2:14" x14ac:dyDescent="0.2">
      <c r="B97" s="38"/>
      <c r="C97" s="179" t="s">
        <v>265</v>
      </c>
      <c r="D97" s="40"/>
      <c r="E97" s="40"/>
      <c r="F97" s="40"/>
      <c r="G97" s="40"/>
      <c r="H97" s="40"/>
      <c r="I97" s="40"/>
      <c r="J97" s="245" t="str">
        <f>IF(J91="N/A",IF(OR(J84="Not Calculated",J93="Not Calculated")=TRUE,"Not Calculated",AVERAGE(J84,J93)),AVERAGE(J91,J93))</f>
        <v>Not Calculated</v>
      </c>
      <c r="K97" s="41"/>
    </row>
    <row r="98" spans="2:14" x14ac:dyDescent="0.2">
      <c r="B98" s="38"/>
      <c r="C98" s="40"/>
      <c r="D98" s="40"/>
      <c r="E98" s="40"/>
      <c r="F98" s="40"/>
      <c r="G98" s="40"/>
      <c r="H98" s="40"/>
      <c r="I98" s="40"/>
      <c r="J98" s="40"/>
      <c r="K98" s="41"/>
    </row>
    <row r="99" spans="2:14" x14ac:dyDescent="0.2">
      <c r="B99" s="38"/>
      <c r="C99" s="40"/>
      <c r="D99" s="40"/>
      <c r="E99" s="40"/>
      <c r="F99" s="40"/>
      <c r="G99" s="40"/>
      <c r="H99" s="40"/>
      <c r="I99" s="40"/>
      <c r="J99" s="40"/>
      <c r="K99" s="41"/>
    </row>
    <row r="100" spans="2:14" ht="16" x14ac:dyDescent="0.2">
      <c r="B100" s="38"/>
      <c r="C100" s="45" t="s">
        <v>60</v>
      </c>
      <c r="D100" s="40"/>
      <c r="E100" s="40"/>
      <c r="F100" s="40"/>
      <c r="G100" s="40"/>
      <c r="H100" s="40"/>
      <c r="I100" s="40"/>
      <c r="J100" s="40"/>
      <c r="K100" s="41"/>
    </row>
    <row r="101" spans="2:14" x14ac:dyDescent="0.2">
      <c r="B101" s="38"/>
      <c r="C101" s="40" t="s">
        <v>438</v>
      </c>
      <c r="D101" s="40"/>
      <c r="E101" s="40"/>
      <c r="F101" s="40"/>
      <c r="G101" s="40"/>
      <c r="H101" s="40"/>
      <c r="I101" s="40"/>
      <c r="J101" s="252">
        <f>'Baseline Health'!G35</f>
        <v>0</v>
      </c>
      <c r="K101" s="41"/>
    </row>
    <row r="102" spans="2:14" x14ac:dyDescent="0.2">
      <c r="B102" s="38"/>
      <c r="C102" s="40" t="s">
        <v>291</v>
      </c>
      <c r="D102" s="40"/>
      <c r="E102" s="40"/>
      <c r="F102" s="40"/>
      <c r="G102" s="40"/>
      <c r="H102" s="40"/>
      <c r="I102" s="40"/>
      <c r="J102" s="264"/>
      <c r="K102" s="41"/>
    </row>
    <row r="103" spans="2:14" x14ac:dyDescent="0.2">
      <c r="B103" s="38"/>
      <c r="C103" s="40" t="s">
        <v>260</v>
      </c>
      <c r="D103" s="40"/>
      <c r="E103" s="40"/>
      <c r="F103" s="40"/>
      <c r="G103" s="40"/>
      <c r="H103" s="40"/>
      <c r="I103" s="40"/>
      <c r="J103" s="248" t="str">
        <f>IF(OR(J101=0,J101="Not Calculated")=TRUE,"Not Calculated",(IF(((J102+J101)/J101)&lt;=1,0,IF(((J102+J101)/J101)&lt;=1.05,1,IF(((J102+J101)/J101)&lt;=1.5, 2,IF(((J102+J101)/J101)&lt;=2,3,4))))))</f>
        <v>Not Calculated</v>
      </c>
      <c r="K103" s="41"/>
    </row>
    <row r="104" spans="2:14" ht="9.75" customHeight="1" x14ac:dyDescent="0.2">
      <c r="B104" s="38"/>
      <c r="C104" s="279" t="str">
        <f>"0:"</f>
        <v>0:</v>
      </c>
      <c r="D104" s="281" t="s">
        <v>918</v>
      </c>
      <c r="E104" s="40"/>
      <c r="F104" s="40"/>
      <c r="G104" s="40"/>
      <c r="H104" s="40"/>
      <c r="I104" s="40"/>
      <c r="J104" s="40"/>
      <c r="K104" s="41"/>
    </row>
    <row r="105" spans="2:14" ht="9.75" customHeight="1" x14ac:dyDescent="0.2">
      <c r="B105" s="38"/>
      <c r="C105" s="280" t="str">
        <f>"1:"</f>
        <v>1:</v>
      </c>
      <c r="D105" s="281" t="s">
        <v>919</v>
      </c>
      <c r="E105" s="40"/>
      <c r="F105" s="40"/>
      <c r="G105" s="40"/>
      <c r="H105" s="40"/>
      <c r="I105" s="40"/>
      <c r="J105" s="40"/>
      <c r="K105" s="41"/>
    </row>
    <row r="106" spans="2:14" ht="9.75" customHeight="1" x14ac:dyDescent="0.2">
      <c r="B106" s="38"/>
      <c r="C106" s="280" t="str">
        <f>"2:"</f>
        <v>2:</v>
      </c>
      <c r="D106" s="281" t="s">
        <v>920</v>
      </c>
      <c r="E106" s="40"/>
      <c r="F106" s="40"/>
      <c r="G106" s="40"/>
      <c r="H106" s="40"/>
      <c r="I106" s="40"/>
      <c r="J106" s="40"/>
      <c r="K106" s="41"/>
    </row>
    <row r="107" spans="2:14" ht="9.75" customHeight="1" x14ac:dyDescent="0.2">
      <c r="B107" s="38"/>
      <c r="C107" s="280" t="str">
        <f>"3:"</f>
        <v>3:</v>
      </c>
      <c r="D107" s="281" t="s">
        <v>921</v>
      </c>
      <c r="E107" s="40"/>
      <c r="F107" s="40"/>
      <c r="G107" s="40"/>
      <c r="H107" s="40"/>
      <c r="I107" s="40"/>
      <c r="J107" s="40"/>
      <c r="K107" s="41"/>
    </row>
    <row r="108" spans="2:14" ht="9.75" customHeight="1" x14ac:dyDescent="0.2">
      <c r="B108" s="38"/>
      <c r="C108" s="280" t="str">
        <f>"4:"</f>
        <v>4:</v>
      </c>
      <c r="D108" s="281" t="s">
        <v>922</v>
      </c>
      <c r="E108" s="40"/>
      <c r="F108" s="40"/>
      <c r="G108" s="40"/>
      <c r="H108" s="40"/>
      <c r="I108" s="40"/>
      <c r="J108" s="40"/>
      <c r="K108" s="41"/>
      <c r="N108" s="12" t="s">
        <v>661</v>
      </c>
    </row>
    <row r="109" spans="2:14" x14ac:dyDescent="0.2">
      <c r="B109" s="38"/>
      <c r="C109" s="174" t="s">
        <v>662</v>
      </c>
      <c r="D109" s="40"/>
      <c r="E109" s="40"/>
      <c r="F109" s="40"/>
      <c r="G109" s="40"/>
      <c r="H109" s="40"/>
      <c r="I109" s="40"/>
      <c r="J109" s="265" t="s">
        <v>661</v>
      </c>
      <c r="K109" s="41"/>
      <c r="N109" s="12" t="s">
        <v>894</v>
      </c>
    </row>
    <row r="110" spans="2:14" x14ac:dyDescent="0.2">
      <c r="B110" s="38"/>
      <c r="C110" s="174" t="s">
        <v>660</v>
      </c>
      <c r="D110" s="40"/>
      <c r="E110" s="40"/>
      <c r="F110" s="40"/>
      <c r="G110" s="40"/>
      <c r="H110" s="40"/>
      <c r="I110" s="40"/>
      <c r="J110" s="246" t="str">
        <f>IF(J109=N108,"N/A",IF(J109=N109,0,IF(J109=N110,1,IF(J109=N111,2,IF(J109=N112,3,IF(J109=N113,4,"N/A"))))))</f>
        <v>N/A</v>
      </c>
      <c r="K110" s="41"/>
      <c r="N110" s="12" t="s">
        <v>895</v>
      </c>
    </row>
    <row r="111" spans="2:14" x14ac:dyDescent="0.2">
      <c r="B111" s="38"/>
      <c r="C111" s="40" t="s">
        <v>257</v>
      </c>
      <c r="D111" s="40"/>
      <c r="E111" s="40"/>
      <c r="F111" s="40"/>
      <c r="G111" s="40"/>
      <c r="H111" s="40"/>
      <c r="I111" s="40"/>
      <c r="J111" s="266"/>
      <c r="K111" s="41"/>
      <c r="N111" s="12" t="s">
        <v>896</v>
      </c>
    </row>
    <row r="112" spans="2:14" x14ac:dyDescent="0.2">
      <c r="B112" s="38"/>
      <c r="C112" s="40" t="s">
        <v>261</v>
      </c>
      <c r="D112" s="40"/>
      <c r="E112" s="40"/>
      <c r="F112" s="40"/>
      <c r="G112" s="40"/>
      <c r="H112" s="40"/>
      <c r="I112" s="40"/>
      <c r="J112" s="245" t="str">
        <f>IF(J111=$B$973,$A$973,IF(J111=$B$974,$A$974,IF(J111=$B$975,$A$975,IF(J111=$B$976,$A$976,IF(J111=$B$977,$A$977,"Not Calculated")))))</f>
        <v>Not Calculated</v>
      </c>
      <c r="K112" s="41"/>
      <c r="N112" s="12" t="s">
        <v>897</v>
      </c>
    </row>
    <row r="113" spans="2:14" x14ac:dyDescent="0.2">
      <c r="B113" s="38"/>
      <c r="C113" s="40" t="s">
        <v>893</v>
      </c>
      <c r="D113" s="40"/>
      <c r="E113" s="40"/>
      <c r="F113" s="40"/>
      <c r="G113" s="40"/>
      <c r="H113" s="40"/>
      <c r="I113" s="40"/>
      <c r="J113" s="175"/>
      <c r="K113" s="41"/>
      <c r="N113" s="12" t="s">
        <v>898</v>
      </c>
    </row>
    <row r="114" spans="2:14" s="178" customFormat="1" x14ac:dyDescent="0.2">
      <c r="B114" s="176"/>
      <c r="C114" s="415"/>
      <c r="D114" s="400"/>
      <c r="E114" s="400"/>
      <c r="F114" s="400"/>
      <c r="G114" s="400"/>
      <c r="H114" s="400"/>
      <c r="I114" s="400"/>
      <c r="J114" s="401"/>
      <c r="K114" s="177"/>
    </row>
    <row r="115" spans="2:14" x14ac:dyDescent="0.2">
      <c r="B115" s="38"/>
      <c r="C115" s="40"/>
      <c r="D115" s="40"/>
      <c r="E115" s="40"/>
      <c r="F115" s="40"/>
      <c r="G115" s="40"/>
      <c r="H115" s="40"/>
      <c r="I115" s="40"/>
      <c r="J115" s="40"/>
      <c r="K115" s="41"/>
    </row>
    <row r="116" spans="2:14" x14ac:dyDescent="0.2">
      <c r="B116" s="38"/>
      <c r="C116" s="179" t="s">
        <v>266</v>
      </c>
      <c r="D116" s="40"/>
      <c r="E116" s="40"/>
      <c r="F116" s="40"/>
      <c r="G116" s="40"/>
      <c r="H116" s="40"/>
      <c r="I116" s="40"/>
      <c r="J116" s="245" t="str">
        <f>IF(J110="N/A",IF(OR(J103="Not Calculated",J112="Not Calculated")=TRUE,"Not Calculated",AVERAGE(J103,J112)),AVERAGE(J110,J112))</f>
        <v>Not Calculated</v>
      </c>
      <c r="K116" s="41"/>
    </row>
    <row r="117" spans="2:14" x14ac:dyDescent="0.2">
      <c r="B117" s="38"/>
      <c r="C117" s="40"/>
      <c r="D117" s="40"/>
      <c r="E117" s="40"/>
      <c r="F117" s="40"/>
      <c r="G117" s="40"/>
      <c r="H117" s="40"/>
      <c r="I117" s="40"/>
      <c r="J117" s="40"/>
      <c r="K117" s="41"/>
    </row>
    <row r="118" spans="2:14" x14ac:dyDescent="0.2">
      <c r="B118" s="38"/>
      <c r="C118" s="40"/>
      <c r="D118" s="40"/>
      <c r="E118" s="40"/>
      <c r="F118" s="40"/>
      <c r="G118" s="40"/>
      <c r="H118" s="40"/>
      <c r="I118" s="40"/>
      <c r="J118" s="40"/>
      <c r="K118" s="41"/>
    </row>
    <row r="119" spans="2:14" ht="16" x14ac:dyDescent="0.2">
      <c r="B119" s="38"/>
      <c r="C119" s="45" t="s">
        <v>262</v>
      </c>
      <c r="D119" s="40"/>
      <c r="E119" s="40"/>
      <c r="F119" s="40"/>
      <c r="G119" s="40"/>
      <c r="H119" s="40"/>
      <c r="I119" s="40"/>
      <c r="J119" s="40"/>
      <c r="K119" s="41"/>
    </row>
    <row r="120" spans="2:14" ht="15" customHeight="1" x14ac:dyDescent="0.2">
      <c r="B120" s="38"/>
      <c r="C120" s="422" t="s">
        <v>268</v>
      </c>
      <c r="D120" s="422"/>
      <c r="E120" s="422"/>
      <c r="F120" s="422"/>
      <c r="G120" s="422"/>
      <c r="H120" s="422"/>
      <c r="I120" s="422"/>
      <c r="J120" s="422"/>
      <c r="K120" s="41"/>
    </row>
    <row r="121" spans="2:14" x14ac:dyDescent="0.2">
      <c r="B121" s="38"/>
      <c r="C121" s="422"/>
      <c r="D121" s="422"/>
      <c r="E121" s="422"/>
      <c r="F121" s="422"/>
      <c r="G121" s="422"/>
      <c r="H121" s="422"/>
      <c r="I121" s="422"/>
      <c r="J121" s="422"/>
      <c r="K121" s="41"/>
    </row>
    <row r="122" spans="2:14" x14ac:dyDescent="0.2">
      <c r="B122" s="38"/>
      <c r="C122" s="423"/>
      <c r="D122" s="423"/>
      <c r="E122" s="423"/>
      <c r="F122" s="423"/>
      <c r="G122" s="423"/>
      <c r="H122" s="423"/>
      <c r="I122" s="423"/>
      <c r="J122" s="423"/>
      <c r="K122" s="41"/>
    </row>
    <row r="123" spans="2:14" ht="15" customHeight="1" x14ac:dyDescent="0.2">
      <c r="B123" s="38"/>
      <c r="C123" s="416"/>
      <c r="D123" s="417"/>
      <c r="E123" s="417"/>
      <c r="F123" s="417"/>
      <c r="G123" s="417"/>
      <c r="H123" s="417"/>
      <c r="I123" s="417"/>
      <c r="J123" s="418"/>
      <c r="K123" s="41"/>
    </row>
    <row r="124" spans="2:14" x14ac:dyDescent="0.2">
      <c r="B124" s="38"/>
      <c r="C124" s="419"/>
      <c r="D124" s="420"/>
      <c r="E124" s="420"/>
      <c r="F124" s="420"/>
      <c r="G124" s="420"/>
      <c r="H124" s="420"/>
      <c r="I124" s="420"/>
      <c r="J124" s="421"/>
      <c r="K124" s="41"/>
    </row>
    <row r="125" spans="2:14" ht="15" customHeight="1" x14ac:dyDescent="0.2">
      <c r="B125" s="38"/>
      <c r="C125" s="40" t="s">
        <v>260</v>
      </c>
      <c r="D125" s="40"/>
      <c r="E125" s="40"/>
      <c r="F125" s="40"/>
      <c r="G125" s="40"/>
      <c r="H125" s="40"/>
      <c r="I125" s="40"/>
      <c r="J125" s="247" t="str">
        <f>IF(C123=B987,A987,IF(C123=B988,A988,IF(C123=B989,A989,IF(C123=B990,A990,IF(C123=B991,A991,"Not Calculated")))))</f>
        <v>Not Calculated</v>
      </c>
      <c r="K125" s="41"/>
    </row>
    <row r="126" spans="2:14" ht="15" customHeight="1" x14ac:dyDescent="0.2">
      <c r="B126" s="38"/>
      <c r="C126" s="40" t="s">
        <v>257</v>
      </c>
      <c r="D126" s="40"/>
      <c r="E126" s="40"/>
      <c r="F126" s="40"/>
      <c r="G126" s="40"/>
      <c r="H126" s="40"/>
      <c r="I126" s="40"/>
      <c r="J126" s="266"/>
      <c r="K126" s="41"/>
    </row>
    <row r="127" spans="2:14" x14ac:dyDescent="0.2">
      <c r="B127" s="38"/>
      <c r="C127" s="40" t="s">
        <v>261</v>
      </c>
      <c r="D127" s="40"/>
      <c r="E127" s="40"/>
      <c r="F127" s="40"/>
      <c r="G127" s="40"/>
      <c r="H127" s="40"/>
      <c r="I127" s="40"/>
      <c r="J127" s="245" t="str">
        <f>IF(J126=$B$973,$A$973,IF(J126=$B$974,$A$974,IF(J126=$B$975,$A$975,IF(J126=$B$976,$A$976,IF(J126=$B$977,$A$977,"Not Calculated")))))</f>
        <v>Not Calculated</v>
      </c>
      <c r="K127" s="41"/>
    </row>
    <row r="128" spans="2:14" ht="15" customHeight="1" x14ac:dyDescent="0.2">
      <c r="B128" s="38"/>
      <c r="C128" s="40" t="s">
        <v>893</v>
      </c>
      <c r="D128" s="40"/>
      <c r="E128" s="40"/>
      <c r="F128" s="40"/>
      <c r="G128" s="40"/>
      <c r="H128" s="40"/>
      <c r="I128" s="40"/>
      <c r="J128" s="175"/>
      <c r="K128" s="41"/>
    </row>
    <row r="129" spans="2:11" s="178" customFormat="1" ht="15" customHeight="1" x14ac:dyDescent="0.2">
      <c r="B129" s="176"/>
      <c r="C129" s="415"/>
      <c r="D129" s="400"/>
      <c r="E129" s="400"/>
      <c r="F129" s="400"/>
      <c r="G129" s="400"/>
      <c r="H129" s="400"/>
      <c r="I129" s="400"/>
      <c r="J129" s="401"/>
      <c r="K129" s="177"/>
    </row>
    <row r="130" spans="2:11" x14ac:dyDescent="0.2">
      <c r="B130" s="38"/>
      <c r="C130" s="40"/>
      <c r="D130" s="40"/>
      <c r="E130" s="40"/>
      <c r="F130" s="40"/>
      <c r="G130" s="40"/>
      <c r="H130" s="40"/>
      <c r="I130" s="40"/>
      <c r="J130" s="40"/>
      <c r="K130" s="41"/>
    </row>
    <row r="131" spans="2:11" x14ac:dyDescent="0.2">
      <c r="B131" s="38"/>
      <c r="C131" s="179" t="s">
        <v>267</v>
      </c>
      <c r="D131" s="40"/>
      <c r="E131" s="40"/>
      <c r="F131" s="40"/>
      <c r="G131" s="40"/>
      <c r="H131" s="40"/>
      <c r="I131" s="40"/>
      <c r="J131" s="245" t="str">
        <f>IF(OR(J125="Not Calculated",J127="Not Calculated")=TRUE,"Not Calculated",AVERAGE(J125,J127))</f>
        <v>Not Calculated</v>
      </c>
      <c r="K131" s="41"/>
    </row>
    <row r="132" spans="2:11" x14ac:dyDescent="0.2">
      <c r="B132" s="38"/>
      <c r="C132" s="179"/>
      <c r="D132" s="40"/>
      <c r="E132" s="40"/>
      <c r="F132" s="40"/>
      <c r="G132" s="40"/>
      <c r="H132" s="40"/>
      <c r="I132" s="40"/>
      <c r="J132" s="245"/>
      <c r="K132" s="41"/>
    </row>
    <row r="133" spans="2:11" ht="18" x14ac:dyDescent="0.2">
      <c r="B133" s="38"/>
      <c r="C133" s="180" t="s">
        <v>269</v>
      </c>
      <c r="D133" s="40"/>
      <c r="E133" s="40"/>
      <c r="F133" s="40"/>
      <c r="G133" s="40"/>
      <c r="H133" s="40"/>
      <c r="I133" s="40"/>
      <c r="J133" s="244" t="str">
        <f>IF(OR(J40="Not Calculated",J59="Not Calculated",J78="Not Calculated",J97="Not Calculated",J116="Not Calculated",J131="Not Calculated",)=TRUE,"Not Calculated",AVERAGE(J40,J59,J78,J97,J116,J131))</f>
        <v>Not Calculated</v>
      </c>
      <c r="K133" s="41"/>
    </row>
    <row r="134" spans="2:11" ht="16" thickBot="1" x14ac:dyDescent="0.25">
      <c r="B134" s="46"/>
      <c r="C134" s="47"/>
      <c r="D134" s="47"/>
      <c r="E134" s="47"/>
      <c r="F134" s="47"/>
      <c r="G134" s="47"/>
      <c r="H134" s="47"/>
      <c r="I134" s="47"/>
      <c r="J134" s="47"/>
      <c r="K134" s="49"/>
    </row>
    <row r="135" spans="2:11" ht="16" thickBot="1" x14ac:dyDescent="0.25"/>
    <row r="136" spans="2:11" x14ac:dyDescent="0.2">
      <c r="B136" s="33"/>
      <c r="C136" s="34"/>
      <c r="D136" s="34"/>
      <c r="E136" s="34"/>
      <c r="F136" s="34"/>
      <c r="G136" s="34"/>
      <c r="H136" s="34"/>
      <c r="I136" s="34"/>
      <c r="J136" s="34"/>
      <c r="K136" s="37"/>
    </row>
    <row r="137" spans="2:11" ht="21" x14ac:dyDescent="0.25">
      <c r="B137" s="38"/>
      <c r="C137" s="171"/>
      <c r="D137" s="40"/>
      <c r="E137" s="40"/>
      <c r="F137" s="40"/>
      <c r="G137" s="172" t="s">
        <v>27</v>
      </c>
      <c r="H137" s="40"/>
      <c r="I137" s="40"/>
      <c r="J137" s="40"/>
      <c r="K137" s="41"/>
    </row>
    <row r="138" spans="2:11" x14ac:dyDescent="0.2">
      <c r="B138" s="38"/>
      <c r="C138" s="40"/>
      <c r="D138" s="40"/>
      <c r="E138" s="40"/>
      <c r="F138" s="40"/>
      <c r="G138" s="40"/>
      <c r="H138" s="40"/>
      <c r="I138" s="40"/>
      <c r="J138" s="40"/>
      <c r="K138" s="41"/>
    </row>
    <row r="139" spans="2:11" ht="16" x14ac:dyDescent="0.2">
      <c r="B139" s="38"/>
      <c r="C139" s="45" t="s">
        <v>72</v>
      </c>
      <c r="D139" s="40"/>
      <c r="E139" s="40"/>
      <c r="F139" s="40"/>
      <c r="G139" s="40"/>
      <c r="H139" s="40"/>
      <c r="I139" s="40"/>
      <c r="J139" s="40"/>
      <c r="K139" s="41"/>
    </row>
    <row r="140" spans="2:11" x14ac:dyDescent="0.2">
      <c r="B140" s="38"/>
      <c r="C140" s="40" t="s">
        <v>440</v>
      </c>
      <c r="D140" s="40"/>
      <c r="E140" s="40"/>
      <c r="F140" s="40"/>
      <c r="G140" s="40"/>
      <c r="H140" s="40"/>
      <c r="I140" s="40"/>
      <c r="J140" s="252">
        <f>'Baseline Health'!G45</f>
        <v>0</v>
      </c>
      <c r="K140" s="41"/>
    </row>
    <row r="141" spans="2:11" x14ac:dyDescent="0.2">
      <c r="B141" s="38"/>
      <c r="C141" s="40" t="s">
        <v>270</v>
      </c>
      <c r="D141" s="40"/>
      <c r="E141" s="40"/>
      <c r="F141" s="40"/>
      <c r="G141" s="40"/>
      <c r="H141" s="40"/>
      <c r="I141" s="40"/>
      <c r="J141" s="264"/>
      <c r="K141" s="41"/>
    </row>
    <row r="142" spans="2:11" x14ac:dyDescent="0.2">
      <c r="B142" s="38"/>
      <c r="C142" s="40" t="s">
        <v>439</v>
      </c>
      <c r="D142" s="40"/>
      <c r="E142" s="40"/>
      <c r="F142" s="40"/>
      <c r="G142" s="40"/>
      <c r="H142" s="40"/>
      <c r="I142" s="40"/>
      <c r="J142" s="251">
        <f>J83/20</f>
        <v>0</v>
      </c>
      <c r="K142" s="41"/>
    </row>
    <row r="143" spans="2:11" x14ac:dyDescent="0.2">
      <c r="B143" s="38"/>
      <c r="C143" s="40"/>
      <c r="D143" s="40" t="s">
        <v>351</v>
      </c>
      <c r="E143" s="40"/>
      <c r="F143" s="40"/>
      <c r="G143" s="40"/>
      <c r="H143" s="40"/>
      <c r="I143" s="40"/>
      <c r="J143" s="40"/>
      <c r="K143" s="41"/>
    </row>
    <row r="144" spans="2:11" x14ac:dyDescent="0.2">
      <c r="B144" s="38"/>
      <c r="C144" s="40" t="s">
        <v>260</v>
      </c>
      <c r="D144" s="40"/>
      <c r="E144" s="40"/>
      <c r="F144" s="40"/>
      <c r="G144" s="40"/>
      <c r="H144" s="40"/>
      <c r="I144" s="40"/>
      <c r="J144" s="245" t="str">
        <f>IF(OR(J140=0,J140="Not Calculated")=TRUE,"Not Calculated",IF((J140-J141)&lt;=0,4,IF(((J140+J142)/(J140-J141))&lt;=1,0,IF(((J140+J142)/(J140-J141))&lt;=1.05,1,IF(((J140+J142)/(J140-J141))&lt;=1.5, 2,IF(((J140+J142)/(J140-J141))&lt;=2,3,4))))))</f>
        <v>Not Calculated</v>
      </c>
      <c r="K144" s="41"/>
    </row>
    <row r="145" spans="2:14" ht="9.75" customHeight="1" x14ac:dyDescent="0.2">
      <c r="B145" s="38"/>
      <c r="C145" s="279" t="str">
        <f>"0:"</f>
        <v>0:</v>
      </c>
      <c r="D145" s="278" t="s">
        <v>918</v>
      </c>
      <c r="E145" s="40"/>
      <c r="F145" s="40"/>
      <c r="G145" s="40"/>
      <c r="H145" s="40"/>
      <c r="I145" s="40"/>
      <c r="J145" s="40"/>
      <c r="K145" s="41"/>
    </row>
    <row r="146" spans="2:14" ht="9.75" customHeight="1" x14ac:dyDescent="0.2">
      <c r="B146" s="38"/>
      <c r="C146" s="280" t="str">
        <f>"1:"</f>
        <v>1:</v>
      </c>
      <c r="D146" s="278" t="s">
        <v>923</v>
      </c>
      <c r="E146" s="40"/>
      <c r="F146" s="40"/>
      <c r="G146" s="40"/>
      <c r="H146" s="40"/>
      <c r="I146" s="40"/>
      <c r="J146" s="40"/>
      <c r="K146" s="41"/>
    </row>
    <row r="147" spans="2:14" ht="9.75" customHeight="1" x14ac:dyDescent="0.2">
      <c r="B147" s="38"/>
      <c r="C147" s="280" t="str">
        <f>"2:"</f>
        <v>2:</v>
      </c>
      <c r="D147" s="278" t="s">
        <v>924</v>
      </c>
      <c r="E147" s="40"/>
      <c r="F147" s="40"/>
      <c r="G147" s="40"/>
      <c r="H147" s="40"/>
      <c r="I147" s="40"/>
      <c r="J147" s="40"/>
      <c r="K147" s="41"/>
    </row>
    <row r="148" spans="2:14" ht="9.75" customHeight="1" x14ac:dyDescent="0.2">
      <c r="B148" s="38"/>
      <c r="C148" s="280" t="str">
        <f>"3:"</f>
        <v>3:</v>
      </c>
      <c r="D148" s="278" t="s">
        <v>925</v>
      </c>
      <c r="E148" s="40"/>
      <c r="F148" s="40"/>
      <c r="G148" s="40"/>
      <c r="H148" s="40"/>
      <c r="I148" s="40"/>
      <c r="J148" s="40"/>
      <c r="K148" s="41"/>
    </row>
    <row r="149" spans="2:14" ht="9.75" customHeight="1" x14ac:dyDescent="0.2">
      <c r="B149" s="38"/>
      <c r="C149" s="280" t="str">
        <f>"4:"</f>
        <v>4:</v>
      </c>
      <c r="D149" s="278" t="s">
        <v>926</v>
      </c>
      <c r="E149" s="40"/>
      <c r="F149" s="40"/>
      <c r="G149" s="40"/>
      <c r="H149" s="40"/>
      <c r="I149" s="40"/>
      <c r="J149" s="40"/>
      <c r="K149" s="41"/>
      <c r="N149" s="12" t="s">
        <v>661</v>
      </c>
    </row>
    <row r="150" spans="2:14" x14ac:dyDescent="0.2">
      <c r="B150" s="38"/>
      <c r="C150" s="174" t="s">
        <v>662</v>
      </c>
      <c r="D150" s="40"/>
      <c r="E150" s="40"/>
      <c r="F150" s="40"/>
      <c r="G150" s="40"/>
      <c r="H150" s="40"/>
      <c r="I150" s="40"/>
      <c r="J150" s="265" t="s">
        <v>661</v>
      </c>
      <c r="K150" s="41"/>
      <c r="N150" s="12" t="s">
        <v>894</v>
      </c>
    </row>
    <row r="151" spans="2:14" x14ac:dyDescent="0.2">
      <c r="B151" s="38"/>
      <c r="C151" s="174" t="s">
        <v>660</v>
      </c>
      <c r="D151" s="40"/>
      <c r="E151" s="40"/>
      <c r="F151" s="40"/>
      <c r="G151" s="40"/>
      <c r="H151" s="40"/>
      <c r="I151" s="40"/>
      <c r="J151" s="246" t="str">
        <f>IF(J150=N149,"N/A",IF(J150=N150,0,IF(J150=N151,1,IF(J150=N152,2,IF(J150=N153,3,IF(J150=N154,4,"N/A"))))))</f>
        <v>N/A</v>
      </c>
      <c r="K151" s="41"/>
      <c r="N151" s="12" t="s">
        <v>899</v>
      </c>
    </row>
    <row r="152" spans="2:14" x14ac:dyDescent="0.2">
      <c r="B152" s="38"/>
      <c r="C152" s="40" t="s">
        <v>257</v>
      </c>
      <c r="D152" s="40"/>
      <c r="E152" s="40"/>
      <c r="F152" s="40"/>
      <c r="G152" s="40"/>
      <c r="H152" s="40"/>
      <c r="I152" s="40"/>
      <c r="J152" s="266"/>
      <c r="K152" s="41"/>
      <c r="N152" s="12" t="s">
        <v>900</v>
      </c>
    </row>
    <row r="153" spans="2:14" x14ac:dyDescent="0.2">
      <c r="B153" s="38"/>
      <c r="C153" s="40" t="s">
        <v>261</v>
      </c>
      <c r="D153" s="40"/>
      <c r="E153" s="40"/>
      <c r="F153" s="40"/>
      <c r="G153" s="40"/>
      <c r="H153" s="40"/>
      <c r="I153" s="40"/>
      <c r="J153" s="245" t="str">
        <f>IF(J152=$B$973,$A$973,IF(J152=$B$974,$A$974,IF(J152=$B$975,$A$975,IF(J152=$B$976,$A$976,IF(J152=$B$977,$A$977,"Not Calculated")))))</f>
        <v>Not Calculated</v>
      </c>
      <c r="K153" s="41"/>
      <c r="N153" s="12" t="s">
        <v>901</v>
      </c>
    </row>
    <row r="154" spans="2:14" x14ac:dyDescent="0.2">
      <c r="B154" s="38"/>
      <c r="C154" s="40" t="s">
        <v>893</v>
      </c>
      <c r="D154" s="40"/>
      <c r="E154" s="40"/>
      <c r="F154" s="40"/>
      <c r="G154" s="40"/>
      <c r="H154" s="40"/>
      <c r="I154" s="40"/>
      <c r="J154" s="40"/>
      <c r="K154" s="41"/>
      <c r="N154" s="12" t="s">
        <v>902</v>
      </c>
    </row>
    <row r="155" spans="2:14" ht="15" customHeight="1" x14ac:dyDescent="0.2">
      <c r="B155" s="38"/>
      <c r="C155" s="399"/>
      <c r="D155" s="400"/>
      <c r="E155" s="400"/>
      <c r="F155" s="400"/>
      <c r="G155" s="400"/>
      <c r="H155" s="400"/>
      <c r="I155" s="400"/>
      <c r="J155" s="401"/>
      <c r="K155" s="41"/>
    </row>
    <row r="156" spans="2:14" x14ac:dyDescent="0.2">
      <c r="B156" s="38"/>
      <c r="C156" s="40"/>
      <c r="D156" s="40"/>
      <c r="E156" s="40"/>
      <c r="F156" s="40"/>
      <c r="G156" s="40"/>
      <c r="H156" s="40"/>
      <c r="I156" s="40"/>
      <c r="J156" s="40"/>
      <c r="K156" s="41"/>
    </row>
    <row r="157" spans="2:14" x14ac:dyDescent="0.2">
      <c r="B157" s="38"/>
      <c r="C157" s="179" t="s">
        <v>271</v>
      </c>
      <c r="D157" s="40"/>
      <c r="E157" s="40"/>
      <c r="F157" s="40"/>
      <c r="G157" s="40"/>
      <c r="H157" s="40"/>
      <c r="I157" s="40"/>
      <c r="J157" s="245" t="str">
        <f>IF(J151="N/A",IF(OR(J144="Not Calculated",J153="Not Calculated")=TRUE,"Not Calculated",AVERAGE(J144,J153)),AVERAGE(J151,J153))</f>
        <v>Not Calculated</v>
      </c>
      <c r="K157" s="41"/>
    </row>
    <row r="158" spans="2:14" x14ac:dyDescent="0.2">
      <c r="B158" s="38"/>
      <c r="C158" s="40"/>
      <c r="D158" s="40"/>
      <c r="E158" s="40"/>
      <c r="F158" s="40"/>
      <c r="G158" s="40"/>
      <c r="H158" s="40"/>
      <c r="I158" s="40"/>
      <c r="J158" s="40"/>
      <c r="K158" s="41"/>
    </row>
    <row r="159" spans="2:14" x14ac:dyDescent="0.2">
      <c r="B159" s="38"/>
      <c r="C159" s="40"/>
      <c r="D159" s="40"/>
      <c r="E159" s="40"/>
      <c r="F159" s="40"/>
      <c r="G159" s="40"/>
      <c r="H159" s="40"/>
      <c r="I159" s="40"/>
      <c r="J159" s="40"/>
      <c r="K159" s="41"/>
    </row>
    <row r="160" spans="2:14" ht="16" x14ac:dyDescent="0.2">
      <c r="B160" s="38"/>
      <c r="C160" s="45" t="s">
        <v>273</v>
      </c>
      <c r="D160" s="40"/>
      <c r="E160" s="40"/>
      <c r="F160" s="40"/>
      <c r="G160" s="40"/>
      <c r="H160" s="40"/>
      <c r="I160" s="40"/>
      <c r="J160" s="40"/>
      <c r="K160" s="41"/>
    </row>
    <row r="161" spans="2:14" x14ac:dyDescent="0.2">
      <c r="B161" s="38"/>
      <c r="C161" s="40" t="s">
        <v>441</v>
      </c>
      <c r="D161" s="40"/>
      <c r="E161" s="40"/>
      <c r="F161" s="40"/>
      <c r="G161" s="40"/>
      <c r="H161" s="40"/>
      <c r="I161" s="40"/>
      <c r="J161" s="252">
        <f>'Baseline Health'!G51</f>
        <v>0</v>
      </c>
      <c r="K161" s="41"/>
    </row>
    <row r="162" spans="2:14" x14ac:dyDescent="0.2">
      <c r="B162" s="38"/>
      <c r="C162" s="40" t="s">
        <v>280</v>
      </c>
      <c r="D162" s="40"/>
      <c r="E162" s="40"/>
      <c r="F162" s="40"/>
      <c r="G162" s="40"/>
      <c r="H162" s="40"/>
      <c r="I162" s="40"/>
      <c r="J162" s="264"/>
      <c r="K162" s="41"/>
    </row>
    <row r="163" spans="2:14" x14ac:dyDescent="0.2">
      <c r="B163" s="38"/>
      <c r="C163" s="40" t="s">
        <v>442</v>
      </c>
      <c r="D163" s="40"/>
      <c r="E163" s="40"/>
      <c r="F163" s="40"/>
      <c r="G163" s="40"/>
      <c r="H163" s="40"/>
      <c r="I163" s="40"/>
      <c r="J163" s="251">
        <f>(J64)/4.5</f>
        <v>0</v>
      </c>
      <c r="K163" s="41"/>
    </row>
    <row r="164" spans="2:14" x14ac:dyDescent="0.2">
      <c r="B164" s="38"/>
      <c r="C164" s="40"/>
      <c r="D164" s="40" t="s">
        <v>353</v>
      </c>
      <c r="E164" s="40"/>
      <c r="F164" s="40"/>
      <c r="G164" s="40"/>
      <c r="H164" s="40"/>
      <c r="I164" s="40"/>
      <c r="J164" s="40"/>
      <c r="K164" s="41"/>
    </row>
    <row r="165" spans="2:14" x14ac:dyDescent="0.2">
      <c r="B165" s="38"/>
      <c r="C165" s="40" t="s">
        <v>260</v>
      </c>
      <c r="D165" s="40"/>
      <c r="E165" s="40"/>
      <c r="F165" s="40"/>
      <c r="G165" s="40"/>
      <c r="H165" s="40"/>
      <c r="I165" s="40"/>
      <c r="J165" s="245" t="str">
        <f>IF(OR(J161=0,J161="Not Calculated")=TRUE,"Not Calculated",IF((J161-J162)&lt;=0,4,IF(((J161+J163)/(J161-J162))&lt;=1,0,IF(((J161+J163)/(J161-J162))&lt;=1.05,1,IF(((J161+J163)/(J161-J162))&lt;=1.5, 2,IF(((J161+J163)/(J161-J162))&lt;=2,3,4))))))</f>
        <v>Not Calculated</v>
      </c>
      <c r="K165" s="41"/>
    </row>
    <row r="166" spans="2:14" ht="9.75" customHeight="1" x14ac:dyDescent="0.2">
      <c r="B166" s="38"/>
      <c r="C166" s="279" t="str">
        <f>"0:"</f>
        <v>0:</v>
      </c>
      <c r="D166" s="278" t="s">
        <v>918</v>
      </c>
      <c r="E166" s="40"/>
      <c r="F166" s="40"/>
      <c r="G166" s="40"/>
      <c r="H166" s="40"/>
      <c r="I166" s="40"/>
      <c r="J166" s="40"/>
      <c r="K166" s="41"/>
    </row>
    <row r="167" spans="2:14" ht="9.75" customHeight="1" x14ac:dyDescent="0.2">
      <c r="B167" s="38"/>
      <c r="C167" s="280" t="str">
        <f>"1:"</f>
        <v>1:</v>
      </c>
      <c r="D167" s="278" t="s">
        <v>923</v>
      </c>
      <c r="E167" s="40"/>
      <c r="F167" s="40"/>
      <c r="G167" s="40"/>
      <c r="H167" s="40"/>
      <c r="I167" s="40"/>
      <c r="J167" s="40"/>
      <c r="K167" s="41"/>
    </row>
    <row r="168" spans="2:14" ht="9.75" customHeight="1" x14ac:dyDescent="0.2">
      <c r="B168" s="38"/>
      <c r="C168" s="280" t="str">
        <f>"2:"</f>
        <v>2:</v>
      </c>
      <c r="D168" s="278" t="s">
        <v>924</v>
      </c>
      <c r="E168" s="40"/>
      <c r="F168" s="40"/>
      <c r="G168" s="40"/>
      <c r="H168" s="40"/>
      <c r="I168" s="40"/>
      <c r="J168" s="40"/>
      <c r="K168" s="41"/>
    </row>
    <row r="169" spans="2:14" ht="9.75" customHeight="1" x14ac:dyDescent="0.2">
      <c r="B169" s="38"/>
      <c r="C169" s="280" t="str">
        <f>"3:"</f>
        <v>3:</v>
      </c>
      <c r="D169" s="278" t="s">
        <v>925</v>
      </c>
      <c r="E169" s="40"/>
      <c r="F169" s="40"/>
      <c r="G169" s="40"/>
      <c r="H169" s="40"/>
      <c r="I169" s="40"/>
      <c r="J169" s="40"/>
      <c r="K169" s="41"/>
    </row>
    <row r="170" spans="2:14" ht="9.75" customHeight="1" x14ac:dyDescent="0.2">
      <c r="B170" s="38"/>
      <c r="C170" s="280" t="str">
        <f>"4:"</f>
        <v>4:</v>
      </c>
      <c r="D170" s="278" t="s">
        <v>926</v>
      </c>
      <c r="E170" s="40"/>
      <c r="F170" s="40"/>
      <c r="G170" s="40"/>
      <c r="H170" s="40"/>
      <c r="I170" s="40"/>
      <c r="J170" s="40"/>
      <c r="K170" s="41"/>
      <c r="N170" s="12" t="s">
        <v>661</v>
      </c>
    </row>
    <row r="171" spans="2:14" x14ac:dyDescent="0.2">
      <c r="B171" s="38"/>
      <c r="C171" s="174" t="s">
        <v>662</v>
      </c>
      <c r="D171" s="40"/>
      <c r="E171" s="40"/>
      <c r="F171" s="40"/>
      <c r="G171" s="40"/>
      <c r="H171" s="40"/>
      <c r="I171" s="40"/>
      <c r="J171" s="265" t="s">
        <v>661</v>
      </c>
      <c r="K171" s="41"/>
      <c r="N171" s="12" t="s">
        <v>894</v>
      </c>
    </row>
    <row r="172" spans="2:14" x14ac:dyDescent="0.2">
      <c r="B172" s="38"/>
      <c r="C172" s="174" t="s">
        <v>660</v>
      </c>
      <c r="D172" s="40"/>
      <c r="E172" s="40"/>
      <c r="F172" s="40"/>
      <c r="G172" s="40"/>
      <c r="H172" s="40"/>
      <c r="I172" s="40"/>
      <c r="J172" s="246" t="str">
        <f>IF(J171=N170,"N/A",IF(J171=N171,0,IF(J171=N172,1,IF(J171=N173,2,IF(J171=N174,3,IF(J171=N175,4,"N/A"))))))</f>
        <v>N/A</v>
      </c>
      <c r="K172" s="41"/>
      <c r="N172" s="12" t="s">
        <v>899</v>
      </c>
    </row>
    <row r="173" spans="2:14" x14ac:dyDescent="0.2">
      <c r="B173" s="38"/>
      <c r="C173" s="40" t="s">
        <v>257</v>
      </c>
      <c r="D173" s="40"/>
      <c r="E173" s="40"/>
      <c r="F173" s="40"/>
      <c r="G173" s="40"/>
      <c r="H173" s="40"/>
      <c r="I173" s="40"/>
      <c r="J173" s="266"/>
      <c r="K173" s="41"/>
      <c r="N173" s="12" t="s">
        <v>900</v>
      </c>
    </row>
    <row r="174" spans="2:14" x14ac:dyDescent="0.2">
      <c r="B174" s="38"/>
      <c r="C174" s="40" t="s">
        <v>261</v>
      </c>
      <c r="D174" s="40"/>
      <c r="E174" s="40"/>
      <c r="F174" s="40"/>
      <c r="G174" s="40"/>
      <c r="H174" s="40"/>
      <c r="I174" s="40"/>
      <c r="J174" s="245" t="str">
        <f>IF(J173=$B$973,$A$973,IF(J173=$B$974,$A$974,IF(J173=$B$975,$A$975,IF(J173=$B$976,$A$976,IF(J173=$B$977,$A$977,"Not Calculated")))))</f>
        <v>Not Calculated</v>
      </c>
      <c r="K174" s="41"/>
      <c r="N174" s="12" t="s">
        <v>901</v>
      </c>
    </row>
    <row r="175" spans="2:14" x14ac:dyDescent="0.2">
      <c r="B175" s="38"/>
      <c r="C175" s="40" t="s">
        <v>893</v>
      </c>
      <c r="D175" s="40"/>
      <c r="E175" s="40"/>
      <c r="F175" s="40"/>
      <c r="G175" s="40"/>
      <c r="H175" s="40"/>
      <c r="I175" s="40"/>
      <c r="J175" s="40"/>
      <c r="K175" s="41"/>
      <c r="N175" s="12" t="s">
        <v>902</v>
      </c>
    </row>
    <row r="176" spans="2:14" ht="15" customHeight="1" x14ac:dyDescent="0.2">
      <c r="B176" s="38"/>
      <c r="C176" s="399"/>
      <c r="D176" s="400"/>
      <c r="E176" s="400"/>
      <c r="F176" s="400"/>
      <c r="G176" s="400"/>
      <c r="H176" s="400"/>
      <c r="I176" s="400"/>
      <c r="J176" s="401"/>
      <c r="K176" s="41"/>
    </row>
    <row r="177" spans="2:14" x14ac:dyDescent="0.2">
      <c r="B177" s="38"/>
      <c r="C177" s="40"/>
      <c r="D177" s="40"/>
      <c r="E177" s="40"/>
      <c r="F177" s="40"/>
      <c r="G177" s="40"/>
      <c r="H177" s="40"/>
      <c r="I177" s="40"/>
      <c r="J177" s="40"/>
      <c r="K177" s="41"/>
    </row>
    <row r="178" spans="2:14" x14ac:dyDescent="0.2">
      <c r="B178" s="38"/>
      <c r="C178" s="179" t="s">
        <v>274</v>
      </c>
      <c r="D178" s="40"/>
      <c r="E178" s="40"/>
      <c r="F178" s="40"/>
      <c r="G178" s="40"/>
      <c r="H178" s="40"/>
      <c r="I178" s="40"/>
      <c r="J178" s="245" t="str">
        <f>IF(J172="N/A",IF(OR(J165="Not Calculated",J174="Not Calculated")=TRUE,"Not Calculated",AVERAGE(J165,J174)),AVERAGE(J172,J174))</f>
        <v>Not Calculated</v>
      </c>
      <c r="K178" s="41"/>
    </row>
    <row r="179" spans="2:14" x14ac:dyDescent="0.2">
      <c r="B179" s="38"/>
      <c r="C179" s="40"/>
      <c r="D179" s="40"/>
      <c r="E179" s="40"/>
      <c r="F179" s="40"/>
      <c r="G179" s="40"/>
      <c r="H179" s="40"/>
      <c r="I179" s="40"/>
      <c r="J179" s="40"/>
      <c r="K179" s="41"/>
    </row>
    <row r="180" spans="2:14" x14ac:dyDescent="0.2">
      <c r="B180" s="38"/>
      <c r="C180" s="40"/>
      <c r="D180" s="40"/>
      <c r="E180" s="40"/>
      <c r="F180" s="40"/>
      <c r="G180" s="40"/>
      <c r="H180" s="40"/>
      <c r="I180" s="40"/>
      <c r="J180" s="40"/>
      <c r="K180" s="41"/>
    </row>
    <row r="181" spans="2:14" ht="16" x14ac:dyDescent="0.2">
      <c r="B181" s="38"/>
      <c r="C181" s="45" t="s">
        <v>74</v>
      </c>
      <c r="D181" s="40"/>
      <c r="E181" s="40"/>
      <c r="F181" s="40"/>
      <c r="G181" s="40"/>
      <c r="H181" s="40"/>
      <c r="I181" s="40"/>
      <c r="J181" s="40"/>
      <c r="K181" s="41"/>
    </row>
    <row r="182" spans="2:14" x14ac:dyDescent="0.2">
      <c r="B182" s="38"/>
      <c r="C182" s="40" t="s">
        <v>443</v>
      </c>
      <c r="D182" s="40"/>
      <c r="E182" s="40"/>
      <c r="F182" s="40"/>
      <c r="G182" s="40"/>
      <c r="H182" s="40"/>
      <c r="I182" s="40"/>
      <c r="J182" s="252">
        <f>'Baseline Health'!G59</f>
        <v>0</v>
      </c>
      <c r="K182" s="41"/>
    </row>
    <row r="183" spans="2:14" x14ac:dyDescent="0.2">
      <c r="B183" s="38"/>
      <c r="C183" s="40" t="s">
        <v>281</v>
      </c>
      <c r="D183" s="40"/>
      <c r="E183" s="40"/>
      <c r="F183" s="40"/>
      <c r="G183" s="40"/>
      <c r="H183" s="40"/>
      <c r="I183" s="40"/>
      <c r="J183" s="264"/>
      <c r="K183" s="41"/>
    </row>
    <row r="184" spans="2:14" x14ac:dyDescent="0.2">
      <c r="B184" s="38"/>
      <c r="C184" s="40" t="s">
        <v>354</v>
      </c>
      <c r="D184" s="40"/>
      <c r="E184" s="40"/>
      <c r="F184" s="40"/>
      <c r="G184" s="40"/>
      <c r="H184" s="40"/>
      <c r="I184" s="40"/>
      <c r="J184" s="264"/>
      <c r="K184" s="41"/>
    </row>
    <row r="185" spans="2:14" x14ac:dyDescent="0.2">
      <c r="B185" s="38"/>
      <c r="C185" s="40" t="s">
        <v>260</v>
      </c>
      <c r="D185" s="40"/>
      <c r="E185" s="40"/>
      <c r="F185" s="40"/>
      <c r="G185" s="40"/>
      <c r="H185" s="40"/>
      <c r="I185" s="40"/>
      <c r="J185" s="245" t="str">
        <f>IF(OR(J182=0,J182="Not Calculated")=TRUE,"Not Calculated",IF(J182-J183=0,4,IF(((J182+J184)/(J182-J183))&lt;=1,0,IF(((J182+J184)/(J182-J183))&lt;=1.05,1,IF(((J182+J184)/(J182-J183))&lt;=1.5, 2,IF(((J182+J184)/(J182-J183))&lt;=2,3,4))))))</f>
        <v>Not Calculated</v>
      </c>
      <c r="K185" s="41"/>
    </row>
    <row r="186" spans="2:14" ht="9.75" customHeight="1" x14ac:dyDescent="0.2">
      <c r="B186" s="38"/>
      <c r="C186" s="279" t="str">
        <f>"0:"</f>
        <v>0:</v>
      </c>
      <c r="D186" s="278" t="s">
        <v>918</v>
      </c>
      <c r="E186" s="40"/>
      <c r="F186" s="40"/>
      <c r="G186" s="40"/>
      <c r="H186" s="40"/>
      <c r="I186" s="40"/>
      <c r="J186" s="40"/>
      <c r="K186" s="41"/>
    </row>
    <row r="187" spans="2:14" ht="9.75" customHeight="1" x14ac:dyDescent="0.2">
      <c r="B187" s="38"/>
      <c r="C187" s="280" t="str">
        <f>"1:"</f>
        <v>1:</v>
      </c>
      <c r="D187" s="278" t="s">
        <v>923</v>
      </c>
      <c r="E187" s="40"/>
      <c r="F187" s="40"/>
      <c r="G187" s="40"/>
      <c r="H187" s="40"/>
      <c r="I187" s="40"/>
      <c r="J187" s="40"/>
      <c r="K187" s="41"/>
    </row>
    <row r="188" spans="2:14" ht="9.75" customHeight="1" x14ac:dyDescent="0.2">
      <c r="B188" s="38"/>
      <c r="C188" s="280" t="str">
        <f>"2:"</f>
        <v>2:</v>
      </c>
      <c r="D188" s="278" t="s">
        <v>924</v>
      </c>
      <c r="E188" s="40"/>
      <c r="F188" s="40"/>
      <c r="G188" s="40"/>
      <c r="H188" s="40"/>
      <c r="I188" s="40"/>
      <c r="J188" s="40"/>
      <c r="K188" s="41"/>
    </row>
    <row r="189" spans="2:14" ht="9.75" customHeight="1" x14ac:dyDescent="0.2">
      <c r="B189" s="38"/>
      <c r="C189" s="280" t="str">
        <f>"3:"</f>
        <v>3:</v>
      </c>
      <c r="D189" s="278" t="s">
        <v>925</v>
      </c>
      <c r="E189" s="40"/>
      <c r="F189" s="40"/>
      <c r="G189" s="40"/>
      <c r="H189" s="40"/>
      <c r="I189" s="40"/>
      <c r="J189" s="40"/>
      <c r="K189" s="41"/>
    </row>
    <row r="190" spans="2:14" ht="9.75" customHeight="1" x14ac:dyDescent="0.2">
      <c r="B190" s="38"/>
      <c r="C190" s="280" t="str">
        <f>"4:"</f>
        <v>4:</v>
      </c>
      <c r="D190" s="278" t="s">
        <v>926</v>
      </c>
      <c r="E190" s="40"/>
      <c r="F190" s="40"/>
      <c r="G190" s="40"/>
      <c r="H190" s="40"/>
      <c r="I190" s="40"/>
      <c r="J190" s="40"/>
      <c r="K190" s="41"/>
      <c r="N190" s="12" t="s">
        <v>661</v>
      </c>
    </row>
    <row r="191" spans="2:14" x14ac:dyDescent="0.2">
      <c r="B191" s="38"/>
      <c r="C191" s="174" t="s">
        <v>662</v>
      </c>
      <c r="D191" s="40"/>
      <c r="E191" s="40"/>
      <c r="F191" s="40"/>
      <c r="G191" s="40"/>
      <c r="H191" s="40"/>
      <c r="I191" s="40"/>
      <c r="J191" s="265" t="s">
        <v>661</v>
      </c>
      <c r="K191" s="41"/>
      <c r="N191" s="12" t="s">
        <v>894</v>
      </c>
    </row>
    <row r="192" spans="2:14" x14ac:dyDescent="0.2">
      <c r="B192" s="38"/>
      <c r="C192" s="174" t="s">
        <v>660</v>
      </c>
      <c r="D192" s="40"/>
      <c r="E192" s="40"/>
      <c r="F192" s="40"/>
      <c r="G192" s="40"/>
      <c r="H192" s="40"/>
      <c r="I192" s="40"/>
      <c r="J192" s="246" t="str">
        <f>IF(J191=N190,"N/A",IF(J191=N191,0,IF(J191=N192,1,IF(J191=N193,2,IF(J191=N194,3,IF(J191=N195,4,"N/A"))))))</f>
        <v>N/A</v>
      </c>
      <c r="K192" s="41"/>
      <c r="N192" s="12" t="s">
        <v>899</v>
      </c>
    </row>
    <row r="193" spans="2:14" x14ac:dyDescent="0.2">
      <c r="B193" s="38"/>
      <c r="C193" s="40" t="s">
        <v>257</v>
      </c>
      <c r="D193" s="40"/>
      <c r="E193" s="40"/>
      <c r="F193" s="40"/>
      <c r="G193" s="40"/>
      <c r="H193" s="40"/>
      <c r="I193" s="40"/>
      <c r="J193" s="266"/>
      <c r="K193" s="41"/>
      <c r="N193" s="12" t="s">
        <v>900</v>
      </c>
    </row>
    <row r="194" spans="2:14" x14ac:dyDescent="0.2">
      <c r="B194" s="38"/>
      <c r="C194" s="40" t="s">
        <v>261</v>
      </c>
      <c r="D194" s="40"/>
      <c r="E194" s="40"/>
      <c r="F194" s="40"/>
      <c r="G194" s="40"/>
      <c r="H194" s="40"/>
      <c r="I194" s="40"/>
      <c r="J194" s="245" t="str">
        <f>IF(J193=$B$973,$A$973,IF(J193=$B$974,$A$974,IF(J193=$B$975,$A$975,IF(J193=$B$976,$A$976,IF(J193=$B$977,$A$977,"Not Calculated")))))</f>
        <v>Not Calculated</v>
      </c>
      <c r="K194" s="41"/>
      <c r="N194" s="12" t="s">
        <v>901</v>
      </c>
    </row>
    <row r="195" spans="2:14" x14ac:dyDescent="0.2">
      <c r="B195" s="38"/>
      <c r="C195" s="40" t="s">
        <v>893</v>
      </c>
      <c r="D195" s="40"/>
      <c r="E195" s="40"/>
      <c r="F195" s="40"/>
      <c r="G195" s="40"/>
      <c r="H195" s="40"/>
      <c r="I195" s="40"/>
      <c r="J195" s="40"/>
      <c r="K195" s="41"/>
      <c r="N195" s="12" t="s">
        <v>902</v>
      </c>
    </row>
    <row r="196" spans="2:14" x14ac:dyDescent="0.2">
      <c r="B196" s="38"/>
      <c r="C196" s="399"/>
      <c r="D196" s="400"/>
      <c r="E196" s="400"/>
      <c r="F196" s="400"/>
      <c r="G196" s="400"/>
      <c r="H196" s="400"/>
      <c r="I196" s="400"/>
      <c r="J196" s="401"/>
      <c r="K196" s="41"/>
    </row>
    <row r="197" spans="2:14" x14ac:dyDescent="0.2">
      <c r="B197" s="38"/>
      <c r="C197" s="40"/>
      <c r="D197" s="40"/>
      <c r="E197" s="40"/>
      <c r="F197" s="40"/>
      <c r="G197" s="40"/>
      <c r="H197" s="40"/>
      <c r="I197" s="40"/>
      <c r="J197" s="40"/>
      <c r="K197" s="41"/>
    </row>
    <row r="198" spans="2:14" x14ac:dyDescent="0.2">
      <c r="B198" s="38"/>
      <c r="C198" s="179" t="s">
        <v>275</v>
      </c>
      <c r="D198" s="40"/>
      <c r="E198" s="40"/>
      <c r="F198" s="40"/>
      <c r="G198" s="40"/>
      <c r="H198" s="40"/>
      <c r="I198" s="40"/>
      <c r="J198" s="245" t="str">
        <f>IF(J192="N/A",IF(OR(J185="Not Calculated",J194="Not Calculated")=TRUE,"Not Calculated",AVERAGE(J185,J194)),AVERAGE(J192,J194))</f>
        <v>Not Calculated</v>
      </c>
      <c r="K198" s="41"/>
    </row>
    <row r="199" spans="2:14" x14ac:dyDescent="0.2">
      <c r="B199" s="38"/>
      <c r="C199" s="40"/>
      <c r="D199" s="40"/>
      <c r="E199" s="40"/>
      <c r="F199" s="40"/>
      <c r="G199" s="40"/>
      <c r="H199" s="40"/>
      <c r="I199" s="40"/>
      <c r="J199" s="40"/>
      <c r="K199" s="41"/>
    </row>
    <row r="200" spans="2:14" x14ac:dyDescent="0.2">
      <c r="B200" s="38"/>
      <c r="C200" s="40"/>
      <c r="D200" s="40"/>
      <c r="E200" s="40"/>
      <c r="F200" s="40"/>
      <c r="G200" s="40"/>
      <c r="H200" s="40"/>
      <c r="I200" s="40"/>
      <c r="J200" s="40"/>
      <c r="K200" s="41"/>
    </row>
    <row r="201" spans="2:14" ht="16" x14ac:dyDescent="0.2">
      <c r="B201" s="38"/>
      <c r="C201" s="45" t="s">
        <v>75</v>
      </c>
      <c r="D201" s="40"/>
      <c r="E201" s="40"/>
      <c r="F201" s="40"/>
      <c r="G201" s="40"/>
      <c r="H201" s="40"/>
      <c r="I201" s="40"/>
      <c r="J201" s="40"/>
      <c r="K201" s="41"/>
    </row>
    <row r="202" spans="2:14" x14ac:dyDescent="0.2">
      <c r="B202" s="38"/>
      <c r="C202" s="40" t="s">
        <v>444</v>
      </c>
      <c r="D202" s="40"/>
      <c r="E202" s="40"/>
      <c r="F202" s="40"/>
      <c r="G202" s="40"/>
      <c r="H202" s="40"/>
      <c r="I202" s="40"/>
      <c r="J202" s="252">
        <f>'Baseline Health'!G65</f>
        <v>0</v>
      </c>
      <c r="K202" s="41"/>
    </row>
    <row r="203" spans="2:14" x14ac:dyDescent="0.2">
      <c r="B203" s="38"/>
      <c r="C203" s="40" t="s">
        <v>282</v>
      </c>
      <c r="D203" s="40"/>
      <c r="E203" s="40"/>
      <c r="F203" s="40"/>
      <c r="G203" s="40"/>
      <c r="H203" s="40"/>
      <c r="I203" s="40"/>
      <c r="J203" s="264"/>
      <c r="K203" s="41"/>
    </row>
    <row r="204" spans="2:14" x14ac:dyDescent="0.2">
      <c r="B204" s="38"/>
      <c r="C204" s="40" t="s">
        <v>355</v>
      </c>
      <c r="D204" s="40"/>
      <c r="E204" s="40"/>
      <c r="F204" s="40"/>
      <c r="G204" s="40"/>
      <c r="H204" s="40"/>
      <c r="I204" s="40"/>
      <c r="J204" s="264"/>
      <c r="K204" s="41"/>
    </row>
    <row r="205" spans="2:14" x14ac:dyDescent="0.2">
      <c r="B205" s="38"/>
      <c r="C205" s="40" t="s">
        <v>260</v>
      </c>
      <c r="D205" s="40"/>
      <c r="E205" s="40"/>
      <c r="F205" s="40"/>
      <c r="G205" s="40"/>
      <c r="H205" s="40"/>
      <c r="I205" s="40"/>
      <c r="J205" s="245" t="str">
        <f>IF(OR(J202=0,J202="Not Calculated")=TRUE,"Not Calculated",IF(J202-J203=0,4,IF(((J202+J204)/(J202-J203))&lt;=1,0,IF(((J202+J204)/(J202-J203))&lt;=1.05,1,IF(((J202+J204)/(J202-J203))&lt;=1.5, 2,IF(((J202+J204)/(J202-J203))&lt;=2,3,4))))))</f>
        <v>Not Calculated</v>
      </c>
      <c r="K205" s="41"/>
    </row>
    <row r="206" spans="2:14" ht="9.75" customHeight="1" x14ac:dyDescent="0.2">
      <c r="B206" s="38"/>
      <c r="C206" s="279" t="str">
        <f>"0:"</f>
        <v>0:</v>
      </c>
      <c r="D206" s="278" t="s">
        <v>918</v>
      </c>
      <c r="E206" s="40"/>
      <c r="F206" s="40"/>
      <c r="G206" s="40"/>
      <c r="H206" s="40"/>
      <c r="I206" s="40"/>
      <c r="J206" s="40"/>
      <c r="K206" s="41"/>
    </row>
    <row r="207" spans="2:14" ht="9.75" customHeight="1" x14ac:dyDescent="0.2">
      <c r="B207" s="38"/>
      <c r="C207" s="280" t="str">
        <f>"1:"</f>
        <v>1:</v>
      </c>
      <c r="D207" s="278" t="s">
        <v>923</v>
      </c>
      <c r="E207" s="40"/>
      <c r="F207" s="40"/>
      <c r="G207" s="40"/>
      <c r="H207" s="40"/>
      <c r="I207" s="40"/>
      <c r="J207" s="40"/>
      <c r="K207" s="41"/>
    </row>
    <row r="208" spans="2:14" ht="9.75" customHeight="1" x14ac:dyDescent="0.2">
      <c r="B208" s="38"/>
      <c r="C208" s="280" t="str">
        <f>"2:"</f>
        <v>2:</v>
      </c>
      <c r="D208" s="278" t="s">
        <v>924</v>
      </c>
      <c r="E208" s="40"/>
      <c r="F208" s="40"/>
      <c r="G208" s="40"/>
      <c r="H208" s="40"/>
      <c r="I208" s="40"/>
      <c r="J208" s="40"/>
      <c r="K208" s="41"/>
    </row>
    <row r="209" spans="2:14" ht="9.75" customHeight="1" x14ac:dyDescent="0.2">
      <c r="B209" s="38"/>
      <c r="C209" s="280" t="str">
        <f>"3:"</f>
        <v>3:</v>
      </c>
      <c r="D209" s="278" t="s">
        <v>925</v>
      </c>
      <c r="E209" s="40"/>
      <c r="F209" s="40"/>
      <c r="G209" s="40"/>
      <c r="H209" s="40"/>
      <c r="I209" s="40"/>
      <c r="J209" s="40"/>
      <c r="K209" s="41"/>
    </row>
    <row r="210" spans="2:14" ht="9.75" customHeight="1" x14ac:dyDescent="0.2">
      <c r="B210" s="38"/>
      <c r="C210" s="280" t="str">
        <f>"4:"</f>
        <v>4:</v>
      </c>
      <c r="D210" s="278" t="s">
        <v>926</v>
      </c>
      <c r="E210" s="40"/>
      <c r="F210" s="40"/>
      <c r="G210" s="40"/>
      <c r="H210" s="40"/>
      <c r="I210" s="40"/>
      <c r="J210" s="40"/>
      <c r="K210" s="41"/>
      <c r="N210" s="12" t="s">
        <v>661</v>
      </c>
    </row>
    <row r="211" spans="2:14" x14ac:dyDescent="0.2">
      <c r="B211" s="38"/>
      <c r="C211" s="174" t="s">
        <v>662</v>
      </c>
      <c r="D211" s="40"/>
      <c r="E211" s="40"/>
      <c r="F211" s="40"/>
      <c r="G211" s="40"/>
      <c r="H211" s="40"/>
      <c r="I211" s="40"/>
      <c r="J211" s="265" t="s">
        <v>661</v>
      </c>
      <c r="K211" s="41"/>
      <c r="N211" s="12" t="s">
        <v>894</v>
      </c>
    </row>
    <row r="212" spans="2:14" x14ac:dyDescent="0.2">
      <c r="B212" s="38"/>
      <c r="C212" s="174" t="s">
        <v>660</v>
      </c>
      <c r="D212" s="40"/>
      <c r="E212" s="40"/>
      <c r="F212" s="40"/>
      <c r="G212" s="40"/>
      <c r="H212" s="40"/>
      <c r="I212" s="40"/>
      <c r="J212" s="246" t="str">
        <f>IF(J211=N210,"N/A",IF(J211=N211,0,IF(J211=N212,1,IF(J211=N213,2,IF(J211=N214,3,IF(J211=N215,4,"N/A"))))))</f>
        <v>N/A</v>
      </c>
      <c r="K212" s="41"/>
      <c r="N212" s="12" t="s">
        <v>899</v>
      </c>
    </row>
    <row r="213" spans="2:14" x14ac:dyDescent="0.2">
      <c r="B213" s="38"/>
      <c r="C213" s="40" t="s">
        <v>257</v>
      </c>
      <c r="D213" s="40"/>
      <c r="E213" s="40"/>
      <c r="F213" s="40"/>
      <c r="G213" s="40"/>
      <c r="H213" s="40"/>
      <c r="I213" s="40"/>
      <c r="J213" s="266"/>
      <c r="K213" s="41"/>
      <c r="N213" s="12" t="s">
        <v>900</v>
      </c>
    </row>
    <row r="214" spans="2:14" x14ac:dyDescent="0.2">
      <c r="B214" s="38"/>
      <c r="C214" s="40" t="s">
        <v>261</v>
      </c>
      <c r="D214" s="40"/>
      <c r="E214" s="40"/>
      <c r="F214" s="40"/>
      <c r="G214" s="40"/>
      <c r="H214" s="40"/>
      <c r="I214" s="40"/>
      <c r="J214" s="245" t="str">
        <f>IF(J213=$B$973,$A$973,IF(J213=$B$974,$A$974,IF(J213=$B$975,$A$975,IF(J213=$B$976,$A$976,IF(J213=$B$977,$A$977,"Not Calculated")))))</f>
        <v>Not Calculated</v>
      </c>
      <c r="K214" s="41"/>
      <c r="N214" s="12" t="s">
        <v>901</v>
      </c>
    </row>
    <row r="215" spans="2:14" x14ac:dyDescent="0.2">
      <c r="B215" s="38"/>
      <c r="C215" s="40" t="s">
        <v>893</v>
      </c>
      <c r="D215" s="40"/>
      <c r="E215" s="40"/>
      <c r="F215" s="40"/>
      <c r="G215" s="40"/>
      <c r="H215" s="40"/>
      <c r="I215" s="40"/>
      <c r="J215" s="40"/>
      <c r="K215" s="41"/>
      <c r="N215" s="12" t="s">
        <v>902</v>
      </c>
    </row>
    <row r="216" spans="2:14" ht="15" customHeight="1" x14ac:dyDescent="0.2">
      <c r="B216" s="38"/>
      <c r="C216" s="399"/>
      <c r="D216" s="400"/>
      <c r="E216" s="400"/>
      <c r="F216" s="400"/>
      <c r="G216" s="400"/>
      <c r="H216" s="400"/>
      <c r="I216" s="400"/>
      <c r="J216" s="401"/>
      <c r="K216" s="41"/>
    </row>
    <row r="217" spans="2:14" x14ac:dyDescent="0.2">
      <c r="B217" s="38"/>
      <c r="C217" s="40"/>
      <c r="D217" s="40"/>
      <c r="E217" s="40"/>
      <c r="F217" s="40"/>
      <c r="G217" s="40"/>
      <c r="H217" s="40"/>
      <c r="I217" s="40"/>
      <c r="J217" s="40"/>
      <c r="K217" s="41"/>
    </row>
    <row r="218" spans="2:14" x14ac:dyDescent="0.2">
      <c r="B218" s="38"/>
      <c r="C218" s="179" t="s">
        <v>276</v>
      </c>
      <c r="D218" s="40"/>
      <c r="E218" s="40"/>
      <c r="F218" s="40"/>
      <c r="G218" s="40"/>
      <c r="H218" s="40"/>
      <c r="I218" s="40"/>
      <c r="J218" s="245" t="str">
        <f>IF(J212="N/A",IF(OR(J205="Not Calculated",J214="Not Calculated")=TRUE,"Not Calculated",AVERAGE(J205,J214)),AVERAGE(J212,J214))</f>
        <v>Not Calculated</v>
      </c>
      <c r="K218" s="41"/>
    </row>
    <row r="219" spans="2:14" x14ac:dyDescent="0.2">
      <c r="B219" s="38"/>
      <c r="C219" s="40"/>
      <c r="D219" s="40"/>
      <c r="E219" s="40"/>
      <c r="F219" s="40"/>
      <c r="G219" s="40"/>
      <c r="H219" s="40"/>
      <c r="I219" s="40"/>
      <c r="J219" s="40"/>
      <c r="K219" s="41"/>
    </row>
    <row r="220" spans="2:14" x14ac:dyDescent="0.2">
      <c r="B220" s="38"/>
      <c r="C220" s="40"/>
      <c r="D220" s="40"/>
      <c r="E220" s="40"/>
      <c r="F220" s="40"/>
      <c r="G220" s="40"/>
      <c r="H220" s="40"/>
      <c r="I220" s="40"/>
      <c r="J220" s="40"/>
      <c r="K220" s="41"/>
    </row>
    <row r="221" spans="2:14" ht="16" x14ac:dyDescent="0.2">
      <c r="B221" s="38"/>
      <c r="C221" s="45" t="s">
        <v>76</v>
      </c>
      <c r="D221" s="40"/>
      <c r="E221" s="40"/>
      <c r="F221" s="40"/>
      <c r="G221" s="40"/>
      <c r="H221" s="40"/>
      <c r="I221" s="40"/>
      <c r="J221" s="40"/>
      <c r="K221" s="41"/>
    </row>
    <row r="222" spans="2:14" ht="15" customHeight="1" x14ac:dyDescent="0.2">
      <c r="B222" s="38"/>
      <c r="C222" s="40" t="s">
        <v>356</v>
      </c>
      <c r="D222" s="40"/>
      <c r="E222" s="40"/>
      <c r="F222" s="40"/>
      <c r="G222" s="40"/>
      <c r="H222" s="40"/>
      <c r="I222" s="40"/>
      <c r="J222" s="252">
        <f>'Baseline Health'!G71</f>
        <v>0</v>
      </c>
      <c r="K222" s="41"/>
    </row>
    <row r="223" spans="2:14" x14ac:dyDescent="0.2">
      <c r="B223" s="38"/>
      <c r="C223" s="40" t="s">
        <v>357</v>
      </c>
      <c r="D223" s="40"/>
      <c r="E223" s="40"/>
      <c r="F223" s="40"/>
      <c r="G223" s="40"/>
      <c r="H223" s="40"/>
      <c r="I223" s="40"/>
      <c r="J223" s="264"/>
      <c r="K223" s="41"/>
    </row>
    <row r="224" spans="2:14" x14ac:dyDescent="0.2">
      <c r="B224" s="38"/>
      <c r="C224" s="40" t="s">
        <v>445</v>
      </c>
      <c r="D224" s="40"/>
      <c r="E224" s="40"/>
      <c r="F224" s="40"/>
      <c r="G224" s="40"/>
      <c r="H224" s="40"/>
      <c r="I224" s="40"/>
      <c r="J224" s="251">
        <f>J102</f>
        <v>0</v>
      </c>
      <c r="K224" s="41"/>
    </row>
    <row r="225" spans="2:14" x14ac:dyDescent="0.2">
      <c r="B225" s="38"/>
      <c r="C225" s="40"/>
      <c r="D225" s="40" t="s">
        <v>446</v>
      </c>
      <c r="E225" s="40"/>
      <c r="F225" s="40"/>
      <c r="G225" s="40"/>
      <c r="H225" s="40"/>
      <c r="I225" s="40"/>
      <c r="J225" s="40"/>
      <c r="K225" s="41"/>
    </row>
    <row r="226" spans="2:14" x14ac:dyDescent="0.2">
      <c r="B226" s="38"/>
      <c r="C226" s="40" t="s">
        <v>260</v>
      </c>
      <c r="D226" s="40"/>
      <c r="E226" s="40"/>
      <c r="F226" s="40"/>
      <c r="G226" s="40"/>
      <c r="H226" s="40"/>
      <c r="I226" s="40"/>
      <c r="J226" s="245" t="str">
        <f>IF(OR(J222=0,J222="Not Calculated")=TRUE,"Not Calculated",IF(J222-J223=0,4,IF(((J222+J224)/(J222-J223))&lt;=1,0,IF(((J222+J224)/(J222-J223))&lt;=1.05,1,IF(((J222+J224)/(J222-J223))&lt;=1.5, 2,IF(((J222+J224)/(J222-J223))&lt;=2,3,4))))))</f>
        <v>Not Calculated</v>
      </c>
      <c r="K226" s="41"/>
    </row>
    <row r="227" spans="2:14" ht="9.75" customHeight="1" x14ac:dyDescent="0.2">
      <c r="B227" s="38"/>
      <c r="C227" s="279" t="str">
        <f>"0:"</f>
        <v>0:</v>
      </c>
      <c r="D227" s="278" t="s">
        <v>918</v>
      </c>
      <c r="E227" s="40"/>
      <c r="F227" s="40"/>
      <c r="G227" s="40"/>
      <c r="H227" s="40"/>
      <c r="I227" s="40"/>
      <c r="J227" s="40"/>
      <c r="K227" s="41"/>
    </row>
    <row r="228" spans="2:14" ht="9.75" customHeight="1" x14ac:dyDescent="0.2">
      <c r="B228" s="38"/>
      <c r="C228" s="280" t="str">
        <f>"1:"</f>
        <v>1:</v>
      </c>
      <c r="D228" s="278" t="s">
        <v>923</v>
      </c>
      <c r="E228" s="40"/>
      <c r="F228" s="40"/>
      <c r="G228" s="40"/>
      <c r="H228" s="40"/>
      <c r="I228" s="40"/>
      <c r="J228" s="40"/>
      <c r="K228" s="41"/>
    </row>
    <row r="229" spans="2:14" ht="9.75" customHeight="1" x14ac:dyDescent="0.2">
      <c r="B229" s="38"/>
      <c r="C229" s="280" t="str">
        <f>"2:"</f>
        <v>2:</v>
      </c>
      <c r="D229" s="278" t="s">
        <v>924</v>
      </c>
      <c r="E229" s="40"/>
      <c r="F229" s="40"/>
      <c r="G229" s="40"/>
      <c r="H229" s="40"/>
      <c r="I229" s="40"/>
      <c r="J229" s="40"/>
      <c r="K229" s="41"/>
    </row>
    <row r="230" spans="2:14" ht="9.75" customHeight="1" x14ac:dyDescent="0.2">
      <c r="B230" s="38"/>
      <c r="C230" s="280" t="str">
        <f>"3:"</f>
        <v>3:</v>
      </c>
      <c r="D230" s="278" t="s">
        <v>925</v>
      </c>
      <c r="E230" s="40"/>
      <c r="F230" s="40"/>
      <c r="G230" s="40"/>
      <c r="H230" s="40"/>
      <c r="I230" s="40"/>
      <c r="J230" s="40"/>
      <c r="K230" s="41"/>
    </row>
    <row r="231" spans="2:14" ht="9.75" customHeight="1" x14ac:dyDescent="0.2">
      <c r="B231" s="38"/>
      <c r="C231" s="280" t="str">
        <f>"4:"</f>
        <v>4:</v>
      </c>
      <c r="D231" s="278" t="s">
        <v>926</v>
      </c>
      <c r="E231" s="40"/>
      <c r="F231" s="40"/>
      <c r="G231" s="40"/>
      <c r="H231" s="40"/>
      <c r="I231" s="40"/>
      <c r="J231" s="40"/>
      <c r="K231" s="41"/>
      <c r="N231" s="12" t="s">
        <v>661</v>
      </c>
    </row>
    <row r="232" spans="2:14" x14ac:dyDescent="0.2">
      <c r="B232" s="38"/>
      <c r="C232" s="174" t="s">
        <v>662</v>
      </c>
      <c r="D232" s="40"/>
      <c r="E232" s="40"/>
      <c r="F232" s="40"/>
      <c r="G232" s="40"/>
      <c r="H232" s="40"/>
      <c r="I232" s="40"/>
      <c r="J232" s="265" t="s">
        <v>661</v>
      </c>
      <c r="K232" s="41"/>
      <c r="N232" s="12" t="s">
        <v>894</v>
      </c>
    </row>
    <row r="233" spans="2:14" x14ac:dyDescent="0.2">
      <c r="B233" s="38"/>
      <c r="C233" s="174" t="s">
        <v>660</v>
      </c>
      <c r="D233" s="40"/>
      <c r="E233" s="40"/>
      <c r="F233" s="40"/>
      <c r="G233" s="40"/>
      <c r="H233" s="40"/>
      <c r="I233" s="40"/>
      <c r="J233" s="246" t="str">
        <f>IF(J232=N231,"N/A",IF(J232=N232,0,IF(J232=N233,1,IF(J232=N234,2,IF(J232=N235,3,IF(J232=N236,4,"N/A"))))))</f>
        <v>N/A</v>
      </c>
      <c r="K233" s="41"/>
      <c r="N233" s="12" t="s">
        <v>899</v>
      </c>
    </row>
    <row r="234" spans="2:14" x14ac:dyDescent="0.2">
      <c r="B234" s="38"/>
      <c r="C234" s="40" t="s">
        <v>257</v>
      </c>
      <c r="D234" s="40"/>
      <c r="E234" s="40"/>
      <c r="F234" s="40"/>
      <c r="G234" s="40"/>
      <c r="H234" s="40"/>
      <c r="I234" s="40"/>
      <c r="J234" s="266"/>
      <c r="K234" s="41"/>
      <c r="N234" s="12" t="s">
        <v>900</v>
      </c>
    </row>
    <row r="235" spans="2:14" x14ac:dyDescent="0.2">
      <c r="B235" s="38"/>
      <c r="C235" s="40" t="s">
        <v>261</v>
      </c>
      <c r="D235" s="40"/>
      <c r="E235" s="40"/>
      <c r="F235" s="40"/>
      <c r="G235" s="40"/>
      <c r="H235" s="40"/>
      <c r="I235" s="40"/>
      <c r="J235" s="245" t="str">
        <f>IF(J234=$B$973,$A$973,IF(J234=$B$974,$A$974,IF(J234=$B$975,$A$975,IF(J234=$B$976,$A$976,IF(J234=$B$977,$A$977,"Not Calculated")))))</f>
        <v>Not Calculated</v>
      </c>
      <c r="K235" s="41"/>
      <c r="N235" s="12" t="s">
        <v>901</v>
      </c>
    </row>
    <row r="236" spans="2:14" x14ac:dyDescent="0.2">
      <c r="B236" s="38"/>
      <c r="C236" s="40" t="s">
        <v>893</v>
      </c>
      <c r="D236" s="40"/>
      <c r="E236" s="40"/>
      <c r="F236" s="40"/>
      <c r="G236" s="40"/>
      <c r="H236" s="40"/>
      <c r="I236" s="40"/>
      <c r="J236" s="40"/>
      <c r="K236" s="41"/>
      <c r="N236" s="12" t="s">
        <v>902</v>
      </c>
    </row>
    <row r="237" spans="2:14" ht="15" customHeight="1" x14ac:dyDescent="0.2">
      <c r="B237" s="38"/>
      <c r="C237" s="399"/>
      <c r="D237" s="400"/>
      <c r="E237" s="400"/>
      <c r="F237" s="400"/>
      <c r="G237" s="400"/>
      <c r="H237" s="400"/>
      <c r="I237" s="400"/>
      <c r="J237" s="401"/>
      <c r="K237" s="41"/>
    </row>
    <row r="238" spans="2:14" x14ac:dyDescent="0.2">
      <c r="B238" s="38"/>
      <c r="C238" s="40"/>
      <c r="D238" s="40"/>
      <c r="E238" s="40"/>
      <c r="F238" s="40"/>
      <c r="G238" s="40"/>
      <c r="H238" s="40"/>
      <c r="I238" s="40"/>
      <c r="J238" s="40"/>
      <c r="K238" s="41"/>
    </row>
    <row r="239" spans="2:14" x14ac:dyDescent="0.2">
      <c r="B239" s="38"/>
      <c r="C239" s="179" t="s">
        <v>277</v>
      </c>
      <c r="D239" s="40"/>
      <c r="E239" s="40"/>
      <c r="F239" s="40"/>
      <c r="G239" s="40"/>
      <c r="H239" s="40"/>
      <c r="I239" s="40"/>
      <c r="J239" s="245" t="str">
        <f>IF(J233="N/A",IF(OR(J226="Not Calculated",J235="Not Calculated")=TRUE,"Not Calculated",AVERAGE(J226,J235)),AVERAGE(J233,J235))</f>
        <v>Not Calculated</v>
      </c>
      <c r="K239" s="41"/>
    </row>
    <row r="240" spans="2:14" x14ac:dyDescent="0.2">
      <c r="B240" s="38"/>
      <c r="C240" s="40"/>
      <c r="D240" s="40"/>
      <c r="E240" s="40"/>
      <c r="F240" s="40"/>
      <c r="G240" s="40"/>
      <c r="H240" s="40"/>
      <c r="I240" s="40"/>
      <c r="J240" s="40"/>
      <c r="K240" s="41"/>
    </row>
    <row r="241" spans="2:14" x14ac:dyDescent="0.2">
      <c r="B241" s="38"/>
      <c r="C241" s="40"/>
      <c r="D241" s="40"/>
      <c r="E241" s="40"/>
      <c r="F241" s="40"/>
      <c r="G241" s="40"/>
      <c r="H241" s="40"/>
      <c r="I241" s="40"/>
      <c r="J241" s="40"/>
      <c r="K241" s="41"/>
    </row>
    <row r="242" spans="2:14" ht="16" x14ac:dyDescent="0.2">
      <c r="B242" s="38"/>
      <c r="C242" s="45" t="s">
        <v>278</v>
      </c>
      <c r="D242" s="40"/>
      <c r="E242" s="40"/>
      <c r="F242" s="40"/>
      <c r="G242" s="40"/>
      <c r="H242" s="40"/>
      <c r="I242" s="40"/>
      <c r="J242" s="40"/>
      <c r="K242" s="41"/>
    </row>
    <row r="243" spans="2:14" ht="15" customHeight="1" x14ac:dyDescent="0.2">
      <c r="B243" s="38"/>
      <c r="C243" s="40" t="s">
        <v>447</v>
      </c>
      <c r="D243" s="40"/>
      <c r="E243" s="40"/>
      <c r="F243" s="40"/>
      <c r="G243" s="40"/>
      <c r="H243" s="40"/>
      <c r="I243" s="40"/>
      <c r="J243" s="254">
        <f>'Baseline Health'!G77</f>
        <v>0</v>
      </c>
      <c r="K243" s="41"/>
    </row>
    <row r="244" spans="2:14" x14ac:dyDescent="0.2">
      <c r="B244" s="38"/>
      <c r="C244" s="40" t="s">
        <v>358</v>
      </c>
      <c r="D244" s="40"/>
      <c r="E244" s="40"/>
      <c r="F244" s="40"/>
      <c r="G244" s="40"/>
      <c r="H244" s="40"/>
      <c r="I244" s="40"/>
      <c r="J244" s="264"/>
      <c r="K244" s="41"/>
    </row>
    <row r="245" spans="2:14" x14ac:dyDescent="0.2">
      <c r="B245" s="38"/>
      <c r="C245" s="40" t="s">
        <v>360</v>
      </c>
      <c r="D245" s="291"/>
      <c r="E245" s="291"/>
      <c r="F245" s="291"/>
      <c r="G245" s="291"/>
      <c r="H245" s="291"/>
      <c r="I245" s="291"/>
      <c r="J245" s="264"/>
      <c r="K245" s="41"/>
    </row>
    <row r="246" spans="2:14" x14ac:dyDescent="0.2">
      <c r="B246" s="38"/>
      <c r="C246" s="40" t="s">
        <v>260</v>
      </c>
      <c r="D246" s="40"/>
      <c r="E246" s="40"/>
      <c r="F246" s="40"/>
      <c r="G246" s="40"/>
      <c r="H246" s="40"/>
      <c r="I246" s="40"/>
      <c r="J246" s="245" t="str">
        <f>IF(OR(J243=0,J243="Not Calculated")=TRUE,"Not Calculated",IF(J243-J244=0,4,(IF(((J243+J245)/(J243-J244))&lt;=1,0,IF(((J243+J245)/(J243-J244))&lt;=1.05,1,IF(((J243+J245)/(J243-J244))&lt;=1.5,2,IF(((J243+J245)/(J243-J244))&lt;=2,3,4)))))))</f>
        <v>Not Calculated</v>
      </c>
      <c r="K246" s="41"/>
    </row>
    <row r="247" spans="2:14" ht="9.75" customHeight="1" x14ac:dyDescent="0.2">
      <c r="B247" s="38"/>
      <c r="C247" s="279" t="str">
        <f>"0:"</f>
        <v>0:</v>
      </c>
      <c r="D247" s="278" t="s">
        <v>918</v>
      </c>
      <c r="E247" s="40"/>
      <c r="F247" s="40"/>
      <c r="G247" s="40"/>
      <c r="H247" s="40"/>
      <c r="I247" s="40"/>
      <c r="J247" s="40"/>
      <c r="K247" s="41"/>
    </row>
    <row r="248" spans="2:14" ht="9.75" customHeight="1" x14ac:dyDescent="0.2">
      <c r="B248" s="38"/>
      <c r="C248" s="280" t="str">
        <f>"1:"</f>
        <v>1:</v>
      </c>
      <c r="D248" s="278" t="s">
        <v>923</v>
      </c>
      <c r="E248" s="40"/>
      <c r="F248" s="40"/>
      <c r="G248" s="40"/>
      <c r="H248" s="40"/>
      <c r="I248" s="40"/>
      <c r="J248" s="40"/>
      <c r="K248" s="41"/>
    </row>
    <row r="249" spans="2:14" ht="9.75" customHeight="1" x14ac:dyDescent="0.2">
      <c r="B249" s="38"/>
      <c r="C249" s="280" t="str">
        <f>"2:"</f>
        <v>2:</v>
      </c>
      <c r="D249" s="278" t="s">
        <v>924</v>
      </c>
      <c r="E249" s="40"/>
      <c r="F249" s="40"/>
      <c r="G249" s="40"/>
      <c r="H249" s="40"/>
      <c r="I249" s="40"/>
      <c r="J249" s="40"/>
      <c r="K249" s="41"/>
    </row>
    <row r="250" spans="2:14" ht="9.75" customHeight="1" x14ac:dyDescent="0.2">
      <c r="B250" s="38"/>
      <c r="C250" s="280" t="str">
        <f>"3:"</f>
        <v>3:</v>
      </c>
      <c r="D250" s="278" t="s">
        <v>925</v>
      </c>
      <c r="E250" s="40"/>
      <c r="F250" s="40"/>
      <c r="G250" s="40"/>
      <c r="H250" s="40"/>
      <c r="I250" s="40"/>
      <c r="J250" s="40"/>
      <c r="K250" s="41"/>
    </row>
    <row r="251" spans="2:14" ht="9.75" customHeight="1" x14ac:dyDescent="0.2">
      <c r="B251" s="38"/>
      <c r="C251" s="280" t="str">
        <f>"4:"</f>
        <v>4:</v>
      </c>
      <c r="D251" s="278" t="s">
        <v>926</v>
      </c>
      <c r="E251" s="40"/>
      <c r="F251" s="40"/>
      <c r="G251" s="40"/>
      <c r="H251" s="40"/>
      <c r="I251" s="40"/>
      <c r="J251" s="40"/>
      <c r="K251" s="41"/>
      <c r="N251" s="12" t="s">
        <v>661</v>
      </c>
    </row>
    <row r="252" spans="2:14" x14ac:dyDescent="0.2">
      <c r="B252" s="38"/>
      <c r="C252" s="174" t="s">
        <v>662</v>
      </c>
      <c r="D252" s="40"/>
      <c r="E252" s="40"/>
      <c r="F252" s="40"/>
      <c r="G252" s="40"/>
      <c r="H252" s="40"/>
      <c r="I252" s="40"/>
      <c r="J252" s="265" t="s">
        <v>661</v>
      </c>
      <c r="K252" s="41"/>
      <c r="N252" s="12" t="s">
        <v>894</v>
      </c>
    </row>
    <row r="253" spans="2:14" x14ac:dyDescent="0.2">
      <c r="B253" s="38"/>
      <c r="C253" s="174" t="s">
        <v>660</v>
      </c>
      <c r="D253" s="40"/>
      <c r="E253" s="40"/>
      <c r="F253" s="40"/>
      <c r="G253" s="40"/>
      <c r="H253" s="40"/>
      <c r="I253" s="40"/>
      <c r="J253" s="246" t="str">
        <f>IF(J252=N251,"N/A",IF(J252=N252,0,IF(J252=N253,1,IF(J252=N254,2,IF(J252=N255,3,IF(J252=N256,4,"N/A"))))))</f>
        <v>N/A</v>
      </c>
      <c r="K253" s="41"/>
      <c r="N253" s="12" t="s">
        <v>899</v>
      </c>
    </row>
    <row r="254" spans="2:14" x14ac:dyDescent="0.2">
      <c r="B254" s="38"/>
      <c r="C254" s="40" t="s">
        <v>257</v>
      </c>
      <c r="D254" s="40"/>
      <c r="E254" s="40"/>
      <c r="F254" s="40"/>
      <c r="G254" s="40"/>
      <c r="H254" s="40"/>
      <c r="I254" s="40"/>
      <c r="J254" s="266"/>
      <c r="K254" s="41"/>
      <c r="N254" s="12" t="s">
        <v>900</v>
      </c>
    </row>
    <row r="255" spans="2:14" x14ac:dyDescent="0.2">
      <c r="B255" s="38"/>
      <c r="C255" s="40" t="s">
        <v>261</v>
      </c>
      <c r="D255" s="40"/>
      <c r="E255" s="40"/>
      <c r="F255" s="40"/>
      <c r="G255" s="40"/>
      <c r="H255" s="40"/>
      <c r="I255" s="40"/>
      <c r="J255" s="245" t="str">
        <f>IF(J254=$B$973,$A$973,IF(J254=$B$974,$A$974,IF(J254=$B$975,$A$975,IF(J254=$B$976,$A$976,IF(J254=$B$977,$A$977,"Not Calculated")))))</f>
        <v>Not Calculated</v>
      </c>
      <c r="K255" s="41"/>
      <c r="N255" s="12" t="s">
        <v>901</v>
      </c>
    </row>
    <row r="256" spans="2:14" x14ac:dyDescent="0.2">
      <c r="B256" s="38"/>
      <c r="C256" s="40" t="s">
        <v>893</v>
      </c>
      <c r="D256" s="40"/>
      <c r="E256" s="40"/>
      <c r="F256" s="40"/>
      <c r="G256" s="40"/>
      <c r="H256" s="40"/>
      <c r="I256" s="40"/>
      <c r="J256" s="40"/>
      <c r="K256" s="41"/>
      <c r="N256" s="12" t="s">
        <v>902</v>
      </c>
    </row>
    <row r="257" spans="2:11" x14ac:dyDescent="0.2">
      <c r="B257" s="38"/>
      <c r="C257" s="399"/>
      <c r="D257" s="400"/>
      <c r="E257" s="400"/>
      <c r="F257" s="400"/>
      <c r="G257" s="400"/>
      <c r="H257" s="400"/>
      <c r="I257" s="400"/>
      <c r="J257" s="401"/>
      <c r="K257" s="41"/>
    </row>
    <row r="258" spans="2:11" x14ac:dyDescent="0.2">
      <c r="B258" s="38"/>
      <c r="C258" s="40"/>
      <c r="D258" s="40"/>
      <c r="E258" s="40"/>
      <c r="F258" s="40"/>
      <c r="G258" s="40"/>
      <c r="H258" s="40"/>
      <c r="I258" s="40"/>
      <c r="J258" s="40"/>
      <c r="K258" s="41"/>
    </row>
    <row r="259" spans="2:11" x14ac:dyDescent="0.2">
      <c r="B259" s="38"/>
      <c r="C259" s="179" t="s">
        <v>279</v>
      </c>
      <c r="D259" s="40"/>
      <c r="E259" s="40"/>
      <c r="F259" s="40"/>
      <c r="G259" s="40"/>
      <c r="H259" s="40"/>
      <c r="I259" s="40"/>
      <c r="J259" s="245" t="str">
        <f>IF(J253="N/A",IF(OR(J246="Not Calculated",J255="Not Calculated")=TRUE,"Not Calculated",AVERAGE(J246,J255)),AVERAGE(J253,J255))</f>
        <v>Not Calculated</v>
      </c>
      <c r="K259" s="41"/>
    </row>
    <row r="260" spans="2:11" x14ac:dyDescent="0.2">
      <c r="B260" s="38"/>
      <c r="C260" s="40"/>
      <c r="D260" s="40"/>
      <c r="E260" s="40"/>
      <c r="F260" s="40"/>
      <c r="G260" s="40"/>
      <c r="H260" s="40"/>
      <c r="I260" s="40"/>
      <c r="J260" s="40"/>
      <c r="K260" s="41"/>
    </row>
    <row r="261" spans="2:11" ht="18" x14ac:dyDescent="0.2">
      <c r="B261" s="38"/>
      <c r="C261" s="180" t="s">
        <v>272</v>
      </c>
      <c r="D261" s="40"/>
      <c r="E261" s="40"/>
      <c r="F261" s="40"/>
      <c r="G261" s="40"/>
      <c r="H261" s="40"/>
      <c r="I261" s="40"/>
      <c r="J261" s="244" t="str">
        <f>IF(OR(J157="Not Calculated",J178="Not Calculated",J198="Not Calculated",J218="Not Calculated",J239="Not Calculated",J259="Not Calculated",)=TRUE,"Not Calculated",AVERAGE(J157,J178,J198,J218,J239,J259))</f>
        <v>Not Calculated</v>
      </c>
      <c r="K261" s="41"/>
    </row>
    <row r="262" spans="2:11" ht="16" thickBot="1" x14ac:dyDescent="0.25">
      <c r="B262" s="46"/>
      <c r="C262" s="47"/>
      <c r="D262" s="47"/>
      <c r="E262" s="47"/>
      <c r="F262" s="47"/>
      <c r="G262" s="47"/>
      <c r="H262" s="47"/>
      <c r="I262" s="47"/>
      <c r="J262" s="47"/>
      <c r="K262" s="49"/>
    </row>
    <row r="263" spans="2:11" ht="16" thickBot="1" x14ac:dyDescent="0.25"/>
    <row r="264" spans="2:11" x14ac:dyDescent="0.2">
      <c r="B264" s="33"/>
      <c r="C264" s="34"/>
      <c r="D264" s="34"/>
      <c r="E264" s="34"/>
      <c r="F264" s="34"/>
      <c r="G264" s="34"/>
      <c r="H264" s="34"/>
      <c r="I264" s="34"/>
      <c r="J264" s="34"/>
      <c r="K264" s="37"/>
    </row>
    <row r="265" spans="2:11" ht="21" x14ac:dyDescent="0.25">
      <c r="B265" s="38"/>
      <c r="C265" s="40"/>
      <c r="D265" s="40"/>
      <c r="E265" s="40"/>
      <c r="F265" s="40"/>
      <c r="G265" s="172" t="s">
        <v>864</v>
      </c>
      <c r="H265" s="40"/>
      <c r="I265" s="40"/>
      <c r="J265" s="40"/>
      <c r="K265" s="41"/>
    </row>
    <row r="266" spans="2:11" ht="15" customHeight="1" x14ac:dyDescent="0.2">
      <c r="B266" s="38"/>
      <c r="C266" s="40"/>
      <c r="D266" s="40"/>
      <c r="E266" s="40"/>
      <c r="F266" s="40"/>
      <c r="G266" s="40"/>
      <c r="H266" s="40"/>
      <c r="I266" s="40"/>
      <c r="J266" s="40"/>
      <c r="K266" s="41"/>
    </row>
    <row r="267" spans="2:11" ht="16" x14ac:dyDescent="0.2">
      <c r="B267" s="38"/>
      <c r="C267" s="45" t="s">
        <v>80</v>
      </c>
      <c r="D267" s="40"/>
      <c r="E267" s="40"/>
      <c r="F267" s="40"/>
      <c r="G267" s="40"/>
      <c r="H267" s="40"/>
      <c r="I267" s="40"/>
      <c r="J267" s="40"/>
      <c r="K267" s="41"/>
    </row>
    <row r="268" spans="2:11" x14ac:dyDescent="0.2">
      <c r="B268" s="38"/>
      <c r="C268" s="40" t="s">
        <v>283</v>
      </c>
      <c r="D268" s="40"/>
      <c r="E268" s="40"/>
      <c r="F268" s="40"/>
      <c r="G268" s="40"/>
      <c r="H268" s="40"/>
      <c r="I268" s="40"/>
      <c r="J268" s="250">
        <f>'Baseline Health'!G88</f>
        <v>0</v>
      </c>
      <c r="K268" s="41"/>
    </row>
    <row r="269" spans="2:11" x14ac:dyDescent="0.2">
      <c r="B269" s="38"/>
      <c r="C269" s="40" t="s">
        <v>284</v>
      </c>
      <c r="D269" s="40"/>
      <c r="E269" s="40"/>
      <c r="F269" s="40"/>
      <c r="G269" s="40"/>
      <c r="H269" s="40"/>
      <c r="I269" s="40"/>
      <c r="J269" s="264"/>
      <c r="K269" s="41"/>
    </row>
    <row r="270" spans="2:11" x14ac:dyDescent="0.2">
      <c r="B270" s="38"/>
      <c r="C270" s="40" t="s">
        <v>285</v>
      </c>
      <c r="D270" s="40"/>
      <c r="E270" s="40"/>
      <c r="F270" s="40"/>
      <c r="G270" s="40"/>
      <c r="H270" s="40"/>
      <c r="I270" s="40"/>
      <c r="J270" s="259">
        <f>'Baseline Health'!G93</f>
        <v>0</v>
      </c>
      <c r="K270" s="41"/>
    </row>
    <row r="271" spans="2:11" x14ac:dyDescent="0.2">
      <c r="B271" s="38"/>
      <c r="C271" s="40" t="s">
        <v>286</v>
      </c>
      <c r="D271" s="40"/>
      <c r="E271" s="40"/>
      <c r="F271" s="40"/>
      <c r="G271" s="40"/>
      <c r="H271" s="40"/>
      <c r="I271" s="40"/>
      <c r="J271" s="250">
        <f>J184</f>
        <v>0</v>
      </c>
      <c r="K271" s="41"/>
    </row>
    <row r="272" spans="2:11" x14ac:dyDescent="0.2">
      <c r="B272" s="38"/>
      <c r="C272" s="40"/>
      <c r="D272" s="40" t="s">
        <v>432</v>
      </c>
      <c r="E272" s="40"/>
      <c r="F272" s="40"/>
      <c r="G272" s="40"/>
      <c r="H272" s="40"/>
      <c r="I272" s="40"/>
      <c r="J272" s="40"/>
      <c r="K272" s="41"/>
    </row>
    <row r="273" spans="2:14" x14ac:dyDescent="0.2">
      <c r="B273" s="38"/>
      <c r="C273" s="40" t="s">
        <v>292</v>
      </c>
      <c r="D273" s="40"/>
      <c r="E273" s="40"/>
      <c r="F273" s="40"/>
      <c r="G273" s="40"/>
      <c r="H273" s="40"/>
      <c r="I273" s="40"/>
      <c r="J273" s="258" t="str">
        <f>'Baseline Health'!G97</f>
        <v>N/A</v>
      </c>
      <c r="K273" s="41"/>
    </row>
    <row r="274" spans="2:14" x14ac:dyDescent="0.2">
      <c r="B274" s="38"/>
      <c r="C274" s="40" t="s">
        <v>293</v>
      </c>
      <c r="D274" s="40"/>
      <c r="E274" s="40"/>
      <c r="F274" s="40"/>
      <c r="G274" s="40"/>
      <c r="H274" s="40"/>
      <c r="I274" s="40"/>
      <c r="J274" s="258" t="str">
        <f>IF(J273="N/A","N/A",IF(J268-J269=0,"No Nurses",((J270+J271)/(J268-J269))))</f>
        <v>N/A</v>
      </c>
      <c r="K274" s="41"/>
    </row>
    <row r="275" spans="2:14" x14ac:dyDescent="0.2">
      <c r="B275" s="38"/>
      <c r="C275" s="40" t="s">
        <v>260</v>
      </c>
      <c r="D275" s="40"/>
      <c r="E275" s="40"/>
      <c r="F275" s="40"/>
      <c r="G275" s="40"/>
      <c r="H275" s="40"/>
      <c r="I275" s="40"/>
      <c r="J275" s="245">
        <f>IF(J273=0,"Not Calculated",IF(J274="N/A",0,IF(J274="No Nurses",4,IF((J274/J273)&lt;=1,0,IF((J274/J273)&lt;=1.1,1,IF((J274/J273)&lt;=1=1.25,2,IF((J274/J273)&lt;=1.5,3,4)))))))</f>
        <v>0</v>
      </c>
      <c r="K275" s="41"/>
    </row>
    <row r="276" spans="2:14" ht="9.75" customHeight="1" x14ac:dyDescent="0.2">
      <c r="B276" s="38"/>
      <c r="C276" s="279" t="str">
        <f>"0:"</f>
        <v>0:</v>
      </c>
      <c r="D276" s="278" t="s">
        <v>927</v>
      </c>
      <c r="E276" s="40"/>
      <c r="F276" s="40"/>
      <c r="G276" s="40"/>
      <c r="H276" s="40"/>
      <c r="I276" s="40"/>
      <c r="J276" s="258"/>
      <c r="K276" s="41"/>
    </row>
    <row r="277" spans="2:14" ht="9.75" customHeight="1" x14ac:dyDescent="0.2">
      <c r="B277" s="38"/>
      <c r="C277" s="280" t="str">
        <f>"1:"</f>
        <v>1:</v>
      </c>
      <c r="D277" s="278" t="s">
        <v>928</v>
      </c>
      <c r="E277" s="40"/>
      <c r="F277" s="40"/>
      <c r="G277" s="40"/>
      <c r="H277" s="40"/>
      <c r="I277" s="40"/>
      <c r="J277" s="258"/>
      <c r="K277" s="41"/>
    </row>
    <row r="278" spans="2:14" ht="9.75" customHeight="1" x14ac:dyDescent="0.2">
      <c r="B278" s="38"/>
      <c r="C278" s="280" t="str">
        <f>"2:"</f>
        <v>2:</v>
      </c>
      <c r="D278" s="278" t="s">
        <v>929</v>
      </c>
      <c r="E278" s="40"/>
      <c r="F278" s="40"/>
      <c r="G278" s="40"/>
      <c r="H278" s="40"/>
      <c r="I278" s="40"/>
      <c r="J278" s="258"/>
      <c r="K278" s="41"/>
    </row>
    <row r="279" spans="2:14" ht="9.75" customHeight="1" x14ac:dyDescent="0.2">
      <c r="B279" s="38"/>
      <c r="C279" s="280" t="str">
        <f>"3:"</f>
        <v>3:</v>
      </c>
      <c r="D279" s="278" t="s">
        <v>930</v>
      </c>
      <c r="E279" s="40"/>
      <c r="F279" s="40"/>
      <c r="G279" s="40"/>
      <c r="H279" s="40"/>
      <c r="I279" s="40"/>
      <c r="J279" s="258"/>
      <c r="K279" s="41"/>
    </row>
    <row r="280" spans="2:14" ht="9.75" customHeight="1" x14ac:dyDescent="0.2">
      <c r="B280" s="38"/>
      <c r="C280" s="280" t="str">
        <f>"4:"</f>
        <v>4:</v>
      </c>
      <c r="D280" s="278" t="s">
        <v>931</v>
      </c>
      <c r="E280" s="40"/>
      <c r="F280" s="40"/>
      <c r="G280" s="40"/>
      <c r="H280" s="40"/>
      <c r="I280" s="40"/>
      <c r="J280" s="40"/>
      <c r="K280" s="41"/>
      <c r="N280" s="12" t="s">
        <v>661</v>
      </c>
    </row>
    <row r="281" spans="2:14" x14ac:dyDescent="0.2">
      <c r="B281" s="38"/>
      <c r="C281" s="174" t="s">
        <v>662</v>
      </c>
      <c r="D281" s="40"/>
      <c r="E281" s="40"/>
      <c r="F281" s="40"/>
      <c r="G281" s="40"/>
      <c r="H281" s="40"/>
      <c r="I281" s="40"/>
      <c r="J281" s="265" t="s">
        <v>661</v>
      </c>
      <c r="K281" s="41"/>
      <c r="N281" s="12" t="s">
        <v>903</v>
      </c>
    </row>
    <row r="282" spans="2:14" x14ac:dyDescent="0.2">
      <c r="B282" s="38"/>
      <c r="C282" s="174" t="s">
        <v>660</v>
      </c>
      <c r="D282" s="40"/>
      <c r="E282" s="40"/>
      <c r="F282" s="40"/>
      <c r="G282" s="40"/>
      <c r="H282" s="40"/>
      <c r="I282" s="40"/>
      <c r="J282" s="246" t="str">
        <f>IF(J281=N280,"N/A",IF(J281=N281,0,IF(J281=N282,1,IF(J281=N283,2,IF(J281=N284,3,IF(J281=N285,4,"N/A"))))))</f>
        <v>N/A</v>
      </c>
      <c r="K282" s="41"/>
      <c r="N282" s="12" t="s">
        <v>904</v>
      </c>
    </row>
    <row r="283" spans="2:14" x14ac:dyDescent="0.2">
      <c r="B283" s="38"/>
      <c r="C283" s="40" t="s">
        <v>257</v>
      </c>
      <c r="D283" s="40"/>
      <c r="E283" s="40"/>
      <c r="F283" s="40"/>
      <c r="G283" s="40"/>
      <c r="H283" s="40"/>
      <c r="I283" s="40"/>
      <c r="J283" s="266"/>
      <c r="K283" s="41"/>
      <c r="N283" s="12" t="s">
        <v>905</v>
      </c>
    </row>
    <row r="284" spans="2:14" x14ac:dyDescent="0.2">
      <c r="B284" s="38"/>
      <c r="C284" s="40" t="s">
        <v>261</v>
      </c>
      <c r="D284" s="40"/>
      <c r="E284" s="40"/>
      <c r="F284" s="40"/>
      <c r="G284" s="40"/>
      <c r="H284" s="40"/>
      <c r="I284" s="40"/>
      <c r="J284" s="248" t="str">
        <f>IF(J283=$B$973,$A$973,IF(J283=$B$974,$A$974,IF(J283=$B$975,$A$975,IF(J283=$B$976,$A$976,IF(J283=$B$977,$A$977,"Not Calculated")))))</f>
        <v>Not Calculated</v>
      </c>
      <c r="K284" s="41"/>
      <c r="N284" s="12" t="s">
        <v>906</v>
      </c>
    </row>
    <row r="285" spans="2:14" x14ac:dyDescent="0.2">
      <c r="B285" s="38"/>
      <c r="C285" s="40" t="s">
        <v>893</v>
      </c>
      <c r="D285" s="40"/>
      <c r="E285" s="40"/>
      <c r="F285" s="40"/>
      <c r="G285" s="40"/>
      <c r="H285" s="40"/>
      <c r="I285" s="40"/>
      <c r="J285" s="40"/>
      <c r="K285" s="41"/>
      <c r="N285" s="12" t="s">
        <v>907</v>
      </c>
    </row>
    <row r="286" spans="2:14" x14ac:dyDescent="0.2">
      <c r="B286" s="38"/>
      <c r="C286" s="399"/>
      <c r="D286" s="400"/>
      <c r="E286" s="400"/>
      <c r="F286" s="400"/>
      <c r="G286" s="400"/>
      <c r="H286" s="400"/>
      <c r="I286" s="400"/>
      <c r="J286" s="401"/>
      <c r="K286" s="41"/>
    </row>
    <row r="287" spans="2:14" x14ac:dyDescent="0.2">
      <c r="B287" s="38"/>
      <c r="C287" s="40"/>
      <c r="D287" s="40"/>
      <c r="E287" s="40"/>
      <c r="F287" s="40"/>
      <c r="G287" s="40"/>
      <c r="H287" s="40"/>
      <c r="I287" s="40"/>
      <c r="J287" s="40"/>
      <c r="K287" s="41"/>
    </row>
    <row r="288" spans="2:14" x14ac:dyDescent="0.2">
      <c r="B288" s="38"/>
      <c r="C288" s="179" t="s">
        <v>295</v>
      </c>
      <c r="D288" s="40"/>
      <c r="E288" s="40"/>
      <c r="F288" s="40"/>
      <c r="G288" s="40"/>
      <c r="H288" s="40"/>
      <c r="I288" s="40"/>
      <c r="J288" s="245" t="str">
        <f>IF(J282="N/A",IF(OR(J275="Not Calculated",J284="Not Calculated")=TRUE,"Not Calculated",AVERAGE(J275,J284)),AVERAGE(J282,J284))</f>
        <v>Not Calculated</v>
      </c>
      <c r="K288" s="41"/>
    </row>
    <row r="289" spans="2:11" x14ac:dyDescent="0.2">
      <c r="B289" s="38"/>
      <c r="C289" s="40"/>
      <c r="D289" s="40"/>
      <c r="E289" s="40"/>
      <c r="F289" s="40"/>
      <c r="G289" s="40"/>
      <c r="H289" s="40"/>
      <c r="I289" s="40"/>
      <c r="J289" s="245"/>
      <c r="K289" s="41"/>
    </row>
    <row r="290" spans="2:11" x14ac:dyDescent="0.2">
      <c r="B290" s="38"/>
      <c r="C290" s="40"/>
      <c r="D290" s="40"/>
      <c r="E290" s="40"/>
      <c r="F290" s="40"/>
      <c r="G290" s="40"/>
      <c r="H290" s="40"/>
      <c r="I290" s="40"/>
      <c r="J290" s="40"/>
      <c r="K290" s="41"/>
    </row>
    <row r="291" spans="2:11" ht="16" x14ac:dyDescent="0.2">
      <c r="B291" s="38"/>
      <c r="C291" s="45" t="s">
        <v>856</v>
      </c>
      <c r="D291" s="40"/>
      <c r="E291" s="40"/>
      <c r="F291" s="40"/>
      <c r="G291" s="40"/>
      <c r="H291" s="40"/>
      <c r="I291" s="40"/>
      <c r="J291" s="40"/>
      <c r="K291" s="41"/>
    </row>
    <row r="292" spans="2:11" ht="15" customHeight="1" x14ac:dyDescent="0.2">
      <c r="B292" s="38"/>
      <c r="C292" s="380" t="s">
        <v>855</v>
      </c>
      <c r="D292" s="380"/>
      <c r="E292" s="380"/>
      <c r="F292" s="380"/>
      <c r="G292" s="380"/>
      <c r="H292" s="380"/>
      <c r="I292" s="380"/>
      <c r="J292" s="40"/>
      <c r="K292" s="41"/>
    </row>
    <row r="293" spans="2:11" x14ac:dyDescent="0.2">
      <c r="B293" s="38"/>
      <c r="C293" s="380"/>
      <c r="D293" s="380"/>
      <c r="E293" s="380"/>
      <c r="F293" s="380"/>
      <c r="G293" s="380"/>
      <c r="H293" s="380"/>
      <c r="I293" s="380"/>
      <c r="J293" s="264"/>
      <c r="K293" s="41"/>
    </row>
    <row r="294" spans="2:11" x14ac:dyDescent="0.2">
      <c r="B294" s="38"/>
      <c r="C294" s="40" t="s">
        <v>853</v>
      </c>
      <c r="D294" s="291"/>
      <c r="E294" s="291"/>
      <c r="F294" s="291"/>
      <c r="G294" s="291"/>
      <c r="H294" s="291"/>
      <c r="I294" s="291"/>
      <c r="J294" s="255">
        <f>'Baseline Health'!$G$102</f>
        <v>0</v>
      </c>
      <c r="K294" s="41"/>
    </row>
    <row r="295" spans="2:11" x14ac:dyDescent="0.2">
      <c r="B295" s="38"/>
      <c r="C295" s="40" t="s">
        <v>842</v>
      </c>
      <c r="D295" s="40"/>
      <c r="E295" s="40"/>
      <c r="F295" s="40"/>
      <c r="G295" s="40"/>
      <c r="H295" s="40"/>
      <c r="I295" s="40"/>
      <c r="J295" s="244" t="str">
        <f>IF('Baseline Health'!$G$102=0,"Not Calculated",100*J293/'Baseline Health'!$G$102)</f>
        <v>Not Calculated</v>
      </c>
      <c r="K295" s="41"/>
    </row>
    <row r="296" spans="2:11" x14ac:dyDescent="0.2">
      <c r="B296" s="38"/>
      <c r="C296" s="40" t="s">
        <v>260</v>
      </c>
      <c r="D296" s="40"/>
      <c r="E296" s="40"/>
      <c r="F296" s="40"/>
      <c r="G296" s="40"/>
      <c r="H296" s="40"/>
      <c r="I296" s="40"/>
      <c r="J296" s="245">
        <f>IF(J295&lt;=0,0,IF(J295&lt;=1,1,IF(J295&lt;=5,2,IF(J295&lt;=10,3,4))))</f>
        <v>4</v>
      </c>
      <c r="K296" s="41"/>
    </row>
    <row r="297" spans="2:11" ht="9.75" customHeight="1" x14ac:dyDescent="0.2">
      <c r="B297" s="38"/>
      <c r="C297" s="279" t="str">
        <f>"0:"</f>
        <v>0:</v>
      </c>
      <c r="D297" s="278" t="s">
        <v>932</v>
      </c>
      <c r="E297" s="40"/>
      <c r="F297" s="40"/>
      <c r="G297" s="40"/>
      <c r="H297" s="40"/>
      <c r="I297" s="40"/>
      <c r="J297" s="244"/>
      <c r="K297" s="41"/>
    </row>
    <row r="298" spans="2:11" ht="9.75" customHeight="1" x14ac:dyDescent="0.2">
      <c r="B298" s="38"/>
      <c r="C298" s="280" t="str">
        <f>"1:"</f>
        <v>1:</v>
      </c>
      <c r="D298" s="278" t="s">
        <v>934</v>
      </c>
      <c r="E298" s="40"/>
      <c r="F298" s="40"/>
      <c r="G298" s="40"/>
      <c r="H298" s="40"/>
      <c r="I298" s="40"/>
      <c r="J298" s="244"/>
      <c r="K298" s="41"/>
    </row>
    <row r="299" spans="2:11" ht="9.75" customHeight="1" x14ac:dyDescent="0.2">
      <c r="B299" s="38"/>
      <c r="C299" s="280" t="str">
        <f>"2:"</f>
        <v>2:</v>
      </c>
      <c r="D299" s="278" t="s">
        <v>933</v>
      </c>
      <c r="E299" s="40"/>
      <c r="F299" s="40"/>
      <c r="G299" s="40"/>
      <c r="H299" s="40"/>
      <c r="I299" s="40"/>
      <c r="J299" s="244"/>
      <c r="K299" s="41"/>
    </row>
    <row r="300" spans="2:11" ht="9.75" customHeight="1" x14ac:dyDescent="0.2">
      <c r="B300" s="38"/>
      <c r="C300" s="280" t="str">
        <f>"3:"</f>
        <v>3:</v>
      </c>
      <c r="D300" s="278" t="s">
        <v>935</v>
      </c>
      <c r="E300" s="40"/>
      <c r="F300" s="40"/>
      <c r="G300" s="40"/>
      <c r="H300" s="40"/>
      <c r="I300" s="40"/>
      <c r="J300" s="244"/>
      <c r="K300" s="41"/>
    </row>
    <row r="301" spans="2:11" ht="9.75" customHeight="1" x14ac:dyDescent="0.2">
      <c r="B301" s="38"/>
      <c r="C301" s="280" t="str">
        <f>"4:"</f>
        <v>4:</v>
      </c>
      <c r="D301" s="278" t="s">
        <v>936</v>
      </c>
      <c r="E301" s="40"/>
      <c r="F301" s="40"/>
      <c r="G301" s="40"/>
      <c r="H301" s="40"/>
      <c r="I301" s="40"/>
      <c r="J301" s="40"/>
      <c r="K301" s="41"/>
    </row>
    <row r="302" spans="2:11" x14ac:dyDescent="0.2">
      <c r="B302" s="38"/>
      <c r="C302" s="40" t="s">
        <v>257</v>
      </c>
      <c r="D302" s="40"/>
      <c r="E302" s="40"/>
      <c r="F302" s="40"/>
      <c r="G302" s="40"/>
      <c r="H302" s="40"/>
      <c r="I302" s="40"/>
      <c r="J302" s="266"/>
      <c r="K302" s="41"/>
    </row>
    <row r="303" spans="2:11" x14ac:dyDescent="0.2">
      <c r="B303" s="38"/>
      <c r="C303" s="40" t="s">
        <v>261</v>
      </c>
      <c r="D303" s="40"/>
      <c r="E303" s="40"/>
      <c r="F303" s="40"/>
      <c r="G303" s="40"/>
      <c r="H303" s="40"/>
      <c r="I303" s="40"/>
      <c r="J303" s="245" t="str">
        <f>IF(J302=$B$980,$A$980,IF(J302=$B$981,$A$981,IF(J302=$B$982,$A$982,IF(J302=$B$983,$A$983,IF(J302=$B$984,$A$984,"Not Calculated")))))</f>
        <v>Not Calculated</v>
      </c>
      <c r="K303" s="41"/>
    </row>
    <row r="304" spans="2:11" x14ac:dyDescent="0.2">
      <c r="B304" s="38"/>
      <c r="C304" s="40" t="s">
        <v>893</v>
      </c>
      <c r="D304" s="40"/>
      <c r="E304" s="40"/>
      <c r="F304" s="40"/>
      <c r="G304" s="40"/>
      <c r="H304" s="40"/>
      <c r="I304" s="40"/>
      <c r="J304" s="40"/>
      <c r="K304" s="41"/>
    </row>
    <row r="305" spans="2:11" ht="15" customHeight="1" x14ac:dyDescent="0.2">
      <c r="B305" s="38"/>
      <c r="C305" s="399"/>
      <c r="D305" s="400"/>
      <c r="E305" s="400"/>
      <c r="F305" s="400"/>
      <c r="G305" s="400"/>
      <c r="H305" s="400"/>
      <c r="I305" s="400"/>
      <c r="J305" s="401"/>
      <c r="K305" s="41"/>
    </row>
    <row r="306" spans="2:11" x14ac:dyDescent="0.2">
      <c r="B306" s="38"/>
      <c r="C306" s="40"/>
      <c r="D306" s="40"/>
      <c r="E306" s="40"/>
      <c r="F306" s="40"/>
      <c r="G306" s="40"/>
      <c r="H306" s="40"/>
      <c r="I306" s="40"/>
      <c r="J306" s="40"/>
      <c r="K306" s="41"/>
    </row>
    <row r="307" spans="2:11" x14ac:dyDescent="0.2">
      <c r="B307" s="38"/>
      <c r="C307" s="179" t="s">
        <v>885</v>
      </c>
      <c r="D307" s="40"/>
      <c r="E307" s="40"/>
      <c r="F307" s="40"/>
      <c r="G307" s="40"/>
      <c r="H307" s="40"/>
      <c r="I307" s="40"/>
      <c r="J307" s="245" t="str">
        <f>IF(OR(J296="Not Calculated",J303="Not Calculated")=TRUE,"Not Calculated",AVERAGE(J296,J303))</f>
        <v>Not Calculated</v>
      </c>
      <c r="K307" s="41"/>
    </row>
    <row r="308" spans="2:11" x14ac:dyDescent="0.2">
      <c r="B308" s="38"/>
      <c r="C308" s="40"/>
      <c r="D308" s="40"/>
      <c r="E308" s="40"/>
      <c r="F308" s="40"/>
      <c r="G308" s="40"/>
      <c r="H308" s="40"/>
      <c r="I308" s="40"/>
      <c r="J308" s="40"/>
      <c r="K308" s="41"/>
    </row>
    <row r="309" spans="2:11" x14ac:dyDescent="0.2">
      <c r="B309" s="38"/>
      <c r="C309" s="40"/>
      <c r="D309" s="40"/>
      <c r="E309" s="40"/>
      <c r="F309" s="40"/>
      <c r="G309" s="40"/>
      <c r="H309" s="40"/>
      <c r="I309" s="40"/>
      <c r="J309" s="40"/>
      <c r="K309" s="41"/>
    </row>
    <row r="310" spans="2:11" ht="16" x14ac:dyDescent="0.2">
      <c r="B310" s="38"/>
      <c r="C310" s="45" t="s">
        <v>857</v>
      </c>
      <c r="D310" s="40"/>
      <c r="E310" s="40"/>
      <c r="F310" s="40"/>
      <c r="G310" s="40"/>
      <c r="H310" s="40"/>
      <c r="I310" s="40"/>
      <c r="J310" s="40"/>
      <c r="K310" s="41"/>
    </row>
    <row r="311" spans="2:11" x14ac:dyDescent="0.2">
      <c r="B311" s="38"/>
      <c r="C311" s="380" t="s">
        <v>843</v>
      </c>
      <c r="D311" s="380"/>
      <c r="E311" s="380"/>
      <c r="F311" s="380"/>
      <c r="G311" s="380"/>
      <c r="H311" s="380"/>
      <c r="I311" s="380"/>
      <c r="J311" s="40"/>
      <c r="K311" s="41"/>
    </row>
    <row r="312" spans="2:11" x14ac:dyDescent="0.2">
      <c r="B312" s="38"/>
      <c r="C312" s="380"/>
      <c r="D312" s="380"/>
      <c r="E312" s="380"/>
      <c r="F312" s="380"/>
      <c r="G312" s="380"/>
      <c r="H312" s="380"/>
      <c r="I312" s="380"/>
      <c r="J312" s="264"/>
      <c r="K312" s="41"/>
    </row>
    <row r="313" spans="2:11" x14ac:dyDescent="0.2">
      <c r="B313" s="38"/>
      <c r="C313" s="40" t="s">
        <v>853</v>
      </c>
      <c r="D313" s="291"/>
      <c r="E313" s="291"/>
      <c r="F313" s="291"/>
      <c r="G313" s="291"/>
      <c r="H313" s="291"/>
      <c r="I313" s="291"/>
      <c r="J313" s="255">
        <f>'Baseline Health'!$G$102</f>
        <v>0</v>
      </c>
      <c r="K313" s="41"/>
    </row>
    <row r="314" spans="2:11" x14ac:dyDescent="0.2">
      <c r="B314" s="38"/>
      <c r="C314" s="40" t="s">
        <v>842</v>
      </c>
      <c r="D314" s="40"/>
      <c r="E314" s="40"/>
      <c r="F314" s="40"/>
      <c r="G314" s="40"/>
      <c r="H314" s="40"/>
      <c r="I314" s="40"/>
      <c r="J314" s="244" t="str">
        <f>IF('Baseline Health'!$G$102=0,"Not Calculated",100*J312/'Baseline Health'!$G$102)</f>
        <v>Not Calculated</v>
      </c>
      <c r="K314" s="41"/>
    </row>
    <row r="315" spans="2:11" x14ac:dyDescent="0.2">
      <c r="B315" s="38"/>
      <c r="C315" s="40" t="s">
        <v>260</v>
      </c>
      <c r="D315" s="40"/>
      <c r="E315" s="40"/>
      <c r="F315" s="40"/>
      <c r="G315" s="40"/>
      <c r="H315" s="40"/>
      <c r="I315" s="40"/>
      <c r="J315" s="245">
        <f>IF(J314&lt;=0,0,IF(J314&lt;=1,1,IF(J314&lt;=5,2,IF(J314&lt;=10,3,4))))</f>
        <v>4</v>
      </c>
      <c r="K315" s="41"/>
    </row>
    <row r="316" spans="2:11" ht="9.75" customHeight="1" x14ac:dyDescent="0.2">
      <c r="B316" s="38"/>
      <c r="C316" s="279" t="str">
        <f>"0:"</f>
        <v>0:</v>
      </c>
      <c r="D316" s="278" t="s">
        <v>932</v>
      </c>
      <c r="E316" s="40"/>
      <c r="F316" s="40"/>
      <c r="G316" s="40"/>
      <c r="H316" s="40"/>
      <c r="I316" s="40"/>
      <c r="J316" s="244"/>
      <c r="K316" s="41"/>
    </row>
    <row r="317" spans="2:11" ht="9.75" customHeight="1" x14ac:dyDescent="0.2">
      <c r="B317" s="38"/>
      <c r="C317" s="280" t="str">
        <f>"1:"</f>
        <v>1:</v>
      </c>
      <c r="D317" s="278" t="s">
        <v>934</v>
      </c>
      <c r="E317" s="40"/>
      <c r="F317" s="40"/>
      <c r="G317" s="40"/>
      <c r="H317" s="40"/>
      <c r="I317" s="40"/>
      <c r="J317" s="244"/>
      <c r="K317" s="41"/>
    </row>
    <row r="318" spans="2:11" ht="9.75" customHeight="1" x14ac:dyDescent="0.2">
      <c r="B318" s="38"/>
      <c r="C318" s="280" t="str">
        <f>"2:"</f>
        <v>2:</v>
      </c>
      <c r="D318" s="278" t="s">
        <v>933</v>
      </c>
      <c r="E318" s="40"/>
      <c r="F318" s="40"/>
      <c r="G318" s="40"/>
      <c r="H318" s="40"/>
      <c r="I318" s="40"/>
      <c r="J318" s="244"/>
      <c r="K318" s="41"/>
    </row>
    <row r="319" spans="2:11" ht="9.75" customHeight="1" x14ac:dyDescent="0.2">
      <c r="B319" s="38"/>
      <c r="C319" s="280" t="str">
        <f>"3:"</f>
        <v>3:</v>
      </c>
      <c r="D319" s="278" t="s">
        <v>935</v>
      </c>
      <c r="E319" s="40"/>
      <c r="F319" s="40"/>
      <c r="G319" s="40"/>
      <c r="H319" s="40"/>
      <c r="I319" s="40"/>
      <c r="J319" s="244"/>
      <c r="K319" s="41"/>
    </row>
    <row r="320" spans="2:11" ht="9.75" customHeight="1" x14ac:dyDescent="0.2">
      <c r="B320" s="38"/>
      <c r="C320" s="280" t="str">
        <f>"4:"</f>
        <v>4:</v>
      </c>
      <c r="D320" s="278" t="s">
        <v>936</v>
      </c>
      <c r="E320" s="40"/>
      <c r="F320" s="40"/>
      <c r="G320" s="40"/>
      <c r="H320" s="40"/>
      <c r="I320" s="40"/>
      <c r="J320" s="40"/>
      <c r="K320" s="41"/>
    </row>
    <row r="321" spans="2:11" x14ac:dyDescent="0.2">
      <c r="B321" s="38"/>
      <c r="C321" s="40" t="s">
        <v>296</v>
      </c>
      <c r="D321" s="40"/>
      <c r="E321" s="40"/>
      <c r="F321" s="40"/>
      <c r="G321" s="40"/>
      <c r="H321" s="40"/>
      <c r="I321" s="40"/>
      <c r="J321" s="266"/>
      <c r="K321" s="41"/>
    </row>
    <row r="322" spans="2:11" x14ac:dyDescent="0.2">
      <c r="B322" s="38"/>
      <c r="C322" s="40" t="s">
        <v>261</v>
      </c>
      <c r="D322" s="40"/>
      <c r="E322" s="40"/>
      <c r="F322" s="40"/>
      <c r="G322" s="40"/>
      <c r="H322" s="40"/>
      <c r="I322" s="40"/>
      <c r="J322" s="245">
        <f>IF(J321&lt;=0,0,IF(J321&lt;=2,1,IF(J321&lt;=6,2,IF(J321&lt;=12,3,4))))</f>
        <v>0</v>
      </c>
      <c r="K322" s="41"/>
    </row>
    <row r="323" spans="2:11" x14ac:dyDescent="0.2">
      <c r="B323" s="38"/>
      <c r="C323" s="40" t="s">
        <v>893</v>
      </c>
      <c r="D323" s="40"/>
      <c r="E323" s="40"/>
      <c r="F323" s="40"/>
      <c r="G323" s="40"/>
      <c r="H323" s="40"/>
      <c r="I323" s="40"/>
      <c r="J323" s="40"/>
      <c r="K323" s="41"/>
    </row>
    <row r="324" spans="2:11" ht="15" customHeight="1" x14ac:dyDescent="0.2">
      <c r="B324" s="38"/>
      <c r="C324" s="399"/>
      <c r="D324" s="400"/>
      <c r="E324" s="400"/>
      <c r="F324" s="400"/>
      <c r="G324" s="400"/>
      <c r="H324" s="400"/>
      <c r="I324" s="400"/>
      <c r="J324" s="401"/>
      <c r="K324" s="41"/>
    </row>
    <row r="325" spans="2:11" x14ac:dyDescent="0.2">
      <c r="B325" s="38"/>
      <c r="C325" s="40"/>
      <c r="D325" s="40"/>
      <c r="E325" s="40"/>
      <c r="F325" s="40"/>
      <c r="G325" s="40"/>
      <c r="H325" s="40"/>
      <c r="I325" s="40"/>
      <c r="J325" s="40"/>
      <c r="K325" s="41"/>
    </row>
    <row r="326" spans="2:11" x14ac:dyDescent="0.2">
      <c r="B326" s="38"/>
      <c r="C326" s="179" t="s">
        <v>886</v>
      </c>
      <c r="D326" s="40"/>
      <c r="E326" s="40"/>
      <c r="F326" s="40"/>
      <c r="G326" s="40"/>
      <c r="H326" s="40"/>
      <c r="I326" s="40"/>
      <c r="J326" s="245">
        <f>IF(OR(J315="Not Calculated",J322="Not Calculated")=TRUE,"Not Calculated",AVERAGE(J315,J322))</f>
        <v>2</v>
      </c>
      <c r="K326" s="41"/>
    </row>
    <row r="327" spans="2:11" x14ac:dyDescent="0.2">
      <c r="B327" s="38"/>
      <c r="C327" s="40"/>
      <c r="D327" s="40"/>
      <c r="E327" s="40"/>
      <c r="F327" s="40"/>
      <c r="G327" s="40"/>
      <c r="H327" s="40"/>
      <c r="I327" s="40"/>
      <c r="J327" s="40"/>
      <c r="K327" s="41"/>
    </row>
    <row r="328" spans="2:11" x14ac:dyDescent="0.2">
      <c r="B328" s="38"/>
      <c r="C328" s="40"/>
      <c r="D328" s="40"/>
      <c r="E328" s="40"/>
      <c r="F328" s="40"/>
      <c r="G328" s="40"/>
      <c r="H328" s="40"/>
      <c r="I328" s="40"/>
      <c r="J328" s="40"/>
      <c r="K328" s="41"/>
    </row>
    <row r="329" spans="2:11" ht="16" x14ac:dyDescent="0.2">
      <c r="B329" s="38"/>
      <c r="C329" s="45" t="s">
        <v>858</v>
      </c>
      <c r="D329" s="40"/>
      <c r="E329" s="40"/>
      <c r="F329" s="40"/>
      <c r="G329" s="40"/>
      <c r="H329" s="40"/>
      <c r="I329" s="40"/>
      <c r="J329" s="40"/>
      <c r="K329" s="41"/>
    </row>
    <row r="330" spans="2:11" ht="15" customHeight="1" x14ac:dyDescent="0.2">
      <c r="B330" s="38"/>
      <c r="C330" s="380" t="s">
        <v>844</v>
      </c>
      <c r="D330" s="380"/>
      <c r="E330" s="380"/>
      <c r="F330" s="380"/>
      <c r="G330" s="380"/>
      <c r="H330" s="380"/>
      <c r="I330" s="380"/>
      <c r="J330" s="40"/>
      <c r="K330" s="41"/>
    </row>
    <row r="331" spans="2:11" x14ac:dyDescent="0.2">
      <c r="B331" s="38"/>
      <c r="C331" s="380"/>
      <c r="D331" s="380"/>
      <c r="E331" s="380"/>
      <c r="F331" s="380"/>
      <c r="G331" s="380"/>
      <c r="H331" s="380"/>
      <c r="I331" s="380"/>
      <c r="J331" s="264"/>
      <c r="K331" s="41"/>
    </row>
    <row r="332" spans="2:11" x14ac:dyDescent="0.2">
      <c r="B332" s="38"/>
      <c r="C332" s="40" t="s">
        <v>853</v>
      </c>
      <c r="D332" s="291"/>
      <c r="E332" s="291"/>
      <c r="F332" s="291"/>
      <c r="G332" s="291"/>
      <c r="H332" s="291"/>
      <c r="I332" s="291"/>
      <c r="J332" s="255">
        <f>'Baseline Health'!$G$102</f>
        <v>0</v>
      </c>
      <c r="K332" s="41"/>
    </row>
    <row r="333" spans="2:11" x14ac:dyDescent="0.2">
      <c r="B333" s="38"/>
      <c r="C333" s="40" t="s">
        <v>845</v>
      </c>
      <c r="D333" s="40"/>
      <c r="E333" s="40"/>
      <c r="F333" s="40"/>
      <c r="G333" s="40"/>
      <c r="H333" s="40"/>
      <c r="I333" s="40"/>
      <c r="J333" s="244" t="str">
        <f>IF('Baseline Health'!$G$102=0,"Not Calculated",100*J331/'Baseline Health'!$G$102)</f>
        <v>Not Calculated</v>
      </c>
      <c r="K333" s="41"/>
    </row>
    <row r="334" spans="2:11" x14ac:dyDescent="0.2">
      <c r="B334" s="38"/>
      <c r="C334" s="40" t="s">
        <v>260</v>
      </c>
      <c r="D334" s="40"/>
      <c r="E334" s="40"/>
      <c r="F334" s="40"/>
      <c r="G334" s="40"/>
      <c r="H334" s="40"/>
      <c r="I334" s="40"/>
      <c r="J334" s="245">
        <f>IF(J333&lt;=0,0,IF(J333&lt;=1,1,IF(J333&lt;=5,2,IF(J333&lt;=10,3,4))))</f>
        <v>4</v>
      </c>
      <c r="K334" s="41"/>
    </row>
    <row r="335" spans="2:11" ht="9.75" customHeight="1" x14ac:dyDescent="0.2">
      <c r="B335" s="38"/>
      <c r="C335" s="279" t="str">
        <f>"0:"</f>
        <v>0:</v>
      </c>
      <c r="D335" s="278" t="s">
        <v>932</v>
      </c>
      <c r="E335" s="40"/>
      <c r="F335" s="40"/>
      <c r="G335" s="40"/>
      <c r="H335" s="40"/>
      <c r="I335" s="40"/>
      <c r="J335" s="244"/>
      <c r="K335" s="41"/>
    </row>
    <row r="336" spans="2:11" ht="9.75" customHeight="1" x14ac:dyDescent="0.2">
      <c r="B336" s="38"/>
      <c r="C336" s="280" t="str">
        <f>"1:"</f>
        <v>1:</v>
      </c>
      <c r="D336" s="278" t="s">
        <v>934</v>
      </c>
      <c r="E336" s="40"/>
      <c r="F336" s="40"/>
      <c r="G336" s="40"/>
      <c r="H336" s="40"/>
      <c r="I336" s="40"/>
      <c r="J336" s="244"/>
      <c r="K336" s="41"/>
    </row>
    <row r="337" spans="2:11" ht="9.75" customHeight="1" x14ac:dyDescent="0.2">
      <c r="B337" s="38"/>
      <c r="C337" s="280" t="str">
        <f>"2:"</f>
        <v>2:</v>
      </c>
      <c r="D337" s="278" t="s">
        <v>933</v>
      </c>
      <c r="E337" s="40"/>
      <c r="F337" s="40"/>
      <c r="G337" s="40"/>
      <c r="H337" s="40"/>
      <c r="I337" s="40"/>
      <c r="J337" s="244"/>
      <c r="K337" s="41"/>
    </row>
    <row r="338" spans="2:11" ht="9.75" customHeight="1" x14ac:dyDescent="0.2">
      <c r="B338" s="38"/>
      <c r="C338" s="280" t="str">
        <f>"3:"</f>
        <v>3:</v>
      </c>
      <c r="D338" s="278" t="s">
        <v>935</v>
      </c>
      <c r="E338" s="40"/>
      <c r="F338" s="40"/>
      <c r="G338" s="40"/>
      <c r="H338" s="40"/>
      <c r="I338" s="40"/>
      <c r="J338" s="244"/>
      <c r="K338" s="41"/>
    </row>
    <row r="339" spans="2:11" ht="9.75" customHeight="1" x14ac:dyDescent="0.2">
      <c r="B339" s="38"/>
      <c r="C339" s="280" t="str">
        <f>"4:"</f>
        <v>4:</v>
      </c>
      <c r="D339" s="278" t="s">
        <v>936</v>
      </c>
      <c r="E339" s="40"/>
      <c r="F339" s="40"/>
      <c r="G339" s="40"/>
      <c r="H339" s="40"/>
      <c r="I339" s="40"/>
      <c r="J339" s="40"/>
      <c r="K339" s="41"/>
    </row>
    <row r="340" spans="2:11" x14ac:dyDescent="0.2">
      <c r="B340" s="38"/>
      <c r="C340" s="380" t="s">
        <v>84</v>
      </c>
      <c r="D340" s="380"/>
      <c r="E340" s="380"/>
      <c r="F340" s="380"/>
      <c r="G340" s="380"/>
      <c r="H340" s="380"/>
      <c r="I340" s="380"/>
      <c r="J340" s="245"/>
      <c r="K340" s="41"/>
    </row>
    <row r="341" spans="2:11" x14ac:dyDescent="0.2">
      <c r="B341" s="38"/>
      <c r="C341" s="380"/>
      <c r="D341" s="380"/>
      <c r="E341" s="380"/>
      <c r="F341" s="380"/>
      <c r="G341" s="380"/>
      <c r="H341" s="380"/>
      <c r="I341" s="380"/>
      <c r="J341" s="245">
        <f>'Baseline Health'!G108</f>
        <v>40</v>
      </c>
      <c r="K341" s="41"/>
    </row>
    <row r="342" spans="2:11" ht="15" customHeight="1" x14ac:dyDescent="0.2">
      <c r="B342" s="38"/>
      <c r="C342" s="40" t="s">
        <v>833</v>
      </c>
      <c r="D342" s="40"/>
      <c r="E342" s="40"/>
      <c r="F342" s="40"/>
      <c r="G342" s="40"/>
      <c r="H342" s="40"/>
      <c r="I342" s="40"/>
      <c r="J342" s="245">
        <f>IF(J341&gt;J321,0,J321-J341)</f>
        <v>0</v>
      </c>
      <c r="K342" s="41"/>
    </row>
    <row r="343" spans="2:11" x14ac:dyDescent="0.2">
      <c r="B343" s="38"/>
      <c r="C343" s="40"/>
      <c r="D343" s="380" t="s">
        <v>834</v>
      </c>
      <c r="E343" s="380"/>
      <c r="F343" s="380"/>
      <c r="G343" s="380"/>
      <c r="H343" s="380"/>
      <c r="I343" s="380"/>
      <c r="J343" s="40"/>
      <c r="K343" s="41"/>
    </row>
    <row r="344" spans="2:11" x14ac:dyDescent="0.2">
      <c r="B344" s="38"/>
      <c r="C344" s="40"/>
      <c r="D344" s="380"/>
      <c r="E344" s="380"/>
      <c r="F344" s="380"/>
      <c r="G344" s="380"/>
      <c r="H344" s="380"/>
      <c r="I344" s="380"/>
      <c r="J344" s="40"/>
      <c r="K344" s="41"/>
    </row>
    <row r="345" spans="2:11" x14ac:dyDescent="0.2">
      <c r="B345" s="38"/>
      <c r="C345" s="40" t="s">
        <v>261</v>
      </c>
      <c r="D345" s="40"/>
      <c r="E345" s="40"/>
      <c r="F345" s="40"/>
      <c r="G345" s="40"/>
      <c r="H345" s="40"/>
      <c r="I345" s="40"/>
      <c r="J345" s="245">
        <f>IF(J342&lt;=0,0,IF(J342&lt;=2,1,IF(J342&lt;=6,2,IF(J342&lt;=12,3,4))))</f>
        <v>0</v>
      </c>
      <c r="K345" s="41"/>
    </row>
    <row r="346" spans="2:11" x14ac:dyDescent="0.2">
      <c r="B346" s="38"/>
      <c r="C346" s="40" t="s">
        <v>893</v>
      </c>
      <c r="D346" s="40"/>
      <c r="E346" s="40"/>
      <c r="F346" s="40"/>
      <c r="G346" s="40"/>
      <c r="H346" s="40"/>
      <c r="I346" s="40"/>
      <c r="J346" s="40"/>
      <c r="K346" s="41"/>
    </row>
    <row r="347" spans="2:11" ht="15" customHeight="1" x14ac:dyDescent="0.2">
      <c r="B347" s="38"/>
      <c r="C347" s="399"/>
      <c r="D347" s="400"/>
      <c r="E347" s="400"/>
      <c r="F347" s="400"/>
      <c r="G347" s="400"/>
      <c r="H347" s="400"/>
      <c r="I347" s="400"/>
      <c r="J347" s="401"/>
      <c r="K347" s="41"/>
    </row>
    <row r="348" spans="2:11" x14ac:dyDescent="0.2">
      <c r="B348" s="38"/>
      <c r="C348" s="40"/>
      <c r="D348" s="40"/>
      <c r="E348" s="40"/>
      <c r="F348" s="40"/>
      <c r="G348" s="40"/>
      <c r="H348" s="40"/>
      <c r="I348" s="40"/>
      <c r="J348" s="40"/>
      <c r="K348" s="41"/>
    </row>
    <row r="349" spans="2:11" x14ac:dyDescent="0.2">
      <c r="B349" s="38"/>
      <c r="C349" s="179" t="s">
        <v>887</v>
      </c>
      <c r="D349" s="40"/>
      <c r="E349" s="40"/>
      <c r="F349" s="40"/>
      <c r="G349" s="40"/>
      <c r="H349" s="40"/>
      <c r="I349" s="40"/>
      <c r="J349" s="245">
        <f>IF(OR(J334="Not Calculated",J345="Not Calculated")=TRUE,"Not Calculated",AVERAGE(J334,J345))</f>
        <v>2</v>
      </c>
      <c r="K349" s="41"/>
    </row>
    <row r="350" spans="2:11" x14ac:dyDescent="0.2">
      <c r="B350" s="38"/>
      <c r="C350" s="40"/>
      <c r="D350" s="40"/>
      <c r="E350" s="40"/>
      <c r="F350" s="40"/>
      <c r="G350" s="40"/>
      <c r="H350" s="40"/>
      <c r="I350" s="40"/>
      <c r="J350" s="40"/>
      <c r="K350" s="41"/>
    </row>
    <row r="351" spans="2:11" x14ac:dyDescent="0.2">
      <c r="B351" s="38"/>
      <c r="C351" s="40"/>
      <c r="D351" s="40"/>
      <c r="E351" s="40"/>
      <c r="F351" s="40"/>
      <c r="G351" s="40"/>
      <c r="H351" s="40"/>
      <c r="I351" s="40"/>
      <c r="J351" s="40"/>
      <c r="K351" s="41"/>
    </row>
    <row r="352" spans="2:11" ht="15" customHeight="1" x14ac:dyDescent="0.2">
      <c r="B352" s="38"/>
      <c r="C352" s="45" t="s">
        <v>859</v>
      </c>
      <c r="D352" s="40"/>
      <c r="E352" s="40"/>
      <c r="F352" s="40"/>
      <c r="G352" s="40"/>
      <c r="H352" s="40"/>
      <c r="I352" s="40"/>
      <c r="J352" s="40"/>
      <c r="K352" s="41"/>
    </row>
    <row r="353" spans="2:11" x14ac:dyDescent="0.2">
      <c r="B353" s="38"/>
      <c r="C353" s="40" t="s">
        <v>846</v>
      </c>
      <c r="D353" s="40"/>
      <c r="E353" s="40"/>
      <c r="F353" s="40"/>
      <c r="G353" s="40"/>
      <c r="H353" s="40"/>
      <c r="I353" s="40"/>
      <c r="J353" s="264"/>
      <c r="K353" s="41"/>
    </row>
    <row r="354" spans="2:11" x14ac:dyDescent="0.2">
      <c r="B354" s="38"/>
      <c r="C354" s="40" t="s">
        <v>854</v>
      </c>
      <c r="D354" s="40"/>
      <c r="E354" s="40"/>
      <c r="F354" s="40"/>
      <c r="G354" s="40"/>
      <c r="H354" s="40"/>
      <c r="I354" s="40"/>
      <c r="J354" s="255">
        <f>'Baseline Health'!$G$59</f>
        <v>0</v>
      </c>
      <c r="K354" s="41"/>
    </row>
    <row r="355" spans="2:11" x14ac:dyDescent="0.2">
      <c r="B355" s="38"/>
      <c r="C355" s="40" t="s">
        <v>847</v>
      </c>
      <c r="D355" s="40"/>
      <c r="E355" s="40"/>
      <c r="F355" s="40"/>
      <c r="G355" s="40"/>
      <c r="H355" s="40"/>
      <c r="I355" s="40"/>
      <c r="J355" s="244">
        <f>IF(J353=0,0,IF('Baseline Health'!G$59=0,"Not Calculated",100*J353/'Baseline Health'!$G$59))</f>
        <v>0</v>
      </c>
      <c r="K355" s="41"/>
    </row>
    <row r="356" spans="2:11" x14ac:dyDescent="0.2">
      <c r="B356" s="38"/>
      <c r="C356" s="40" t="s">
        <v>260</v>
      </c>
      <c r="D356" s="40"/>
      <c r="E356" s="40"/>
      <c r="F356" s="40"/>
      <c r="G356" s="40"/>
      <c r="H356" s="40"/>
      <c r="I356" s="40"/>
      <c r="J356" s="245">
        <f>IF(J355&lt;=0,0,IF(J355&lt;=5,1,IF(J355&lt;=10,2,IF(J355&lt;=25,3,4))))</f>
        <v>0</v>
      </c>
      <c r="K356" s="41"/>
    </row>
    <row r="357" spans="2:11" ht="9.75" customHeight="1" x14ac:dyDescent="0.2">
      <c r="B357" s="38"/>
      <c r="C357" s="279" t="str">
        <f>"0:"</f>
        <v>0:</v>
      </c>
      <c r="D357" s="278" t="s">
        <v>932</v>
      </c>
      <c r="E357" s="40"/>
      <c r="F357" s="40"/>
      <c r="G357" s="40"/>
      <c r="H357" s="40"/>
      <c r="I357" s="40"/>
      <c r="J357" s="244"/>
      <c r="K357" s="41"/>
    </row>
    <row r="358" spans="2:11" ht="9.75" customHeight="1" x14ac:dyDescent="0.2">
      <c r="B358" s="38"/>
      <c r="C358" s="280" t="str">
        <f>"1:"</f>
        <v>1:</v>
      </c>
      <c r="D358" s="278" t="s">
        <v>933</v>
      </c>
      <c r="E358" s="40"/>
      <c r="F358" s="40"/>
      <c r="G358" s="40"/>
      <c r="H358" s="40"/>
      <c r="I358" s="40"/>
      <c r="J358" s="244"/>
      <c r="K358" s="41"/>
    </row>
    <row r="359" spans="2:11" ht="9.75" customHeight="1" x14ac:dyDescent="0.2">
      <c r="B359" s="38"/>
      <c r="C359" s="280" t="str">
        <f>"2:"</f>
        <v>2:</v>
      </c>
      <c r="D359" s="278" t="s">
        <v>935</v>
      </c>
      <c r="E359" s="40"/>
      <c r="F359" s="40"/>
      <c r="G359" s="40"/>
      <c r="H359" s="40"/>
      <c r="I359" s="40"/>
      <c r="J359" s="244"/>
      <c r="K359" s="41"/>
    </row>
    <row r="360" spans="2:11" ht="9.75" customHeight="1" x14ac:dyDescent="0.2">
      <c r="B360" s="38"/>
      <c r="C360" s="280" t="str">
        <f>"3:"</f>
        <v>3:</v>
      </c>
      <c r="D360" s="278" t="s">
        <v>937</v>
      </c>
      <c r="E360" s="40"/>
      <c r="F360" s="40"/>
      <c r="G360" s="40"/>
      <c r="H360" s="40"/>
      <c r="I360" s="40"/>
      <c r="J360" s="244"/>
      <c r="K360" s="41"/>
    </row>
    <row r="361" spans="2:11" ht="9.75" customHeight="1" x14ac:dyDescent="0.2">
      <c r="B361" s="38"/>
      <c r="C361" s="280" t="str">
        <f>"4:"</f>
        <v>4:</v>
      </c>
      <c r="D361" s="278" t="s">
        <v>938</v>
      </c>
      <c r="E361" s="40"/>
      <c r="F361" s="40"/>
      <c r="G361" s="40"/>
      <c r="H361" s="40"/>
      <c r="I361" s="40"/>
      <c r="J361" s="40"/>
      <c r="K361" s="41"/>
    </row>
    <row r="362" spans="2:11" x14ac:dyDescent="0.2">
      <c r="B362" s="38"/>
      <c r="C362" s="40" t="s">
        <v>257</v>
      </c>
      <c r="D362" s="40"/>
      <c r="E362" s="40"/>
      <c r="F362" s="40"/>
      <c r="G362" s="40"/>
      <c r="H362" s="40"/>
      <c r="I362" s="40"/>
      <c r="J362" s="266"/>
      <c r="K362" s="41"/>
    </row>
    <row r="363" spans="2:11" x14ac:dyDescent="0.2">
      <c r="B363" s="38"/>
      <c r="C363" s="40" t="s">
        <v>261</v>
      </c>
      <c r="D363" s="40"/>
      <c r="E363" s="40"/>
      <c r="F363" s="40"/>
      <c r="G363" s="40"/>
      <c r="H363" s="40"/>
      <c r="I363" s="40"/>
      <c r="J363" s="245" t="str">
        <f>IF(J362=$B$980,$A$980,IF(J362=$B$981,$A$981,IF(J362=$B$982,$A$982,IF(J362=$B$983,$A$983,IF(J362=$B$984,$A$984,"Not Calculated")))))</f>
        <v>Not Calculated</v>
      </c>
      <c r="K363" s="41"/>
    </row>
    <row r="364" spans="2:11" x14ac:dyDescent="0.2">
      <c r="B364" s="38"/>
      <c r="C364" s="40" t="s">
        <v>893</v>
      </c>
      <c r="D364" s="40"/>
      <c r="E364" s="40"/>
      <c r="F364" s="40"/>
      <c r="G364" s="40"/>
      <c r="H364" s="40"/>
      <c r="I364" s="40"/>
      <c r="J364" s="40"/>
      <c r="K364" s="41"/>
    </row>
    <row r="365" spans="2:11" ht="15" customHeight="1" x14ac:dyDescent="0.2">
      <c r="B365" s="38"/>
      <c r="C365" s="399"/>
      <c r="D365" s="400"/>
      <c r="E365" s="400"/>
      <c r="F365" s="400"/>
      <c r="G365" s="400"/>
      <c r="H365" s="400"/>
      <c r="I365" s="400"/>
      <c r="J365" s="401"/>
      <c r="K365" s="41"/>
    </row>
    <row r="366" spans="2:11" x14ac:dyDescent="0.2">
      <c r="B366" s="38"/>
      <c r="C366" s="40"/>
      <c r="D366" s="40"/>
      <c r="E366" s="40"/>
      <c r="F366" s="40"/>
      <c r="G366" s="40"/>
      <c r="H366" s="40"/>
      <c r="I366" s="40"/>
      <c r="J366" s="40"/>
      <c r="K366" s="41"/>
    </row>
    <row r="367" spans="2:11" x14ac:dyDescent="0.2">
      <c r="B367" s="38"/>
      <c r="C367" s="179" t="s">
        <v>888</v>
      </c>
      <c r="D367" s="40"/>
      <c r="E367" s="40"/>
      <c r="F367" s="40"/>
      <c r="G367" s="40"/>
      <c r="H367" s="40"/>
      <c r="I367" s="40"/>
      <c r="J367" s="245" t="str">
        <f>IF(OR(J356="Not Calculated",J363="Not Calculated")=TRUE,"Not Calculated",AVERAGE(J356,J363))</f>
        <v>Not Calculated</v>
      </c>
      <c r="K367" s="41"/>
    </row>
    <row r="368" spans="2:11" x14ac:dyDescent="0.2">
      <c r="B368" s="38"/>
      <c r="C368" s="40"/>
      <c r="D368" s="40"/>
      <c r="E368" s="40"/>
      <c r="F368" s="40"/>
      <c r="G368" s="40"/>
      <c r="H368" s="40"/>
      <c r="I368" s="40"/>
      <c r="J368" s="40"/>
      <c r="K368" s="41"/>
    </row>
    <row r="369" spans="2:11" x14ac:dyDescent="0.2">
      <c r="B369" s="38"/>
      <c r="C369" s="40"/>
      <c r="D369" s="40"/>
      <c r="E369" s="40"/>
      <c r="F369" s="40"/>
      <c r="G369" s="40"/>
      <c r="H369" s="40"/>
      <c r="I369" s="40"/>
      <c r="J369" s="40"/>
      <c r="K369" s="41"/>
    </row>
    <row r="370" spans="2:11" ht="16" x14ac:dyDescent="0.2">
      <c r="B370" s="38"/>
      <c r="C370" s="45" t="s">
        <v>863</v>
      </c>
      <c r="D370" s="40"/>
      <c r="E370" s="40"/>
      <c r="F370" s="40"/>
      <c r="G370" s="40"/>
      <c r="H370" s="40"/>
      <c r="I370" s="40"/>
      <c r="J370" s="40"/>
      <c r="K370" s="41"/>
    </row>
    <row r="371" spans="2:11" ht="15" customHeight="1" x14ac:dyDescent="0.2">
      <c r="B371" s="38"/>
      <c r="C371" s="380" t="s">
        <v>848</v>
      </c>
      <c r="D371" s="380"/>
      <c r="E371" s="380"/>
      <c r="F371" s="380"/>
      <c r="G371" s="380"/>
      <c r="H371" s="380"/>
      <c r="I371" s="380"/>
      <c r="J371" s="181"/>
      <c r="K371" s="41"/>
    </row>
    <row r="372" spans="2:11" x14ac:dyDescent="0.2">
      <c r="B372" s="38"/>
      <c r="C372" s="380"/>
      <c r="D372" s="380"/>
      <c r="E372" s="380"/>
      <c r="F372" s="380"/>
      <c r="G372" s="380"/>
      <c r="H372" s="380"/>
      <c r="I372" s="380"/>
      <c r="J372" s="264"/>
      <c r="K372" s="41"/>
    </row>
    <row r="373" spans="2:11" x14ac:dyDescent="0.2">
      <c r="B373" s="38"/>
      <c r="C373" s="40" t="s">
        <v>853</v>
      </c>
      <c r="D373" s="291"/>
      <c r="E373" s="291"/>
      <c r="F373" s="291"/>
      <c r="G373" s="291"/>
      <c r="H373" s="291"/>
      <c r="I373" s="291"/>
      <c r="J373" s="255">
        <f>'Baseline Health'!$G$102</f>
        <v>0</v>
      </c>
      <c r="K373" s="41"/>
    </row>
    <row r="374" spans="2:11" x14ac:dyDescent="0.2">
      <c r="B374" s="38"/>
      <c r="C374" s="40" t="s">
        <v>842</v>
      </c>
      <c r="D374" s="291"/>
      <c r="E374" s="291"/>
      <c r="F374" s="291"/>
      <c r="G374" s="291"/>
      <c r="H374" s="291"/>
      <c r="I374" s="291"/>
      <c r="J374" s="244" t="str">
        <f>IF('Baseline Health'!$G$102=0,"Not Calculated",100*J372/'Baseline Health'!$G$102)</f>
        <v>Not Calculated</v>
      </c>
      <c r="K374" s="41"/>
    </row>
    <row r="375" spans="2:11" x14ac:dyDescent="0.2">
      <c r="B375" s="38"/>
      <c r="C375" s="40" t="s">
        <v>260</v>
      </c>
      <c r="D375" s="40"/>
      <c r="E375" s="40"/>
      <c r="F375" s="40"/>
      <c r="G375" s="40"/>
      <c r="H375" s="40"/>
      <c r="I375" s="40"/>
      <c r="J375" s="251">
        <f>IF(J374&lt;=0,0,IF(J374&lt;=1,1,IF(J374&lt;=5,2,IF(J374&lt;=10,3,4))))</f>
        <v>4</v>
      </c>
      <c r="K375" s="41"/>
    </row>
    <row r="376" spans="2:11" ht="9.75" customHeight="1" x14ac:dyDescent="0.2">
      <c r="B376" s="38"/>
      <c r="C376" s="279" t="str">
        <f>"0:"</f>
        <v>0:</v>
      </c>
      <c r="D376" s="278" t="s">
        <v>932</v>
      </c>
      <c r="E376" s="291"/>
      <c r="F376" s="291"/>
      <c r="G376" s="291"/>
      <c r="H376" s="291"/>
      <c r="I376" s="291"/>
      <c r="J376" s="244"/>
      <c r="K376" s="41"/>
    </row>
    <row r="377" spans="2:11" ht="9.75" customHeight="1" x14ac:dyDescent="0.2">
      <c r="B377" s="38"/>
      <c r="C377" s="280" t="str">
        <f>"1:"</f>
        <v>1:</v>
      </c>
      <c r="D377" s="278" t="s">
        <v>934</v>
      </c>
      <c r="E377" s="291"/>
      <c r="F377" s="291"/>
      <c r="G377" s="291"/>
      <c r="H377" s="291"/>
      <c r="I377" s="291"/>
      <c r="J377" s="244"/>
      <c r="K377" s="41"/>
    </row>
    <row r="378" spans="2:11" ht="9.75" customHeight="1" x14ac:dyDescent="0.2">
      <c r="B378" s="38"/>
      <c r="C378" s="280" t="str">
        <f>"2:"</f>
        <v>2:</v>
      </c>
      <c r="D378" s="278" t="s">
        <v>933</v>
      </c>
      <c r="E378" s="291"/>
      <c r="F378" s="291"/>
      <c r="G378" s="291"/>
      <c r="H378" s="291"/>
      <c r="I378" s="291"/>
      <c r="J378" s="244"/>
      <c r="K378" s="41"/>
    </row>
    <row r="379" spans="2:11" ht="9.75" customHeight="1" x14ac:dyDescent="0.2">
      <c r="B379" s="38"/>
      <c r="C379" s="280" t="str">
        <f>"3:"</f>
        <v>3:</v>
      </c>
      <c r="D379" s="278" t="s">
        <v>935</v>
      </c>
      <c r="E379" s="291"/>
      <c r="F379" s="291"/>
      <c r="G379" s="291"/>
      <c r="H379" s="291"/>
      <c r="I379" s="291"/>
      <c r="J379" s="244"/>
      <c r="K379" s="41"/>
    </row>
    <row r="380" spans="2:11" ht="9.75" customHeight="1" x14ac:dyDescent="0.2">
      <c r="B380" s="38"/>
      <c r="C380" s="280" t="str">
        <f>"4:"</f>
        <v>4:</v>
      </c>
      <c r="D380" s="278" t="s">
        <v>936</v>
      </c>
      <c r="E380" s="40"/>
      <c r="F380" s="40"/>
      <c r="G380" s="40"/>
      <c r="H380" s="40"/>
      <c r="I380" s="40"/>
      <c r="J380" s="40"/>
      <c r="K380" s="41"/>
    </row>
    <row r="381" spans="2:11" x14ac:dyDescent="0.2">
      <c r="B381" s="38"/>
      <c r="C381" s="40" t="s">
        <v>85</v>
      </c>
      <c r="D381" s="40"/>
      <c r="E381" s="40"/>
      <c r="F381" s="40"/>
      <c r="G381" s="40"/>
      <c r="H381" s="40"/>
      <c r="I381" s="40"/>
      <c r="J381" s="252">
        <f>'Baseline Health'!G114</f>
        <v>7</v>
      </c>
      <c r="K381" s="41"/>
    </row>
    <row r="382" spans="2:11" x14ac:dyDescent="0.2">
      <c r="B382" s="38"/>
      <c r="C382" s="40" t="s">
        <v>297</v>
      </c>
      <c r="D382" s="40"/>
      <c r="E382" s="40"/>
      <c r="F382" s="40"/>
      <c r="G382" s="40"/>
      <c r="H382" s="40"/>
      <c r="I382" s="40"/>
      <c r="J382" s="266"/>
      <c r="K382" s="41"/>
    </row>
    <row r="383" spans="2:11" x14ac:dyDescent="0.2">
      <c r="B383" s="38"/>
      <c r="C383" s="40" t="s">
        <v>261</v>
      </c>
      <c r="D383" s="40"/>
      <c r="E383" s="40"/>
      <c r="F383" s="40"/>
      <c r="G383" s="40"/>
      <c r="H383" s="40"/>
      <c r="I383" s="40"/>
      <c r="J383" s="248">
        <f>IF((J382-J381)&lt;1,0,IF((J382-J381)&lt;3,1,IF((J382-J381)&lt;5,2,IF((J382-J381)&lt;7,3,4))))</f>
        <v>0</v>
      </c>
      <c r="K383" s="41"/>
    </row>
    <row r="384" spans="2:11" x14ac:dyDescent="0.2">
      <c r="B384" s="38"/>
      <c r="C384" s="40" t="s">
        <v>893</v>
      </c>
      <c r="D384" s="40"/>
      <c r="E384" s="40"/>
      <c r="F384" s="40"/>
      <c r="G384" s="40"/>
      <c r="H384" s="40"/>
      <c r="I384" s="40"/>
      <c r="J384" s="40"/>
      <c r="K384" s="41"/>
    </row>
    <row r="385" spans="2:11" x14ac:dyDescent="0.2">
      <c r="B385" s="38"/>
      <c r="C385" s="399"/>
      <c r="D385" s="400"/>
      <c r="E385" s="400"/>
      <c r="F385" s="400"/>
      <c r="G385" s="400"/>
      <c r="H385" s="400"/>
      <c r="I385" s="400"/>
      <c r="J385" s="401"/>
      <c r="K385" s="41"/>
    </row>
    <row r="386" spans="2:11" x14ac:dyDescent="0.2">
      <c r="B386" s="38"/>
      <c r="C386" s="40"/>
      <c r="D386" s="40"/>
      <c r="E386" s="40"/>
      <c r="F386" s="40"/>
      <c r="G386" s="40"/>
      <c r="H386" s="40"/>
      <c r="I386" s="40"/>
      <c r="J386" s="40"/>
      <c r="K386" s="41"/>
    </row>
    <row r="387" spans="2:11" x14ac:dyDescent="0.2">
      <c r="B387" s="38"/>
      <c r="C387" s="179" t="s">
        <v>889</v>
      </c>
      <c r="D387" s="40"/>
      <c r="E387" s="40"/>
      <c r="F387" s="40"/>
      <c r="G387" s="40"/>
      <c r="H387" s="40"/>
      <c r="I387" s="40"/>
      <c r="J387" s="245">
        <f>IF(OR(J375="Not Calculated",J383="Not Calculated")=TRUE,"Not Calculated",AVERAGE(J375,J383))</f>
        <v>2</v>
      </c>
      <c r="K387" s="41"/>
    </row>
    <row r="388" spans="2:11" x14ac:dyDescent="0.2">
      <c r="B388" s="38"/>
      <c r="C388" s="40"/>
      <c r="D388" s="40"/>
      <c r="E388" s="40"/>
      <c r="F388" s="40"/>
      <c r="G388" s="40"/>
      <c r="H388" s="40"/>
      <c r="I388" s="40"/>
      <c r="J388" s="40"/>
      <c r="K388" s="41"/>
    </row>
    <row r="389" spans="2:11" x14ac:dyDescent="0.2">
      <c r="B389" s="38"/>
      <c r="C389" s="40"/>
      <c r="D389" s="40"/>
      <c r="E389" s="40"/>
      <c r="F389" s="40"/>
      <c r="G389" s="40"/>
      <c r="H389" s="40"/>
      <c r="I389" s="40"/>
      <c r="J389" s="40"/>
      <c r="K389" s="41"/>
    </row>
    <row r="390" spans="2:11" ht="16" x14ac:dyDescent="0.2">
      <c r="B390" s="38"/>
      <c r="C390" s="45" t="s">
        <v>860</v>
      </c>
      <c r="D390" s="40"/>
      <c r="E390" s="40"/>
      <c r="F390" s="40"/>
      <c r="G390" s="40"/>
      <c r="H390" s="40"/>
      <c r="I390" s="40"/>
      <c r="J390" s="40"/>
      <c r="K390" s="41"/>
    </row>
    <row r="391" spans="2:11" x14ac:dyDescent="0.2">
      <c r="B391" s="38"/>
      <c r="C391" s="380" t="s">
        <v>849</v>
      </c>
      <c r="D391" s="380"/>
      <c r="E391" s="380"/>
      <c r="F391" s="380"/>
      <c r="G391" s="380"/>
      <c r="H391" s="380"/>
      <c r="I391" s="380"/>
      <c r="J391" s="181"/>
      <c r="K391" s="41"/>
    </row>
    <row r="392" spans="2:11" x14ac:dyDescent="0.2">
      <c r="B392" s="38"/>
      <c r="C392" s="380"/>
      <c r="D392" s="380"/>
      <c r="E392" s="380"/>
      <c r="F392" s="380"/>
      <c r="G392" s="380"/>
      <c r="H392" s="380"/>
      <c r="I392" s="380"/>
      <c r="J392" s="264"/>
      <c r="K392" s="41"/>
    </row>
    <row r="393" spans="2:11" x14ac:dyDescent="0.2">
      <c r="B393" s="38"/>
      <c r="C393" s="40" t="s">
        <v>853</v>
      </c>
      <c r="D393" s="291"/>
      <c r="E393" s="291"/>
      <c r="F393" s="291"/>
      <c r="G393" s="291"/>
      <c r="H393" s="291"/>
      <c r="I393" s="291"/>
      <c r="J393" s="255">
        <f>'Baseline Health'!$G$102</f>
        <v>0</v>
      </c>
      <c r="K393" s="41"/>
    </row>
    <row r="394" spans="2:11" ht="15" customHeight="1" x14ac:dyDescent="0.2">
      <c r="B394" s="38"/>
      <c r="C394" s="40" t="s">
        <v>850</v>
      </c>
      <c r="D394" s="291"/>
      <c r="E394" s="291"/>
      <c r="F394" s="291"/>
      <c r="G394" s="291"/>
      <c r="H394" s="291"/>
      <c r="I394" s="291"/>
      <c r="J394" s="244" t="str">
        <f>IF('Baseline Health'!$G$102=0,"Not Calculated",100*J392/'Baseline Health'!$G$102)</f>
        <v>Not Calculated</v>
      </c>
      <c r="K394" s="41"/>
    </row>
    <row r="395" spans="2:11" ht="15" customHeight="1" x14ac:dyDescent="0.2">
      <c r="B395" s="38"/>
      <c r="C395" s="40" t="s">
        <v>260</v>
      </c>
      <c r="D395" s="40"/>
      <c r="E395" s="40"/>
      <c r="F395" s="40"/>
      <c r="G395" s="40"/>
      <c r="H395" s="40"/>
      <c r="I395" s="40"/>
      <c r="J395" s="43">
        <f>IF(J394&lt;=0,0,IF(J394&lt;=1,1,IF(J394&lt;=5,2,IF(J394&lt;=10,3,4))))</f>
        <v>4</v>
      </c>
      <c r="K395" s="41"/>
    </row>
    <row r="396" spans="2:11" ht="9.75" customHeight="1" x14ac:dyDescent="0.2">
      <c r="B396" s="38"/>
      <c r="C396" s="279" t="str">
        <f>"0:"</f>
        <v>0:</v>
      </c>
      <c r="D396" s="278" t="s">
        <v>932</v>
      </c>
      <c r="E396" s="291"/>
      <c r="F396" s="291"/>
      <c r="G396" s="291"/>
      <c r="H396" s="291"/>
      <c r="I396" s="291"/>
      <c r="J396" s="244"/>
      <c r="K396" s="41"/>
    </row>
    <row r="397" spans="2:11" ht="9.75" customHeight="1" x14ac:dyDescent="0.2">
      <c r="B397" s="38"/>
      <c r="C397" s="280" t="str">
        <f>"1:"</f>
        <v>1:</v>
      </c>
      <c r="D397" s="278" t="s">
        <v>934</v>
      </c>
      <c r="E397" s="291"/>
      <c r="F397" s="291"/>
      <c r="G397" s="291"/>
      <c r="H397" s="291"/>
      <c r="I397" s="291"/>
      <c r="J397" s="244"/>
      <c r="K397" s="41"/>
    </row>
    <row r="398" spans="2:11" ht="9.75" customHeight="1" x14ac:dyDescent="0.2">
      <c r="B398" s="38"/>
      <c r="C398" s="280" t="str">
        <f>"2:"</f>
        <v>2:</v>
      </c>
      <c r="D398" s="278" t="s">
        <v>933</v>
      </c>
      <c r="E398" s="291"/>
      <c r="F398" s="291"/>
      <c r="G398" s="291"/>
      <c r="H398" s="291"/>
      <c r="I398" s="291"/>
      <c r="J398" s="244"/>
      <c r="K398" s="41"/>
    </row>
    <row r="399" spans="2:11" ht="9.75" customHeight="1" x14ac:dyDescent="0.2">
      <c r="B399" s="38"/>
      <c r="C399" s="280" t="str">
        <f>"3:"</f>
        <v>3:</v>
      </c>
      <c r="D399" s="278" t="s">
        <v>935</v>
      </c>
      <c r="E399" s="291"/>
      <c r="F399" s="291"/>
      <c r="G399" s="291"/>
      <c r="H399" s="291"/>
      <c r="I399" s="291"/>
      <c r="J399" s="244"/>
      <c r="K399" s="41"/>
    </row>
    <row r="400" spans="2:11" ht="9.75" customHeight="1" x14ac:dyDescent="0.2">
      <c r="B400" s="38"/>
      <c r="C400" s="280" t="str">
        <f>"4:"</f>
        <v>4:</v>
      </c>
      <c r="D400" s="278" t="s">
        <v>936</v>
      </c>
      <c r="E400" s="40"/>
      <c r="F400" s="40"/>
      <c r="G400" s="40"/>
      <c r="H400" s="40"/>
      <c r="I400" s="40"/>
      <c r="J400" s="40"/>
      <c r="K400" s="41"/>
    </row>
    <row r="401" spans="2:11" x14ac:dyDescent="0.2">
      <c r="B401" s="38"/>
      <c r="C401" s="40" t="s">
        <v>893</v>
      </c>
      <c r="D401" s="40"/>
      <c r="E401" s="40"/>
      <c r="F401" s="40"/>
      <c r="G401" s="40"/>
      <c r="H401" s="40"/>
      <c r="I401" s="40"/>
      <c r="J401" s="40"/>
      <c r="K401" s="41"/>
    </row>
    <row r="402" spans="2:11" ht="15" customHeight="1" x14ac:dyDescent="0.2">
      <c r="B402" s="38"/>
      <c r="C402" s="399"/>
      <c r="D402" s="400"/>
      <c r="E402" s="400"/>
      <c r="F402" s="400"/>
      <c r="G402" s="400"/>
      <c r="H402" s="400"/>
      <c r="I402" s="400"/>
      <c r="J402" s="401"/>
      <c r="K402" s="41"/>
    </row>
    <row r="403" spans="2:11" x14ac:dyDescent="0.2">
      <c r="B403" s="38"/>
      <c r="C403" s="40"/>
      <c r="D403" s="40"/>
      <c r="E403" s="40"/>
      <c r="F403" s="40"/>
      <c r="G403" s="40"/>
      <c r="H403" s="40"/>
      <c r="I403" s="40"/>
      <c r="J403" s="40"/>
      <c r="K403" s="41"/>
    </row>
    <row r="404" spans="2:11" x14ac:dyDescent="0.2">
      <c r="B404" s="38"/>
      <c r="C404" s="179" t="s">
        <v>890</v>
      </c>
      <c r="D404" s="40"/>
      <c r="E404" s="40"/>
      <c r="F404" s="40"/>
      <c r="G404" s="40"/>
      <c r="H404" s="40"/>
      <c r="I404" s="40"/>
      <c r="J404" s="245">
        <f>J395</f>
        <v>4</v>
      </c>
      <c r="K404" s="41"/>
    </row>
    <row r="405" spans="2:11" x14ac:dyDescent="0.2">
      <c r="B405" s="38"/>
      <c r="C405" s="40"/>
      <c r="D405" s="40"/>
      <c r="E405" s="40"/>
      <c r="F405" s="40"/>
      <c r="G405" s="40"/>
      <c r="H405" s="40"/>
      <c r="I405" s="40"/>
      <c r="J405" s="40"/>
      <c r="K405" s="41"/>
    </row>
    <row r="406" spans="2:11" x14ac:dyDescent="0.2">
      <c r="B406" s="38"/>
      <c r="C406" s="40"/>
      <c r="D406" s="40"/>
      <c r="E406" s="40"/>
      <c r="F406" s="40"/>
      <c r="G406" s="40"/>
      <c r="H406" s="40"/>
      <c r="I406" s="40"/>
      <c r="J406" s="40"/>
      <c r="K406" s="41"/>
    </row>
    <row r="407" spans="2:11" ht="16" x14ac:dyDescent="0.2">
      <c r="B407" s="38"/>
      <c r="C407" s="45" t="s">
        <v>861</v>
      </c>
      <c r="D407" s="40"/>
      <c r="E407" s="40"/>
      <c r="F407" s="40"/>
      <c r="G407" s="40"/>
      <c r="H407" s="40"/>
      <c r="I407" s="40"/>
      <c r="J407" s="40"/>
      <c r="K407" s="41"/>
    </row>
    <row r="408" spans="2:11" x14ac:dyDescent="0.2">
      <c r="B408" s="38"/>
      <c r="C408" s="40" t="s">
        <v>298</v>
      </c>
      <c r="D408" s="40"/>
      <c r="E408" s="40"/>
      <c r="F408" s="40"/>
      <c r="G408" s="40"/>
      <c r="H408" s="40"/>
      <c r="I408" s="40"/>
      <c r="J408" s="269"/>
      <c r="K408" s="41"/>
    </row>
    <row r="409" spans="2:11" x14ac:dyDescent="0.2">
      <c r="B409" s="38"/>
      <c r="C409" s="40" t="s">
        <v>260</v>
      </c>
      <c r="D409" s="40"/>
      <c r="E409" s="40"/>
      <c r="F409" s="40"/>
      <c r="G409" s="40"/>
      <c r="H409" s="40"/>
      <c r="I409" s="40"/>
      <c r="J409" s="253">
        <f>IF(J408&lt;=0,0,IF(J408&lt;=(J161*0.01),1,IF(J408&lt;=(J161*0.05),2,IF(J408&lt;=(J161*0.1),3,4))))</f>
        <v>0</v>
      </c>
      <c r="K409" s="41"/>
    </row>
    <row r="410" spans="2:11" ht="9.75" customHeight="1" x14ac:dyDescent="0.2">
      <c r="B410" s="38"/>
      <c r="C410" s="279" t="str">
        <f>"0:"</f>
        <v>0:</v>
      </c>
      <c r="D410" s="278" t="s">
        <v>939</v>
      </c>
      <c r="E410" s="40"/>
      <c r="F410" s="40"/>
      <c r="G410" s="40"/>
      <c r="H410" s="40"/>
      <c r="I410" s="40"/>
      <c r="J410" s="282"/>
      <c r="K410" s="41"/>
    </row>
    <row r="411" spans="2:11" ht="9.75" customHeight="1" x14ac:dyDescent="0.2">
      <c r="B411" s="38"/>
      <c r="C411" s="280" t="str">
        <f>"1:"</f>
        <v>1:</v>
      </c>
      <c r="D411" s="278" t="s">
        <v>940</v>
      </c>
      <c r="E411" s="40"/>
      <c r="F411" s="40"/>
      <c r="G411" s="40"/>
      <c r="H411" s="40"/>
      <c r="I411" s="40"/>
      <c r="J411" s="282"/>
      <c r="K411" s="41"/>
    </row>
    <row r="412" spans="2:11" ht="9.75" customHeight="1" x14ac:dyDescent="0.2">
      <c r="B412" s="38"/>
      <c r="C412" s="280" t="str">
        <f>"2:"</f>
        <v>2:</v>
      </c>
      <c r="D412" s="278" t="s">
        <v>941</v>
      </c>
      <c r="E412" s="40"/>
      <c r="F412" s="40"/>
      <c r="G412" s="40"/>
      <c r="H412" s="40"/>
      <c r="I412" s="40"/>
      <c r="J412" s="282"/>
      <c r="K412" s="41"/>
    </row>
    <row r="413" spans="2:11" ht="9.75" customHeight="1" x14ac:dyDescent="0.2">
      <c r="B413" s="38"/>
      <c r="C413" s="280" t="str">
        <f>"3:"</f>
        <v>3:</v>
      </c>
      <c r="D413" s="278" t="s">
        <v>942</v>
      </c>
      <c r="E413" s="40"/>
      <c r="F413" s="40"/>
      <c r="G413" s="40"/>
      <c r="H413" s="40"/>
      <c r="I413" s="40"/>
      <c r="J413" s="282"/>
      <c r="K413" s="41"/>
    </row>
    <row r="414" spans="2:11" ht="9.75" customHeight="1" x14ac:dyDescent="0.2">
      <c r="B414" s="38"/>
      <c r="C414" s="280" t="str">
        <f>"4:"</f>
        <v>4:</v>
      </c>
      <c r="D414" s="278" t="s">
        <v>943</v>
      </c>
      <c r="E414" s="40"/>
      <c r="F414" s="40"/>
      <c r="G414" s="40"/>
      <c r="H414" s="40"/>
      <c r="I414" s="40"/>
      <c r="J414" s="40"/>
      <c r="K414" s="41"/>
    </row>
    <row r="415" spans="2:11" x14ac:dyDescent="0.2">
      <c r="B415" s="38"/>
      <c r="C415" s="40" t="s">
        <v>893</v>
      </c>
      <c r="D415" s="40"/>
      <c r="E415" s="40"/>
      <c r="F415" s="40"/>
      <c r="G415" s="40"/>
      <c r="H415" s="40"/>
      <c r="I415" s="40"/>
      <c r="J415" s="40"/>
      <c r="K415" s="41"/>
    </row>
    <row r="416" spans="2:11" ht="15" customHeight="1" x14ac:dyDescent="0.2">
      <c r="B416" s="38"/>
      <c r="C416" s="399"/>
      <c r="D416" s="400"/>
      <c r="E416" s="400"/>
      <c r="F416" s="400"/>
      <c r="G416" s="400"/>
      <c r="H416" s="400"/>
      <c r="I416" s="400"/>
      <c r="J416" s="401"/>
      <c r="K416" s="41"/>
    </row>
    <row r="417" spans="2:11" x14ac:dyDescent="0.2">
      <c r="B417" s="38"/>
      <c r="C417" s="40"/>
      <c r="D417" s="40"/>
      <c r="E417" s="40"/>
      <c r="F417" s="40"/>
      <c r="G417" s="40"/>
      <c r="H417" s="40"/>
      <c r="I417" s="40"/>
      <c r="J417" s="40"/>
      <c r="K417" s="41"/>
    </row>
    <row r="418" spans="2:11" x14ac:dyDescent="0.2">
      <c r="B418" s="38"/>
      <c r="C418" s="179" t="s">
        <v>891</v>
      </c>
      <c r="D418" s="40"/>
      <c r="E418" s="40"/>
      <c r="F418" s="40"/>
      <c r="G418" s="40"/>
      <c r="H418" s="40"/>
      <c r="I418" s="40"/>
      <c r="J418" s="245">
        <f>J409</f>
        <v>0</v>
      </c>
      <c r="K418" s="41"/>
    </row>
    <row r="419" spans="2:11" x14ac:dyDescent="0.2">
      <c r="B419" s="38"/>
      <c r="C419" s="40"/>
      <c r="D419" s="40"/>
      <c r="E419" s="40"/>
      <c r="F419" s="40"/>
      <c r="G419" s="40"/>
      <c r="H419" s="40"/>
      <c r="I419" s="40"/>
      <c r="J419" s="40"/>
      <c r="K419" s="41"/>
    </row>
    <row r="420" spans="2:11" x14ac:dyDescent="0.2">
      <c r="B420" s="38"/>
      <c r="C420" s="410" t="s">
        <v>881</v>
      </c>
      <c r="D420" s="410"/>
      <c r="E420" s="410"/>
      <c r="F420" s="410"/>
      <c r="G420" s="410"/>
      <c r="H420" s="410"/>
      <c r="I420" s="410"/>
      <c r="J420" s="40"/>
      <c r="K420" s="41"/>
    </row>
    <row r="421" spans="2:11" x14ac:dyDescent="0.2">
      <c r="B421" s="38"/>
      <c r="C421" s="410"/>
      <c r="D421" s="410"/>
      <c r="E421" s="410"/>
      <c r="F421" s="410"/>
      <c r="G421" s="410"/>
      <c r="H421" s="410"/>
      <c r="I421" s="410"/>
      <c r="J421" s="244" t="str">
        <f>IF(OR(J288="Not Calculated",J307="Not Calculated",J326="Not Calculated",J349="Not Calculated",J367="Not Calculated",J387="Not Calculated",J404="Not Calculated",J418="Not Calculated")=TRUE,"Not Calculated",AVERAGE(J288,J307,J326,J349,J367,J387,J404,J418))</f>
        <v>Not Calculated</v>
      </c>
      <c r="K421" s="41"/>
    </row>
    <row r="422" spans="2:11" ht="16" thickBot="1" x14ac:dyDescent="0.25">
      <c r="B422" s="46"/>
      <c r="C422" s="47"/>
      <c r="D422" s="47"/>
      <c r="E422" s="47"/>
      <c r="F422" s="47"/>
      <c r="G422" s="47"/>
      <c r="H422" s="47"/>
      <c r="I422" s="47"/>
      <c r="J422" s="47"/>
      <c r="K422" s="49"/>
    </row>
    <row r="423" spans="2:11" ht="16" thickBot="1" x14ac:dyDescent="0.25"/>
    <row r="424" spans="2:11" x14ac:dyDescent="0.2">
      <c r="B424" s="33"/>
      <c r="C424" s="34"/>
      <c r="D424" s="34"/>
      <c r="E424" s="34"/>
      <c r="F424" s="34"/>
      <c r="G424" s="34"/>
      <c r="H424" s="34"/>
      <c r="I424" s="34"/>
      <c r="J424" s="34"/>
      <c r="K424" s="37"/>
    </row>
    <row r="425" spans="2:11" ht="21" x14ac:dyDescent="0.25">
      <c r="B425" s="38"/>
      <c r="C425" s="40"/>
      <c r="D425" s="40"/>
      <c r="E425" s="40"/>
      <c r="F425" s="40"/>
      <c r="G425" s="172" t="s">
        <v>230</v>
      </c>
      <c r="H425" s="40"/>
      <c r="I425" s="40"/>
      <c r="J425" s="40"/>
      <c r="K425" s="41"/>
    </row>
    <row r="426" spans="2:11" x14ac:dyDescent="0.2">
      <c r="B426" s="38"/>
      <c r="C426" s="40"/>
      <c r="D426" s="40"/>
      <c r="E426" s="40"/>
      <c r="F426" s="40"/>
      <c r="G426" s="40"/>
      <c r="H426" s="40"/>
      <c r="I426" s="40"/>
      <c r="J426" s="40"/>
      <c r="K426" s="41"/>
    </row>
    <row r="427" spans="2:11" ht="16" x14ac:dyDescent="0.2">
      <c r="B427" s="38"/>
      <c r="C427" s="45" t="s">
        <v>299</v>
      </c>
      <c r="D427" s="40"/>
      <c r="E427" s="40"/>
      <c r="F427" s="40"/>
      <c r="G427" s="40"/>
      <c r="H427" s="40"/>
      <c r="I427" s="40"/>
      <c r="J427" s="40"/>
      <c r="K427" s="41"/>
    </row>
    <row r="428" spans="2:11" x14ac:dyDescent="0.2">
      <c r="B428" s="38"/>
      <c r="C428" s="40" t="s">
        <v>300</v>
      </c>
      <c r="D428" s="40"/>
      <c r="E428" s="40"/>
      <c r="F428" s="40"/>
      <c r="G428" s="40"/>
      <c r="H428" s="40"/>
      <c r="I428" s="40"/>
      <c r="J428" s="270"/>
      <c r="K428" s="41"/>
    </row>
    <row r="429" spans="2:11" x14ac:dyDescent="0.2">
      <c r="B429" s="38"/>
      <c r="C429" s="40" t="s">
        <v>260</v>
      </c>
      <c r="D429" s="40"/>
      <c r="E429" s="40"/>
      <c r="F429" s="40"/>
      <c r="G429" s="40"/>
      <c r="H429" s="40"/>
      <c r="I429" s="40"/>
      <c r="J429" s="248">
        <f>IF(J428&lt;=0,0,IF(J428&lt;=1,1,IF(J428&lt;=5,2,IF(J428&lt;=10,3,4))))</f>
        <v>0</v>
      </c>
      <c r="K429" s="41"/>
    </row>
    <row r="430" spans="2:11" s="98" customFormat="1" ht="9.75" customHeight="1" x14ac:dyDescent="0.2">
      <c r="B430" s="288"/>
      <c r="C430" s="279" t="str">
        <f>"0:"</f>
        <v>0:</v>
      </c>
      <c r="D430" s="290" t="s">
        <v>944</v>
      </c>
      <c r="E430" s="245"/>
      <c r="F430" s="245"/>
      <c r="G430" s="245"/>
      <c r="H430" s="245"/>
      <c r="I430" s="245"/>
      <c r="J430" s="245"/>
      <c r="K430" s="289"/>
    </row>
    <row r="431" spans="2:11" s="98" customFormat="1" ht="9.75" customHeight="1" x14ac:dyDescent="0.2">
      <c r="B431" s="288"/>
      <c r="C431" s="280" t="str">
        <f>"1:"</f>
        <v>1:</v>
      </c>
      <c r="D431" s="290" t="s">
        <v>945</v>
      </c>
      <c r="E431" s="245"/>
      <c r="F431" s="245"/>
      <c r="G431" s="245"/>
      <c r="H431" s="245"/>
      <c r="I431" s="245"/>
      <c r="J431" s="245"/>
      <c r="K431" s="289"/>
    </row>
    <row r="432" spans="2:11" s="98" customFormat="1" ht="9.75" customHeight="1" x14ac:dyDescent="0.2">
      <c r="B432" s="288"/>
      <c r="C432" s="280" t="str">
        <f>"2:"</f>
        <v>2:</v>
      </c>
      <c r="D432" s="290" t="s">
        <v>946</v>
      </c>
      <c r="E432" s="245"/>
      <c r="F432" s="245"/>
      <c r="G432" s="245"/>
      <c r="H432" s="245"/>
      <c r="I432" s="245"/>
      <c r="J432" s="245"/>
      <c r="K432" s="289"/>
    </row>
    <row r="433" spans="2:11" s="98" customFormat="1" ht="9.75" customHeight="1" x14ac:dyDescent="0.2">
      <c r="B433" s="288"/>
      <c r="C433" s="280" t="str">
        <f>"3:"</f>
        <v>3:</v>
      </c>
      <c r="D433" s="290" t="s">
        <v>947</v>
      </c>
      <c r="E433" s="245"/>
      <c r="F433" s="245"/>
      <c r="G433" s="245"/>
      <c r="H433" s="245"/>
      <c r="I433" s="245"/>
      <c r="J433" s="245"/>
      <c r="K433" s="289"/>
    </row>
    <row r="434" spans="2:11" s="98" customFormat="1" ht="9.75" customHeight="1" x14ac:dyDescent="0.2">
      <c r="B434" s="288"/>
      <c r="C434" s="280" t="str">
        <f>"4:"</f>
        <v>4:</v>
      </c>
      <c r="D434" s="290" t="s">
        <v>948</v>
      </c>
      <c r="E434" s="245"/>
      <c r="F434" s="245"/>
      <c r="G434" s="245"/>
      <c r="H434" s="245"/>
      <c r="I434" s="245"/>
      <c r="J434" s="247"/>
      <c r="K434" s="289"/>
    </row>
    <row r="435" spans="2:11" x14ac:dyDescent="0.2">
      <c r="B435" s="38"/>
      <c r="C435" s="40" t="s">
        <v>257</v>
      </c>
      <c r="D435" s="40"/>
      <c r="E435" s="40"/>
      <c r="F435" s="40"/>
      <c r="G435" s="40"/>
      <c r="H435" s="40"/>
      <c r="I435" s="40"/>
      <c r="J435" s="266"/>
      <c r="K435" s="41"/>
    </row>
    <row r="436" spans="2:11" x14ac:dyDescent="0.2">
      <c r="B436" s="38"/>
      <c r="C436" s="40" t="s">
        <v>261</v>
      </c>
      <c r="D436" s="40"/>
      <c r="E436" s="40"/>
      <c r="F436" s="40"/>
      <c r="G436" s="40"/>
      <c r="H436" s="40"/>
      <c r="I436" s="40"/>
      <c r="J436" s="245" t="str">
        <f>IF(J435=$B$973,$A$973,IF(J435=$B$974,$A$974,IF(J435=$B$975,$A$975,IF(J435=$B$976,$A$976,IF(J435=$B$977,$A$977,"Not Calculated")))))</f>
        <v>Not Calculated</v>
      </c>
      <c r="K436" s="41"/>
    </row>
    <row r="437" spans="2:11" x14ac:dyDescent="0.2">
      <c r="B437" s="38"/>
      <c r="C437" s="40" t="s">
        <v>893</v>
      </c>
      <c r="D437" s="40"/>
      <c r="E437" s="40"/>
      <c r="F437" s="40"/>
      <c r="G437" s="40"/>
      <c r="H437" s="40"/>
      <c r="I437" s="40"/>
      <c r="J437" s="40"/>
      <c r="K437" s="41"/>
    </row>
    <row r="438" spans="2:11" x14ac:dyDescent="0.2">
      <c r="B438" s="38"/>
      <c r="C438" s="399"/>
      <c r="D438" s="400"/>
      <c r="E438" s="400"/>
      <c r="F438" s="400"/>
      <c r="G438" s="400"/>
      <c r="H438" s="400"/>
      <c r="I438" s="400"/>
      <c r="J438" s="401"/>
      <c r="K438" s="41"/>
    </row>
    <row r="439" spans="2:11" x14ac:dyDescent="0.2">
      <c r="B439" s="38"/>
      <c r="C439" s="40"/>
      <c r="D439" s="40"/>
      <c r="E439" s="40"/>
      <c r="F439" s="40"/>
      <c r="G439" s="40"/>
      <c r="H439" s="40"/>
      <c r="I439" s="40"/>
      <c r="J439" s="40"/>
      <c r="K439" s="41"/>
    </row>
    <row r="440" spans="2:11" x14ac:dyDescent="0.2">
      <c r="B440" s="38"/>
      <c r="C440" s="179" t="s">
        <v>301</v>
      </c>
      <c r="D440" s="40"/>
      <c r="E440" s="40"/>
      <c r="F440" s="40"/>
      <c r="G440" s="40"/>
      <c r="H440" s="40"/>
      <c r="I440" s="40"/>
      <c r="J440" s="245" t="str">
        <f>IF(OR(J429="Not Calculated",J436="Not Calculated")=TRUE,"Not Calculated",AVERAGE(J429,J436))</f>
        <v>Not Calculated</v>
      </c>
      <c r="K440" s="41"/>
    </row>
    <row r="441" spans="2:11" x14ac:dyDescent="0.2">
      <c r="B441" s="38"/>
      <c r="C441" s="40"/>
      <c r="D441" s="40"/>
      <c r="E441" s="40"/>
      <c r="F441" s="40"/>
      <c r="G441" s="40"/>
      <c r="H441" s="40"/>
      <c r="I441" s="40"/>
      <c r="J441" s="40"/>
      <c r="K441" s="41"/>
    </row>
    <row r="442" spans="2:11" x14ac:dyDescent="0.2">
      <c r="B442" s="38"/>
      <c r="C442" s="40"/>
      <c r="D442" s="40"/>
      <c r="E442" s="40"/>
      <c r="F442" s="40"/>
      <c r="G442" s="40"/>
      <c r="H442" s="40"/>
      <c r="I442" s="40"/>
      <c r="J442" s="40"/>
      <c r="K442" s="41"/>
    </row>
    <row r="443" spans="2:11" ht="16" x14ac:dyDescent="0.2">
      <c r="B443" s="38"/>
      <c r="C443" s="45" t="s">
        <v>303</v>
      </c>
      <c r="D443" s="40"/>
      <c r="E443" s="40"/>
      <c r="F443" s="40"/>
      <c r="G443" s="40"/>
      <c r="H443" s="40"/>
      <c r="I443" s="40"/>
      <c r="J443" s="40"/>
      <c r="K443" s="41"/>
    </row>
    <row r="444" spans="2:11" ht="15" customHeight="1" x14ac:dyDescent="0.2">
      <c r="B444" s="38"/>
      <c r="C444" s="380" t="s">
        <v>305</v>
      </c>
      <c r="D444" s="380"/>
      <c r="E444" s="380"/>
      <c r="F444" s="380"/>
      <c r="G444" s="380"/>
      <c r="H444" s="380"/>
      <c r="I444" s="380"/>
      <c r="J444" s="40"/>
      <c r="K444" s="41"/>
    </row>
    <row r="445" spans="2:11" x14ac:dyDescent="0.2">
      <c r="B445" s="38"/>
      <c r="C445" s="380"/>
      <c r="D445" s="380"/>
      <c r="E445" s="380"/>
      <c r="F445" s="380"/>
      <c r="G445" s="380"/>
      <c r="H445" s="380"/>
      <c r="I445" s="380"/>
      <c r="J445" s="270"/>
      <c r="K445" s="41"/>
    </row>
    <row r="446" spans="2:11" x14ac:dyDescent="0.2">
      <c r="B446" s="38"/>
      <c r="C446" s="40" t="s">
        <v>260</v>
      </c>
      <c r="D446" s="40"/>
      <c r="E446" s="40"/>
      <c r="F446" s="40"/>
      <c r="G446" s="40"/>
      <c r="H446" s="40"/>
      <c r="I446" s="40"/>
      <c r="J446" s="248">
        <f>IF(J445&lt;=0,0,IF(J445&lt;=1,1,IF(J445&lt;=5,2,IF(J445&lt;=10,3,4))))</f>
        <v>0</v>
      </c>
      <c r="K446" s="41"/>
    </row>
    <row r="447" spans="2:11" ht="9.75" customHeight="1" x14ac:dyDescent="0.2">
      <c r="B447" s="38"/>
      <c r="C447" s="279" t="str">
        <f>"0:"</f>
        <v>0:</v>
      </c>
      <c r="D447" s="278" t="s">
        <v>944</v>
      </c>
      <c r="E447" s="40"/>
      <c r="F447" s="40"/>
      <c r="G447" s="40"/>
      <c r="H447" s="40"/>
      <c r="I447" s="40"/>
      <c r="J447" s="245"/>
      <c r="K447" s="41"/>
    </row>
    <row r="448" spans="2:11" ht="9.75" customHeight="1" x14ac:dyDescent="0.2">
      <c r="B448" s="38"/>
      <c r="C448" s="280" t="str">
        <f>"1:"</f>
        <v>1:</v>
      </c>
      <c r="D448" s="278" t="s">
        <v>945</v>
      </c>
      <c r="E448" s="40"/>
      <c r="F448" s="40"/>
      <c r="G448" s="40"/>
      <c r="H448" s="40"/>
      <c r="I448" s="40"/>
      <c r="J448" s="245"/>
      <c r="K448" s="41"/>
    </row>
    <row r="449" spans="2:11" ht="9.75" customHeight="1" x14ac:dyDescent="0.2">
      <c r="B449" s="38"/>
      <c r="C449" s="280" t="str">
        <f>"2:"</f>
        <v>2:</v>
      </c>
      <c r="D449" s="278" t="s">
        <v>946</v>
      </c>
      <c r="E449" s="40"/>
      <c r="F449" s="40"/>
      <c r="G449" s="40"/>
      <c r="H449" s="40"/>
      <c r="I449" s="40"/>
      <c r="J449" s="245"/>
      <c r="K449" s="41"/>
    </row>
    <row r="450" spans="2:11" ht="9.75" customHeight="1" x14ac:dyDescent="0.2">
      <c r="B450" s="38"/>
      <c r="C450" s="280" t="str">
        <f>"3:"</f>
        <v>3:</v>
      </c>
      <c r="D450" s="278" t="s">
        <v>947</v>
      </c>
      <c r="E450" s="40"/>
      <c r="F450" s="40"/>
      <c r="G450" s="40"/>
      <c r="H450" s="40"/>
      <c r="I450" s="40"/>
      <c r="J450" s="245"/>
      <c r="K450" s="41"/>
    </row>
    <row r="451" spans="2:11" ht="9.75" customHeight="1" x14ac:dyDescent="0.2">
      <c r="B451" s="38"/>
      <c r="C451" s="280" t="str">
        <f>"4:"</f>
        <v>4:</v>
      </c>
      <c r="D451" s="278" t="s">
        <v>948</v>
      </c>
      <c r="E451" s="40"/>
      <c r="F451" s="40"/>
      <c r="G451" s="40"/>
      <c r="H451" s="40"/>
      <c r="I451" s="40"/>
      <c r="J451" s="247"/>
      <c r="K451" s="41"/>
    </row>
    <row r="452" spans="2:11" x14ac:dyDescent="0.2">
      <c r="B452" s="38"/>
      <c r="C452" s="40" t="s">
        <v>257</v>
      </c>
      <c r="D452" s="40"/>
      <c r="E452" s="40"/>
      <c r="F452" s="40"/>
      <c r="G452" s="40"/>
      <c r="H452" s="40"/>
      <c r="I452" s="40"/>
      <c r="J452" s="266"/>
      <c r="K452" s="41"/>
    </row>
    <row r="453" spans="2:11" x14ac:dyDescent="0.2">
      <c r="B453" s="38"/>
      <c r="C453" s="40" t="s">
        <v>261</v>
      </c>
      <c r="D453" s="40"/>
      <c r="E453" s="40"/>
      <c r="F453" s="40"/>
      <c r="G453" s="40"/>
      <c r="H453" s="40"/>
      <c r="I453" s="40"/>
      <c r="J453" s="245" t="str">
        <f>IF(J452=$B$973,$A$973,IF(J452=$B$974,$A$974,IF(J452=$B$975,$A$975,IF(J452=$B$976,$A$976,IF(J452=$B$977,$A$977,"Not Calculated")))))</f>
        <v>Not Calculated</v>
      </c>
      <c r="K453" s="41"/>
    </row>
    <row r="454" spans="2:11" x14ac:dyDescent="0.2">
      <c r="B454" s="38"/>
      <c r="C454" s="40" t="s">
        <v>893</v>
      </c>
      <c r="D454" s="40"/>
      <c r="E454" s="40"/>
      <c r="F454" s="40"/>
      <c r="G454" s="40"/>
      <c r="H454" s="40"/>
      <c r="I454" s="40"/>
      <c r="J454" s="40"/>
      <c r="K454" s="41"/>
    </row>
    <row r="455" spans="2:11" ht="15" customHeight="1" x14ac:dyDescent="0.2">
      <c r="B455" s="38"/>
      <c r="C455" s="399"/>
      <c r="D455" s="400"/>
      <c r="E455" s="400"/>
      <c r="F455" s="400"/>
      <c r="G455" s="400"/>
      <c r="H455" s="400"/>
      <c r="I455" s="400"/>
      <c r="J455" s="401"/>
      <c r="K455" s="41"/>
    </row>
    <row r="456" spans="2:11" x14ac:dyDescent="0.2">
      <c r="B456" s="38"/>
      <c r="C456" s="40"/>
      <c r="D456" s="40"/>
      <c r="E456" s="40"/>
      <c r="F456" s="40"/>
      <c r="G456" s="40"/>
      <c r="H456" s="40"/>
      <c r="I456" s="40"/>
      <c r="J456" s="40"/>
      <c r="K456" s="41"/>
    </row>
    <row r="457" spans="2:11" x14ac:dyDescent="0.2">
      <c r="B457" s="38"/>
      <c r="C457" s="179" t="s">
        <v>304</v>
      </c>
      <c r="D457" s="40"/>
      <c r="E457" s="40"/>
      <c r="F457" s="40"/>
      <c r="G457" s="40"/>
      <c r="H457" s="40"/>
      <c r="I457" s="40"/>
      <c r="J457" s="245" t="str">
        <f>IF(OR(J446="Not Calculated",J453="Not Calculated")=TRUE,"Not Calculated",AVERAGE(J446,J453))</f>
        <v>Not Calculated</v>
      </c>
      <c r="K457" s="41"/>
    </row>
    <row r="458" spans="2:11" x14ac:dyDescent="0.2">
      <c r="B458" s="38"/>
      <c r="C458" s="40"/>
      <c r="D458" s="40"/>
      <c r="E458" s="40"/>
      <c r="F458" s="40"/>
      <c r="G458" s="40"/>
      <c r="H458" s="40"/>
      <c r="I458" s="40"/>
      <c r="J458" s="40"/>
      <c r="K458" s="41"/>
    </row>
    <row r="459" spans="2:11" x14ac:dyDescent="0.2">
      <c r="B459" s="38"/>
      <c r="C459" s="40"/>
      <c r="D459" s="40"/>
      <c r="E459" s="40"/>
      <c r="F459" s="40"/>
      <c r="G459" s="40"/>
      <c r="H459" s="40"/>
      <c r="I459" s="40"/>
      <c r="J459" s="40"/>
      <c r="K459" s="41"/>
    </row>
    <row r="460" spans="2:11" ht="16" x14ac:dyDescent="0.2">
      <c r="B460" s="38"/>
      <c r="C460" s="45" t="s">
        <v>306</v>
      </c>
      <c r="D460" s="40"/>
      <c r="E460" s="40"/>
      <c r="F460" s="40"/>
      <c r="G460" s="40"/>
      <c r="H460" s="40"/>
      <c r="I460" s="40"/>
      <c r="J460" s="40"/>
      <c r="K460" s="41"/>
    </row>
    <row r="461" spans="2:11" x14ac:dyDescent="0.2">
      <c r="B461" s="38"/>
      <c r="C461" s="40" t="s">
        <v>949</v>
      </c>
      <c r="D461" s="40"/>
      <c r="E461" s="40"/>
      <c r="F461" s="40"/>
      <c r="G461" s="40"/>
      <c r="H461" s="40"/>
      <c r="I461" s="40"/>
      <c r="J461" s="270"/>
      <c r="K461" s="41"/>
    </row>
    <row r="462" spans="2:11" x14ac:dyDescent="0.2">
      <c r="B462" s="38"/>
      <c r="C462" s="40" t="s">
        <v>260</v>
      </c>
      <c r="D462" s="40"/>
      <c r="E462" s="40"/>
      <c r="F462" s="40"/>
      <c r="G462" s="40"/>
      <c r="H462" s="40"/>
      <c r="I462" s="40"/>
      <c r="J462" s="248">
        <f>IF(J461&lt;=0,0,IF(J461&lt;=1,1,IF(J461&lt;=5,2,IF(J461&lt;=10,3,4))))</f>
        <v>0</v>
      </c>
      <c r="K462" s="41"/>
    </row>
    <row r="463" spans="2:11" ht="9.75" customHeight="1" x14ac:dyDescent="0.2">
      <c r="B463" s="38"/>
      <c r="C463" s="279" t="str">
        <f>"0:"</f>
        <v>0:</v>
      </c>
      <c r="D463" s="290" t="s">
        <v>944</v>
      </c>
      <c r="E463" s="40"/>
      <c r="F463" s="40"/>
      <c r="G463" s="40"/>
      <c r="H463" s="40"/>
      <c r="I463" s="40"/>
      <c r="J463" s="245"/>
      <c r="K463" s="41"/>
    </row>
    <row r="464" spans="2:11" ht="9.75" customHeight="1" x14ac:dyDescent="0.2">
      <c r="B464" s="38"/>
      <c r="C464" s="280" t="str">
        <f>"1:"</f>
        <v>1:</v>
      </c>
      <c r="D464" s="290" t="s">
        <v>945</v>
      </c>
      <c r="E464" s="40"/>
      <c r="F464" s="40"/>
      <c r="G464" s="40"/>
      <c r="H464" s="40"/>
      <c r="I464" s="40"/>
      <c r="J464" s="245"/>
      <c r="K464" s="41"/>
    </row>
    <row r="465" spans="2:11" ht="9.75" customHeight="1" x14ac:dyDescent="0.2">
      <c r="B465" s="38"/>
      <c r="C465" s="280" t="str">
        <f>"2:"</f>
        <v>2:</v>
      </c>
      <c r="D465" s="290" t="s">
        <v>946</v>
      </c>
      <c r="E465" s="40"/>
      <c r="F465" s="40"/>
      <c r="G465" s="40"/>
      <c r="H465" s="40"/>
      <c r="I465" s="40"/>
      <c r="J465" s="245"/>
      <c r="K465" s="41"/>
    </row>
    <row r="466" spans="2:11" ht="9.75" customHeight="1" x14ac:dyDescent="0.2">
      <c r="B466" s="38"/>
      <c r="C466" s="280" t="str">
        <f>"3:"</f>
        <v>3:</v>
      </c>
      <c r="D466" s="290" t="s">
        <v>947</v>
      </c>
      <c r="E466" s="40"/>
      <c r="F466" s="40"/>
      <c r="G466" s="40"/>
      <c r="H466" s="40"/>
      <c r="I466" s="40"/>
      <c r="J466" s="245"/>
      <c r="K466" s="41"/>
    </row>
    <row r="467" spans="2:11" ht="9.75" customHeight="1" x14ac:dyDescent="0.2">
      <c r="B467" s="38"/>
      <c r="C467" s="280" t="str">
        <f>"4:"</f>
        <v>4:</v>
      </c>
      <c r="D467" s="290" t="s">
        <v>948</v>
      </c>
      <c r="E467" s="40"/>
      <c r="F467" s="40"/>
      <c r="G467" s="40"/>
      <c r="H467" s="40"/>
      <c r="I467" s="40"/>
      <c r="J467" s="247"/>
      <c r="K467" s="41"/>
    </row>
    <row r="468" spans="2:11" x14ac:dyDescent="0.2">
      <c r="B468" s="38"/>
      <c r="C468" s="40" t="s">
        <v>257</v>
      </c>
      <c r="D468" s="40"/>
      <c r="E468" s="40"/>
      <c r="F468" s="40"/>
      <c r="G468" s="40"/>
      <c r="H468" s="40"/>
      <c r="I468" s="40"/>
      <c r="J468" s="266"/>
      <c r="K468" s="41"/>
    </row>
    <row r="469" spans="2:11" ht="15" customHeight="1" x14ac:dyDescent="0.2">
      <c r="B469" s="38"/>
      <c r="C469" s="40" t="s">
        <v>261</v>
      </c>
      <c r="D469" s="40"/>
      <c r="E469" s="40"/>
      <c r="F469" s="40"/>
      <c r="G469" s="40"/>
      <c r="H469" s="40"/>
      <c r="I469" s="40"/>
      <c r="J469" s="245" t="str">
        <f>IF(J468=$B$973,$A$973,IF(J468=$B$974,$A$974,IF(J468=$B$975,$A$975,IF(J468=$B$976,$A$976,IF(J468=$B$977,$A$977,"Not Calculated")))))</f>
        <v>Not Calculated</v>
      </c>
      <c r="K469" s="41"/>
    </row>
    <row r="470" spans="2:11" x14ac:dyDescent="0.2">
      <c r="B470" s="38"/>
      <c r="C470" s="40" t="s">
        <v>893</v>
      </c>
      <c r="D470" s="40"/>
      <c r="E470" s="40"/>
      <c r="F470" s="40"/>
      <c r="G470" s="40"/>
      <c r="H470" s="40"/>
      <c r="I470" s="40"/>
      <c r="J470" s="40"/>
      <c r="K470" s="41"/>
    </row>
    <row r="471" spans="2:11" x14ac:dyDescent="0.2">
      <c r="B471" s="38"/>
      <c r="C471" s="399"/>
      <c r="D471" s="400"/>
      <c r="E471" s="400"/>
      <c r="F471" s="400"/>
      <c r="G471" s="400"/>
      <c r="H471" s="400"/>
      <c r="I471" s="400"/>
      <c r="J471" s="401"/>
      <c r="K471" s="41"/>
    </row>
    <row r="472" spans="2:11" x14ac:dyDescent="0.2">
      <c r="B472" s="38"/>
      <c r="C472" s="40"/>
      <c r="D472" s="40"/>
      <c r="E472" s="40"/>
      <c r="F472" s="40"/>
      <c r="G472" s="40"/>
      <c r="H472" s="40"/>
      <c r="I472" s="40"/>
      <c r="J472" s="40"/>
      <c r="K472" s="41"/>
    </row>
    <row r="473" spans="2:11" x14ac:dyDescent="0.2">
      <c r="B473" s="38"/>
      <c r="C473" s="179" t="s">
        <v>307</v>
      </c>
      <c r="D473" s="40"/>
      <c r="E473" s="40"/>
      <c r="F473" s="40"/>
      <c r="G473" s="40"/>
      <c r="H473" s="40"/>
      <c r="I473" s="40"/>
      <c r="J473" s="245" t="str">
        <f>IF(OR(J462="Not Calculated",J469="Not Calculated")=TRUE,"Not Calculated",AVERAGE(J462,J469))</f>
        <v>Not Calculated</v>
      </c>
      <c r="K473" s="41"/>
    </row>
    <row r="474" spans="2:11" x14ac:dyDescent="0.2">
      <c r="B474" s="38"/>
      <c r="C474" s="40"/>
      <c r="D474" s="40"/>
      <c r="E474" s="40"/>
      <c r="F474" s="40"/>
      <c r="G474" s="40"/>
      <c r="H474" s="40"/>
      <c r="I474" s="40"/>
      <c r="J474" s="40"/>
      <c r="K474" s="41"/>
    </row>
    <row r="475" spans="2:11" x14ac:dyDescent="0.2">
      <c r="B475" s="38"/>
      <c r="C475" s="40"/>
      <c r="D475" s="40"/>
      <c r="E475" s="40"/>
      <c r="F475" s="40"/>
      <c r="G475" s="40"/>
      <c r="H475" s="40"/>
      <c r="I475" s="40"/>
      <c r="J475" s="40"/>
      <c r="K475" s="41"/>
    </row>
    <row r="476" spans="2:11" ht="16" x14ac:dyDescent="0.2">
      <c r="B476" s="38"/>
      <c r="C476" s="45" t="s">
        <v>308</v>
      </c>
      <c r="D476" s="40"/>
      <c r="E476" s="40"/>
      <c r="F476" s="40"/>
      <c r="G476" s="40"/>
      <c r="H476" s="40"/>
      <c r="I476" s="40"/>
      <c r="J476" s="40"/>
      <c r="K476" s="41"/>
    </row>
    <row r="477" spans="2:11" ht="15" customHeight="1" x14ac:dyDescent="0.2">
      <c r="B477" s="38"/>
      <c r="C477" s="380" t="s">
        <v>310</v>
      </c>
      <c r="D477" s="380"/>
      <c r="E477" s="380"/>
      <c r="F477" s="380"/>
      <c r="G477" s="380"/>
      <c r="H477" s="380"/>
      <c r="I477" s="380"/>
      <c r="J477" s="40"/>
      <c r="K477" s="41"/>
    </row>
    <row r="478" spans="2:11" x14ac:dyDescent="0.2">
      <c r="B478" s="38"/>
      <c r="C478" s="380"/>
      <c r="D478" s="380"/>
      <c r="E478" s="380"/>
      <c r="F478" s="380"/>
      <c r="G478" s="380"/>
      <c r="H478" s="380"/>
      <c r="I478" s="380"/>
      <c r="J478" s="131"/>
      <c r="K478" s="41"/>
    </row>
    <row r="479" spans="2:11" x14ac:dyDescent="0.2">
      <c r="B479" s="38"/>
      <c r="C479" s="40" t="s">
        <v>261</v>
      </c>
      <c r="D479" s="40"/>
      <c r="E479" s="40"/>
      <c r="F479" s="40"/>
      <c r="G479" s="40"/>
      <c r="H479" s="40"/>
      <c r="I479" s="40"/>
      <c r="J479" s="245">
        <f>IF(J478&lt;=0,0,IF(J478&lt;=1,1,IF(J478&lt;=7,2,IF(J478&lt;=14,3,4))))</f>
        <v>0</v>
      </c>
      <c r="K479" s="41"/>
    </row>
    <row r="480" spans="2:11" s="51" customFormat="1" ht="9.75" customHeight="1" x14ac:dyDescent="0.2">
      <c r="B480" s="283"/>
      <c r="C480" s="279" t="str">
        <f>"0:"</f>
        <v>0:</v>
      </c>
      <c r="D480" s="284" t="s">
        <v>950</v>
      </c>
      <c r="E480" s="285"/>
      <c r="F480" s="285"/>
      <c r="G480" s="285"/>
      <c r="H480" s="285"/>
      <c r="I480" s="285"/>
      <c r="J480" s="43"/>
      <c r="K480" s="286"/>
    </row>
    <row r="481" spans="2:11" s="51" customFormat="1" ht="9.75" customHeight="1" x14ac:dyDescent="0.2">
      <c r="B481" s="283"/>
      <c r="C481" s="280" t="str">
        <f>"1:"</f>
        <v>1:</v>
      </c>
      <c r="D481" s="284" t="s">
        <v>951</v>
      </c>
      <c r="E481" s="285"/>
      <c r="F481" s="285"/>
      <c r="G481" s="285"/>
      <c r="H481" s="285"/>
      <c r="I481" s="285"/>
      <c r="J481" s="43"/>
      <c r="K481" s="286"/>
    </row>
    <row r="482" spans="2:11" s="51" customFormat="1" ht="9.75" customHeight="1" x14ac:dyDescent="0.2">
      <c r="B482" s="283"/>
      <c r="C482" s="280" t="str">
        <f>"2:"</f>
        <v>2:</v>
      </c>
      <c r="D482" s="284" t="s">
        <v>952</v>
      </c>
      <c r="E482" s="285"/>
      <c r="F482" s="285"/>
      <c r="G482" s="285"/>
      <c r="H482" s="285"/>
      <c r="I482" s="285"/>
      <c r="J482" s="43"/>
      <c r="K482" s="286"/>
    </row>
    <row r="483" spans="2:11" s="51" customFormat="1" ht="9.75" customHeight="1" x14ac:dyDescent="0.2">
      <c r="B483" s="283"/>
      <c r="C483" s="280" t="str">
        <f>"3:"</f>
        <v>3:</v>
      </c>
      <c r="D483" s="284" t="s">
        <v>953</v>
      </c>
      <c r="E483" s="285"/>
      <c r="F483" s="285"/>
      <c r="G483" s="285"/>
      <c r="H483" s="285"/>
      <c r="I483" s="285"/>
      <c r="J483" s="43"/>
      <c r="K483" s="286"/>
    </row>
    <row r="484" spans="2:11" s="51" customFormat="1" ht="9.75" customHeight="1" x14ac:dyDescent="0.2">
      <c r="B484" s="283"/>
      <c r="C484" s="280" t="str">
        <f>"4:"</f>
        <v>4:</v>
      </c>
      <c r="D484" s="284" t="s">
        <v>954</v>
      </c>
      <c r="E484" s="285"/>
      <c r="F484" s="285"/>
      <c r="G484" s="285"/>
      <c r="H484" s="285"/>
      <c r="I484" s="285"/>
      <c r="J484" s="43"/>
      <c r="K484" s="286"/>
    </row>
    <row r="485" spans="2:11" x14ac:dyDescent="0.2">
      <c r="B485" s="38"/>
      <c r="C485" s="40" t="s">
        <v>893</v>
      </c>
      <c r="D485" s="40"/>
      <c r="E485" s="40"/>
      <c r="F485" s="40"/>
      <c r="G485" s="40"/>
      <c r="H485" s="40"/>
      <c r="I485" s="40"/>
      <c r="J485" s="40"/>
      <c r="K485" s="41"/>
    </row>
    <row r="486" spans="2:11" x14ac:dyDescent="0.2">
      <c r="B486" s="38"/>
      <c r="C486" s="399"/>
      <c r="D486" s="400"/>
      <c r="E486" s="400"/>
      <c r="F486" s="400"/>
      <c r="G486" s="400"/>
      <c r="H486" s="400"/>
      <c r="I486" s="400"/>
      <c r="J486" s="401"/>
      <c r="K486" s="41"/>
    </row>
    <row r="487" spans="2:11" x14ac:dyDescent="0.2">
      <c r="B487" s="38"/>
      <c r="C487" s="40"/>
      <c r="D487" s="40"/>
      <c r="E487" s="40"/>
      <c r="F487" s="40"/>
      <c r="G487" s="40"/>
      <c r="H487" s="40"/>
      <c r="I487" s="40"/>
      <c r="J487" s="40"/>
      <c r="K487" s="41"/>
    </row>
    <row r="488" spans="2:11" x14ac:dyDescent="0.2">
      <c r="B488" s="38"/>
      <c r="C488" s="179" t="s">
        <v>309</v>
      </c>
      <c r="D488" s="40"/>
      <c r="E488" s="40"/>
      <c r="F488" s="40"/>
      <c r="G488" s="40"/>
      <c r="H488" s="40"/>
      <c r="I488" s="40"/>
      <c r="J488" s="245">
        <f>J479</f>
        <v>0</v>
      </c>
      <c r="K488" s="41"/>
    </row>
    <row r="489" spans="2:11" x14ac:dyDescent="0.2">
      <c r="B489" s="38"/>
      <c r="C489" s="40"/>
      <c r="D489" s="40"/>
      <c r="E489" s="40"/>
      <c r="F489" s="40"/>
      <c r="G489" s="40"/>
      <c r="H489" s="40"/>
      <c r="I489" s="40"/>
      <c r="J489" s="40"/>
      <c r="K489" s="41"/>
    </row>
    <row r="490" spans="2:11" x14ac:dyDescent="0.2">
      <c r="B490" s="38"/>
      <c r="C490" s="40"/>
      <c r="D490" s="40"/>
      <c r="E490" s="40"/>
      <c r="F490" s="40"/>
      <c r="G490" s="40"/>
      <c r="H490" s="40"/>
      <c r="I490" s="40"/>
      <c r="J490" s="40"/>
      <c r="K490" s="41"/>
    </row>
    <row r="491" spans="2:11" ht="16" x14ac:dyDescent="0.2">
      <c r="B491" s="38"/>
      <c r="C491" s="45" t="s">
        <v>311</v>
      </c>
      <c r="D491" s="40"/>
      <c r="E491" s="40"/>
      <c r="F491" s="40"/>
      <c r="G491" s="40"/>
      <c r="H491" s="40"/>
      <c r="I491" s="40"/>
      <c r="J491" s="40"/>
      <c r="K491" s="41"/>
    </row>
    <row r="492" spans="2:11" x14ac:dyDescent="0.2">
      <c r="B492" s="38"/>
      <c r="C492" s="40" t="s">
        <v>312</v>
      </c>
      <c r="D492" s="40"/>
      <c r="E492" s="40"/>
      <c r="F492" s="40"/>
      <c r="G492" s="40"/>
      <c r="H492" s="40"/>
      <c r="I492" s="40"/>
      <c r="J492" s="270"/>
      <c r="K492" s="41"/>
    </row>
    <row r="493" spans="2:11" x14ac:dyDescent="0.2">
      <c r="B493" s="38"/>
      <c r="C493" s="40" t="s">
        <v>260</v>
      </c>
      <c r="D493" s="40"/>
      <c r="E493" s="40"/>
      <c r="F493" s="40"/>
      <c r="G493" s="40"/>
      <c r="H493" s="40"/>
      <c r="I493" s="40"/>
      <c r="J493" s="248">
        <f>IF(J492&lt;=0,0,IF(J492&lt;=1,1,IF(J492&lt;=5,2,IF(J492&lt;=10,3,4))))</f>
        <v>0</v>
      </c>
      <c r="K493" s="41"/>
    </row>
    <row r="494" spans="2:11" ht="9.75" customHeight="1" x14ac:dyDescent="0.2">
      <c r="B494" s="38"/>
      <c r="C494" s="279" t="str">
        <f>"0:"</f>
        <v>0:</v>
      </c>
      <c r="D494" s="290" t="s">
        <v>955</v>
      </c>
      <c r="E494" s="40"/>
      <c r="F494" s="40"/>
      <c r="G494" s="40"/>
      <c r="H494" s="40"/>
      <c r="I494" s="40"/>
      <c r="J494" s="245"/>
      <c r="K494" s="41"/>
    </row>
    <row r="495" spans="2:11" ht="9.75" customHeight="1" x14ac:dyDescent="0.2">
      <c r="B495" s="38"/>
      <c r="C495" s="280" t="str">
        <f>"1:"</f>
        <v>1:</v>
      </c>
      <c r="D495" s="290" t="s">
        <v>956</v>
      </c>
      <c r="E495" s="40"/>
      <c r="F495" s="40"/>
      <c r="G495" s="40"/>
      <c r="H495" s="40"/>
      <c r="I495" s="40"/>
      <c r="J495" s="245"/>
      <c r="K495" s="41"/>
    </row>
    <row r="496" spans="2:11" ht="9.75" customHeight="1" x14ac:dyDescent="0.2">
      <c r="B496" s="38"/>
      <c r="C496" s="280" t="str">
        <f>"2:"</f>
        <v>2:</v>
      </c>
      <c r="D496" s="290" t="s">
        <v>957</v>
      </c>
      <c r="E496" s="40"/>
      <c r="F496" s="40"/>
      <c r="G496" s="40"/>
      <c r="H496" s="40"/>
      <c r="I496" s="40"/>
      <c r="J496" s="245"/>
      <c r="K496" s="41"/>
    </row>
    <row r="497" spans="2:11" ht="9.75" customHeight="1" x14ac:dyDescent="0.2">
      <c r="B497" s="38"/>
      <c r="C497" s="280" t="str">
        <f>"3:"</f>
        <v>3:</v>
      </c>
      <c r="D497" s="290" t="s">
        <v>958</v>
      </c>
      <c r="E497" s="40"/>
      <c r="F497" s="40"/>
      <c r="G497" s="40"/>
      <c r="H497" s="40"/>
      <c r="I497" s="40"/>
      <c r="J497" s="245"/>
      <c r="K497" s="41"/>
    </row>
    <row r="498" spans="2:11" ht="9.75" customHeight="1" x14ac:dyDescent="0.2">
      <c r="B498" s="38"/>
      <c r="C498" s="280" t="str">
        <f>"4:"</f>
        <v>4:</v>
      </c>
      <c r="D498" s="290" t="s">
        <v>959</v>
      </c>
      <c r="E498" s="40"/>
      <c r="F498" s="40"/>
      <c r="G498" s="40"/>
      <c r="H498" s="40"/>
      <c r="I498" s="40"/>
      <c r="J498" s="247"/>
      <c r="K498" s="41"/>
    </row>
    <row r="499" spans="2:11" x14ac:dyDescent="0.2">
      <c r="B499" s="38"/>
      <c r="C499" s="40" t="s">
        <v>313</v>
      </c>
      <c r="D499" s="40"/>
      <c r="E499" s="40"/>
      <c r="F499" s="40"/>
      <c r="G499" s="40"/>
      <c r="H499" s="40"/>
      <c r="I499" s="40"/>
      <c r="J499" s="266"/>
      <c r="K499" s="41"/>
    </row>
    <row r="500" spans="2:11" x14ac:dyDescent="0.2">
      <c r="B500" s="38"/>
      <c r="C500" s="40" t="s">
        <v>261</v>
      </c>
      <c r="D500" s="40"/>
      <c r="E500" s="40"/>
      <c r="F500" s="40"/>
      <c r="G500" s="40"/>
      <c r="H500" s="40"/>
      <c r="I500" s="40"/>
      <c r="J500" s="245" t="str">
        <f>IF(J499=$B$973,$A$973,IF(J499=$B$974,$A$974,IF(J499=$B$975,$A$975,IF(J499=$B$976,$A$976,IF(J499=$B$977,$A$977,"Not Calculated")))))</f>
        <v>Not Calculated</v>
      </c>
      <c r="K500" s="41"/>
    </row>
    <row r="501" spans="2:11" x14ac:dyDescent="0.2">
      <c r="B501" s="38"/>
      <c r="C501" s="40" t="s">
        <v>893</v>
      </c>
      <c r="D501" s="40"/>
      <c r="E501" s="40"/>
      <c r="F501" s="40"/>
      <c r="G501" s="40"/>
      <c r="H501" s="40"/>
      <c r="I501" s="40"/>
      <c r="J501" s="40"/>
      <c r="K501" s="41"/>
    </row>
    <row r="502" spans="2:11" x14ac:dyDescent="0.2">
      <c r="B502" s="38"/>
      <c r="C502" s="399"/>
      <c r="D502" s="400"/>
      <c r="E502" s="400"/>
      <c r="F502" s="400"/>
      <c r="G502" s="400"/>
      <c r="H502" s="400"/>
      <c r="I502" s="400"/>
      <c r="J502" s="401"/>
      <c r="K502" s="41"/>
    </row>
    <row r="503" spans="2:11" x14ac:dyDescent="0.2">
      <c r="B503" s="38"/>
      <c r="C503" s="40"/>
      <c r="D503" s="40"/>
      <c r="E503" s="40"/>
      <c r="F503" s="40"/>
      <c r="G503" s="40"/>
      <c r="H503" s="40"/>
      <c r="I503" s="40"/>
      <c r="J503" s="40"/>
      <c r="K503" s="41"/>
    </row>
    <row r="504" spans="2:11" x14ac:dyDescent="0.2">
      <c r="B504" s="38"/>
      <c r="C504" s="179" t="s">
        <v>321</v>
      </c>
      <c r="D504" s="40"/>
      <c r="E504" s="40"/>
      <c r="F504" s="40"/>
      <c r="G504" s="40"/>
      <c r="H504" s="40"/>
      <c r="I504" s="40"/>
      <c r="J504" s="245" t="str">
        <f>IF(OR(J493="Not Calculated",J500="Not Calculated")=TRUE,"Not Calculated",AVERAGE(J493,J500))</f>
        <v>Not Calculated</v>
      </c>
      <c r="K504" s="41"/>
    </row>
    <row r="505" spans="2:11" x14ac:dyDescent="0.2">
      <c r="B505" s="38"/>
      <c r="C505" s="40"/>
      <c r="D505" s="40"/>
      <c r="E505" s="40"/>
      <c r="F505" s="40"/>
      <c r="G505" s="40"/>
      <c r="H505" s="40"/>
      <c r="I505" s="40"/>
      <c r="J505" s="40"/>
      <c r="K505" s="41"/>
    </row>
    <row r="506" spans="2:11" x14ac:dyDescent="0.2">
      <c r="B506" s="38"/>
      <c r="C506" s="40"/>
      <c r="D506" s="40"/>
      <c r="E506" s="40"/>
      <c r="F506" s="40"/>
      <c r="G506" s="40"/>
      <c r="H506" s="40"/>
      <c r="I506" s="40"/>
      <c r="J506" s="40"/>
      <c r="K506" s="41"/>
    </row>
    <row r="507" spans="2:11" ht="16" x14ac:dyDescent="0.2">
      <c r="B507" s="38"/>
      <c r="C507" s="45" t="s">
        <v>314</v>
      </c>
      <c r="D507" s="40"/>
      <c r="E507" s="40"/>
      <c r="F507" s="40"/>
      <c r="G507" s="40"/>
      <c r="H507" s="40"/>
      <c r="I507" s="40"/>
      <c r="J507" s="40"/>
      <c r="K507" s="41"/>
    </row>
    <row r="508" spans="2:11" x14ac:dyDescent="0.2">
      <c r="B508" s="38"/>
      <c r="C508" s="40" t="s">
        <v>316</v>
      </c>
      <c r="D508" s="40"/>
      <c r="E508" s="40"/>
      <c r="F508" s="40"/>
      <c r="G508" s="40"/>
      <c r="H508" s="40"/>
      <c r="I508" s="40"/>
      <c r="J508" s="269"/>
      <c r="K508" s="41"/>
    </row>
    <row r="509" spans="2:11" x14ac:dyDescent="0.2">
      <c r="B509" s="38"/>
      <c r="C509" s="40" t="s">
        <v>260</v>
      </c>
      <c r="D509" s="40"/>
      <c r="E509" s="40"/>
      <c r="F509" s="40"/>
      <c r="G509" s="40"/>
      <c r="H509" s="40"/>
      <c r="I509" s="40"/>
      <c r="J509" s="248">
        <f>IF(J508&lt;=0,0,IF(J508&lt;=1000,1,IF(J508&lt;=5000,2,IF(J508&lt;=25000,3,4))))</f>
        <v>0</v>
      </c>
      <c r="K509" s="41"/>
    </row>
    <row r="510" spans="2:11" s="51" customFormat="1" ht="9.75" customHeight="1" x14ac:dyDescent="0.2">
      <c r="B510" s="283"/>
      <c r="C510" s="279" t="str">
        <f>"0:"</f>
        <v>0:</v>
      </c>
      <c r="D510" s="284" t="s">
        <v>960</v>
      </c>
      <c r="E510" s="285"/>
      <c r="F510" s="285"/>
      <c r="G510" s="285"/>
      <c r="H510" s="285"/>
      <c r="I510" s="285"/>
      <c r="J510" s="43"/>
      <c r="K510" s="286"/>
    </row>
    <row r="511" spans="2:11" s="51" customFormat="1" ht="9.75" customHeight="1" x14ac:dyDescent="0.2">
      <c r="B511" s="283"/>
      <c r="C511" s="280" t="str">
        <f>"1:"</f>
        <v>1:</v>
      </c>
      <c r="D511" s="284" t="s">
        <v>961</v>
      </c>
      <c r="E511" s="285"/>
      <c r="F511" s="285"/>
      <c r="G511" s="285"/>
      <c r="H511" s="285"/>
      <c r="I511" s="285"/>
      <c r="J511" s="43"/>
      <c r="K511" s="286"/>
    </row>
    <row r="512" spans="2:11" s="51" customFormat="1" ht="9.75" customHeight="1" x14ac:dyDescent="0.2">
      <c r="B512" s="283"/>
      <c r="C512" s="280" t="str">
        <f>"2:"</f>
        <v>2:</v>
      </c>
      <c r="D512" s="284" t="s">
        <v>962</v>
      </c>
      <c r="E512" s="285"/>
      <c r="F512" s="285"/>
      <c r="G512" s="285"/>
      <c r="H512" s="285"/>
      <c r="I512" s="285"/>
      <c r="J512" s="43"/>
      <c r="K512" s="286"/>
    </row>
    <row r="513" spans="2:11" s="51" customFormat="1" ht="9.75" customHeight="1" x14ac:dyDescent="0.2">
      <c r="B513" s="283"/>
      <c r="C513" s="280" t="str">
        <f>"3:"</f>
        <v>3:</v>
      </c>
      <c r="D513" s="284" t="s">
        <v>963</v>
      </c>
      <c r="E513" s="285"/>
      <c r="F513" s="285"/>
      <c r="G513" s="285"/>
      <c r="H513" s="285"/>
      <c r="I513" s="285"/>
      <c r="J513" s="43"/>
      <c r="K513" s="286"/>
    </row>
    <row r="514" spans="2:11" s="51" customFormat="1" ht="9.75" customHeight="1" x14ac:dyDescent="0.2">
      <c r="B514" s="283"/>
      <c r="C514" s="280" t="str">
        <f>"4:"</f>
        <v>4:</v>
      </c>
      <c r="D514" s="284" t="s">
        <v>964</v>
      </c>
      <c r="E514" s="285"/>
      <c r="F514" s="285"/>
      <c r="G514" s="285"/>
      <c r="H514" s="285"/>
      <c r="I514" s="285"/>
      <c r="J514" s="287"/>
      <c r="K514" s="286"/>
    </row>
    <row r="515" spans="2:11" x14ac:dyDescent="0.2">
      <c r="B515" s="38"/>
      <c r="C515" s="40" t="s">
        <v>315</v>
      </c>
      <c r="D515" s="40"/>
      <c r="E515" s="40"/>
      <c r="F515" s="40"/>
      <c r="G515" s="40"/>
      <c r="H515" s="40"/>
      <c r="I515" s="40"/>
      <c r="J515" s="266"/>
      <c r="K515" s="41"/>
    </row>
    <row r="516" spans="2:11" x14ac:dyDescent="0.2">
      <c r="B516" s="38"/>
      <c r="C516" s="40" t="s">
        <v>261</v>
      </c>
      <c r="D516" s="40"/>
      <c r="E516" s="40"/>
      <c r="F516" s="40"/>
      <c r="G516" s="40"/>
      <c r="H516" s="40"/>
      <c r="I516" s="40"/>
      <c r="J516" s="245" t="str">
        <f>IF(J515=$B$973,$A$973,IF(J515=$B$974,$A$974,IF(J515=$B$975,$A$975,IF(J515=$B$976,$A$976,IF(J515=$B$977,$A$977,"Not Calculated")))))</f>
        <v>Not Calculated</v>
      </c>
      <c r="K516" s="41"/>
    </row>
    <row r="517" spans="2:11" x14ac:dyDescent="0.2">
      <c r="B517" s="38"/>
      <c r="C517" s="40" t="s">
        <v>893</v>
      </c>
      <c r="D517" s="40"/>
      <c r="E517" s="40"/>
      <c r="F517" s="40"/>
      <c r="G517" s="40"/>
      <c r="H517" s="40"/>
      <c r="I517" s="40"/>
      <c r="J517" s="40"/>
      <c r="K517" s="41"/>
    </row>
    <row r="518" spans="2:11" ht="15" customHeight="1" x14ac:dyDescent="0.2">
      <c r="B518" s="38"/>
      <c r="C518" s="399"/>
      <c r="D518" s="400"/>
      <c r="E518" s="400"/>
      <c r="F518" s="400"/>
      <c r="G518" s="400"/>
      <c r="H518" s="400"/>
      <c r="I518" s="400"/>
      <c r="J518" s="401"/>
      <c r="K518" s="41"/>
    </row>
    <row r="519" spans="2:11" x14ac:dyDescent="0.2">
      <c r="B519" s="38"/>
      <c r="C519" s="40"/>
      <c r="D519" s="40"/>
      <c r="E519" s="40"/>
      <c r="F519" s="40"/>
      <c r="G519" s="40"/>
      <c r="H519" s="40"/>
      <c r="I519" s="40"/>
      <c r="J519" s="40"/>
      <c r="K519" s="41"/>
    </row>
    <row r="520" spans="2:11" x14ac:dyDescent="0.2">
      <c r="B520" s="38"/>
      <c r="C520" s="179" t="s">
        <v>320</v>
      </c>
      <c r="D520" s="40"/>
      <c r="E520" s="40"/>
      <c r="F520" s="40"/>
      <c r="G520" s="40"/>
      <c r="H520" s="40"/>
      <c r="I520" s="40"/>
      <c r="J520" s="245" t="str">
        <f>IF(OR(J509="Not Calculated",J516="Not Calculated")=TRUE,"Not Calculated",AVERAGE(J509,J516))</f>
        <v>Not Calculated</v>
      </c>
      <c r="K520" s="41"/>
    </row>
    <row r="521" spans="2:11" x14ac:dyDescent="0.2">
      <c r="B521" s="38"/>
      <c r="C521" s="40"/>
      <c r="D521" s="40"/>
      <c r="E521" s="40"/>
      <c r="F521" s="40"/>
      <c r="G521" s="40"/>
      <c r="H521" s="40"/>
      <c r="I521" s="40"/>
      <c r="J521" s="40"/>
      <c r="K521" s="41"/>
    </row>
    <row r="522" spans="2:11" x14ac:dyDescent="0.2">
      <c r="B522" s="38"/>
      <c r="C522" s="40"/>
      <c r="D522" s="40"/>
      <c r="E522" s="40"/>
      <c r="F522" s="40"/>
      <c r="G522" s="40"/>
      <c r="H522" s="40"/>
      <c r="I522" s="40"/>
      <c r="J522" s="40"/>
      <c r="K522" s="41"/>
    </row>
    <row r="523" spans="2:11" ht="16" x14ac:dyDescent="0.2">
      <c r="B523" s="38"/>
      <c r="C523" s="45" t="s">
        <v>317</v>
      </c>
      <c r="D523" s="40"/>
      <c r="E523" s="40"/>
      <c r="F523" s="40"/>
      <c r="G523" s="40"/>
      <c r="H523" s="40"/>
      <c r="I523" s="40"/>
      <c r="J523" s="40"/>
      <c r="K523" s="41"/>
    </row>
    <row r="524" spans="2:11" ht="15" customHeight="1" x14ac:dyDescent="0.2">
      <c r="B524" s="38"/>
      <c r="C524" s="380" t="s">
        <v>318</v>
      </c>
      <c r="D524" s="380"/>
      <c r="E524" s="380"/>
      <c r="F524" s="380"/>
      <c r="G524" s="380"/>
      <c r="H524" s="380"/>
      <c r="I524" s="380"/>
      <c r="J524" s="40"/>
      <c r="K524" s="41"/>
    </row>
    <row r="525" spans="2:11" x14ac:dyDescent="0.2">
      <c r="B525" s="38"/>
      <c r="C525" s="380"/>
      <c r="D525" s="380"/>
      <c r="E525" s="380"/>
      <c r="F525" s="380"/>
      <c r="G525" s="380"/>
      <c r="H525" s="380"/>
      <c r="I525" s="380"/>
      <c r="J525" s="274"/>
      <c r="K525" s="41"/>
    </row>
    <row r="526" spans="2:11" x14ac:dyDescent="0.2">
      <c r="B526" s="38"/>
      <c r="C526" s="40" t="s">
        <v>260</v>
      </c>
      <c r="D526" s="40"/>
      <c r="E526" s="40"/>
      <c r="F526" s="40"/>
      <c r="G526" s="40"/>
      <c r="H526" s="40"/>
      <c r="I526" s="40"/>
      <c r="J526" s="248">
        <f>IF(J525&lt;=0,0,IF(J525&lt;=1,1,IF(J525&lt;=5,2,IF(J525&lt;=10,3,4))))</f>
        <v>0</v>
      </c>
      <c r="K526" s="41"/>
    </row>
    <row r="527" spans="2:11" s="51" customFormat="1" ht="9.75" customHeight="1" x14ac:dyDescent="0.2">
      <c r="B527" s="283"/>
      <c r="C527" s="279" t="str">
        <f>"0:"</f>
        <v>0:</v>
      </c>
      <c r="D527" s="284" t="s">
        <v>965</v>
      </c>
      <c r="E527" s="285"/>
      <c r="F527" s="285"/>
      <c r="G527" s="285"/>
      <c r="H527" s="285"/>
      <c r="I527" s="285"/>
      <c r="J527" s="43"/>
      <c r="K527" s="286"/>
    </row>
    <row r="528" spans="2:11" s="51" customFormat="1" ht="9.75" customHeight="1" x14ac:dyDescent="0.2">
      <c r="B528" s="283"/>
      <c r="C528" s="280" t="str">
        <f>"1:"</f>
        <v>1:</v>
      </c>
      <c r="D528" s="284" t="s">
        <v>966</v>
      </c>
      <c r="E528" s="285"/>
      <c r="F528" s="285"/>
      <c r="G528" s="285"/>
      <c r="H528" s="285"/>
      <c r="I528" s="285"/>
      <c r="J528" s="43"/>
      <c r="K528" s="286"/>
    </row>
    <row r="529" spans="2:11" s="51" customFormat="1" ht="9.75" customHeight="1" x14ac:dyDescent="0.2">
      <c r="B529" s="283"/>
      <c r="C529" s="280" t="str">
        <f>"2:"</f>
        <v>2:</v>
      </c>
      <c r="D529" s="284" t="s">
        <v>967</v>
      </c>
      <c r="E529" s="285"/>
      <c r="F529" s="285"/>
      <c r="G529" s="285"/>
      <c r="H529" s="285"/>
      <c r="I529" s="285"/>
      <c r="J529" s="43"/>
      <c r="K529" s="286"/>
    </row>
    <row r="530" spans="2:11" s="51" customFormat="1" ht="9.75" customHeight="1" x14ac:dyDescent="0.2">
      <c r="B530" s="283"/>
      <c r="C530" s="280" t="str">
        <f>"3:"</f>
        <v>3:</v>
      </c>
      <c r="D530" s="284" t="s">
        <v>968</v>
      </c>
      <c r="E530" s="285"/>
      <c r="F530" s="285"/>
      <c r="G530" s="285"/>
      <c r="H530" s="285"/>
      <c r="I530" s="285"/>
      <c r="J530" s="43"/>
      <c r="K530" s="286"/>
    </row>
    <row r="531" spans="2:11" s="51" customFormat="1" ht="9.75" customHeight="1" x14ac:dyDescent="0.2">
      <c r="B531" s="283"/>
      <c r="C531" s="280" t="str">
        <f>"4:"</f>
        <v>4:</v>
      </c>
      <c r="D531" s="284" t="s">
        <v>969</v>
      </c>
      <c r="E531" s="285"/>
      <c r="F531" s="285"/>
      <c r="G531" s="285"/>
      <c r="H531" s="285"/>
      <c r="I531" s="285"/>
      <c r="J531" s="287"/>
      <c r="K531" s="286"/>
    </row>
    <row r="532" spans="2:11" x14ac:dyDescent="0.2">
      <c r="B532" s="38"/>
      <c r="C532" s="40" t="s">
        <v>257</v>
      </c>
      <c r="D532" s="40"/>
      <c r="E532" s="40"/>
      <c r="F532" s="40"/>
      <c r="G532" s="40"/>
      <c r="H532" s="40"/>
      <c r="I532" s="40"/>
      <c r="J532" s="266"/>
      <c r="K532" s="41"/>
    </row>
    <row r="533" spans="2:11" x14ac:dyDescent="0.2">
      <c r="B533" s="38"/>
      <c r="C533" s="40" t="s">
        <v>261</v>
      </c>
      <c r="D533" s="40"/>
      <c r="E533" s="40"/>
      <c r="F533" s="40"/>
      <c r="G533" s="40"/>
      <c r="H533" s="40"/>
      <c r="I533" s="40"/>
      <c r="J533" s="245" t="str">
        <f>IF(J532=$B$973,$A$973,IF(J532=$B$974,$A$974,IF(J532=$B$975,$A$975,IF(J532=$B$976,$A$976,IF(J532=$B$977,$A$977,"Not Calculated")))))</f>
        <v>Not Calculated</v>
      </c>
      <c r="K533" s="41"/>
    </row>
    <row r="534" spans="2:11" x14ac:dyDescent="0.2">
      <c r="B534" s="38"/>
      <c r="C534" s="40" t="s">
        <v>893</v>
      </c>
      <c r="D534" s="40"/>
      <c r="E534" s="40"/>
      <c r="F534" s="40"/>
      <c r="G534" s="40"/>
      <c r="H534" s="40"/>
      <c r="I534" s="40"/>
      <c r="J534" s="40"/>
      <c r="K534" s="41"/>
    </row>
    <row r="535" spans="2:11" ht="15" customHeight="1" x14ac:dyDescent="0.2">
      <c r="B535" s="38"/>
      <c r="C535" s="399"/>
      <c r="D535" s="400"/>
      <c r="E535" s="400"/>
      <c r="F535" s="400"/>
      <c r="G535" s="400"/>
      <c r="H535" s="400"/>
      <c r="I535" s="400"/>
      <c r="J535" s="401"/>
      <c r="K535" s="41"/>
    </row>
    <row r="536" spans="2:11" x14ac:dyDescent="0.2">
      <c r="B536" s="38"/>
      <c r="C536" s="40"/>
      <c r="D536" s="40"/>
      <c r="E536" s="40"/>
      <c r="F536" s="40"/>
      <c r="G536" s="40"/>
      <c r="H536" s="40"/>
      <c r="I536" s="40"/>
      <c r="J536" s="40"/>
      <c r="K536" s="41"/>
    </row>
    <row r="537" spans="2:11" x14ac:dyDescent="0.2">
      <c r="B537" s="38"/>
      <c r="C537" s="179" t="s">
        <v>319</v>
      </c>
      <c r="D537" s="40"/>
      <c r="E537" s="40"/>
      <c r="F537" s="40"/>
      <c r="G537" s="40"/>
      <c r="H537" s="40"/>
      <c r="I537" s="40"/>
      <c r="J537" s="245" t="str">
        <f>IF(OR(J526="Not Calculated",J533="Not Calculated")=TRUE,"Not Calculated",AVERAGE(J526,J533))</f>
        <v>Not Calculated</v>
      </c>
      <c r="K537" s="41"/>
    </row>
    <row r="538" spans="2:11" x14ac:dyDescent="0.2">
      <c r="B538" s="38"/>
      <c r="C538" s="40"/>
      <c r="D538" s="40"/>
      <c r="E538" s="40"/>
      <c r="F538" s="40"/>
      <c r="G538" s="40"/>
      <c r="H538" s="40"/>
      <c r="I538" s="40"/>
      <c r="J538" s="40"/>
      <c r="K538" s="41"/>
    </row>
    <row r="539" spans="2:11" ht="18" x14ac:dyDescent="0.2">
      <c r="B539" s="38"/>
      <c r="C539" s="180" t="s">
        <v>302</v>
      </c>
      <c r="D539" s="40"/>
      <c r="E539" s="40"/>
      <c r="F539" s="40"/>
      <c r="G539" s="40"/>
      <c r="H539" s="40"/>
      <c r="I539" s="40"/>
      <c r="J539" s="244" t="str">
        <f>IF(OR(J440="Not Calculated",J457="Not Calculated",J473="Not Calculated",J488="Not Calculated",J504="Not Calculated",J520="Not Calculated",J537="Not Calculated")=TRUE,"Not Calculated",AVERAGE(J440,J457,J473,J488,J504,J520,J537))</f>
        <v>Not Calculated</v>
      </c>
      <c r="K539" s="41"/>
    </row>
    <row r="540" spans="2:11" ht="16" thickBot="1" x14ac:dyDescent="0.25">
      <c r="B540" s="46"/>
      <c r="C540" s="47"/>
      <c r="D540" s="47"/>
      <c r="E540" s="47"/>
      <c r="F540" s="47"/>
      <c r="G540" s="47"/>
      <c r="H540" s="47"/>
      <c r="I540" s="47"/>
      <c r="J540" s="47"/>
      <c r="K540" s="49"/>
    </row>
    <row r="541" spans="2:11" ht="16" thickBot="1" x14ac:dyDescent="0.25"/>
    <row r="542" spans="2:11" x14ac:dyDescent="0.2">
      <c r="B542" s="33"/>
      <c r="C542" s="34"/>
      <c r="D542" s="34"/>
      <c r="E542" s="34"/>
      <c r="F542" s="34"/>
      <c r="G542" s="34"/>
      <c r="H542" s="34"/>
      <c r="I542" s="34"/>
      <c r="J542" s="34"/>
      <c r="K542" s="37"/>
    </row>
    <row r="543" spans="2:11" ht="21" x14ac:dyDescent="0.25">
      <c r="B543" s="38"/>
      <c r="C543" s="40"/>
      <c r="D543" s="40"/>
      <c r="E543" s="40"/>
      <c r="F543" s="40"/>
      <c r="G543" s="172" t="s">
        <v>29</v>
      </c>
      <c r="H543" s="40"/>
      <c r="I543" s="40"/>
      <c r="J543" s="40"/>
      <c r="K543" s="41"/>
    </row>
    <row r="544" spans="2:11" ht="15" customHeight="1" x14ac:dyDescent="0.2">
      <c r="B544" s="38"/>
      <c r="C544" s="40"/>
      <c r="D544" s="40"/>
      <c r="E544" s="40"/>
      <c r="F544" s="40"/>
      <c r="G544" s="40"/>
      <c r="H544" s="40"/>
      <c r="I544" s="40"/>
      <c r="J544" s="40"/>
      <c r="K544" s="41"/>
    </row>
    <row r="545" spans="2:14" ht="16" x14ac:dyDescent="0.2">
      <c r="B545" s="38"/>
      <c r="C545" s="45" t="s">
        <v>88</v>
      </c>
      <c r="D545" s="40"/>
      <c r="E545" s="40"/>
      <c r="F545" s="40"/>
      <c r="G545" s="40"/>
      <c r="H545" s="40"/>
      <c r="I545" s="40"/>
      <c r="J545" s="40"/>
      <c r="K545" s="41"/>
    </row>
    <row r="546" spans="2:14" x14ac:dyDescent="0.2">
      <c r="B546" s="38"/>
      <c r="C546" s="40" t="s">
        <v>448</v>
      </c>
      <c r="D546" s="40"/>
      <c r="E546" s="40"/>
      <c r="F546" s="40"/>
      <c r="G546" s="40"/>
      <c r="H546" s="40"/>
      <c r="I546" s="40"/>
      <c r="J546" s="251">
        <f>'Baseline Health'!G123</f>
        <v>0</v>
      </c>
      <c r="K546" s="41"/>
    </row>
    <row r="547" spans="2:14" x14ac:dyDescent="0.2">
      <c r="B547" s="38"/>
      <c r="C547" s="40" t="s">
        <v>322</v>
      </c>
      <c r="D547" s="40"/>
      <c r="E547" s="40"/>
      <c r="F547" s="40"/>
      <c r="G547" s="40"/>
      <c r="H547" s="40"/>
      <c r="I547" s="40"/>
      <c r="J547" s="264"/>
      <c r="K547" s="41"/>
    </row>
    <row r="548" spans="2:14" x14ac:dyDescent="0.2">
      <c r="B548" s="38"/>
      <c r="C548" s="40" t="s">
        <v>428</v>
      </c>
      <c r="D548" s="40"/>
      <c r="E548" s="40"/>
      <c r="F548" s="40"/>
      <c r="G548" s="40"/>
      <c r="H548" s="40"/>
      <c r="I548" s="40"/>
      <c r="J548" s="264"/>
      <c r="K548" s="41"/>
    </row>
    <row r="549" spans="2:14" x14ac:dyDescent="0.2">
      <c r="B549" s="38"/>
      <c r="C549" s="40" t="s">
        <v>260</v>
      </c>
      <c r="D549" s="40"/>
      <c r="E549" s="40"/>
      <c r="F549" s="40"/>
      <c r="G549" s="40"/>
      <c r="H549" s="40"/>
      <c r="I549" s="40"/>
      <c r="J549" s="245" t="str">
        <f>IF(OR(J546=0,J546="Not Calculated")=TRUE,"Not Calculated",IF(J546-J547=0,4,(IF(((J546+J548)/(J546-J547))&lt;=1,0,IF(((J546+J548)/(J546-J547))&lt;=1.05,1,IF(((J546+J548)/(J546-J547))&lt;=1.5, 2,IF(((J546+J548)/(J546-J547))&lt;=2,3,4)))))))</f>
        <v>Not Calculated</v>
      </c>
      <c r="K549" s="41"/>
    </row>
    <row r="550" spans="2:14" ht="9.75" customHeight="1" x14ac:dyDescent="0.2">
      <c r="B550" s="38"/>
      <c r="C550" s="279" t="str">
        <f>"0:"</f>
        <v>0:</v>
      </c>
      <c r="D550" s="278" t="s">
        <v>918</v>
      </c>
      <c r="E550" s="40"/>
      <c r="F550" s="40"/>
      <c r="G550" s="40"/>
      <c r="H550" s="40"/>
      <c r="I550" s="40"/>
      <c r="J550" s="251"/>
      <c r="K550" s="41"/>
    </row>
    <row r="551" spans="2:14" ht="9.75" customHeight="1" x14ac:dyDescent="0.2">
      <c r="B551" s="38"/>
      <c r="C551" s="280" t="str">
        <f>"1:"</f>
        <v>1:</v>
      </c>
      <c r="D551" s="278" t="s">
        <v>923</v>
      </c>
      <c r="E551" s="40"/>
      <c r="F551" s="40"/>
      <c r="G551" s="40"/>
      <c r="H551" s="40"/>
      <c r="I551" s="40"/>
      <c r="J551" s="251"/>
      <c r="K551" s="41"/>
    </row>
    <row r="552" spans="2:14" ht="9.75" customHeight="1" x14ac:dyDescent="0.2">
      <c r="B552" s="38"/>
      <c r="C552" s="280" t="str">
        <f>"2:"</f>
        <v>2:</v>
      </c>
      <c r="D552" s="278" t="s">
        <v>924</v>
      </c>
      <c r="E552" s="40"/>
      <c r="F552" s="40"/>
      <c r="G552" s="40"/>
      <c r="H552" s="40"/>
      <c r="I552" s="40"/>
      <c r="J552" s="251"/>
      <c r="K552" s="41"/>
    </row>
    <row r="553" spans="2:14" ht="9.75" customHeight="1" x14ac:dyDescent="0.2">
      <c r="B553" s="38"/>
      <c r="C553" s="280" t="str">
        <f>"3:"</f>
        <v>3:</v>
      </c>
      <c r="D553" s="278" t="s">
        <v>925</v>
      </c>
      <c r="E553" s="40"/>
      <c r="F553" s="40"/>
      <c r="G553" s="40"/>
      <c r="H553" s="40"/>
      <c r="I553" s="40"/>
      <c r="J553" s="251"/>
      <c r="K553" s="41"/>
    </row>
    <row r="554" spans="2:14" ht="9.75" customHeight="1" x14ac:dyDescent="0.2">
      <c r="B554" s="38"/>
      <c r="C554" s="280" t="str">
        <f>"4:"</f>
        <v>4:</v>
      </c>
      <c r="D554" s="278" t="s">
        <v>926</v>
      </c>
      <c r="E554" s="40"/>
      <c r="F554" s="40"/>
      <c r="G554" s="40"/>
      <c r="H554" s="40"/>
      <c r="I554" s="40"/>
      <c r="J554" s="40"/>
      <c r="K554" s="41"/>
      <c r="N554" s="12" t="s">
        <v>661</v>
      </c>
    </row>
    <row r="555" spans="2:14" x14ac:dyDescent="0.2">
      <c r="B555" s="38"/>
      <c r="C555" s="174" t="s">
        <v>662</v>
      </c>
      <c r="D555" s="40"/>
      <c r="E555" s="40"/>
      <c r="F555" s="40"/>
      <c r="G555" s="40"/>
      <c r="H555" s="40"/>
      <c r="I555" s="40"/>
      <c r="J555" s="265" t="s">
        <v>661</v>
      </c>
      <c r="K555" s="41"/>
      <c r="N555" s="12" t="s">
        <v>894</v>
      </c>
    </row>
    <row r="556" spans="2:14" x14ac:dyDescent="0.2">
      <c r="B556" s="38"/>
      <c r="C556" s="174" t="s">
        <v>660</v>
      </c>
      <c r="D556" s="40"/>
      <c r="E556" s="40"/>
      <c r="F556" s="40"/>
      <c r="G556" s="40"/>
      <c r="H556" s="40"/>
      <c r="I556" s="40"/>
      <c r="J556" s="247" t="str">
        <f>IF(J555=N554,"N/A",IF(J555=N555,0,IF(J555=N556,1,IF(J555=N557,2,IF(J555=N558,3,IF(J555=N559,4,"N/A"))))))</f>
        <v>N/A</v>
      </c>
      <c r="K556" s="41"/>
      <c r="N556" s="12" t="s">
        <v>899</v>
      </c>
    </row>
    <row r="557" spans="2:14" x14ac:dyDescent="0.2">
      <c r="B557" s="38"/>
      <c r="C557" s="40" t="s">
        <v>257</v>
      </c>
      <c r="D557" s="40"/>
      <c r="E557" s="40"/>
      <c r="F557" s="40"/>
      <c r="G557" s="40"/>
      <c r="H557" s="40"/>
      <c r="I557" s="40"/>
      <c r="J557" s="266"/>
      <c r="K557" s="41"/>
      <c r="N557" s="12" t="s">
        <v>900</v>
      </c>
    </row>
    <row r="558" spans="2:14" x14ac:dyDescent="0.2">
      <c r="B558" s="38"/>
      <c r="C558" s="40" t="s">
        <v>261</v>
      </c>
      <c r="D558" s="40"/>
      <c r="E558" s="40"/>
      <c r="F558" s="40"/>
      <c r="G558" s="40"/>
      <c r="H558" s="40"/>
      <c r="I558" s="40"/>
      <c r="J558" s="245" t="str">
        <f>IF(J557=$B$973,$A$973,IF(J557=$B$974,$A$974,IF(J557=$B$975,$A$975,IF(J557=$B$976,$A$976,IF(J557=$B$977,$A$977,"Not Calculated")))))</f>
        <v>Not Calculated</v>
      </c>
      <c r="K558" s="41"/>
      <c r="N558" s="12" t="s">
        <v>901</v>
      </c>
    </row>
    <row r="559" spans="2:14" x14ac:dyDescent="0.2">
      <c r="B559" s="38"/>
      <c r="C559" s="40" t="s">
        <v>893</v>
      </c>
      <c r="D559" s="40"/>
      <c r="E559" s="40"/>
      <c r="F559" s="40"/>
      <c r="G559" s="40"/>
      <c r="H559" s="40"/>
      <c r="I559" s="40"/>
      <c r="J559" s="40"/>
      <c r="K559" s="41"/>
      <c r="N559" s="12" t="s">
        <v>902</v>
      </c>
    </row>
    <row r="560" spans="2:14" ht="15" customHeight="1" x14ac:dyDescent="0.2">
      <c r="B560" s="38"/>
      <c r="C560" s="399"/>
      <c r="D560" s="400"/>
      <c r="E560" s="400"/>
      <c r="F560" s="400"/>
      <c r="G560" s="400"/>
      <c r="H560" s="400"/>
      <c r="I560" s="400"/>
      <c r="J560" s="401"/>
      <c r="K560" s="41"/>
    </row>
    <row r="561" spans="2:11" x14ac:dyDescent="0.2">
      <c r="B561" s="38"/>
      <c r="C561" s="40"/>
      <c r="D561" s="40"/>
      <c r="E561" s="40"/>
      <c r="F561" s="40"/>
      <c r="G561" s="40"/>
      <c r="H561" s="40"/>
      <c r="I561" s="40"/>
      <c r="J561" s="40"/>
      <c r="K561" s="41"/>
    </row>
    <row r="562" spans="2:11" x14ac:dyDescent="0.2">
      <c r="B562" s="38"/>
      <c r="C562" s="179" t="s">
        <v>323</v>
      </c>
      <c r="D562" s="40"/>
      <c r="E562" s="40"/>
      <c r="F562" s="40"/>
      <c r="G562" s="40"/>
      <c r="H562" s="40"/>
      <c r="I562" s="40"/>
      <c r="J562" s="245" t="str">
        <f>IF(J556="N/A",IF(OR(J549="Not Calculated",J558="Not Calculated")=TRUE,"Not Calculated",AVERAGE(J549,J558)),AVERAGE(J556,J558))</f>
        <v>Not Calculated</v>
      </c>
      <c r="K562" s="41"/>
    </row>
    <row r="563" spans="2:11" x14ac:dyDescent="0.2">
      <c r="B563" s="38"/>
      <c r="C563" s="40"/>
      <c r="D563" s="40"/>
      <c r="E563" s="40"/>
      <c r="F563" s="40"/>
      <c r="G563" s="40"/>
      <c r="H563" s="40"/>
      <c r="I563" s="40"/>
      <c r="J563" s="40"/>
      <c r="K563" s="41"/>
    </row>
    <row r="564" spans="2:11" x14ac:dyDescent="0.2">
      <c r="B564" s="38"/>
      <c r="C564" s="40"/>
      <c r="D564" s="40"/>
      <c r="E564" s="40"/>
      <c r="F564" s="40"/>
      <c r="G564" s="40"/>
      <c r="H564" s="40"/>
      <c r="I564" s="40"/>
      <c r="J564" s="40"/>
      <c r="K564" s="41"/>
    </row>
    <row r="565" spans="2:11" ht="16" x14ac:dyDescent="0.2">
      <c r="B565" s="38"/>
      <c r="C565" s="45" t="s">
        <v>89</v>
      </c>
      <c r="D565" s="40"/>
      <c r="E565" s="40"/>
      <c r="F565" s="40"/>
      <c r="G565" s="40"/>
      <c r="H565" s="40"/>
      <c r="I565" s="40"/>
      <c r="J565" s="40"/>
      <c r="K565" s="41"/>
    </row>
    <row r="566" spans="2:11" ht="15" customHeight="1" x14ac:dyDescent="0.2">
      <c r="B566" s="38"/>
      <c r="C566" s="380" t="s">
        <v>333</v>
      </c>
      <c r="D566" s="380"/>
      <c r="E566" s="380"/>
      <c r="F566" s="380"/>
      <c r="G566" s="380"/>
      <c r="H566" s="380"/>
      <c r="I566" s="380"/>
      <c r="J566" s="40"/>
      <c r="K566" s="41"/>
    </row>
    <row r="567" spans="2:11" x14ac:dyDescent="0.2">
      <c r="B567" s="38"/>
      <c r="C567" s="380"/>
      <c r="D567" s="380"/>
      <c r="E567" s="380"/>
      <c r="F567" s="380"/>
      <c r="G567" s="380"/>
      <c r="H567" s="380"/>
      <c r="I567" s="380"/>
      <c r="J567" s="40"/>
      <c r="K567" s="41"/>
    </row>
    <row r="568" spans="2:11" x14ac:dyDescent="0.2">
      <c r="B568" s="38"/>
      <c r="C568" s="380"/>
      <c r="D568" s="380"/>
      <c r="E568" s="380"/>
      <c r="F568" s="380"/>
      <c r="G568" s="380"/>
      <c r="H568" s="380"/>
      <c r="I568" s="380"/>
      <c r="J568" s="251">
        <f>'Baseline Health'!G132</f>
        <v>0</v>
      </c>
      <c r="K568" s="41"/>
    </row>
    <row r="569" spans="2:11" ht="15" customHeight="1" x14ac:dyDescent="0.2">
      <c r="B569" s="38"/>
      <c r="C569" s="380" t="s">
        <v>334</v>
      </c>
      <c r="D569" s="380"/>
      <c r="E569" s="380"/>
      <c r="F569" s="380"/>
      <c r="G569" s="380"/>
      <c r="H569" s="380"/>
      <c r="I569" s="380"/>
      <c r="J569" s="245"/>
      <c r="K569" s="41"/>
    </row>
    <row r="570" spans="2:11" x14ac:dyDescent="0.2">
      <c r="B570" s="38"/>
      <c r="C570" s="380"/>
      <c r="D570" s="380"/>
      <c r="E570" s="380"/>
      <c r="F570" s="380"/>
      <c r="G570" s="380"/>
      <c r="H570" s="380"/>
      <c r="I570" s="380"/>
      <c r="J570" s="245"/>
      <c r="K570" s="41"/>
    </row>
    <row r="571" spans="2:11" x14ac:dyDescent="0.2">
      <c r="B571" s="38"/>
      <c r="C571" s="380"/>
      <c r="D571" s="380"/>
      <c r="E571" s="380"/>
      <c r="F571" s="380"/>
      <c r="G571" s="380"/>
      <c r="H571" s="380"/>
      <c r="I571" s="380"/>
      <c r="J571" s="264"/>
      <c r="K571" s="41"/>
    </row>
    <row r="572" spans="2:11" x14ac:dyDescent="0.2">
      <c r="B572" s="38"/>
      <c r="C572" s="40" t="s">
        <v>260</v>
      </c>
      <c r="D572" s="40"/>
      <c r="E572" s="40"/>
      <c r="F572" s="40"/>
      <c r="G572" s="40"/>
      <c r="H572" s="40"/>
      <c r="I572" s="40"/>
      <c r="J572" s="245" t="str">
        <f>IF(OR(J568=0,J568="Not Calculated")=TRUE,"Not Calculated",IF(((J568+J571)/J568)&lt;=1,0,IF(((J568+J571)/J568)&lt;=1.05,1,IF(((J568+J571)/J568)&lt;=1.5, 2,IF(((J568+J571)/J568)&lt;=2,3,4)))))</f>
        <v>Not Calculated</v>
      </c>
      <c r="K572" s="41"/>
    </row>
    <row r="573" spans="2:11" ht="9.75" customHeight="1" x14ac:dyDescent="0.2">
      <c r="B573" s="38"/>
      <c r="C573" s="279" t="str">
        <f>"0:"</f>
        <v>0:</v>
      </c>
      <c r="D573" s="281" t="s">
        <v>918</v>
      </c>
      <c r="E573" s="291"/>
      <c r="F573" s="291"/>
      <c r="G573" s="291"/>
      <c r="H573" s="291"/>
      <c r="I573" s="291"/>
      <c r="J573" s="251"/>
      <c r="K573" s="41"/>
    </row>
    <row r="574" spans="2:11" ht="9.75" customHeight="1" x14ac:dyDescent="0.2">
      <c r="B574" s="38"/>
      <c r="C574" s="280" t="str">
        <f>"1:"</f>
        <v>1:</v>
      </c>
      <c r="D574" s="281" t="s">
        <v>919</v>
      </c>
      <c r="E574" s="291"/>
      <c r="F574" s="291"/>
      <c r="G574" s="291"/>
      <c r="H574" s="291"/>
      <c r="I574" s="291"/>
      <c r="J574" s="251"/>
      <c r="K574" s="41"/>
    </row>
    <row r="575" spans="2:11" ht="9.75" customHeight="1" x14ac:dyDescent="0.2">
      <c r="B575" s="38"/>
      <c r="C575" s="280" t="str">
        <f>"2:"</f>
        <v>2:</v>
      </c>
      <c r="D575" s="281" t="s">
        <v>920</v>
      </c>
      <c r="E575" s="291"/>
      <c r="F575" s="291"/>
      <c r="G575" s="291"/>
      <c r="H575" s="291"/>
      <c r="I575" s="291"/>
      <c r="J575" s="251"/>
      <c r="K575" s="41"/>
    </row>
    <row r="576" spans="2:11" ht="9.75" customHeight="1" x14ac:dyDescent="0.2">
      <c r="B576" s="38"/>
      <c r="C576" s="280" t="str">
        <f>"3:"</f>
        <v>3:</v>
      </c>
      <c r="D576" s="281" t="s">
        <v>921</v>
      </c>
      <c r="E576" s="291"/>
      <c r="F576" s="291"/>
      <c r="G576" s="291"/>
      <c r="H576" s="291"/>
      <c r="I576" s="291"/>
      <c r="J576" s="251"/>
      <c r="K576" s="41"/>
    </row>
    <row r="577" spans="2:14" ht="9.75" customHeight="1" x14ac:dyDescent="0.2">
      <c r="B577" s="38"/>
      <c r="C577" s="280" t="str">
        <f>"4:"</f>
        <v>4:</v>
      </c>
      <c r="D577" s="281" t="s">
        <v>922</v>
      </c>
      <c r="E577" s="40"/>
      <c r="F577" s="40"/>
      <c r="G577" s="40"/>
      <c r="H577" s="40"/>
      <c r="I577" s="40"/>
      <c r="J577" s="40"/>
      <c r="K577" s="41"/>
      <c r="N577" s="12" t="s">
        <v>661</v>
      </c>
    </row>
    <row r="578" spans="2:14" ht="15" customHeight="1" x14ac:dyDescent="0.2">
      <c r="B578" s="38"/>
      <c r="C578" s="174" t="s">
        <v>662</v>
      </c>
      <c r="D578" s="40"/>
      <c r="E578" s="40"/>
      <c r="F578" s="40"/>
      <c r="G578" s="40"/>
      <c r="H578" s="40"/>
      <c r="I578" s="40"/>
      <c r="J578" s="265" t="s">
        <v>661</v>
      </c>
      <c r="K578" s="41"/>
      <c r="N578" s="12" t="s">
        <v>894</v>
      </c>
    </row>
    <row r="579" spans="2:14" ht="15" customHeight="1" x14ac:dyDescent="0.2">
      <c r="B579" s="38"/>
      <c r="C579" s="174" t="s">
        <v>660</v>
      </c>
      <c r="D579" s="40"/>
      <c r="E579" s="40"/>
      <c r="F579" s="40"/>
      <c r="G579" s="40"/>
      <c r="H579" s="40"/>
      <c r="I579" s="40"/>
      <c r="J579" s="247" t="str">
        <f>IF(J578=N577,"N/A",IF(J578=N578,0,IF(J578=N579,1,IF(J578=N580,2,IF(J578=N581,3,IF(J578=N582,4,"N/A"))))))</f>
        <v>N/A</v>
      </c>
      <c r="K579" s="41"/>
      <c r="N579" s="12" t="s">
        <v>895</v>
      </c>
    </row>
    <row r="580" spans="2:14" x14ac:dyDescent="0.2">
      <c r="B580" s="38"/>
      <c r="C580" s="40" t="s">
        <v>257</v>
      </c>
      <c r="D580" s="40"/>
      <c r="E580" s="40"/>
      <c r="F580" s="40"/>
      <c r="G580" s="40"/>
      <c r="H580" s="40"/>
      <c r="I580" s="40"/>
      <c r="J580" s="266"/>
      <c r="K580" s="41"/>
      <c r="N580" s="12" t="s">
        <v>896</v>
      </c>
    </row>
    <row r="581" spans="2:14" x14ac:dyDescent="0.2">
      <c r="B581" s="38"/>
      <c r="C581" s="40" t="s">
        <v>261</v>
      </c>
      <c r="D581" s="40"/>
      <c r="E581" s="40"/>
      <c r="F581" s="40"/>
      <c r="G581" s="40"/>
      <c r="H581" s="40"/>
      <c r="I581" s="40"/>
      <c r="J581" s="245" t="str">
        <f>IF(J580=$B$973,$A$973,IF(J580=$B$974,$A$974,IF(J580=$B$975,$A$975,IF(J580=$B$976,$A$976,IF(J580=$B$977,$A$977,"Not Calculated")))))</f>
        <v>Not Calculated</v>
      </c>
      <c r="K581" s="41"/>
      <c r="N581" s="12" t="s">
        <v>897</v>
      </c>
    </row>
    <row r="582" spans="2:14" x14ac:dyDescent="0.2">
      <c r="B582" s="38"/>
      <c r="C582" s="40" t="s">
        <v>893</v>
      </c>
      <c r="D582" s="40"/>
      <c r="E582" s="40"/>
      <c r="F582" s="40"/>
      <c r="G582" s="40"/>
      <c r="H582" s="40"/>
      <c r="I582" s="40"/>
      <c r="J582" s="40"/>
      <c r="K582" s="41"/>
      <c r="N582" s="12" t="s">
        <v>898</v>
      </c>
    </row>
    <row r="583" spans="2:14" ht="15" customHeight="1" x14ac:dyDescent="0.2">
      <c r="B583" s="38"/>
      <c r="C583" s="399"/>
      <c r="D583" s="400"/>
      <c r="E583" s="400"/>
      <c r="F583" s="400"/>
      <c r="G583" s="400"/>
      <c r="H583" s="400"/>
      <c r="I583" s="400"/>
      <c r="J583" s="401"/>
      <c r="K583" s="41"/>
    </row>
    <row r="584" spans="2:14" x14ac:dyDescent="0.2">
      <c r="B584" s="38"/>
      <c r="C584" s="40"/>
      <c r="D584" s="40"/>
      <c r="E584" s="40"/>
      <c r="F584" s="40"/>
      <c r="G584" s="40"/>
      <c r="H584" s="40"/>
      <c r="I584" s="40"/>
      <c r="J584" s="40"/>
      <c r="K584" s="41"/>
    </row>
    <row r="585" spans="2:14" x14ac:dyDescent="0.2">
      <c r="B585" s="38"/>
      <c r="C585" s="179" t="s">
        <v>324</v>
      </c>
      <c r="D585" s="40"/>
      <c r="E585" s="40"/>
      <c r="F585" s="40"/>
      <c r="G585" s="40"/>
      <c r="H585" s="40"/>
      <c r="I585" s="40"/>
      <c r="J585" s="245" t="str">
        <f>IF(J579="N/A",IF(OR(J572="Not Calculated",J581="Not Calculated")=TRUE,"Not Calculated",AVERAGE(J572,J581)),AVERAGE(J579,J581))</f>
        <v>Not Calculated</v>
      </c>
      <c r="K585" s="41"/>
    </row>
    <row r="586" spans="2:14" x14ac:dyDescent="0.2">
      <c r="B586" s="38"/>
      <c r="C586" s="40"/>
      <c r="D586" s="40"/>
      <c r="E586" s="40"/>
      <c r="F586" s="40"/>
      <c r="G586" s="40"/>
      <c r="H586" s="40"/>
      <c r="I586" s="40"/>
      <c r="J586" s="40"/>
      <c r="K586" s="41"/>
    </row>
    <row r="587" spans="2:14" x14ac:dyDescent="0.2">
      <c r="B587" s="38"/>
      <c r="C587" s="40"/>
      <c r="D587" s="40"/>
      <c r="E587" s="40"/>
      <c r="F587" s="40"/>
      <c r="G587" s="40"/>
      <c r="H587" s="40"/>
      <c r="I587" s="40"/>
      <c r="J587" s="40"/>
      <c r="K587" s="41"/>
    </row>
    <row r="588" spans="2:14" ht="16" x14ac:dyDescent="0.2">
      <c r="B588" s="38"/>
      <c r="C588" s="45" t="s">
        <v>115</v>
      </c>
      <c r="D588" s="40"/>
      <c r="E588" s="40"/>
      <c r="F588" s="40"/>
      <c r="G588" s="40"/>
      <c r="H588" s="40"/>
      <c r="I588" s="40"/>
      <c r="J588" s="40"/>
      <c r="K588" s="41"/>
    </row>
    <row r="589" spans="2:14" x14ac:dyDescent="0.2">
      <c r="B589" s="38"/>
      <c r="C589" s="40" t="s">
        <v>335</v>
      </c>
      <c r="D589" s="40"/>
      <c r="E589" s="40"/>
      <c r="F589" s="40"/>
      <c r="G589" s="40"/>
      <c r="H589" s="40"/>
      <c r="I589" s="40"/>
      <c r="J589" s="264"/>
      <c r="K589" s="41"/>
    </row>
    <row r="590" spans="2:14" x14ac:dyDescent="0.2">
      <c r="B590" s="38"/>
      <c r="C590" s="40" t="s">
        <v>260</v>
      </c>
      <c r="D590" s="40"/>
      <c r="E590" s="40"/>
      <c r="F590" s="40"/>
      <c r="G590" s="40"/>
      <c r="H590" s="40"/>
      <c r="I590" s="40"/>
      <c r="J590" s="255">
        <f>IF(J589&lt;=0,0,IF(J589&lt;=1000,1,IF(J589&lt;=5000,2,IF(J589&lt;=25000,3,4))))</f>
        <v>0</v>
      </c>
      <c r="K590" s="41"/>
    </row>
    <row r="591" spans="2:14" ht="9.75" customHeight="1" x14ac:dyDescent="0.2">
      <c r="B591" s="38"/>
      <c r="C591" s="279" t="str">
        <f>"0:"</f>
        <v>0:</v>
      </c>
      <c r="D591" s="284" t="s">
        <v>970</v>
      </c>
      <c r="E591" s="40"/>
      <c r="F591" s="40"/>
      <c r="G591" s="40"/>
      <c r="H591" s="40"/>
      <c r="I591" s="40"/>
      <c r="J591" s="251"/>
      <c r="K591" s="41"/>
    </row>
    <row r="592" spans="2:14" ht="9.75" customHeight="1" x14ac:dyDescent="0.2">
      <c r="B592" s="38"/>
      <c r="C592" s="280" t="str">
        <f>"1:"</f>
        <v>1:</v>
      </c>
      <c r="D592" s="284" t="s">
        <v>961</v>
      </c>
      <c r="E592" s="40"/>
      <c r="F592" s="40"/>
      <c r="G592" s="40"/>
      <c r="H592" s="40"/>
      <c r="I592" s="40"/>
      <c r="J592" s="251"/>
      <c r="K592" s="41"/>
    </row>
    <row r="593" spans="2:11" ht="9.75" customHeight="1" x14ac:dyDescent="0.2">
      <c r="B593" s="38"/>
      <c r="C593" s="280" t="str">
        <f>"2:"</f>
        <v>2:</v>
      </c>
      <c r="D593" s="284" t="s">
        <v>971</v>
      </c>
      <c r="E593" s="40"/>
      <c r="F593" s="40"/>
      <c r="G593" s="40"/>
      <c r="H593" s="40"/>
      <c r="I593" s="40"/>
      <c r="J593" s="251"/>
      <c r="K593" s="41"/>
    </row>
    <row r="594" spans="2:11" ht="9.75" customHeight="1" x14ac:dyDescent="0.2">
      <c r="B594" s="38"/>
      <c r="C594" s="280" t="str">
        <f>"3:"</f>
        <v>3:</v>
      </c>
      <c r="D594" s="284" t="s">
        <v>963</v>
      </c>
      <c r="E594" s="40"/>
      <c r="F594" s="40"/>
      <c r="G594" s="40"/>
      <c r="H594" s="40"/>
      <c r="I594" s="40"/>
      <c r="J594" s="251"/>
      <c r="K594" s="41"/>
    </row>
    <row r="595" spans="2:11" ht="9.75" customHeight="1" x14ac:dyDescent="0.2">
      <c r="B595" s="38"/>
      <c r="C595" s="280" t="str">
        <f>"4:"</f>
        <v>4:</v>
      </c>
      <c r="D595" s="284" t="s">
        <v>964</v>
      </c>
      <c r="E595" s="40"/>
      <c r="F595" s="40"/>
      <c r="G595" s="40"/>
      <c r="H595" s="40"/>
      <c r="I595" s="40"/>
      <c r="J595" s="40"/>
      <c r="K595" s="41"/>
    </row>
    <row r="596" spans="2:11" ht="15" customHeight="1" x14ac:dyDescent="0.2">
      <c r="B596" s="38"/>
      <c r="C596" s="40" t="s">
        <v>257</v>
      </c>
      <c r="D596" s="40"/>
      <c r="E596" s="40"/>
      <c r="F596" s="40"/>
      <c r="G596" s="40"/>
      <c r="H596" s="40"/>
      <c r="I596" s="40"/>
      <c r="J596" s="266"/>
      <c r="K596" s="41"/>
    </row>
    <row r="597" spans="2:11" ht="15" customHeight="1" x14ac:dyDescent="0.2">
      <c r="B597" s="38"/>
      <c r="C597" s="40" t="s">
        <v>261</v>
      </c>
      <c r="D597" s="40"/>
      <c r="E597" s="40"/>
      <c r="F597" s="40"/>
      <c r="G597" s="40"/>
      <c r="H597" s="40"/>
      <c r="I597" s="40"/>
      <c r="J597" s="245" t="str">
        <f>IF(J596=$B$973,$A$973,IF(J596=$B$974,$A$974,IF(J596=$B$975,$A$975,IF(J596=$B$976,$A$976,IF(J596=$B$977,$A$977,"Not Calculated")))))</f>
        <v>Not Calculated</v>
      </c>
      <c r="K597" s="41"/>
    </row>
    <row r="598" spans="2:11" x14ac:dyDescent="0.2">
      <c r="B598" s="38"/>
      <c r="C598" s="40" t="s">
        <v>893</v>
      </c>
      <c r="D598" s="40"/>
      <c r="E598" s="40"/>
      <c r="F598" s="40"/>
      <c r="G598" s="40"/>
      <c r="H598" s="40"/>
      <c r="I598" s="40"/>
      <c r="J598" s="40"/>
      <c r="K598" s="41"/>
    </row>
    <row r="599" spans="2:11" ht="15" customHeight="1" x14ac:dyDescent="0.2">
      <c r="B599" s="38"/>
      <c r="C599" s="399"/>
      <c r="D599" s="400"/>
      <c r="E599" s="400"/>
      <c r="F599" s="400"/>
      <c r="G599" s="400"/>
      <c r="H599" s="400"/>
      <c r="I599" s="400"/>
      <c r="J599" s="401"/>
      <c r="K599" s="41"/>
    </row>
    <row r="600" spans="2:11" x14ac:dyDescent="0.2">
      <c r="B600" s="38"/>
      <c r="C600" s="40"/>
      <c r="D600" s="40"/>
      <c r="E600" s="40"/>
      <c r="F600" s="40"/>
      <c r="G600" s="40"/>
      <c r="H600" s="40"/>
      <c r="I600" s="40"/>
      <c r="J600" s="40"/>
      <c r="K600" s="41"/>
    </row>
    <row r="601" spans="2:11" x14ac:dyDescent="0.2">
      <c r="B601" s="38"/>
      <c r="C601" s="179" t="s">
        <v>325</v>
      </c>
      <c r="D601" s="40"/>
      <c r="E601" s="40"/>
      <c r="F601" s="40"/>
      <c r="G601" s="40"/>
      <c r="H601" s="40"/>
      <c r="I601" s="40"/>
      <c r="J601" s="245">
        <f>IF(J590="Not Calculated","Not Calculated",AVERAGE(J590,J597))</f>
        <v>0</v>
      </c>
      <c r="K601" s="41"/>
    </row>
    <row r="602" spans="2:11" x14ac:dyDescent="0.2">
      <c r="B602" s="38"/>
      <c r="C602" s="40"/>
      <c r="D602" s="40"/>
      <c r="E602" s="40"/>
      <c r="F602" s="40"/>
      <c r="G602" s="40"/>
      <c r="H602" s="40"/>
      <c r="I602" s="40"/>
      <c r="J602" s="40"/>
      <c r="K602" s="41"/>
    </row>
    <row r="603" spans="2:11" x14ac:dyDescent="0.2">
      <c r="B603" s="38"/>
      <c r="C603" s="40"/>
      <c r="D603" s="40"/>
      <c r="E603" s="40"/>
      <c r="F603" s="40"/>
      <c r="G603" s="40"/>
      <c r="H603" s="40"/>
      <c r="I603" s="40"/>
      <c r="J603" s="40"/>
      <c r="K603" s="41"/>
    </row>
    <row r="604" spans="2:11" ht="16" x14ac:dyDescent="0.2">
      <c r="B604" s="38"/>
      <c r="C604" s="45" t="s">
        <v>326</v>
      </c>
      <c r="D604" s="40"/>
      <c r="E604" s="40"/>
      <c r="F604" s="40"/>
      <c r="G604" s="40"/>
      <c r="H604" s="40"/>
      <c r="I604" s="40"/>
      <c r="J604" s="40"/>
      <c r="K604" s="41"/>
    </row>
    <row r="605" spans="2:11" x14ac:dyDescent="0.2">
      <c r="B605" s="38"/>
      <c r="C605" s="40" t="s">
        <v>336</v>
      </c>
      <c r="D605" s="40"/>
      <c r="E605" s="40"/>
      <c r="F605" s="40"/>
      <c r="G605" s="40"/>
      <c r="H605" s="40"/>
      <c r="I605" s="40"/>
      <c r="J605" s="271"/>
      <c r="K605" s="41"/>
    </row>
    <row r="606" spans="2:11" x14ac:dyDescent="0.2">
      <c r="B606" s="38"/>
      <c r="C606" s="40" t="s">
        <v>260</v>
      </c>
      <c r="D606" s="40"/>
      <c r="E606" s="40"/>
      <c r="F606" s="40"/>
      <c r="G606" s="40"/>
      <c r="H606" s="40"/>
      <c r="I606" s="40"/>
      <c r="J606" s="248">
        <f>IF(J605&lt;=0,0,IF(J605&lt;=10,1,IF(J605&lt;=25,2,IF(J605&lt;=50,3,4))))</f>
        <v>0</v>
      </c>
      <c r="K606" s="41"/>
    </row>
    <row r="607" spans="2:11" ht="9.75" customHeight="1" x14ac:dyDescent="0.2">
      <c r="B607" s="38"/>
      <c r="C607" s="279" t="str">
        <f>"0:"</f>
        <v>0:</v>
      </c>
      <c r="D607" s="290" t="s">
        <v>944</v>
      </c>
      <c r="E607" s="40"/>
      <c r="F607" s="40"/>
      <c r="G607" s="40"/>
      <c r="H607" s="40"/>
      <c r="I607" s="40"/>
      <c r="J607" s="244"/>
      <c r="K607" s="41"/>
    </row>
    <row r="608" spans="2:11" ht="9.75" customHeight="1" x14ac:dyDescent="0.2">
      <c r="B608" s="38"/>
      <c r="C608" s="280" t="str">
        <f>"1:"</f>
        <v>1:</v>
      </c>
      <c r="D608" s="290" t="s">
        <v>947</v>
      </c>
      <c r="E608" s="40"/>
      <c r="F608" s="40"/>
      <c r="G608" s="40"/>
      <c r="H608" s="40"/>
      <c r="I608" s="40"/>
      <c r="J608" s="244"/>
      <c r="K608" s="41"/>
    </row>
    <row r="609" spans="2:11" ht="9.75" customHeight="1" x14ac:dyDescent="0.2">
      <c r="B609" s="38"/>
      <c r="C609" s="280" t="str">
        <f>"2:"</f>
        <v>2:</v>
      </c>
      <c r="D609" s="290" t="s">
        <v>972</v>
      </c>
      <c r="E609" s="40"/>
      <c r="F609" s="40"/>
      <c r="G609" s="40"/>
      <c r="H609" s="40"/>
      <c r="I609" s="40"/>
      <c r="J609" s="244"/>
      <c r="K609" s="41"/>
    </row>
    <row r="610" spans="2:11" ht="9.75" customHeight="1" x14ac:dyDescent="0.2">
      <c r="B610" s="38"/>
      <c r="C610" s="280" t="str">
        <f>"3:"</f>
        <v>3:</v>
      </c>
      <c r="D610" s="290" t="s">
        <v>973</v>
      </c>
      <c r="E610" s="40"/>
      <c r="F610" s="40"/>
      <c r="G610" s="40"/>
      <c r="H610" s="40"/>
      <c r="I610" s="40"/>
      <c r="J610" s="244"/>
      <c r="K610" s="41"/>
    </row>
    <row r="611" spans="2:11" ht="9.75" customHeight="1" x14ac:dyDescent="0.2">
      <c r="B611" s="38"/>
      <c r="C611" s="280" t="str">
        <f>"4:"</f>
        <v>4:</v>
      </c>
      <c r="D611" s="290" t="s">
        <v>974</v>
      </c>
      <c r="E611" s="40"/>
      <c r="F611" s="40"/>
      <c r="G611" s="40"/>
      <c r="H611" s="40"/>
      <c r="I611" s="40"/>
      <c r="J611" s="40"/>
      <c r="K611" s="41"/>
    </row>
    <row r="612" spans="2:11" x14ac:dyDescent="0.2">
      <c r="B612" s="38"/>
      <c r="C612" s="40" t="s">
        <v>893</v>
      </c>
      <c r="D612" s="40"/>
      <c r="E612" s="40"/>
      <c r="F612" s="40"/>
      <c r="G612" s="40"/>
      <c r="H612" s="40"/>
      <c r="I612" s="40"/>
      <c r="J612" s="40"/>
      <c r="K612" s="41"/>
    </row>
    <row r="613" spans="2:11" ht="15" customHeight="1" x14ac:dyDescent="0.2">
      <c r="B613" s="38"/>
      <c r="C613" s="399"/>
      <c r="D613" s="400"/>
      <c r="E613" s="400"/>
      <c r="F613" s="400"/>
      <c r="G613" s="400"/>
      <c r="H613" s="400"/>
      <c r="I613" s="400"/>
      <c r="J613" s="401"/>
      <c r="K613" s="41"/>
    </row>
    <row r="614" spans="2:11" x14ac:dyDescent="0.2">
      <c r="B614" s="38"/>
      <c r="C614" s="40"/>
      <c r="D614" s="40"/>
      <c r="E614" s="40"/>
      <c r="F614" s="40"/>
      <c r="G614" s="40"/>
      <c r="H614" s="40"/>
      <c r="I614" s="40"/>
      <c r="J614" s="40"/>
      <c r="K614" s="41"/>
    </row>
    <row r="615" spans="2:11" x14ac:dyDescent="0.2">
      <c r="B615" s="38"/>
      <c r="C615" s="179" t="s">
        <v>327</v>
      </c>
      <c r="D615" s="40"/>
      <c r="E615" s="40"/>
      <c r="F615" s="40"/>
      <c r="G615" s="40"/>
      <c r="H615" s="40"/>
      <c r="I615" s="40"/>
      <c r="J615" s="245">
        <f>J606</f>
        <v>0</v>
      </c>
      <c r="K615" s="41"/>
    </row>
    <row r="616" spans="2:11" x14ac:dyDescent="0.2">
      <c r="B616" s="38"/>
      <c r="C616" s="40"/>
      <c r="D616" s="40"/>
      <c r="E616" s="40"/>
      <c r="F616" s="40"/>
      <c r="G616" s="40"/>
      <c r="H616" s="40"/>
      <c r="I616" s="40"/>
      <c r="J616" s="40"/>
      <c r="K616" s="41"/>
    </row>
    <row r="617" spans="2:11" x14ac:dyDescent="0.2">
      <c r="B617" s="38"/>
      <c r="C617" s="40"/>
      <c r="D617" s="40"/>
      <c r="E617" s="40"/>
      <c r="F617" s="40"/>
      <c r="G617" s="40"/>
      <c r="H617" s="40"/>
      <c r="I617" s="40"/>
      <c r="J617" s="40"/>
      <c r="K617" s="41"/>
    </row>
    <row r="618" spans="2:11" ht="16" x14ac:dyDescent="0.2">
      <c r="B618" s="38"/>
      <c r="C618" s="45" t="s">
        <v>92</v>
      </c>
      <c r="D618" s="40"/>
      <c r="E618" s="40"/>
      <c r="F618" s="40"/>
      <c r="G618" s="40"/>
      <c r="H618" s="40"/>
      <c r="I618" s="40"/>
      <c r="J618" s="40"/>
      <c r="K618" s="41"/>
    </row>
    <row r="619" spans="2:11" x14ac:dyDescent="0.2">
      <c r="B619" s="38"/>
      <c r="C619" s="40" t="s">
        <v>337</v>
      </c>
      <c r="D619" s="40"/>
      <c r="E619" s="40"/>
      <c r="F619" s="40"/>
      <c r="G619" s="40"/>
      <c r="H619" s="40"/>
      <c r="I619" s="40"/>
      <c r="J619" s="251">
        <f>'Baseline Health'!G137</f>
        <v>1</v>
      </c>
      <c r="K619" s="41"/>
    </row>
    <row r="620" spans="2:11" ht="15" customHeight="1" x14ac:dyDescent="0.2">
      <c r="B620" s="38"/>
      <c r="C620" s="380" t="s">
        <v>338</v>
      </c>
      <c r="D620" s="380"/>
      <c r="E620" s="380"/>
      <c r="F620" s="380"/>
      <c r="G620" s="380"/>
      <c r="H620" s="380"/>
      <c r="I620" s="380"/>
      <c r="J620" s="251"/>
      <c r="K620" s="41"/>
    </row>
    <row r="621" spans="2:11" x14ac:dyDescent="0.2">
      <c r="B621" s="38"/>
      <c r="C621" s="380"/>
      <c r="D621" s="380"/>
      <c r="E621" s="380"/>
      <c r="F621" s="380"/>
      <c r="G621" s="380"/>
      <c r="H621" s="380"/>
      <c r="I621" s="380"/>
      <c r="J621" s="264">
        <v>0</v>
      </c>
      <c r="K621" s="41"/>
    </row>
    <row r="622" spans="2:11" x14ac:dyDescent="0.2">
      <c r="B622" s="38"/>
      <c r="C622" s="40" t="s">
        <v>260</v>
      </c>
      <c r="D622" s="40"/>
      <c r="E622" s="40"/>
      <c r="F622" s="40"/>
      <c r="G622" s="40"/>
      <c r="H622" s="40"/>
      <c r="I622" s="40"/>
      <c r="J622" s="245">
        <f>IF(OR(J619=0,J619="Not Calculated")=TRUE,"Not Calculated",IF(((J619+J621)/J619)&lt;=1,0,IF(((J619+J621)/J619)&lt;=1.05,1,IF(((J619+J621)/J619)&lt;=1.5, 2,IF(((J619+J621)/J619)&lt;=2,3,4)))))</f>
        <v>0</v>
      </c>
      <c r="K622" s="41"/>
    </row>
    <row r="623" spans="2:11" ht="9.75" customHeight="1" x14ac:dyDescent="0.2">
      <c r="B623" s="38"/>
      <c r="C623" s="279" t="str">
        <f>"0:"</f>
        <v>0:</v>
      </c>
      <c r="D623" s="281" t="s">
        <v>918</v>
      </c>
      <c r="E623" s="291"/>
      <c r="F623" s="291"/>
      <c r="G623" s="291"/>
      <c r="H623" s="291"/>
      <c r="I623" s="291"/>
      <c r="J623" s="251"/>
      <c r="K623" s="41"/>
    </row>
    <row r="624" spans="2:11" ht="9.75" customHeight="1" x14ac:dyDescent="0.2">
      <c r="B624" s="38"/>
      <c r="C624" s="280" t="str">
        <f>"1:"</f>
        <v>1:</v>
      </c>
      <c r="D624" s="281" t="s">
        <v>919</v>
      </c>
      <c r="E624" s="291"/>
      <c r="F624" s="291"/>
      <c r="G624" s="291"/>
      <c r="H624" s="291"/>
      <c r="I624" s="291"/>
      <c r="J624" s="251"/>
      <c r="K624" s="41"/>
    </row>
    <row r="625" spans="2:14" ht="9.75" customHeight="1" x14ac:dyDescent="0.2">
      <c r="B625" s="38"/>
      <c r="C625" s="280" t="str">
        <f>"2:"</f>
        <v>2:</v>
      </c>
      <c r="D625" s="281" t="s">
        <v>920</v>
      </c>
      <c r="E625" s="291"/>
      <c r="F625" s="291"/>
      <c r="G625" s="291"/>
      <c r="H625" s="291"/>
      <c r="I625" s="291"/>
      <c r="J625" s="251"/>
      <c r="K625" s="41"/>
    </row>
    <row r="626" spans="2:14" ht="9.75" customHeight="1" x14ac:dyDescent="0.2">
      <c r="B626" s="38"/>
      <c r="C626" s="280" t="str">
        <f>"3:"</f>
        <v>3:</v>
      </c>
      <c r="D626" s="281" t="s">
        <v>921</v>
      </c>
      <c r="E626" s="291"/>
      <c r="F626" s="291"/>
      <c r="G626" s="291"/>
      <c r="H626" s="291"/>
      <c r="I626" s="291"/>
      <c r="J626" s="251"/>
      <c r="K626" s="41"/>
    </row>
    <row r="627" spans="2:14" ht="9.75" customHeight="1" x14ac:dyDescent="0.2">
      <c r="B627" s="38"/>
      <c r="C627" s="280" t="str">
        <f>"4:"</f>
        <v>4:</v>
      </c>
      <c r="D627" s="281" t="s">
        <v>922</v>
      </c>
      <c r="E627" s="40"/>
      <c r="F627" s="40"/>
      <c r="G627" s="40"/>
      <c r="H627" s="40"/>
      <c r="I627" s="40"/>
      <c r="J627" s="40"/>
      <c r="K627" s="41"/>
      <c r="N627" s="12" t="s">
        <v>661</v>
      </c>
    </row>
    <row r="628" spans="2:14" x14ac:dyDescent="0.2">
      <c r="B628" s="38"/>
      <c r="C628" s="174" t="s">
        <v>662</v>
      </c>
      <c r="D628" s="40"/>
      <c r="E628" s="40"/>
      <c r="F628" s="40"/>
      <c r="G628" s="40"/>
      <c r="H628" s="40"/>
      <c r="I628" s="40"/>
      <c r="J628" s="265" t="s">
        <v>661</v>
      </c>
      <c r="K628" s="41"/>
      <c r="N628" s="12" t="s">
        <v>894</v>
      </c>
    </row>
    <row r="629" spans="2:14" x14ac:dyDescent="0.2">
      <c r="B629" s="38"/>
      <c r="C629" s="174" t="s">
        <v>660</v>
      </c>
      <c r="D629" s="40"/>
      <c r="E629" s="40"/>
      <c r="F629" s="40"/>
      <c r="G629" s="40"/>
      <c r="H629" s="40"/>
      <c r="I629" s="40"/>
      <c r="J629" s="247" t="str">
        <f>IF(J628=N627,"N/A",IF(J628=N628,0,IF(J628=N629,1,IF(J628=N630,2,IF(J628=N631,3,IF(J628=N632,4,"N/A"))))))</f>
        <v>N/A</v>
      </c>
      <c r="K629" s="41"/>
      <c r="N629" s="12" t="s">
        <v>895</v>
      </c>
    </row>
    <row r="630" spans="2:14" x14ac:dyDescent="0.2">
      <c r="B630" s="38"/>
      <c r="C630" s="40" t="s">
        <v>257</v>
      </c>
      <c r="D630" s="40"/>
      <c r="E630" s="40"/>
      <c r="F630" s="40"/>
      <c r="G630" s="40"/>
      <c r="H630" s="40"/>
      <c r="I630" s="40"/>
      <c r="J630" s="266"/>
      <c r="K630" s="41"/>
      <c r="N630" s="12" t="s">
        <v>896</v>
      </c>
    </row>
    <row r="631" spans="2:14" x14ac:dyDescent="0.2">
      <c r="B631" s="38"/>
      <c r="C631" s="40" t="s">
        <v>261</v>
      </c>
      <c r="D631" s="40"/>
      <c r="E631" s="40"/>
      <c r="F631" s="40"/>
      <c r="G631" s="40"/>
      <c r="H631" s="40"/>
      <c r="I631" s="40"/>
      <c r="J631" s="245" t="str">
        <f>IF(J630=$B$973,$A$973,IF(J630=$B$974,$A$974,IF(J630=$B$975,$A$975,IF(J630=$B$976,$A$976,IF(J630=$B$977,$A$977,"Not Calculated")))))</f>
        <v>Not Calculated</v>
      </c>
      <c r="K631" s="41"/>
      <c r="N631" s="12" t="s">
        <v>897</v>
      </c>
    </row>
    <row r="632" spans="2:14" x14ac:dyDescent="0.2">
      <c r="B632" s="38"/>
      <c r="C632" s="40" t="s">
        <v>893</v>
      </c>
      <c r="D632" s="40"/>
      <c r="E632" s="40"/>
      <c r="F632" s="40"/>
      <c r="G632" s="40"/>
      <c r="H632" s="40"/>
      <c r="I632" s="40"/>
      <c r="J632" s="40"/>
      <c r="K632" s="41"/>
      <c r="N632" s="12" t="s">
        <v>898</v>
      </c>
    </row>
    <row r="633" spans="2:14" ht="15" customHeight="1" x14ac:dyDescent="0.2">
      <c r="B633" s="38"/>
      <c r="C633" s="399"/>
      <c r="D633" s="400"/>
      <c r="E633" s="400"/>
      <c r="F633" s="400"/>
      <c r="G633" s="400"/>
      <c r="H633" s="400"/>
      <c r="I633" s="400"/>
      <c r="J633" s="401"/>
      <c r="K633" s="41"/>
    </row>
    <row r="634" spans="2:14" x14ac:dyDescent="0.2">
      <c r="B634" s="38"/>
      <c r="C634" s="40"/>
      <c r="D634" s="40"/>
      <c r="E634" s="40"/>
      <c r="F634" s="40"/>
      <c r="G634" s="40"/>
      <c r="H634" s="40"/>
      <c r="I634" s="40"/>
      <c r="J634" s="40"/>
      <c r="K634" s="41"/>
    </row>
    <row r="635" spans="2:14" x14ac:dyDescent="0.2">
      <c r="B635" s="38"/>
      <c r="C635" s="179" t="s">
        <v>328</v>
      </c>
      <c r="D635" s="40"/>
      <c r="E635" s="40"/>
      <c r="F635" s="40"/>
      <c r="G635" s="40"/>
      <c r="H635" s="40"/>
      <c r="I635" s="40"/>
      <c r="J635" s="245" t="str">
        <f>IF(J629="N/A",IF(OR(J622="Not Calculated",J631="Not Calculated")=TRUE,"Not Calculated",AVERAGE(J622,J631)),AVERAGE(J629,J631))</f>
        <v>Not Calculated</v>
      </c>
      <c r="K635" s="41"/>
    </row>
    <row r="636" spans="2:14" x14ac:dyDescent="0.2">
      <c r="B636" s="38"/>
      <c r="C636" s="40"/>
      <c r="D636" s="40"/>
      <c r="E636" s="40"/>
      <c r="F636" s="40"/>
      <c r="G636" s="40"/>
      <c r="H636" s="40"/>
      <c r="I636" s="40"/>
      <c r="J636" s="40"/>
      <c r="K636" s="41"/>
    </row>
    <row r="637" spans="2:14" x14ac:dyDescent="0.2">
      <c r="B637" s="38"/>
      <c r="C637" s="40"/>
      <c r="D637" s="40"/>
      <c r="E637" s="40"/>
      <c r="F637" s="40"/>
      <c r="G637" s="40"/>
      <c r="H637" s="40"/>
      <c r="I637" s="40"/>
      <c r="J637" s="40"/>
      <c r="K637" s="41"/>
    </row>
    <row r="638" spans="2:14" ht="16" x14ac:dyDescent="0.2">
      <c r="B638" s="38"/>
      <c r="C638" s="45" t="s">
        <v>329</v>
      </c>
      <c r="D638" s="40"/>
      <c r="E638" s="40"/>
      <c r="F638" s="40"/>
      <c r="G638" s="40"/>
      <c r="H638" s="40"/>
      <c r="I638" s="40"/>
      <c r="J638" s="40"/>
      <c r="K638" s="41"/>
    </row>
    <row r="639" spans="2:14" ht="15" customHeight="1" x14ac:dyDescent="0.2">
      <c r="B639" s="38"/>
      <c r="C639" s="380" t="s">
        <v>339</v>
      </c>
      <c r="D639" s="380"/>
      <c r="E639" s="380"/>
      <c r="F639" s="380"/>
      <c r="G639" s="380"/>
      <c r="H639" s="380"/>
      <c r="I639" s="380"/>
      <c r="J639" s="40"/>
      <c r="K639" s="41"/>
    </row>
    <row r="640" spans="2:14" x14ac:dyDescent="0.2">
      <c r="B640" s="38"/>
      <c r="C640" s="380"/>
      <c r="D640" s="380"/>
      <c r="E640" s="380"/>
      <c r="F640" s="380"/>
      <c r="G640" s="380"/>
      <c r="H640" s="380"/>
      <c r="I640" s="380"/>
      <c r="J640" s="250">
        <f>'Baseline Health'!G145</f>
        <v>0</v>
      </c>
      <c r="K640" s="41"/>
    </row>
    <row r="641" spans="2:14" ht="15" customHeight="1" x14ac:dyDescent="0.2">
      <c r="B641" s="38"/>
      <c r="C641" s="380" t="s">
        <v>340</v>
      </c>
      <c r="D641" s="380"/>
      <c r="E641" s="380"/>
      <c r="F641" s="380"/>
      <c r="G641" s="380"/>
      <c r="H641" s="380"/>
      <c r="I641" s="380"/>
      <c r="J641" s="245"/>
      <c r="K641" s="41"/>
    </row>
    <row r="642" spans="2:14" x14ac:dyDescent="0.2">
      <c r="B642" s="38"/>
      <c r="C642" s="380"/>
      <c r="D642" s="380"/>
      <c r="E642" s="380"/>
      <c r="F642" s="380"/>
      <c r="G642" s="380"/>
      <c r="H642" s="380"/>
      <c r="I642" s="380"/>
      <c r="J642" s="245"/>
      <c r="K642" s="41"/>
    </row>
    <row r="643" spans="2:14" x14ac:dyDescent="0.2">
      <c r="B643" s="38"/>
      <c r="C643" s="380"/>
      <c r="D643" s="380"/>
      <c r="E643" s="380"/>
      <c r="F643" s="380"/>
      <c r="G643" s="380"/>
      <c r="H643" s="380"/>
      <c r="I643" s="380"/>
      <c r="J643" s="272"/>
      <c r="K643" s="41"/>
    </row>
    <row r="644" spans="2:14" x14ac:dyDescent="0.2">
      <c r="B644" s="38"/>
      <c r="C644" s="40" t="s">
        <v>260</v>
      </c>
      <c r="D644" s="40"/>
      <c r="E644" s="40"/>
      <c r="F644" s="40"/>
      <c r="G644" s="40"/>
      <c r="H644" s="40"/>
      <c r="I644" s="40"/>
      <c r="J644" s="245" t="str">
        <f>IF(OR(J640=0,J640="Not Calculated")=TRUE,"Not Calculated",IF(((J640+J643)/J640)&lt;=1,0,IF(((J640+J643)/J640)&lt;=1.05,1,IF(((J640+J643)/J640)&lt;=1.5, 2,IF(((J640+J643)/J640)&lt;=2,3,4)))))</f>
        <v>Not Calculated</v>
      </c>
      <c r="K644" s="41"/>
    </row>
    <row r="645" spans="2:14" ht="9.75" customHeight="1" x14ac:dyDescent="0.2">
      <c r="B645" s="38"/>
      <c r="C645" s="279" t="str">
        <f>"0:"</f>
        <v>0:</v>
      </c>
      <c r="D645" s="281" t="s">
        <v>918</v>
      </c>
      <c r="E645" s="291"/>
      <c r="F645" s="291"/>
      <c r="G645" s="291"/>
      <c r="H645" s="291"/>
      <c r="I645" s="291"/>
      <c r="J645" s="250"/>
      <c r="K645" s="41"/>
    </row>
    <row r="646" spans="2:14" ht="9.75" customHeight="1" x14ac:dyDescent="0.2">
      <c r="B646" s="38"/>
      <c r="C646" s="280" t="str">
        <f>"1:"</f>
        <v>1:</v>
      </c>
      <c r="D646" s="281" t="s">
        <v>919</v>
      </c>
      <c r="E646" s="291"/>
      <c r="F646" s="291"/>
      <c r="G646" s="291"/>
      <c r="H646" s="291"/>
      <c r="I646" s="291"/>
      <c r="J646" s="250"/>
      <c r="K646" s="41"/>
    </row>
    <row r="647" spans="2:14" ht="9.75" customHeight="1" x14ac:dyDescent="0.2">
      <c r="B647" s="38"/>
      <c r="C647" s="280" t="str">
        <f>"2:"</f>
        <v>2:</v>
      </c>
      <c r="D647" s="281" t="s">
        <v>920</v>
      </c>
      <c r="E647" s="291"/>
      <c r="F647" s="291"/>
      <c r="G647" s="291"/>
      <c r="H647" s="291"/>
      <c r="I647" s="291"/>
      <c r="J647" s="250"/>
      <c r="K647" s="41"/>
    </row>
    <row r="648" spans="2:14" ht="9.75" customHeight="1" x14ac:dyDescent="0.2">
      <c r="B648" s="38"/>
      <c r="C648" s="280" t="str">
        <f>"3:"</f>
        <v>3:</v>
      </c>
      <c r="D648" s="281" t="s">
        <v>921</v>
      </c>
      <c r="E648" s="291"/>
      <c r="F648" s="291"/>
      <c r="G648" s="291"/>
      <c r="H648" s="291"/>
      <c r="I648" s="291"/>
      <c r="J648" s="250"/>
      <c r="K648" s="41"/>
    </row>
    <row r="649" spans="2:14" ht="9.75" customHeight="1" x14ac:dyDescent="0.2">
      <c r="B649" s="38"/>
      <c r="C649" s="280" t="str">
        <f>"4:"</f>
        <v>4:</v>
      </c>
      <c r="D649" s="281" t="s">
        <v>922</v>
      </c>
      <c r="E649" s="40"/>
      <c r="F649" s="40"/>
      <c r="G649" s="40"/>
      <c r="H649" s="40"/>
      <c r="I649" s="40"/>
      <c r="J649" s="40"/>
      <c r="K649" s="41"/>
      <c r="N649" s="12" t="s">
        <v>661</v>
      </c>
    </row>
    <row r="650" spans="2:14" x14ac:dyDescent="0.2">
      <c r="B650" s="38"/>
      <c r="C650" s="174" t="s">
        <v>662</v>
      </c>
      <c r="D650" s="40"/>
      <c r="E650" s="40"/>
      <c r="F650" s="40"/>
      <c r="G650" s="40"/>
      <c r="H650" s="40"/>
      <c r="I650" s="40"/>
      <c r="J650" s="265" t="s">
        <v>661</v>
      </c>
      <c r="K650" s="41"/>
      <c r="N650" s="12" t="s">
        <v>894</v>
      </c>
    </row>
    <row r="651" spans="2:14" x14ac:dyDescent="0.2">
      <c r="B651" s="38"/>
      <c r="C651" s="174" t="s">
        <v>660</v>
      </c>
      <c r="D651" s="40"/>
      <c r="E651" s="40"/>
      <c r="F651" s="40"/>
      <c r="G651" s="40"/>
      <c r="H651" s="40"/>
      <c r="I651" s="40"/>
      <c r="J651" s="247" t="str">
        <f>IF(J650=N649,"N/A",IF(J650=N650,0,IF(J650=N651,1,IF(J650=N652,2,IF(J650=N653,3,IF(J650=N654,4,"N/A"))))))</f>
        <v>N/A</v>
      </c>
      <c r="K651" s="41"/>
      <c r="N651" s="12" t="s">
        <v>895</v>
      </c>
    </row>
    <row r="652" spans="2:14" ht="15" customHeight="1" x14ac:dyDescent="0.2">
      <c r="B652" s="38"/>
      <c r="C652" s="40" t="s">
        <v>257</v>
      </c>
      <c r="D652" s="40"/>
      <c r="E652" s="40"/>
      <c r="F652" s="40"/>
      <c r="G652" s="40"/>
      <c r="H652" s="40"/>
      <c r="I652" s="40"/>
      <c r="J652" s="266"/>
      <c r="K652" s="41"/>
      <c r="N652" s="12" t="s">
        <v>896</v>
      </c>
    </row>
    <row r="653" spans="2:14" x14ac:dyDescent="0.2">
      <c r="B653" s="38"/>
      <c r="C653" s="40" t="s">
        <v>261</v>
      </c>
      <c r="D653" s="40"/>
      <c r="E653" s="40"/>
      <c r="F653" s="40"/>
      <c r="G653" s="40"/>
      <c r="H653" s="40"/>
      <c r="I653" s="40"/>
      <c r="J653" s="245" t="str">
        <f>IF(J652=$B$973,$A$973,IF(J652=$B$974,$A$974,IF(J652=$B$975,$A$975,IF(J652=$B$976,$A$976,IF(J652=$B$977,$A$977,"Not Calculated")))))</f>
        <v>Not Calculated</v>
      </c>
      <c r="K653" s="41"/>
      <c r="N653" s="12" t="s">
        <v>897</v>
      </c>
    </row>
    <row r="654" spans="2:14" x14ac:dyDescent="0.2">
      <c r="B654" s="38"/>
      <c r="C654" s="40" t="s">
        <v>893</v>
      </c>
      <c r="D654" s="40"/>
      <c r="E654" s="40"/>
      <c r="F654" s="40"/>
      <c r="G654" s="40"/>
      <c r="H654" s="40"/>
      <c r="I654" s="40"/>
      <c r="J654" s="40"/>
      <c r="K654" s="41"/>
      <c r="N654" s="12" t="s">
        <v>898</v>
      </c>
    </row>
    <row r="655" spans="2:14" x14ac:dyDescent="0.2">
      <c r="B655" s="38"/>
      <c r="C655" s="399"/>
      <c r="D655" s="400"/>
      <c r="E655" s="400"/>
      <c r="F655" s="400"/>
      <c r="G655" s="400"/>
      <c r="H655" s="400"/>
      <c r="I655" s="400"/>
      <c r="J655" s="401"/>
      <c r="K655" s="41"/>
    </row>
    <row r="656" spans="2:14" x14ac:dyDescent="0.2">
      <c r="B656" s="38"/>
      <c r="C656" s="40"/>
      <c r="D656" s="40"/>
      <c r="E656" s="40"/>
      <c r="F656" s="40"/>
      <c r="G656" s="40"/>
      <c r="H656" s="40"/>
      <c r="I656" s="40"/>
      <c r="J656" s="40"/>
      <c r="K656" s="41"/>
    </row>
    <row r="657" spans="2:14" x14ac:dyDescent="0.2">
      <c r="B657" s="38"/>
      <c r="C657" s="179" t="s">
        <v>330</v>
      </c>
      <c r="D657" s="40"/>
      <c r="E657" s="40"/>
      <c r="F657" s="40"/>
      <c r="G657" s="40"/>
      <c r="H657" s="40"/>
      <c r="I657" s="40"/>
      <c r="J657" s="245" t="str">
        <f>IF(J651="N/A",IF(OR(J644="Not Calculated",J653="Not Calculated")=TRUE,"Not Calculated",AVERAGE(J644,J653)),AVERAGE(J651,J653))</f>
        <v>Not Calculated</v>
      </c>
      <c r="K657" s="41"/>
    </row>
    <row r="658" spans="2:14" x14ac:dyDescent="0.2">
      <c r="B658" s="38"/>
      <c r="C658" s="40"/>
      <c r="D658" s="40"/>
      <c r="E658" s="40"/>
      <c r="F658" s="40"/>
      <c r="G658" s="40"/>
      <c r="H658" s="40"/>
      <c r="I658" s="40"/>
      <c r="J658" s="40"/>
      <c r="K658" s="41"/>
    </row>
    <row r="659" spans="2:14" x14ac:dyDescent="0.2">
      <c r="B659" s="38"/>
      <c r="C659" s="40"/>
      <c r="D659" s="40"/>
      <c r="E659" s="40"/>
      <c r="F659" s="40"/>
      <c r="G659" s="40"/>
      <c r="H659" s="40"/>
      <c r="I659" s="40"/>
      <c r="J659" s="40"/>
      <c r="K659" s="41"/>
    </row>
    <row r="660" spans="2:14" ht="16" x14ac:dyDescent="0.2">
      <c r="B660" s="38"/>
      <c r="C660" s="45" t="s">
        <v>97</v>
      </c>
      <c r="D660" s="40"/>
      <c r="E660" s="40"/>
      <c r="F660" s="40"/>
      <c r="G660" s="40"/>
      <c r="H660" s="40"/>
      <c r="I660" s="40"/>
      <c r="J660" s="40"/>
      <c r="K660" s="41"/>
    </row>
    <row r="661" spans="2:14" x14ac:dyDescent="0.2">
      <c r="B661" s="38"/>
      <c r="C661" s="40" t="s">
        <v>449</v>
      </c>
      <c r="D661" s="40"/>
      <c r="E661" s="40"/>
      <c r="F661" s="40"/>
      <c r="G661" s="40"/>
      <c r="H661" s="40"/>
      <c r="I661" s="40"/>
      <c r="J661" s="263">
        <f>'Baseline Health'!G150</f>
        <v>0</v>
      </c>
      <c r="K661" s="41"/>
    </row>
    <row r="662" spans="2:14" x14ac:dyDescent="0.2">
      <c r="B662" s="38"/>
      <c r="C662" s="40" t="s">
        <v>341</v>
      </c>
      <c r="D662" s="40"/>
      <c r="E662" s="40"/>
      <c r="F662" s="40"/>
      <c r="G662" s="40"/>
      <c r="H662" s="40"/>
      <c r="I662" s="40"/>
      <c r="J662" s="273"/>
      <c r="K662" s="41"/>
    </row>
    <row r="663" spans="2:14" x14ac:dyDescent="0.2">
      <c r="B663" s="38"/>
      <c r="C663" s="40" t="s">
        <v>450</v>
      </c>
      <c r="D663" s="40"/>
      <c r="E663" s="40"/>
      <c r="F663" s="40"/>
      <c r="G663" s="40"/>
      <c r="H663" s="40"/>
      <c r="I663" s="40"/>
      <c r="J663" s="263">
        <f>J26</f>
        <v>0</v>
      </c>
      <c r="K663" s="41"/>
    </row>
    <row r="664" spans="2:14" ht="15" customHeight="1" x14ac:dyDescent="0.2">
      <c r="B664" s="38"/>
      <c r="C664" s="291"/>
      <c r="D664" s="380" t="s">
        <v>342</v>
      </c>
      <c r="E664" s="380"/>
      <c r="F664" s="380"/>
      <c r="G664" s="380"/>
      <c r="H664" s="380"/>
      <c r="I664" s="380"/>
      <c r="J664" s="245"/>
      <c r="K664" s="41"/>
    </row>
    <row r="665" spans="2:14" x14ac:dyDescent="0.2">
      <c r="B665" s="38"/>
      <c r="C665" s="291"/>
      <c r="D665" s="380"/>
      <c r="E665" s="380"/>
      <c r="F665" s="380"/>
      <c r="G665" s="380"/>
      <c r="H665" s="380"/>
      <c r="I665" s="380"/>
      <c r="J665" s="245"/>
      <c r="K665" s="41"/>
    </row>
    <row r="666" spans="2:14" x14ac:dyDescent="0.2">
      <c r="B666" s="38"/>
      <c r="C666" s="40" t="s">
        <v>260</v>
      </c>
      <c r="D666" s="40"/>
      <c r="E666" s="40"/>
      <c r="F666" s="40"/>
      <c r="G666" s="40"/>
      <c r="H666" s="40"/>
      <c r="I666" s="40"/>
      <c r="J666" s="245" t="str">
        <f>IF(OR(J661=0,J661="Not Calculated")=TRUE,"Not Calculated",IF(((J661+J663)/(J661-J662))&lt;=1,0,IF(((J661+J663)/(J661-J662))&lt;=1.1,1,IF(((J661+J663)/(J661-J662))&lt;=1.5, 2,IF(((J661+J663)/(J661-J662))&lt;=2,3,4)))))</f>
        <v>Not Calculated</v>
      </c>
      <c r="K666" s="41"/>
    </row>
    <row r="667" spans="2:14" ht="9.75" customHeight="1" x14ac:dyDescent="0.2">
      <c r="B667" s="38"/>
      <c r="C667" s="279" t="str">
        <f>"0:"</f>
        <v>0:</v>
      </c>
      <c r="D667" s="278" t="s">
        <v>918</v>
      </c>
      <c r="E667" s="291"/>
      <c r="F667" s="291"/>
      <c r="G667" s="291"/>
      <c r="H667" s="291"/>
      <c r="I667" s="291"/>
      <c r="J667" s="245"/>
      <c r="K667" s="41"/>
    </row>
    <row r="668" spans="2:14" ht="9.75" customHeight="1" x14ac:dyDescent="0.2">
      <c r="B668" s="38"/>
      <c r="C668" s="280" t="str">
        <f>"1:"</f>
        <v>1:</v>
      </c>
      <c r="D668" s="278" t="s">
        <v>923</v>
      </c>
      <c r="E668" s="291"/>
      <c r="F668" s="291"/>
      <c r="G668" s="291"/>
      <c r="H668" s="291"/>
      <c r="I668" s="291"/>
      <c r="J668" s="245"/>
      <c r="K668" s="41"/>
    </row>
    <row r="669" spans="2:14" ht="9.75" customHeight="1" x14ac:dyDescent="0.2">
      <c r="B669" s="38"/>
      <c r="C669" s="280" t="str">
        <f>"2:"</f>
        <v>2:</v>
      </c>
      <c r="D669" s="278" t="s">
        <v>924</v>
      </c>
      <c r="E669" s="291"/>
      <c r="F669" s="291"/>
      <c r="G669" s="291"/>
      <c r="H669" s="291"/>
      <c r="I669" s="291"/>
      <c r="J669" s="245"/>
      <c r="K669" s="41"/>
    </row>
    <row r="670" spans="2:14" ht="9.75" customHeight="1" x14ac:dyDescent="0.2">
      <c r="B670" s="38"/>
      <c r="C670" s="280" t="str">
        <f>"3:"</f>
        <v>3:</v>
      </c>
      <c r="D670" s="278" t="s">
        <v>925</v>
      </c>
      <c r="E670" s="291"/>
      <c r="F670" s="291"/>
      <c r="G670" s="291"/>
      <c r="H670" s="291"/>
      <c r="I670" s="291"/>
      <c r="J670" s="245"/>
      <c r="K670" s="41"/>
    </row>
    <row r="671" spans="2:14" ht="9.75" customHeight="1" x14ac:dyDescent="0.2">
      <c r="B671" s="38"/>
      <c r="C671" s="280" t="str">
        <f>"4:"</f>
        <v>4:</v>
      </c>
      <c r="D671" s="278" t="s">
        <v>926</v>
      </c>
      <c r="E671" s="40"/>
      <c r="F671" s="40"/>
      <c r="G671" s="40"/>
      <c r="H671" s="40"/>
      <c r="I671" s="40"/>
      <c r="J671" s="40"/>
      <c r="K671" s="41"/>
      <c r="N671" s="12" t="s">
        <v>661</v>
      </c>
    </row>
    <row r="672" spans="2:14" ht="15" customHeight="1" x14ac:dyDescent="0.2">
      <c r="B672" s="38"/>
      <c r="C672" s="174" t="s">
        <v>662</v>
      </c>
      <c r="D672" s="40"/>
      <c r="E672" s="40"/>
      <c r="F672" s="40"/>
      <c r="G672" s="40"/>
      <c r="H672" s="40"/>
      <c r="I672" s="40"/>
      <c r="J672" s="265" t="s">
        <v>661</v>
      </c>
      <c r="K672" s="41"/>
      <c r="N672" s="12" t="s">
        <v>894</v>
      </c>
    </row>
    <row r="673" spans="2:14" ht="15" customHeight="1" x14ac:dyDescent="0.2">
      <c r="B673" s="38"/>
      <c r="C673" s="174" t="s">
        <v>660</v>
      </c>
      <c r="D673" s="40"/>
      <c r="E673" s="40"/>
      <c r="F673" s="40"/>
      <c r="G673" s="40"/>
      <c r="H673" s="40"/>
      <c r="I673" s="40"/>
      <c r="J673" s="246" t="str">
        <f>IF(J672=N671,"N/A",IF(J672=N672,0,IF(J672=N673,1,IF(J672=N674,2,IF(J672=N675,3,IF(J672=N676,4,"N/A"))))))</f>
        <v>N/A</v>
      </c>
      <c r="K673" s="41"/>
      <c r="N673" s="12" t="s">
        <v>908</v>
      </c>
    </row>
    <row r="674" spans="2:14" ht="15" customHeight="1" x14ac:dyDescent="0.2">
      <c r="B674" s="38"/>
      <c r="C674" s="40" t="s">
        <v>257</v>
      </c>
      <c r="D674" s="40"/>
      <c r="E674" s="40"/>
      <c r="F674" s="40"/>
      <c r="G674" s="40"/>
      <c r="H674" s="40"/>
      <c r="I674" s="40"/>
      <c r="J674" s="266"/>
      <c r="K674" s="41"/>
      <c r="N674" s="12" t="s">
        <v>900</v>
      </c>
    </row>
    <row r="675" spans="2:14" x14ac:dyDescent="0.2">
      <c r="B675" s="38"/>
      <c r="C675" s="40" t="s">
        <v>261</v>
      </c>
      <c r="D675" s="40"/>
      <c r="E675" s="40"/>
      <c r="F675" s="40"/>
      <c r="G675" s="40"/>
      <c r="H675" s="40"/>
      <c r="I675" s="40"/>
      <c r="J675" s="245" t="str">
        <f>IF(J674=$B$973,$A$973,IF(J674=$B$974,$A$974,IF(J674=$B$975,$A$975,IF(J674=$B$976,$A$976,IF(J674=$B$977,$A$977,"Not Calculated")))))</f>
        <v>Not Calculated</v>
      </c>
      <c r="K675" s="41"/>
      <c r="N675" s="12" t="s">
        <v>901</v>
      </c>
    </row>
    <row r="676" spans="2:14" ht="15" customHeight="1" x14ac:dyDescent="0.2">
      <c r="B676" s="38"/>
      <c r="C676" s="40" t="s">
        <v>893</v>
      </c>
      <c r="D676" s="40"/>
      <c r="E676" s="40"/>
      <c r="F676" s="40"/>
      <c r="G676" s="40"/>
      <c r="H676" s="40"/>
      <c r="I676" s="40"/>
      <c r="J676" s="40"/>
      <c r="K676" s="41"/>
      <c r="N676" s="12" t="s">
        <v>909</v>
      </c>
    </row>
    <row r="677" spans="2:14" ht="15" customHeight="1" x14ac:dyDescent="0.2">
      <c r="B677" s="38"/>
      <c r="C677" s="399"/>
      <c r="D677" s="400"/>
      <c r="E677" s="400"/>
      <c r="F677" s="400"/>
      <c r="G677" s="400"/>
      <c r="H677" s="400"/>
      <c r="I677" s="400"/>
      <c r="J677" s="401"/>
      <c r="K677" s="41"/>
    </row>
    <row r="678" spans="2:14" x14ac:dyDescent="0.2">
      <c r="B678" s="38"/>
      <c r="C678" s="40"/>
      <c r="D678" s="40"/>
      <c r="E678" s="40"/>
      <c r="F678" s="40"/>
      <c r="G678" s="40"/>
      <c r="H678" s="40"/>
      <c r="I678" s="40"/>
      <c r="J678" s="40"/>
      <c r="K678" s="41"/>
    </row>
    <row r="679" spans="2:14" x14ac:dyDescent="0.2">
      <c r="B679" s="38"/>
      <c r="C679" s="179" t="s">
        <v>331</v>
      </c>
      <c r="D679" s="40"/>
      <c r="E679" s="40"/>
      <c r="F679" s="40"/>
      <c r="G679" s="40"/>
      <c r="H679" s="40"/>
      <c r="I679" s="40"/>
      <c r="J679" s="245" t="str">
        <f>IF(J673="N/A",IF(OR(J666="Not Calculated",J675="Not Calculated")=TRUE,"Not Calculated",AVERAGE(J666,J675)),AVERAGE(J673,J675))</f>
        <v>Not Calculated</v>
      </c>
      <c r="K679" s="41"/>
    </row>
    <row r="680" spans="2:14" x14ac:dyDescent="0.2">
      <c r="B680" s="38"/>
      <c r="C680" s="40"/>
      <c r="D680" s="40"/>
      <c r="E680" s="40"/>
      <c r="F680" s="40"/>
      <c r="G680" s="40"/>
      <c r="H680" s="40"/>
      <c r="I680" s="40"/>
      <c r="J680" s="40"/>
      <c r="K680" s="41"/>
    </row>
    <row r="681" spans="2:14" ht="18" x14ac:dyDescent="0.2">
      <c r="B681" s="38"/>
      <c r="C681" s="180" t="s">
        <v>332</v>
      </c>
      <c r="D681" s="40"/>
      <c r="E681" s="40"/>
      <c r="F681" s="40"/>
      <c r="G681" s="40"/>
      <c r="H681" s="40"/>
      <c r="I681" s="40"/>
      <c r="J681" s="244" t="str">
        <f>IF(OR(J562="Not Calculated",J585="Not Calculated",J601="Not Calculated",J615="Not Calculated",J635="Not Calculated",J657="Not Calculated",J679="Not Calculated")=TRUE,"Not Calculated",AVERAGE(J562,J585,J601,J615,J635,J657,J679))</f>
        <v>Not Calculated</v>
      </c>
      <c r="K681" s="41"/>
    </row>
    <row r="682" spans="2:14" ht="16" thickBot="1" x14ac:dyDescent="0.25">
      <c r="B682" s="46"/>
      <c r="C682" s="47"/>
      <c r="D682" s="47"/>
      <c r="E682" s="47"/>
      <c r="F682" s="47"/>
      <c r="G682" s="47"/>
      <c r="H682" s="47"/>
      <c r="I682" s="47"/>
      <c r="J682" s="47"/>
      <c r="K682" s="49"/>
    </row>
    <row r="683" spans="2:14" ht="16" thickBot="1" x14ac:dyDescent="0.25"/>
    <row r="684" spans="2:14" x14ac:dyDescent="0.2">
      <c r="B684" s="33"/>
      <c r="C684" s="34"/>
      <c r="D684" s="34"/>
      <c r="E684" s="34"/>
      <c r="F684" s="34"/>
      <c r="G684" s="34"/>
      <c r="H684" s="34"/>
      <c r="I684" s="34"/>
      <c r="J684" s="34"/>
      <c r="K684" s="37"/>
    </row>
    <row r="685" spans="2:14" ht="21" x14ac:dyDescent="0.25">
      <c r="B685" s="38"/>
      <c r="C685" s="40"/>
      <c r="D685" s="40"/>
      <c r="E685" s="40"/>
      <c r="F685" s="40"/>
      <c r="G685" s="172" t="s">
        <v>346</v>
      </c>
      <c r="H685" s="40"/>
      <c r="I685" s="40"/>
      <c r="J685" s="40"/>
      <c r="K685" s="41"/>
    </row>
    <row r="686" spans="2:14" x14ac:dyDescent="0.2">
      <c r="B686" s="38"/>
      <c r="C686" s="40"/>
      <c r="D686" s="40"/>
      <c r="E686" s="40"/>
      <c r="F686" s="40"/>
      <c r="G686" s="40"/>
      <c r="H686" s="40"/>
      <c r="I686" s="40"/>
      <c r="J686" s="40"/>
      <c r="K686" s="41"/>
    </row>
    <row r="687" spans="2:14" ht="16" x14ac:dyDescent="0.2">
      <c r="B687" s="38"/>
      <c r="C687" s="182" t="s">
        <v>986</v>
      </c>
      <c r="D687" s="40"/>
      <c r="E687" s="40"/>
      <c r="F687" s="40"/>
      <c r="G687" s="40"/>
      <c r="H687" s="40"/>
      <c r="I687" s="40"/>
      <c r="J687" s="257" t="str">
        <f>IF(OR($J$133="Not Calculated",$J$261="Not Calculated",$J$421="Not Calculated",$J$539="Not Calculated",$J$681="Not Calculated")=TRUE,"Not Calculated",AVERAGE($J$133,$J$261,$J$421,$J$539,$J$681))</f>
        <v>Not Calculated</v>
      </c>
      <c r="K687" s="41"/>
    </row>
    <row r="688" spans="2:14" x14ac:dyDescent="0.2">
      <c r="B688" s="38"/>
      <c r="C688" s="40"/>
      <c r="D688" s="40" t="s">
        <v>343</v>
      </c>
      <c r="E688" s="40"/>
      <c r="F688" s="40"/>
      <c r="G688" s="40"/>
      <c r="H688" s="40"/>
      <c r="I688" s="40"/>
      <c r="J688" s="40"/>
      <c r="K688" s="41"/>
    </row>
    <row r="689" spans="2:11" ht="15" customHeight="1" x14ac:dyDescent="0.2">
      <c r="B689" s="38"/>
      <c r="C689" s="40"/>
      <c r="D689" s="40"/>
      <c r="E689" s="40"/>
      <c r="F689" s="40"/>
      <c r="G689" s="40"/>
      <c r="H689" s="40"/>
      <c r="I689" s="40"/>
      <c r="J689" s="40"/>
      <c r="K689" s="41"/>
    </row>
    <row r="690" spans="2:11" ht="16" x14ac:dyDescent="0.2">
      <c r="B690" s="38"/>
      <c r="C690" s="182" t="s">
        <v>987</v>
      </c>
      <c r="D690" s="40"/>
      <c r="E690" s="40"/>
      <c r="F690" s="40"/>
      <c r="G690" s="40"/>
      <c r="H690" s="40"/>
      <c r="I690" s="40"/>
      <c r="J690" s="257" t="str">
        <f>IF(OR($J$133="Not Calculated",$J$261="Not Calculated",$J$539="Not Calculated",$J$681="Not Calculated")=TRUE,"Not Calculated",AVERAGE($J$133,$J$261,$J$539,$J$681))</f>
        <v>Not Calculated</v>
      </c>
      <c r="K690" s="41"/>
    </row>
    <row r="691" spans="2:11" ht="15" customHeight="1" x14ac:dyDescent="0.2">
      <c r="B691" s="38"/>
      <c r="C691" s="40"/>
      <c r="D691" s="40" t="s">
        <v>344</v>
      </c>
      <c r="E691" s="40"/>
      <c r="F691" s="40"/>
      <c r="G691" s="40"/>
      <c r="H691" s="40"/>
      <c r="I691" s="40"/>
      <c r="J691" s="40"/>
      <c r="K691" s="41"/>
    </row>
    <row r="692" spans="2:11" x14ac:dyDescent="0.2">
      <c r="B692" s="38"/>
      <c r="C692" s="40"/>
      <c r="D692" s="40"/>
      <c r="E692" s="40"/>
      <c r="F692" s="40"/>
      <c r="G692" s="40"/>
      <c r="H692" s="40"/>
      <c r="I692" s="40"/>
      <c r="J692" s="40"/>
      <c r="K692" s="41"/>
    </row>
    <row r="693" spans="2:11" ht="16" x14ac:dyDescent="0.2">
      <c r="B693" s="38"/>
      <c r="C693" s="182" t="s">
        <v>988</v>
      </c>
      <c r="D693" s="40"/>
      <c r="E693" s="40"/>
      <c r="F693" s="40"/>
      <c r="G693" s="40"/>
      <c r="H693" s="40"/>
      <c r="I693" s="40"/>
      <c r="J693" s="257" t="str">
        <f>IF(OR($J$133="Not Calculated",$J$261="Not Calculated",$J$421="Not Calculated")=TRUE,"Not Calculated",AVERAGE($J$133,$J$261,$J$421))</f>
        <v>Not Calculated</v>
      </c>
      <c r="K693" s="41"/>
    </row>
    <row r="694" spans="2:11" x14ac:dyDescent="0.2">
      <c r="B694" s="38"/>
      <c r="C694" s="40"/>
      <c r="D694" s="40" t="s">
        <v>345</v>
      </c>
      <c r="E694" s="40"/>
      <c r="F694" s="40"/>
      <c r="G694" s="40"/>
      <c r="H694" s="40"/>
      <c r="I694" s="40"/>
      <c r="J694" s="40"/>
      <c r="K694" s="41"/>
    </row>
    <row r="695" spans="2:11" ht="16" thickBot="1" x14ac:dyDescent="0.25">
      <c r="B695" s="46"/>
      <c r="C695" s="47"/>
      <c r="D695" s="47"/>
      <c r="E695" s="47"/>
      <c r="F695" s="47"/>
      <c r="G695" s="47"/>
      <c r="H695" s="47"/>
      <c r="I695" s="47"/>
      <c r="J695" s="47"/>
      <c r="K695" s="49"/>
    </row>
    <row r="696" spans="2:11" ht="16" thickBot="1" x14ac:dyDescent="0.25"/>
    <row r="697" spans="2:11" x14ac:dyDescent="0.2">
      <c r="B697" s="183"/>
      <c r="C697" s="184"/>
      <c r="D697" s="184"/>
      <c r="E697" s="184"/>
      <c r="F697" s="184"/>
      <c r="G697" s="184"/>
      <c r="H697" s="184"/>
      <c r="I697" s="184"/>
      <c r="J697" s="184"/>
      <c r="K697" s="185"/>
    </row>
    <row r="698" spans="2:11" ht="21" x14ac:dyDescent="0.25">
      <c r="B698" s="186"/>
      <c r="C698" s="187"/>
      <c r="D698" s="187"/>
      <c r="E698" s="187"/>
      <c r="F698" s="187"/>
      <c r="G698" s="188" t="s">
        <v>231</v>
      </c>
      <c r="H698" s="187"/>
      <c r="I698" s="187"/>
      <c r="J698" s="187"/>
      <c r="K698" s="189"/>
    </row>
    <row r="699" spans="2:11" x14ac:dyDescent="0.2">
      <c r="B699" s="186"/>
      <c r="C699" s="187"/>
      <c r="D699" s="187"/>
      <c r="E699" s="187"/>
      <c r="F699" s="187"/>
      <c r="G699" s="187"/>
      <c r="H699" s="187"/>
      <c r="I699" s="187"/>
      <c r="J699" s="187"/>
      <c r="K699" s="189"/>
    </row>
    <row r="700" spans="2:11" ht="16" x14ac:dyDescent="0.2">
      <c r="B700" s="186"/>
      <c r="C700" s="190" t="s">
        <v>989</v>
      </c>
      <c r="D700" s="187"/>
      <c r="E700" s="187"/>
      <c r="F700" s="187"/>
      <c r="G700" s="187"/>
      <c r="H700" s="187"/>
      <c r="I700" s="187"/>
      <c r="J700" s="256" t="str">
        <f>IF(OR(J687="Not Calculated",$E$17="Not Calculated")=TRUE,"Not Calculated",(J687*$E$17*100/16))</f>
        <v>Not Calculated</v>
      </c>
      <c r="K700" s="189"/>
    </row>
    <row r="701" spans="2:11" x14ac:dyDescent="0.2">
      <c r="B701" s="186"/>
      <c r="C701" s="187"/>
      <c r="D701" s="187" t="s">
        <v>377</v>
      </c>
      <c r="E701" s="187"/>
      <c r="F701" s="187"/>
      <c r="G701" s="187"/>
      <c r="H701" s="187"/>
      <c r="I701" s="187"/>
      <c r="J701" s="187"/>
      <c r="K701" s="189"/>
    </row>
    <row r="702" spans="2:11" x14ac:dyDescent="0.2">
      <c r="B702" s="186"/>
      <c r="C702" s="187"/>
      <c r="D702" s="187"/>
      <c r="E702" s="187"/>
      <c r="F702" s="187"/>
      <c r="G702" s="187"/>
      <c r="H702" s="187"/>
      <c r="I702" s="187"/>
      <c r="J702" s="187"/>
      <c r="K702" s="189"/>
    </row>
    <row r="703" spans="2:11" ht="16" x14ac:dyDescent="0.2">
      <c r="B703" s="186"/>
      <c r="C703" s="190" t="s">
        <v>990</v>
      </c>
      <c r="D703" s="187"/>
      <c r="E703" s="187"/>
      <c r="F703" s="187"/>
      <c r="G703" s="187"/>
      <c r="H703" s="187"/>
      <c r="I703" s="187"/>
      <c r="J703" s="256" t="str">
        <f>IF(OR(J690="Not Calculated",$E$17="Not Calculated")=TRUE,"Not Calculated",(J690*$E$17*100/16))</f>
        <v>Not Calculated</v>
      </c>
      <c r="K703" s="189"/>
    </row>
    <row r="704" spans="2:11" x14ac:dyDescent="0.2">
      <c r="B704" s="186"/>
      <c r="C704" s="187"/>
      <c r="D704" s="187" t="s">
        <v>378</v>
      </c>
      <c r="E704" s="187"/>
      <c r="F704" s="187"/>
      <c r="G704" s="187"/>
      <c r="H704" s="187"/>
      <c r="I704" s="187"/>
      <c r="J704" s="187"/>
      <c r="K704" s="189"/>
    </row>
    <row r="705" spans="2:11" x14ac:dyDescent="0.2">
      <c r="B705" s="186"/>
      <c r="C705" s="187"/>
      <c r="D705" s="187"/>
      <c r="E705" s="187"/>
      <c r="F705" s="187"/>
      <c r="G705" s="187"/>
      <c r="H705" s="187"/>
      <c r="I705" s="187"/>
      <c r="J705" s="187"/>
      <c r="K705" s="189"/>
    </row>
    <row r="706" spans="2:11" ht="16" x14ac:dyDescent="0.2">
      <c r="B706" s="186"/>
      <c r="C706" s="190" t="s">
        <v>991</v>
      </c>
      <c r="D706" s="187"/>
      <c r="E706" s="187"/>
      <c r="F706" s="187"/>
      <c r="G706" s="187"/>
      <c r="H706" s="187"/>
      <c r="I706" s="187"/>
      <c r="J706" s="256" t="str">
        <f>IF(OR(J693="Not Calculated",$E$17="Not Calculated")=TRUE,"Not Calculated",(J693*$E$17*100/16))</f>
        <v>Not Calculated</v>
      </c>
      <c r="K706" s="189"/>
    </row>
    <row r="707" spans="2:11" x14ac:dyDescent="0.2">
      <c r="B707" s="186"/>
      <c r="C707" s="187"/>
      <c r="D707" s="187" t="s">
        <v>379</v>
      </c>
      <c r="E707" s="187"/>
      <c r="F707" s="187"/>
      <c r="G707" s="187"/>
      <c r="H707" s="187"/>
      <c r="I707" s="187"/>
      <c r="J707" s="187"/>
      <c r="K707" s="189"/>
    </row>
    <row r="708" spans="2:11" ht="16" thickBot="1" x14ac:dyDescent="0.25">
      <c r="B708" s="191"/>
      <c r="C708" s="192"/>
      <c r="D708" s="192"/>
      <c r="E708" s="192"/>
      <c r="F708" s="192"/>
      <c r="G708" s="192"/>
      <c r="H708" s="192"/>
      <c r="I708" s="192"/>
      <c r="J708" s="192"/>
      <c r="K708" s="193"/>
    </row>
    <row r="709" spans="2:11" ht="16" thickBot="1" x14ac:dyDescent="0.25"/>
    <row r="710" spans="2:11" x14ac:dyDescent="0.2">
      <c r="B710" s="53"/>
      <c r="C710" s="54"/>
      <c r="D710" s="54"/>
      <c r="E710" s="54"/>
      <c r="F710" s="54"/>
      <c r="G710" s="54"/>
      <c r="H710" s="54"/>
      <c r="I710" s="54"/>
      <c r="J710" s="54"/>
      <c r="K710" s="56"/>
    </row>
    <row r="711" spans="2:11" ht="21" x14ac:dyDescent="0.25">
      <c r="B711" s="57"/>
      <c r="C711" s="59"/>
      <c r="D711" s="59"/>
      <c r="E711" s="59"/>
      <c r="F711" s="59"/>
      <c r="G711" s="194" t="s">
        <v>232</v>
      </c>
      <c r="H711" s="59"/>
      <c r="I711" s="59"/>
      <c r="J711" s="59"/>
      <c r="K711" s="61"/>
    </row>
    <row r="712" spans="2:11" x14ac:dyDescent="0.2">
      <c r="B712" s="57"/>
      <c r="C712" s="59"/>
      <c r="D712" s="59"/>
      <c r="E712" s="59"/>
      <c r="F712" s="59"/>
      <c r="G712" s="59"/>
      <c r="H712" s="59"/>
      <c r="I712" s="59"/>
      <c r="J712" s="59"/>
      <c r="K712" s="61"/>
    </row>
    <row r="713" spans="2:11" ht="16" x14ac:dyDescent="0.2">
      <c r="B713" s="57"/>
      <c r="C713" s="195" t="s">
        <v>363</v>
      </c>
      <c r="D713" s="59"/>
      <c r="E713" s="59"/>
      <c r="F713" s="59"/>
      <c r="G713" s="59"/>
      <c r="H713" s="59"/>
      <c r="I713" s="59"/>
      <c r="J713" s="59"/>
      <c r="K713" s="61"/>
    </row>
    <row r="714" spans="2:11" ht="15" customHeight="1" x14ac:dyDescent="0.2">
      <c r="B714" s="57"/>
      <c r="C714" s="411" t="s">
        <v>364</v>
      </c>
      <c r="D714" s="411"/>
      <c r="E714" s="411"/>
      <c r="F714" s="411"/>
      <c r="G714" s="411"/>
      <c r="H714" s="411"/>
      <c r="I714" s="411"/>
      <c r="J714" s="411"/>
      <c r="K714" s="61"/>
    </row>
    <row r="715" spans="2:11" x14ac:dyDescent="0.2">
      <c r="B715" s="57"/>
      <c r="C715" s="411"/>
      <c r="D715" s="411"/>
      <c r="E715" s="411"/>
      <c r="F715" s="411"/>
      <c r="G715" s="411"/>
      <c r="H715" s="411"/>
      <c r="I715" s="411"/>
      <c r="J715" s="411"/>
      <c r="K715" s="61"/>
    </row>
    <row r="716" spans="2:11" x14ac:dyDescent="0.2">
      <c r="B716" s="57"/>
      <c r="C716" s="411"/>
      <c r="D716" s="411"/>
      <c r="E716" s="411"/>
      <c r="F716" s="411"/>
      <c r="G716" s="411"/>
      <c r="H716" s="411"/>
      <c r="I716" s="411"/>
      <c r="J716" s="411"/>
      <c r="K716" s="61"/>
    </row>
    <row r="717" spans="2:11" x14ac:dyDescent="0.2">
      <c r="B717" s="57"/>
      <c r="C717" s="196" t="s">
        <v>30</v>
      </c>
      <c r="D717" s="59"/>
      <c r="E717" s="59"/>
      <c r="F717" s="59"/>
      <c r="G717" s="431"/>
      <c r="H717" s="431"/>
      <c r="I717" s="59"/>
      <c r="J717" s="260" t="str">
        <f>IF(G717=$B$994,$A$994,IF(G717=$B$995,$A$995,"Not Calculated"))</f>
        <v>Not Calculated</v>
      </c>
      <c r="K717" s="61"/>
    </row>
    <row r="718" spans="2:11" x14ac:dyDescent="0.2">
      <c r="B718" s="57"/>
      <c r="C718" s="196" t="s">
        <v>32</v>
      </c>
      <c r="D718" s="59"/>
      <c r="E718" s="59"/>
      <c r="F718" s="59"/>
      <c r="G718" s="431"/>
      <c r="H718" s="431"/>
      <c r="I718" s="59"/>
      <c r="J718" s="260" t="str">
        <f t="shared" ref="J718:J725" si="0">IF(G718=$B$994,$A$994,IF(G718=$B$995,$A$995,"Not Calculated"))</f>
        <v>Not Calculated</v>
      </c>
      <c r="K718" s="61"/>
    </row>
    <row r="719" spans="2:11" x14ac:dyDescent="0.2">
      <c r="B719" s="57"/>
      <c r="C719" s="196" t="s">
        <v>34</v>
      </c>
      <c r="D719" s="59"/>
      <c r="E719" s="59"/>
      <c r="F719" s="59"/>
      <c r="G719" s="431"/>
      <c r="H719" s="431"/>
      <c r="I719" s="59"/>
      <c r="J719" s="260" t="str">
        <f t="shared" si="0"/>
        <v>Not Calculated</v>
      </c>
      <c r="K719" s="61"/>
    </row>
    <row r="720" spans="2:11" x14ac:dyDescent="0.2">
      <c r="B720" s="57"/>
      <c r="C720" s="196" t="s">
        <v>35</v>
      </c>
      <c r="D720" s="59"/>
      <c r="E720" s="59"/>
      <c r="F720" s="59"/>
      <c r="G720" s="431"/>
      <c r="H720" s="431"/>
      <c r="I720" s="59"/>
      <c r="J720" s="260" t="str">
        <f t="shared" si="0"/>
        <v>Not Calculated</v>
      </c>
      <c r="K720" s="61"/>
    </row>
    <row r="721" spans="2:11" x14ac:dyDescent="0.2">
      <c r="B721" s="57"/>
      <c r="C721" s="196" t="s">
        <v>37</v>
      </c>
      <c r="D721" s="59"/>
      <c r="E721" s="59"/>
      <c r="F721" s="59"/>
      <c r="G721" s="431"/>
      <c r="H721" s="431"/>
      <c r="I721" s="59"/>
      <c r="J721" s="260" t="str">
        <f t="shared" si="0"/>
        <v>Not Calculated</v>
      </c>
      <c r="K721" s="61"/>
    </row>
    <row r="722" spans="2:11" x14ac:dyDescent="0.2">
      <c r="B722" s="57"/>
      <c r="C722" s="196" t="s">
        <v>38</v>
      </c>
      <c r="D722" s="59"/>
      <c r="E722" s="59"/>
      <c r="F722" s="59"/>
      <c r="G722" s="431"/>
      <c r="H722" s="431"/>
      <c r="I722" s="59"/>
      <c r="J722" s="260" t="str">
        <f t="shared" si="0"/>
        <v>Not Calculated</v>
      </c>
      <c r="K722" s="61"/>
    </row>
    <row r="723" spans="2:11" x14ac:dyDescent="0.2">
      <c r="B723" s="57"/>
      <c r="C723" s="196" t="s">
        <v>40</v>
      </c>
      <c r="D723" s="59"/>
      <c r="E723" s="59"/>
      <c r="F723" s="59"/>
      <c r="G723" s="431"/>
      <c r="H723" s="431"/>
      <c r="I723" s="59"/>
      <c r="J723" s="260" t="str">
        <f t="shared" si="0"/>
        <v>Not Calculated</v>
      </c>
      <c r="K723" s="61"/>
    </row>
    <row r="724" spans="2:11" x14ac:dyDescent="0.2">
      <c r="B724" s="57"/>
      <c r="C724" s="196" t="s">
        <v>41</v>
      </c>
      <c r="D724" s="59"/>
      <c r="E724" s="59"/>
      <c r="F724" s="59"/>
      <c r="G724" s="431"/>
      <c r="H724" s="431"/>
      <c r="I724" s="59"/>
      <c r="J724" s="260" t="str">
        <f t="shared" si="0"/>
        <v>Not Calculated</v>
      </c>
      <c r="K724" s="61"/>
    </row>
    <row r="725" spans="2:11" x14ac:dyDescent="0.2">
      <c r="B725" s="57"/>
      <c r="C725" s="196" t="s">
        <v>43</v>
      </c>
      <c r="D725" s="59"/>
      <c r="E725" s="59"/>
      <c r="F725" s="59"/>
      <c r="G725" s="431"/>
      <c r="H725" s="431"/>
      <c r="I725" s="59"/>
      <c r="J725" s="260" t="str">
        <f t="shared" si="0"/>
        <v>Not Calculated</v>
      </c>
      <c r="K725" s="61"/>
    </row>
    <row r="726" spans="2:11" x14ac:dyDescent="0.2">
      <c r="B726" s="57"/>
      <c r="C726" s="59"/>
      <c r="D726" s="59"/>
      <c r="E726" s="59"/>
      <c r="F726" s="59"/>
      <c r="G726" s="59"/>
      <c r="H726" s="59"/>
      <c r="I726" s="59"/>
      <c r="J726" s="59"/>
      <c r="K726" s="61"/>
    </row>
    <row r="727" spans="2:11" x14ac:dyDescent="0.2">
      <c r="B727" s="57"/>
      <c r="C727" s="59"/>
      <c r="D727" s="59"/>
      <c r="E727" s="59"/>
      <c r="F727" s="59"/>
      <c r="G727" s="59"/>
      <c r="H727" s="59"/>
      <c r="I727" s="59"/>
      <c r="J727" s="59"/>
      <c r="K727" s="61"/>
    </row>
    <row r="728" spans="2:11" ht="16" x14ac:dyDescent="0.2">
      <c r="B728" s="57"/>
      <c r="C728" s="195" t="s">
        <v>115</v>
      </c>
      <c r="D728" s="59"/>
      <c r="E728" s="59"/>
      <c r="F728" s="59"/>
      <c r="G728" s="59"/>
      <c r="H728" s="59"/>
      <c r="I728" s="59"/>
      <c r="J728" s="59"/>
      <c r="K728" s="61"/>
    </row>
    <row r="729" spans="2:11" ht="15" customHeight="1" x14ac:dyDescent="0.2">
      <c r="B729" s="57"/>
      <c r="C729" s="411" t="s">
        <v>365</v>
      </c>
      <c r="D729" s="411"/>
      <c r="E729" s="411"/>
      <c r="F729" s="411"/>
      <c r="G729" s="411"/>
      <c r="H729" s="411"/>
      <c r="I729" s="411"/>
      <c r="J729" s="411"/>
      <c r="K729" s="61"/>
    </row>
    <row r="730" spans="2:11" x14ac:dyDescent="0.2">
      <c r="B730" s="57"/>
      <c r="C730" s="411"/>
      <c r="D730" s="411"/>
      <c r="E730" s="411"/>
      <c r="F730" s="411"/>
      <c r="G730" s="411"/>
      <c r="H730" s="411"/>
      <c r="I730" s="411"/>
      <c r="J730" s="411"/>
      <c r="K730" s="61"/>
    </row>
    <row r="731" spans="2:11" x14ac:dyDescent="0.2">
      <c r="B731" s="57"/>
      <c r="C731" s="411"/>
      <c r="D731" s="411"/>
      <c r="E731" s="411"/>
      <c r="F731" s="411"/>
      <c r="G731" s="411"/>
      <c r="H731" s="411"/>
      <c r="I731" s="411"/>
      <c r="J731" s="411"/>
      <c r="K731" s="61"/>
    </row>
    <row r="732" spans="2:11" x14ac:dyDescent="0.2">
      <c r="B732" s="57"/>
      <c r="C732" s="196" t="s">
        <v>30</v>
      </c>
      <c r="D732" s="59"/>
      <c r="E732" s="59"/>
      <c r="F732" s="59"/>
      <c r="G732" s="431"/>
      <c r="H732" s="431"/>
      <c r="I732" s="59"/>
      <c r="J732" s="260" t="str">
        <f>IF(G732=$B$994,$A$994,IF(G732=$B$995,$A$995,"Not Calculated"))</f>
        <v>Not Calculated</v>
      </c>
      <c r="K732" s="61"/>
    </row>
    <row r="733" spans="2:11" x14ac:dyDescent="0.2">
      <c r="B733" s="57"/>
      <c r="C733" s="196" t="s">
        <v>32</v>
      </c>
      <c r="D733" s="59"/>
      <c r="E733" s="59"/>
      <c r="F733" s="59"/>
      <c r="G733" s="431"/>
      <c r="H733" s="431"/>
      <c r="I733" s="59"/>
      <c r="J733" s="260" t="str">
        <f t="shared" ref="J733:J740" si="1">IF(G733=$B$994,$A$994,IF(G733=$B$995,$A$995,"Not Calculated"))</f>
        <v>Not Calculated</v>
      </c>
      <c r="K733" s="61"/>
    </row>
    <row r="734" spans="2:11" ht="15" customHeight="1" x14ac:dyDescent="0.2">
      <c r="B734" s="57"/>
      <c r="C734" s="196" t="s">
        <v>34</v>
      </c>
      <c r="D734" s="59"/>
      <c r="E734" s="59"/>
      <c r="F734" s="59"/>
      <c r="G734" s="431"/>
      <c r="H734" s="431"/>
      <c r="I734" s="59"/>
      <c r="J734" s="260" t="str">
        <f t="shared" si="1"/>
        <v>Not Calculated</v>
      </c>
      <c r="K734" s="61"/>
    </row>
    <row r="735" spans="2:11" x14ac:dyDescent="0.2">
      <c r="B735" s="57"/>
      <c r="C735" s="196" t="s">
        <v>35</v>
      </c>
      <c r="D735" s="59"/>
      <c r="E735" s="59"/>
      <c r="F735" s="59"/>
      <c r="G735" s="431"/>
      <c r="H735" s="431"/>
      <c r="I735" s="59"/>
      <c r="J735" s="260" t="str">
        <f t="shared" si="1"/>
        <v>Not Calculated</v>
      </c>
      <c r="K735" s="61"/>
    </row>
    <row r="736" spans="2:11" x14ac:dyDescent="0.2">
      <c r="B736" s="57"/>
      <c r="C736" s="196" t="s">
        <v>37</v>
      </c>
      <c r="D736" s="59"/>
      <c r="E736" s="59"/>
      <c r="F736" s="59"/>
      <c r="G736" s="431"/>
      <c r="H736" s="431"/>
      <c r="I736" s="59"/>
      <c r="J736" s="260" t="str">
        <f t="shared" si="1"/>
        <v>Not Calculated</v>
      </c>
      <c r="K736" s="61"/>
    </row>
    <row r="737" spans="2:11" x14ac:dyDescent="0.2">
      <c r="B737" s="57"/>
      <c r="C737" s="196" t="s">
        <v>38</v>
      </c>
      <c r="D737" s="59"/>
      <c r="E737" s="59"/>
      <c r="F737" s="59"/>
      <c r="G737" s="431"/>
      <c r="H737" s="431"/>
      <c r="I737" s="59"/>
      <c r="J737" s="260" t="str">
        <f t="shared" si="1"/>
        <v>Not Calculated</v>
      </c>
      <c r="K737" s="61"/>
    </row>
    <row r="738" spans="2:11" x14ac:dyDescent="0.2">
      <c r="B738" s="57"/>
      <c r="C738" s="196" t="s">
        <v>40</v>
      </c>
      <c r="D738" s="59"/>
      <c r="E738" s="59"/>
      <c r="F738" s="59"/>
      <c r="G738" s="431"/>
      <c r="H738" s="431"/>
      <c r="I738" s="59"/>
      <c r="J738" s="260" t="str">
        <f t="shared" si="1"/>
        <v>Not Calculated</v>
      </c>
      <c r="K738" s="61"/>
    </row>
    <row r="739" spans="2:11" x14ac:dyDescent="0.2">
      <c r="B739" s="57"/>
      <c r="C739" s="196" t="s">
        <v>41</v>
      </c>
      <c r="D739" s="59"/>
      <c r="E739" s="59"/>
      <c r="F739" s="59"/>
      <c r="G739" s="431"/>
      <c r="H739" s="431"/>
      <c r="I739" s="59"/>
      <c r="J739" s="260" t="str">
        <f t="shared" si="1"/>
        <v>Not Calculated</v>
      </c>
      <c r="K739" s="61"/>
    </row>
    <row r="740" spans="2:11" x14ac:dyDescent="0.2">
      <c r="B740" s="57"/>
      <c r="C740" s="196" t="s">
        <v>43</v>
      </c>
      <c r="D740" s="59"/>
      <c r="E740" s="59"/>
      <c r="F740" s="59"/>
      <c r="G740" s="431"/>
      <c r="H740" s="431"/>
      <c r="I740" s="59"/>
      <c r="J740" s="260" t="str">
        <f t="shared" si="1"/>
        <v>Not Calculated</v>
      </c>
      <c r="K740" s="61"/>
    </row>
    <row r="741" spans="2:11" x14ac:dyDescent="0.2">
      <c r="B741" s="57"/>
      <c r="C741" s="59"/>
      <c r="D741" s="59"/>
      <c r="E741" s="59"/>
      <c r="F741" s="59"/>
      <c r="G741" s="59"/>
      <c r="H741" s="59"/>
      <c r="I741" s="59"/>
      <c r="J741" s="59"/>
      <c r="K741" s="61"/>
    </row>
    <row r="742" spans="2:11" x14ac:dyDescent="0.2">
      <c r="B742" s="57"/>
      <c r="C742" s="59"/>
      <c r="D742" s="59"/>
      <c r="E742" s="59"/>
      <c r="F742" s="59"/>
      <c r="G742" s="59"/>
      <c r="H742" s="59"/>
      <c r="I742" s="59"/>
      <c r="J742" s="59"/>
      <c r="K742" s="61"/>
    </row>
    <row r="743" spans="2:11" ht="16" x14ac:dyDescent="0.2">
      <c r="B743" s="57"/>
      <c r="C743" s="195" t="s">
        <v>366</v>
      </c>
      <c r="D743" s="59"/>
      <c r="E743" s="59"/>
      <c r="F743" s="59"/>
      <c r="G743" s="59"/>
      <c r="H743" s="59"/>
      <c r="I743" s="59"/>
      <c r="J743" s="59"/>
      <c r="K743" s="61"/>
    </row>
    <row r="744" spans="2:11" ht="15" customHeight="1" x14ac:dyDescent="0.2">
      <c r="B744" s="57"/>
      <c r="C744" s="411" t="s">
        <v>367</v>
      </c>
      <c r="D744" s="411"/>
      <c r="E744" s="411"/>
      <c r="F744" s="411"/>
      <c r="G744" s="411"/>
      <c r="H744" s="411"/>
      <c r="I744" s="411"/>
      <c r="J744" s="411"/>
      <c r="K744" s="61"/>
    </row>
    <row r="745" spans="2:11" x14ac:dyDescent="0.2">
      <c r="B745" s="57"/>
      <c r="C745" s="411"/>
      <c r="D745" s="411"/>
      <c r="E745" s="411"/>
      <c r="F745" s="411"/>
      <c r="G745" s="411"/>
      <c r="H745" s="411"/>
      <c r="I745" s="411"/>
      <c r="J745" s="411"/>
      <c r="K745" s="61"/>
    </row>
    <row r="746" spans="2:11" x14ac:dyDescent="0.2">
      <c r="B746" s="57"/>
      <c r="C746" s="411"/>
      <c r="D746" s="411"/>
      <c r="E746" s="411"/>
      <c r="F746" s="411"/>
      <c r="G746" s="411"/>
      <c r="H746" s="411"/>
      <c r="I746" s="411"/>
      <c r="J746" s="411"/>
      <c r="K746" s="61"/>
    </row>
    <row r="747" spans="2:11" x14ac:dyDescent="0.2">
      <c r="B747" s="57"/>
      <c r="C747" s="196" t="s">
        <v>30</v>
      </c>
      <c r="D747" s="59"/>
      <c r="E747" s="59"/>
      <c r="F747" s="59"/>
      <c r="G747" s="431"/>
      <c r="H747" s="431"/>
      <c r="I747" s="59"/>
      <c r="J747" s="260" t="str">
        <f>IF(G747=$B$994,$A$994,IF(G747=$B$995,$A$995,"Not Calculated"))</f>
        <v>Not Calculated</v>
      </c>
      <c r="K747" s="61"/>
    </row>
    <row r="748" spans="2:11" x14ac:dyDescent="0.2">
      <c r="B748" s="57"/>
      <c r="C748" s="196" t="s">
        <v>32</v>
      </c>
      <c r="D748" s="59"/>
      <c r="E748" s="59"/>
      <c r="F748" s="59"/>
      <c r="G748" s="431"/>
      <c r="H748" s="431"/>
      <c r="I748" s="59"/>
      <c r="J748" s="260" t="str">
        <f t="shared" ref="J748:J755" si="2">IF(G748=$B$994,$A$994,IF(G748=$B$995,$A$995,"Not Calculated"))</f>
        <v>Not Calculated</v>
      </c>
      <c r="K748" s="61"/>
    </row>
    <row r="749" spans="2:11" ht="15" customHeight="1" x14ac:dyDescent="0.2">
      <c r="B749" s="57"/>
      <c r="C749" s="196" t="s">
        <v>34</v>
      </c>
      <c r="D749" s="59"/>
      <c r="E749" s="59"/>
      <c r="F749" s="59"/>
      <c r="G749" s="431"/>
      <c r="H749" s="431"/>
      <c r="I749" s="59"/>
      <c r="J749" s="260" t="str">
        <f t="shared" si="2"/>
        <v>Not Calculated</v>
      </c>
      <c r="K749" s="61"/>
    </row>
    <row r="750" spans="2:11" x14ac:dyDescent="0.2">
      <c r="B750" s="57"/>
      <c r="C750" s="196" t="s">
        <v>35</v>
      </c>
      <c r="D750" s="59"/>
      <c r="E750" s="59"/>
      <c r="F750" s="59"/>
      <c r="G750" s="431"/>
      <c r="H750" s="431"/>
      <c r="I750" s="59"/>
      <c r="J750" s="260" t="str">
        <f t="shared" si="2"/>
        <v>Not Calculated</v>
      </c>
      <c r="K750" s="61"/>
    </row>
    <row r="751" spans="2:11" x14ac:dyDescent="0.2">
      <c r="B751" s="57"/>
      <c r="C751" s="196" t="s">
        <v>37</v>
      </c>
      <c r="D751" s="59"/>
      <c r="E751" s="59"/>
      <c r="F751" s="59"/>
      <c r="G751" s="431"/>
      <c r="H751" s="431"/>
      <c r="I751" s="59"/>
      <c r="J751" s="260" t="str">
        <f t="shared" si="2"/>
        <v>Not Calculated</v>
      </c>
      <c r="K751" s="61"/>
    </row>
    <row r="752" spans="2:11" x14ac:dyDescent="0.2">
      <c r="B752" s="57"/>
      <c r="C752" s="196" t="s">
        <v>38</v>
      </c>
      <c r="D752" s="59"/>
      <c r="E752" s="59"/>
      <c r="F752" s="59"/>
      <c r="G752" s="431"/>
      <c r="H752" s="431"/>
      <c r="I752" s="59"/>
      <c r="J752" s="260" t="str">
        <f t="shared" si="2"/>
        <v>Not Calculated</v>
      </c>
      <c r="K752" s="61"/>
    </row>
    <row r="753" spans="2:11" x14ac:dyDescent="0.2">
      <c r="B753" s="57"/>
      <c r="C753" s="196" t="s">
        <v>40</v>
      </c>
      <c r="D753" s="59"/>
      <c r="E753" s="59"/>
      <c r="F753" s="59"/>
      <c r="G753" s="431"/>
      <c r="H753" s="431"/>
      <c r="I753" s="59"/>
      <c r="J753" s="260" t="str">
        <f t="shared" si="2"/>
        <v>Not Calculated</v>
      </c>
      <c r="K753" s="61"/>
    </row>
    <row r="754" spans="2:11" x14ac:dyDescent="0.2">
      <c r="B754" s="57"/>
      <c r="C754" s="196" t="s">
        <v>41</v>
      </c>
      <c r="D754" s="59"/>
      <c r="E754" s="59"/>
      <c r="F754" s="59"/>
      <c r="G754" s="431"/>
      <c r="H754" s="431"/>
      <c r="I754" s="59"/>
      <c r="J754" s="260" t="str">
        <f t="shared" si="2"/>
        <v>Not Calculated</v>
      </c>
      <c r="K754" s="61"/>
    </row>
    <row r="755" spans="2:11" x14ac:dyDescent="0.2">
      <c r="B755" s="57"/>
      <c r="C755" s="196" t="s">
        <v>43</v>
      </c>
      <c r="D755" s="59"/>
      <c r="E755" s="59"/>
      <c r="F755" s="59"/>
      <c r="G755" s="431"/>
      <c r="H755" s="431"/>
      <c r="I755" s="59"/>
      <c r="J755" s="260" t="str">
        <f t="shared" si="2"/>
        <v>Not Calculated</v>
      </c>
      <c r="K755" s="61"/>
    </row>
    <row r="756" spans="2:11" x14ac:dyDescent="0.2">
      <c r="B756" s="57"/>
      <c r="C756" s="59"/>
      <c r="D756" s="59"/>
      <c r="E756" s="59"/>
      <c r="F756" s="59"/>
      <c r="G756" s="59"/>
      <c r="H756" s="59"/>
      <c r="I756" s="59"/>
      <c r="J756" s="59"/>
      <c r="K756" s="61"/>
    </row>
    <row r="757" spans="2:11" x14ac:dyDescent="0.2">
      <c r="B757" s="57"/>
      <c r="C757" s="59"/>
      <c r="D757" s="59"/>
      <c r="E757" s="59"/>
      <c r="F757" s="59"/>
      <c r="G757" s="59"/>
      <c r="H757" s="59"/>
      <c r="I757" s="59"/>
      <c r="J757" s="59"/>
      <c r="K757" s="61"/>
    </row>
    <row r="758" spans="2:11" ht="16" x14ac:dyDescent="0.2">
      <c r="B758" s="57"/>
      <c r="C758" s="195" t="s">
        <v>368</v>
      </c>
      <c r="D758" s="59"/>
      <c r="E758" s="59"/>
      <c r="F758" s="59"/>
      <c r="G758" s="59"/>
      <c r="H758" s="59"/>
      <c r="I758" s="59"/>
      <c r="J758" s="59"/>
      <c r="K758" s="61"/>
    </row>
    <row r="759" spans="2:11" ht="15" customHeight="1" x14ac:dyDescent="0.2">
      <c r="B759" s="57"/>
      <c r="C759" s="411" t="s">
        <v>369</v>
      </c>
      <c r="D759" s="411"/>
      <c r="E759" s="411"/>
      <c r="F759" s="411"/>
      <c r="G759" s="411"/>
      <c r="H759" s="411"/>
      <c r="I759" s="411"/>
      <c r="J759" s="411"/>
      <c r="K759" s="61"/>
    </row>
    <row r="760" spans="2:11" x14ac:dyDescent="0.2">
      <c r="B760" s="57"/>
      <c r="C760" s="411"/>
      <c r="D760" s="411"/>
      <c r="E760" s="411"/>
      <c r="F760" s="411"/>
      <c r="G760" s="411"/>
      <c r="H760" s="411"/>
      <c r="I760" s="411"/>
      <c r="J760" s="411"/>
      <c r="K760" s="61"/>
    </row>
    <row r="761" spans="2:11" x14ac:dyDescent="0.2">
      <c r="B761" s="57"/>
      <c r="C761" s="411"/>
      <c r="D761" s="411"/>
      <c r="E761" s="411"/>
      <c r="F761" s="411"/>
      <c r="G761" s="411"/>
      <c r="H761" s="411"/>
      <c r="I761" s="411"/>
      <c r="J761" s="411"/>
      <c r="K761" s="61"/>
    </row>
    <row r="762" spans="2:11" x14ac:dyDescent="0.2">
      <c r="B762" s="57"/>
      <c r="C762" s="196" t="s">
        <v>30</v>
      </c>
      <c r="D762" s="59"/>
      <c r="E762" s="59"/>
      <c r="F762" s="59"/>
      <c r="G762" s="431"/>
      <c r="H762" s="431"/>
      <c r="I762" s="59"/>
      <c r="J762" s="260" t="str">
        <f>IF(G762=$B$994,$A$994,IF(G762=$B$995,$A$995,"Not Calculated"))</f>
        <v>Not Calculated</v>
      </c>
      <c r="K762" s="61"/>
    </row>
    <row r="763" spans="2:11" x14ac:dyDescent="0.2">
      <c r="B763" s="57"/>
      <c r="C763" s="196" t="s">
        <v>32</v>
      </c>
      <c r="D763" s="59"/>
      <c r="E763" s="59"/>
      <c r="F763" s="59"/>
      <c r="G763" s="431"/>
      <c r="H763" s="431"/>
      <c r="I763" s="59"/>
      <c r="J763" s="260" t="str">
        <f t="shared" ref="J763:J770" si="3">IF(G763=$B$994,$A$994,IF(G763=$B$995,$A$995,"Not Calculated"))</f>
        <v>Not Calculated</v>
      </c>
      <c r="K763" s="61"/>
    </row>
    <row r="764" spans="2:11" ht="15" customHeight="1" x14ac:dyDescent="0.2">
      <c r="B764" s="57"/>
      <c r="C764" s="196" t="s">
        <v>34</v>
      </c>
      <c r="D764" s="59"/>
      <c r="E764" s="59"/>
      <c r="F764" s="59"/>
      <c r="G764" s="431"/>
      <c r="H764" s="431"/>
      <c r="I764" s="59"/>
      <c r="J764" s="260" t="str">
        <f t="shared" si="3"/>
        <v>Not Calculated</v>
      </c>
      <c r="K764" s="61"/>
    </row>
    <row r="765" spans="2:11" x14ac:dyDescent="0.2">
      <c r="B765" s="57"/>
      <c r="C765" s="196" t="s">
        <v>35</v>
      </c>
      <c r="D765" s="59"/>
      <c r="E765" s="59"/>
      <c r="F765" s="59"/>
      <c r="G765" s="431"/>
      <c r="H765" s="431"/>
      <c r="I765" s="59"/>
      <c r="J765" s="260" t="str">
        <f t="shared" si="3"/>
        <v>Not Calculated</v>
      </c>
      <c r="K765" s="61"/>
    </row>
    <row r="766" spans="2:11" x14ac:dyDescent="0.2">
      <c r="B766" s="57"/>
      <c r="C766" s="196" t="s">
        <v>37</v>
      </c>
      <c r="D766" s="59"/>
      <c r="E766" s="59"/>
      <c r="F766" s="59"/>
      <c r="G766" s="431"/>
      <c r="H766" s="431"/>
      <c r="I766" s="59"/>
      <c r="J766" s="260" t="str">
        <f t="shared" si="3"/>
        <v>Not Calculated</v>
      </c>
      <c r="K766" s="61"/>
    </row>
    <row r="767" spans="2:11" x14ac:dyDescent="0.2">
      <c r="B767" s="57"/>
      <c r="C767" s="196" t="s">
        <v>38</v>
      </c>
      <c r="D767" s="59"/>
      <c r="E767" s="59"/>
      <c r="F767" s="59"/>
      <c r="G767" s="431"/>
      <c r="H767" s="431"/>
      <c r="I767" s="59"/>
      <c r="J767" s="260" t="str">
        <f t="shared" si="3"/>
        <v>Not Calculated</v>
      </c>
      <c r="K767" s="61"/>
    </row>
    <row r="768" spans="2:11" x14ac:dyDescent="0.2">
      <c r="B768" s="57"/>
      <c r="C768" s="196" t="s">
        <v>40</v>
      </c>
      <c r="D768" s="59"/>
      <c r="E768" s="59"/>
      <c r="F768" s="59"/>
      <c r="G768" s="431"/>
      <c r="H768" s="431"/>
      <c r="I768" s="59"/>
      <c r="J768" s="260" t="str">
        <f t="shared" si="3"/>
        <v>Not Calculated</v>
      </c>
      <c r="K768" s="61"/>
    </row>
    <row r="769" spans="2:11" x14ac:dyDescent="0.2">
      <c r="B769" s="57"/>
      <c r="C769" s="196" t="s">
        <v>41</v>
      </c>
      <c r="D769" s="59"/>
      <c r="E769" s="59"/>
      <c r="F769" s="59"/>
      <c r="G769" s="431"/>
      <c r="H769" s="431"/>
      <c r="I769" s="59"/>
      <c r="J769" s="260" t="str">
        <f t="shared" si="3"/>
        <v>Not Calculated</v>
      </c>
      <c r="K769" s="61"/>
    </row>
    <row r="770" spans="2:11" x14ac:dyDescent="0.2">
      <c r="B770" s="57"/>
      <c r="C770" s="196" t="s">
        <v>43</v>
      </c>
      <c r="D770" s="59"/>
      <c r="E770" s="59"/>
      <c r="F770" s="59"/>
      <c r="G770" s="431"/>
      <c r="H770" s="431"/>
      <c r="I770" s="59"/>
      <c r="J770" s="260" t="str">
        <f t="shared" si="3"/>
        <v>Not Calculated</v>
      </c>
      <c r="K770" s="61"/>
    </row>
    <row r="771" spans="2:11" x14ac:dyDescent="0.2">
      <c r="B771" s="57"/>
      <c r="C771" s="59"/>
      <c r="D771" s="59"/>
      <c r="E771" s="59"/>
      <c r="F771" s="59"/>
      <c r="G771" s="59"/>
      <c r="H771" s="59"/>
      <c r="I771" s="59"/>
      <c r="J771" s="59"/>
      <c r="K771" s="61"/>
    </row>
    <row r="772" spans="2:11" x14ac:dyDescent="0.2">
      <c r="B772" s="57"/>
      <c r="C772" s="59"/>
      <c r="D772" s="59"/>
      <c r="E772" s="59"/>
      <c r="F772" s="59"/>
      <c r="G772" s="59"/>
      <c r="H772" s="59"/>
      <c r="I772" s="59"/>
      <c r="J772" s="59"/>
      <c r="K772" s="61"/>
    </row>
    <row r="773" spans="2:11" ht="16" x14ac:dyDescent="0.2">
      <c r="B773" s="57"/>
      <c r="C773" s="197" t="s">
        <v>30</v>
      </c>
      <c r="D773" s="59"/>
      <c r="E773" s="59"/>
      <c r="F773" s="59"/>
      <c r="G773" s="59"/>
      <c r="H773" s="59"/>
      <c r="I773" s="59"/>
      <c r="J773" s="59"/>
      <c r="K773" s="61"/>
    </row>
    <row r="774" spans="2:11" x14ac:dyDescent="0.2">
      <c r="B774" s="57"/>
      <c r="C774" s="59"/>
      <c r="D774" s="59" t="s">
        <v>370</v>
      </c>
      <c r="E774" s="59"/>
      <c r="F774" s="59"/>
      <c r="G774" s="59"/>
      <c r="H774" s="59"/>
      <c r="I774" s="59"/>
      <c r="J774" s="60">
        <f>'Baseline At-Risk Pops'!H8</f>
        <v>0</v>
      </c>
      <c r="K774" s="61"/>
    </row>
    <row r="775" spans="2:11" x14ac:dyDescent="0.2">
      <c r="B775" s="57"/>
      <c r="C775" s="59"/>
      <c r="D775" s="59" t="s">
        <v>371</v>
      </c>
      <c r="E775" s="59"/>
      <c r="F775" s="59"/>
      <c r="G775" s="59"/>
      <c r="H775" s="59"/>
      <c r="I775" s="59"/>
      <c r="J775" s="60">
        <f>SUM(J717,J732,J747,J762)</f>
        <v>0</v>
      </c>
      <c r="K775" s="61"/>
    </row>
    <row r="776" spans="2:11" x14ac:dyDescent="0.2">
      <c r="B776" s="57"/>
      <c r="C776" s="59"/>
      <c r="D776" s="196" t="s">
        <v>372</v>
      </c>
      <c r="E776" s="59"/>
      <c r="F776" s="59"/>
      <c r="G776" s="59"/>
      <c r="H776" s="59"/>
      <c r="I776" s="59"/>
      <c r="J776" s="60">
        <f>AVERAGE(J774,J775)</f>
        <v>0</v>
      </c>
      <c r="K776" s="61"/>
    </row>
    <row r="777" spans="2:11" ht="16" x14ac:dyDescent="0.2">
      <c r="B777" s="57"/>
      <c r="C777" s="197" t="s">
        <v>32</v>
      </c>
      <c r="D777" s="59"/>
      <c r="E777" s="59"/>
      <c r="F777" s="59"/>
      <c r="G777" s="59"/>
      <c r="H777" s="59"/>
      <c r="I777" s="59"/>
      <c r="J777" s="60"/>
      <c r="K777" s="61"/>
    </row>
    <row r="778" spans="2:11" x14ac:dyDescent="0.2">
      <c r="B778" s="57"/>
      <c r="C778" s="59"/>
      <c r="D778" s="59" t="s">
        <v>370</v>
      </c>
      <c r="E778" s="59"/>
      <c r="F778" s="59"/>
      <c r="G778" s="59"/>
      <c r="H778" s="59"/>
      <c r="I778" s="59"/>
      <c r="J778" s="60">
        <f>'Baseline At-Risk Pops'!H14</f>
        <v>0</v>
      </c>
      <c r="K778" s="61"/>
    </row>
    <row r="779" spans="2:11" ht="15" customHeight="1" x14ac:dyDescent="0.2">
      <c r="B779" s="57"/>
      <c r="C779" s="59"/>
      <c r="D779" s="59" t="s">
        <v>371</v>
      </c>
      <c r="E779" s="59"/>
      <c r="F779" s="59"/>
      <c r="G779" s="59"/>
      <c r="H779" s="59"/>
      <c r="I779" s="59"/>
      <c r="J779" s="60">
        <f>SUM(J718,J733,J748,J763)</f>
        <v>0</v>
      </c>
      <c r="K779" s="61"/>
    </row>
    <row r="780" spans="2:11" x14ac:dyDescent="0.2">
      <c r="B780" s="57"/>
      <c r="C780" s="59"/>
      <c r="D780" s="196" t="s">
        <v>372</v>
      </c>
      <c r="E780" s="59"/>
      <c r="F780" s="59"/>
      <c r="G780" s="59"/>
      <c r="H780" s="59"/>
      <c r="I780" s="59"/>
      <c r="J780" s="60">
        <f>AVERAGE(J778,J779)</f>
        <v>0</v>
      </c>
      <c r="K780" s="61"/>
    </row>
    <row r="781" spans="2:11" ht="16" x14ac:dyDescent="0.2">
      <c r="B781" s="57"/>
      <c r="C781" s="197" t="s">
        <v>34</v>
      </c>
      <c r="D781" s="59"/>
      <c r="E781" s="59"/>
      <c r="F781" s="59"/>
      <c r="G781" s="59"/>
      <c r="H781" s="59"/>
      <c r="I781" s="59"/>
      <c r="J781" s="60"/>
      <c r="K781" s="61"/>
    </row>
    <row r="782" spans="2:11" ht="16" x14ac:dyDescent="0.2">
      <c r="B782" s="57"/>
      <c r="C782" s="197"/>
      <c r="D782" s="59" t="s">
        <v>370</v>
      </c>
      <c r="E782" s="59"/>
      <c r="F782" s="59"/>
      <c r="G782" s="59"/>
      <c r="H782" s="59"/>
      <c r="I782" s="59"/>
      <c r="J782" s="60">
        <f>'Baseline At-Risk Pops'!H21</f>
        <v>0</v>
      </c>
      <c r="K782" s="61"/>
    </row>
    <row r="783" spans="2:11" x14ac:dyDescent="0.2">
      <c r="B783" s="57"/>
      <c r="C783" s="59"/>
      <c r="D783" s="59" t="s">
        <v>371</v>
      </c>
      <c r="E783" s="59"/>
      <c r="F783" s="59"/>
      <c r="G783" s="59"/>
      <c r="H783" s="59"/>
      <c r="I783" s="59"/>
      <c r="J783" s="60">
        <f>SUM(J719,J734,J749,J764)</f>
        <v>0</v>
      </c>
      <c r="K783" s="61"/>
    </row>
    <row r="784" spans="2:11" x14ac:dyDescent="0.2">
      <c r="B784" s="57"/>
      <c r="C784" s="59"/>
      <c r="D784" s="196" t="s">
        <v>372</v>
      </c>
      <c r="E784" s="59"/>
      <c r="F784" s="59"/>
      <c r="G784" s="59"/>
      <c r="H784" s="59"/>
      <c r="I784" s="59"/>
      <c r="J784" s="60">
        <f>AVERAGE(J782,J783)</f>
        <v>0</v>
      </c>
      <c r="K784" s="61"/>
    </row>
    <row r="785" spans="2:11" ht="16" x14ac:dyDescent="0.2">
      <c r="B785" s="57"/>
      <c r="C785" s="197" t="s">
        <v>35</v>
      </c>
      <c r="D785" s="59"/>
      <c r="E785" s="59"/>
      <c r="F785" s="59"/>
      <c r="G785" s="59"/>
      <c r="H785" s="59"/>
      <c r="I785" s="59"/>
      <c r="J785" s="60"/>
      <c r="K785" s="61"/>
    </row>
    <row r="786" spans="2:11" x14ac:dyDescent="0.2">
      <c r="B786" s="57"/>
      <c r="C786" s="59"/>
      <c r="D786" s="59" t="s">
        <v>370</v>
      </c>
      <c r="E786" s="59"/>
      <c r="F786" s="59"/>
      <c r="G786" s="59"/>
      <c r="H786" s="59"/>
      <c r="I786" s="59"/>
      <c r="J786" s="60">
        <f>'Baseline At-Risk Pops'!H27</f>
        <v>0</v>
      </c>
      <c r="K786" s="61"/>
    </row>
    <row r="787" spans="2:11" x14ac:dyDescent="0.2">
      <c r="B787" s="57"/>
      <c r="C787" s="59"/>
      <c r="D787" s="59" t="s">
        <v>371</v>
      </c>
      <c r="E787" s="59"/>
      <c r="F787" s="59"/>
      <c r="G787" s="59"/>
      <c r="H787" s="59"/>
      <c r="I787" s="59"/>
      <c r="J787" s="60">
        <f>SUM(J720,J735,J750,J765)</f>
        <v>0</v>
      </c>
      <c r="K787" s="61"/>
    </row>
    <row r="788" spans="2:11" x14ac:dyDescent="0.2">
      <c r="B788" s="57"/>
      <c r="C788" s="59"/>
      <c r="D788" s="196" t="s">
        <v>372</v>
      </c>
      <c r="E788" s="59"/>
      <c r="F788" s="59"/>
      <c r="G788" s="59"/>
      <c r="H788" s="59"/>
      <c r="I788" s="59"/>
      <c r="J788" s="60">
        <f>AVERAGE(J786,J787)</f>
        <v>0</v>
      </c>
      <c r="K788" s="61"/>
    </row>
    <row r="789" spans="2:11" ht="16" x14ac:dyDescent="0.2">
      <c r="B789" s="57"/>
      <c r="C789" s="197" t="s">
        <v>37</v>
      </c>
      <c r="D789" s="59"/>
      <c r="E789" s="59"/>
      <c r="F789" s="59"/>
      <c r="G789" s="59"/>
      <c r="H789" s="59"/>
      <c r="I789" s="59"/>
      <c r="J789" s="60"/>
      <c r="K789" s="61"/>
    </row>
    <row r="790" spans="2:11" x14ac:dyDescent="0.2">
      <c r="B790" s="57"/>
      <c r="C790" s="59"/>
      <c r="D790" s="59" t="s">
        <v>370</v>
      </c>
      <c r="E790" s="59"/>
      <c r="F790" s="59"/>
      <c r="G790" s="59"/>
      <c r="H790" s="59"/>
      <c r="I790" s="59"/>
      <c r="J790" s="60">
        <f>'Baseline At-Risk Pops'!H34</f>
        <v>0</v>
      </c>
      <c r="K790" s="61"/>
    </row>
    <row r="791" spans="2:11" x14ac:dyDescent="0.2">
      <c r="B791" s="57"/>
      <c r="C791" s="59"/>
      <c r="D791" s="59" t="s">
        <v>371</v>
      </c>
      <c r="E791" s="59"/>
      <c r="F791" s="59"/>
      <c r="G791" s="59"/>
      <c r="H791" s="59"/>
      <c r="I791" s="59"/>
      <c r="J791" s="60">
        <f>SUM(J721,J736,J751,J766)</f>
        <v>0</v>
      </c>
      <c r="K791" s="61"/>
    </row>
    <row r="792" spans="2:11" x14ac:dyDescent="0.2">
      <c r="B792" s="57"/>
      <c r="C792" s="59"/>
      <c r="D792" s="196" t="s">
        <v>372</v>
      </c>
      <c r="E792" s="59"/>
      <c r="F792" s="59"/>
      <c r="G792" s="59"/>
      <c r="H792" s="59"/>
      <c r="I792" s="59"/>
      <c r="J792" s="60">
        <f>AVERAGE(J790,J791)</f>
        <v>0</v>
      </c>
      <c r="K792" s="61"/>
    </row>
    <row r="793" spans="2:11" ht="16" x14ac:dyDescent="0.2">
      <c r="B793" s="57"/>
      <c r="C793" s="197" t="s">
        <v>38</v>
      </c>
      <c r="D793" s="59"/>
      <c r="E793" s="59"/>
      <c r="F793" s="59"/>
      <c r="G793" s="59"/>
      <c r="H793" s="59"/>
      <c r="I793" s="59"/>
      <c r="J793" s="60"/>
      <c r="K793" s="61"/>
    </row>
    <row r="794" spans="2:11" x14ac:dyDescent="0.2">
      <c r="B794" s="57"/>
      <c r="C794" s="59"/>
      <c r="D794" s="59" t="s">
        <v>370</v>
      </c>
      <c r="E794" s="59"/>
      <c r="F794" s="59"/>
      <c r="G794" s="59"/>
      <c r="H794" s="59"/>
      <c r="I794" s="59"/>
      <c r="J794" s="60">
        <f>'Baseline At-Risk Pops'!H40</f>
        <v>0</v>
      </c>
      <c r="K794" s="61"/>
    </row>
    <row r="795" spans="2:11" x14ac:dyDescent="0.2">
      <c r="B795" s="57"/>
      <c r="C795" s="59"/>
      <c r="D795" s="59" t="s">
        <v>371</v>
      </c>
      <c r="E795" s="59"/>
      <c r="F795" s="59"/>
      <c r="G795" s="59"/>
      <c r="H795" s="59"/>
      <c r="I795" s="59"/>
      <c r="J795" s="60">
        <f>SUM(J722,J737,J752,J767)</f>
        <v>0</v>
      </c>
      <c r="K795" s="61"/>
    </row>
    <row r="796" spans="2:11" x14ac:dyDescent="0.2">
      <c r="B796" s="57"/>
      <c r="C796" s="59"/>
      <c r="D796" s="196" t="s">
        <v>372</v>
      </c>
      <c r="E796" s="59"/>
      <c r="F796" s="59"/>
      <c r="G796" s="59"/>
      <c r="H796" s="59"/>
      <c r="I796" s="59"/>
      <c r="J796" s="60">
        <f>AVERAGE(J794,J795)</f>
        <v>0</v>
      </c>
      <c r="K796" s="61"/>
    </row>
    <row r="797" spans="2:11" ht="16" x14ac:dyDescent="0.2">
      <c r="B797" s="57"/>
      <c r="C797" s="197" t="s">
        <v>40</v>
      </c>
      <c r="D797" s="59"/>
      <c r="E797" s="59"/>
      <c r="F797" s="59"/>
      <c r="G797" s="59"/>
      <c r="H797" s="59"/>
      <c r="I797" s="59"/>
      <c r="J797" s="60"/>
      <c r="K797" s="61"/>
    </row>
    <row r="798" spans="2:11" x14ac:dyDescent="0.2">
      <c r="B798" s="57"/>
      <c r="C798" s="59"/>
      <c r="D798" s="59" t="s">
        <v>370</v>
      </c>
      <c r="E798" s="59"/>
      <c r="F798" s="59"/>
      <c r="G798" s="59"/>
      <c r="H798" s="59"/>
      <c r="I798" s="59"/>
      <c r="J798" s="60">
        <f>'Baseline At-Risk Pops'!H46</f>
        <v>0</v>
      </c>
      <c r="K798" s="61"/>
    </row>
    <row r="799" spans="2:11" x14ac:dyDescent="0.2">
      <c r="B799" s="57"/>
      <c r="C799" s="59"/>
      <c r="D799" s="59" t="s">
        <v>371</v>
      </c>
      <c r="E799" s="59"/>
      <c r="F799" s="59"/>
      <c r="G799" s="59"/>
      <c r="H799" s="59"/>
      <c r="I799" s="59"/>
      <c r="J799" s="60">
        <f>SUM(J723,J738,J753,J768)</f>
        <v>0</v>
      </c>
      <c r="K799" s="61"/>
    </row>
    <row r="800" spans="2:11" x14ac:dyDescent="0.2">
      <c r="B800" s="57"/>
      <c r="C800" s="59"/>
      <c r="D800" s="196" t="s">
        <v>372</v>
      </c>
      <c r="E800" s="59"/>
      <c r="F800" s="59"/>
      <c r="G800" s="59"/>
      <c r="H800" s="59"/>
      <c r="I800" s="59"/>
      <c r="J800" s="60">
        <f>AVERAGE(J798,J799)</f>
        <v>0</v>
      </c>
      <c r="K800" s="61"/>
    </row>
    <row r="801" spans="2:11" ht="16" x14ac:dyDescent="0.2">
      <c r="B801" s="57"/>
      <c r="C801" s="197" t="s">
        <v>41</v>
      </c>
      <c r="D801" s="59"/>
      <c r="E801" s="59"/>
      <c r="F801" s="59"/>
      <c r="G801" s="59"/>
      <c r="H801" s="59"/>
      <c r="I801" s="59"/>
      <c r="J801" s="60"/>
      <c r="K801" s="61"/>
    </row>
    <row r="802" spans="2:11" ht="16" x14ac:dyDescent="0.2">
      <c r="B802" s="57"/>
      <c r="C802" s="197"/>
      <c r="D802" s="59" t="s">
        <v>370</v>
      </c>
      <c r="E802" s="59"/>
      <c r="F802" s="59"/>
      <c r="G802" s="59"/>
      <c r="H802" s="59"/>
      <c r="I802" s="59"/>
      <c r="J802" s="60">
        <f>'Baseline At-Risk Pops'!H52</f>
        <v>0</v>
      </c>
      <c r="K802" s="61"/>
    </row>
    <row r="803" spans="2:11" x14ac:dyDescent="0.2">
      <c r="B803" s="57"/>
      <c r="C803" s="59"/>
      <c r="D803" s="59" t="s">
        <v>371</v>
      </c>
      <c r="E803" s="59"/>
      <c r="F803" s="59"/>
      <c r="G803" s="59"/>
      <c r="H803" s="59"/>
      <c r="I803" s="59"/>
      <c r="J803" s="60">
        <f>SUM(J724,J739,J754,J769)</f>
        <v>0</v>
      </c>
      <c r="K803" s="61"/>
    </row>
    <row r="804" spans="2:11" x14ac:dyDescent="0.2">
      <c r="B804" s="57"/>
      <c r="C804" s="59"/>
      <c r="D804" s="196" t="s">
        <v>372</v>
      </c>
      <c r="E804" s="59"/>
      <c r="F804" s="59"/>
      <c r="G804" s="59"/>
      <c r="H804" s="59"/>
      <c r="I804" s="59"/>
      <c r="J804" s="60">
        <f>AVERAGE(J802,J803)</f>
        <v>0</v>
      </c>
      <c r="K804" s="61"/>
    </row>
    <row r="805" spans="2:11" ht="16" x14ac:dyDescent="0.2">
      <c r="B805" s="57"/>
      <c r="C805" s="197" t="s">
        <v>43</v>
      </c>
      <c r="D805" s="59"/>
      <c r="E805" s="59"/>
      <c r="F805" s="59"/>
      <c r="G805" s="59"/>
      <c r="H805" s="59"/>
      <c r="I805" s="59"/>
      <c r="J805" s="60"/>
      <c r="K805" s="61"/>
    </row>
    <row r="806" spans="2:11" x14ac:dyDescent="0.2">
      <c r="B806" s="57"/>
      <c r="C806" s="59"/>
      <c r="D806" s="59" t="s">
        <v>370</v>
      </c>
      <c r="E806" s="59"/>
      <c r="F806" s="59"/>
      <c r="G806" s="59"/>
      <c r="H806" s="59"/>
      <c r="I806" s="59"/>
      <c r="J806" s="60">
        <f>'Baseline At-Risk Pops'!H58</f>
        <v>0</v>
      </c>
      <c r="K806" s="61"/>
    </row>
    <row r="807" spans="2:11" x14ac:dyDescent="0.2">
      <c r="B807" s="57"/>
      <c r="C807" s="59"/>
      <c r="D807" s="59" t="s">
        <v>371</v>
      </c>
      <c r="E807" s="59"/>
      <c r="F807" s="59"/>
      <c r="G807" s="59"/>
      <c r="H807" s="59"/>
      <c r="I807" s="59"/>
      <c r="J807" s="60">
        <f>SUM(J725,J740,J755,J770)</f>
        <v>0</v>
      </c>
      <c r="K807" s="61"/>
    </row>
    <row r="808" spans="2:11" x14ac:dyDescent="0.2">
      <c r="B808" s="57"/>
      <c r="C808" s="59"/>
      <c r="D808" s="196" t="s">
        <v>372</v>
      </c>
      <c r="E808" s="59"/>
      <c r="F808" s="59"/>
      <c r="G808" s="59"/>
      <c r="H808" s="59"/>
      <c r="I808" s="59"/>
      <c r="J808" s="60">
        <f>AVERAGE(J806,J807)</f>
        <v>0</v>
      </c>
      <c r="K808" s="61"/>
    </row>
    <row r="809" spans="2:11" x14ac:dyDescent="0.2">
      <c r="B809" s="57"/>
      <c r="C809" s="59"/>
      <c r="D809" s="59"/>
      <c r="E809" s="59"/>
      <c r="F809" s="59"/>
      <c r="G809" s="59"/>
      <c r="H809" s="59"/>
      <c r="I809" s="59"/>
      <c r="J809" s="59"/>
      <c r="K809" s="61"/>
    </row>
    <row r="810" spans="2:11" x14ac:dyDescent="0.2">
      <c r="B810" s="57"/>
      <c r="C810" s="59"/>
      <c r="D810" s="59"/>
      <c r="E810" s="59"/>
      <c r="F810" s="59"/>
      <c r="G810" s="59"/>
      <c r="H810" s="59"/>
      <c r="I810" s="59"/>
      <c r="J810" s="59"/>
      <c r="K810" s="61"/>
    </row>
    <row r="811" spans="2:11" ht="16" x14ac:dyDescent="0.2">
      <c r="B811" s="57"/>
      <c r="C811" s="198" t="s">
        <v>373</v>
      </c>
      <c r="D811" s="59"/>
      <c r="E811" s="59"/>
      <c r="F811" s="59"/>
      <c r="G811" s="59"/>
      <c r="H811" s="59"/>
      <c r="I811" s="59"/>
      <c r="J811" s="261">
        <f>AVERAGE(J776,J780,J784,J788,J792,J796,J800,J804,J808)</f>
        <v>0</v>
      </c>
      <c r="K811" s="61"/>
    </row>
    <row r="812" spans="2:11" ht="16" thickBot="1" x14ac:dyDescent="0.25">
      <c r="B812" s="73"/>
      <c r="C812" s="74"/>
      <c r="D812" s="74"/>
      <c r="E812" s="74"/>
      <c r="F812" s="74"/>
      <c r="G812" s="74"/>
      <c r="H812" s="74"/>
      <c r="I812" s="74"/>
      <c r="J812" s="74"/>
      <c r="K812" s="76"/>
    </row>
    <row r="813" spans="2:11" ht="16" thickBot="1" x14ac:dyDescent="0.25"/>
    <row r="814" spans="2:11" x14ac:dyDescent="0.2">
      <c r="B814" s="199"/>
      <c r="C814" s="200"/>
      <c r="D814" s="200"/>
      <c r="E814" s="200"/>
      <c r="F814" s="200"/>
      <c r="G814" s="200"/>
      <c r="H814" s="200"/>
      <c r="I814" s="200"/>
      <c r="J814" s="200"/>
      <c r="K814" s="201"/>
    </row>
    <row r="815" spans="2:11" ht="21" x14ac:dyDescent="0.25">
      <c r="B815" s="202"/>
      <c r="C815" s="203"/>
      <c r="D815" s="203"/>
      <c r="E815" s="203"/>
      <c r="F815" s="203"/>
      <c r="G815" s="204" t="s">
        <v>233</v>
      </c>
      <c r="H815" s="203"/>
      <c r="I815" s="203"/>
      <c r="J815" s="203"/>
      <c r="K815" s="205"/>
    </row>
    <row r="816" spans="2:11" x14ac:dyDescent="0.2">
      <c r="B816" s="202"/>
      <c r="C816" s="203"/>
      <c r="D816" s="203"/>
      <c r="E816" s="203"/>
      <c r="F816" s="203"/>
      <c r="G816" s="203"/>
      <c r="H816" s="203"/>
      <c r="I816" s="203"/>
      <c r="J816" s="203"/>
      <c r="K816" s="205"/>
    </row>
    <row r="817" spans="2:11" ht="16" x14ac:dyDescent="0.2">
      <c r="B817" s="202"/>
      <c r="C817" s="206" t="s">
        <v>992</v>
      </c>
      <c r="D817" s="203"/>
      <c r="E817" s="203"/>
      <c r="F817" s="203"/>
      <c r="G817" s="203"/>
      <c r="H817" s="203"/>
      <c r="I817" s="203"/>
      <c r="J817" s="262" t="str">
        <f>IF(J700="Not Calculated","Not Calculated",J700*(($J$811/4)+1))</f>
        <v>Not Calculated</v>
      </c>
      <c r="K817" s="205"/>
    </row>
    <row r="818" spans="2:11" x14ac:dyDescent="0.2">
      <c r="B818" s="202"/>
      <c r="C818" s="203"/>
      <c r="D818" s="203" t="s">
        <v>374</v>
      </c>
      <c r="E818" s="203"/>
      <c r="F818" s="203"/>
      <c r="G818" s="203"/>
      <c r="H818" s="203"/>
      <c r="I818" s="203"/>
      <c r="J818" s="203"/>
      <c r="K818" s="205"/>
    </row>
    <row r="819" spans="2:11" x14ac:dyDescent="0.2">
      <c r="B819" s="202"/>
      <c r="C819" s="203"/>
      <c r="D819" s="203"/>
      <c r="E819" s="203"/>
      <c r="F819" s="203"/>
      <c r="G819" s="203"/>
      <c r="H819" s="203"/>
      <c r="I819" s="203"/>
      <c r="J819" s="203"/>
      <c r="K819" s="205"/>
    </row>
    <row r="820" spans="2:11" ht="16" x14ac:dyDescent="0.2">
      <c r="B820" s="202"/>
      <c r="C820" s="206" t="s">
        <v>993</v>
      </c>
      <c r="D820" s="203"/>
      <c r="E820" s="203"/>
      <c r="F820" s="203"/>
      <c r="G820" s="203"/>
      <c r="H820" s="203"/>
      <c r="I820" s="203"/>
      <c r="J820" s="262" t="str">
        <f>IF(J703="Not Calculated","Not Calculated",J703*(($J$811/4)+1))</f>
        <v>Not Calculated</v>
      </c>
      <c r="K820" s="205"/>
    </row>
    <row r="821" spans="2:11" x14ac:dyDescent="0.2">
      <c r="B821" s="202"/>
      <c r="C821" s="203"/>
      <c r="D821" s="203" t="s">
        <v>375</v>
      </c>
      <c r="E821" s="203"/>
      <c r="F821" s="203"/>
      <c r="G821" s="203"/>
      <c r="H821" s="203"/>
      <c r="I821" s="203"/>
      <c r="J821" s="203"/>
      <c r="K821" s="205"/>
    </row>
    <row r="822" spans="2:11" x14ac:dyDescent="0.2">
      <c r="B822" s="202"/>
      <c r="C822" s="203"/>
      <c r="D822" s="203"/>
      <c r="E822" s="203"/>
      <c r="F822" s="203"/>
      <c r="G822" s="203"/>
      <c r="H822" s="203"/>
      <c r="I822" s="203"/>
      <c r="J822" s="203"/>
      <c r="K822" s="205"/>
    </row>
    <row r="823" spans="2:11" ht="16" x14ac:dyDescent="0.2">
      <c r="B823" s="202"/>
      <c r="C823" s="206" t="s">
        <v>994</v>
      </c>
      <c r="D823" s="203"/>
      <c r="E823" s="203"/>
      <c r="F823" s="203"/>
      <c r="G823" s="203"/>
      <c r="H823" s="203"/>
      <c r="I823" s="203"/>
      <c r="J823" s="262" t="str">
        <f>IF(J706="Not Calculated","Not Calculated",J706*(($J$811/4)+1))</f>
        <v>Not Calculated</v>
      </c>
      <c r="K823" s="205"/>
    </row>
    <row r="824" spans="2:11" x14ac:dyDescent="0.2">
      <c r="B824" s="202"/>
      <c r="C824" s="203"/>
      <c r="D824" s="203" t="s">
        <v>376</v>
      </c>
      <c r="E824" s="203"/>
      <c r="F824" s="203"/>
      <c r="G824" s="203"/>
      <c r="H824" s="203"/>
      <c r="I824" s="203"/>
      <c r="J824" s="203"/>
      <c r="K824" s="205"/>
    </row>
    <row r="825" spans="2:11" ht="16" thickBot="1" x14ac:dyDescent="0.25">
      <c r="B825" s="207"/>
      <c r="C825" s="208"/>
      <c r="D825" s="208"/>
      <c r="E825" s="208"/>
      <c r="F825" s="208"/>
      <c r="G825" s="208"/>
      <c r="H825" s="208"/>
      <c r="I825" s="208"/>
      <c r="J825" s="208"/>
      <c r="K825" s="209"/>
    </row>
    <row r="826" spans="2:11" ht="16" thickBot="1" x14ac:dyDescent="0.25"/>
    <row r="827" spans="2:11" x14ac:dyDescent="0.2">
      <c r="B827" s="77"/>
      <c r="C827" s="78"/>
      <c r="D827" s="78"/>
      <c r="E827" s="78"/>
      <c r="F827" s="78"/>
      <c r="G827" s="78"/>
      <c r="H827" s="78"/>
      <c r="I827" s="78"/>
      <c r="J827" s="78"/>
      <c r="K827" s="80"/>
    </row>
    <row r="828" spans="2:11" ht="21" x14ac:dyDescent="0.25">
      <c r="B828" s="81"/>
      <c r="C828" s="85"/>
      <c r="D828" s="85"/>
      <c r="E828" s="85"/>
      <c r="F828" s="85"/>
      <c r="G828" s="210" t="s">
        <v>806</v>
      </c>
      <c r="H828" s="85"/>
      <c r="I828" s="85"/>
      <c r="J828" s="85"/>
      <c r="K828" s="87"/>
    </row>
    <row r="829" spans="2:11" x14ac:dyDescent="0.2">
      <c r="B829" s="81"/>
      <c r="C829" s="85"/>
      <c r="D829" s="85"/>
      <c r="E829" s="85"/>
      <c r="F829" s="85"/>
      <c r="G829" s="85"/>
      <c r="H829" s="85"/>
      <c r="I829" s="85"/>
      <c r="J829" s="85"/>
      <c r="K829" s="87"/>
    </row>
    <row r="830" spans="2:11" ht="15" customHeight="1" x14ac:dyDescent="0.2">
      <c r="B830" s="81"/>
      <c r="C830" s="424" t="s">
        <v>808</v>
      </c>
      <c r="D830" s="424"/>
      <c r="E830" s="424"/>
      <c r="F830" s="424"/>
      <c r="G830" s="424"/>
      <c r="H830" s="424"/>
      <c r="I830" s="424"/>
      <c r="J830" s="424"/>
      <c r="K830" s="87"/>
    </row>
    <row r="831" spans="2:11" x14ac:dyDescent="0.2">
      <c r="B831" s="81"/>
      <c r="C831" s="424"/>
      <c r="D831" s="424"/>
      <c r="E831" s="424"/>
      <c r="F831" s="424"/>
      <c r="G831" s="424"/>
      <c r="H831" s="424"/>
      <c r="I831" s="424"/>
      <c r="J831" s="424"/>
      <c r="K831" s="87"/>
    </row>
    <row r="832" spans="2:11" x14ac:dyDescent="0.2">
      <c r="B832" s="81"/>
      <c r="C832" s="85"/>
      <c r="D832" s="85"/>
      <c r="E832" s="85"/>
      <c r="F832" s="85"/>
      <c r="G832" s="85"/>
      <c r="H832" s="85"/>
      <c r="I832" s="85"/>
      <c r="J832" s="85"/>
      <c r="K832" s="87"/>
    </row>
    <row r="833" spans="2:11" ht="16" x14ac:dyDescent="0.2">
      <c r="B833" s="81"/>
      <c r="C833" s="211" t="s">
        <v>654</v>
      </c>
      <c r="D833" s="85"/>
      <c r="E833" s="85"/>
      <c r="F833" s="85"/>
      <c r="G833" s="85"/>
      <c r="H833" s="85"/>
      <c r="I833" s="85"/>
      <c r="J833" s="85"/>
      <c r="K833" s="87"/>
    </row>
    <row r="834" spans="2:11" x14ac:dyDescent="0.2">
      <c r="B834" s="81"/>
      <c r="C834" s="85" t="s">
        <v>380</v>
      </c>
      <c r="D834" s="85"/>
      <c r="E834" s="85"/>
      <c r="F834" s="85"/>
      <c r="G834" s="406"/>
      <c r="H834" s="407"/>
      <c r="I834" s="85"/>
      <c r="J834" s="83" t="str">
        <f>IF(G834=$B$998,$A$998,IF(G834=$B$999,$A$999,IF(G834=$B$1000,$A$1000,IF(G834=$B$1001,$A$1001,IF(G834=$B$1002,$A$1002,"Not Calculated")))))</f>
        <v>Not Calculated</v>
      </c>
      <c r="K834" s="87"/>
    </row>
    <row r="835" spans="2:11" x14ac:dyDescent="0.2">
      <c r="B835" s="81"/>
      <c r="C835" s="85" t="s">
        <v>134</v>
      </c>
      <c r="D835" s="85"/>
      <c r="E835" s="85"/>
      <c r="F835" s="85"/>
      <c r="G835" s="85"/>
      <c r="H835" s="85"/>
      <c r="I835" s="85"/>
      <c r="J835" s="240">
        <f>'Baseline PHP'!J16</f>
        <v>0</v>
      </c>
      <c r="K835" s="87"/>
    </row>
    <row r="836" spans="2:11" x14ac:dyDescent="0.2">
      <c r="B836" s="81"/>
      <c r="C836" s="85"/>
      <c r="D836" s="85"/>
      <c r="E836" s="85"/>
      <c r="F836" s="85"/>
      <c r="G836" s="85"/>
      <c r="H836" s="85"/>
      <c r="I836" s="85"/>
      <c r="J836" s="85"/>
      <c r="K836" s="87"/>
    </row>
    <row r="837" spans="2:11" ht="16" x14ac:dyDescent="0.2">
      <c r="B837" s="81"/>
      <c r="C837" s="211" t="s">
        <v>655</v>
      </c>
      <c r="D837" s="85"/>
      <c r="E837" s="85"/>
      <c r="F837" s="85"/>
      <c r="G837" s="85"/>
      <c r="H837" s="85"/>
      <c r="I837" s="85"/>
      <c r="J837" s="85"/>
      <c r="K837" s="87"/>
    </row>
    <row r="838" spans="2:11" x14ac:dyDescent="0.2">
      <c r="B838" s="81"/>
      <c r="C838" s="85" t="s">
        <v>380</v>
      </c>
      <c r="D838" s="85"/>
      <c r="E838" s="85"/>
      <c r="F838" s="85"/>
      <c r="G838" s="406"/>
      <c r="H838" s="407"/>
      <c r="I838" s="85"/>
      <c r="J838" s="83" t="str">
        <f>IF(G838=$B$998,$A$998,IF(G838=$B$999,$A$999,IF(G838=$B$1000,$A$1000,IF(G838=$B$1001,$A$1001,IF(G838=$B$1002,$A$1002,"Not Calculated")))))</f>
        <v>Not Calculated</v>
      </c>
      <c r="K838" s="87"/>
    </row>
    <row r="839" spans="2:11" x14ac:dyDescent="0.2">
      <c r="B839" s="81"/>
      <c r="C839" s="85" t="s">
        <v>134</v>
      </c>
      <c r="D839" s="85"/>
      <c r="E839" s="85"/>
      <c r="F839" s="85"/>
      <c r="G839" s="85"/>
      <c r="H839" s="85"/>
      <c r="I839" s="85"/>
      <c r="J839" s="240">
        <f>'Baseline PHP'!J28</f>
        <v>0</v>
      </c>
      <c r="K839" s="87"/>
    </row>
    <row r="840" spans="2:11" x14ac:dyDescent="0.2">
      <c r="B840" s="81"/>
      <c r="C840" s="85"/>
      <c r="D840" s="85"/>
      <c r="E840" s="85"/>
      <c r="F840" s="85"/>
      <c r="G840" s="85"/>
      <c r="H840" s="85"/>
      <c r="I840" s="85"/>
      <c r="J840" s="85"/>
      <c r="K840" s="87"/>
    </row>
    <row r="841" spans="2:11" ht="16" x14ac:dyDescent="0.2">
      <c r="B841" s="81"/>
      <c r="C841" s="211" t="s">
        <v>645</v>
      </c>
      <c r="D841" s="85"/>
      <c r="E841" s="85"/>
      <c r="F841" s="85"/>
      <c r="G841" s="85"/>
      <c r="H841" s="85"/>
      <c r="I841" s="85"/>
      <c r="J841" s="85"/>
      <c r="K841" s="87"/>
    </row>
    <row r="842" spans="2:11" x14ac:dyDescent="0.2">
      <c r="B842" s="81"/>
      <c r="C842" s="85" t="s">
        <v>380</v>
      </c>
      <c r="D842" s="85"/>
      <c r="E842" s="85"/>
      <c r="F842" s="85"/>
      <c r="G842" s="406"/>
      <c r="H842" s="407"/>
      <c r="I842" s="85"/>
      <c r="J842" s="83" t="str">
        <f>IF(G842=$B$998,$A$998,IF(G842=$B$999,$A$999,IF(G842=$B$1000,$A$1000,IF(G842=$B$1001,$A$1001,IF(G842=$B$1002,$A$1002,"Not Calculated")))))</f>
        <v>Not Calculated</v>
      </c>
      <c r="K842" s="87"/>
    </row>
    <row r="843" spans="2:11" x14ac:dyDescent="0.2">
      <c r="B843" s="81"/>
      <c r="C843" s="85" t="s">
        <v>134</v>
      </c>
      <c r="D843" s="85"/>
      <c r="E843" s="85"/>
      <c r="F843" s="85"/>
      <c r="G843" s="85"/>
      <c r="H843" s="85"/>
      <c r="I843" s="85"/>
      <c r="J843" s="240">
        <f>'Baseline PHP'!J44</f>
        <v>0</v>
      </c>
      <c r="K843" s="87"/>
    </row>
    <row r="844" spans="2:11" x14ac:dyDescent="0.2">
      <c r="B844" s="81"/>
      <c r="C844" s="85"/>
      <c r="D844" s="85"/>
      <c r="E844" s="85"/>
      <c r="F844" s="85"/>
      <c r="G844" s="85"/>
      <c r="H844" s="85"/>
      <c r="I844" s="85"/>
      <c r="J844" s="85"/>
      <c r="K844" s="87"/>
    </row>
    <row r="845" spans="2:11" ht="16" x14ac:dyDescent="0.2">
      <c r="B845" s="81"/>
      <c r="C845" s="211" t="s">
        <v>646</v>
      </c>
      <c r="D845" s="85"/>
      <c r="E845" s="85"/>
      <c r="F845" s="85"/>
      <c r="G845" s="85"/>
      <c r="H845" s="85"/>
      <c r="I845" s="85"/>
      <c r="J845" s="85"/>
      <c r="K845" s="87"/>
    </row>
    <row r="846" spans="2:11" x14ac:dyDescent="0.2">
      <c r="B846" s="81"/>
      <c r="C846" s="85" t="s">
        <v>380</v>
      </c>
      <c r="D846" s="85"/>
      <c r="E846" s="85"/>
      <c r="F846" s="85"/>
      <c r="G846" s="406"/>
      <c r="H846" s="407"/>
      <c r="I846" s="85"/>
      <c r="J846" s="83" t="str">
        <f>IF(G846=$B$998,$A$998,IF(G846=$B$999,$A$999,IF(G846=$B$1000,$A$1000,IF(G846=$B$1001,$A$1001,IF(G846=$B$1002,$A$1002,"Not Calculated")))))</f>
        <v>Not Calculated</v>
      </c>
      <c r="K846" s="87"/>
    </row>
    <row r="847" spans="2:11" x14ac:dyDescent="0.2">
      <c r="B847" s="81"/>
      <c r="C847" s="85" t="s">
        <v>134</v>
      </c>
      <c r="D847" s="85"/>
      <c r="E847" s="85"/>
      <c r="F847" s="85"/>
      <c r="G847" s="85"/>
      <c r="H847" s="85"/>
      <c r="I847" s="85"/>
      <c r="J847" s="240">
        <f>'Baseline PHP'!J60</f>
        <v>0</v>
      </c>
      <c r="K847" s="87"/>
    </row>
    <row r="848" spans="2:11" x14ac:dyDescent="0.2">
      <c r="B848" s="81"/>
      <c r="C848" s="85"/>
      <c r="D848" s="85"/>
      <c r="E848" s="85"/>
      <c r="F848" s="85"/>
      <c r="G848" s="85"/>
      <c r="H848" s="85"/>
      <c r="I848" s="85"/>
      <c r="J848" s="85"/>
      <c r="K848" s="87"/>
    </row>
    <row r="849" spans="2:11" ht="16" x14ac:dyDescent="0.2">
      <c r="B849" s="81"/>
      <c r="C849" s="211" t="s">
        <v>648</v>
      </c>
      <c r="D849" s="85"/>
      <c r="E849" s="85"/>
      <c r="F849" s="85"/>
      <c r="G849" s="85"/>
      <c r="H849" s="85"/>
      <c r="I849" s="85"/>
      <c r="J849" s="85"/>
      <c r="K849" s="87"/>
    </row>
    <row r="850" spans="2:11" ht="15" customHeight="1" x14ac:dyDescent="0.2">
      <c r="B850" s="81"/>
      <c r="C850" s="85" t="s">
        <v>380</v>
      </c>
      <c r="D850" s="85"/>
      <c r="E850" s="85"/>
      <c r="F850" s="85"/>
      <c r="G850" s="406"/>
      <c r="H850" s="407"/>
      <c r="I850" s="85"/>
      <c r="J850" s="83" t="str">
        <f>IF(G850=$B$998,$A$998,IF(G850=$B$999,$A$999,IF(G850=$B$1000,$A$1000,IF(G850=$B$1001,$A$1001,IF(G850=$B$1002,$A$1002,"Not Calculated")))))</f>
        <v>Not Calculated</v>
      </c>
      <c r="K850" s="87"/>
    </row>
    <row r="851" spans="2:11" x14ac:dyDescent="0.2">
      <c r="B851" s="81"/>
      <c r="C851" s="85" t="s">
        <v>134</v>
      </c>
      <c r="D851" s="85"/>
      <c r="E851" s="85"/>
      <c r="F851" s="85"/>
      <c r="G851" s="85"/>
      <c r="H851" s="85"/>
      <c r="I851" s="85"/>
      <c r="J851" s="240">
        <f>'Baseline PHP'!J76</f>
        <v>0</v>
      </c>
      <c r="K851" s="87"/>
    </row>
    <row r="852" spans="2:11" x14ac:dyDescent="0.2">
      <c r="B852" s="81"/>
      <c r="C852" s="85"/>
      <c r="D852" s="85"/>
      <c r="E852" s="85"/>
      <c r="F852" s="85"/>
      <c r="G852" s="85"/>
      <c r="H852" s="85"/>
      <c r="I852" s="85"/>
      <c r="J852" s="85"/>
      <c r="K852" s="87"/>
    </row>
    <row r="853" spans="2:11" ht="16" x14ac:dyDescent="0.2">
      <c r="B853" s="81"/>
      <c r="C853" s="211" t="s">
        <v>647</v>
      </c>
      <c r="D853" s="85"/>
      <c r="E853" s="85"/>
      <c r="F853" s="85"/>
      <c r="G853" s="85"/>
      <c r="H853" s="85"/>
      <c r="I853" s="85"/>
      <c r="J853" s="85"/>
      <c r="K853" s="87"/>
    </row>
    <row r="854" spans="2:11" x14ac:dyDescent="0.2">
      <c r="B854" s="81"/>
      <c r="C854" s="85" t="s">
        <v>380</v>
      </c>
      <c r="D854" s="85"/>
      <c r="E854" s="85"/>
      <c r="F854" s="85"/>
      <c r="G854" s="406"/>
      <c r="H854" s="407"/>
      <c r="I854" s="85"/>
      <c r="J854" s="83" t="str">
        <f>IF(G854=$B$998,$A$998,IF(G854=$B$999,$A$999,IF(G854=$B$1000,$A$1000,IF(G854=$B$1001,$A$1001,IF(G854=$B$1002,$A$1002,"Not Calculated")))))</f>
        <v>Not Calculated</v>
      </c>
      <c r="K854" s="87"/>
    </row>
    <row r="855" spans="2:11" x14ac:dyDescent="0.2">
      <c r="B855" s="81"/>
      <c r="C855" s="85" t="s">
        <v>134</v>
      </c>
      <c r="D855" s="85"/>
      <c r="E855" s="85"/>
      <c r="F855" s="85"/>
      <c r="G855" s="85"/>
      <c r="H855" s="85"/>
      <c r="I855" s="85"/>
      <c r="J855" s="240">
        <f>'Baseline PHP'!J88</f>
        <v>0</v>
      </c>
      <c r="K855" s="87"/>
    </row>
    <row r="856" spans="2:11" x14ac:dyDescent="0.2">
      <c r="B856" s="81"/>
      <c r="C856" s="85"/>
      <c r="D856" s="85"/>
      <c r="E856" s="85"/>
      <c r="F856" s="85"/>
      <c r="G856" s="85"/>
      <c r="H856" s="85"/>
      <c r="I856" s="85"/>
      <c r="J856" s="85"/>
      <c r="K856" s="87"/>
    </row>
    <row r="857" spans="2:11" ht="16" x14ac:dyDescent="0.2">
      <c r="B857" s="81"/>
      <c r="C857" s="211" t="s">
        <v>115</v>
      </c>
      <c r="D857" s="85"/>
      <c r="E857" s="85"/>
      <c r="F857" s="85"/>
      <c r="G857" s="85"/>
      <c r="H857" s="85"/>
      <c r="I857" s="85"/>
      <c r="J857" s="85"/>
      <c r="K857" s="87"/>
    </row>
    <row r="858" spans="2:11" x14ac:dyDescent="0.2">
      <c r="B858" s="81"/>
      <c r="C858" s="85" t="s">
        <v>380</v>
      </c>
      <c r="D858" s="85"/>
      <c r="E858" s="85"/>
      <c r="F858" s="85"/>
      <c r="G858" s="406"/>
      <c r="H858" s="407"/>
      <c r="I858" s="85"/>
      <c r="J858" s="83" t="str">
        <f>IF(G858=$B$998,$A$998,IF(G858=$B$999,$A$999,IF(G858=$B$1000,$A$1000,IF(G858=$B$1001,$A$1001,IF(G858=$B$1002,$A$1002,"Not Calculated")))))</f>
        <v>Not Calculated</v>
      </c>
      <c r="K858" s="87"/>
    </row>
    <row r="859" spans="2:11" x14ac:dyDescent="0.2">
      <c r="B859" s="81"/>
      <c r="C859" s="85" t="s">
        <v>134</v>
      </c>
      <c r="D859" s="85"/>
      <c r="E859" s="85"/>
      <c r="F859" s="85"/>
      <c r="G859" s="85"/>
      <c r="H859" s="85"/>
      <c r="I859" s="85"/>
      <c r="J859" s="240">
        <f>'Baseline PHP'!J102</f>
        <v>0</v>
      </c>
      <c r="K859" s="87"/>
    </row>
    <row r="860" spans="2:11" x14ac:dyDescent="0.2">
      <c r="B860" s="81"/>
      <c r="C860" s="85"/>
      <c r="D860" s="85"/>
      <c r="E860" s="85"/>
      <c r="F860" s="85"/>
      <c r="G860" s="85"/>
      <c r="H860" s="85"/>
      <c r="I860" s="85"/>
      <c r="J860" s="85"/>
      <c r="K860" s="87"/>
    </row>
    <row r="861" spans="2:11" ht="16" x14ac:dyDescent="0.2">
      <c r="B861" s="81"/>
      <c r="C861" s="211" t="s">
        <v>649</v>
      </c>
      <c r="D861" s="85"/>
      <c r="E861" s="85"/>
      <c r="F861" s="85"/>
      <c r="G861" s="85"/>
      <c r="H861" s="85"/>
      <c r="I861" s="85"/>
      <c r="J861" s="85"/>
      <c r="K861" s="87"/>
    </row>
    <row r="862" spans="2:11" x14ac:dyDescent="0.2">
      <c r="B862" s="81"/>
      <c r="C862" s="85" t="s">
        <v>380</v>
      </c>
      <c r="D862" s="85"/>
      <c r="E862" s="85"/>
      <c r="F862" s="85"/>
      <c r="G862" s="406"/>
      <c r="H862" s="407"/>
      <c r="I862" s="85"/>
      <c r="J862" s="83" t="str">
        <f>IF(G862=$B$998,$A$998,IF(G862=$B$999,$A$999,IF(G862=$B$1000,$A$1000,IF(G862=$B$1001,$A$1001,IF(G862=$B$1002,$A$1002,"Not Calculated")))))</f>
        <v>Not Calculated</v>
      </c>
      <c r="K862" s="87"/>
    </row>
    <row r="863" spans="2:11" x14ac:dyDescent="0.2">
      <c r="B863" s="81"/>
      <c r="C863" s="85" t="s">
        <v>134</v>
      </c>
      <c r="D863" s="85"/>
      <c r="E863" s="85"/>
      <c r="F863" s="85"/>
      <c r="G863" s="85"/>
      <c r="H863" s="85"/>
      <c r="I863" s="85"/>
      <c r="J863" s="240">
        <f>'Baseline PHP'!J118</f>
        <v>0</v>
      </c>
      <c r="K863" s="87"/>
    </row>
    <row r="864" spans="2:11" x14ac:dyDescent="0.2">
      <c r="B864" s="81"/>
      <c r="C864" s="85"/>
      <c r="D864" s="85"/>
      <c r="E864" s="85"/>
      <c r="F864" s="85"/>
      <c r="G864" s="85"/>
      <c r="H864" s="85"/>
      <c r="I864" s="85"/>
      <c r="J864" s="85"/>
      <c r="K864" s="87"/>
    </row>
    <row r="865" spans="2:11" ht="16" x14ac:dyDescent="0.2">
      <c r="B865" s="81"/>
      <c r="C865" s="211" t="s">
        <v>656</v>
      </c>
      <c r="D865" s="85"/>
      <c r="E865" s="85"/>
      <c r="F865" s="85"/>
      <c r="G865" s="85"/>
      <c r="H865" s="85"/>
      <c r="I865" s="85"/>
      <c r="J865" s="85"/>
      <c r="K865" s="87"/>
    </row>
    <row r="866" spans="2:11" x14ac:dyDescent="0.2">
      <c r="B866" s="81"/>
      <c r="C866" s="85" t="s">
        <v>380</v>
      </c>
      <c r="D866" s="85"/>
      <c r="E866" s="85"/>
      <c r="F866" s="85"/>
      <c r="G866" s="406"/>
      <c r="H866" s="407"/>
      <c r="I866" s="85"/>
      <c r="J866" s="83" t="str">
        <f>IF(G866=$B$998,$A$998,IF(G866=$B$999,$A$999,IF(G866=$B$1000,$A$1000,IF(G866=$B$1001,$A$1001,IF(G866=$B$1002,$A$1002,"Not Calculated")))))</f>
        <v>Not Calculated</v>
      </c>
      <c r="K866" s="87"/>
    </row>
    <row r="867" spans="2:11" x14ac:dyDescent="0.2">
      <c r="B867" s="81"/>
      <c r="C867" s="85" t="s">
        <v>134</v>
      </c>
      <c r="D867" s="85"/>
      <c r="E867" s="85"/>
      <c r="F867" s="85"/>
      <c r="G867" s="85"/>
      <c r="H867" s="85"/>
      <c r="I867" s="85"/>
      <c r="J867" s="240">
        <f>'Baseline PHP'!J136</f>
        <v>0</v>
      </c>
      <c r="K867" s="87"/>
    </row>
    <row r="868" spans="2:11" x14ac:dyDescent="0.2">
      <c r="B868" s="81"/>
      <c r="C868" s="85"/>
      <c r="D868" s="85"/>
      <c r="E868" s="85"/>
      <c r="F868" s="85"/>
      <c r="G868" s="85"/>
      <c r="H868" s="85"/>
      <c r="I868" s="85"/>
      <c r="J868" s="85"/>
      <c r="K868" s="87"/>
    </row>
    <row r="869" spans="2:11" ht="16" x14ac:dyDescent="0.2">
      <c r="B869" s="81"/>
      <c r="C869" s="211" t="s">
        <v>121</v>
      </c>
      <c r="D869" s="85"/>
      <c r="E869" s="85"/>
      <c r="F869" s="85"/>
      <c r="G869" s="85"/>
      <c r="H869" s="85"/>
      <c r="I869" s="85"/>
      <c r="J869" s="85"/>
      <c r="K869" s="87"/>
    </row>
    <row r="870" spans="2:11" x14ac:dyDescent="0.2">
      <c r="B870" s="81"/>
      <c r="C870" s="85" t="s">
        <v>380</v>
      </c>
      <c r="D870" s="85"/>
      <c r="E870" s="85"/>
      <c r="F870" s="85"/>
      <c r="G870" s="406"/>
      <c r="H870" s="407"/>
      <c r="I870" s="85"/>
      <c r="J870" s="83" t="str">
        <f>IF(G870=$B$998,$A$998,IF(G870=$B$999,$A$999,IF(G870=$B$1000,$A$1000,IF(G870=$B$1001,$A$1001,IF(G870=$B$1002,$A$1002,"Not Calculated")))))</f>
        <v>Not Calculated</v>
      </c>
      <c r="K870" s="87"/>
    </row>
    <row r="871" spans="2:11" x14ac:dyDescent="0.2">
      <c r="B871" s="81"/>
      <c r="C871" s="85" t="s">
        <v>134</v>
      </c>
      <c r="D871" s="85"/>
      <c r="E871" s="85"/>
      <c r="F871" s="85"/>
      <c r="G871" s="85"/>
      <c r="H871" s="85"/>
      <c r="I871" s="85"/>
      <c r="J871" s="240">
        <f>'Baseline PHP'!J150</f>
        <v>0</v>
      </c>
      <c r="K871" s="87"/>
    </row>
    <row r="872" spans="2:11" x14ac:dyDescent="0.2">
      <c r="B872" s="81"/>
      <c r="C872" s="85"/>
      <c r="D872" s="85"/>
      <c r="E872" s="85"/>
      <c r="F872" s="85"/>
      <c r="G872" s="85"/>
      <c r="H872" s="85"/>
      <c r="I872" s="85"/>
      <c r="J872" s="85"/>
      <c r="K872" s="87"/>
    </row>
    <row r="873" spans="2:11" ht="16" x14ac:dyDescent="0.2">
      <c r="B873" s="81"/>
      <c r="C873" s="211" t="s">
        <v>657</v>
      </c>
      <c r="D873" s="85"/>
      <c r="E873" s="85"/>
      <c r="F873" s="85"/>
      <c r="G873" s="85"/>
      <c r="H873" s="85"/>
      <c r="I873" s="85"/>
      <c r="J873" s="85"/>
      <c r="K873" s="87"/>
    </row>
    <row r="874" spans="2:11" x14ac:dyDescent="0.2">
      <c r="B874" s="81"/>
      <c r="C874" s="85" t="s">
        <v>380</v>
      </c>
      <c r="D874" s="85"/>
      <c r="E874" s="85"/>
      <c r="F874" s="85"/>
      <c r="G874" s="406"/>
      <c r="H874" s="407"/>
      <c r="I874" s="85"/>
      <c r="J874" s="83" t="str">
        <f>IF(G874=$B$998,$A$998,IF(G874=$B$999,$A$999,IF(G874=$B$1000,$A$1000,IF(G874=$B$1001,$A$1001,IF(G874=$B$1002,$A$1002,"Not Calculated")))))</f>
        <v>Not Calculated</v>
      </c>
      <c r="K874" s="87"/>
    </row>
    <row r="875" spans="2:11" x14ac:dyDescent="0.2">
      <c r="B875" s="81"/>
      <c r="C875" s="85" t="s">
        <v>134</v>
      </c>
      <c r="D875" s="85"/>
      <c r="E875" s="85"/>
      <c r="F875" s="85"/>
      <c r="G875" s="85"/>
      <c r="H875" s="85"/>
      <c r="I875" s="85"/>
      <c r="J875" s="240">
        <f>'Baseline PHP'!J164</f>
        <v>0</v>
      </c>
      <c r="K875" s="87"/>
    </row>
    <row r="876" spans="2:11" x14ac:dyDescent="0.2">
      <c r="B876" s="81"/>
      <c r="C876" s="85"/>
      <c r="D876" s="85"/>
      <c r="E876" s="85"/>
      <c r="F876" s="85"/>
      <c r="G876" s="85"/>
      <c r="H876" s="85"/>
      <c r="I876" s="85"/>
      <c r="J876" s="85"/>
      <c r="K876" s="87"/>
    </row>
    <row r="877" spans="2:11" ht="16" x14ac:dyDescent="0.2">
      <c r="B877" s="81"/>
      <c r="C877" s="211" t="s">
        <v>650</v>
      </c>
      <c r="D877" s="85"/>
      <c r="E877" s="85"/>
      <c r="F877" s="85"/>
      <c r="G877" s="85"/>
      <c r="H877" s="85"/>
      <c r="I877" s="85"/>
      <c r="J877" s="85"/>
      <c r="K877" s="87"/>
    </row>
    <row r="878" spans="2:11" x14ac:dyDescent="0.2">
      <c r="B878" s="81"/>
      <c r="C878" s="85" t="s">
        <v>380</v>
      </c>
      <c r="D878" s="85"/>
      <c r="E878" s="85"/>
      <c r="F878" s="85"/>
      <c r="G878" s="406"/>
      <c r="H878" s="407"/>
      <c r="I878" s="85"/>
      <c r="J878" s="83" t="str">
        <f>IF(G878=$B$998,$A$998,IF(G878=$B$999,$A$999,IF(G878=$B$1000,$A$1000,IF(G878=$B$1001,$A$1001,IF(G878=$B$1002,$A$1002,"Not Calculated")))))</f>
        <v>Not Calculated</v>
      </c>
      <c r="K878" s="87"/>
    </row>
    <row r="879" spans="2:11" x14ac:dyDescent="0.2">
      <c r="B879" s="81"/>
      <c r="C879" s="85" t="s">
        <v>134</v>
      </c>
      <c r="D879" s="85"/>
      <c r="E879" s="85"/>
      <c r="F879" s="85"/>
      <c r="G879" s="85"/>
      <c r="H879" s="85"/>
      <c r="I879" s="85"/>
      <c r="J879" s="240">
        <f>'Baseline PHP'!J180</f>
        <v>0</v>
      </c>
      <c r="K879" s="87"/>
    </row>
    <row r="880" spans="2:11" x14ac:dyDescent="0.2">
      <c r="B880" s="81"/>
      <c r="C880" s="85"/>
      <c r="D880" s="85"/>
      <c r="E880" s="85"/>
      <c r="F880" s="85"/>
      <c r="G880" s="85"/>
      <c r="H880" s="85"/>
      <c r="I880" s="85"/>
      <c r="J880" s="85"/>
      <c r="K880" s="87"/>
    </row>
    <row r="881" spans="2:11" ht="16" x14ac:dyDescent="0.2">
      <c r="B881" s="81"/>
      <c r="C881" s="211" t="s">
        <v>651</v>
      </c>
      <c r="D881" s="85"/>
      <c r="E881" s="85"/>
      <c r="F881" s="85"/>
      <c r="G881" s="85"/>
      <c r="H881" s="85"/>
      <c r="I881" s="85"/>
      <c r="J881" s="85"/>
      <c r="K881" s="87"/>
    </row>
    <row r="882" spans="2:11" x14ac:dyDescent="0.2">
      <c r="B882" s="81"/>
      <c r="C882" s="85" t="s">
        <v>380</v>
      </c>
      <c r="D882" s="85"/>
      <c r="E882" s="85"/>
      <c r="F882" s="85"/>
      <c r="G882" s="406"/>
      <c r="H882" s="407"/>
      <c r="I882" s="85"/>
      <c r="J882" s="83" t="str">
        <f>IF(G882=$B$998,$A$998,IF(G882=$B$999,$A$999,IF(G882=$B$1000,$A$1000,IF(G882=$B$1001,$A$1001,IF(G882=$B$1002,$A$1002,"Not Calculated")))))</f>
        <v>Not Calculated</v>
      </c>
      <c r="K882" s="87"/>
    </row>
    <row r="883" spans="2:11" x14ac:dyDescent="0.2">
      <c r="B883" s="81"/>
      <c r="C883" s="85" t="s">
        <v>134</v>
      </c>
      <c r="D883" s="85"/>
      <c r="E883" s="85"/>
      <c r="F883" s="85"/>
      <c r="G883" s="85"/>
      <c r="H883" s="85"/>
      <c r="I883" s="85"/>
      <c r="J883" s="240">
        <f>'Baseline PHP'!J194</f>
        <v>0</v>
      </c>
      <c r="K883" s="87"/>
    </row>
    <row r="884" spans="2:11" x14ac:dyDescent="0.2">
      <c r="B884" s="81"/>
      <c r="C884" s="85"/>
      <c r="D884" s="85"/>
      <c r="E884" s="85"/>
      <c r="F884" s="85"/>
      <c r="G884" s="85"/>
      <c r="H884" s="85"/>
      <c r="I884" s="85"/>
      <c r="J884" s="85"/>
      <c r="K884" s="87"/>
    </row>
    <row r="885" spans="2:11" ht="16" x14ac:dyDescent="0.2">
      <c r="B885" s="81"/>
      <c r="C885" s="211" t="s">
        <v>652</v>
      </c>
      <c r="D885" s="85"/>
      <c r="E885" s="85"/>
      <c r="F885" s="85"/>
      <c r="G885" s="85"/>
      <c r="H885" s="85"/>
      <c r="I885" s="85"/>
      <c r="J885" s="85"/>
      <c r="K885" s="87"/>
    </row>
    <row r="886" spans="2:11" x14ac:dyDescent="0.2">
      <c r="B886" s="81"/>
      <c r="C886" s="85" t="s">
        <v>380</v>
      </c>
      <c r="D886" s="85"/>
      <c r="E886" s="85"/>
      <c r="F886" s="85"/>
      <c r="G886" s="406"/>
      <c r="H886" s="407"/>
      <c r="I886" s="85"/>
      <c r="J886" s="83" t="str">
        <f>IF(G886=$B$998,$A$998,IF(G886=$B$999,$A$999,IF(G886=$B$1000,$A$1000,IF(G886=$B$1001,$A$1001,IF(G886=$B$1002,$A$1002,"Not Calculated")))))</f>
        <v>Not Calculated</v>
      </c>
      <c r="K886" s="87"/>
    </row>
    <row r="887" spans="2:11" x14ac:dyDescent="0.2">
      <c r="B887" s="81"/>
      <c r="C887" s="85" t="s">
        <v>134</v>
      </c>
      <c r="D887" s="85"/>
      <c r="E887" s="85"/>
      <c r="F887" s="85"/>
      <c r="G887" s="85"/>
      <c r="H887" s="85"/>
      <c r="I887" s="85"/>
      <c r="J887" s="240">
        <f>'Baseline PHP'!J208</f>
        <v>0</v>
      </c>
      <c r="K887" s="87"/>
    </row>
    <row r="888" spans="2:11" x14ac:dyDescent="0.2">
      <c r="B888" s="81"/>
      <c r="C888" s="85"/>
      <c r="D888" s="85"/>
      <c r="E888" s="85"/>
      <c r="F888" s="85"/>
      <c r="G888" s="85"/>
      <c r="H888" s="85"/>
      <c r="I888" s="85"/>
      <c r="J888" s="85"/>
      <c r="K888" s="87"/>
    </row>
    <row r="889" spans="2:11" ht="16" x14ac:dyDescent="0.2">
      <c r="B889" s="81"/>
      <c r="C889" s="211" t="s">
        <v>653</v>
      </c>
      <c r="D889" s="85"/>
      <c r="E889" s="85"/>
      <c r="F889" s="85"/>
      <c r="G889" s="85"/>
      <c r="H889" s="85"/>
      <c r="I889" s="85"/>
      <c r="J889" s="85"/>
      <c r="K889" s="87"/>
    </row>
    <row r="890" spans="2:11" x14ac:dyDescent="0.2">
      <c r="B890" s="81"/>
      <c r="C890" s="85" t="s">
        <v>380</v>
      </c>
      <c r="D890" s="85"/>
      <c r="E890" s="85"/>
      <c r="F890" s="85"/>
      <c r="G890" s="406"/>
      <c r="H890" s="407"/>
      <c r="I890" s="85"/>
      <c r="J890" s="83" t="str">
        <f>IF(G890=$B$998,$A$998,IF(G890=$B$999,$A$999,IF(G890=$B$1000,$A$1000,IF(G890=$B$1001,$A$1001,IF(G890=$B$1002,$A$1002,"Not Calculated")))))</f>
        <v>Not Calculated</v>
      </c>
      <c r="K890" s="87"/>
    </row>
    <row r="891" spans="2:11" x14ac:dyDescent="0.2">
      <c r="B891" s="81"/>
      <c r="C891" s="85" t="s">
        <v>134</v>
      </c>
      <c r="D891" s="85"/>
      <c r="E891" s="85"/>
      <c r="F891" s="85"/>
      <c r="G891" s="85"/>
      <c r="H891" s="85"/>
      <c r="I891" s="85"/>
      <c r="J891" s="240">
        <f>'Baseline PHP'!J222</f>
        <v>0</v>
      </c>
      <c r="K891" s="87"/>
    </row>
    <row r="892" spans="2:11" x14ac:dyDescent="0.2">
      <c r="B892" s="81"/>
      <c r="C892" s="85"/>
      <c r="D892" s="85"/>
      <c r="E892" s="85"/>
      <c r="F892" s="85"/>
      <c r="G892" s="85"/>
      <c r="H892" s="85"/>
      <c r="I892" s="85"/>
      <c r="J892" s="85"/>
      <c r="K892" s="87"/>
    </row>
    <row r="893" spans="2:11" x14ac:dyDescent="0.2">
      <c r="B893" s="81"/>
      <c r="C893" s="85"/>
      <c r="D893" s="85"/>
      <c r="E893" s="85"/>
      <c r="F893" s="85"/>
      <c r="G893" s="85"/>
      <c r="H893" s="85"/>
      <c r="I893" s="85"/>
      <c r="J893" s="85"/>
      <c r="K893" s="87"/>
    </row>
    <row r="894" spans="2:11" ht="16" x14ac:dyDescent="0.2">
      <c r="B894" s="81"/>
      <c r="C894" s="212" t="s">
        <v>813</v>
      </c>
      <c r="D894" s="85"/>
      <c r="E894" s="85"/>
      <c r="F894" s="85"/>
      <c r="G894" s="85"/>
      <c r="H894" s="85"/>
      <c r="I894" s="85"/>
      <c r="J894" s="241" t="str">
        <f>IF(OR(J854="Not Calculated",J858="Not Calculated",J862="Not Calculated",J866="Not Calculated",J870="Not Calculated",J874="Not Calculated",J878="Not Calculated",J882="Not Calculated",J886="Not Calculated",J890="Not Calculated",J834="Not Calculated",J838="Not Calculated",J842="Not Calculated",J846="Not Calculated",J850="Not Calculated",J855="Not Calculated",J859="Not Calculated",J863="Not Calculated",J867="Not Calculated",J871="Not Calculated",J875="Not Calculated",J879="Not Calculated",J883="Not Calculated",J887="Not Calculated",J891="Not Calculated",J835="Not Calculated",J839="Not Calculated",J843="Not Calculated",J847="Not Calculated",J851="Not Calculated")=TRUE,"Not Calculated",((J834*J835)+(J838*J839)+(J842*J843)+(J846*J847)+(J850*J851)+(J854*J855)+(J858*J859)+(J862*J863)+(J866*J867)+(J870*J871)+(J874*J875)+(J878*J879)+(J882*J883)+(J886*J887)+(J890*J891))/(J834+J838+J842+J846+J850+J854+J858+J862+J866+J870+J874+J878+J882+J886+J890))</f>
        <v>Not Calculated</v>
      </c>
      <c r="K894" s="87"/>
    </row>
    <row r="895" spans="2:11" ht="16" thickBot="1" x14ac:dyDescent="0.25">
      <c r="B895" s="213"/>
      <c r="C895" s="94"/>
      <c r="D895" s="94"/>
      <c r="E895" s="94"/>
      <c r="F895" s="94"/>
      <c r="G895" s="94"/>
      <c r="H895" s="94"/>
      <c r="I895" s="94"/>
      <c r="J895" s="94"/>
      <c r="K895" s="96"/>
    </row>
    <row r="896" spans="2:11" ht="16" thickBot="1" x14ac:dyDescent="0.25"/>
    <row r="897" spans="2:11" x14ac:dyDescent="0.2">
      <c r="B897" s="77"/>
      <c r="C897" s="78"/>
      <c r="D897" s="78"/>
      <c r="E897" s="78"/>
      <c r="F897" s="78"/>
      <c r="G897" s="78"/>
      <c r="H897" s="78"/>
      <c r="I897" s="78"/>
      <c r="J897" s="78"/>
      <c r="K897" s="80"/>
    </row>
    <row r="898" spans="2:11" ht="21" x14ac:dyDescent="0.25">
      <c r="B898" s="81"/>
      <c r="C898" s="85"/>
      <c r="D898" s="85"/>
      <c r="E898" s="85"/>
      <c r="F898" s="85"/>
      <c r="G898" s="210" t="s">
        <v>807</v>
      </c>
      <c r="H898" s="85"/>
      <c r="I898" s="85"/>
      <c r="J898" s="85"/>
      <c r="K898" s="87"/>
    </row>
    <row r="899" spans="2:11" x14ac:dyDescent="0.2">
      <c r="B899" s="81"/>
      <c r="C899" s="85"/>
      <c r="D899" s="85"/>
      <c r="E899" s="85"/>
      <c r="F899" s="85"/>
      <c r="G899" s="85"/>
      <c r="H899" s="85"/>
      <c r="I899" s="85"/>
      <c r="J899" s="85"/>
      <c r="K899" s="87"/>
    </row>
    <row r="900" spans="2:11" ht="15" customHeight="1" x14ac:dyDescent="0.2">
      <c r="B900" s="81"/>
      <c r="C900" s="424" t="s">
        <v>809</v>
      </c>
      <c r="D900" s="424"/>
      <c r="E900" s="424"/>
      <c r="F900" s="424"/>
      <c r="G900" s="424"/>
      <c r="H900" s="424"/>
      <c r="I900" s="424"/>
      <c r="J900" s="424"/>
      <c r="K900" s="87"/>
    </row>
    <row r="901" spans="2:11" x14ac:dyDescent="0.2">
      <c r="B901" s="81"/>
      <c r="C901" s="424"/>
      <c r="D901" s="424"/>
      <c r="E901" s="424"/>
      <c r="F901" s="424"/>
      <c r="G901" s="424"/>
      <c r="H901" s="424"/>
      <c r="I901" s="424"/>
      <c r="J901" s="424"/>
      <c r="K901" s="87"/>
    </row>
    <row r="902" spans="2:11" x14ac:dyDescent="0.2">
      <c r="B902" s="81"/>
      <c r="C902" s="85"/>
      <c r="D902" s="85"/>
      <c r="E902" s="85"/>
      <c r="F902" s="85"/>
      <c r="G902" s="85"/>
      <c r="H902" s="85"/>
      <c r="I902" s="85"/>
      <c r="J902" s="85"/>
      <c r="K902" s="87"/>
    </row>
    <row r="903" spans="2:11" ht="16" x14ac:dyDescent="0.2">
      <c r="B903" s="81"/>
      <c r="C903" s="211" t="s">
        <v>810</v>
      </c>
      <c r="D903" s="85"/>
      <c r="E903" s="85"/>
      <c r="F903" s="85"/>
      <c r="G903" s="85"/>
      <c r="H903" s="85"/>
      <c r="I903" s="85"/>
      <c r="J903" s="85"/>
      <c r="K903" s="87"/>
    </row>
    <row r="904" spans="2:11" x14ac:dyDescent="0.2">
      <c r="B904" s="81"/>
      <c r="C904" s="85" t="s">
        <v>380</v>
      </c>
      <c r="D904" s="85"/>
      <c r="E904" s="85"/>
      <c r="F904" s="85"/>
      <c r="G904" s="406"/>
      <c r="H904" s="407"/>
      <c r="I904" s="85"/>
      <c r="J904" s="83" t="str">
        <f>IF(G904=$B$998,$A$998,IF(G904=$B$999,$A$999,IF(G904=$B$1000,$A$1000,IF(G904=$B$1001,$A$1001,IF(G904=$B$1002,$A$1002,"Not Calculated")))))</f>
        <v>Not Calculated</v>
      </c>
      <c r="K904" s="87"/>
    </row>
    <row r="905" spans="2:11" x14ac:dyDescent="0.2">
      <c r="B905" s="81"/>
      <c r="C905" s="85" t="s">
        <v>134</v>
      </c>
      <c r="D905" s="85"/>
      <c r="E905" s="85"/>
      <c r="F905" s="85"/>
      <c r="G905" s="85"/>
      <c r="H905" s="85"/>
      <c r="I905" s="85"/>
      <c r="J905" s="240">
        <f>'Baseline HP'!J22</f>
        <v>0</v>
      </c>
      <c r="K905" s="87"/>
    </row>
    <row r="906" spans="2:11" x14ac:dyDescent="0.2">
      <c r="B906" s="81"/>
      <c r="C906" s="85"/>
      <c r="D906" s="85"/>
      <c r="E906" s="85"/>
      <c r="F906" s="85"/>
      <c r="G906" s="85"/>
      <c r="H906" s="85"/>
      <c r="I906" s="85"/>
      <c r="J906" s="85"/>
      <c r="K906" s="87"/>
    </row>
    <row r="907" spans="2:11" ht="16" x14ac:dyDescent="0.2">
      <c r="B907" s="81"/>
      <c r="C907" s="211" t="s">
        <v>811</v>
      </c>
      <c r="D907" s="85"/>
      <c r="E907" s="85"/>
      <c r="F907" s="85"/>
      <c r="G907" s="85"/>
      <c r="H907" s="85"/>
      <c r="I907" s="85"/>
      <c r="J907" s="85"/>
      <c r="K907" s="87"/>
    </row>
    <row r="908" spans="2:11" x14ac:dyDescent="0.2">
      <c r="B908" s="81"/>
      <c r="C908" s="85" t="s">
        <v>380</v>
      </c>
      <c r="D908" s="85"/>
      <c r="E908" s="85"/>
      <c r="F908" s="85"/>
      <c r="G908" s="406"/>
      <c r="H908" s="407"/>
      <c r="I908" s="85"/>
      <c r="J908" s="83" t="str">
        <f>IF(G908=$B$998,$A$998,IF(G908=$B$999,$A$999,IF(G908=$B$1000,$A$1000,IF(G908=$B$1001,$A$1001,IF(G908=$B$1002,$A$1002,"Not Calculated")))))</f>
        <v>Not Calculated</v>
      </c>
      <c r="K908" s="87"/>
    </row>
    <row r="909" spans="2:11" x14ac:dyDescent="0.2">
      <c r="B909" s="81"/>
      <c r="C909" s="85" t="s">
        <v>134</v>
      </c>
      <c r="D909" s="85"/>
      <c r="E909" s="85"/>
      <c r="F909" s="85"/>
      <c r="G909" s="85"/>
      <c r="H909" s="85"/>
      <c r="I909" s="85"/>
      <c r="J909" s="240">
        <f>'Baseline HP'!J32</f>
        <v>0</v>
      </c>
      <c r="K909" s="87"/>
    </row>
    <row r="910" spans="2:11" x14ac:dyDescent="0.2">
      <c r="B910" s="81"/>
      <c r="C910" s="85"/>
      <c r="D910" s="85"/>
      <c r="E910" s="85"/>
      <c r="F910" s="85"/>
      <c r="G910" s="85"/>
      <c r="H910" s="85"/>
      <c r="I910" s="85"/>
      <c r="J910" s="85"/>
      <c r="K910" s="87"/>
    </row>
    <row r="911" spans="2:11" ht="16" x14ac:dyDescent="0.2">
      <c r="B911" s="81"/>
      <c r="C911" s="211" t="s">
        <v>645</v>
      </c>
      <c r="D911" s="85"/>
      <c r="E911" s="85"/>
      <c r="F911" s="85"/>
      <c r="G911" s="85"/>
      <c r="H911" s="85"/>
      <c r="I911" s="85"/>
      <c r="J911" s="85"/>
      <c r="K911" s="87"/>
    </row>
    <row r="912" spans="2:11" x14ac:dyDescent="0.2">
      <c r="B912" s="81"/>
      <c r="C912" s="85" t="s">
        <v>380</v>
      </c>
      <c r="D912" s="85"/>
      <c r="E912" s="85"/>
      <c r="F912" s="85"/>
      <c r="G912" s="406"/>
      <c r="H912" s="407"/>
      <c r="I912" s="85"/>
      <c r="J912" s="83" t="str">
        <f>IF(G912=$B$998,$A$998,IF(G912=$B$999,$A$999,IF(G912=$B$1000,$A$1000,IF(G912=$B$1001,$A$1001,IF(G912=$B$1002,$A$1002,"Not Calculated")))))</f>
        <v>Not Calculated</v>
      </c>
      <c r="K912" s="87"/>
    </row>
    <row r="913" spans="2:11" x14ac:dyDescent="0.2">
      <c r="B913" s="81"/>
      <c r="C913" s="85" t="s">
        <v>134</v>
      </c>
      <c r="D913" s="85"/>
      <c r="E913" s="85"/>
      <c r="F913" s="85"/>
      <c r="G913" s="85"/>
      <c r="H913" s="85"/>
      <c r="I913" s="85"/>
      <c r="J913" s="240">
        <f>'Baseline HP'!J46</f>
        <v>0</v>
      </c>
      <c r="K913" s="87"/>
    </row>
    <row r="914" spans="2:11" x14ac:dyDescent="0.2">
      <c r="B914" s="81"/>
      <c r="C914" s="85"/>
      <c r="D914" s="85"/>
      <c r="E914" s="85"/>
      <c r="F914" s="85"/>
      <c r="G914" s="85"/>
      <c r="H914" s="85"/>
      <c r="I914" s="85"/>
      <c r="J914" s="85"/>
      <c r="K914" s="87"/>
    </row>
    <row r="915" spans="2:11" ht="16" x14ac:dyDescent="0.2">
      <c r="B915" s="81"/>
      <c r="C915" s="211" t="s">
        <v>648</v>
      </c>
      <c r="D915" s="85"/>
      <c r="E915" s="85"/>
      <c r="F915" s="85"/>
      <c r="G915" s="85"/>
      <c r="H915" s="85"/>
      <c r="I915" s="85"/>
      <c r="J915" s="85"/>
      <c r="K915" s="87"/>
    </row>
    <row r="916" spans="2:11" ht="15" customHeight="1" x14ac:dyDescent="0.2">
      <c r="B916" s="81"/>
      <c r="C916" s="85" t="s">
        <v>380</v>
      </c>
      <c r="D916" s="85"/>
      <c r="E916" s="85"/>
      <c r="F916" s="85"/>
      <c r="G916" s="406"/>
      <c r="H916" s="407"/>
      <c r="I916" s="85"/>
      <c r="J916" s="83" t="str">
        <f>IF(G916=$B$998,$A$998,IF(G916=$B$999,$A$999,IF(G916=$B$1000,$A$1000,IF(G916=$B$1001,$A$1001,IF(G916=$B$1002,$A$1002,"Not Calculated")))))</f>
        <v>Not Calculated</v>
      </c>
      <c r="K916" s="87"/>
    </row>
    <row r="917" spans="2:11" x14ac:dyDescent="0.2">
      <c r="B917" s="81"/>
      <c r="C917" s="85" t="s">
        <v>134</v>
      </c>
      <c r="D917" s="85"/>
      <c r="E917" s="85"/>
      <c r="F917" s="85"/>
      <c r="G917" s="85"/>
      <c r="H917" s="85"/>
      <c r="I917" s="85"/>
      <c r="J917" s="240">
        <f>'Baseline HP'!J58</f>
        <v>0</v>
      </c>
      <c r="K917" s="87"/>
    </row>
    <row r="918" spans="2:11" x14ac:dyDescent="0.2">
      <c r="B918" s="81"/>
      <c r="C918" s="85"/>
      <c r="D918" s="85"/>
      <c r="E918" s="85"/>
      <c r="F918" s="85"/>
      <c r="G918" s="85"/>
      <c r="H918" s="85"/>
      <c r="I918" s="85"/>
      <c r="J918" s="85"/>
      <c r="K918" s="87"/>
    </row>
    <row r="919" spans="2:11" ht="16" x14ac:dyDescent="0.2">
      <c r="B919" s="81"/>
      <c r="C919" s="211" t="s">
        <v>647</v>
      </c>
      <c r="D919" s="85"/>
      <c r="E919" s="85"/>
      <c r="F919" s="85"/>
      <c r="G919" s="85"/>
      <c r="H919" s="85"/>
      <c r="I919" s="85"/>
      <c r="J919" s="85"/>
      <c r="K919" s="87"/>
    </row>
    <row r="920" spans="2:11" x14ac:dyDescent="0.2">
      <c r="B920" s="81"/>
      <c r="C920" s="85" t="s">
        <v>380</v>
      </c>
      <c r="D920" s="85"/>
      <c r="E920" s="85"/>
      <c r="F920" s="85"/>
      <c r="G920" s="406"/>
      <c r="H920" s="407"/>
      <c r="I920" s="85"/>
      <c r="J920" s="83" t="str">
        <f>IF(G920=$B$998,$A$998,IF(G920=$B$999,$A$999,IF(G920=$B$1000,$A$1000,IF(G920=$B$1001,$A$1001,IF(G920=$B$1002,$A$1002,"Not Calculated")))))</f>
        <v>Not Calculated</v>
      </c>
      <c r="K920" s="87"/>
    </row>
    <row r="921" spans="2:11" x14ac:dyDescent="0.2">
      <c r="B921" s="81"/>
      <c r="C921" s="85" t="s">
        <v>134</v>
      </c>
      <c r="D921" s="85"/>
      <c r="E921" s="85"/>
      <c r="F921" s="85"/>
      <c r="G921" s="85"/>
      <c r="H921" s="85"/>
      <c r="I921" s="85"/>
      <c r="J921" s="240">
        <f>'Baseline HP'!J68</f>
        <v>0</v>
      </c>
      <c r="K921" s="87"/>
    </row>
    <row r="922" spans="2:11" x14ac:dyDescent="0.2">
      <c r="B922" s="81"/>
      <c r="C922" s="85"/>
      <c r="D922" s="85"/>
      <c r="E922" s="85"/>
      <c r="F922" s="85"/>
      <c r="G922" s="85"/>
      <c r="H922" s="85"/>
      <c r="I922" s="85"/>
      <c r="J922" s="85"/>
      <c r="K922" s="87"/>
    </row>
    <row r="923" spans="2:11" ht="16" x14ac:dyDescent="0.2">
      <c r="B923" s="81"/>
      <c r="C923" s="211" t="s">
        <v>121</v>
      </c>
      <c r="D923" s="85"/>
      <c r="E923" s="85"/>
      <c r="F923" s="85"/>
      <c r="G923" s="85"/>
      <c r="H923" s="85"/>
      <c r="I923" s="85"/>
      <c r="J923" s="85"/>
      <c r="K923" s="87"/>
    </row>
    <row r="924" spans="2:11" x14ac:dyDescent="0.2">
      <c r="B924" s="81"/>
      <c r="C924" s="85" t="s">
        <v>380</v>
      </c>
      <c r="D924" s="85"/>
      <c r="E924" s="85"/>
      <c r="F924" s="85"/>
      <c r="G924" s="406"/>
      <c r="H924" s="407"/>
      <c r="I924" s="85"/>
      <c r="J924" s="83" t="str">
        <f>IF(G924=$B$998,$A$998,IF(G924=$B$999,$A$999,IF(G924=$B$1000,$A$1000,IF(G924=$B$1001,$A$1001,IF(G924=$B$1002,$A$1002,"Not Calculated")))))</f>
        <v>Not Calculated</v>
      </c>
      <c r="K924" s="87"/>
    </row>
    <row r="925" spans="2:11" x14ac:dyDescent="0.2">
      <c r="B925" s="81"/>
      <c r="C925" s="85" t="s">
        <v>134</v>
      </c>
      <c r="D925" s="85"/>
      <c r="E925" s="85"/>
      <c r="F925" s="85"/>
      <c r="G925" s="85"/>
      <c r="H925" s="85"/>
      <c r="I925" s="85"/>
      <c r="J925" s="240">
        <f>'Baseline HP'!J84</f>
        <v>0</v>
      </c>
      <c r="K925" s="87"/>
    </row>
    <row r="926" spans="2:11" x14ac:dyDescent="0.2">
      <c r="B926" s="81"/>
      <c r="C926" s="85"/>
      <c r="D926" s="85"/>
      <c r="E926" s="85"/>
      <c r="F926" s="85"/>
      <c r="G926" s="85"/>
      <c r="H926" s="85"/>
      <c r="I926" s="85"/>
      <c r="J926" s="85"/>
      <c r="K926" s="87"/>
    </row>
    <row r="927" spans="2:11" ht="16" x14ac:dyDescent="0.2">
      <c r="B927" s="81"/>
      <c r="C927" s="211" t="s">
        <v>652</v>
      </c>
      <c r="D927" s="85"/>
      <c r="E927" s="85"/>
      <c r="F927" s="85"/>
      <c r="G927" s="85"/>
      <c r="H927" s="85"/>
      <c r="I927" s="85"/>
      <c r="J927" s="85"/>
      <c r="K927" s="87"/>
    </row>
    <row r="928" spans="2:11" x14ac:dyDescent="0.2">
      <c r="B928" s="81"/>
      <c r="C928" s="85" t="s">
        <v>380</v>
      </c>
      <c r="D928" s="85"/>
      <c r="E928" s="85"/>
      <c r="F928" s="85"/>
      <c r="G928" s="406"/>
      <c r="H928" s="407"/>
      <c r="I928" s="85"/>
      <c r="J928" s="83" t="str">
        <f>IF(G928=$B$998,$A$998,IF(G928=$B$999,$A$999,IF(G928=$B$1000,$A$1000,IF(G928=$B$1001,$A$1001,IF(G928=$B$1002,$A$1002,"Not Calculated")))))</f>
        <v>Not Calculated</v>
      </c>
      <c r="K928" s="87"/>
    </row>
    <row r="929" spans="2:11" x14ac:dyDescent="0.2">
      <c r="B929" s="81"/>
      <c r="C929" s="85" t="s">
        <v>134</v>
      </c>
      <c r="D929" s="85"/>
      <c r="E929" s="85"/>
      <c r="F929" s="85"/>
      <c r="G929" s="85"/>
      <c r="H929" s="85"/>
      <c r="I929" s="85"/>
      <c r="J929" s="240">
        <f>'Baseline HP'!J94</f>
        <v>0</v>
      </c>
      <c r="K929" s="87"/>
    </row>
    <row r="930" spans="2:11" x14ac:dyDescent="0.2">
      <c r="B930" s="81"/>
      <c r="C930" s="85"/>
      <c r="D930" s="85"/>
      <c r="E930" s="85"/>
      <c r="F930" s="85"/>
      <c r="G930" s="85"/>
      <c r="H930" s="85"/>
      <c r="I930" s="85"/>
      <c r="J930" s="85"/>
      <c r="K930" s="87"/>
    </row>
    <row r="931" spans="2:11" ht="16" x14ac:dyDescent="0.2">
      <c r="B931" s="81"/>
      <c r="C931" s="211" t="s">
        <v>653</v>
      </c>
      <c r="D931" s="85"/>
      <c r="E931" s="85"/>
      <c r="F931" s="85"/>
      <c r="G931" s="85"/>
      <c r="H931" s="85"/>
      <c r="I931" s="85"/>
      <c r="J931" s="85"/>
      <c r="K931" s="87"/>
    </row>
    <row r="932" spans="2:11" x14ac:dyDescent="0.2">
      <c r="B932" s="81"/>
      <c r="C932" s="85" t="s">
        <v>380</v>
      </c>
      <c r="D932" s="85"/>
      <c r="E932" s="85"/>
      <c r="F932" s="85"/>
      <c r="G932" s="406"/>
      <c r="H932" s="407"/>
      <c r="I932" s="85"/>
      <c r="J932" s="83" t="str">
        <f>IF(G932=$B$998,$A$998,IF(G932=$B$999,$A$999,IF(G932=$B$1000,$A$1000,IF(G932=$B$1001,$A$1001,IF(G932=$B$1002,$A$1002,"Not Calculated")))))</f>
        <v>Not Calculated</v>
      </c>
      <c r="K932" s="87"/>
    </row>
    <row r="933" spans="2:11" x14ac:dyDescent="0.2">
      <c r="B933" s="81"/>
      <c r="C933" s="85" t="s">
        <v>134</v>
      </c>
      <c r="D933" s="85"/>
      <c r="E933" s="85"/>
      <c r="F933" s="85"/>
      <c r="G933" s="85"/>
      <c r="H933" s="85"/>
      <c r="I933" s="85"/>
      <c r="J933" s="240">
        <f>'Baseline HP'!J108</f>
        <v>0</v>
      </c>
      <c r="K933" s="87"/>
    </row>
    <row r="934" spans="2:11" x14ac:dyDescent="0.2">
      <c r="B934" s="81"/>
      <c r="C934" s="85"/>
      <c r="D934" s="85"/>
      <c r="E934" s="85"/>
      <c r="F934" s="85"/>
      <c r="G934" s="85"/>
      <c r="H934" s="85"/>
      <c r="I934" s="85"/>
      <c r="J934" s="85"/>
      <c r="K934" s="87"/>
    </row>
    <row r="935" spans="2:11" x14ac:dyDescent="0.2">
      <c r="B935" s="81"/>
      <c r="C935" s="85"/>
      <c r="D935" s="85"/>
      <c r="E935" s="85"/>
      <c r="F935" s="85"/>
      <c r="G935" s="85"/>
      <c r="H935" s="85"/>
      <c r="I935" s="85"/>
      <c r="J935" s="85"/>
      <c r="K935" s="87"/>
    </row>
    <row r="936" spans="2:11" ht="16" x14ac:dyDescent="0.2">
      <c r="B936" s="81"/>
      <c r="C936" s="212" t="s">
        <v>812</v>
      </c>
      <c r="D936" s="85"/>
      <c r="E936" s="85"/>
      <c r="F936" s="85"/>
      <c r="G936" s="85"/>
      <c r="H936" s="85"/>
      <c r="I936" s="85"/>
      <c r="J936" s="241" t="str">
        <f>IF(OR(J920="Not Calculated",J924="Not Calculated",J928="Not Calculated",J932="Not Calculated",J904="Not Calculated",J908="Not Calculated",J912="Not Calculated",J916="Not Calculated",J921="Not Calculated",J925="Not Calculated",J929="Not Calculated",J933="Not Calculated",J905="Not Calculated",J909="Not Calculated",J913="Not Calculated",J917="Not Calculated")=TRUE,"Not Calculated",((J904*J905)+(J908*J909)+(J912*J913)+(J916*J917)+(J920*J921)+(J924*J925)+(J928*J929)+(J932*J933))/(J904+J908+J912+J916+J920+J924+J928+J932))</f>
        <v>Not Calculated</v>
      </c>
      <c r="K936" s="87"/>
    </row>
    <row r="937" spans="2:11" ht="16" thickBot="1" x14ac:dyDescent="0.25">
      <c r="B937" s="213"/>
      <c r="C937" s="94"/>
      <c r="D937" s="94"/>
      <c r="E937" s="94"/>
      <c r="F937" s="94"/>
      <c r="G937" s="94"/>
      <c r="H937" s="94"/>
      <c r="I937" s="94"/>
      <c r="J937" s="94"/>
      <c r="K937" s="96"/>
    </row>
    <row r="938" spans="2:11" ht="16" thickBot="1" x14ac:dyDescent="0.25"/>
    <row r="939" spans="2:11" x14ac:dyDescent="0.2">
      <c r="B939" s="77"/>
      <c r="C939" s="78"/>
      <c r="D939" s="78"/>
      <c r="E939" s="78"/>
      <c r="F939" s="78"/>
      <c r="G939" s="78"/>
      <c r="H939" s="78"/>
      <c r="I939" s="78"/>
      <c r="J939" s="78"/>
      <c r="K939" s="80"/>
    </row>
    <row r="940" spans="2:11" ht="21" x14ac:dyDescent="0.25">
      <c r="B940" s="81"/>
      <c r="C940" s="85"/>
      <c r="D940" s="85"/>
      <c r="E940" s="85"/>
      <c r="F940" s="85"/>
      <c r="G940" s="210" t="s">
        <v>815</v>
      </c>
      <c r="H940" s="85"/>
      <c r="I940" s="85"/>
      <c r="J940" s="85"/>
      <c r="K940" s="87"/>
    </row>
    <row r="941" spans="2:11" ht="21" x14ac:dyDescent="0.25">
      <c r="B941" s="81"/>
      <c r="C941" s="85"/>
      <c r="D941" s="85"/>
      <c r="E941" s="85"/>
      <c r="F941" s="85"/>
      <c r="G941" s="210"/>
      <c r="H941" s="85"/>
      <c r="I941" s="85"/>
      <c r="J941" s="85"/>
      <c r="K941" s="87"/>
    </row>
    <row r="942" spans="2:11" ht="16" x14ac:dyDescent="0.2">
      <c r="B942" s="81"/>
      <c r="C942" s="212" t="s">
        <v>995</v>
      </c>
      <c r="D942" s="85"/>
      <c r="E942" s="85"/>
      <c r="F942" s="85"/>
      <c r="G942" s="85"/>
      <c r="H942" s="85"/>
      <c r="I942" s="85"/>
      <c r="J942" s="241" t="str">
        <f>IF(OR(J936="Not Calculated",J894="Not Calculated")=TRUE,"Not Calculated",AVERAGE(J936,J894))</f>
        <v>Not Calculated</v>
      </c>
      <c r="K942" s="87"/>
    </row>
    <row r="943" spans="2:11" ht="16" x14ac:dyDescent="0.2">
      <c r="B943" s="81"/>
      <c r="C943" s="212"/>
      <c r="D943" s="85" t="s">
        <v>814</v>
      </c>
      <c r="E943" s="85"/>
      <c r="F943" s="85"/>
      <c r="G943" s="85"/>
      <c r="H943" s="85"/>
      <c r="I943" s="85"/>
      <c r="J943" s="241"/>
      <c r="K943" s="87"/>
    </row>
    <row r="944" spans="2:11" ht="17" thickBot="1" x14ac:dyDescent="0.25">
      <c r="B944" s="213"/>
      <c r="C944" s="227"/>
      <c r="D944" s="94"/>
      <c r="E944" s="94"/>
      <c r="F944" s="94"/>
      <c r="G944" s="94"/>
      <c r="H944" s="94"/>
      <c r="I944" s="94"/>
      <c r="J944" s="228"/>
      <c r="K944" s="96"/>
    </row>
    <row r="945" spans="2:11" ht="16" thickBot="1" x14ac:dyDescent="0.25"/>
    <row r="946" spans="2:11" x14ac:dyDescent="0.2">
      <c r="B946" s="214"/>
      <c r="C946" s="215"/>
      <c r="D946" s="215"/>
      <c r="E946" s="215"/>
      <c r="F946" s="215"/>
      <c r="G946" s="215"/>
      <c r="H946" s="215"/>
      <c r="I946" s="215"/>
      <c r="J946" s="215"/>
      <c r="K946" s="216"/>
    </row>
    <row r="947" spans="2:11" ht="21" x14ac:dyDescent="0.25">
      <c r="B947" s="217"/>
      <c r="C947" s="218"/>
      <c r="D947" s="218"/>
      <c r="E947" s="218"/>
      <c r="F947" s="218"/>
      <c r="G947" s="219" t="s">
        <v>239</v>
      </c>
      <c r="H947" s="218"/>
      <c r="I947" s="218"/>
      <c r="J947" s="218"/>
      <c r="K947" s="220"/>
    </row>
    <row r="948" spans="2:11" x14ac:dyDescent="0.2">
      <c r="B948" s="217"/>
      <c r="C948" s="218"/>
      <c r="D948" s="218"/>
      <c r="E948" s="218"/>
      <c r="F948" s="218"/>
      <c r="G948" s="218"/>
      <c r="H948" s="218"/>
      <c r="I948" s="218"/>
      <c r="J948" s="218"/>
      <c r="K948" s="220"/>
    </row>
    <row r="949" spans="2:11" ht="16" x14ac:dyDescent="0.2">
      <c r="B949" s="217"/>
      <c r="C949" s="221" t="s">
        <v>393</v>
      </c>
      <c r="D949" s="218"/>
      <c r="E949" s="218"/>
      <c r="F949" s="218"/>
      <c r="G949" s="218"/>
      <c r="H949" s="218"/>
      <c r="I949" s="218"/>
      <c r="J949" s="242" t="str">
        <f>IF(OR(J817="Not Calculated",J942="Not Calculated")=TRUE,"Not Calculated",J817/J942)</f>
        <v>Not Calculated</v>
      </c>
      <c r="K949" s="220"/>
    </row>
    <row r="950" spans="2:11" x14ac:dyDescent="0.2">
      <c r="B950" s="217"/>
      <c r="C950" s="218"/>
      <c r="D950" s="218" t="s">
        <v>816</v>
      </c>
      <c r="E950" s="218"/>
      <c r="F950" s="218"/>
      <c r="G950" s="218"/>
      <c r="H950" s="218"/>
      <c r="I950" s="218"/>
      <c r="J950" s="218"/>
      <c r="K950" s="220"/>
    </row>
    <row r="951" spans="2:11" x14ac:dyDescent="0.2">
      <c r="B951" s="217"/>
      <c r="C951" s="218"/>
      <c r="D951" s="218"/>
      <c r="E951" s="218"/>
      <c r="F951" s="218"/>
      <c r="G951" s="218"/>
      <c r="H951" s="218"/>
      <c r="I951" s="218"/>
      <c r="J951" s="218"/>
      <c r="K951" s="220"/>
    </row>
    <row r="952" spans="2:11" ht="16" x14ac:dyDescent="0.2">
      <c r="B952" s="217"/>
      <c r="C952" s="221" t="s">
        <v>996</v>
      </c>
      <c r="D952" s="218"/>
      <c r="E952" s="218"/>
      <c r="F952" s="218"/>
      <c r="G952" s="218"/>
      <c r="H952" s="218"/>
      <c r="I952" s="218"/>
      <c r="J952" s="242" t="str">
        <f>IF(OR(J820="Not Calculated",J894="Not Calculated")=TRUE,"Not Calculated",J820/J894)</f>
        <v>Not Calculated</v>
      </c>
      <c r="K952" s="220"/>
    </row>
    <row r="953" spans="2:11" x14ac:dyDescent="0.2">
      <c r="B953" s="217"/>
      <c r="C953" s="218"/>
      <c r="D953" s="218" t="s">
        <v>817</v>
      </c>
      <c r="E953" s="218"/>
      <c r="F953" s="218"/>
      <c r="G953" s="218"/>
      <c r="H953" s="218"/>
      <c r="I953" s="218"/>
      <c r="J953" s="218"/>
      <c r="K953" s="220"/>
    </row>
    <row r="954" spans="2:11" x14ac:dyDescent="0.2">
      <c r="B954" s="217"/>
      <c r="C954" s="218"/>
      <c r="D954" s="218"/>
      <c r="E954" s="218"/>
      <c r="F954" s="218"/>
      <c r="G954" s="218"/>
      <c r="H954" s="218"/>
      <c r="I954" s="218"/>
      <c r="J954" s="218"/>
      <c r="K954" s="220"/>
    </row>
    <row r="955" spans="2:11" ht="16" x14ac:dyDescent="0.2">
      <c r="B955" s="217"/>
      <c r="C955" s="221" t="s">
        <v>997</v>
      </c>
      <c r="D955" s="218"/>
      <c r="E955" s="218"/>
      <c r="F955" s="218"/>
      <c r="G955" s="218"/>
      <c r="H955" s="218"/>
      <c r="I955" s="218"/>
      <c r="J955" s="242" t="str">
        <f>IF(OR(J936="Not Calculated",J823="Not Calculated")=TRUE,"Not Calculated",J823/J936)</f>
        <v>Not Calculated</v>
      </c>
      <c r="K955" s="220"/>
    </row>
    <row r="956" spans="2:11" x14ac:dyDescent="0.2">
      <c r="B956" s="217"/>
      <c r="C956" s="218"/>
      <c r="D956" s="218" t="s">
        <v>818</v>
      </c>
      <c r="E956" s="218"/>
      <c r="F956" s="218"/>
      <c r="G956" s="218"/>
      <c r="H956" s="218"/>
      <c r="I956" s="218"/>
      <c r="J956" s="218"/>
      <c r="K956" s="220"/>
    </row>
    <row r="957" spans="2:11" ht="16" thickBot="1" x14ac:dyDescent="0.25">
      <c r="B957" s="222"/>
      <c r="C957" s="223"/>
      <c r="D957" s="223"/>
      <c r="E957" s="223"/>
      <c r="F957" s="223"/>
      <c r="G957" s="223"/>
      <c r="H957" s="223"/>
      <c r="I957" s="223"/>
      <c r="J957" s="223"/>
      <c r="K957" s="224"/>
    </row>
    <row r="959" spans="2:11" ht="15" customHeight="1" x14ac:dyDescent="0.2">
      <c r="F959" s="405"/>
      <c r="G959" s="405"/>
      <c r="H959" s="405"/>
    </row>
    <row r="960" spans="2:11" x14ac:dyDescent="0.2">
      <c r="F960" s="405"/>
      <c r="G960" s="405"/>
      <c r="H960" s="405"/>
    </row>
    <row r="965" spans="1:3" ht="15" hidden="1" customHeight="1" x14ac:dyDescent="0.2">
      <c r="A965" s="12" t="s">
        <v>228</v>
      </c>
    </row>
    <row r="966" spans="1:3" ht="15" hidden="1" customHeight="1" x14ac:dyDescent="0.2">
      <c r="A966" s="12">
        <v>0</v>
      </c>
      <c r="B966" s="12" t="s">
        <v>250</v>
      </c>
      <c r="C966" s="12" t="s">
        <v>240</v>
      </c>
    </row>
    <row r="967" spans="1:3" ht="15" hidden="1" customHeight="1" x14ac:dyDescent="0.2">
      <c r="A967" s="12">
        <v>1</v>
      </c>
      <c r="B967" s="12" t="s">
        <v>251</v>
      </c>
      <c r="C967" s="12" t="s">
        <v>241</v>
      </c>
    </row>
    <row r="968" spans="1:3" ht="15" hidden="1" customHeight="1" x14ac:dyDescent="0.2">
      <c r="A968" s="12">
        <v>2</v>
      </c>
      <c r="B968" s="12" t="s">
        <v>252</v>
      </c>
      <c r="C968" s="12" t="s">
        <v>242</v>
      </c>
    </row>
    <row r="969" spans="1:3" ht="15" hidden="1" customHeight="1" x14ac:dyDescent="0.2">
      <c r="A969" s="12">
        <v>3</v>
      </c>
      <c r="B969" s="12" t="s">
        <v>253</v>
      </c>
      <c r="C969" s="12" t="s">
        <v>227</v>
      </c>
    </row>
    <row r="970" spans="1:3" ht="15" hidden="1" customHeight="1" x14ac:dyDescent="0.2">
      <c r="A970" s="12">
        <v>4</v>
      </c>
      <c r="B970" s="12" t="s">
        <v>254</v>
      </c>
      <c r="C970" s="12" t="s">
        <v>243</v>
      </c>
    </row>
    <row r="971" spans="1:3" ht="15" hidden="1" customHeight="1" x14ac:dyDescent="0.2"/>
    <row r="972" spans="1:3" ht="15" hidden="1" customHeight="1" x14ac:dyDescent="0.2">
      <c r="A972" s="12" t="s">
        <v>259</v>
      </c>
    </row>
    <row r="973" spans="1:3" ht="15" hidden="1" customHeight="1" x14ac:dyDescent="0.2">
      <c r="A973" s="12">
        <v>0</v>
      </c>
      <c r="B973" s="225" t="s">
        <v>870</v>
      </c>
    </row>
    <row r="974" spans="1:3" ht="15" hidden="1" customHeight="1" x14ac:dyDescent="0.2">
      <c r="A974" s="12">
        <v>1</v>
      </c>
      <c r="B974" s="12" t="s">
        <v>880</v>
      </c>
    </row>
    <row r="975" spans="1:3" ht="15" hidden="1" customHeight="1" x14ac:dyDescent="0.2">
      <c r="A975" s="12">
        <v>2</v>
      </c>
      <c r="B975" s="12" t="s">
        <v>872</v>
      </c>
    </row>
    <row r="976" spans="1:3" ht="15" hidden="1" customHeight="1" x14ac:dyDescent="0.2">
      <c r="A976" s="12">
        <v>3</v>
      </c>
      <c r="B976" s="12" t="s">
        <v>873</v>
      </c>
    </row>
    <row r="977" spans="1:2" ht="15" hidden="1" customHeight="1" x14ac:dyDescent="0.2">
      <c r="A977" s="12">
        <v>4</v>
      </c>
      <c r="B977" s="12" t="s">
        <v>874</v>
      </c>
    </row>
    <row r="978" spans="1:2" ht="15" hidden="1" customHeight="1" x14ac:dyDescent="0.2"/>
    <row r="979" spans="1:2" ht="15" hidden="1" customHeight="1" x14ac:dyDescent="0.2">
      <c r="A979" s="12" t="s">
        <v>294</v>
      </c>
    </row>
    <row r="980" spans="1:2" ht="15" hidden="1" customHeight="1" x14ac:dyDescent="0.2">
      <c r="A980" s="12">
        <v>0</v>
      </c>
      <c r="B980" s="225" t="s">
        <v>870</v>
      </c>
    </row>
    <row r="981" spans="1:2" ht="15" hidden="1" customHeight="1" x14ac:dyDescent="0.2">
      <c r="A981" s="12">
        <v>1</v>
      </c>
      <c r="B981" s="12" t="s">
        <v>875</v>
      </c>
    </row>
    <row r="982" spans="1:2" ht="15" hidden="1" customHeight="1" x14ac:dyDescent="0.2">
      <c r="A982" s="12">
        <v>2</v>
      </c>
      <c r="B982" s="12" t="s">
        <v>876</v>
      </c>
    </row>
    <row r="983" spans="1:2" ht="15" hidden="1" customHeight="1" x14ac:dyDescent="0.2">
      <c r="A983" s="12">
        <v>3</v>
      </c>
      <c r="B983" s="12" t="s">
        <v>877</v>
      </c>
    </row>
    <row r="984" spans="1:2" ht="15" hidden="1" customHeight="1" x14ac:dyDescent="0.2">
      <c r="A984" s="12">
        <v>4</v>
      </c>
      <c r="B984" s="12" t="s">
        <v>878</v>
      </c>
    </row>
    <row r="985" spans="1:2" ht="15" hidden="1" customHeight="1" x14ac:dyDescent="0.2"/>
    <row r="986" spans="1:2" ht="15" hidden="1" customHeight="1" x14ac:dyDescent="0.2">
      <c r="A986" s="12" t="s">
        <v>244</v>
      </c>
    </row>
    <row r="987" spans="1:2" ht="15" hidden="1" customHeight="1" x14ac:dyDescent="0.2">
      <c r="A987" s="12">
        <v>0</v>
      </c>
      <c r="B987" s="12" t="s">
        <v>245</v>
      </c>
    </row>
    <row r="988" spans="1:2" ht="15" hidden="1" customHeight="1" x14ac:dyDescent="0.2">
      <c r="A988" s="12">
        <v>1</v>
      </c>
      <c r="B988" s="12" t="s">
        <v>246</v>
      </c>
    </row>
    <row r="989" spans="1:2" ht="15" hidden="1" customHeight="1" x14ac:dyDescent="0.2">
      <c r="A989" s="12">
        <v>2</v>
      </c>
      <c r="B989" s="12" t="s">
        <v>247</v>
      </c>
    </row>
    <row r="990" spans="1:2" ht="15" hidden="1" customHeight="1" x14ac:dyDescent="0.2">
      <c r="A990" s="12">
        <v>3</v>
      </c>
      <c r="B990" s="12" t="s">
        <v>229</v>
      </c>
    </row>
    <row r="991" spans="1:2" ht="15" hidden="1" customHeight="1" x14ac:dyDescent="0.2">
      <c r="A991" s="12">
        <v>4</v>
      </c>
      <c r="B991" s="12" t="s">
        <v>248</v>
      </c>
    </row>
    <row r="992" spans="1:2" ht="15" hidden="1" customHeight="1" x14ac:dyDescent="0.2"/>
    <row r="993" spans="1:11" ht="15" hidden="1" customHeight="1" x14ac:dyDescent="0.2">
      <c r="A993" s="12" t="s">
        <v>381</v>
      </c>
    </row>
    <row r="994" spans="1:11" ht="15" hidden="1" customHeight="1" x14ac:dyDescent="0.2">
      <c r="A994" s="12">
        <v>0</v>
      </c>
      <c r="B994" s="12" t="s">
        <v>202</v>
      </c>
    </row>
    <row r="995" spans="1:11" ht="15" hidden="1" customHeight="1" x14ac:dyDescent="0.2">
      <c r="A995" s="12">
        <v>1</v>
      </c>
      <c r="B995" s="12" t="s">
        <v>190</v>
      </c>
    </row>
    <row r="996" spans="1:11" ht="15" hidden="1" customHeight="1" x14ac:dyDescent="0.2"/>
    <row r="997" spans="1:11" ht="15" hidden="1" customHeight="1" x14ac:dyDescent="0.2">
      <c r="A997" s="12" t="s">
        <v>249</v>
      </c>
    </row>
    <row r="998" spans="1:11" ht="15" hidden="1" customHeight="1" x14ac:dyDescent="0.2">
      <c r="A998" s="12">
        <v>0</v>
      </c>
      <c r="B998" s="12" t="s">
        <v>236</v>
      </c>
    </row>
    <row r="999" spans="1:11" ht="15" hidden="1" customHeight="1" x14ac:dyDescent="0.2">
      <c r="A999" s="12">
        <v>1</v>
      </c>
      <c r="B999" s="12" t="s">
        <v>237</v>
      </c>
    </row>
    <row r="1000" spans="1:11" ht="15" hidden="1" customHeight="1" x14ac:dyDescent="0.2">
      <c r="A1000" s="12">
        <v>2</v>
      </c>
      <c r="B1000" s="12" t="s">
        <v>235</v>
      </c>
    </row>
    <row r="1001" spans="1:11" ht="15" hidden="1" customHeight="1" x14ac:dyDescent="0.2">
      <c r="A1001" s="12">
        <v>3</v>
      </c>
      <c r="B1001" s="12" t="s">
        <v>238</v>
      </c>
    </row>
    <row r="1002" spans="1:11" ht="15" hidden="1" customHeight="1" x14ac:dyDescent="0.2">
      <c r="A1002" s="12">
        <v>4</v>
      </c>
      <c r="B1002" s="12" t="s">
        <v>234</v>
      </c>
    </row>
    <row r="1003" spans="1:11" ht="15" customHeight="1" x14ac:dyDescent="0.2">
      <c r="B1003" s="12" t="s">
        <v>685</v>
      </c>
    </row>
    <row r="1004" spans="1:11" ht="15" customHeight="1" x14ac:dyDescent="0.2">
      <c r="B1004" s="402"/>
      <c r="C1004" s="403"/>
      <c r="D1004" s="403"/>
      <c r="E1004" s="403"/>
      <c r="F1004" s="403"/>
      <c r="G1004" s="403"/>
      <c r="H1004" s="403"/>
      <c r="I1004" s="403"/>
      <c r="J1004" s="403"/>
      <c r="K1004" s="404"/>
    </row>
    <row r="1005" spans="1:11" ht="15" customHeight="1" x14ac:dyDescent="0.2">
      <c r="B1005" s="396"/>
      <c r="C1005" s="397"/>
      <c r="D1005" s="397"/>
      <c r="E1005" s="397"/>
      <c r="F1005" s="397"/>
      <c r="G1005" s="397"/>
      <c r="H1005" s="397"/>
      <c r="I1005" s="397"/>
      <c r="J1005" s="397"/>
      <c r="K1005" s="398"/>
    </row>
    <row r="1006" spans="1:11" ht="15" customHeight="1" x14ac:dyDescent="0.2">
      <c r="B1006" s="396"/>
      <c r="C1006" s="397"/>
      <c r="D1006" s="397"/>
      <c r="E1006" s="397"/>
      <c r="F1006" s="397"/>
      <c r="G1006" s="397"/>
      <c r="H1006" s="397"/>
      <c r="I1006" s="397"/>
      <c r="J1006" s="397"/>
      <c r="K1006" s="398"/>
    </row>
    <row r="1007" spans="1:11" ht="15" customHeight="1" x14ac:dyDescent="0.2">
      <c r="B1007" s="396"/>
      <c r="C1007" s="397"/>
      <c r="D1007" s="397"/>
      <c r="E1007" s="397"/>
      <c r="F1007" s="397"/>
      <c r="G1007" s="397"/>
      <c r="H1007" s="397"/>
      <c r="I1007" s="397"/>
      <c r="J1007" s="397"/>
      <c r="K1007" s="398"/>
    </row>
    <row r="1008" spans="1:11" ht="15" customHeight="1" x14ac:dyDescent="0.2">
      <c r="B1008" s="396"/>
      <c r="C1008" s="397"/>
      <c r="D1008" s="397"/>
      <c r="E1008" s="397"/>
      <c r="F1008" s="397"/>
      <c r="G1008" s="397"/>
      <c r="H1008" s="397"/>
      <c r="I1008" s="397"/>
      <c r="J1008" s="397"/>
      <c r="K1008" s="398"/>
    </row>
    <row r="1009" spans="2:11" ht="15" customHeight="1" x14ac:dyDescent="0.2">
      <c r="B1009" s="396"/>
      <c r="C1009" s="397"/>
      <c r="D1009" s="397"/>
      <c r="E1009" s="397"/>
      <c r="F1009" s="397"/>
      <c r="G1009" s="397"/>
      <c r="H1009" s="397"/>
      <c r="I1009" s="397"/>
      <c r="J1009" s="397"/>
      <c r="K1009" s="398"/>
    </row>
    <row r="1010" spans="2:11" x14ac:dyDescent="0.2">
      <c r="B1010" s="396"/>
      <c r="C1010" s="397"/>
      <c r="D1010" s="397"/>
      <c r="E1010" s="397"/>
      <c r="F1010" s="397"/>
      <c r="G1010" s="397"/>
      <c r="H1010" s="397"/>
      <c r="I1010" s="397"/>
      <c r="J1010" s="397"/>
      <c r="K1010" s="398"/>
    </row>
    <row r="1011" spans="2:11" ht="15" customHeight="1" x14ac:dyDescent="0.2">
      <c r="B1011" s="396"/>
      <c r="C1011" s="397"/>
      <c r="D1011" s="397"/>
      <c r="E1011" s="397"/>
      <c r="F1011" s="397"/>
      <c r="G1011" s="397"/>
      <c r="H1011" s="397"/>
      <c r="I1011" s="397"/>
      <c r="J1011" s="397"/>
      <c r="K1011" s="398"/>
    </row>
    <row r="1012" spans="2:11" ht="30" customHeight="1" x14ac:dyDescent="0.2">
      <c r="B1012" s="396"/>
      <c r="C1012" s="397"/>
      <c r="D1012" s="397"/>
      <c r="E1012" s="397"/>
      <c r="F1012" s="397"/>
      <c r="G1012" s="397"/>
      <c r="H1012" s="397"/>
      <c r="I1012" s="397"/>
      <c r="J1012" s="397"/>
      <c r="K1012" s="398"/>
    </row>
    <row r="1013" spans="2:11" ht="15" customHeight="1" x14ac:dyDescent="0.2">
      <c r="B1013" s="396"/>
      <c r="C1013" s="397"/>
      <c r="D1013" s="397"/>
      <c r="E1013" s="397"/>
      <c r="F1013" s="397"/>
      <c r="G1013" s="397"/>
      <c r="H1013" s="397"/>
      <c r="I1013" s="397"/>
      <c r="J1013" s="397"/>
      <c r="K1013" s="398"/>
    </row>
    <row r="1014" spans="2:11" ht="15" customHeight="1" x14ac:dyDescent="0.2">
      <c r="B1014" s="396"/>
      <c r="C1014" s="397"/>
      <c r="D1014" s="397"/>
      <c r="E1014" s="397"/>
      <c r="F1014" s="397"/>
      <c r="G1014" s="397"/>
      <c r="H1014" s="397"/>
      <c r="I1014" s="397"/>
      <c r="J1014" s="397"/>
      <c r="K1014" s="398"/>
    </row>
    <row r="1015" spans="2:11" ht="15" customHeight="1" x14ac:dyDescent="0.2">
      <c r="B1015" s="396"/>
      <c r="C1015" s="397"/>
      <c r="D1015" s="397"/>
      <c r="E1015" s="397"/>
      <c r="F1015" s="397"/>
      <c r="G1015" s="397"/>
      <c r="H1015" s="397"/>
      <c r="I1015" s="397"/>
      <c r="J1015" s="397"/>
      <c r="K1015" s="398"/>
    </row>
    <row r="1016" spans="2:11" x14ac:dyDescent="0.2">
      <c r="B1016" s="396"/>
      <c r="C1016" s="397"/>
      <c r="D1016" s="397"/>
      <c r="E1016" s="397"/>
      <c r="F1016" s="397"/>
      <c r="G1016" s="397"/>
      <c r="H1016" s="397"/>
      <c r="I1016" s="397"/>
      <c r="J1016" s="397"/>
      <c r="K1016" s="398"/>
    </row>
    <row r="1017" spans="2:11" ht="15" customHeight="1" x14ac:dyDescent="0.2">
      <c r="B1017" s="396"/>
      <c r="C1017" s="397"/>
      <c r="D1017" s="397"/>
      <c r="E1017" s="397"/>
      <c r="F1017" s="397"/>
      <c r="G1017" s="397"/>
      <c r="H1017" s="397"/>
      <c r="I1017" s="397"/>
      <c r="J1017" s="397"/>
      <c r="K1017" s="398"/>
    </row>
    <row r="1018" spans="2:11" ht="15" customHeight="1" x14ac:dyDescent="0.2">
      <c r="B1018" s="396"/>
      <c r="C1018" s="397"/>
      <c r="D1018" s="397"/>
      <c r="E1018" s="397"/>
      <c r="F1018" s="397"/>
      <c r="G1018" s="397"/>
      <c r="H1018" s="397"/>
      <c r="I1018" s="397"/>
      <c r="J1018" s="397"/>
      <c r="K1018" s="398"/>
    </row>
    <row r="1019" spans="2:11" ht="15" customHeight="1" x14ac:dyDescent="0.2">
      <c r="B1019" s="396"/>
      <c r="C1019" s="397"/>
      <c r="D1019" s="397"/>
      <c r="E1019" s="397"/>
      <c r="F1019" s="397"/>
      <c r="G1019" s="397"/>
      <c r="H1019" s="397"/>
      <c r="I1019" s="397"/>
      <c r="J1019" s="397"/>
      <c r="K1019" s="398"/>
    </row>
    <row r="1020" spans="2:11" ht="15" customHeight="1" x14ac:dyDescent="0.2">
      <c r="B1020" s="396"/>
      <c r="C1020" s="397"/>
      <c r="D1020" s="397"/>
      <c r="E1020" s="397"/>
      <c r="F1020" s="397"/>
      <c r="G1020" s="397"/>
      <c r="H1020" s="397"/>
      <c r="I1020" s="397"/>
      <c r="J1020" s="397"/>
      <c r="K1020" s="398"/>
    </row>
    <row r="1021" spans="2:11" ht="15" customHeight="1" x14ac:dyDescent="0.2">
      <c r="B1021" s="396"/>
      <c r="C1021" s="397"/>
      <c r="D1021" s="397"/>
      <c r="E1021" s="397"/>
      <c r="F1021" s="397"/>
      <c r="G1021" s="397"/>
      <c r="H1021" s="397"/>
      <c r="I1021" s="397"/>
      <c r="J1021" s="397"/>
      <c r="K1021" s="398"/>
    </row>
    <row r="1022" spans="2:11" ht="15" customHeight="1" x14ac:dyDescent="0.2">
      <c r="B1022" s="396"/>
      <c r="C1022" s="397"/>
      <c r="D1022" s="397"/>
      <c r="E1022" s="397"/>
      <c r="F1022" s="397"/>
      <c r="G1022" s="397"/>
      <c r="H1022" s="397"/>
      <c r="I1022" s="397"/>
      <c r="J1022" s="397"/>
      <c r="K1022" s="398"/>
    </row>
    <row r="1023" spans="2:11" ht="15" customHeight="1" x14ac:dyDescent="0.2">
      <c r="B1023" s="396"/>
      <c r="C1023" s="397"/>
      <c r="D1023" s="397"/>
      <c r="E1023" s="397"/>
      <c r="F1023" s="397"/>
      <c r="G1023" s="397"/>
      <c r="H1023" s="397"/>
      <c r="I1023" s="397"/>
      <c r="J1023" s="397"/>
      <c r="K1023" s="398"/>
    </row>
    <row r="1024" spans="2:11" ht="15" customHeight="1" x14ac:dyDescent="0.2">
      <c r="B1024" s="396"/>
      <c r="C1024" s="397"/>
      <c r="D1024" s="397"/>
      <c r="E1024" s="397"/>
      <c r="F1024" s="397"/>
      <c r="G1024" s="397"/>
      <c r="H1024" s="397"/>
      <c r="I1024" s="397"/>
      <c r="J1024" s="397"/>
      <c r="K1024" s="398"/>
    </row>
    <row r="1025" spans="2:11" ht="15" customHeight="1" x14ac:dyDescent="0.2">
      <c r="B1025" s="396"/>
      <c r="C1025" s="397"/>
      <c r="D1025" s="397"/>
      <c r="E1025" s="397"/>
      <c r="F1025" s="397"/>
      <c r="G1025" s="397"/>
      <c r="H1025" s="397"/>
      <c r="I1025" s="397"/>
      <c r="J1025" s="397"/>
      <c r="K1025" s="398"/>
    </row>
    <row r="1026" spans="2:11" ht="15" customHeight="1" x14ac:dyDescent="0.2">
      <c r="B1026" s="396"/>
      <c r="C1026" s="397"/>
      <c r="D1026" s="397"/>
      <c r="E1026" s="397"/>
      <c r="F1026" s="397"/>
      <c r="G1026" s="397"/>
      <c r="H1026" s="397"/>
      <c r="I1026" s="397"/>
      <c r="J1026" s="397"/>
      <c r="K1026" s="398"/>
    </row>
    <row r="1027" spans="2:11" ht="15" customHeight="1" x14ac:dyDescent="0.2">
      <c r="B1027" s="396"/>
      <c r="C1027" s="397"/>
      <c r="D1027" s="397"/>
      <c r="E1027" s="397"/>
      <c r="F1027" s="397"/>
      <c r="G1027" s="397"/>
      <c r="H1027" s="397"/>
      <c r="I1027" s="397"/>
      <c r="J1027" s="397"/>
      <c r="K1027" s="398"/>
    </row>
    <row r="1028" spans="2:11" ht="15" customHeight="1" x14ac:dyDescent="0.2">
      <c r="B1028" s="396"/>
      <c r="C1028" s="397"/>
      <c r="D1028" s="397"/>
      <c r="E1028" s="397"/>
      <c r="F1028" s="397"/>
      <c r="G1028" s="397"/>
      <c r="H1028" s="397"/>
      <c r="I1028" s="397"/>
      <c r="J1028" s="397"/>
      <c r="K1028" s="398"/>
    </row>
    <row r="1029" spans="2:11" ht="15" customHeight="1" x14ac:dyDescent="0.2">
      <c r="B1029" s="393"/>
      <c r="C1029" s="394"/>
      <c r="D1029" s="394"/>
      <c r="E1029" s="394"/>
      <c r="F1029" s="394"/>
      <c r="G1029" s="394"/>
      <c r="H1029" s="394"/>
      <c r="I1029" s="394"/>
      <c r="J1029" s="394"/>
      <c r="K1029" s="395"/>
    </row>
  </sheetData>
  <sheetProtection password="C7B0" sheet="1" objects="1" scenarios="1" formatCells="0" formatColumns="0" formatRows="0" selectLockedCells="1"/>
  <mergeCells count="152">
    <mergeCell ref="B1027:K1027"/>
    <mergeCell ref="B1028:K1028"/>
    <mergeCell ref="B1029:K1029"/>
    <mergeCell ref="B1021:K1021"/>
    <mergeCell ref="B1022:K1022"/>
    <mergeCell ref="B1023:K1023"/>
    <mergeCell ref="B1024:K1024"/>
    <mergeCell ref="B1025:K1025"/>
    <mergeCell ref="B1026:K1026"/>
    <mergeCell ref="B1015:K1015"/>
    <mergeCell ref="B1016:K1016"/>
    <mergeCell ref="B1017:K1017"/>
    <mergeCell ref="B1018:K1018"/>
    <mergeCell ref="B1019:K1019"/>
    <mergeCell ref="B1020:K1020"/>
    <mergeCell ref="B1009:K1009"/>
    <mergeCell ref="B1010:K1010"/>
    <mergeCell ref="B1011:K1011"/>
    <mergeCell ref="B1012:K1012"/>
    <mergeCell ref="B1013:K1013"/>
    <mergeCell ref="B1014:K1014"/>
    <mergeCell ref="F959:H960"/>
    <mergeCell ref="B1004:K1004"/>
    <mergeCell ref="B1005:K1005"/>
    <mergeCell ref="B1006:K1006"/>
    <mergeCell ref="B1007:K1007"/>
    <mergeCell ref="B1008:K1008"/>
    <mergeCell ref="G912:H912"/>
    <mergeCell ref="G916:H916"/>
    <mergeCell ref="G920:H920"/>
    <mergeCell ref="G924:H924"/>
    <mergeCell ref="G928:H928"/>
    <mergeCell ref="G932:H932"/>
    <mergeCell ref="G882:H882"/>
    <mergeCell ref="G886:H886"/>
    <mergeCell ref="G890:H890"/>
    <mergeCell ref="C900:J901"/>
    <mergeCell ref="G904:H904"/>
    <mergeCell ref="G908:H908"/>
    <mergeCell ref="G858:H858"/>
    <mergeCell ref="G862:H862"/>
    <mergeCell ref="G866:H866"/>
    <mergeCell ref="G870:H870"/>
    <mergeCell ref="G874:H874"/>
    <mergeCell ref="G878:H878"/>
    <mergeCell ref="G834:H834"/>
    <mergeCell ref="G838:H838"/>
    <mergeCell ref="G842:H842"/>
    <mergeCell ref="G846:H846"/>
    <mergeCell ref="G850:H850"/>
    <mergeCell ref="G854:H854"/>
    <mergeCell ref="G766:H766"/>
    <mergeCell ref="G767:H767"/>
    <mergeCell ref="G768:H768"/>
    <mergeCell ref="G769:H769"/>
    <mergeCell ref="G770:H770"/>
    <mergeCell ref="C830:J831"/>
    <mergeCell ref="G755:H755"/>
    <mergeCell ref="C759:J761"/>
    <mergeCell ref="G762:H762"/>
    <mergeCell ref="G763:H763"/>
    <mergeCell ref="G764:H764"/>
    <mergeCell ref="G765:H765"/>
    <mergeCell ref="G749:H749"/>
    <mergeCell ref="G750:H750"/>
    <mergeCell ref="G751:H751"/>
    <mergeCell ref="G752:H752"/>
    <mergeCell ref="G753:H753"/>
    <mergeCell ref="G754:H754"/>
    <mergeCell ref="G738:H738"/>
    <mergeCell ref="G739:H739"/>
    <mergeCell ref="G740:H740"/>
    <mergeCell ref="C744:J746"/>
    <mergeCell ref="G747:H747"/>
    <mergeCell ref="G748:H748"/>
    <mergeCell ref="G732:H732"/>
    <mergeCell ref="G733:H733"/>
    <mergeCell ref="G734:H734"/>
    <mergeCell ref="G735:H735"/>
    <mergeCell ref="G736:H736"/>
    <mergeCell ref="G737:H737"/>
    <mergeCell ref="G721:H721"/>
    <mergeCell ref="G722:H722"/>
    <mergeCell ref="G723:H723"/>
    <mergeCell ref="G724:H724"/>
    <mergeCell ref="G725:H725"/>
    <mergeCell ref="C729:J731"/>
    <mergeCell ref="C677:J677"/>
    <mergeCell ref="C714:J716"/>
    <mergeCell ref="G717:H717"/>
    <mergeCell ref="G718:H718"/>
    <mergeCell ref="G719:H719"/>
    <mergeCell ref="G720:H720"/>
    <mergeCell ref="C620:I621"/>
    <mergeCell ref="C633:J633"/>
    <mergeCell ref="C639:I640"/>
    <mergeCell ref="C641:I643"/>
    <mergeCell ref="C655:J655"/>
    <mergeCell ref="D664:I665"/>
    <mergeCell ref="C560:J560"/>
    <mergeCell ref="C566:I568"/>
    <mergeCell ref="C569:I571"/>
    <mergeCell ref="C583:J583"/>
    <mergeCell ref="C599:J599"/>
    <mergeCell ref="C613:J613"/>
    <mergeCell ref="C477:I478"/>
    <mergeCell ref="C486:J486"/>
    <mergeCell ref="C502:J502"/>
    <mergeCell ref="C518:J518"/>
    <mergeCell ref="C524:I525"/>
    <mergeCell ref="C535:J535"/>
    <mergeCell ref="C416:J416"/>
    <mergeCell ref="C420:I421"/>
    <mergeCell ref="C438:J438"/>
    <mergeCell ref="C444:I445"/>
    <mergeCell ref="C455:J455"/>
    <mergeCell ref="C471:J471"/>
    <mergeCell ref="C347:J347"/>
    <mergeCell ref="C365:J365"/>
    <mergeCell ref="C371:I372"/>
    <mergeCell ref="C385:J385"/>
    <mergeCell ref="C391:I392"/>
    <mergeCell ref="C402:J402"/>
    <mergeCell ref="C305:J305"/>
    <mergeCell ref="C311:I312"/>
    <mergeCell ref="C324:J324"/>
    <mergeCell ref="C330:I331"/>
    <mergeCell ref="C340:I341"/>
    <mergeCell ref="D343:I344"/>
    <mergeCell ref="C196:J196"/>
    <mergeCell ref="C216:J216"/>
    <mergeCell ref="C237:J237"/>
    <mergeCell ref="C257:J257"/>
    <mergeCell ref="C286:J286"/>
    <mergeCell ref="C292:I293"/>
    <mergeCell ref="C114:J114"/>
    <mergeCell ref="C120:J122"/>
    <mergeCell ref="C123:J124"/>
    <mergeCell ref="C129:J129"/>
    <mergeCell ref="C155:J155"/>
    <mergeCell ref="C176:J176"/>
    <mergeCell ref="B10:K10"/>
    <mergeCell ref="E15:J15"/>
    <mergeCell ref="C38:J38"/>
    <mergeCell ref="C57:J57"/>
    <mergeCell ref="C76:J76"/>
    <mergeCell ref="C95:J95"/>
    <mergeCell ref="G3:I3"/>
    <mergeCell ref="B6:K6"/>
    <mergeCell ref="B7:K7"/>
    <mergeCell ref="B8:K8"/>
    <mergeCell ref="B9:K9"/>
  </mergeCells>
  <dataValidations count="23">
    <dataValidation type="list" allowBlank="1" showInputMessage="1" showErrorMessage="1" sqref="E15:J15" xr:uid="{00000000-0002-0000-1E00-000000000000}">
      <formula1>$C$966:$C$970</formula1>
    </dataValidation>
    <dataValidation type="list" allowBlank="1" showInputMessage="1" showErrorMessage="1" sqref="G834:H834 G890:H890 G886:H886 G882:H882 G878:H878 G874:H874 G870:H870 G866:H866 G862:H862 G858:H858 G854:H854 G850:H850 G846:H846 G842:H842 G838:H838 G904:H904 G932:H932 G928:H928 G924:H924 G920:H920 G916:H916 G912:H912 G908:H908" xr:uid="{00000000-0002-0000-1E00-000001000000}">
      <formula1>$B$998:$B$1002</formula1>
    </dataValidation>
    <dataValidation type="list" allowBlank="1" showInputMessage="1" showErrorMessage="1" sqref="G717:H725 G762:H770 G732:H740 G747:H755" xr:uid="{00000000-0002-0000-1E00-000002000000}">
      <formula1>$B$994:$B$995</formula1>
    </dataValidation>
    <dataValidation type="list" allowBlank="1" showInputMessage="1" showErrorMessage="1" sqref="J302 J362" xr:uid="{00000000-0002-0000-1E00-000003000000}">
      <formula1>$B$980:$B$984</formula1>
    </dataValidation>
    <dataValidation type="list" allowBlank="1" showInputMessage="1" showErrorMessage="1" sqref="C123:J124" xr:uid="{00000000-0002-0000-1E00-000004000000}">
      <formula1>$B$987:$B$991</formula1>
    </dataValidation>
    <dataValidation type="list" allowBlank="1" showInputMessage="1" showErrorMessage="1" sqref="J35 J213 J283 J652 J234 J54 J193 J173 J152 J126 J111 J92 J73 J254 J435 J452 J468 J499 J515 J532 J557 J580 J596 J674 J630" xr:uid="{00000000-0002-0000-1E00-000005000000}">
      <formula1>$B$973:$B$977</formula1>
    </dataValidation>
    <dataValidation type="list" allowBlank="1" showInputMessage="1" showErrorMessage="1" sqref="J33" xr:uid="{00000000-0002-0000-1E00-000006000000}">
      <formula1>$N$32:$N$37</formula1>
    </dataValidation>
    <dataValidation type="list" allowBlank="1" showInputMessage="1" showErrorMessage="1" sqref="J52" xr:uid="{00000000-0002-0000-1E00-000007000000}">
      <formula1>$N$51:$N$56</formula1>
    </dataValidation>
    <dataValidation type="list" allowBlank="1" showInputMessage="1" showErrorMessage="1" sqref="J71" xr:uid="{00000000-0002-0000-1E00-000008000000}">
      <formula1>$N$70:$N$75</formula1>
    </dataValidation>
    <dataValidation type="list" allowBlank="1" showInputMessage="1" showErrorMessage="1" sqref="J90" xr:uid="{00000000-0002-0000-1E00-000009000000}">
      <formula1>$N$89:$N$94</formula1>
    </dataValidation>
    <dataValidation type="list" allowBlank="1" showInputMessage="1" showErrorMessage="1" sqref="J109" xr:uid="{00000000-0002-0000-1E00-00000A000000}">
      <formula1>$N$108:$N$113</formula1>
    </dataValidation>
    <dataValidation type="list" allowBlank="1" showInputMessage="1" showErrorMessage="1" sqref="J150" xr:uid="{00000000-0002-0000-1E00-00000B000000}">
      <formula1>$N$149:$N$154</formula1>
    </dataValidation>
    <dataValidation type="list" allowBlank="1" showInputMessage="1" showErrorMessage="1" sqref="J171" xr:uid="{00000000-0002-0000-1E00-00000C000000}">
      <formula1>$N$170:$N$175</formula1>
    </dataValidation>
    <dataValidation type="list" allowBlank="1" showInputMessage="1" showErrorMessage="1" sqref="J191" xr:uid="{00000000-0002-0000-1E00-00000D000000}">
      <formula1>$N$190:$N$195</formula1>
    </dataValidation>
    <dataValidation type="list" allowBlank="1" showInputMessage="1" showErrorMessage="1" sqref="J211" xr:uid="{00000000-0002-0000-1E00-00000E000000}">
      <formula1>$N$210:$N$215</formula1>
    </dataValidation>
    <dataValidation type="list" allowBlank="1" showInputMessage="1" showErrorMessage="1" sqref="J232" xr:uid="{00000000-0002-0000-1E00-00000F000000}">
      <formula1>$N$231:$N$236</formula1>
    </dataValidation>
    <dataValidation type="list" allowBlank="1" showInputMessage="1" showErrorMessage="1" sqref="J252" xr:uid="{00000000-0002-0000-1E00-000010000000}">
      <formula1>$N$251:$N$256</formula1>
    </dataValidation>
    <dataValidation type="list" allowBlank="1" showInputMessage="1" showErrorMessage="1" sqref="J281" xr:uid="{00000000-0002-0000-1E00-000011000000}">
      <formula1>$N$280:$N$285</formula1>
    </dataValidation>
    <dataValidation type="list" allowBlank="1" showInputMessage="1" showErrorMessage="1" sqref="J555" xr:uid="{00000000-0002-0000-1E00-000012000000}">
      <formula1>$N$554:$N$559</formula1>
    </dataValidation>
    <dataValidation type="list" allowBlank="1" showInputMessage="1" showErrorMessage="1" sqref="J578" xr:uid="{00000000-0002-0000-1E00-000013000000}">
      <formula1>$N$577:$N$582</formula1>
    </dataValidation>
    <dataValidation type="list" allowBlank="1" showInputMessage="1" showErrorMessage="1" sqref="J628" xr:uid="{00000000-0002-0000-1E00-000014000000}">
      <formula1>$N$627:$N$632</formula1>
    </dataValidation>
    <dataValidation type="list" allowBlank="1" showInputMessage="1" showErrorMessage="1" sqref="J650" xr:uid="{00000000-0002-0000-1E00-000015000000}">
      <formula1>$N$649:$N$654</formula1>
    </dataValidation>
    <dataValidation type="list" allowBlank="1" showInputMessage="1" showErrorMessage="1" sqref="J672" xr:uid="{00000000-0002-0000-1E00-000016000000}">
      <formula1>$N$671:$N$676</formula1>
    </dataValidation>
  </dataValidations>
  <pageMargins left="0.7" right="0.7" top="0.75" bottom="0.75" header="0.3" footer="0.3"/>
  <pageSetup scale="70"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69"/>
  <dimension ref="A1:N1029"/>
  <sheetViews>
    <sheetView showGridLines="0" showRowColHeaders="0" zoomScale="85" zoomScaleNormal="85" workbookViewId="0">
      <selection activeCell="G3" sqref="G3:I3"/>
    </sheetView>
  </sheetViews>
  <sheetFormatPr baseColWidth="10" defaultColWidth="9.1640625" defaultRowHeight="15" x14ac:dyDescent="0.2"/>
  <cols>
    <col min="1" max="1" width="9.1640625" style="12"/>
    <col min="2" max="3" width="9.1640625" style="12" customWidth="1"/>
    <col min="4" max="4" width="9.1640625" style="12"/>
    <col min="5" max="5" width="9.1640625" style="12" customWidth="1"/>
    <col min="6" max="9" width="9.1640625" style="12"/>
    <col min="10" max="10" width="25.6640625" style="12" customWidth="1"/>
    <col min="11" max="12" width="9.1640625" style="12"/>
    <col min="13" max="13" width="9.1640625" style="12" customWidth="1"/>
    <col min="14" max="14" width="9.1640625" style="12" hidden="1" customWidth="1"/>
    <col min="15" max="16384" width="9.1640625" style="12"/>
  </cols>
  <sheetData>
    <row r="1" spans="2:13" x14ac:dyDescent="0.2">
      <c r="I1" s="29"/>
    </row>
    <row r="2" spans="2:13" ht="33" x14ac:dyDescent="0.2">
      <c r="G2" s="16" t="s">
        <v>1038</v>
      </c>
      <c r="I2" s="29"/>
    </row>
    <row r="3" spans="2:13" ht="23" x14ac:dyDescent="0.25">
      <c r="F3" s="306" t="s">
        <v>1042</v>
      </c>
      <c r="G3" s="479"/>
      <c r="H3" s="480"/>
      <c r="I3" s="481"/>
      <c r="L3" s="157"/>
      <c r="M3" s="157"/>
    </row>
    <row r="4" spans="2:13" x14ac:dyDescent="0.2">
      <c r="G4" s="98"/>
      <c r="I4" s="29"/>
      <c r="L4" s="158"/>
      <c r="M4" s="157"/>
    </row>
    <row r="5" spans="2:13" x14ac:dyDescent="0.2">
      <c r="B5" s="12" t="s">
        <v>1043</v>
      </c>
      <c r="G5" s="98"/>
      <c r="I5" s="29"/>
      <c r="L5" s="158"/>
      <c r="M5" s="157"/>
    </row>
    <row r="6" spans="2:13" ht="121.5" customHeight="1" x14ac:dyDescent="0.2">
      <c r="B6" s="476"/>
      <c r="C6" s="477"/>
      <c r="D6" s="477"/>
      <c r="E6" s="477"/>
      <c r="F6" s="477"/>
      <c r="G6" s="477"/>
      <c r="H6" s="477"/>
      <c r="I6" s="477"/>
      <c r="J6" s="477"/>
      <c r="K6" s="478"/>
      <c r="L6" s="158"/>
      <c r="M6" s="157"/>
    </row>
    <row r="7" spans="2:13" x14ac:dyDescent="0.2">
      <c r="B7" s="426"/>
      <c r="C7" s="426"/>
      <c r="D7" s="426"/>
      <c r="E7" s="426"/>
      <c r="F7" s="426"/>
      <c r="G7" s="426"/>
      <c r="H7" s="426"/>
      <c r="I7" s="426"/>
      <c r="J7" s="426"/>
      <c r="K7" s="426"/>
      <c r="L7" s="158"/>
    </row>
    <row r="8" spans="2:13" ht="75" customHeight="1" x14ac:dyDescent="0.2">
      <c r="B8" s="425" t="s">
        <v>664</v>
      </c>
      <c r="C8" s="341"/>
      <c r="D8" s="341"/>
      <c r="E8" s="341"/>
      <c r="F8" s="341"/>
      <c r="G8" s="341"/>
      <c r="H8" s="341"/>
      <c r="I8" s="341"/>
      <c r="J8" s="341"/>
      <c r="K8" s="341"/>
    </row>
    <row r="9" spans="2:13" ht="30" customHeight="1" x14ac:dyDescent="0.2">
      <c r="B9" s="445" t="s">
        <v>665</v>
      </c>
      <c r="C9" s="446"/>
      <c r="D9" s="446"/>
      <c r="E9" s="446"/>
      <c r="F9" s="446"/>
      <c r="G9" s="446"/>
      <c r="H9" s="446"/>
      <c r="I9" s="446"/>
      <c r="J9" s="446"/>
      <c r="K9" s="446"/>
    </row>
    <row r="10" spans="2:13" ht="121.5" customHeight="1" x14ac:dyDescent="0.2">
      <c r="B10" s="447"/>
      <c r="C10" s="448"/>
      <c r="D10" s="448"/>
      <c r="E10" s="448"/>
      <c r="F10" s="448"/>
      <c r="G10" s="448"/>
      <c r="H10" s="448"/>
      <c r="I10" s="448"/>
      <c r="J10" s="448"/>
      <c r="K10" s="449"/>
    </row>
    <row r="11" spans="2:13" ht="16" thickBot="1" x14ac:dyDescent="0.25"/>
    <row r="12" spans="2:13" x14ac:dyDescent="0.2">
      <c r="B12" s="159"/>
      <c r="C12" s="160"/>
      <c r="D12" s="160"/>
      <c r="E12" s="160"/>
      <c r="F12" s="160"/>
      <c r="G12" s="160"/>
      <c r="H12" s="160"/>
      <c r="I12" s="160"/>
      <c r="J12" s="160"/>
      <c r="K12" s="161"/>
    </row>
    <row r="13" spans="2:13" ht="21" x14ac:dyDescent="0.25">
      <c r="B13" s="162"/>
      <c r="C13" s="163"/>
      <c r="D13" s="163"/>
      <c r="E13" s="163"/>
      <c r="F13" s="163"/>
      <c r="G13" s="164" t="s">
        <v>226</v>
      </c>
      <c r="H13" s="163"/>
      <c r="I13" s="163"/>
      <c r="J13" s="163"/>
      <c r="K13" s="165"/>
    </row>
    <row r="14" spans="2:13" ht="21" x14ac:dyDescent="0.25">
      <c r="B14" s="162"/>
      <c r="C14" s="163"/>
      <c r="D14" s="163"/>
      <c r="E14" s="163"/>
      <c r="F14" s="163"/>
      <c r="G14" s="164"/>
      <c r="H14" s="163"/>
      <c r="I14" s="163"/>
      <c r="J14" s="163"/>
      <c r="K14" s="165"/>
    </row>
    <row r="15" spans="2:13" ht="26.25" customHeight="1" x14ac:dyDescent="0.2">
      <c r="B15" s="162"/>
      <c r="C15" s="163" t="s">
        <v>255</v>
      </c>
      <c r="D15" s="163"/>
      <c r="E15" s="412"/>
      <c r="F15" s="437"/>
      <c r="G15" s="437"/>
      <c r="H15" s="437"/>
      <c r="I15" s="437"/>
      <c r="J15" s="438"/>
      <c r="K15" s="165"/>
    </row>
    <row r="16" spans="2:13" x14ac:dyDescent="0.2">
      <c r="B16" s="162"/>
      <c r="C16" s="163"/>
      <c r="D16" s="163"/>
      <c r="E16" s="163"/>
      <c r="F16" s="163"/>
      <c r="G16" s="163"/>
      <c r="H16" s="163"/>
      <c r="I16" s="163"/>
      <c r="J16" s="163"/>
      <c r="K16" s="165"/>
    </row>
    <row r="17" spans="2:14" x14ac:dyDescent="0.2">
      <c r="B17" s="162"/>
      <c r="C17" s="166" t="s">
        <v>256</v>
      </c>
      <c r="D17" s="163"/>
      <c r="E17" s="167" t="str">
        <f>IF(E15=$C$966,$A$966,IF(E15=$C$967,$A$967,IF(E15=$C$968,$A$968,IF(E15=$C$969,$A$969,IF(E15=$C$970,$A$970,"Not Calculated")))))</f>
        <v>Not Calculated</v>
      </c>
      <c r="F17" s="163"/>
      <c r="G17" s="163"/>
      <c r="H17" s="163"/>
      <c r="I17" s="163"/>
      <c r="J17" s="163"/>
      <c r="K17" s="165"/>
    </row>
    <row r="18" spans="2:14" x14ac:dyDescent="0.2">
      <c r="B18" s="162"/>
      <c r="C18" s="163"/>
      <c r="D18" s="163"/>
      <c r="E18" s="167" t="str">
        <f>IF(E15=$C$966,$B$966,IF(E15=$C$967,$B$967,IF(E15=$C$968,$B$968,IF(E15=$C$969,$B$969,IF(E15=$C$970,$B$970,"Not Calculated")))))</f>
        <v>Not Calculated</v>
      </c>
      <c r="F18" s="163"/>
      <c r="G18" s="163"/>
      <c r="H18" s="163"/>
      <c r="I18" s="163"/>
      <c r="J18" s="163"/>
      <c r="K18" s="165"/>
    </row>
    <row r="19" spans="2:14" ht="16" thickBot="1" x14ac:dyDescent="0.25">
      <c r="B19" s="168"/>
      <c r="C19" s="169"/>
      <c r="D19" s="169"/>
      <c r="E19" s="169"/>
      <c r="F19" s="169"/>
      <c r="G19" s="169"/>
      <c r="H19" s="169"/>
      <c r="I19" s="169"/>
      <c r="J19" s="169"/>
      <c r="K19" s="170"/>
    </row>
    <row r="20" spans="2:14" ht="16" thickBot="1" x14ac:dyDescent="0.25"/>
    <row r="21" spans="2:14" x14ac:dyDescent="0.2">
      <c r="B21" s="33"/>
      <c r="C21" s="34"/>
      <c r="D21" s="34"/>
      <c r="E21" s="34"/>
      <c r="F21" s="34"/>
      <c r="G21" s="34"/>
      <c r="H21" s="34"/>
      <c r="I21" s="34"/>
      <c r="J21" s="34"/>
      <c r="K21" s="37"/>
    </row>
    <row r="22" spans="2:14" ht="21" x14ac:dyDescent="0.25">
      <c r="B22" s="38"/>
      <c r="C22" s="171"/>
      <c r="D22" s="40"/>
      <c r="E22" s="40"/>
      <c r="F22" s="40"/>
      <c r="G22" s="172" t="s">
        <v>26</v>
      </c>
      <c r="H22" s="40"/>
      <c r="I22" s="40"/>
      <c r="J22" s="40"/>
      <c r="K22" s="41"/>
    </row>
    <row r="23" spans="2:14" x14ac:dyDescent="0.2">
      <c r="B23" s="38"/>
      <c r="C23" s="40"/>
      <c r="D23" s="40"/>
      <c r="E23" s="40"/>
      <c r="F23" s="40"/>
      <c r="G23" s="40"/>
      <c r="H23" s="40"/>
      <c r="I23" s="40"/>
      <c r="J23" s="40"/>
      <c r="K23" s="41"/>
    </row>
    <row r="24" spans="2:14" ht="16" x14ac:dyDescent="0.2">
      <c r="B24" s="38"/>
      <c r="C24" s="45" t="s">
        <v>61</v>
      </c>
      <c r="D24" s="40"/>
      <c r="E24" s="40"/>
      <c r="F24" s="40"/>
      <c r="G24" s="40"/>
      <c r="H24" s="40"/>
      <c r="I24" s="40"/>
      <c r="J24" s="40"/>
      <c r="K24" s="41"/>
    </row>
    <row r="25" spans="2:14" x14ac:dyDescent="0.2">
      <c r="B25" s="38"/>
      <c r="C25" s="40" t="s">
        <v>434</v>
      </c>
      <c r="D25" s="40"/>
      <c r="E25" s="40"/>
      <c r="F25" s="40"/>
      <c r="G25" s="40"/>
      <c r="H25" s="40"/>
      <c r="I25" s="40"/>
      <c r="J25" s="252">
        <f>'Baseline Health'!G11</f>
        <v>0</v>
      </c>
      <c r="K25" s="41"/>
    </row>
    <row r="26" spans="2:14" x14ac:dyDescent="0.2">
      <c r="B26" s="38"/>
      <c r="C26" s="40" t="s">
        <v>288</v>
      </c>
      <c r="D26" s="40"/>
      <c r="E26" s="40"/>
      <c r="F26" s="40"/>
      <c r="G26" s="40"/>
      <c r="H26" s="40"/>
      <c r="I26" s="40"/>
      <c r="J26" s="264"/>
      <c r="K26" s="41"/>
    </row>
    <row r="27" spans="2:14" x14ac:dyDescent="0.2">
      <c r="B27" s="38"/>
      <c r="C27" s="40" t="s">
        <v>260</v>
      </c>
      <c r="D27" s="40"/>
      <c r="E27" s="40"/>
      <c r="F27" s="40"/>
      <c r="G27" s="40"/>
      <c r="H27" s="40"/>
      <c r="I27" s="40"/>
      <c r="J27" s="248" t="str">
        <f>IF(OR(J25=0,J25="Not Calculated")=TRUE,"Not Calculated",(IF(((J26+J25)/J25)&lt;=1,0,IF(((J26+J25)/J25)&lt;=1.05,1,IF(((J26+J25)/J25)&lt;=1.5, 2,IF(((J26+J25)/J25)&lt;=2,3,4))))))</f>
        <v>Not Calculated</v>
      </c>
      <c r="K27" s="41"/>
    </row>
    <row r="28" spans="2:14" ht="9.75" customHeight="1" x14ac:dyDescent="0.2">
      <c r="B28" s="38"/>
      <c r="C28" s="279" t="str">
        <f>"0:"</f>
        <v>0:</v>
      </c>
      <c r="D28" s="281" t="s">
        <v>918</v>
      </c>
      <c r="E28" s="40"/>
      <c r="F28" s="40"/>
      <c r="G28" s="40"/>
      <c r="H28" s="40"/>
      <c r="I28" s="40"/>
      <c r="J28" s="40"/>
      <c r="K28" s="41"/>
    </row>
    <row r="29" spans="2:14" ht="9.75" customHeight="1" x14ac:dyDescent="0.2">
      <c r="B29" s="38"/>
      <c r="C29" s="280" t="str">
        <f>"1:"</f>
        <v>1:</v>
      </c>
      <c r="D29" s="281" t="s">
        <v>919</v>
      </c>
      <c r="E29" s="40"/>
      <c r="F29" s="40"/>
      <c r="G29" s="40"/>
      <c r="H29" s="40"/>
      <c r="I29" s="40"/>
      <c r="J29" s="40"/>
      <c r="K29" s="41"/>
    </row>
    <row r="30" spans="2:14" ht="9.75" customHeight="1" x14ac:dyDescent="0.2">
      <c r="B30" s="38"/>
      <c r="C30" s="280" t="str">
        <f>"2:"</f>
        <v>2:</v>
      </c>
      <c r="D30" s="281" t="s">
        <v>920</v>
      </c>
      <c r="E30" s="40"/>
      <c r="F30" s="40"/>
      <c r="G30" s="40"/>
      <c r="H30" s="40"/>
      <c r="I30" s="40"/>
      <c r="J30" s="40"/>
      <c r="K30" s="41"/>
    </row>
    <row r="31" spans="2:14" ht="9.75" customHeight="1" x14ac:dyDescent="0.2">
      <c r="B31" s="38"/>
      <c r="C31" s="280" t="str">
        <f>"3:"</f>
        <v>3:</v>
      </c>
      <c r="D31" s="281" t="s">
        <v>921</v>
      </c>
      <c r="E31" s="40"/>
      <c r="F31" s="40"/>
      <c r="G31" s="40"/>
      <c r="H31" s="40"/>
      <c r="I31" s="40"/>
      <c r="J31" s="40"/>
      <c r="K31" s="41"/>
    </row>
    <row r="32" spans="2:14" ht="9.75" customHeight="1" x14ac:dyDescent="0.2">
      <c r="B32" s="38"/>
      <c r="C32" s="280" t="str">
        <f>"4:"</f>
        <v>4:</v>
      </c>
      <c r="D32" s="281" t="s">
        <v>922</v>
      </c>
      <c r="E32" s="40"/>
      <c r="F32" s="40"/>
      <c r="G32" s="40"/>
      <c r="H32" s="40"/>
      <c r="I32" s="40"/>
      <c r="J32" s="40"/>
      <c r="K32" s="41"/>
      <c r="N32" s="12" t="s">
        <v>661</v>
      </c>
    </row>
    <row r="33" spans="2:14" x14ac:dyDescent="0.2">
      <c r="B33" s="38"/>
      <c r="C33" s="174" t="s">
        <v>662</v>
      </c>
      <c r="D33" s="40"/>
      <c r="E33" s="40"/>
      <c r="F33" s="40"/>
      <c r="G33" s="40"/>
      <c r="H33" s="40"/>
      <c r="I33" s="40"/>
      <c r="J33" s="265" t="s">
        <v>661</v>
      </c>
      <c r="K33" s="41"/>
      <c r="N33" s="12" t="s">
        <v>894</v>
      </c>
    </row>
    <row r="34" spans="2:14" x14ac:dyDescent="0.2">
      <c r="B34" s="38"/>
      <c r="C34" s="174" t="s">
        <v>660</v>
      </c>
      <c r="D34" s="40"/>
      <c r="E34" s="40"/>
      <c r="F34" s="40"/>
      <c r="G34" s="40"/>
      <c r="H34" s="40"/>
      <c r="I34" s="40"/>
      <c r="J34" s="246" t="str">
        <f>IF(J33=N32,"N/A",IF(J33=N33,0,IF(J33=N34,1,IF(J33=N35,2,IF(J33=N36,3,IF(J33=N37,4,"N/A"))))))</f>
        <v>N/A</v>
      </c>
      <c r="K34" s="41"/>
      <c r="N34" s="12" t="s">
        <v>895</v>
      </c>
    </row>
    <row r="35" spans="2:14" x14ac:dyDescent="0.2">
      <c r="B35" s="38"/>
      <c r="C35" s="40" t="s">
        <v>257</v>
      </c>
      <c r="D35" s="40"/>
      <c r="E35" s="40"/>
      <c r="F35" s="40"/>
      <c r="G35" s="40"/>
      <c r="H35" s="40"/>
      <c r="I35" s="40"/>
      <c r="J35" s="266"/>
      <c r="K35" s="41"/>
      <c r="N35" s="12" t="s">
        <v>896</v>
      </c>
    </row>
    <row r="36" spans="2:14" x14ac:dyDescent="0.2">
      <c r="B36" s="38"/>
      <c r="C36" s="40" t="s">
        <v>261</v>
      </c>
      <c r="D36" s="40"/>
      <c r="E36" s="40"/>
      <c r="F36" s="40"/>
      <c r="G36" s="40"/>
      <c r="H36" s="40"/>
      <c r="I36" s="40"/>
      <c r="J36" s="245" t="str">
        <f>IF(J35=$B$973,$A$973,IF(J35=$B$974,$A$974,IF(J35=$B$975,$A$975,IF(J35=$B$976,$A$976,IF(J35=$B$977,$A$977,"Not Calculated")))))</f>
        <v>Not Calculated</v>
      </c>
      <c r="K36" s="41"/>
      <c r="N36" s="12" t="s">
        <v>897</v>
      </c>
    </row>
    <row r="37" spans="2:14" x14ac:dyDescent="0.2">
      <c r="B37" s="38"/>
      <c r="C37" s="40" t="s">
        <v>893</v>
      </c>
      <c r="D37" s="40"/>
      <c r="E37" s="40"/>
      <c r="F37" s="40"/>
      <c r="G37" s="40"/>
      <c r="H37" s="40"/>
      <c r="I37" s="40"/>
      <c r="J37" s="175"/>
      <c r="K37" s="41"/>
      <c r="N37" s="12" t="s">
        <v>898</v>
      </c>
    </row>
    <row r="38" spans="2:14" s="178" customFormat="1" x14ac:dyDescent="0.2">
      <c r="B38" s="176"/>
      <c r="C38" s="415"/>
      <c r="D38" s="400"/>
      <c r="E38" s="400"/>
      <c r="F38" s="400"/>
      <c r="G38" s="400"/>
      <c r="H38" s="400"/>
      <c r="I38" s="400"/>
      <c r="J38" s="401"/>
      <c r="K38" s="177"/>
    </row>
    <row r="39" spans="2:14" x14ac:dyDescent="0.2">
      <c r="B39" s="38"/>
      <c r="C39" s="40"/>
      <c r="D39" s="40"/>
      <c r="E39" s="40"/>
      <c r="F39" s="40"/>
      <c r="G39" s="40"/>
      <c r="H39" s="40"/>
      <c r="I39" s="40"/>
      <c r="J39" s="40"/>
      <c r="K39" s="41"/>
    </row>
    <row r="40" spans="2:14" x14ac:dyDescent="0.2">
      <c r="B40" s="38"/>
      <c r="C40" s="179" t="s">
        <v>258</v>
      </c>
      <c r="D40" s="40"/>
      <c r="E40" s="40"/>
      <c r="F40" s="40"/>
      <c r="G40" s="40"/>
      <c r="H40" s="40"/>
      <c r="I40" s="40"/>
      <c r="J40" s="245" t="str">
        <f>IF(J34="N/A",IF(OR(J27="Not Calculated",J36="Not Calculated")=TRUE,"Not Calculated",AVERAGE(J27,J36)),AVERAGE(J34,J36))</f>
        <v>Not Calculated</v>
      </c>
      <c r="K40" s="41"/>
    </row>
    <row r="41" spans="2:14" x14ac:dyDescent="0.2">
      <c r="B41" s="38"/>
      <c r="C41" s="179"/>
      <c r="D41" s="40"/>
      <c r="E41" s="40"/>
      <c r="F41" s="40"/>
      <c r="G41" s="40"/>
      <c r="H41" s="40"/>
      <c r="I41" s="40"/>
      <c r="J41" s="245"/>
      <c r="K41" s="41"/>
    </row>
    <row r="42" spans="2:14" x14ac:dyDescent="0.2">
      <c r="B42" s="38"/>
      <c r="C42" s="40"/>
      <c r="D42" s="40"/>
      <c r="E42" s="40"/>
      <c r="F42" s="40"/>
      <c r="G42" s="40"/>
      <c r="H42" s="40"/>
      <c r="I42" s="40"/>
      <c r="J42" s="40"/>
      <c r="K42" s="41"/>
    </row>
    <row r="43" spans="2:14" ht="16" x14ac:dyDescent="0.2">
      <c r="B43" s="38"/>
      <c r="C43" s="45" t="s">
        <v>51</v>
      </c>
      <c r="D43" s="40"/>
      <c r="E43" s="40"/>
      <c r="F43" s="40"/>
      <c r="G43" s="40"/>
      <c r="H43" s="40"/>
      <c r="I43" s="40"/>
      <c r="J43" s="40"/>
      <c r="K43" s="41"/>
    </row>
    <row r="44" spans="2:14" x14ac:dyDescent="0.2">
      <c r="B44" s="38"/>
      <c r="C44" s="40" t="s">
        <v>435</v>
      </c>
      <c r="D44" s="40"/>
      <c r="E44" s="40"/>
      <c r="F44" s="40"/>
      <c r="G44" s="40"/>
      <c r="H44" s="40"/>
      <c r="I44" s="40"/>
      <c r="J44" s="252">
        <f>'Baseline Health'!G17</f>
        <v>0</v>
      </c>
      <c r="K44" s="41"/>
    </row>
    <row r="45" spans="2:14" x14ac:dyDescent="0.2">
      <c r="B45" s="38"/>
      <c r="C45" s="40" t="s">
        <v>287</v>
      </c>
      <c r="D45" s="40"/>
      <c r="E45" s="40"/>
      <c r="F45" s="40"/>
      <c r="G45" s="40"/>
      <c r="H45" s="40"/>
      <c r="I45" s="40"/>
      <c r="J45" s="264"/>
      <c r="K45" s="41"/>
    </row>
    <row r="46" spans="2:14" x14ac:dyDescent="0.2">
      <c r="B46" s="38"/>
      <c r="C46" s="40" t="s">
        <v>260</v>
      </c>
      <c r="D46" s="40"/>
      <c r="E46" s="40"/>
      <c r="F46" s="40"/>
      <c r="G46" s="40"/>
      <c r="H46" s="40"/>
      <c r="I46" s="40"/>
      <c r="J46" s="248" t="str">
        <f>IF(OR(J44=0,J44="Not Calculated")=TRUE,"Not Calculated",(IF(((J45+J44)/J44)&lt;=1,0,IF(((J45+J44)/J44)&lt;=1.05,1,IF(((J45+J44)/J44)&lt;=1.5, 2,IF(((J45+J44)/J44)&lt;=2,3,4))))))</f>
        <v>Not Calculated</v>
      </c>
      <c r="K46" s="41"/>
    </row>
    <row r="47" spans="2:14" ht="9.75" customHeight="1" x14ac:dyDescent="0.2">
      <c r="B47" s="38"/>
      <c r="C47" s="279" t="str">
        <f>"0:"</f>
        <v>0:</v>
      </c>
      <c r="D47" s="281" t="s">
        <v>918</v>
      </c>
      <c r="E47" s="40"/>
      <c r="F47" s="40"/>
      <c r="G47" s="40"/>
      <c r="H47" s="40"/>
      <c r="I47" s="40"/>
      <c r="J47" s="40"/>
      <c r="K47" s="41"/>
    </row>
    <row r="48" spans="2:14" ht="9.75" customHeight="1" x14ac:dyDescent="0.2">
      <c r="B48" s="38"/>
      <c r="C48" s="280" t="str">
        <f>"1:"</f>
        <v>1:</v>
      </c>
      <c r="D48" s="281" t="s">
        <v>919</v>
      </c>
      <c r="E48" s="40"/>
      <c r="F48" s="40"/>
      <c r="G48" s="40"/>
      <c r="H48" s="40"/>
      <c r="I48" s="40"/>
      <c r="J48" s="40"/>
      <c r="K48" s="41"/>
    </row>
    <row r="49" spans="2:14" ht="9.75" customHeight="1" x14ac:dyDescent="0.2">
      <c r="B49" s="38"/>
      <c r="C49" s="280" t="str">
        <f>"2:"</f>
        <v>2:</v>
      </c>
      <c r="D49" s="281" t="s">
        <v>920</v>
      </c>
      <c r="E49" s="40"/>
      <c r="F49" s="40"/>
      <c r="G49" s="40"/>
      <c r="H49" s="40"/>
      <c r="I49" s="40"/>
      <c r="J49" s="40"/>
      <c r="K49" s="41"/>
    </row>
    <row r="50" spans="2:14" ht="9.75" customHeight="1" x14ac:dyDescent="0.2">
      <c r="B50" s="38"/>
      <c r="C50" s="280" t="str">
        <f>"3:"</f>
        <v>3:</v>
      </c>
      <c r="D50" s="281" t="s">
        <v>921</v>
      </c>
      <c r="E50" s="40"/>
      <c r="F50" s="40"/>
      <c r="G50" s="40"/>
      <c r="H50" s="40"/>
      <c r="I50" s="40"/>
      <c r="J50" s="40"/>
      <c r="K50" s="41"/>
    </row>
    <row r="51" spans="2:14" ht="9.75" customHeight="1" x14ac:dyDescent="0.2">
      <c r="B51" s="38"/>
      <c r="C51" s="280" t="str">
        <f>"4:"</f>
        <v>4:</v>
      </c>
      <c r="D51" s="281" t="s">
        <v>922</v>
      </c>
      <c r="E51" s="40"/>
      <c r="F51" s="40"/>
      <c r="G51" s="40"/>
      <c r="H51" s="40"/>
      <c r="I51" s="40"/>
      <c r="J51" s="40"/>
      <c r="K51" s="41"/>
      <c r="N51" s="12" t="s">
        <v>661</v>
      </c>
    </row>
    <row r="52" spans="2:14" x14ac:dyDescent="0.2">
      <c r="B52" s="38"/>
      <c r="C52" s="174" t="s">
        <v>662</v>
      </c>
      <c r="D52" s="40"/>
      <c r="E52" s="40"/>
      <c r="F52" s="40"/>
      <c r="G52" s="40"/>
      <c r="H52" s="40"/>
      <c r="I52" s="40"/>
      <c r="J52" s="265" t="s">
        <v>661</v>
      </c>
      <c r="K52" s="41"/>
      <c r="N52" s="12" t="s">
        <v>894</v>
      </c>
    </row>
    <row r="53" spans="2:14" x14ac:dyDescent="0.2">
      <c r="B53" s="38"/>
      <c r="C53" s="174" t="s">
        <v>660</v>
      </c>
      <c r="D53" s="40"/>
      <c r="E53" s="40"/>
      <c r="F53" s="40"/>
      <c r="G53" s="40"/>
      <c r="H53" s="40"/>
      <c r="I53" s="40"/>
      <c r="J53" s="246" t="str">
        <f>IF(J52=N51,"N/A",IF(J52=N52,0,IF(J52=N53,1,IF(J52=N54,2,IF(J52=N55,3,IF(J52=N56,4,"N/A"))))))</f>
        <v>N/A</v>
      </c>
      <c r="K53" s="41"/>
      <c r="N53" s="12" t="s">
        <v>895</v>
      </c>
    </row>
    <row r="54" spans="2:14" x14ac:dyDescent="0.2">
      <c r="B54" s="38"/>
      <c r="C54" s="40" t="s">
        <v>257</v>
      </c>
      <c r="D54" s="40"/>
      <c r="E54" s="40"/>
      <c r="F54" s="40"/>
      <c r="G54" s="40"/>
      <c r="H54" s="40"/>
      <c r="I54" s="40"/>
      <c r="J54" s="266"/>
      <c r="K54" s="41"/>
      <c r="N54" s="12" t="s">
        <v>896</v>
      </c>
    </row>
    <row r="55" spans="2:14" x14ac:dyDescent="0.2">
      <c r="B55" s="38"/>
      <c r="C55" s="40" t="s">
        <v>261</v>
      </c>
      <c r="D55" s="40"/>
      <c r="E55" s="40"/>
      <c r="F55" s="40"/>
      <c r="G55" s="40"/>
      <c r="H55" s="40"/>
      <c r="I55" s="40"/>
      <c r="J55" s="245" t="str">
        <f>IF(J54=$B$973,$A$973,IF(J54=$B$974,$A$974,IF(J54=$B$975,$A$975,IF(J54=$B$976,$A$976,IF(J54=$B$977,$A$977,"Not Calculated")))))</f>
        <v>Not Calculated</v>
      </c>
      <c r="K55" s="41"/>
      <c r="N55" s="12" t="s">
        <v>897</v>
      </c>
    </row>
    <row r="56" spans="2:14" x14ac:dyDescent="0.2">
      <c r="B56" s="38"/>
      <c r="C56" s="40" t="s">
        <v>893</v>
      </c>
      <c r="D56" s="40"/>
      <c r="E56" s="40"/>
      <c r="F56" s="40"/>
      <c r="G56" s="40"/>
      <c r="H56" s="40"/>
      <c r="I56" s="40"/>
      <c r="J56" s="175"/>
      <c r="K56" s="41"/>
      <c r="N56" s="12" t="s">
        <v>898</v>
      </c>
    </row>
    <row r="57" spans="2:14" s="178" customFormat="1" ht="15" customHeight="1" x14ac:dyDescent="0.2">
      <c r="B57" s="176"/>
      <c r="C57" s="415"/>
      <c r="D57" s="400"/>
      <c r="E57" s="400"/>
      <c r="F57" s="400"/>
      <c r="G57" s="400"/>
      <c r="H57" s="400"/>
      <c r="I57" s="400"/>
      <c r="J57" s="401"/>
      <c r="K57" s="177"/>
    </row>
    <row r="58" spans="2:14" x14ac:dyDescent="0.2">
      <c r="B58" s="38"/>
      <c r="C58" s="40"/>
      <c r="D58" s="40"/>
      <c r="E58" s="40"/>
      <c r="F58" s="40"/>
      <c r="G58" s="40"/>
      <c r="H58" s="40"/>
      <c r="I58" s="40"/>
      <c r="J58" s="40"/>
      <c r="K58" s="41"/>
    </row>
    <row r="59" spans="2:14" x14ac:dyDescent="0.2">
      <c r="B59" s="38"/>
      <c r="C59" s="179" t="s">
        <v>263</v>
      </c>
      <c r="D59" s="40"/>
      <c r="E59" s="40"/>
      <c r="F59" s="40"/>
      <c r="G59" s="40"/>
      <c r="H59" s="40"/>
      <c r="I59" s="40"/>
      <c r="J59" s="245" t="str">
        <f>IF(J53="N/A",IF(OR(J46="Not Calculated",J55="Not Calculated")=TRUE,"Not Calculated",AVERAGE(J46,J55)),AVERAGE(J53,J55))</f>
        <v>Not Calculated</v>
      </c>
      <c r="K59" s="41"/>
    </row>
    <row r="60" spans="2:14" x14ac:dyDescent="0.2">
      <c r="B60" s="38"/>
      <c r="C60" s="40"/>
      <c r="D60" s="40"/>
      <c r="E60" s="40"/>
      <c r="F60" s="40"/>
      <c r="G60" s="40"/>
      <c r="H60" s="40"/>
      <c r="I60" s="40"/>
      <c r="J60" s="40"/>
      <c r="K60" s="41"/>
    </row>
    <row r="61" spans="2:14" x14ac:dyDescent="0.2">
      <c r="B61" s="38"/>
      <c r="C61" s="40"/>
      <c r="D61" s="40"/>
      <c r="E61" s="40"/>
      <c r="F61" s="40"/>
      <c r="G61" s="40"/>
      <c r="H61" s="40"/>
      <c r="I61" s="40"/>
      <c r="J61" s="40"/>
      <c r="K61" s="41"/>
    </row>
    <row r="62" spans="2:14" ht="16" x14ac:dyDescent="0.2">
      <c r="B62" s="38"/>
      <c r="C62" s="45" t="s">
        <v>54</v>
      </c>
      <c r="D62" s="40"/>
      <c r="E62" s="40"/>
      <c r="F62" s="40"/>
      <c r="G62" s="40"/>
      <c r="H62" s="40"/>
      <c r="I62" s="40"/>
      <c r="J62" s="40"/>
      <c r="K62" s="41"/>
    </row>
    <row r="63" spans="2:14" x14ac:dyDescent="0.2">
      <c r="B63" s="38"/>
      <c r="C63" s="40" t="s">
        <v>436</v>
      </c>
      <c r="D63" s="40"/>
      <c r="E63" s="40"/>
      <c r="F63" s="40"/>
      <c r="G63" s="40"/>
      <c r="H63" s="40"/>
      <c r="I63" s="40"/>
      <c r="J63" s="252">
        <f>'Baseline Health'!G23</f>
        <v>0</v>
      </c>
      <c r="K63" s="41"/>
    </row>
    <row r="64" spans="2:14" x14ac:dyDescent="0.2">
      <c r="B64" s="38"/>
      <c r="C64" s="40" t="s">
        <v>289</v>
      </c>
      <c r="D64" s="40"/>
      <c r="E64" s="40"/>
      <c r="F64" s="40"/>
      <c r="G64" s="40"/>
      <c r="H64" s="40"/>
      <c r="I64" s="40"/>
      <c r="J64" s="264"/>
      <c r="K64" s="41"/>
    </row>
    <row r="65" spans="2:14" x14ac:dyDescent="0.2">
      <c r="B65" s="38"/>
      <c r="C65" s="40" t="s">
        <v>260</v>
      </c>
      <c r="D65" s="40"/>
      <c r="E65" s="40"/>
      <c r="F65" s="40"/>
      <c r="G65" s="40"/>
      <c r="H65" s="40"/>
      <c r="I65" s="40"/>
      <c r="J65" s="248" t="str">
        <f>IF(OR(J63=0,J63="Not Calculated")=TRUE,"Not Calculated",(IF(((J64+J63)/J63)&lt;=1,0,IF(((J64+J63)/J63)&lt;=1.05,1,IF(((J64+J63)/J63)&lt;=1.5, 2,IF(((J64+J63)/J63)&lt;=2,3,4))))))</f>
        <v>Not Calculated</v>
      </c>
      <c r="K65" s="41"/>
    </row>
    <row r="66" spans="2:14" ht="9.75" customHeight="1" x14ac:dyDescent="0.2">
      <c r="B66" s="38"/>
      <c r="C66" s="279" t="str">
        <f>"0:"</f>
        <v>0:</v>
      </c>
      <c r="D66" s="281" t="s">
        <v>918</v>
      </c>
      <c r="E66" s="40"/>
      <c r="F66" s="40"/>
      <c r="G66" s="40"/>
      <c r="H66" s="40"/>
      <c r="I66" s="40"/>
      <c r="J66" s="40"/>
      <c r="K66" s="41"/>
    </row>
    <row r="67" spans="2:14" ht="9.75" customHeight="1" x14ac:dyDescent="0.2">
      <c r="B67" s="38"/>
      <c r="C67" s="280" t="str">
        <f>"1:"</f>
        <v>1:</v>
      </c>
      <c r="D67" s="281" t="s">
        <v>919</v>
      </c>
      <c r="E67" s="40"/>
      <c r="F67" s="40"/>
      <c r="G67" s="40"/>
      <c r="H67" s="40"/>
      <c r="I67" s="40"/>
      <c r="J67" s="40"/>
      <c r="K67" s="41"/>
    </row>
    <row r="68" spans="2:14" ht="9.75" customHeight="1" x14ac:dyDescent="0.2">
      <c r="B68" s="38"/>
      <c r="C68" s="280" t="str">
        <f>"2:"</f>
        <v>2:</v>
      </c>
      <c r="D68" s="281" t="s">
        <v>920</v>
      </c>
      <c r="E68" s="40"/>
      <c r="F68" s="40"/>
      <c r="G68" s="40"/>
      <c r="H68" s="40"/>
      <c r="I68" s="40"/>
      <c r="J68" s="40"/>
      <c r="K68" s="41"/>
    </row>
    <row r="69" spans="2:14" ht="9.75" customHeight="1" x14ac:dyDescent="0.2">
      <c r="B69" s="38"/>
      <c r="C69" s="280" t="str">
        <f>"3:"</f>
        <v>3:</v>
      </c>
      <c r="D69" s="281" t="s">
        <v>921</v>
      </c>
      <c r="E69" s="40"/>
      <c r="F69" s="40"/>
      <c r="G69" s="40"/>
      <c r="H69" s="40"/>
      <c r="I69" s="40"/>
      <c r="J69" s="40"/>
      <c r="K69" s="41"/>
    </row>
    <row r="70" spans="2:14" ht="9.75" customHeight="1" x14ac:dyDescent="0.2">
      <c r="B70" s="38"/>
      <c r="C70" s="280" t="str">
        <f>"4:"</f>
        <v>4:</v>
      </c>
      <c r="D70" s="281" t="s">
        <v>922</v>
      </c>
      <c r="E70" s="40"/>
      <c r="F70" s="40"/>
      <c r="G70" s="40"/>
      <c r="H70" s="40"/>
      <c r="I70" s="40"/>
      <c r="J70" s="40"/>
      <c r="K70" s="41"/>
      <c r="N70" s="12" t="s">
        <v>661</v>
      </c>
    </row>
    <row r="71" spans="2:14" x14ac:dyDescent="0.2">
      <c r="B71" s="38"/>
      <c r="C71" s="174" t="s">
        <v>662</v>
      </c>
      <c r="D71" s="40"/>
      <c r="E71" s="40"/>
      <c r="F71" s="40"/>
      <c r="G71" s="40"/>
      <c r="H71" s="40"/>
      <c r="I71" s="40"/>
      <c r="J71" s="265" t="s">
        <v>661</v>
      </c>
      <c r="K71" s="41"/>
      <c r="N71" s="12" t="s">
        <v>894</v>
      </c>
    </row>
    <row r="72" spans="2:14" x14ac:dyDescent="0.2">
      <c r="B72" s="38"/>
      <c r="C72" s="174" t="s">
        <v>660</v>
      </c>
      <c r="D72" s="40"/>
      <c r="E72" s="40"/>
      <c r="F72" s="40"/>
      <c r="G72" s="40"/>
      <c r="H72" s="40"/>
      <c r="I72" s="40"/>
      <c r="J72" s="246" t="str">
        <f>IF(J71=N70,"N/A",IF(J71=N71,0,IF(J71=N72,1,IF(J71=N73,2,IF(J71=N74,3,IF(J71=N75,4,"N/A"))))))</f>
        <v>N/A</v>
      </c>
      <c r="K72" s="41"/>
      <c r="N72" s="12" t="s">
        <v>895</v>
      </c>
    </row>
    <row r="73" spans="2:14" x14ac:dyDescent="0.2">
      <c r="B73" s="38"/>
      <c r="C73" s="40" t="s">
        <v>257</v>
      </c>
      <c r="D73" s="40"/>
      <c r="E73" s="40"/>
      <c r="F73" s="40"/>
      <c r="G73" s="40"/>
      <c r="H73" s="40"/>
      <c r="I73" s="40"/>
      <c r="J73" s="266"/>
      <c r="K73" s="41"/>
      <c r="N73" s="12" t="s">
        <v>896</v>
      </c>
    </row>
    <row r="74" spans="2:14" x14ac:dyDescent="0.2">
      <c r="B74" s="38"/>
      <c r="C74" s="40" t="s">
        <v>261</v>
      </c>
      <c r="D74" s="40"/>
      <c r="E74" s="40"/>
      <c r="F74" s="40"/>
      <c r="G74" s="40"/>
      <c r="H74" s="40"/>
      <c r="I74" s="40"/>
      <c r="J74" s="245" t="str">
        <f>IF(J73=$B$973,$A$973,IF(J73=$B$974,$A$974,IF(J73=$B$975,$A$975,IF(J73=$B$976,$A$976,IF(J73=$B$977,$A$977,"Not Calculated")))))</f>
        <v>Not Calculated</v>
      </c>
      <c r="K74" s="41"/>
      <c r="N74" s="12" t="s">
        <v>897</v>
      </c>
    </row>
    <row r="75" spans="2:14" x14ac:dyDescent="0.2">
      <c r="B75" s="38"/>
      <c r="C75" s="40" t="s">
        <v>893</v>
      </c>
      <c r="D75" s="40"/>
      <c r="E75" s="40"/>
      <c r="F75" s="40"/>
      <c r="G75" s="40"/>
      <c r="H75" s="40"/>
      <c r="I75" s="40"/>
      <c r="J75" s="175"/>
      <c r="K75" s="41"/>
      <c r="N75" s="12" t="s">
        <v>898</v>
      </c>
    </row>
    <row r="76" spans="2:14" s="178" customFormat="1" x14ac:dyDescent="0.2">
      <c r="B76" s="176"/>
      <c r="C76" s="415"/>
      <c r="D76" s="400"/>
      <c r="E76" s="400"/>
      <c r="F76" s="400"/>
      <c r="G76" s="400"/>
      <c r="H76" s="400"/>
      <c r="I76" s="400"/>
      <c r="J76" s="401"/>
      <c r="K76" s="177"/>
    </row>
    <row r="77" spans="2:14" x14ac:dyDescent="0.2">
      <c r="B77" s="38"/>
      <c r="C77" s="40"/>
      <c r="D77" s="40"/>
      <c r="E77" s="40"/>
      <c r="F77" s="40"/>
      <c r="G77" s="40"/>
      <c r="H77" s="40"/>
      <c r="I77" s="40"/>
      <c r="J77" s="40"/>
      <c r="K77" s="41"/>
    </row>
    <row r="78" spans="2:14" x14ac:dyDescent="0.2">
      <c r="B78" s="38"/>
      <c r="C78" s="179" t="s">
        <v>264</v>
      </c>
      <c r="D78" s="40"/>
      <c r="E78" s="40"/>
      <c r="F78" s="40"/>
      <c r="G78" s="40"/>
      <c r="H78" s="40"/>
      <c r="I78" s="40"/>
      <c r="J78" s="245" t="str">
        <f>IF(J72="N/A",IF(OR(J65="Not Calculated",J74="Not Calculated")=TRUE,"Not Calculated",AVERAGE(J65,J74)),AVERAGE(J72,J74))</f>
        <v>Not Calculated</v>
      </c>
      <c r="K78" s="41"/>
    </row>
    <row r="79" spans="2:14" x14ac:dyDescent="0.2">
      <c r="B79" s="38"/>
      <c r="C79" s="40"/>
      <c r="D79" s="40"/>
      <c r="E79" s="40"/>
      <c r="F79" s="40"/>
      <c r="G79" s="40"/>
      <c r="H79" s="40"/>
      <c r="I79" s="40"/>
      <c r="J79" s="40"/>
      <c r="K79" s="41"/>
    </row>
    <row r="80" spans="2:14" x14ac:dyDescent="0.2">
      <c r="B80" s="38"/>
      <c r="C80" s="40"/>
      <c r="D80" s="40"/>
      <c r="E80" s="40"/>
      <c r="F80" s="40"/>
      <c r="G80" s="40"/>
      <c r="H80" s="40"/>
      <c r="I80" s="40"/>
      <c r="J80" s="40"/>
      <c r="K80" s="41"/>
    </row>
    <row r="81" spans="2:14" ht="16" x14ac:dyDescent="0.2">
      <c r="B81" s="38"/>
      <c r="C81" s="45" t="s">
        <v>57</v>
      </c>
      <c r="D81" s="40"/>
      <c r="E81" s="40"/>
      <c r="F81" s="40"/>
      <c r="G81" s="40"/>
      <c r="H81" s="40"/>
      <c r="I81" s="40"/>
      <c r="J81" s="40"/>
      <c r="K81" s="41"/>
    </row>
    <row r="82" spans="2:14" x14ac:dyDescent="0.2">
      <c r="B82" s="38"/>
      <c r="C82" s="40" t="s">
        <v>437</v>
      </c>
      <c r="D82" s="40"/>
      <c r="E82" s="40"/>
      <c r="F82" s="40"/>
      <c r="G82" s="40"/>
      <c r="H82" s="40"/>
      <c r="I82" s="40"/>
      <c r="J82" s="252">
        <f>'Baseline Health'!G29</f>
        <v>0</v>
      </c>
      <c r="K82" s="41"/>
    </row>
    <row r="83" spans="2:14" x14ac:dyDescent="0.2">
      <c r="B83" s="38"/>
      <c r="C83" s="40" t="s">
        <v>290</v>
      </c>
      <c r="D83" s="40"/>
      <c r="E83" s="40"/>
      <c r="F83" s="40"/>
      <c r="G83" s="40"/>
      <c r="H83" s="40"/>
      <c r="I83" s="40"/>
      <c r="J83" s="264"/>
      <c r="K83" s="41"/>
    </row>
    <row r="84" spans="2:14" x14ac:dyDescent="0.2">
      <c r="B84" s="38"/>
      <c r="C84" s="40" t="s">
        <v>260</v>
      </c>
      <c r="D84" s="40"/>
      <c r="E84" s="40"/>
      <c r="F84" s="40"/>
      <c r="G84" s="40"/>
      <c r="H84" s="40"/>
      <c r="I84" s="40"/>
      <c r="J84" s="248" t="str">
        <f>IF(OR(J82=0,J82="Not Calculated")=TRUE,"Not Calculated",(IF(((J83+J82)/J82)&lt;=1,0,IF(((J83+J82)/J82)&lt;=1.05,1,IF(((J83+J82)/J82)&lt;=1.5, 2,IF(((J83+J82)/J82)&lt;=2,3,4))))))</f>
        <v>Not Calculated</v>
      </c>
      <c r="K84" s="41"/>
    </row>
    <row r="85" spans="2:14" ht="9.75" customHeight="1" x14ac:dyDescent="0.2">
      <c r="B85" s="38"/>
      <c r="C85" s="279" t="str">
        <f>"0:"</f>
        <v>0:</v>
      </c>
      <c r="D85" s="281" t="s">
        <v>918</v>
      </c>
      <c r="E85" s="40"/>
      <c r="F85" s="40"/>
      <c r="G85" s="40"/>
      <c r="H85" s="40"/>
      <c r="I85" s="40"/>
      <c r="J85" s="40"/>
      <c r="K85" s="41"/>
    </row>
    <row r="86" spans="2:14" ht="9.75" customHeight="1" x14ac:dyDescent="0.2">
      <c r="B86" s="38"/>
      <c r="C86" s="280" t="str">
        <f>"1:"</f>
        <v>1:</v>
      </c>
      <c r="D86" s="281" t="s">
        <v>919</v>
      </c>
      <c r="E86" s="40"/>
      <c r="F86" s="40"/>
      <c r="G86" s="40"/>
      <c r="H86" s="40"/>
      <c r="I86" s="40"/>
      <c r="J86" s="40"/>
      <c r="K86" s="41"/>
    </row>
    <row r="87" spans="2:14" ht="9.75" customHeight="1" x14ac:dyDescent="0.2">
      <c r="B87" s="38"/>
      <c r="C87" s="280" t="str">
        <f>"2:"</f>
        <v>2:</v>
      </c>
      <c r="D87" s="281" t="s">
        <v>920</v>
      </c>
      <c r="E87" s="40"/>
      <c r="F87" s="40"/>
      <c r="G87" s="40"/>
      <c r="H87" s="40"/>
      <c r="I87" s="40"/>
      <c r="J87" s="40"/>
      <c r="K87" s="41"/>
    </row>
    <row r="88" spans="2:14" ht="9.75" customHeight="1" x14ac:dyDescent="0.2">
      <c r="B88" s="38"/>
      <c r="C88" s="280" t="str">
        <f>"3:"</f>
        <v>3:</v>
      </c>
      <c r="D88" s="281" t="s">
        <v>921</v>
      </c>
      <c r="E88" s="40"/>
      <c r="F88" s="40"/>
      <c r="G88" s="40"/>
      <c r="H88" s="40"/>
      <c r="I88" s="40"/>
      <c r="J88" s="40"/>
      <c r="K88" s="41"/>
    </row>
    <row r="89" spans="2:14" ht="9.75" customHeight="1" x14ac:dyDescent="0.2">
      <c r="B89" s="38"/>
      <c r="C89" s="280" t="str">
        <f>"4:"</f>
        <v>4:</v>
      </c>
      <c r="D89" s="281" t="s">
        <v>922</v>
      </c>
      <c r="E89" s="40"/>
      <c r="F89" s="40"/>
      <c r="G89" s="40"/>
      <c r="H89" s="40"/>
      <c r="I89" s="40"/>
      <c r="J89" s="40"/>
      <c r="K89" s="41"/>
      <c r="N89" s="12" t="s">
        <v>661</v>
      </c>
    </row>
    <row r="90" spans="2:14" x14ac:dyDescent="0.2">
      <c r="B90" s="38"/>
      <c r="C90" s="174" t="s">
        <v>662</v>
      </c>
      <c r="D90" s="40"/>
      <c r="E90" s="40"/>
      <c r="F90" s="40"/>
      <c r="G90" s="40"/>
      <c r="H90" s="40"/>
      <c r="I90" s="40"/>
      <c r="J90" s="265" t="s">
        <v>661</v>
      </c>
      <c r="K90" s="41"/>
      <c r="N90" s="12" t="s">
        <v>894</v>
      </c>
    </row>
    <row r="91" spans="2:14" x14ac:dyDescent="0.2">
      <c r="B91" s="38"/>
      <c r="C91" s="174" t="s">
        <v>660</v>
      </c>
      <c r="D91" s="40"/>
      <c r="E91" s="40"/>
      <c r="F91" s="40"/>
      <c r="G91" s="40"/>
      <c r="H91" s="40"/>
      <c r="I91" s="40"/>
      <c r="J91" s="246" t="str">
        <f>IF(J90=N89,"N/A",IF(J90=N90,0,IF(J90=N91,1,IF(J90=N92,2,IF(J90=N93,3,IF(J90=N94,4,"N/A"))))))</f>
        <v>N/A</v>
      </c>
      <c r="K91" s="41"/>
      <c r="N91" s="12" t="s">
        <v>895</v>
      </c>
    </row>
    <row r="92" spans="2:14" x14ac:dyDescent="0.2">
      <c r="B92" s="38"/>
      <c r="C92" s="40" t="s">
        <v>257</v>
      </c>
      <c r="D92" s="40"/>
      <c r="E92" s="40"/>
      <c r="F92" s="40"/>
      <c r="G92" s="40"/>
      <c r="H92" s="40"/>
      <c r="I92" s="40"/>
      <c r="J92" s="266"/>
      <c r="K92" s="41"/>
      <c r="N92" s="12" t="s">
        <v>896</v>
      </c>
    </row>
    <row r="93" spans="2:14" x14ac:dyDescent="0.2">
      <c r="B93" s="38"/>
      <c r="C93" s="40" t="s">
        <v>261</v>
      </c>
      <c r="D93" s="40"/>
      <c r="E93" s="40"/>
      <c r="F93" s="40"/>
      <c r="G93" s="40"/>
      <c r="H93" s="40"/>
      <c r="I93" s="40"/>
      <c r="J93" s="245" t="str">
        <f>IF(J92=$B$973,$A$973,IF(J92=$B$974,$A$974,IF(J92=$B$975,$A$975,IF(J92=$B$976,$A$976,IF(J92=$B$977,$A$977,"Not Calculated")))))</f>
        <v>Not Calculated</v>
      </c>
      <c r="K93" s="41"/>
      <c r="N93" s="12" t="s">
        <v>897</v>
      </c>
    </row>
    <row r="94" spans="2:14" x14ac:dyDescent="0.2">
      <c r="B94" s="38"/>
      <c r="C94" s="40" t="s">
        <v>893</v>
      </c>
      <c r="D94" s="40"/>
      <c r="E94" s="40"/>
      <c r="F94" s="40"/>
      <c r="G94" s="40"/>
      <c r="H94" s="40"/>
      <c r="I94" s="40"/>
      <c r="J94" s="175"/>
      <c r="K94" s="41"/>
      <c r="N94" s="12" t="s">
        <v>898</v>
      </c>
    </row>
    <row r="95" spans="2:14" s="178" customFormat="1" x14ac:dyDescent="0.2">
      <c r="B95" s="176"/>
      <c r="C95" s="415"/>
      <c r="D95" s="400"/>
      <c r="E95" s="400"/>
      <c r="F95" s="400"/>
      <c r="G95" s="400"/>
      <c r="H95" s="400"/>
      <c r="I95" s="400"/>
      <c r="J95" s="401"/>
      <c r="K95" s="177"/>
    </row>
    <row r="96" spans="2:14" x14ac:dyDescent="0.2">
      <c r="B96" s="38"/>
      <c r="C96" s="40"/>
      <c r="D96" s="40"/>
      <c r="E96" s="40"/>
      <c r="F96" s="40"/>
      <c r="G96" s="40"/>
      <c r="H96" s="40"/>
      <c r="I96" s="40"/>
      <c r="J96" s="40"/>
      <c r="K96" s="41"/>
    </row>
    <row r="97" spans="2:14" x14ac:dyDescent="0.2">
      <c r="B97" s="38"/>
      <c r="C97" s="179" t="s">
        <v>265</v>
      </c>
      <c r="D97" s="40"/>
      <c r="E97" s="40"/>
      <c r="F97" s="40"/>
      <c r="G97" s="40"/>
      <c r="H97" s="40"/>
      <c r="I97" s="40"/>
      <c r="J97" s="245" t="str">
        <f>IF(J91="N/A",IF(OR(J84="Not Calculated",J93="Not Calculated")=TRUE,"Not Calculated",AVERAGE(J84,J93)),AVERAGE(J91,J93))</f>
        <v>Not Calculated</v>
      </c>
      <c r="K97" s="41"/>
    </row>
    <row r="98" spans="2:14" x14ac:dyDescent="0.2">
      <c r="B98" s="38"/>
      <c r="C98" s="40"/>
      <c r="D98" s="40"/>
      <c r="E98" s="40"/>
      <c r="F98" s="40"/>
      <c r="G98" s="40"/>
      <c r="H98" s="40"/>
      <c r="I98" s="40"/>
      <c r="J98" s="40"/>
      <c r="K98" s="41"/>
    </row>
    <row r="99" spans="2:14" x14ac:dyDescent="0.2">
      <c r="B99" s="38"/>
      <c r="C99" s="40"/>
      <c r="D99" s="40"/>
      <c r="E99" s="40"/>
      <c r="F99" s="40"/>
      <c r="G99" s="40"/>
      <c r="H99" s="40"/>
      <c r="I99" s="40"/>
      <c r="J99" s="40"/>
      <c r="K99" s="41"/>
    </row>
    <row r="100" spans="2:14" ht="16" x14ac:dyDescent="0.2">
      <c r="B100" s="38"/>
      <c r="C100" s="45" t="s">
        <v>60</v>
      </c>
      <c r="D100" s="40"/>
      <c r="E100" s="40"/>
      <c r="F100" s="40"/>
      <c r="G100" s="40"/>
      <c r="H100" s="40"/>
      <c r="I100" s="40"/>
      <c r="J100" s="40"/>
      <c r="K100" s="41"/>
    </row>
    <row r="101" spans="2:14" x14ac:dyDescent="0.2">
      <c r="B101" s="38"/>
      <c r="C101" s="40" t="s">
        <v>438</v>
      </c>
      <c r="D101" s="40"/>
      <c r="E101" s="40"/>
      <c r="F101" s="40"/>
      <c r="G101" s="40"/>
      <c r="H101" s="40"/>
      <c r="I101" s="40"/>
      <c r="J101" s="252">
        <f>'Baseline Health'!G35</f>
        <v>0</v>
      </c>
      <c r="K101" s="41"/>
    </row>
    <row r="102" spans="2:14" x14ac:dyDescent="0.2">
      <c r="B102" s="38"/>
      <c r="C102" s="40" t="s">
        <v>291</v>
      </c>
      <c r="D102" s="40"/>
      <c r="E102" s="40"/>
      <c r="F102" s="40"/>
      <c r="G102" s="40"/>
      <c r="H102" s="40"/>
      <c r="I102" s="40"/>
      <c r="J102" s="264"/>
      <c r="K102" s="41"/>
    </row>
    <row r="103" spans="2:14" x14ac:dyDescent="0.2">
      <c r="B103" s="38"/>
      <c r="C103" s="40" t="s">
        <v>260</v>
      </c>
      <c r="D103" s="40"/>
      <c r="E103" s="40"/>
      <c r="F103" s="40"/>
      <c r="G103" s="40"/>
      <c r="H103" s="40"/>
      <c r="I103" s="40"/>
      <c r="J103" s="248" t="str">
        <f>IF(OR(J101=0,J101="Not Calculated")=TRUE,"Not Calculated",(IF(((J102+J101)/J101)&lt;=1,0,IF(((J102+J101)/J101)&lt;=1.05,1,IF(((J102+J101)/J101)&lt;=1.5, 2,IF(((J102+J101)/J101)&lt;=2,3,4))))))</f>
        <v>Not Calculated</v>
      </c>
      <c r="K103" s="41"/>
    </row>
    <row r="104" spans="2:14" ht="9.75" customHeight="1" x14ac:dyDescent="0.2">
      <c r="B104" s="38"/>
      <c r="C104" s="279" t="str">
        <f>"0:"</f>
        <v>0:</v>
      </c>
      <c r="D104" s="281" t="s">
        <v>918</v>
      </c>
      <c r="E104" s="40"/>
      <c r="F104" s="40"/>
      <c r="G104" s="40"/>
      <c r="H104" s="40"/>
      <c r="I104" s="40"/>
      <c r="J104" s="40"/>
      <c r="K104" s="41"/>
    </row>
    <row r="105" spans="2:14" ht="9.75" customHeight="1" x14ac:dyDescent="0.2">
      <c r="B105" s="38"/>
      <c r="C105" s="280" t="str">
        <f>"1:"</f>
        <v>1:</v>
      </c>
      <c r="D105" s="281" t="s">
        <v>919</v>
      </c>
      <c r="E105" s="40"/>
      <c r="F105" s="40"/>
      <c r="G105" s="40"/>
      <c r="H105" s="40"/>
      <c r="I105" s="40"/>
      <c r="J105" s="40"/>
      <c r="K105" s="41"/>
    </row>
    <row r="106" spans="2:14" ht="9.75" customHeight="1" x14ac:dyDescent="0.2">
      <c r="B106" s="38"/>
      <c r="C106" s="280" t="str">
        <f>"2:"</f>
        <v>2:</v>
      </c>
      <c r="D106" s="281" t="s">
        <v>920</v>
      </c>
      <c r="E106" s="40"/>
      <c r="F106" s="40"/>
      <c r="G106" s="40"/>
      <c r="H106" s="40"/>
      <c r="I106" s="40"/>
      <c r="J106" s="40"/>
      <c r="K106" s="41"/>
    </row>
    <row r="107" spans="2:14" ht="9.75" customHeight="1" x14ac:dyDescent="0.2">
      <c r="B107" s="38"/>
      <c r="C107" s="280" t="str">
        <f>"3:"</f>
        <v>3:</v>
      </c>
      <c r="D107" s="281" t="s">
        <v>921</v>
      </c>
      <c r="E107" s="40"/>
      <c r="F107" s="40"/>
      <c r="G107" s="40"/>
      <c r="H107" s="40"/>
      <c r="I107" s="40"/>
      <c r="J107" s="40"/>
      <c r="K107" s="41"/>
    </row>
    <row r="108" spans="2:14" ht="9.75" customHeight="1" x14ac:dyDescent="0.2">
      <c r="B108" s="38"/>
      <c r="C108" s="280" t="str">
        <f>"4:"</f>
        <v>4:</v>
      </c>
      <c r="D108" s="281" t="s">
        <v>922</v>
      </c>
      <c r="E108" s="40"/>
      <c r="F108" s="40"/>
      <c r="G108" s="40"/>
      <c r="H108" s="40"/>
      <c r="I108" s="40"/>
      <c r="J108" s="40"/>
      <c r="K108" s="41"/>
      <c r="N108" s="12" t="s">
        <v>661</v>
      </c>
    </row>
    <row r="109" spans="2:14" x14ac:dyDescent="0.2">
      <c r="B109" s="38"/>
      <c r="C109" s="174" t="s">
        <v>662</v>
      </c>
      <c r="D109" s="40"/>
      <c r="E109" s="40"/>
      <c r="F109" s="40"/>
      <c r="G109" s="40"/>
      <c r="H109" s="40"/>
      <c r="I109" s="40"/>
      <c r="J109" s="265" t="s">
        <v>661</v>
      </c>
      <c r="K109" s="41"/>
      <c r="N109" s="12" t="s">
        <v>894</v>
      </c>
    </row>
    <row r="110" spans="2:14" x14ac:dyDescent="0.2">
      <c r="B110" s="38"/>
      <c r="C110" s="174" t="s">
        <v>660</v>
      </c>
      <c r="D110" s="40"/>
      <c r="E110" s="40"/>
      <c r="F110" s="40"/>
      <c r="G110" s="40"/>
      <c r="H110" s="40"/>
      <c r="I110" s="40"/>
      <c r="J110" s="246" t="str">
        <f>IF(J109=N108,"N/A",IF(J109=N109,0,IF(J109=N110,1,IF(J109=N111,2,IF(J109=N112,3,IF(J109=N113,4,"N/A"))))))</f>
        <v>N/A</v>
      </c>
      <c r="K110" s="41"/>
      <c r="N110" s="12" t="s">
        <v>895</v>
      </c>
    </row>
    <row r="111" spans="2:14" x14ac:dyDescent="0.2">
      <c r="B111" s="38"/>
      <c r="C111" s="40" t="s">
        <v>257</v>
      </c>
      <c r="D111" s="40"/>
      <c r="E111" s="40"/>
      <c r="F111" s="40"/>
      <c r="G111" s="40"/>
      <c r="H111" s="40"/>
      <c r="I111" s="40"/>
      <c r="J111" s="266"/>
      <c r="K111" s="41"/>
      <c r="N111" s="12" t="s">
        <v>896</v>
      </c>
    </row>
    <row r="112" spans="2:14" x14ac:dyDescent="0.2">
      <c r="B112" s="38"/>
      <c r="C112" s="40" t="s">
        <v>261</v>
      </c>
      <c r="D112" s="40"/>
      <c r="E112" s="40"/>
      <c r="F112" s="40"/>
      <c r="G112" s="40"/>
      <c r="H112" s="40"/>
      <c r="I112" s="40"/>
      <c r="J112" s="245" t="str">
        <f>IF(J111=$B$973,$A$973,IF(J111=$B$974,$A$974,IF(J111=$B$975,$A$975,IF(J111=$B$976,$A$976,IF(J111=$B$977,$A$977,"Not Calculated")))))</f>
        <v>Not Calculated</v>
      </c>
      <c r="K112" s="41"/>
      <c r="N112" s="12" t="s">
        <v>897</v>
      </c>
    </row>
    <row r="113" spans="2:14" x14ac:dyDescent="0.2">
      <c r="B113" s="38"/>
      <c r="C113" s="40" t="s">
        <v>893</v>
      </c>
      <c r="D113" s="40"/>
      <c r="E113" s="40"/>
      <c r="F113" s="40"/>
      <c r="G113" s="40"/>
      <c r="H113" s="40"/>
      <c r="I113" s="40"/>
      <c r="J113" s="175"/>
      <c r="K113" s="41"/>
      <c r="N113" s="12" t="s">
        <v>898</v>
      </c>
    </row>
    <row r="114" spans="2:14" s="178" customFormat="1" x14ac:dyDescent="0.2">
      <c r="B114" s="176"/>
      <c r="C114" s="415"/>
      <c r="D114" s="400"/>
      <c r="E114" s="400"/>
      <c r="F114" s="400"/>
      <c r="G114" s="400"/>
      <c r="H114" s="400"/>
      <c r="I114" s="400"/>
      <c r="J114" s="401"/>
      <c r="K114" s="177"/>
    </row>
    <row r="115" spans="2:14" x14ac:dyDescent="0.2">
      <c r="B115" s="38"/>
      <c r="C115" s="40"/>
      <c r="D115" s="40"/>
      <c r="E115" s="40"/>
      <c r="F115" s="40"/>
      <c r="G115" s="40"/>
      <c r="H115" s="40"/>
      <c r="I115" s="40"/>
      <c r="J115" s="40"/>
      <c r="K115" s="41"/>
    </row>
    <row r="116" spans="2:14" x14ac:dyDescent="0.2">
      <c r="B116" s="38"/>
      <c r="C116" s="179" t="s">
        <v>266</v>
      </c>
      <c r="D116" s="40"/>
      <c r="E116" s="40"/>
      <c r="F116" s="40"/>
      <c r="G116" s="40"/>
      <c r="H116" s="40"/>
      <c r="I116" s="40"/>
      <c r="J116" s="245" t="str">
        <f>IF(J110="N/A",IF(OR(J103="Not Calculated",J112="Not Calculated")=TRUE,"Not Calculated",AVERAGE(J103,J112)),AVERAGE(J110,J112))</f>
        <v>Not Calculated</v>
      </c>
      <c r="K116" s="41"/>
    </row>
    <row r="117" spans="2:14" x14ac:dyDescent="0.2">
      <c r="B117" s="38"/>
      <c r="C117" s="40"/>
      <c r="D117" s="40"/>
      <c r="E117" s="40"/>
      <c r="F117" s="40"/>
      <c r="G117" s="40"/>
      <c r="H117" s="40"/>
      <c r="I117" s="40"/>
      <c r="J117" s="40"/>
      <c r="K117" s="41"/>
    </row>
    <row r="118" spans="2:14" x14ac:dyDescent="0.2">
      <c r="B118" s="38"/>
      <c r="C118" s="40"/>
      <c r="D118" s="40"/>
      <c r="E118" s="40"/>
      <c r="F118" s="40"/>
      <c r="G118" s="40"/>
      <c r="H118" s="40"/>
      <c r="I118" s="40"/>
      <c r="J118" s="40"/>
      <c r="K118" s="41"/>
    </row>
    <row r="119" spans="2:14" ht="16" x14ac:dyDescent="0.2">
      <c r="B119" s="38"/>
      <c r="C119" s="45" t="s">
        <v>262</v>
      </c>
      <c r="D119" s="40"/>
      <c r="E119" s="40"/>
      <c r="F119" s="40"/>
      <c r="G119" s="40"/>
      <c r="H119" s="40"/>
      <c r="I119" s="40"/>
      <c r="J119" s="40"/>
      <c r="K119" s="41"/>
    </row>
    <row r="120" spans="2:14" ht="15" customHeight="1" x14ac:dyDescent="0.2">
      <c r="B120" s="38"/>
      <c r="C120" s="422" t="s">
        <v>268</v>
      </c>
      <c r="D120" s="422"/>
      <c r="E120" s="422"/>
      <c r="F120" s="422"/>
      <c r="G120" s="422"/>
      <c r="H120" s="422"/>
      <c r="I120" s="422"/>
      <c r="J120" s="422"/>
      <c r="K120" s="41"/>
    </row>
    <row r="121" spans="2:14" x14ac:dyDescent="0.2">
      <c r="B121" s="38"/>
      <c r="C121" s="422"/>
      <c r="D121" s="422"/>
      <c r="E121" s="422"/>
      <c r="F121" s="422"/>
      <c r="G121" s="422"/>
      <c r="H121" s="422"/>
      <c r="I121" s="422"/>
      <c r="J121" s="422"/>
      <c r="K121" s="41"/>
    </row>
    <row r="122" spans="2:14" x14ac:dyDescent="0.2">
      <c r="B122" s="38"/>
      <c r="C122" s="423"/>
      <c r="D122" s="423"/>
      <c r="E122" s="423"/>
      <c r="F122" s="423"/>
      <c r="G122" s="423"/>
      <c r="H122" s="423"/>
      <c r="I122" s="423"/>
      <c r="J122" s="423"/>
      <c r="K122" s="41"/>
    </row>
    <row r="123" spans="2:14" ht="15" customHeight="1" x14ac:dyDescent="0.2">
      <c r="B123" s="38"/>
      <c r="C123" s="416"/>
      <c r="D123" s="417"/>
      <c r="E123" s="417"/>
      <c r="F123" s="417"/>
      <c r="G123" s="417"/>
      <c r="H123" s="417"/>
      <c r="I123" s="417"/>
      <c r="J123" s="418"/>
      <c r="K123" s="41"/>
    </row>
    <row r="124" spans="2:14" x14ac:dyDescent="0.2">
      <c r="B124" s="38"/>
      <c r="C124" s="419"/>
      <c r="D124" s="420"/>
      <c r="E124" s="420"/>
      <c r="F124" s="420"/>
      <c r="G124" s="420"/>
      <c r="H124" s="420"/>
      <c r="I124" s="420"/>
      <c r="J124" s="421"/>
      <c r="K124" s="41"/>
    </row>
    <row r="125" spans="2:14" ht="15" customHeight="1" x14ac:dyDescent="0.2">
      <c r="B125" s="38"/>
      <c r="C125" s="40" t="s">
        <v>260</v>
      </c>
      <c r="D125" s="40"/>
      <c r="E125" s="40"/>
      <c r="F125" s="40"/>
      <c r="G125" s="40"/>
      <c r="H125" s="40"/>
      <c r="I125" s="40"/>
      <c r="J125" s="247" t="str">
        <f>IF(C123=B987,A987,IF(C123=B988,A988,IF(C123=B989,A989,IF(C123=B990,A990,IF(C123=B991,A991,"Not Calculated")))))</f>
        <v>Not Calculated</v>
      </c>
      <c r="K125" s="41"/>
    </row>
    <row r="126" spans="2:14" ht="15" customHeight="1" x14ac:dyDescent="0.2">
      <c r="B126" s="38"/>
      <c r="C126" s="40" t="s">
        <v>257</v>
      </c>
      <c r="D126" s="40"/>
      <c r="E126" s="40"/>
      <c r="F126" s="40"/>
      <c r="G126" s="40"/>
      <c r="H126" s="40"/>
      <c r="I126" s="40"/>
      <c r="J126" s="266"/>
      <c r="K126" s="41"/>
    </row>
    <row r="127" spans="2:14" x14ac:dyDescent="0.2">
      <c r="B127" s="38"/>
      <c r="C127" s="40" t="s">
        <v>261</v>
      </c>
      <c r="D127" s="40"/>
      <c r="E127" s="40"/>
      <c r="F127" s="40"/>
      <c r="G127" s="40"/>
      <c r="H127" s="40"/>
      <c r="I127" s="40"/>
      <c r="J127" s="245" t="str">
        <f>IF(J126=$B$973,$A$973,IF(J126=$B$974,$A$974,IF(J126=$B$975,$A$975,IF(J126=$B$976,$A$976,IF(J126=$B$977,$A$977,"Not Calculated")))))</f>
        <v>Not Calculated</v>
      </c>
      <c r="K127" s="41"/>
    </row>
    <row r="128" spans="2:14" ht="15" customHeight="1" x14ac:dyDescent="0.2">
      <c r="B128" s="38"/>
      <c r="C128" s="40" t="s">
        <v>893</v>
      </c>
      <c r="D128" s="40"/>
      <c r="E128" s="40"/>
      <c r="F128" s="40"/>
      <c r="G128" s="40"/>
      <c r="H128" s="40"/>
      <c r="I128" s="40"/>
      <c r="J128" s="175"/>
      <c r="K128" s="41"/>
    </row>
    <row r="129" spans="2:11" s="178" customFormat="1" ht="15" customHeight="1" x14ac:dyDescent="0.2">
      <c r="B129" s="176"/>
      <c r="C129" s="415"/>
      <c r="D129" s="400"/>
      <c r="E129" s="400"/>
      <c r="F129" s="400"/>
      <c r="G129" s="400"/>
      <c r="H129" s="400"/>
      <c r="I129" s="400"/>
      <c r="J129" s="401"/>
      <c r="K129" s="177"/>
    </row>
    <row r="130" spans="2:11" x14ac:dyDescent="0.2">
      <c r="B130" s="38"/>
      <c r="C130" s="40"/>
      <c r="D130" s="40"/>
      <c r="E130" s="40"/>
      <c r="F130" s="40"/>
      <c r="G130" s="40"/>
      <c r="H130" s="40"/>
      <c r="I130" s="40"/>
      <c r="J130" s="40"/>
      <c r="K130" s="41"/>
    </row>
    <row r="131" spans="2:11" x14ac:dyDescent="0.2">
      <c r="B131" s="38"/>
      <c r="C131" s="179" t="s">
        <v>267</v>
      </c>
      <c r="D131" s="40"/>
      <c r="E131" s="40"/>
      <c r="F131" s="40"/>
      <c r="G131" s="40"/>
      <c r="H131" s="40"/>
      <c r="I131" s="40"/>
      <c r="J131" s="245" t="str">
        <f>IF(OR(J125="Not Calculated",J127="Not Calculated")=TRUE,"Not Calculated",AVERAGE(J125,J127))</f>
        <v>Not Calculated</v>
      </c>
      <c r="K131" s="41"/>
    </row>
    <row r="132" spans="2:11" x14ac:dyDescent="0.2">
      <c r="B132" s="38"/>
      <c r="C132" s="179"/>
      <c r="D132" s="40"/>
      <c r="E132" s="40"/>
      <c r="F132" s="40"/>
      <c r="G132" s="40"/>
      <c r="H132" s="40"/>
      <c r="I132" s="40"/>
      <c r="J132" s="245"/>
      <c r="K132" s="41"/>
    </row>
    <row r="133" spans="2:11" ht="18" x14ac:dyDescent="0.2">
      <c r="B133" s="38"/>
      <c r="C133" s="180" t="s">
        <v>269</v>
      </c>
      <c r="D133" s="40"/>
      <c r="E133" s="40"/>
      <c r="F133" s="40"/>
      <c r="G133" s="40"/>
      <c r="H133" s="40"/>
      <c r="I133" s="40"/>
      <c r="J133" s="244" t="str">
        <f>IF(OR(J40="Not Calculated",J59="Not Calculated",J78="Not Calculated",J97="Not Calculated",J116="Not Calculated",J131="Not Calculated",)=TRUE,"Not Calculated",AVERAGE(J40,J59,J78,J97,J116,J131))</f>
        <v>Not Calculated</v>
      </c>
      <c r="K133" s="41"/>
    </row>
    <row r="134" spans="2:11" ht="16" thickBot="1" x14ac:dyDescent="0.25">
      <c r="B134" s="46"/>
      <c r="C134" s="47"/>
      <c r="D134" s="47"/>
      <c r="E134" s="47"/>
      <c r="F134" s="47"/>
      <c r="G134" s="47"/>
      <c r="H134" s="47"/>
      <c r="I134" s="47"/>
      <c r="J134" s="47"/>
      <c r="K134" s="49"/>
    </row>
    <row r="135" spans="2:11" ht="16" thickBot="1" x14ac:dyDescent="0.25"/>
    <row r="136" spans="2:11" x14ac:dyDescent="0.2">
      <c r="B136" s="33"/>
      <c r="C136" s="34"/>
      <c r="D136" s="34"/>
      <c r="E136" s="34"/>
      <c r="F136" s="34"/>
      <c r="G136" s="34"/>
      <c r="H136" s="34"/>
      <c r="I136" s="34"/>
      <c r="J136" s="34"/>
      <c r="K136" s="37"/>
    </row>
    <row r="137" spans="2:11" ht="21" x14ac:dyDescent="0.25">
      <c r="B137" s="38"/>
      <c r="C137" s="171"/>
      <c r="D137" s="40"/>
      <c r="E137" s="40"/>
      <c r="F137" s="40"/>
      <c r="G137" s="172" t="s">
        <v>27</v>
      </c>
      <c r="H137" s="40"/>
      <c r="I137" s="40"/>
      <c r="J137" s="40"/>
      <c r="K137" s="41"/>
    </row>
    <row r="138" spans="2:11" x14ac:dyDescent="0.2">
      <c r="B138" s="38"/>
      <c r="C138" s="40"/>
      <c r="D138" s="40"/>
      <c r="E138" s="40"/>
      <c r="F138" s="40"/>
      <c r="G138" s="40"/>
      <c r="H138" s="40"/>
      <c r="I138" s="40"/>
      <c r="J138" s="40"/>
      <c r="K138" s="41"/>
    </row>
    <row r="139" spans="2:11" ht="16" x14ac:dyDescent="0.2">
      <c r="B139" s="38"/>
      <c r="C139" s="45" t="s">
        <v>72</v>
      </c>
      <c r="D139" s="40"/>
      <c r="E139" s="40"/>
      <c r="F139" s="40"/>
      <c r="G139" s="40"/>
      <c r="H139" s="40"/>
      <c r="I139" s="40"/>
      <c r="J139" s="40"/>
      <c r="K139" s="41"/>
    </row>
    <row r="140" spans="2:11" x14ac:dyDescent="0.2">
      <c r="B140" s="38"/>
      <c r="C140" s="40" t="s">
        <v>440</v>
      </c>
      <c r="D140" s="40"/>
      <c r="E140" s="40"/>
      <c r="F140" s="40"/>
      <c r="G140" s="40"/>
      <c r="H140" s="40"/>
      <c r="I140" s="40"/>
      <c r="J140" s="252">
        <f>'Baseline Health'!G45</f>
        <v>0</v>
      </c>
      <c r="K140" s="41"/>
    </row>
    <row r="141" spans="2:11" x14ac:dyDescent="0.2">
      <c r="B141" s="38"/>
      <c r="C141" s="40" t="s">
        <v>270</v>
      </c>
      <c r="D141" s="40"/>
      <c r="E141" s="40"/>
      <c r="F141" s="40"/>
      <c r="G141" s="40"/>
      <c r="H141" s="40"/>
      <c r="I141" s="40"/>
      <c r="J141" s="264"/>
      <c r="K141" s="41"/>
    </row>
    <row r="142" spans="2:11" x14ac:dyDescent="0.2">
      <c r="B142" s="38"/>
      <c r="C142" s="40" t="s">
        <v>439</v>
      </c>
      <c r="D142" s="40"/>
      <c r="E142" s="40"/>
      <c r="F142" s="40"/>
      <c r="G142" s="40"/>
      <c r="H142" s="40"/>
      <c r="I142" s="40"/>
      <c r="J142" s="251">
        <f>J83/20</f>
        <v>0</v>
      </c>
      <c r="K142" s="41"/>
    </row>
    <row r="143" spans="2:11" x14ac:dyDescent="0.2">
      <c r="B143" s="38"/>
      <c r="C143" s="40"/>
      <c r="D143" s="40" t="s">
        <v>351</v>
      </c>
      <c r="E143" s="40"/>
      <c r="F143" s="40"/>
      <c r="G143" s="40"/>
      <c r="H143" s="40"/>
      <c r="I143" s="40"/>
      <c r="J143" s="40"/>
      <c r="K143" s="41"/>
    </row>
    <row r="144" spans="2:11" x14ac:dyDescent="0.2">
      <c r="B144" s="38"/>
      <c r="C144" s="40" t="s">
        <v>260</v>
      </c>
      <c r="D144" s="40"/>
      <c r="E144" s="40"/>
      <c r="F144" s="40"/>
      <c r="G144" s="40"/>
      <c r="H144" s="40"/>
      <c r="I144" s="40"/>
      <c r="J144" s="245" t="str">
        <f>IF(OR(J140=0,J140="Not Calculated")=TRUE,"Not Calculated",IF((J140-J141)&lt;=0,4,IF(((J140+J142)/(J140-J141))&lt;=1,0,IF(((J140+J142)/(J140-J141))&lt;=1.05,1,IF(((J140+J142)/(J140-J141))&lt;=1.5, 2,IF(((J140+J142)/(J140-J141))&lt;=2,3,4))))))</f>
        <v>Not Calculated</v>
      </c>
      <c r="K144" s="41"/>
    </row>
    <row r="145" spans="2:14" ht="9.75" customHeight="1" x14ac:dyDescent="0.2">
      <c r="B145" s="38"/>
      <c r="C145" s="279" t="str">
        <f>"0:"</f>
        <v>0:</v>
      </c>
      <c r="D145" s="278" t="s">
        <v>918</v>
      </c>
      <c r="E145" s="40"/>
      <c r="F145" s="40"/>
      <c r="G145" s="40"/>
      <c r="H145" s="40"/>
      <c r="I145" s="40"/>
      <c r="J145" s="40"/>
      <c r="K145" s="41"/>
    </row>
    <row r="146" spans="2:14" ht="9.75" customHeight="1" x14ac:dyDescent="0.2">
      <c r="B146" s="38"/>
      <c r="C146" s="280" t="str">
        <f>"1:"</f>
        <v>1:</v>
      </c>
      <c r="D146" s="278" t="s">
        <v>923</v>
      </c>
      <c r="E146" s="40"/>
      <c r="F146" s="40"/>
      <c r="G146" s="40"/>
      <c r="H146" s="40"/>
      <c r="I146" s="40"/>
      <c r="J146" s="40"/>
      <c r="K146" s="41"/>
    </row>
    <row r="147" spans="2:14" ht="9.75" customHeight="1" x14ac:dyDescent="0.2">
      <c r="B147" s="38"/>
      <c r="C147" s="280" t="str">
        <f>"2:"</f>
        <v>2:</v>
      </c>
      <c r="D147" s="278" t="s">
        <v>924</v>
      </c>
      <c r="E147" s="40"/>
      <c r="F147" s="40"/>
      <c r="G147" s="40"/>
      <c r="H147" s="40"/>
      <c r="I147" s="40"/>
      <c r="J147" s="40"/>
      <c r="K147" s="41"/>
    </row>
    <row r="148" spans="2:14" ht="9.75" customHeight="1" x14ac:dyDescent="0.2">
      <c r="B148" s="38"/>
      <c r="C148" s="280" t="str">
        <f>"3:"</f>
        <v>3:</v>
      </c>
      <c r="D148" s="278" t="s">
        <v>925</v>
      </c>
      <c r="E148" s="40"/>
      <c r="F148" s="40"/>
      <c r="G148" s="40"/>
      <c r="H148" s="40"/>
      <c r="I148" s="40"/>
      <c r="J148" s="40"/>
      <c r="K148" s="41"/>
    </row>
    <row r="149" spans="2:14" ht="9.75" customHeight="1" x14ac:dyDescent="0.2">
      <c r="B149" s="38"/>
      <c r="C149" s="280" t="str">
        <f>"4:"</f>
        <v>4:</v>
      </c>
      <c r="D149" s="278" t="s">
        <v>926</v>
      </c>
      <c r="E149" s="40"/>
      <c r="F149" s="40"/>
      <c r="G149" s="40"/>
      <c r="H149" s="40"/>
      <c r="I149" s="40"/>
      <c r="J149" s="40"/>
      <c r="K149" s="41"/>
      <c r="N149" s="12" t="s">
        <v>661</v>
      </c>
    </row>
    <row r="150" spans="2:14" x14ac:dyDescent="0.2">
      <c r="B150" s="38"/>
      <c r="C150" s="174" t="s">
        <v>662</v>
      </c>
      <c r="D150" s="40"/>
      <c r="E150" s="40"/>
      <c r="F150" s="40"/>
      <c r="G150" s="40"/>
      <c r="H150" s="40"/>
      <c r="I150" s="40"/>
      <c r="J150" s="265" t="s">
        <v>661</v>
      </c>
      <c r="K150" s="41"/>
      <c r="N150" s="12" t="s">
        <v>894</v>
      </c>
    </row>
    <row r="151" spans="2:14" x14ac:dyDescent="0.2">
      <c r="B151" s="38"/>
      <c r="C151" s="174" t="s">
        <v>660</v>
      </c>
      <c r="D151" s="40"/>
      <c r="E151" s="40"/>
      <c r="F151" s="40"/>
      <c r="G151" s="40"/>
      <c r="H151" s="40"/>
      <c r="I151" s="40"/>
      <c r="J151" s="246" t="str">
        <f>IF(J150=N149,"N/A",IF(J150=N150,0,IF(J150=N151,1,IF(J150=N152,2,IF(J150=N153,3,IF(J150=N154,4,"N/A"))))))</f>
        <v>N/A</v>
      </c>
      <c r="K151" s="41"/>
      <c r="N151" s="12" t="s">
        <v>899</v>
      </c>
    </row>
    <row r="152" spans="2:14" x14ac:dyDescent="0.2">
      <c r="B152" s="38"/>
      <c r="C152" s="40" t="s">
        <v>257</v>
      </c>
      <c r="D152" s="40"/>
      <c r="E152" s="40"/>
      <c r="F152" s="40"/>
      <c r="G152" s="40"/>
      <c r="H152" s="40"/>
      <c r="I152" s="40"/>
      <c r="J152" s="266"/>
      <c r="K152" s="41"/>
      <c r="N152" s="12" t="s">
        <v>900</v>
      </c>
    </row>
    <row r="153" spans="2:14" x14ac:dyDescent="0.2">
      <c r="B153" s="38"/>
      <c r="C153" s="40" t="s">
        <v>261</v>
      </c>
      <c r="D153" s="40"/>
      <c r="E153" s="40"/>
      <c r="F153" s="40"/>
      <c r="G153" s="40"/>
      <c r="H153" s="40"/>
      <c r="I153" s="40"/>
      <c r="J153" s="245" t="str">
        <f>IF(J152=$B$973,$A$973,IF(J152=$B$974,$A$974,IF(J152=$B$975,$A$975,IF(J152=$B$976,$A$976,IF(J152=$B$977,$A$977,"Not Calculated")))))</f>
        <v>Not Calculated</v>
      </c>
      <c r="K153" s="41"/>
      <c r="N153" s="12" t="s">
        <v>901</v>
      </c>
    </row>
    <row r="154" spans="2:14" x14ac:dyDescent="0.2">
      <c r="B154" s="38"/>
      <c r="C154" s="40" t="s">
        <v>893</v>
      </c>
      <c r="D154" s="40"/>
      <c r="E154" s="40"/>
      <c r="F154" s="40"/>
      <c r="G154" s="40"/>
      <c r="H154" s="40"/>
      <c r="I154" s="40"/>
      <c r="J154" s="40"/>
      <c r="K154" s="41"/>
      <c r="N154" s="12" t="s">
        <v>902</v>
      </c>
    </row>
    <row r="155" spans="2:14" ht="15" customHeight="1" x14ac:dyDescent="0.2">
      <c r="B155" s="38"/>
      <c r="C155" s="399"/>
      <c r="D155" s="400"/>
      <c r="E155" s="400"/>
      <c r="F155" s="400"/>
      <c r="G155" s="400"/>
      <c r="H155" s="400"/>
      <c r="I155" s="400"/>
      <c r="J155" s="401"/>
      <c r="K155" s="41"/>
    </row>
    <row r="156" spans="2:14" x14ac:dyDescent="0.2">
      <c r="B156" s="38"/>
      <c r="C156" s="40"/>
      <c r="D156" s="40"/>
      <c r="E156" s="40"/>
      <c r="F156" s="40"/>
      <c r="G156" s="40"/>
      <c r="H156" s="40"/>
      <c r="I156" s="40"/>
      <c r="J156" s="40"/>
      <c r="K156" s="41"/>
    </row>
    <row r="157" spans="2:14" x14ac:dyDescent="0.2">
      <c r="B157" s="38"/>
      <c r="C157" s="179" t="s">
        <v>271</v>
      </c>
      <c r="D157" s="40"/>
      <c r="E157" s="40"/>
      <c r="F157" s="40"/>
      <c r="G157" s="40"/>
      <c r="H157" s="40"/>
      <c r="I157" s="40"/>
      <c r="J157" s="245" t="str">
        <f>IF(J151="N/A",IF(OR(J144="Not Calculated",J153="Not Calculated")=TRUE,"Not Calculated",AVERAGE(J144,J153)),AVERAGE(J151,J153))</f>
        <v>Not Calculated</v>
      </c>
      <c r="K157" s="41"/>
    </row>
    <row r="158" spans="2:14" x14ac:dyDescent="0.2">
      <c r="B158" s="38"/>
      <c r="C158" s="40"/>
      <c r="D158" s="40"/>
      <c r="E158" s="40"/>
      <c r="F158" s="40"/>
      <c r="G158" s="40"/>
      <c r="H158" s="40"/>
      <c r="I158" s="40"/>
      <c r="J158" s="40"/>
      <c r="K158" s="41"/>
    </row>
    <row r="159" spans="2:14" x14ac:dyDescent="0.2">
      <c r="B159" s="38"/>
      <c r="C159" s="40"/>
      <c r="D159" s="40"/>
      <c r="E159" s="40"/>
      <c r="F159" s="40"/>
      <c r="G159" s="40"/>
      <c r="H159" s="40"/>
      <c r="I159" s="40"/>
      <c r="J159" s="40"/>
      <c r="K159" s="41"/>
    </row>
    <row r="160" spans="2:14" ht="16" x14ac:dyDescent="0.2">
      <c r="B160" s="38"/>
      <c r="C160" s="45" t="s">
        <v>273</v>
      </c>
      <c r="D160" s="40"/>
      <c r="E160" s="40"/>
      <c r="F160" s="40"/>
      <c r="G160" s="40"/>
      <c r="H160" s="40"/>
      <c r="I160" s="40"/>
      <c r="J160" s="40"/>
      <c r="K160" s="41"/>
    </row>
    <row r="161" spans="2:14" x14ac:dyDescent="0.2">
      <c r="B161" s="38"/>
      <c r="C161" s="40" t="s">
        <v>441</v>
      </c>
      <c r="D161" s="40"/>
      <c r="E161" s="40"/>
      <c r="F161" s="40"/>
      <c r="G161" s="40"/>
      <c r="H161" s="40"/>
      <c r="I161" s="40"/>
      <c r="J161" s="252">
        <f>'Baseline Health'!G51</f>
        <v>0</v>
      </c>
      <c r="K161" s="41"/>
    </row>
    <row r="162" spans="2:14" x14ac:dyDescent="0.2">
      <c r="B162" s="38"/>
      <c r="C162" s="40" t="s">
        <v>280</v>
      </c>
      <c r="D162" s="40"/>
      <c r="E162" s="40"/>
      <c r="F162" s="40"/>
      <c r="G162" s="40"/>
      <c r="H162" s="40"/>
      <c r="I162" s="40"/>
      <c r="J162" s="264"/>
      <c r="K162" s="41"/>
    </row>
    <row r="163" spans="2:14" x14ac:dyDescent="0.2">
      <c r="B163" s="38"/>
      <c r="C163" s="40" t="s">
        <v>442</v>
      </c>
      <c r="D163" s="40"/>
      <c r="E163" s="40"/>
      <c r="F163" s="40"/>
      <c r="G163" s="40"/>
      <c r="H163" s="40"/>
      <c r="I163" s="40"/>
      <c r="J163" s="251">
        <f>(J64)/4.5</f>
        <v>0</v>
      </c>
      <c r="K163" s="41"/>
    </row>
    <row r="164" spans="2:14" x14ac:dyDescent="0.2">
      <c r="B164" s="38"/>
      <c r="C164" s="40"/>
      <c r="D164" s="40" t="s">
        <v>353</v>
      </c>
      <c r="E164" s="40"/>
      <c r="F164" s="40"/>
      <c r="G164" s="40"/>
      <c r="H164" s="40"/>
      <c r="I164" s="40"/>
      <c r="J164" s="40"/>
      <c r="K164" s="41"/>
    </row>
    <row r="165" spans="2:14" x14ac:dyDescent="0.2">
      <c r="B165" s="38"/>
      <c r="C165" s="40" t="s">
        <v>260</v>
      </c>
      <c r="D165" s="40"/>
      <c r="E165" s="40"/>
      <c r="F165" s="40"/>
      <c r="G165" s="40"/>
      <c r="H165" s="40"/>
      <c r="I165" s="40"/>
      <c r="J165" s="245" t="str">
        <f>IF(OR(J161=0,J161="Not Calculated")=TRUE,"Not Calculated",IF((J161-J162)&lt;=0,4,IF(((J161+J163)/(J161-J162))&lt;=1,0,IF(((J161+J163)/(J161-J162))&lt;=1.05,1,IF(((J161+J163)/(J161-J162))&lt;=1.5, 2,IF(((J161+J163)/(J161-J162))&lt;=2,3,4))))))</f>
        <v>Not Calculated</v>
      </c>
      <c r="K165" s="41"/>
    </row>
    <row r="166" spans="2:14" ht="9.75" customHeight="1" x14ac:dyDescent="0.2">
      <c r="B166" s="38"/>
      <c r="C166" s="279" t="str">
        <f>"0:"</f>
        <v>0:</v>
      </c>
      <c r="D166" s="278" t="s">
        <v>918</v>
      </c>
      <c r="E166" s="40"/>
      <c r="F166" s="40"/>
      <c r="G166" s="40"/>
      <c r="H166" s="40"/>
      <c r="I166" s="40"/>
      <c r="J166" s="40"/>
      <c r="K166" s="41"/>
    </row>
    <row r="167" spans="2:14" ht="9.75" customHeight="1" x14ac:dyDescent="0.2">
      <c r="B167" s="38"/>
      <c r="C167" s="280" t="str">
        <f>"1:"</f>
        <v>1:</v>
      </c>
      <c r="D167" s="278" t="s">
        <v>923</v>
      </c>
      <c r="E167" s="40"/>
      <c r="F167" s="40"/>
      <c r="G167" s="40"/>
      <c r="H167" s="40"/>
      <c r="I167" s="40"/>
      <c r="J167" s="40"/>
      <c r="K167" s="41"/>
    </row>
    <row r="168" spans="2:14" ht="9.75" customHeight="1" x14ac:dyDescent="0.2">
      <c r="B168" s="38"/>
      <c r="C168" s="280" t="str">
        <f>"2:"</f>
        <v>2:</v>
      </c>
      <c r="D168" s="278" t="s">
        <v>924</v>
      </c>
      <c r="E168" s="40"/>
      <c r="F168" s="40"/>
      <c r="G168" s="40"/>
      <c r="H168" s="40"/>
      <c r="I168" s="40"/>
      <c r="J168" s="40"/>
      <c r="K168" s="41"/>
    </row>
    <row r="169" spans="2:14" ht="9.75" customHeight="1" x14ac:dyDescent="0.2">
      <c r="B169" s="38"/>
      <c r="C169" s="280" t="str">
        <f>"3:"</f>
        <v>3:</v>
      </c>
      <c r="D169" s="278" t="s">
        <v>925</v>
      </c>
      <c r="E169" s="40"/>
      <c r="F169" s="40"/>
      <c r="G169" s="40"/>
      <c r="H169" s="40"/>
      <c r="I169" s="40"/>
      <c r="J169" s="40"/>
      <c r="K169" s="41"/>
    </row>
    <row r="170" spans="2:14" ht="9.75" customHeight="1" x14ac:dyDescent="0.2">
      <c r="B170" s="38"/>
      <c r="C170" s="280" t="str">
        <f>"4:"</f>
        <v>4:</v>
      </c>
      <c r="D170" s="278" t="s">
        <v>926</v>
      </c>
      <c r="E170" s="40"/>
      <c r="F170" s="40"/>
      <c r="G170" s="40"/>
      <c r="H170" s="40"/>
      <c r="I170" s="40"/>
      <c r="J170" s="40"/>
      <c r="K170" s="41"/>
      <c r="N170" s="12" t="s">
        <v>661</v>
      </c>
    </row>
    <row r="171" spans="2:14" x14ac:dyDescent="0.2">
      <c r="B171" s="38"/>
      <c r="C171" s="174" t="s">
        <v>662</v>
      </c>
      <c r="D171" s="40"/>
      <c r="E171" s="40"/>
      <c r="F171" s="40"/>
      <c r="G171" s="40"/>
      <c r="H171" s="40"/>
      <c r="I171" s="40"/>
      <c r="J171" s="265" t="s">
        <v>661</v>
      </c>
      <c r="K171" s="41"/>
      <c r="N171" s="12" t="s">
        <v>894</v>
      </c>
    </row>
    <row r="172" spans="2:14" x14ac:dyDescent="0.2">
      <c r="B172" s="38"/>
      <c r="C172" s="174" t="s">
        <v>660</v>
      </c>
      <c r="D172" s="40"/>
      <c r="E172" s="40"/>
      <c r="F172" s="40"/>
      <c r="G172" s="40"/>
      <c r="H172" s="40"/>
      <c r="I172" s="40"/>
      <c r="J172" s="246" t="str">
        <f>IF(J171=N170,"N/A",IF(J171=N171,0,IF(J171=N172,1,IF(J171=N173,2,IF(J171=N174,3,IF(J171=N175,4,"N/A"))))))</f>
        <v>N/A</v>
      </c>
      <c r="K172" s="41"/>
      <c r="N172" s="12" t="s">
        <v>899</v>
      </c>
    </row>
    <row r="173" spans="2:14" x14ac:dyDescent="0.2">
      <c r="B173" s="38"/>
      <c r="C173" s="40" t="s">
        <v>257</v>
      </c>
      <c r="D173" s="40"/>
      <c r="E173" s="40"/>
      <c r="F173" s="40"/>
      <c r="G173" s="40"/>
      <c r="H173" s="40"/>
      <c r="I173" s="40"/>
      <c r="J173" s="266"/>
      <c r="K173" s="41"/>
      <c r="N173" s="12" t="s">
        <v>900</v>
      </c>
    </row>
    <row r="174" spans="2:14" x14ac:dyDescent="0.2">
      <c r="B174" s="38"/>
      <c r="C174" s="40" t="s">
        <v>261</v>
      </c>
      <c r="D174" s="40"/>
      <c r="E174" s="40"/>
      <c r="F174" s="40"/>
      <c r="G174" s="40"/>
      <c r="H174" s="40"/>
      <c r="I174" s="40"/>
      <c r="J174" s="245" t="str">
        <f>IF(J173=$B$973,$A$973,IF(J173=$B$974,$A$974,IF(J173=$B$975,$A$975,IF(J173=$B$976,$A$976,IF(J173=$B$977,$A$977,"Not Calculated")))))</f>
        <v>Not Calculated</v>
      </c>
      <c r="K174" s="41"/>
      <c r="N174" s="12" t="s">
        <v>901</v>
      </c>
    </row>
    <row r="175" spans="2:14" x14ac:dyDescent="0.2">
      <c r="B175" s="38"/>
      <c r="C175" s="40" t="s">
        <v>893</v>
      </c>
      <c r="D175" s="40"/>
      <c r="E175" s="40"/>
      <c r="F175" s="40"/>
      <c r="G175" s="40"/>
      <c r="H175" s="40"/>
      <c r="I175" s="40"/>
      <c r="J175" s="40"/>
      <c r="K175" s="41"/>
      <c r="N175" s="12" t="s">
        <v>902</v>
      </c>
    </row>
    <row r="176" spans="2:14" ht="15" customHeight="1" x14ac:dyDescent="0.2">
      <c r="B176" s="38"/>
      <c r="C176" s="399"/>
      <c r="D176" s="400"/>
      <c r="E176" s="400"/>
      <c r="F176" s="400"/>
      <c r="G176" s="400"/>
      <c r="H176" s="400"/>
      <c r="I176" s="400"/>
      <c r="J176" s="401"/>
      <c r="K176" s="41"/>
    </row>
    <row r="177" spans="2:14" x14ac:dyDescent="0.2">
      <c r="B177" s="38"/>
      <c r="C177" s="40"/>
      <c r="D177" s="40"/>
      <c r="E177" s="40"/>
      <c r="F177" s="40"/>
      <c r="G177" s="40"/>
      <c r="H177" s="40"/>
      <c r="I177" s="40"/>
      <c r="J177" s="40"/>
      <c r="K177" s="41"/>
    </row>
    <row r="178" spans="2:14" x14ac:dyDescent="0.2">
      <c r="B178" s="38"/>
      <c r="C178" s="179" t="s">
        <v>274</v>
      </c>
      <c r="D178" s="40"/>
      <c r="E178" s="40"/>
      <c r="F178" s="40"/>
      <c r="G178" s="40"/>
      <c r="H178" s="40"/>
      <c r="I178" s="40"/>
      <c r="J178" s="245" t="str">
        <f>IF(J172="N/A",IF(OR(J165="Not Calculated",J174="Not Calculated")=TRUE,"Not Calculated",AVERAGE(J165,J174)),AVERAGE(J172,J174))</f>
        <v>Not Calculated</v>
      </c>
      <c r="K178" s="41"/>
    </row>
    <row r="179" spans="2:14" x14ac:dyDescent="0.2">
      <c r="B179" s="38"/>
      <c r="C179" s="40"/>
      <c r="D179" s="40"/>
      <c r="E179" s="40"/>
      <c r="F179" s="40"/>
      <c r="G179" s="40"/>
      <c r="H179" s="40"/>
      <c r="I179" s="40"/>
      <c r="J179" s="40"/>
      <c r="K179" s="41"/>
    </row>
    <row r="180" spans="2:14" x14ac:dyDescent="0.2">
      <c r="B180" s="38"/>
      <c r="C180" s="40"/>
      <c r="D180" s="40"/>
      <c r="E180" s="40"/>
      <c r="F180" s="40"/>
      <c r="G180" s="40"/>
      <c r="H180" s="40"/>
      <c r="I180" s="40"/>
      <c r="J180" s="40"/>
      <c r="K180" s="41"/>
    </row>
    <row r="181" spans="2:14" ht="16" x14ac:dyDescent="0.2">
      <c r="B181" s="38"/>
      <c r="C181" s="45" t="s">
        <v>74</v>
      </c>
      <c r="D181" s="40"/>
      <c r="E181" s="40"/>
      <c r="F181" s="40"/>
      <c r="G181" s="40"/>
      <c r="H181" s="40"/>
      <c r="I181" s="40"/>
      <c r="J181" s="40"/>
      <c r="K181" s="41"/>
    </row>
    <row r="182" spans="2:14" x14ac:dyDescent="0.2">
      <c r="B182" s="38"/>
      <c r="C182" s="40" t="s">
        <v>443</v>
      </c>
      <c r="D182" s="40"/>
      <c r="E182" s="40"/>
      <c r="F182" s="40"/>
      <c r="G182" s="40"/>
      <c r="H182" s="40"/>
      <c r="I182" s="40"/>
      <c r="J182" s="252">
        <f>'Baseline Health'!G59</f>
        <v>0</v>
      </c>
      <c r="K182" s="41"/>
    </row>
    <row r="183" spans="2:14" x14ac:dyDescent="0.2">
      <c r="B183" s="38"/>
      <c r="C183" s="40" t="s">
        <v>281</v>
      </c>
      <c r="D183" s="40"/>
      <c r="E183" s="40"/>
      <c r="F183" s="40"/>
      <c r="G183" s="40"/>
      <c r="H183" s="40"/>
      <c r="I183" s="40"/>
      <c r="J183" s="264"/>
      <c r="K183" s="41"/>
    </row>
    <row r="184" spans="2:14" x14ac:dyDescent="0.2">
      <c r="B184" s="38"/>
      <c r="C184" s="40" t="s">
        <v>354</v>
      </c>
      <c r="D184" s="40"/>
      <c r="E184" s="40"/>
      <c r="F184" s="40"/>
      <c r="G184" s="40"/>
      <c r="H184" s="40"/>
      <c r="I184" s="40"/>
      <c r="J184" s="264"/>
      <c r="K184" s="41"/>
    </row>
    <row r="185" spans="2:14" x14ac:dyDescent="0.2">
      <c r="B185" s="38"/>
      <c r="C185" s="40" t="s">
        <v>260</v>
      </c>
      <c r="D185" s="40"/>
      <c r="E185" s="40"/>
      <c r="F185" s="40"/>
      <c r="G185" s="40"/>
      <c r="H185" s="40"/>
      <c r="I185" s="40"/>
      <c r="J185" s="245" t="str">
        <f>IF(OR(J182=0,J182="Not Calculated")=TRUE,"Not Calculated",IF(J182-J183=0,4,IF(((J182+J184)/(J182-J183))&lt;=1,0,IF(((J182+J184)/(J182-J183))&lt;=1.05,1,IF(((J182+J184)/(J182-J183))&lt;=1.5, 2,IF(((J182+J184)/(J182-J183))&lt;=2,3,4))))))</f>
        <v>Not Calculated</v>
      </c>
      <c r="K185" s="41"/>
    </row>
    <row r="186" spans="2:14" ht="9.75" customHeight="1" x14ac:dyDescent="0.2">
      <c r="B186" s="38"/>
      <c r="C186" s="279" t="str">
        <f>"0:"</f>
        <v>0:</v>
      </c>
      <c r="D186" s="278" t="s">
        <v>918</v>
      </c>
      <c r="E186" s="40"/>
      <c r="F186" s="40"/>
      <c r="G186" s="40"/>
      <c r="H186" s="40"/>
      <c r="I186" s="40"/>
      <c r="J186" s="40"/>
      <c r="K186" s="41"/>
    </row>
    <row r="187" spans="2:14" ht="9.75" customHeight="1" x14ac:dyDescent="0.2">
      <c r="B187" s="38"/>
      <c r="C187" s="280" t="str">
        <f>"1:"</f>
        <v>1:</v>
      </c>
      <c r="D187" s="278" t="s">
        <v>923</v>
      </c>
      <c r="E187" s="40"/>
      <c r="F187" s="40"/>
      <c r="G187" s="40"/>
      <c r="H187" s="40"/>
      <c r="I187" s="40"/>
      <c r="J187" s="40"/>
      <c r="K187" s="41"/>
    </row>
    <row r="188" spans="2:14" ht="9.75" customHeight="1" x14ac:dyDescent="0.2">
      <c r="B188" s="38"/>
      <c r="C188" s="280" t="str">
        <f>"2:"</f>
        <v>2:</v>
      </c>
      <c r="D188" s="278" t="s">
        <v>924</v>
      </c>
      <c r="E188" s="40"/>
      <c r="F188" s="40"/>
      <c r="G188" s="40"/>
      <c r="H188" s="40"/>
      <c r="I188" s="40"/>
      <c r="J188" s="40"/>
      <c r="K188" s="41"/>
    </row>
    <row r="189" spans="2:14" ht="9.75" customHeight="1" x14ac:dyDescent="0.2">
      <c r="B189" s="38"/>
      <c r="C189" s="280" t="str">
        <f>"3:"</f>
        <v>3:</v>
      </c>
      <c r="D189" s="278" t="s">
        <v>925</v>
      </c>
      <c r="E189" s="40"/>
      <c r="F189" s="40"/>
      <c r="G189" s="40"/>
      <c r="H189" s="40"/>
      <c r="I189" s="40"/>
      <c r="J189" s="40"/>
      <c r="K189" s="41"/>
    </row>
    <row r="190" spans="2:14" ht="9.75" customHeight="1" x14ac:dyDescent="0.2">
      <c r="B190" s="38"/>
      <c r="C190" s="280" t="str">
        <f>"4:"</f>
        <v>4:</v>
      </c>
      <c r="D190" s="278" t="s">
        <v>926</v>
      </c>
      <c r="E190" s="40"/>
      <c r="F190" s="40"/>
      <c r="G190" s="40"/>
      <c r="H190" s="40"/>
      <c r="I190" s="40"/>
      <c r="J190" s="40"/>
      <c r="K190" s="41"/>
      <c r="N190" s="12" t="s">
        <v>661</v>
      </c>
    </row>
    <row r="191" spans="2:14" x14ac:dyDescent="0.2">
      <c r="B191" s="38"/>
      <c r="C191" s="174" t="s">
        <v>662</v>
      </c>
      <c r="D191" s="40"/>
      <c r="E191" s="40"/>
      <c r="F191" s="40"/>
      <c r="G191" s="40"/>
      <c r="H191" s="40"/>
      <c r="I191" s="40"/>
      <c r="J191" s="265" t="s">
        <v>661</v>
      </c>
      <c r="K191" s="41"/>
      <c r="N191" s="12" t="s">
        <v>894</v>
      </c>
    </row>
    <row r="192" spans="2:14" x14ac:dyDescent="0.2">
      <c r="B192" s="38"/>
      <c r="C192" s="174" t="s">
        <v>660</v>
      </c>
      <c r="D192" s="40"/>
      <c r="E192" s="40"/>
      <c r="F192" s="40"/>
      <c r="G192" s="40"/>
      <c r="H192" s="40"/>
      <c r="I192" s="40"/>
      <c r="J192" s="246" t="str">
        <f>IF(J191=N190,"N/A",IF(J191=N191,0,IF(J191=N192,1,IF(J191=N193,2,IF(J191=N194,3,IF(J191=N195,4,"N/A"))))))</f>
        <v>N/A</v>
      </c>
      <c r="K192" s="41"/>
      <c r="N192" s="12" t="s">
        <v>899</v>
      </c>
    </row>
    <row r="193" spans="2:14" x14ac:dyDescent="0.2">
      <c r="B193" s="38"/>
      <c r="C193" s="40" t="s">
        <v>257</v>
      </c>
      <c r="D193" s="40"/>
      <c r="E193" s="40"/>
      <c r="F193" s="40"/>
      <c r="G193" s="40"/>
      <c r="H193" s="40"/>
      <c r="I193" s="40"/>
      <c r="J193" s="266"/>
      <c r="K193" s="41"/>
      <c r="N193" s="12" t="s">
        <v>900</v>
      </c>
    </row>
    <row r="194" spans="2:14" x14ac:dyDescent="0.2">
      <c r="B194" s="38"/>
      <c r="C194" s="40" t="s">
        <v>261</v>
      </c>
      <c r="D194" s="40"/>
      <c r="E194" s="40"/>
      <c r="F194" s="40"/>
      <c r="G194" s="40"/>
      <c r="H194" s="40"/>
      <c r="I194" s="40"/>
      <c r="J194" s="245" t="str">
        <f>IF(J193=$B$973,$A$973,IF(J193=$B$974,$A$974,IF(J193=$B$975,$A$975,IF(J193=$B$976,$A$976,IF(J193=$B$977,$A$977,"Not Calculated")))))</f>
        <v>Not Calculated</v>
      </c>
      <c r="K194" s="41"/>
      <c r="N194" s="12" t="s">
        <v>901</v>
      </c>
    </row>
    <row r="195" spans="2:14" x14ac:dyDescent="0.2">
      <c r="B195" s="38"/>
      <c r="C195" s="40" t="s">
        <v>893</v>
      </c>
      <c r="D195" s="40"/>
      <c r="E195" s="40"/>
      <c r="F195" s="40"/>
      <c r="G195" s="40"/>
      <c r="H195" s="40"/>
      <c r="I195" s="40"/>
      <c r="J195" s="40"/>
      <c r="K195" s="41"/>
      <c r="N195" s="12" t="s">
        <v>902</v>
      </c>
    </row>
    <row r="196" spans="2:14" x14ac:dyDescent="0.2">
      <c r="B196" s="38"/>
      <c r="C196" s="399"/>
      <c r="D196" s="400"/>
      <c r="E196" s="400"/>
      <c r="F196" s="400"/>
      <c r="G196" s="400"/>
      <c r="H196" s="400"/>
      <c r="I196" s="400"/>
      <c r="J196" s="401"/>
      <c r="K196" s="41"/>
    </row>
    <row r="197" spans="2:14" x14ac:dyDescent="0.2">
      <c r="B197" s="38"/>
      <c r="C197" s="40"/>
      <c r="D197" s="40"/>
      <c r="E197" s="40"/>
      <c r="F197" s="40"/>
      <c r="G197" s="40"/>
      <c r="H197" s="40"/>
      <c r="I197" s="40"/>
      <c r="J197" s="40"/>
      <c r="K197" s="41"/>
    </row>
    <row r="198" spans="2:14" x14ac:dyDescent="0.2">
      <c r="B198" s="38"/>
      <c r="C198" s="179" t="s">
        <v>275</v>
      </c>
      <c r="D198" s="40"/>
      <c r="E198" s="40"/>
      <c r="F198" s="40"/>
      <c r="G198" s="40"/>
      <c r="H198" s="40"/>
      <c r="I198" s="40"/>
      <c r="J198" s="245" t="str">
        <f>IF(J192="N/A",IF(OR(J185="Not Calculated",J194="Not Calculated")=TRUE,"Not Calculated",AVERAGE(J185,J194)),AVERAGE(J192,J194))</f>
        <v>Not Calculated</v>
      </c>
      <c r="K198" s="41"/>
    </row>
    <row r="199" spans="2:14" x14ac:dyDescent="0.2">
      <c r="B199" s="38"/>
      <c r="C199" s="40"/>
      <c r="D199" s="40"/>
      <c r="E199" s="40"/>
      <c r="F199" s="40"/>
      <c r="G199" s="40"/>
      <c r="H199" s="40"/>
      <c r="I199" s="40"/>
      <c r="J199" s="40"/>
      <c r="K199" s="41"/>
    </row>
    <row r="200" spans="2:14" x14ac:dyDescent="0.2">
      <c r="B200" s="38"/>
      <c r="C200" s="40"/>
      <c r="D200" s="40"/>
      <c r="E200" s="40"/>
      <c r="F200" s="40"/>
      <c r="G200" s="40"/>
      <c r="H200" s="40"/>
      <c r="I200" s="40"/>
      <c r="J200" s="40"/>
      <c r="K200" s="41"/>
    </row>
    <row r="201" spans="2:14" ht="16" x14ac:dyDescent="0.2">
      <c r="B201" s="38"/>
      <c r="C201" s="45" t="s">
        <v>75</v>
      </c>
      <c r="D201" s="40"/>
      <c r="E201" s="40"/>
      <c r="F201" s="40"/>
      <c r="G201" s="40"/>
      <c r="H201" s="40"/>
      <c r="I201" s="40"/>
      <c r="J201" s="40"/>
      <c r="K201" s="41"/>
    </row>
    <row r="202" spans="2:14" x14ac:dyDescent="0.2">
      <c r="B202" s="38"/>
      <c r="C202" s="40" t="s">
        <v>444</v>
      </c>
      <c r="D202" s="40"/>
      <c r="E202" s="40"/>
      <c r="F202" s="40"/>
      <c r="G202" s="40"/>
      <c r="H202" s="40"/>
      <c r="I202" s="40"/>
      <c r="J202" s="252">
        <f>'Baseline Health'!G65</f>
        <v>0</v>
      </c>
      <c r="K202" s="41"/>
    </row>
    <row r="203" spans="2:14" x14ac:dyDescent="0.2">
      <c r="B203" s="38"/>
      <c r="C203" s="40" t="s">
        <v>282</v>
      </c>
      <c r="D203" s="40"/>
      <c r="E203" s="40"/>
      <c r="F203" s="40"/>
      <c r="G203" s="40"/>
      <c r="H203" s="40"/>
      <c r="I203" s="40"/>
      <c r="J203" s="264"/>
      <c r="K203" s="41"/>
    </row>
    <row r="204" spans="2:14" x14ac:dyDescent="0.2">
      <c r="B204" s="38"/>
      <c r="C204" s="40" t="s">
        <v>355</v>
      </c>
      <c r="D204" s="40"/>
      <c r="E204" s="40"/>
      <c r="F204" s="40"/>
      <c r="G204" s="40"/>
      <c r="H204" s="40"/>
      <c r="I204" s="40"/>
      <c r="J204" s="264"/>
      <c r="K204" s="41"/>
    </row>
    <row r="205" spans="2:14" x14ac:dyDescent="0.2">
      <c r="B205" s="38"/>
      <c r="C205" s="40" t="s">
        <v>260</v>
      </c>
      <c r="D205" s="40"/>
      <c r="E205" s="40"/>
      <c r="F205" s="40"/>
      <c r="G205" s="40"/>
      <c r="H205" s="40"/>
      <c r="I205" s="40"/>
      <c r="J205" s="245" t="str">
        <f>IF(OR(J202=0,J202="Not Calculated")=TRUE,"Not Calculated",IF(J202-J203=0,4,IF(((J202+J204)/(J202-J203))&lt;=1,0,IF(((J202+J204)/(J202-J203))&lt;=1.05,1,IF(((J202+J204)/(J202-J203))&lt;=1.5, 2,IF(((J202+J204)/(J202-J203))&lt;=2,3,4))))))</f>
        <v>Not Calculated</v>
      </c>
      <c r="K205" s="41"/>
    </row>
    <row r="206" spans="2:14" ht="9.75" customHeight="1" x14ac:dyDescent="0.2">
      <c r="B206" s="38"/>
      <c r="C206" s="279" t="str">
        <f>"0:"</f>
        <v>0:</v>
      </c>
      <c r="D206" s="278" t="s">
        <v>918</v>
      </c>
      <c r="E206" s="40"/>
      <c r="F206" s="40"/>
      <c r="G206" s="40"/>
      <c r="H206" s="40"/>
      <c r="I206" s="40"/>
      <c r="J206" s="40"/>
      <c r="K206" s="41"/>
    </row>
    <row r="207" spans="2:14" ht="9.75" customHeight="1" x14ac:dyDescent="0.2">
      <c r="B207" s="38"/>
      <c r="C207" s="280" t="str">
        <f>"1:"</f>
        <v>1:</v>
      </c>
      <c r="D207" s="278" t="s">
        <v>923</v>
      </c>
      <c r="E207" s="40"/>
      <c r="F207" s="40"/>
      <c r="G207" s="40"/>
      <c r="H207" s="40"/>
      <c r="I207" s="40"/>
      <c r="J207" s="40"/>
      <c r="K207" s="41"/>
    </row>
    <row r="208" spans="2:14" ht="9.75" customHeight="1" x14ac:dyDescent="0.2">
      <c r="B208" s="38"/>
      <c r="C208" s="280" t="str">
        <f>"2:"</f>
        <v>2:</v>
      </c>
      <c r="D208" s="278" t="s">
        <v>924</v>
      </c>
      <c r="E208" s="40"/>
      <c r="F208" s="40"/>
      <c r="G208" s="40"/>
      <c r="H208" s="40"/>
      <c r="I208" s="40"/>
      <c r="J208" s="40"/>
      <c r="K208" s="41"/>
    </row>
    <row r="209" spans="2:14" ht="9.75" customHeight="1" x14ac:dyDescent="0.2">
      <c r="B209" s="38"/>
      <c r="C209" s="280" t="str">
        <f>"3:"</f>
        <v>3:</v>
      </c>
      <c r="D209" s="278" t="s">
        <v>925</v>
      </c>
      <c r="E209" s="40"/>
      <c r="F209" s="40"/>
      <c r="G209" s="40"/>
      <c r="H209" s="40"/>
      <c r="I209" s="40"/>
      <c r="J209" s="40"/>
      <c r="K209" s="41"/>
    </row>
    <row r="210" spans="2:14" ht="9.75" customHeight="1" x14ac:dyDescent="0.2">
      <c r="B210" s="38"/>
      <c r="C210" s="280" t="str">
        <f>"4:"</f>
        <v>4:</v>
      </c>
      <c r="D210" s="278" t="s">
        <v>926</v>
      </c>
      <c r="E210" s="40"/>
      <c r="F210" s="40"/>
      <c r="G210" s="40"/>
      <c r="H210" s="40"/>
      <c r="I210" s="40"/>
      <c r="J210" s="40"/>
      <c r="K210" s="41"/>
      <c r="N210" s="12" t="s">
        <v>661</v>
      </c>
    </row>
    <row r="211" spans="2:14" x14ac:dyDescent="0.2">
      <c r="B211" s="38"/>
      <c r="C211" s="174" t="s">
        <v>662</v>
      </c>
      <c r="D211" s="40"/>
      <c r="E211" s="40"/>
      <c r="F211" s="40"/>
      <c r="G211" s="40"/>
      <c r="H211" s="40"/>
      <c r="I211" s="40"/>
      <c r="J211" s="265" t="s">
        <v>661</v>
      </c>
      <c r="K211" s="41"/>
      <c r="N211" s="12" t="s">
        <v>894</v>
      </c>
    </row>
    <row r="212" spans="2:14" x14ac:dyDescent="0.2">
      <c r="B212" s="38"/>
      <c r="C212" s="174" t="s">
        <v>660</v>
      </c>
      <c r="D212" s="40"/>
      <c r="E212" s="40"/>
      <c r="F212" s="40"/>
      <c r="G212" s="40"/>
      <c r="H212" s="40"/>
      <c r="I212" s="40"/>
      <c r="J212" s="246" t="str">
        <f>IF(J211=N210,"N/A",IF(J211=N211,0,IF(J211=N212,1,IF(J211=N213,2,IF(J211=N214,3,IF(J211=N215,4,"N/A"))))))</f>
        <v>N/A</v>
      </c>
      <c r="K212" s="41"/>
      <c r="N212" s="12" t="s">
        <v>899</v>
      </c>
    </row>
    <row r="213" spans="2:14" x14ac:dyDescent="0.2">
      <c r="B213" s="38"/>
      <c r="C213" s="40" t="s">
        <v>257</v>
      </c>
      <c r="D213" s="40"/>
      <c r="E213" s="40"/>
      <c r="F213" s="40"/>
      <c r="G213" s="40"/>
      <c r="H213" s="40"/>
      <c r="I213" s="40"/>
      <c r="J213" s="266"/>
      <c r="K213" s="41"/>
      <c r="N213" s="12" t="s">
        <v>900</v>
      </c>
    </row>
    <row r="214" spans="2:14" x14ac:dyDescent="0.2">
      <c r="B214" s="38"/>
      <c r="C214" s="40" t="s">
        <v>261</v>
      </c>
      <c r="D214" s="40"/>
      <c r="E214" s="40"/>
      <c r="F214" s="40"/>
      <c r="G214" s="40"/>
      <c r="H214" s="40"/>
      <c r="I214" s="40"/>
      <c r="J214" s="245" t="str">
        <f>IF(J213=$B$973,$A$973,IF(J213=$B$974,$A$974,IF(J213=$B$975,$A$975,IF(J213=$B$976,$A$976,IF(J213=$B$977,$A$977,"Not Calculated")))))</f>
        <v>Not Calculated</v>
      </c>
      <c r="K214" s="41"/>
      <c r="N214" s="12" t="s">
        <v>901</v>
      </c>
    </row>
    <row r="215" spans="2:14" x14ac:dyDescent="0.2">
      <c r="B215" s="38"/>
      <c r="C215" s="40" t="s">
        <v>893</v>
      </c>
      <c r="D215" s="40"/>
      <c r="E215" s="40"/>
      <c r="F215" s="40"/>
      <c r="G215" s="40"/>
      <c r="H215" s="40"/>
      <c r="I215" s="40"/>
      <c r="J215" s="40"/>
      <c r="K215" s="41"/>
      <c r="N215" s="12" t="s">
        <v>902</v>
      </c>
    </row>
    <row r="216" spans="2:14" ht="15" customHeight="1" x14ac:dyDescent="0.2">
      <c r="B216" s="38"/>
      <c r="C216" s="399"/>
      <c r="D216" s="400"/>
      <c r="E216" s="400"/>
      <c r="F216" s="400"/>
      <c r="G216" s="400"/>
      <c r="H216" s="400"/>
      <c r="I216" s="400"/>
      <c r="J216" s="401"/>
      <c r="K216" s="41"/>
    </row>
    <row r="217" spans="2:14" x14ac:dyDescent="0.2">
      <c r="B217" s="38"/>
      <c r="C217" s="40"/>
      <c r="D217" s="40"/>
      <c r="E217" s="40"/>
      <c r="F217" s="40"/>
      <c r="G217" s="40"/>
      <c r="H217" s="40"/>
      <c r="I217" s="40"/>
      <c r="J217" s="40"/>
      <c r="K217" s="41"/>
    </row>
    <row r="218" spans="2:14" x14ac:dyDescent="0.2">
      <c r="B218" s="38"/>
      <c r="C218" s="179" t="s">
        <v>276</v>
      </c>
      <c r="D218" s="40"/>
      <c r="E218" s="40"/>
      <c r="F218" s="40"/>
      <c r="G218" s="40"/>
      <c r="H218" s="40"/>
      <c r="I218" s="40"/>
      <c r="J218" s="245" t="str">
        <f>IF(J212="N/A",IF(OR(J205="Not Calculated",J214="Not Calculated")=TRUE,"Not Calculated",AVERAGE(J205,J214)),AVERAGE(J212,J214))</f>
        <v>Not Calculated</v>
      </c>
      <c r="K218" s="41"/>
    </row>
    <row r="219" spans="2:14" x14ac:dyDescent="0.2">
      <c r="B219" s="38"/>
      <c r="C219" s="40"/>
      <c r="D219" s="40"/>
      <c r="E219" s="40"/>
      <c r="F219" s="40"/>
      <c r="G219" s="40"/>
      <c r="H219" s="40"/>
      <c r="I219" s="40"/>
      <c r="J219" s="40"/>
      <c r="K219" s="41"/>
    </row>
    <row r="220" spans="2:14" x14ac:dyDescent="0.2">
      <c r="B220" s="38"/>
      <c r="C220" s="40"/>
      <c r="D220" s="40"/>
      <c r="E220" s="40"/>
      <c r="F220" s="40"/>
      <c r="G220" s="40"/>
      <c r="H220" s="40"/>
      <c r="I220" s="40"/>
      <c r="J220" s="40"/>
      <c r="K220" s="41"/>
    </row>
    <row r="221" spans="2:14" ht="16" x14ac:dyDescent="0.2">
      <c r="B221" s="38"/>
      <c r="C221" s="45" t="s">
        <v>76</v>
      </c>
      <c r="D221" s="40"/>
      <c r="E221" s="40"/>
      <c r="F221" s="40"/>
      <c r="G221" s="40"/>
      <c r="H221" s="40"/>
      <c r="I221" s="40"/>
      <c r="J221" s="40"/>
      <c r="K221" s="41"/>
    </row>
    <row r="222" spans="2:14" ht="15" customHeight="1" x14ac:dyDescent="0.2">
      <c r="B222" s="38"/>
      <c r="C222" s="40" t="s">
        <v>356</v>
      </c>
      <c r="D222" s="40"/>
      <c r="E222" s="40"/>
      <c r="F222" s="40"/>
      <c r="G222" s="40"/>
      <c r="H222" s="40"/>
      <c r="I222" s="40"/>
      <c r="J222" s="252">
        <f>'Baseline Health'!G71</f>
        <v>0</v>
      </c>
      <c r="K222" s="41"/>
    </row>
    <row r="223" spans="2:14" x14ac:dyDescent="0.2">
      <c r="B223" s="38"/>
      <c r="C223" s="40" t="s">
        <v>357</v>
      </c>
      <c r="D223" s="40"/>
      <c r="E223" s="40"/>
      <c r="F223" s="40"/>
      <c r="G223" s="40"/>
      <c r="H223" s="40"/>
      <c r="I223" s="40"/>
      <c r="J223" s="264"/>
      <c r="K223" s="41"/>
    </row>
    <row r="224" spans="2:14" x14ac:dyDescent="0.2">
      <c r="B224" s="38"/>
      <c r="C224" s="40" t="s">
        <v>445</v>
      </c>
      <c r="D224" s="40"/>
      <c r="E224" s="40"/>
      <c r="F224" s="40"/>
      <c r="G224" s="40"/>
      <c r="H224" s="40"/>
      <c r="I224" s="40"/>
      <c r="J224" s="251">
        <f>J102</f>
        <v>0</v>
      </c>
      <c r="K224" s="41"/>
    </row>
    <row r="225" spans="2:14" x14ac:dyDescent="0.2">
      <c r="B225" s="38"/>
      <c r="C225" s="40"/>
      <c r="D225" s="40" t="s">
        <v>446</v>
      </c>
      <c r="E225" s="40"/>
      <c r="F225" s="40"/>
      <c r="G225" s="40"/>
      <c r="H225" s="40"/>
      <c r="I225" s="40"/>
      <c r="J225" s="40"/>
      <c r="K225" s="41"/>
    </row>
    <row r="226" spans="2:14" x14ac:dyDescent="0.2">
      <c r="B226" s="38"/>
      <c r="C226" s="40" t="s">
        <v>260</v>
      </c>
      <c r="D226" s="40"/>
      <c r="E226" s="40"/>
      <c r="F226" s="40"/>
      <c r="G226" s="40"/>
      <c r="H226" s="40"/>
      <c r="I226" s="40"/>
      <c r="J226" s="245" t="str">
        <f>IF(OR(J222=0,J222="Not Calculated")=TRUE,"Not Calculated",IF(J222-J223=0,4,IF(((J222+J224)/(J222-J223))&lt;=1,0,IF(((J222+J224)/(J222-J223))&lt;=1.05,1,IF(((J222+J224)/(J222-J223))&lt;=1.5, 2,IF(((J222+J224)/(J222-J223))&lt;=2,3,4))))))</f>
        <v>Not Calculated</v>
      </c>
      <c r="K226" s="41"/>
    </row>
    <row r="227" spans="2:14" ht="9.75" customHeight="1" x14ac:dyDescent="0.2">
      <c r="B227" s="38"/>
      <c r="C227" s="279" t="str">
        <f>"0:"</f>
        <v>0:</v>
      </c>
      <c r="D227" s="278" t="s">
        <v>918</v>
      </c>
      <c r="E227" s="40"/>
      <c r="F227" s="40"/>
      <c r="G227" s="40"/>
      <c r="H227" s="40"/>
      <c r="I227" s="40"/>
      <c r="J227" s="40"/>
      <c r="K227" s="41"/>
    </row>
    <row r="228" spans="2:14" ht="9.75" customHeight="1" x14ac:dyDescent="0.2">
      <c r="B228" s="38"/>
      <c r="C228" s="280" t="str">
        <f>"1:"</f>
        <v>1:</v>
      </c>
      <c r="D228" s="278" t="s">
        <v>923</v>
      </c>
      <c r="E228" s="40"/>
      <c r="F228" s="40"/>
      <c r="G228" s="40"/>
      <c r="H228" s="40"/>
      <c r="I228" s="40"/>
      <c r="J228" s="40"/>
      <c r="K228" s="41"/>
    </row>
    <row r="229" spans="2:14" ht="9.75" customHeight="1" x14ac:dyDescent="0.2">
      <c r="B229" s="38"/>
      <c r="C229" s="280" t="str">
        <f>"2:"</f>
        <v>2:</v>
      </c>
      <c r="D229" s="278" t="s">
        <v>924</v>
      </c>
      <c r="E229" s="40"/>
      <c r="F229" s="40"/>
      <c r="G229" s="40"/>
      <c r="H229" s="40"/>
      <c r="I229" s="40"/>
      <c r="J229" s="40"/>
      <c r="K229" s="41"/>
    </row>
    <row r="230" spans="2:14" ht="9.75" customHeight="1" x14ac:dyDescent="0.2">
      <c r="B230" s="38"/>
      <c r="C230" s="280" t="str">
        <f>"3:"</f>
        <v>3:</v>
      </c>
      <c r="D230" s="278" t="s">
        <v>925</v>
      </c>
      <c r="E230" s="40"/>
      <c r="F230" s="40"/>
      <c r="G230" s="40"/>
      <c r="H230" s="40"/>
      <c r="I230" s="40"/>
      <c r="J230" s="40"/>
      <c r="K230" s="41"/>
    </row>
    <row r="231" spans="2:14" ht="9.75" customHeight="1" x14ac:dyDescent="0.2">
      <c r="B231" s="38"/>
      <c r="C231" s="280" t="str">
        <f>"4:"</f>
        <v>4:</v>
      </c>
      <c r="D231" s="278" t="s">
        <v>926</v>
      </c>
      <c r="E231" s="40"/>
      <c r="F231" s="40"/>
      <c r="G231" s="40"/>
      <c r="H231" s="40"/>
      <c r="I231" s="40"/>
      <c r="J231" s="40"/>
      <c r="K231" s="41"/>
      <c r="N231" s="12" t="s">
        <v>661</v>
      </c>
    </row>
    <row r="232" spans="2:14" x14ac:dyDescent="0.2">
      <c r="B232" s="38"/>
      <c r="C232" s="174" t="s">
        <v>662</v>
      </c>
      <c r="D232" s="40"/>
      <c r="E232" s="40"/>
      <c r="F232" s="40"/>
      <c r="G232" s="40"/>
      <c r="H232" s="40"/>
      <c r="I232" s="40"/>
      <c r="J232" s="265" t="s">
        <v>661</v>
      </c>
      <c r="K232" s="41"/>
      <c r="N232" s="12" t="s">
        <v>894</v>
      </c>
    </row>
    <row r="233" spans="2:14" x14ac:dyDescent="0.2">
      <c r="B233" s="38"/>
      <c r="C233" s="174" t="s">
        <v>660</v>
      </c>
      <c r="D233" s="40"/>
      <c r="E233" s="40"/>
      <c r="F233" s="40"/>
      <c r="G233" s="40"/>
      <c r="H233" s="40"/>
      <c r="I233" s="40"/>
      <c r="J233" s="246" t="str">
        <f>IF(J232=N231,"N/A",IF(J232=N232,0,IF(J232=N233,1,IF(J232=N234,2,IF(J232=N235,3,IF(J232=N236,4,"N/A"))))))</f>
        <v>N/A</v>
      </c>
      <c r="K233" s="41"/>
      <c r="N233" s="12" t="s">
        <v>899</v>
      </c>
    </row>
    <row r="234" spans="2:14" x14ac:dyDescent="0.2">
      <c r="B234" s="38"/>
      <c r="C234" s="40" t="s">
        <v>257</v>
      </c>
      <c r="D234" s="40"/>
      <c r="E234" s="40"/>
      <c r="F234" s="40"/>
      <c r="G234" s="40"/>
      <c r="H234" s="40"/>
      <c r="I234" s="40"/>
      <c r="J234" s="266"/>
      <c r="K234" s="41"/>
      <c r="N234" s="12" t="s">
        <v>900</v>
      </c>
    </row>
    <row r="235" spans="2:14" x14ac:dyDescent="0.2">
      <c r="B235" s="38"/>
      <c r="C235" s="40" t="s">
        <v>261</v>
      </c>
      <c r="D235" s="40"/>
      <c r="E235" s="40"/>
      <c r="F235" s="40"/>
      <c r="G235" s="40"/>
      <c r="H235" s="40"/>
      <c r="I235" s="40"/>
      <c r="J235" s="245" t="str">
        <f>IF(J234=$B$973,$A$973,IF(J234=$B$974,$A$974,IF(J234=$B$975,$A$975,IF(J234=$B$976,$A$976,IF(J234=$B$977,$A$977,"Not Calculated")))))</f>
        <v>Not Calculated</v>
      </c>
      <c r="K235" s="41"/>
      <c r="N235" s="12" t="s">
        <v>901</v>
      </c>
    </row>
    <row r="236" spans="2:14" x14ac:dyDescent="0.2">
      <c r="B236" s="38"/>
      <c r="C236" s="40" t="s">
        <v>893</v>
      </c>
      <c r="D236" s="40"/>
      <c r="E236" s="40"/>
      <c r="F236" s="40"/>
      <c r="G236" s="40"/>
      <c r="H236" s="40"/>
      <c r="I236" s="40"/>
      <c r="J236" s="40"/>
      <c r="K236" s="41"/>
      <c r="N236" s="12" t="s">
        <v>902</v>
      </c>
    </row>
    <row r="237" spans="2:14" ht="15" customHeight="1" x14ac:dyDescent="0.2">
      <c r="B237" s="38"/>
      <c r="C237" s="399"/>
      <c r="D237" s="400"/>
      <c r="E237" s="400"/>
      <c r="F237" s="400"/>
      <c r="G237" s="400"/>
      <c r="H237" s="400"/>
      <c r="I237" s="400"/>
      <c r="J237" s="401"/>
      <c r="K237" s="41"/>
    </row>
    <row r="238" spans="2:14" x14ac:dyDescent="0.2">
      <c r="B238" s="38"/>
      <c r="C238" s="40"/>
      <c r="D238" s="40"/>
      <c r="E238" s="40"/>
      <c r="F238" s="40"/>
      <c r="G238" s="40"/>
      <c r="H238" s="40"/>
      <c r="I238" s="40"/>
      <c r="J238" s="40"/>
      <c r="K238" s="41"/>
    </row>
    <row r="239" spans="2:14" x14ac:dyDescent="0.2">
      <c r="B239" s="38"/>
      <c r="C239" s="179" t="s">
        <v>277</v>
      </c>
      <c r="D239" s="40"/>
      <c r="E239" s="40"/>
      <c r="F239" s="40"/>
      <c r="G239" s="40"/>
      <c r="H239" s="40"/>
      <c r="I239" s="40"/>
      <c r="J239" s="245" t="str">
        <f>IF(J233="N/A",IF(OR(J226="Not Calculated",J235="Not Calculated")=TRUE,"Not Calculated",AVERAGE(J226,J235)),AVERAGE(J233,J235))</f>
        <v>Not Calculated</v>
      </c>
      <c r="K239" s="41"/>
    </row>
    <row r="240" spans="2:14" x14ac:dyDescent="0.2">
      <c r="B240" s="38"/>
      <c r="C240" s="40"/>
      <c r="D240" s="40"/>
      <c r="E240" s="40"/>
      <c r="F240" s="40"/>
      <c r="G240" s="40"/>
      <c r="H240" s="40"/>
      <c r="I240" s="40"/>
      <c r="J240" s="40"/>
      <c r="K240" s="41"/>
    </row>
    <row r="241" spans="2:14" x14ac:dyDescent="0.2">
      <c r="B241" s="38"/>
      <c r="C241" s="40"/>
      <c r="D241" s="40"/>
      <c r="E241" s="40"/>
      <c r="F241" s="40"/>
      <c r="G241" s="40"/>
      <c r="H241" s="40"/>
      <c r="I241" s="40"/>
      <c r="J241" s="40"/>
      <c r="K241" s="41"/>
    </row>
    <row r="242" spans="2:14" ht="16" x14ac:dyDescent="0.2">
      <c r="B242" s="38"/>
      <c r="C242" s="45" t="s">
        <v>278</v>
      </c>
      <c r="D242" s="40"/>
      <c r="E242" s="40"/>
      <c r="F242" s="40"/>
      <c r="G242" s="40"/>
      <c r="H242" s="40"/>
      <c r="I242" s="40"/>
      <c r="J242" s="40"/>
      <c r="K242" s="41"/>
    </row>
    <row r="243" spans="2:14" ht="15" customHeight="1" x14ac:dyDescent="0.2">
      <c r="B243" s="38"/>
      <c r="C243" s="40" t="s">
        <v>447</v>
      </c>
      <c r="D243" s="40"/>
      <c r="E243" s="40"/>
      <c r="F243" s="40"/>
      <c r="G243" s="40"/>
      <c r="H243" s="40"/>
      <c r="I243" s="40"/>
      <c r="J243" s="254">
        <f>'Baseline Health'!G77</f>
        <v>0</v>
      </c>
      <c r="K243" s="41"/>
    </row>
    <row r="244" spans="2:14" x14ac:dyDescent="0.2">
      <c r="B244" s="38"/>
      <c r="C244" s="40" t="s">
        <v>358</v>
      </c>
      <c r="D244" s="40"/>
      <c r="E244" s="40"/>
      <c r="F244" s="40"/>
      <c r="G244" s="40"/>
      <c r="H244" s="40"/>
      <c r="I244" s="40"/>
      <c r="J244" s="264"/>
      <c r="K244" s="41"/>
    </row>
    <row r="245" spans="2:14" x14ac:dyDescent="0.2">
      <c r="B245" s="38"/>
      <c r="C245" s="40" t="s">
        <v>360</v>
      </c>
      <c r="D245" s="291"/>
      <c r="E245" s="291"/>
      <c r="F245" s="291"/>
      <c r="G245" s="291"/>
      <c r="H245" s="291"/>
      <c r="I245" s="291"/>
      <c r="J245" s="264"/>
      <c r="K245" s="41"/>
    </row>
    <row r="246" spans="2:14" x14ac:dyDescent="0.2">
      <c r="B246" s="38"/>
      <c r="C246" s="40" t="s">
        <v>260</v>
      </c>
      <c r="D246" s="40"/>
      <c r="E246" s="40"/>
      <c r="F246" s="40"/>
      <c r="G246" s="40"/>
      <c r="H246" s="40"/>
      <c r="I246" s="40"/>
      <c r="J246" s="245" t="str">
        <f>IF(OR(J243=0,J243="Not Calculated")=TRUE,"Not Calculated",IF(J243-J244=0,4,(IF(((J243+J245)/(J243-J244))&lt;=1,0,IF(((J243+J245)/(J243-J244))&lt;=1.05,1,IF(((J243+J245)/(J243-J244))&lt;=1.5,2,IF(((J243+J245)/(J243-J244))&lt;=2,3,4)))))))</f>
        <v>Not Calculated</v>
      </c>
      <c r="K246" s="41"/>
    </row>
    <row r="247" spans="2:14" ht="9.75" customHeight="1" x14ac:dyDescent="0.2">
      <c r="B247" s="38"/>
      <c r="C247" s="279" t="str">
        <f>"0:"</f>
        <v>0:</v>
      </c>
      <c r="D247" s="278" t="s">
        <v>918</v>
      </c>
      <c r="E247" s="40"/>
      <c r="F247" s="40"/>
      <c r="G247" s="40"/>
      <c r="H247" s="40"/>
      <c r="I247" s="40"/>
      <c r="J247" s="40"/>
      <c r="K247" s="41"/>
    </row>
    <row r="248" spans="2:14" ht="9.75" customHeight="1" x14ac:dyDescent="0.2">
      <c r="B248" s="38"/>
      <c r="C248" s="280" t="str">
        <f>"1:"</f>
        <v>1:</v>
      </c>
      <c r="D248" s="278" t="s">
        <v>923</v>
      </c>
      <c r="E248" s="40"/>
      <c r="F248" s="40"/>
      <c r="G248" s="40"/>
      <c r="H248" s="40"/>
      <c r="I248" s="40"/>
      <c r="J248" s="40"/>
      <c r="K248" s="41"/>
    </row>
    <row r="249" spans="2:14" ht="9.75" customHeight="1" x14ac:dyDescent="0.2">
      <c r="B249" s="38"/>
      <c r="C249" s="280" t="str">
        <f>"2:"</f>
        <v>2:</v>
      </c>
      <c r="D249" s="278" t="s">
        <v>924</v>
      </c>
      <c r="E249" s="40"/>
      <c r="F249" s="40"/>
      <c r="G249" s="40"/>
      <c r="H249" s="40"/>
      <c r="I249" s="40"/>
      <c r="J249" s="40"/>
      <c r="K249" s="41"/>
    </row>
    <row r="250" spans="2:14" ht="9.75" customHeight="1" x14ac:dyDescent="0.2">
      <c r="B250" s="38"/>
      <c r="C250" s="280" t="str">
        <f>"3:"</f>
        <v>3:</v>
      </c>
      <c r="D250" s="278" t="s">
        <v>925</v>
      </c>
      <c r="E250" s="40"/>
      <c r="F250" s="40"/>
      <c r="G250" s="40"/>
      <c r="H250" s="40"/>
      <c r="I250" s="40"/>
      <c r="J250" s="40"/>
      <c r="K250" s="41"/>
    </row>
    <row r="251" spans="2:14" ht="9.75" customHeight="1" x14ac:dyDescent="0.2">
      <c r="B251" s="38"/>
      <c r="C251" s="280" t="str">
        <f>"4:"</f>
        <v>4:</v>
      </c>
      <c r="D251" s="278" t="s">
        <v>926</v>
      </c>
      <c r="E251" s="40"/>
      <c r="F251" s="40"/>
      <c r="G251" s="40"/>
      <c r="H251" s="40"/>
      <c r="I251" s="40"/>
      <c r="J251" s="40"/>
      <c r="K251" s="41"/>
      <c r="N251" s="12" t="s">
        <v>661</v>
      </c>
    </row>
    <row r="252" spans="2:14" x14ac:dyDescent="0.2">
      <c r="B252" s="38"/>
      <c r="C252" s="174" t="s">
        <v>662</v>
      </c>
      <c r="D252" s="40"/>
      <c r="E252" s="40"/>
      <c r="F252" s="40"/>
      <c r="G252" s="40"/>
      <c r="H252" s="40"/>
      <c r="I252" s="40"/>
      <c r="J252" s="265" t="s">
        <v>661</v>
      </c>
      <c r="K252" s="41"/>
      <c r="N252" s="12" t="s">
        <v>894</v>
      </c>
    </row>
    <row r="253" spans="2:14" x14ac:dyDescent="0.2">
      <c r="B253" s="38"/>
      <c r="C253" s="174" t="s">
        <v>660</v>
      </c>
      <c r="D253" s="40"/>
      <c r="E253" s="40"/>
      <c r="F253" s="40"/>
      <c r="G253" s="40"/>
      <c r="H253" s="40"/>
      <c r="I253" s="40"/>
      <c r="J253" s="246" t="str">
        <f>IF(J252=N251,"N/A",IF(J252=N252,0,IF(J252=N253,1,IF(J252=N254,2,IF(J252=N255,3,IF(J252=N256,4,"N/A"))))))</f>
        <v>N/A</v>
      </c>
      <c r="K253" s="41"/>
      <c r="N253" s="12" t="s">
        <v>899</v>
      </c>
    </row>
    <row r="254" spans="2:14" x14ac:dyDescent="0.2">
      <c r="B254" s="38"/>
      <c r="C254" s="40" t="s">
        <v>257</v>
      </c>
      <c r="D254" s="40"/>
      <c r="E254" s="40"/>
      <c r="F254" s="40"/>
      <c r="G254" s="40"/>
      <c r="H254" s="40"/>
      <c r="I254" s="40"/>
      <c r="J254" s="266"/>
      <c r="K254" s="41"/>
      <c r="N254" s="12" t="s">
        <v>900</v>
      </c>
    </row>
    <row r="255" spans="2:14" x14ac:dyDescent="0.2">
      <c r="B255" s="38"/>
      <c r="C255" s="40" t="s">
        <v>261</v>
      </c>
      <c r="D255" s="40"/>
      <c r="E255" s="40"/>
      <c r="F255" s="40"/>
      <c r="G255" s="40"/>
      <c r="H255" s="40"/>
      <c r="I255" s="40"/>
      <c r="J255" s="245" t="str">
        <f>IF(J254=$B$973,$A$973,IF(J254=$B$974,$A$974,IF(J254=$B$975,$A$975,IF(J254=$B$976,$A$976,IF(J254=$B$977,$A$977,"Not Calculated")))))</f>
        <v>Not Calculated</v>
      </c>
      <c r="K255" s="41"/>
      <c r="N255" s="12" t="s">
        <v>901</v>
      </c>
    </row>
    <row r="256" spans="2:14" x14ac:dyDescent="0.2">
      <c r="B256" s="38"/>
      <c r="C256" s="40" t="s">
        <v>893</v>
      </c>
      <c r="D256" s="40"/>
      <c r="E256" s="40"/>
      <c r="F256" s="40"/>
      <c r="G256" s="40"/>
      <c r="H256" s="40"/>
      <c r="I256" s="40"/>
      <c r="J256" s="40"/>
      <c r="K256" s="41"/>
      <c r="N256" s="12" t="s">
        <v>902</v>
      </c>
    </row>
    <row r="257" spans="2:11" x14ac:dyDescent="0.2">
      <c r="B257" s="38"/>
      <c r="C257" s="399"/>
      <c r="D257" s="400"/>
      <c r="E257" s="400"/>
      <c r="F257" s="400"/>
      <c r="G257" s="400"/>
      <c r="H257" s="400"/>
      <c r="I257" s="400"/>
      <c r="J257" s="401"/>
      <c r="K257" s="41"/>
    </row>
    <row r="258" spans="2:11" x14ac:dyDescent="0.2">
      <c r="B258" s="38"/>
      <c r="C258" s="40"/>
      <c r="D258" s="40"/>
      <c r="E258" s="40"/>
      <c r="F258" s="40"/>
      <c r="G258" s="40"/>
      <c r="H258" s="40"/>
      <c r="I258" s="40"/>
      <c r="J258" s="40"/>
      <c r="K258" s="41"/>
    </row>
    <row r="259" spans="2:11" x14ac:dyDescent="0.2">
      <c r="B259" s="38"/>
      <c r="C259" s="179" t="s">
        <v>279</v>
      </c>
      <c r="D259" s="40"/>
      <c r="E259" s="40"/>
      <c r="F259" s="40"/>
      <c r="G259" s="40"/>
      <c r="H259" s="40"/>
      <c r="I259" s="40"/>
      <c r="J259" s="245" t="str">
        <f>IF(J253="N/A",IF(OR(J246="Not Calculated",J255="Not Calculated")=TRUE,"Not Calculated",AVERAGE(J246,J255)),AVERAGE(J253,J255))</f>
        <v>Not Calculated</v>
      </c>
      <c r="K259" s="41"/>
    </row>
    <row r="260" spans="2:11" x14ac:dyDescent="0.2">
      <c r="B260" s="38"/>
      <c r="C260" s="40"/>
      <c r="D260" s="40"/>
      <c r="E260" s="40"/>
      <c r="F260" s="40"/>
      <c r="G260" s="40"/>
      <c r="H260" s="40"/>
      <c r="I260" s="40"/>
      <c r="J260" s="40"/>
      <c r="K260" s="41"/>
    </row>
    <row r="261" spans="2:11" ht="18" x14ac:dyDescent="0.2">
      <c r="B261" s="38"/>
      <c r="C261" s="180" t="s">
        <v>272</v>
      </c>
      <c r="D261" s="40"/>
      <c r="E261" s="40"/>
      <c r="F261" s="40"/>
      <c r="G261" s="40"/>
      <c r="H261" s="40"/>
      <c r="I261" s="40"/>
      <c r="J261" s="244" t="str">
        <f>IF(OR(J157="Not Calculated",J178="Not Calculated",J198="Not Calculated",J218="Not Calculated",J239="Not Calculated",J259="Not Calculated",)=TRUE,"Not Calculated",AVERAGE(J157,J178,J198,J218,J239,J259))</f>
        <v>Not Calculated</v>
      </c>
      <c r="K261" s="41"/>
    </row>
    <row r="262" spans="2:11" ht="16" thickBot="1" x14ac:dyDescent="0.25">
      <c r="B262" s="46"/>
      <c r="C262" s="47"/>
      <c r="D262" s="47"/>
      <c r="E262" s="47"/>
      <c r="F262" s="47"/>
      <c r="G262" s="47"/>
      <c r="H262" s="47"/>
      <c r="I262" s="47"/>
      <c r="J262" s="47"/>
      <c r="K262" s="49"/>
    </row>
    <row r="263" spans="2:11" ht="16" thickBot="1" x14ac:dyDescent="0.25"/>
    <row r="264" spans="2:11" x14ac:dyDescent="0.2">
      <c r="B264" s="33"/>
      <c r="C264" s="34"/>
      <c r="D264" s="34"/>
      <c r="E264" s="34"/>
      <c r="F264" s="34"/>
      <c r="G264" s="34"/>
      <c r="H264" s="34"/>
      <c r="I264" s="34"/>
      <c r="J264" s="34"/>
      <c r="K264" s="37"/>
    </row>
    <row r="265" spans="2:11" ht="21" x14ac:dyDescent="0.25">
      <c r="B265" s="38"/>
      <c r="C265" s="40"/>
      <c r="D265" s="40"/>
      <c r="E265" s="40"/>
      <c r="F265" s="40"/>
      <c r="G265" s="172" t="s">
        <v>864</v>
      </c>
      <c r="H265" s="40"/>
      <c r="I265" s="40"/>
      <c r="J265" s="40"/>
      <c r="K265" s="41"/>
    </row>
    <row r="266" spans="2:11" ht="15" customHeight="1" x14ac:dyDescent="0.2">
      <c r="B266" s="38"/>
      <c r="C266" s="40"/>
      <c r="D266" s="40"/>
      <c r="E266" s="40"/>
      <c r="F266" s="40"/>
      <c r="G266" s="40"/>
      <c r="H266" s="40"/>
      <c r="I266" s="40"/>
      <c r="J266" s="40"/>
      <c r="K266" s="41"/>
    </row>
    <row r="267" spans="2:11" ht="16" x14ac:dyDescent="0.2">
      <c r="B267" s="38"/>
      <c r="C267" s="45" t="s">
        <v>80</v>
      </c>
      <c r="D267" s="40"/>
      <c r="E267" s="40"/>
      <c r="F267" s="40"/>
      <c r="G267" s="40"/>
      <c r="H267" s="40"/>
      <c r="I267" s="40"/>
      <c r="J267" s="40"/>
      <c r="K267" s="41"/>
    </row>
    <row r="268" spans="2:11" x14ac:dyDescent="0.2">
      <c r="B268" s="38"/>
      <c r="C268" s="40" t="s">
        <v>283</v>
      </c>
      <c r="D268" s="40"/>
      <c r="E268" s="40"/>
      <c r="F268" s="40"/>
      <c r="G268" s="40"/>
      <c r="H268" s="40"/>
      <c r="I268" s="40"/>
      <c r="J268" s="250">
        <f>'Baseline Health'!G88</f>
        <v>0</v>
      </c>
      <c r="K268" s="41"/>
    </row>
    <row r="269" spans="2:11" x14ac:dyDescent="0.2">
      <c r="B269" s="38"/>
      <c r="C269" s="40" t="s">
        <v>284</v>
      </c>
      <c r="D269" s="40"/>
      <c r="E269" s="40"/>
      <c r="F269" s="40"/>
      <c r="G269" s="40"/>
      <c r="H269" s="40"/>
      <c r="I269" s="40"/>
      <c r="J269" s="264"/>
      <c r="K269" s="41"/>
    </row>
    <row r="270" spans="2:11" x14ac:dyDescent="0.2">
      <c r="B270" s="38"/>
      <c r="C270" s="40" t="s">
        <v>285</v>
      </c>
      <c r="D270" s="40"/>
      <c r="E270" s="40"/>
      <c r="F270" s="40"/>
      <c r="G270" s="40"/>
      <c r="H270" s="40"/>
      <c r="I270" s="40"/>
      <c r="J270" s="259">
        <f>'Baseline Health'!G93</f>
        <v>0</v>
      </c>
      <c r="K270" s="41"/>
    </row>
    <row r="271" spans="2:11" x14ac:dyDescent="0.2">
      <c r="B271" s="38"/>
      <c r="C271" s="40" t="s">
        <v>286</v>
      </c>
      <c r="D271" s="40"/>
      <c r="E271" s="40"/>
      <c r="F271" s="40"/>
      <c r="G271" s="40"/>
      <c r="H271" s="40"/>
      <c r="I271" s="40"/>
      <c r="J271" s="250">
        <f>J184</f>
        <v>0</v>
      </c>
      <c r="K271" s="41"/>
    </row>
    <row r="272" spans="2:11" x14ac:dyDescent="0.2">
      <c r="B272" s="38"/>
      <c r="C272" s="40"/>
      <c r="D272" s="40" t="s">
        <v>432</v>
      </c>
      <c r="E272" s="40"/>
      <c r="F272" s="40"/>
      <c r="G272" s="40"/>
      <c r="H272" s="40"/>
      <c r="I272" s="40"/>
      <c r="J272" s="40"/>
      <c r="K272" s="41"/>
    </row>
    <row r="273" spans="2:14" x14ac:dyDescent="0.2">
      <c r="B273" s="38"/>
      <c r="C273" s="40" t="s">
        <v>292</v>
      </c>
      <c r="D273" s="40"/>
      <c r="E273" s="40"/>
      <c r="F273" s="40"/>
      <c r="G273" s="40"/>
      <c r="H273" s="40"/>
      <c r="I273" s="40"/>
      <c r="J273" s="258" t="str">
        <f>'Baseline Health'!G97</f>
        <v>N/A</v>
      </c>
      <c r="K273" s="41"/>
    </row>
    <row r="274" spans="2:14" x14ac:dyDescent="0.2">
      <c r="B274" s="38"/>
      <c r="C274" s="40" t="s">
        <v>293</v>
      </c>
      <c r="D274" s="40"/>
      <c r="E274" s="40"/>
      <c r="F274" s="40"/>
      <c r="G274" s="40"/>
      <c r="H274" s="40"/>
      <c r="I274" s="40"/>
      <c r="J274" s="258" t="str">
        <f>IF(J273="N/A","N/A",IF(J268-J269=0,"No Nurses",((J270+J271)/(J268-J269))))</f>
        <v>N/A</v>
      </c>
      <c r="K274" s="41"/>
    </row>
    <row r="275" spans="2:14" x14ac:dyDescent="0.2">
      <c r="B275" s="38"/>
      <c r="C275" s="40" t="s">
        <v>260</v>
      </c>
      <c r="D275" s="40"/>
      <c r="E275" s="40"/>
      <c r="F275" s="40"/>
      <c r="G275" s="40"/>
      <c r="H275" s="40"/>
      <c r="I275" s="40"/>
      <c r="J275" s="245">
        <f>IF(J273=0,"Not Calculated",IF(J274="N/A",0,IF(J274="No Nurses",4,IF((J274/J273)&lt;=1,0,IF((J274/J273)&lt;=1.1,1,IF((J274/J273)&lt;=1=1.25,2,IF((J274/J273)&lt;=1.5,3,4)))))))</f>
        <v>0</v>
      </c>
      <c r="K275" s="41"/>
    </row>
    <row r="276" spans="2:14" ht="9.75" customHeight="1" x14ac:dyDescent="0.2">
      <c r="B276" s="38"/>
      <c r="C276" s="279" t="str">
        <f>"0:"</f>
        <v>0:</v>
      </c>
      <c r="D276" s="278" t="s">
        <v>927</v>
      </c>
      <c r="E276" s="40"/>
      <c r="F276" s="40"/>
      <c r="G276" s="40"/>
      <c r="H276" s="40"/>
      <c r="I276" s="40"/>
      <c r="J276" s="258"/>
      <c r="K276" s="41"/>
    </row>
    <row r="277" spans="2:14" ht="9.75" customHeight="1" x14ac:dyDescent="0.2">
      <c r="B277" s="38"/>
      <c r="C277" s="280" t="str">
        <f>"1:"</f>
        <v>1:</v>
      </c>
      <c r="D277" s="278" t="s">
        <v>928</v>
      </c>
      <c r="E277" s="40"/>
      <c r="F277" s="40"/>
      <c r="G277" s="40"/>
      <c r="H277" s="40"/>
      <c r="I277" s="40"/>
      <c r="J277" s="258"/>
      <c r="K277" s="41"/>
    </row>
    <row r="278" spans="2:14" ht="9.75" customHeight="1" x14ac:dyDescent="0.2">
      <c r="B278" s="38"/>
      <c r="C278" s="280" t="str">
        <f>"2:"</f>
        <v>2:</v>
      </c>
      <c r="D278" s="278" t="s">
        <v>929</v>
      </c>
      <c r="E278" s="40"/>
      <c r="F278" s="40"/>
      <c r="G278" s="40"/>
      <c r="H278" s="40"/>
      <c r="I278" s="40"/>
      <c r="J278" s="258"/>
      <c r="K278" s="41"/>
    </row>
    <row r="279" spans="2:14" ht="9.75" customHeight="1" x14ac:dyDescent="0.2">
      <c r="B279" s="38"/>
      <c r="C279" s="280" t="str">
        <f>"3:"</f>
        <v>3:</v>
      </c>
      <c r="D279" s="278" t="s">
        <v>930</v>
      </c>
      <c r="E279" s="40"/>
      <c r="F279" s="40"/>
      <c r="G279" s="40"/>
      <c r="H279" s="40"/>
      <c r="I279" s="40"/>
      <c r="J279" s="258"/>
      <c r="K279" s="41"/>
    </row>
    <row r="280" spans="2:14" ht="9.75" customHeight="1" x14ac:dyDescent="0.2">
      <c r="B280" s="38"/>
      <c r="C280" s="280" t="str">
        <f>"4:"</f>
        <v>4:</v>
      </c>
      <c r="D280" s="278" t="s">
        <v>931</v>
      </c>
      <c r="E280" s="40"/>
      <c r="F280" s="40"/>
      <c r="G280" s="40"/>
      <c r="H280" s="40"/>
      <c r="I280" s="40"/>
      <c r="J280" s="40"/>
      <c r="K280" s="41"/>
      <c r="N280" s="12" t="s">
        <v>661</v>
      </c>
    </row>
    <row r="281" spans="2:14" x14ac:dyDescent="0.2">
      <c r="B281" s="38"/>
      <c r="C281" s="174" t="s">
        <v>662</v>
      </c>
      <c r="D281" s="40"/>
      <c r="E281" s="40"/>
      <c r="F281" s="40"/>
      <c r="G281" s="40"/>
      <c r="H281" s="40"/>
      <c r="I281" s="40"/>
      <c r="J281" s="265" t="s">
        <v>661</v>
      </c>
      <c r="K281" s="41"/>
      <c r="N281" s="12" t="s">
        <v>903</v>
      </c>
    </row>
    <row r="282" spans="2:14" x14ac:dyDescent="0.2">
      <c r="B282" s="38"/>
      <c r="C282" s="174" t="s">
        <v>660</v>
      </c>
      <c r="D282" s="40"/>
      <c r="E282" s="40"/>
      <c r="F282" s="40"/>
      <c r="G282" s="40"/>
      <c r="H282" s="40"/>
      <c r="I282" s="40"/>
      <c r="J282" s="246" t="str">
        <f>IF(J281=N280,"N/A",IF(J281=N281,0,IF(J281=N282,1,IF(J281=N283,2,IF(J281=N284,3,IF(J281=N285,4,"N/A"))))))</f>
        <v>N/A</v>
      </c>
      <c r="K282" s="41"/>
      <c r="N282" s="12" t="s">
        <v>904</v>
      </c>
    </row>
    <row r="283" spans="2:14" x14ac:dyDescent="0.2">
      <c r="B283" s="38"/>
      <c r="C283" s="40" t="s">
        <v>257</v>
      </c>
      <c r="D283" s="40"/>
      <c r="E283" s="40"/>
      <c r="F283" s="40"/>
      <c r="G283" s="40"/>
      <c r="H283" s="40"/>
      <c r="I283" s="40"/>
      <c r="J283" s="266"/>
      <c r="K283" s="41"/>
      <c r="N283" s="12" t="s">
        <v>905</v>
      </c>
    </row>
    <row r="284" spans="2:14" x14ac:dyDescent="0.2">
      <c r="B284" s="38"/>
      <c r="C284" s="40" t="s">
        <v>261</v>
      </c>
      <c r="D284" s="40"/>
      <c r="E284" s="40"/>
      <c r="F284" s="40"/>
      <c r="G284" s="40"/>
      <c r="H284" s="40"/>
      <c r="I284" s="40"/>
      <c r="J284" s="248" t="str">
        <f>IF(J283=$B$973,$A$973,IF(J283=$B$974,$A$974,IF(J283=$B$975,$A$975,IF(J283=$B$976,$A$976,IF(J283=$B$977,$A$977,"Not Calculated")))))</f>
        <v>Not Calculated</v>
      </c>
      <c r="K284" s="41"/>
      <c r="N284" s="12" t="s">
        <v>906</v>
      </c>
    </row>
    <row r="285" spans="2:14" x14ac:dyDescent="0.2">
      <c r="B285" s="38"/>
      <c r="C285" s="40" t="s">
        <v>893</v>
      </c>
      <c r="D285" s="40"/>
      <c r="E285" s="40"/>
      <c r="F285" s="40"/>
      <c r="G285" s="40"/>
      <c r="H285" s="40"/>
      <c r="I285" s="40"/>
      <c r="J285" s="40"/>
      <c r="K285" s="41"/>
      <c r="N285" s="12" t="s">
        <v>907</v>
      </c>
    </row>
    <row r="286" spans="2:14" x14ac:dyDescent="0.2">
      <c r="B286" s="38"/>
      <c r="C286" s="399"/>
      <c r="D286" s="400"/>
      <c r="E286" s="400"/>
      <c r="F286" s="400"/>
      <c r="G286" s="400"/>
      <c r="H286" s="400"/>
      <c r="I286" s="400"/>
      <c r="J286" s="401"/>
      <c r="K286" s="41"/>
    </row>
    <row r="287" spans="2:14" x14ac:dyDescent="0.2">
      <c r="B287" s="38"/>
      <c r="C287" s="40"/>
      <c r="D287" s="40"/>
      <c r="E287" s="40"/>
      <c r="F287" s="40"/>
      <c r="G287" s="40"/>
      <c r="H287" s="40"/>
      <c r="I287" s="40"/>
      <c r="J287" s="40"/>
      <c r="K287" s="41"/>
    </row>
    <row r="288" spans="2:14" x14ac:dyDescent="0.2">
      <c r="B288" s="38"/>
      <c r="C288" s="179" t="s">
        <v>295</v>
      </c>
      <c r="D288" s="40"/>
      <c r="E288" s="40"/>
      <c r="F288" s="40"/>
      <c r="G288" s="40"/>
      <c r="H288" s="40"/>
      <c r="I288" s="40"/>
      <c r="J288" s="245" t="str">
        <f>IF(J282="N/A",IF(OR(J275="Not Calculated",J284="Not Calculated")=TRUE,"Not Calculated",AVERAGE(J275,J284)),AVERAGE(J282,J284))</f>
        <v>Not Calculated</v>
      </c>
      <c r="K288" s="41"/>
    </row>
    <row r="289" spans="2:11" x14ac:dyDescent="0.2">
      <c r="B289" s="38"/>
      <c r="C289" s="40"/>
      <c r="D289" s="40"/>
      <c r="E289" s="40"/>
      <c r="F289" s="40"/>
      <c r="G289" s="40"/>
      <c r="H289" s="40"/>
      <c r="I289" s="40"/>
      <c r="J289" s="245"/>
      <c r="K289" s="41"/>
    </row>
    <row r="290" spans="2:11" x14ac:dyDescent="0.2">
      <c r="B290" s="38"/>
      <c r="C290" s="40"/>
      <c r="D290" s="40"/>
      <c r="E290" s="40"/>
      <c r="F290" s="40"/>
      <c r="G290" s="40"/>
      <c r="H290" s="40"/>
      <c r="I290" s="40"/>
      <c r="J290" s="40"/>
      <c r="K290" s="41"/>
    </row>
    <row r="291" spans="2:11" ht="16" x14ac:dyDescent="0.2">
      <c r="B291" s="38"/>
      <c r="C291" s="45" t="s">
        <v>856</v>
      </c>
      <c r="D291" s="40"/>
      <c r="E291" s="40"/>
      <c r="F291" s="40"/>
      <c r="G291" s="40"/>
      <c r="H291" s="40"/>
      <c r="I291" s="40"/>
      <c r="J291" s="40"/>
      <c r="K291" s="41"/>
    </row>
    <row r="292" spans="2:11" ht="15" customHeight="1" x14ac:dyDescent="0.2">
      <c r="B292" s="38"/>
      <c r="C292" s="380" t="s">
        <v>855</v>
      </c>
      <c r="D292" s="380"/>
      <c r="E292" s="380"/>
      <c r="F292" s="380"/>
      <c r="G292" s="380"/>
      <c r="H292" s="380"/>
      <c r="I292" s="380"/>
      <c r="J292" s="40"/>
      <c r="K292" s="41"/>
    </row>
    <row r="293" spans="2:11" x14ac:dyDescent="0.2">
      <c r="B293" s="38"/>
      <c r="C293" s="380"/>
      <c r="D293" s="380"/>
      <c r="E293" s="380"/>
      <c r="F293" s="380"/>
      <c r="G293" s="380"/>
      <c r="H293" s="380"/>
      <c r="I293" s="380"/>
      <c r="J293" s="264"/>
      <c r="K293" s="41"/>
    </row>
    <row r="294" spans="2:11" x14ac:dyDescent="0.2">
      <c r="B294" s="38"/>
      <c r="C294" s="40" t="s">
        <v>853</v>
      </c>
      <c r="D294" s="291"/>
      <c r="E294" s="291"/>
      <c r="F294" s="291"/>
      <c r="G294" s="291"/>
      <c r="H294" s="291"/>
      <c r="I294" s="291"/>
      <c r="J294" s="255">
        <f>'Baseline Health'!$G$102</f>
        <v>0</v>
      </c>
      <c r="K294" s="41"/>
    </row>
    <row r="295" spans="2:11" x14ac:dyDescent="0.2">
      <c r="B295" s="38"/>
      <c r="C295" s="40" t="s">
        <v>842</v>
      </c>
      <c r="D295" s="40"/>
      <c r="E295" s="40"/>
      <c r="F295" s="40"/>
      <c r="G295" s="40"/>
      <c r="H295" s="40"/>
      <c r="I295" s="40"/>
      <c r="J295" s="244" t="str">
        <f>IF('Baseline Health'!$G$102=0,"Not Calculated",100*J293/'Baseline Health'!$G$102)</f>
        <v>Not Calculated</v>
      </c>
      <c r="K295" s="41"/>
    </row>
    <row r="296" spans="2:11" x14ac:dyDescent="0.2">
      <c r="B296" s="38"/>
      <c r="C296" s="40" t="s">
        <v>260</v>
      </c>
      <c r="D296" s="40"/>
      <c r="E296" s="40"/>
      <c r="F296" s="40"/>
      <c r="G296" s="40"/>
      <c r="H296" s="40"/>
      <c r="I296" s="40"/>
      <c r="J296" s="245">
        <f>IF(J295&lt;=0,0,IF(J295&lt;=1,1,IF(J295&lt;=5,2,IF(J295&lt;=10,3,4))))</f>
        <v>4</v>
      </c>
      <c r="K296" s="41"/>
    </row>
    <row r="297" spans="2:11" ht="9.75" customHeight="1" x14ac:dyDescent="0.2">
      <c r="B297" s="38"/>
      <c r="C297" s="279" t="str">
        <f>"0:"</f>
        <v>0:</v>
      </c>
      <c r="D297" s="278" t="s">
        <v>932</v>
      </c>
      <c r="E297" s="40"/>
      <c r="F297" s="40"/>
      <c r="G297" s="40"/>
      <c r="H297" s="40"/>
      <c r="I297" s="40"/>
      <c r="J297" s="244"/>
      <c r="K297" s="41"/>
    </row>
    <row r="298" spans="2:11" ht="9.75" customHeight="1" x14ac:dyDescent="0.2">
      <c r="B298" s="38"/>
      <c r="C298" s="280" t="str">
        <f>"1:"</f>
        <v>1:</v>
      </c>
      <c r="D298" s="278" t="s">
        <v>934</v>
      </c>
      <c r="E298" s="40"/>
      <c r="F298" s="40"/>
      <c r="G298" s="40"/>
      <c r="H298" s="40"/>
      <c r="I298" s="40"/>
      <c r="J298" s="244"/>
      <c r="K298" s="41"/>
    </row>
    <row r="299" spans="2:11" ht="9.75" customHeight="1" x14ac:dyDescent="0.2">
      <c r="B299" s="38"/>
      <c r="C299" s="280" t="str">
        <f>"2:"</f>
        <v>2:</v>
      </c>
      <c r="D299" s="278" t="s">
        <v>933</v>
      </c>
      <c r="E299" s="40"/>
      <c r="F299" s="40"/>
      <c r="G299" s="40"/>
      <c r="H299" s="40"/>
      <c r="I299" s="40"/>
      <c r="J299" s="244"/>
      <c r="K299" s="41"/>
    </row>
    <row r="300" spans="2:11" ht="9.75" customHeight="1" x14ac:dyDescent="0.2">
      <c r="B300" s="38"/>
      <c r="C300" s="280" t="str">
        <f>"3:"</f>
        <v>3:</v>
      </c>
      <c r="D300" s="278" t="s">
        <v>935</v>
      </c>
      <c r="E300" s="40"/>
      <c r="F300" s="40"/>
      <c r="G300" s="40"/>
      <c r="H300" s="40"/>
      <c r="I300" s="40"/>
      <c r="J300" s="244"/>
      <c r="K300" s="41"/>
    </row>
    <row r="301" spans="2:11" ht="9.75" customHeight="1" x14ac:dyDescent="0.2">
      <c r="B301" s="38"/>
      <c r="C301" s="280" t="str">
        <f>"4:"</f>
        <v>4:</v>
      </c>
      <c r="D301" s="278" t="s">
        <v>936</v>
      </c>
      <c r="E301" s="40"/>
      <c r="F301" s="40"/>
      <c r="G301" s="40"/>
      <c r="H301" s="40"/>
      <c r="I301" s="40"/>
      <c r="J301" s="40"/>
      <c r="K301" s="41"/>
    </row>
    <row r="302" spans="2:11" x14ac:dyDescent="0.2">
      <c r="B302" s="38"/>
      <c r="C302" s="40" t="s">
        <v>257</v>
      </c>
      <c r="D302" s="40"/>
      <c r="E302" s="40"/>
      <c r="F302" s="40"/>
      <c r="G302" s="40"/>
      <c r="H302" s="40"/>
      <c r="I302" s="40"/>
      <c r="J302" s="266"/>
      <c r="K302" s="41"/>
    </row>
    <row r="303" spans="2:11" x14ac:dyDescent="0.2">
      <c r="B303" s="38"/>
      <c r="C303" s="40" t="s">
        <v>261</v>
      </c>
      <c r="D303" s="40"/>
      <c r="E303" s="40"/>
      <c r="F303" s="40"/>
      <c r="G303" s="40"/>
      <c r="H303" s="40"/>
      <c r="I303" s="40"/>
      <c r="J303" s="245" t="str">
        <f>IF(J302=$B$980,$A$980,IF(J302=$B$981,$A$981,IF(J302=$B$982,$A$982,IF(J302=$B$983,$A$983,IF(J302=$B$984,$A$984,"Not Calculated")))))</f>
        <v>Not Calculated</v>
      </c>
      <c r="K303" s="41"/>
    </row>
    <row r="304" spans="2:11" x14ac:dyDescent="0.2">
      <c r="B304" s="38"/>
      <c r="C304" s="40" t="s">
        <v>893</v>
      </c>
      <c r="D304" s="40"/>
      <c r="E304" s="40"/>
      <c r="F304" s="40"/>
      <c r="G304" s="40"/>
      <c r="H304" s="40"/>
      <c r="I304" s="40"/>
      <c r="J304" s="40"/>
      <c r="K304" s="41"/>
    </row>
    <row r="305" spans="2:11" ht="15" customHeight="1" x14ac:dyDescent="0.2">
      <c r="B305" s="38"/>
      <c r="C305" s="399"/>
      <c r="D305" s="400"/>
      <c r="E305" s="400"/>
      <c r="F305" s="400"/>
      <c r="G305" s="400"/>
      <c r="H305" s="400"/>
      <c r="I305" s="400"/>
      <c r="J305" s="401"/>
      <c r="K305" s="41"/>
    </row>
    <row r="306" spans="2:11" x14ac:dyDescent="0.2">
      <c r="B306" s="38"/>
      <c r="C306" s="40"/>
      <c r="D306" s="40"/>
      <c r="E306" s="40"/>
      <c r="F306" s="40"/>
      <c r="G306" s="40"/>
      <c r="H306" s="40"/>
      <c r="I306" s="40"/>
      <c r="J306" s="40"/>
      <c r="K306" s="41"/>
    </row>
    <row r="307" spans="2:11" x14ac:dyDescent="0.2">
      <c r="B307" s="38"/>
      <c r="C307" s="179" t="s">
        <v>885</v>
      </c>
      <c r="D307" s="40"/>
      <c r="E307" s="40"/>
      <c r="F307" s="40"/>
      <c r="G307" s="40"/>
      <c r="H307" s="40"/>
      <c r="I307" s="40"/>
      <c r="J307" s="245" t="str">
        <f>IF(OR(J296="Not Calculated",J303="Not Calculated")=TRUE,"Not Calculated",AVERAGE(J296,J303))</f>
        <v>Not Calculated</v>
      </c>
      <c r="K307" s="41"/>
    </row>
    <row r="308" spans="2:11" x14ac:dyDescent="0.2">
      <c r="B308" s="38"/>
      <c r="C308" s="40"/>
      <c r="D308" s="40"/>
      <c r="E308" s="40"/>
      <c r="F308" s="40"/>
      <c r="G308" s="40"/>
      <c r="H308" s="40"/>
      <c r="I308" s="40"/>
      <c r="J308" s="40"/>
      <c r="K308" s="41"/>
    </row>
    <row r="309" spans="2:11" x14ac:dyDescent="0.2">
      <c r="B309" s="38"/>
      <c r="C309" s="40"/>
      <c r="D309" s="40"/>
      <c r="E309" s="40"/>
      <c r="F309" s="40"/>
      <c r="G309" s="40"/>
      <c r="H309" s="40"/>
      <c r="I309" s="40"/>
      <c r="J309" s="40"/>
      <c r="K309" s="41"/>
    </row>
    <row r="310" spans="2:11" ht="16" x14ac:dyDescent="0.2">
      <c r="B310" s="38"/>
      <c r="C310" s="45" t="s">
        <v>857</v>
      </c>
      <c r="D310" s="40"/>
      <c r="E310" s="40"/>
      <c r="F310" s="40"/>
      <c r="G310" s="40"/>
      <c r="H310" s="40"/>
      <c r="I310" s="40"/>
      <c r="J310" s="40"/>
      <c r="K310" s="41"/>
    </row>
    <row r="311" spans="2:11" x14ac:dyDescent="0.2">
      <c r="B311" s="38"/>
      <c r="C311" s="380" t="s">
        <v>843</v>
      </c>
      <c r="D311" s="380"/>
      <c r="E311" s="380"/>
      <c r="F311" s="380"/>
      <c r="G311" s="380"/>
      <c r="H311" s="380"/>
      <c r="I311" s="380"/>
      <c r="J311" s="40"/>
      <c r="K311" s="41"/>
    </row>
    <row r="312" spans="2:11" x14ac:dyDescent="0.2">
      <c r="B312" s="38"/>
      <c r="C312" s="380"/>
      <c r="D312" s="380"/>
      <c r="E312" s="380"/>
      <c r="F312" s="380"/>
      <c r="G312" s="380"/>
      <c r="H312" s="380"/>
      <c r="I312" s="380"/>
      <c r="J312" s="264"/>
      <c r="K312" s="41"/>
    </row>
    <row r="313" spans="2:11" x14ac:dyDescent="0.2">
      <c r="B313" s="38"/>
      <c r="C313" s="40" t="s">
        <v>853</v>
      </c>
      <c r="D313" s="291"/>
      <c r="E313" s="291"/>
      <c r="F313" s="291"/>
      <c r="G313" s="291"/>
      <c r="H313" s="291"/>
      <c r="I313" s="291"/>
      <c r="J313" s="255">
        <f>'Baseline Health'!$G$102</f>
        <v>0</v>
      </c>
      <c r="K313" s="41"/>
    </row>
    <row r="314" spans="2:11" x14ac:dyDescent="0.2">
      <c r="B314" s="38"/>
      <c r="C314" s="40" t="s">
        <v>842</v>
      </c>
      <c r="D314" s="40"/>
      <c r="E314" s="40"/>
      <c r="F314" s="40"/>
      <c r="G314" s="40"/>
      <c r="H314" s="40"/>
      <c r="I314" s="40"/>
      <c r="J314" s="244" t="str">
        <f>IF('Baseline Health'!$G$102=0,"Not Calculated",100*J312/'Baseline Health'!$G$102)</f>
        <v>Not Calculated</v>
      </c>
      <c r="K314" s="41"/>
    </row>
    <row r="315" spans="2:11" x14ac:dyDescent="0.2">
      <c r="B315" s="38"/>
      <c r="C315" s="40" t="s">
        <v>260</v>
      </c>
      <c r="D315" s="40"/>
      <c r="E315" s="40"/>
      <c r="F315" s="40"/>
      <c r="G315" s="40"/>
      <c r="H315" s="40"/>
      <c r="I315" s="40"/>
      <c r="J315" s="245">
        <f>IF(J314&lt;=0,0,IF(J314&lt;=1,1,IF(J314&lt;=5,2,IF(J314&lt;=10,3,4))))</f>
        <v>4</v>
      </c>
      <c r="K315" s="41"/>
    </row>
    <row r="316" spans="2:11" ht="9.75" customHeight="1" x14ac:dyDescent="0.2">
      <c r="B316" s="38"/>
      <c r="C316" s="279" t="str">
        <f>"0:"</f>
        <v>0:</v>
      </c>
      <c r="D316" s="278" t="s">
        <v>932</v>
      </c>
      <c r="E316" s="40"/>
      <c r="F316" s="40"/>
      <c r="G316" s="40"/>
      <c r="H316" s="40"/>
      <c r="I316" s="40"/>
      <c r="J316" s="244"/>
      <c r="K316" s="41"/>
    </row>
    <row r="317" spans="2:11" ht="9.75" customHeight="1" x14ac:dyDescent="0.2">
      <c r="B317" s="38"/>
      <c r="C317" s="280" t="str">
        <f>"1:"</f>
        <v>1:</v>
      </c>
      <c r="D317" s="278" t="s">
        <v>934</v>
      </c>
      <c r="E317" s="40"/>
      <c r="F317" s="40"/>
      <c r="G317" s="40"/>
      <c r="H317" s="40"/>
      <c r="I317" s="40"/>
      <c r="J317" s="244"/>
      <c r="K317" s="41"/>
    </row>
    <row r="318" spans="2:11" ht="9.75" customHeight="1" x14ac:dyDescent="0.2">
      <c r="B318" s="38"/>
      <c r="C318" s="280" t="str">
        <f>"2:"</f>
        <v>2:</v>
      </c>
      <c r="D318" s="278" t="s">
        <v>933</v>
      </c>
      <c r="E318" s="40"/>
      <c r="F318" s="40"/>
      <c r="G318" s="40"/>
      <c r="H318" s="40"/>
      <c r="I318" s="40"/>
      <c r="J318" s="244"/>
      <c r="K318" s="41"/>
    </row>
    <row r="319" spans="2:11" ht="9.75" customHeight="1" x14ac:dyDescent="0.2">
      <c r="B319" s="38"/>
      <c r="C319" s="280" t="str">
        <f>"3:"</f>
        <v>3:</v>
      </c>
      <c r="D319" s="278" t="s">
        <v>935</v>
      </c>
      <c r="E319" s="40"/>
      <c r="F319" s="40"/>
      <c r="G319" s="40"/>
      <c r="H319" s="40"/>
      <c r="I319" s="40"/>
      <c r="J319" s="244"/>
      <c r="K319" s="41"/>
    </row>
    <row r="320" spans="2:11" ht="9.75" customHeight="1" x14ac:dyDescent="0.2">
      <c r="B320" s="38"/>
      <c r="C320" s="280" t="str">
        <f>"4:"</f>
        <v>4:</v>
      </c>
      <c r="D320" s="278" t="s">
        <v>936</v>
      </c>
      <c r="E320" s="40"/>
      <c r="F320" s="40"/>
      <c r="G320" s="40"/>
      <c r="H320" s="40"/>
      <c r="I320" s="40"/>
      <c r="J320" s="40"/>
      <c r="K320" s="41"/>
    </row>
    <row r="321" spans="2:11" x14ac:dyDescent="0.2">
      <c r="B321" s="38"/>
      <c r="C321" s="40" t="s">
        <v>296</v>
      </c>
      <c r="D321" s="40"/>
      <c r="E321" s="40"/>
      <c r="F321" s="40"/>
      <c r="G321" s="40"/>
      <c r="H321" s="40"/>
      <c r="I321" s="40"/>
      <c r="J321" s="266"/>
      <c r="K321" s="41"/>
    </row>
    <row r="322" spans="2:11" x14ac:dyDescent="0.2">
      <c r="B322" s="38"/>
      <c r="C322" s="40" t="s">
        <v>261</v>
      </c>
      <c r="D322" s="40"/>
      <c r="E322" s="40"/>
      <c r="F322" s="40"/>
      <c r="G322" s="40"/>
      <c r="H322" s="40"/>
      <c r="I322" s="40"/>
      <c r="J322" s="245">
        <f>IF(J321&lt;=0,0,IF(J321&lt;=2,1,IF(J321&lt;=6,2,IF(J321&lt;=12,3,4))))</f>
        <v>0</v>
      </c>
      <c r="K322" s="41"/>
    </row>
    <row r="323" spans="2:11" x14ac:dyDescent="0.2">
      <c r="B323" s="38"/>
      <c r="C323" s="40" t="s">
        <v>893</v>
      </c>
      <c r="D323" s="40"/>
      <c r="E323" s="40"/>
      <c r="F323" s="40"/>
      <c r="G323" s="40"/>
      <c r="H323" s="40"/>
      <c r="I323" s="40"/>
      <c r="J323" s="40"/>
      <c r="K323" s="41"/>
    </row>
    <row r="324" spans="2:11" ht="15" customHeight="1" x14ac:dyDescent="0.2">
      <c r="B324" s="38"/>
      <c r="C324" s="399"/>
      <c r="D324" s="400"/>
      <c r="E324" s="400"/>
      <c r="F324" s="400"/>
      <c r="G324" s="400"/>
      <c r="H324" s="400"/>
      <c r="I324" s="400"/>
      <c r="J324" s="401"/>
      <c r="K324" s="41"/>
    </row>
    <row r="325" spans="2:11" x14ac:dyDescent="0.2">
      <c r="B325" s="38"/>
      <c r="C325" s="40"/>
      <c r="D325" s="40"/>
      <c r="E325" s="40"/>
      <c r="F325" s="40"/>
      <c r="G325" s="40"/>
      <c r="H325" s="40"/>
      <c r="I325" s="40"/>
      <c r="J325" s="40"/>
      <c r="K325" s="41"/>
    </row>
    <row r="326" spans="2:11" x14ac:dyDescent="0.2">
      <c r="B326" s="38"/>
      <c r="C326" s="179" t="s">
        <v>886</v>
      </c>
      <c r="D326" s="40"/>
      <c r="E326" s="40"/>
      <c r="F326" s="40"/>
      <c r="G326" s="40"/>
      <c r="H326" s="40"/>
      <c r="I326" s="40"/>
      <c r="J326" s="245">
        <f>IF(OR(J315="Not Calculated",J322="Not Calculated")=TRUE,"Not Calculated",AVERAGE(J315,J322))</f>
        <v>2</v>
      </c>
      <c r="K326" s="41"/>
    </row>
    <row r="327" spans="2:11" x14ac:dyDescent="0.2">
      <c r="B327" s="38"/>
      <c r="C327" s="40"/>
      <c r="D327" s="40"/>
      <c r="E327" s="40"/>
      <c r="F327" s="40"/>
      <c r="G327" s="40"/>
      <c r="H327" s="40"/>
      <c r="I327" s="40"/>
      <c r="J327" s="40"/>
      <c r="K327" s="41"/>
    </row>
    <row r="328" spans="2:11" x14ac:dyDescent="0.2">
      <c r="B328" s="38"/>
      <c r="C328" s="40"/>
      <c r="D328" s="40"/>
      <c r="E328" s="40"/>
      <c r="F328" s="40"/>
      <c r="G328" s="40"/>
      <c r="H328" s="40"/>
      <c r="I328" s="40"/>
      <c r="J328" s="40"/>
      <c r="K328" s="41"/>
    </row>
    <row r="329" spans="2:11" ht="16" x14ac:dyDescent="0.2">
      <c r="B329" s="38"/>
      <c r="C329" s="45" t="s">
        <v>858</v>
      </c>
      <c r="D329" s="40"/>
      <c r="E329" s="40"/>
      <c r="F329" s="40"/>
      <c r="G329" s="40"/>
      <c r="H329" s="40"/>
      <c r="I329" s="40"/>
      <c r="J329" s="40"/>
      <c r="K329" s="41"/>
    </row>
    <row r="330" spans="2:11" ht="15" customHeight="1" x14ac:dyDescent="0.2">
      <c r="B330" s="38"/>
      <c r="C330" s="380" t="s">
        <v>844</v>
      </c>
      <c r="D330" s="380"/>
      <c r="E330" s="380"/>
      <c r="F330" s="380"/>
      <c r="G330" s="380"/>
      <c r="H330" s="380"/>
      <c r="I330" s="380"/>
      <c r="J330" s="40"/>
      <c r="K330" s="41"/>
    </row>
    <row r="331" spans="2:11" x14ac:dyDescent="0.2">
      <c r="B331" s="38"/>
      <c r="C331" s="380"/>
      <c r="D331" s="380"/>
      <c r="E331" s="380"/>
      <c r="F331" s="380"/>
      <c r="G331" s="380"/>
      <c r="H331" s="380"/>
      <c r="I331" s="380"/>
      <c r="J331" s="264"/>
      <c r="K331" s="41"/>
    </row>
    <row r="332" spans="2:11" x14ac:dyDescent="0.2">
      <c r="B332" s="38"/>
      <c r="C332" s="40" t="s">
        <v>853</v>
      </c>
      <c r="D332" s="291"/>
      <c r="E332" s="291"/>
      <c r="F332" s="291"/>
      <c r="G332" s="291"/>
      <c r="H332" s="291"/>
      <c r="I332" s="291"/>
      <c r="J332" s="255">
        <f>'Baseline Health'!$G$102</f>
        <v>0</v>
      </c>
      <c r="K332" s="41"/>
    </row>
    <row r="333" spans="2:11" x14ac:dyDescent="0.2">
      <c r="B333" s="38"/>
      <c r="C333" s="40" t="s">
        <v>845</v>
      </c>
      <c r="D333" s="40"/>
      <c r="E333" s="40"/>
      <c r="F333" s="40"/>
      <c r="G333" s="40"/>
      <c r="H333" s="40"/>
      <c r="I333" s="40"/>
      <c r="J333" s="244" t="str">
        <f>IF('Baseline Health'!$G$102=0,"Not Calculated",100*J331/'Baseline Health'!$G$102)</f>
        <v>Not Calculated</v>
      </c>
      <c r="K333" s="41"/>
    </row>
    <row r="334" spans="2:11" x14ac:dyDescent="0.2">
      <c r="B334" s="38"/>
      <c r="C334" s="40" t="s">
        <v>260</v>
      </c>
      <c r="D334" s="40"/>
      <c r="E334" s="40"/>
      <c r="F334" s="40"/>
      <c r="G334" s="40"/>
      <c r="H334" s="40"/>
      <c r="I334" s="40"/>
      <c r="J334" s="245">
        <f>IF(J333&lt;=0,0,IF(J333&lt;=1,1,IF(J333&lt;=5,2,IF(J333&lt;=10,3,4))))</f>
        <v>4</v>
      </c>
      <c r="K334" s="41"/>
    </row>
    <row r="335" spans="2:11" ht="9.75" customHeight="1" x14ac:dyDescent="0.2">
      <c r="B335" s="38"/>
      <c r="C335" s="279" t="str">
        <f>"0:"</f>
        <v>0:</v>
      </c>
      <c r="D335" s="278" t="s">
        <v>932</v>
      </c>
      <c r="E335" s="40"/>
      <c r="F335" s="40"/>
      <c r="G335" s="40"/>
      <c r="H335" s="40"/>
      <c r="I335" s="40"/>
      <c r="J335" s="244"/>
      <c r="K335" s="41"/>
    </row>
    <row r="336" spans="2:11" ht="9.75" customHeight="1" x14ac:dyDescent="0.2">
      <c r="B336" s="38"/>
      <c r="C336" s="280" t="str">
        <f>"1:"</f>
        <v>1:</v>
      </c>
      <c r="D336" s="278" t="s">
        <v>934</v>
      </c>
      <c r="E336" s="40"/>
      <c r="F336" s="40"/>
      <c r="G336" s="40"/>
      <c r="H336" s="40"/>
      <c r="I336" s="40"/>
      <c r="J336" s="244"/>
      <c r="K336" s="41"/>
    </row>
    <row r="337" spans="2:11" ht="9.75" customHeight="1" x14ac:dyDescent="0.2">
      <c r="B337" s="38"/>
      <c r="C337" s="280" t="str">
        <f>"2:"</f>
        <v>2:</v>
      </c>
      <c r="D337" s="278" t="s">
        <v>933</v>
      </c>
      <c r="E337" s="40"/>
      <c r="F337" s="40"/>
      <c r="G337" s="40"/>
      <c r="H337" s="40"/>
      <c r="I337" s="40"/>
      <c r="J337" s="244"/>
      <c r="K337" s="41"/>
    </row>
    <row r="338" spans="2:11" ht="9.75" customHeight="1" x14ac:dyDescent="0.2">
      <c r="B338" s="38"/>
      <c r="C338" s="280" t="str">
        <f>"3:"</f>
        <v>3:</v>
      </c>
      <c r="D338" s="278" t="s">
        <v>935</v>
      </c>
      <c r="E338" s="40"/>
      <c r="F338" s="40"/>
      <c r="G338" s="40"/>
      <c r="H338" s="40"/>
      <c r="I338" s="40"/>
      <c r="J338" s="244"/>
      <c r="K338" s="41"/>
    </row>
    <row r="339" spans="2:11" ht="9.75" customHeight="1" x14ac:dyDescent="0.2">
      <c r="B339" s="38"/>
      <c r="C339" s="280" t="str">
        <f>"4:"</f>
        <v>4:</v>
      </c>
      <c r="D339" s="278" t="s">
        <v>936</v>
      </c>
      <c r="E339" s="40"/>
      <c r="F339" s="40"/>
      <c r="G339" s="40"/>
      <c r="H339" s="40"/>
      <c r="I339" s="40"/>
      <c r="J339" s="40"/>
      <c r="K339" s="41"/>
    </row>
    <row r="340" spans="2:11" x14ac:dyDescent="0.2">
      <c r="B340" s="38"/>
      <c r="C340" s="380" t="s">
        <v>84</v>
      </c>
      <c r="D340" s="380"/>
      <c r="E340" s="380"/>
      <c r="F340" s="380"/>
      <c r="G340" s="380"/>
      <c r="H340" s="380"/>
      <c r="I340" s="380"/>
      <c r="J340" s="245"/>
      <c r="K340" s="41"/>
    </row>
    <row r="341" spans="2:11" x14ac:dyDescent="0.2">
      <c r="B341" s="38"/>
      <c r="C341" s="380"/>
      <c r="D341" s="380"/>
      <c r="E341" s="380"/>
      <c r="F341" s="380"/>
      <c r="G341" s="380"/>
      <c r="H341" s="380"/>
      <c r="I341" s="380"/>
      <c r="J341" s="245">
        <f>'Baseline Health'!G108</f>
        <v>40</v>
      </c>
      <c r="K341" s="41"/>
    </row>
    <row r="342" spans="2:11" ht="15" customHeight="1" x14ac:dyDescent="0.2">
      <c r="B342" s="38"/>
      <c r="C342" s="40" t="s">
        <v>833</v>
      </c>
      <c r="D342" s="40"/>
      <c r="E342" s="40"/>
      <c r="F342" s="40"/>
      <c r="G342" s="40"/>
      <c r="H342" s="40"/>
      <c r="I342" s="40"/>
      <c r="J342" s="245">
        <f>IF(J341&gt;J321,0,J321-J341)</f>
        <v>0</v>
      </c>
      <c r="K342" s="41"/>
    </row>
    <row r="343" spans="2:11" x14ac:dyDescent="0.2">
      <c r="B343" s="38"/>
      <c r="C343" s="40"/>
      <c r="D343" s="380" t="s">
        <v>834</v>
      </c>
      <c r="E343" s="380"/>
      <c r="F343" s="380"/>
      <c r="G343" s="380"/>
      <c r="H343" s="380"/>
      <c r="I343" s="380"/>
      <c r="J343" s="40"/>
      <c r="K343" s="41"/>
    </row>
    <row r="344" spans="2:11" x14ac:dyDescent="0.2">
      <c r="B344" s="38"/>
      <c r="C344" s="40"/>
      <c r="D344" s="380"/>
      <c r="E344" s="380"/>
      <c r="F344" s="380"/>
      <c r="G344" s="380"/>
      <c r="H344" s="380"/>
      <c r="I344" s="380"/>
      <c r="J344" s="40"/>
      <c r="K344" s="41"/>
    </row>
    <row r="345" spans="2:11" x14ac:dyDescent="0.2">
      <c r="B345" s="38"/>
      <c r="C345" s="40" t="s">
        <v>261</v>
      </c>
      <c r="D345" s="40"/>
      <c r="E345" s="40"/>
      <c r="F345" s="40"/>
      <c r="G345" s="40"/>
      <c r="H345" s="40"/>
      <c r="I345" s="40"/>
      <c r="J345" s="245">
        <f>IF(J342&lt;=0,0,IF(J342&lt;=2,1,IF(J342&lt;=6,2,IF(J342&lt;=12,3,4))))</f>
        <v>0</v>
      </c>
      <c r="K345" s="41"/>
    </row>
    <row r="346" spans="2:11" x14ac:dyDescent="0.2">
      <c r="B346" s="38"/>
      <c r="C346" s="40" t="s">
        <v>893</v>
      </c>
      <c r="D346" s="40"/>
      <c r="E346" s="40"/>
      <c r="F346" s="40"/>
      <c r="G346" s="40"/>
      <c r="H346" s="40"/>
      <c r="I346" s="40"/>
      <c r="J346" s="40"/>
      <c r="K346" s="41"/>
    </row>
    <row r="347" spans="2:11" ht="15" customHeight="1" x14ac:dyDescent="0.2">
      <c r="B347" s="38"/>
      <c r="C347" s="399"/>
      <c r="D347" s="400"/>
      <c r="E347" s="400"/>
      <c r="F347" s="400"/>
      <c r="G347" s="400"/>
      <c r="H347" s="400"/>
      <c r="I347" s="400"/>
      <c r="J347" s="401"/>
      <c r="K347" s="41"/>
    </row>
    <row r="348" spans="2:11" x14ac:dyDescent="0.2">
      <c r="B348" s="38"/>
      <c r="C348" s="40"/>
      <c r="D348" s="40"/>
      <c r="E348" s="40"/>
      <c r="F348" s="40"/>
      <c r="G348" s="40"/>
      <c r="H348" s="40"/>
      <c r="I348" s="40"/>
      <c r="J348" s="40"/>
      <c r="K348" s="41"/>
    </row>
    <row r="349" spans="2:11" x14ac:dyDescent="0.2">
      <c r="B349" s="38"/>
      <c r="C349" s="179" t="s">
        <v>887</v>
      </c>
      <c r="D349" s="40"/>
      <c r="E349" s="40"/>
      <c r="F349" s="40"/>
      <c r="G349" s="40"/>
      <c r="H349" s="40"/>
      <c r="I349" s="40"/>
      <c r="J349" s="245">
        <f>IF(OR(J334="Not Calculated",J345="Not Calculated")=TRUE,"Not Calculated",AVERAGE(J334,J345))</f>
        <v>2</v>
      </c>
      <c r="K349" s="41"/>
    </row>
    <row r="350" spans="2:11" x14ac:dyDescent="0.2">
      <c r="B350" s="38"/>
      <c r="C350" s="40"/>
      <c r="D350" s="40"/>
      <c r="E350" s="40"/>
      <c r="F350" s="40"/>
      <c r="G350" s="40"/>
      <c r="H350" s="40"/>
      <c r="I350" s="40"/>
      <c r="J350" s="40"/>
      <c r="K350" s="41"/>
    </row>
    <row r="351" spans="2:11" x14ac:dyDescent="0.2">
      <c r="B351" s="38"/>
      <c r="C351" s="40"/>
      <c r="D351" s="40"/>
      <c r="E351" s="40"/>
      <c r="F351" s="40"/>
      <c r="G351" s="40"/>
      <c r="H351" s="40"/>
      <c r="I351" s="40"/>
      <c r="J351" s="40"/>
      <c r="K351" s="41"/>
    </row>
    <row r="352" spans="2:11" ht="15" customHeight="1" x14ac:dyDescent="0.2">
      <c r="B352" s="38"/>
      <c r="C352" s="45" t="s">
        <v>859</v>
      </c>
      <c r="D352" s="40"/>
      <c r="E352" s="40"/>
      <c r="F352" s="40"/>
      <c r="G352" s="40"/>
      <c r="H352" s="40"/>
      <c r="I352" s="40"/>
      <c r="J352" s="40"/>
      <c r="K352" s="41"/>
    </row>
    <row r="353" spans="2:11" x14ac:dyDescent="0.2">
      <c r="B353" s="38"/>
      <c r="C353" s="40" t="s">
        <v>846</v>
      </c>
      <c r="D353" s="40"/>
      <c r="E353" s="40"/>
      <c r="F353" s="40"/>
      <c r="G353" s="40"/>
      <c r="H353" s="40"/>
      <c r="I353" s="40"/>
      <c r="J353" s="264"/>
      <c r="K353" s="41"/>
    </row>
    <row r="354" spans="2:11" x14ac:dyDescent="0.2">
      <c r="B354" s="38"/>
      <c r="C354" s="40" t="s">
        <v>854</v>
      </c>
      <c r="D354" s="40"/>
      <c r="E354" s="40"/>
      <c r="F354" s="40"/>
      <c r="G354" s="40"/>
      <c r="H354" s="40"/>
      <c r="I354" s="40"/>
      <c r="J354" s="255">
        <f>'Baseline Health'!$G$59</f>
        <v>0</v>
      </c>
      <c r="K354" s="41"/>
    </row>
    <row r="355" spans="2:11" x14ac:dyDescent="0.2">
      <c r="B355" s="38"/>
      <c r="C355" s="40" t="s">
        <v>847</v>
      </c>
      <c r="D355" s="40"/>
      <c r="E355" s="40"/>
      <c r="F355" s="40"/>
      <c r="G355" s="40"/>
      <c r="H355" s="40"/>
      <c r="I355" s="40"/>
      <c r="J355" s="244">
        <f>IF(J353=0,0,IF('Baseline Health'!G$59=0,"Not Calculated",100*J353/'Baseline Health'!$G$59))</f>
        <v>0</v>
      </c>
      <c r="K355" s="41"/>
    </row>
    <row r="356" spans="2:11" x14ac:dyDescent="0.2">
      <c r="B356" s="38"/>
      <c r="C356" s="40" t="s">
        <v>260</v>
      </c>
      <c r="D356" s="40"/>
      <c r="E356" s="40"/>
      <c r="F356" s="40"/>
      <c r="G356" s="40"/>
      <c r="H356" s="40"/>
      <c r="I356" s="40"/>
      <c r="J356" s="245">
        <f>IF(J355&lt;=0,0,IF(J355&lt;=5,1,IF(J355&lt;=10,2,IF(J355&lt;=25,3,4))))</f>
        <v>0</v>
      </c>
      <c r="K356" s="41"/>
    </row>
    <row r="357" spans="2:11" ht="9.75" customHeight="1" x14ac:dyDescent="0.2">
      <c r="B357" s="38"/>
      <c r="C357" s="279" t="str">
        <f>"0:"</f>
        <v>0:</v>
      </c>
      <c r="D357" s="278" t="s">
        <v>932</v>
      </c>
      <c r="E357" s="40"/>
      <c r="F357" s="40"/>
      <c r="G357" s="40"/>
      <c r="H357" s="40"/>
      <c r="I357" s="40"/>
      <c r="J357" s="244"/>
      <c r="K357" s="41"/>
    </row>
    <row r="358" spans="2:11" ht="9.75" customHeight="1" x14ac:dyDescent="0.2">
      <c r="B358" s="38"/>
      <c r="C358" s="280" t="str">
        <f>"1:"</f>
        <v>1:</v>
      </c>
      <c r="D358" s="278" t="s">
        <v>933</v>
      </c>
      <c r="E358" s="40"/>
      <c r="F358" s="40"/>
      <c r="G358" s="40"/>
      <c r="H358" s="40"/>
      <c r="I358" s="40"/>
      <c r="J358" s="244"/>
      <c r="K358" s="41"/>
    </row>
    <row r="359" spans="2:11" ht="9.75" customHeight="1" x14ac:dyDescent="0.2">
      <c r="B359" s="38"/>
      <c r="C359" s="280" t="str">
        <f>"2:"</f>
        <v>2:</v>
      </c>
      <c r="D359" s="278" t="s">
        <v>935</v>
      </c>
      <c r="E359" s="40"/>
      <c r="F359" s="40"/>
      <c r="G359" s="40"/>
      <c r="H359" s="40"/>
      <c r="I359" s="40"/>
      <c r="J359" s="244"/>
      <c r="K359" s="41"/>
    </row>
    <row r="360" spans="2:11" ht="9.75" customHeight="1" x14ac:dyDescent="0.2">
      <c r="B360" s="38"/>
      <c r="C360" s="280" t="str">
        <f>"3:"</f>
        <v>3:</v>
      </c>
      <c r="D360" s="278" t="s">
        <v>937</v>
      </c>
      <c r="E360" s="40"/>
      <c r="F360" s="40"/>
      <c r="G360" s="40"/>
      <c r="H360" s="40"/>
      <c r="I360" s="40"/>
      <c r="J360" s="244"/>
      <c r="K360" s="41"/>
    </row>
    <row r="361" spans="2:11" ht="9.75" customHeight="1" x14ac:dyDescent="0.2">
      <c r="B361" s="38"/>
      <c r="C361" s="280" t="str">
        <f>"4:"</f>
        <v>4:</v>
      </c>
      <c r="D361" s="278" t="s">
        <v>938</v>
      </c>
      <c r="E361" s="40"/>
      <c r="F361" s="40"/>
      <c r="G361" s="40"/>
      <c r="H361" s="40"/>
      <c r="I361" s="40"/>
      <c r="J361" s="40"/>
      <c r="K361" s="41"/>
    </row>
    <row r="362" spans="2:11" x14ac:dyDescent="0.2">
      <c r="B362" s="38"/>
      <c r="C362" s="40" t="s">
        <v>257</v>
      </c>
      <c r="D362" s="40"/>
      <c r="E362" s="40"/>
      <c r="F362" s="40"/>
      <c r="G362" s="40"/>
      <c r="H362" s="40"/>
      <c r="I362" s="40"/>
      <c r="J362" s="266"/>
      <c r="K362" s="41"/>
    </row>
    <row r="363" spans="2:11" x14ac:dyDescent="0.2">
      <c r="B363" s="38"/>
      <c r="C363" s="40" t="s">
        <v>261</v>
      </c>
      <c r="D363" s="40"/>
      <c r="E363" s="40"/>
      <c r="F363" s="40"/>
      <c r="G363" s="40"/>
      <c r="H363" s="40"/>
      <c r="I363" s="40"/>
      <c r="J363" s="245" t="str">
        <f>IF(J362=$B$980,$A$980,IF(J362=$B$981,$A$981,IF(J362=$B$982,$A$982,IF(J362=$B$983,$A$983,IF(J362=$B$984,$A$984,"Not Calculated")))))</f>
        <v>Not Calculated</v>
      </c>
      <c r="K363" s="41"/>
    </row>
    <row r="364" spans="2:11" x14ac:dyDescent="0.2">
      <c r="B364" s="38"/>
      <c r="C364" s="40" t="s">
        <v>893</v>
      </c>
      <c r="D364" s="40"/>
      <c r="E364" s="40"/>
      <c r="F364" s="40"/>
      <c r="G364" s="40"/>
      <c r="H364" s="40"/>
      <c r="I364" s="40"/>
      <c r="J364" s="40"/>
      <c r="K364" s="41"/>
    </row>
    <row r="365" spans="2:11" ht="15" customHeight="1" x14ac:dyDescent="0.2">
      <c r="B365" s="38"/>
      <c r="C365" s="399"/>
      <c r="D365" s="400"/>
      <c r="E365" s="400"/>
      <c r="F365" s="400"/>
      <c r="G365" s="400"/>
      <c r="H365" s="400"/>
      <c r="I365" s="400"/>
      <c r="J365" s="401"/>
      <c r="K365" s="41"/>
    </row>
    <row r="366" spans="2:11" x14ac:dyDescent="0.2">
      <c r="B366" s="38"/>
      <c r="C366" s="40"/>
      <c r="D366" s="40"/>
      <c r="E366" s="40"/>
      <c r="F366" s="40"/>
      <c r="G366" s="40"/>
      <c r="H366" s="40"/>
      <c r="I366" s="40"/>
      <c r="J366" s="40"/>
      <c r="K366" s="41"/>
    </row>
    <row r="367" spans="2:11" x14ac:dyDescent="0.2">
      <c r="B367" s="38"/>
      <c r="C367" s="179" t="s">
        <v>888</v>
      </c>
      <c r="D367" s="40"/>
      <c r="E367" s="40"/>
      <c r="F367" s="40"/>
      <c r="G367" s="40"/>
      <c r="H367" s="40"/>
      <c r="I367" s="40"/>
      <c r="J367" s="245" t="str">
        <f>IF(OR(J356="Not Calculated",J363="Not Calculated")=TRUE,"Not Calculated",AVERAGE(J356,J363))</f>
        <v>Not Calculated</v>
      </c>
      <c r="K367" s="41"/>
    </row>
    <row r="368" spans="2:11" x14ac:dyDescent="0.2">
      <c r="B368" s="38"/>
      <c r="C368" s="40"/>
      <c r="D368" s="40"/>
      <c r="E368" s="40"/>
      <c r="F368" s="40"/>
      <c r="G368" s="40"/>
      <c r="H368" s="40"/>
      <c r="I368" s="40"/>
      <c r="J368" s="40"/>
      <c r="K368" s="41"/>
    </row>
    <row r="369" spans="2:11" x14ac:dyDescent="0.2">
      <c r="B369" s="38"/>
      <c r="C369" s="40"/>
      <c r="D369" s="40"/>
      <c r="E369" s="40"/>
      <c r="F369" s="40"/>
      <c r="G369" s="40"/>
      <c r="H369" s="40"/>
      <c r="I369" s="40"/>
      <c r="J369" s="40"/>
      <c r="K369" s="41"/>
    </row>
    <row r="370" spans="2:11" ht="16" x14ac:dyDescent="0.2">
      <c r="B370" s="38"/>
      <c r="C370" s="45" t="s">
        <v>863</v>
      </c>
      <c r="D370" s="40"/>
      <c r="E370" s="40"/>
      <c r="F370" s="40"/>
      <c r="G370" s="40"/>
      <c r="H370" s="40"/>
      <c r="I370" s="40"/>
      <c r="J370" s="40"/>
      <c r="K370" s="41"/>
    </row>
    <row r="371" spans="2:11" ht="15" customHeight="1" x14ac:dyDescent="0.2">
      <c r="B371" s="38"/>
      <c r="C371" s="380" t="s">
        <v>848</v>
      </c>
      <c r="D371" s="380"/>
      <c r="E371" s="380"/>
      <c r="F371" s="380"/>
      <c r="G371" s="380"/>
      <c r="H371" s="380"/>
      <c r="I371" s="380"/>
      <c r="J371" s="181"/>
      <c r="K371" s="41"/>
    </row>
    <row r="372" spans="2:11" x14ac:dyDescent="0.2">
      <c r="B372" s="38"/>
      <c r="C372" s="380"/>
      <c r="D372" s="380"/>
      <c r="E372" s="380"/>
      <c r="F372" s="380"/>
      <c r="G372" s="380"/>
      <c r="H372" s="380"/>
      <c r="I372" s="380"/>
      <c r="J372" s="264"/>
      <c r="K372" s="41"/>
    </row>
    <row r="373" spans="2:11" x14ac:dyDescent="0.2">
      <c r="B373" s="38"/>
      <c r="C373" s="40" t="s">
        <v>853</v>
      </c>
      <c r="D373" s="291"/>
      <c r="E373" s="291"/>
      <c r="F373" s="291"/>
      <c r="G373" s="291"/>
      <c r="H373" s="291"/>
      <c r="I373" s="291"/>
      <c r="J373" s="255">
        <f>'Baseline Health'!$G$102</f>
        <v>0</v>
      </c>
      <c r="K373" s="41"/>
    </row>
    <row r="374" spans="2:11" x14ac:dyDescent="0.2">
      <c r="B374" s="38"/>
      <c r="C374" s="40" t="s">
        <v>842</v>
      </c>
      <c r="D374" s="291"/>
      <c r="E374" s="291"/>
      <c r="F374" s="291"/>
      <c r="G374" s="291"/>
      <c r="H374" s="291"/>
      <c r="I374" s="291"/>
      <c r="J374" s="244" t="str">
        <f>IF('Baseline Health'!$G$102=0,"Not Calculated",100*J372/'Baseline Health'!$G$102)</f>
        <v>Not Calculated</v>
      </c>
      <c r="K374" s="41"/>
    </row>
    <row r="375" spans="2:11" x14ac:dyDescent="0.2">
      <c r="B375" s="38"/>
      <c r="C375" s="40" t="s">
        <v>260</v>
      </c>
      <c r="D375" s="40"/>
      <c r="E375" s="40"/>
      <c r="F375" s="40"/>
      <c r="G375" s="40"/>
      <c r="H375" s="40"/>
      <c r="I375" s="40"/>
      <c r="J375" s="251">
        <f>IF(J374&lt;=0,0,IF(J374&lt;=1,1,IF(J374&lt;=5,2,IF(J374&lt;=10,3,4))))</f>
        <v>4</v>
      </c>
      <c r="K375" s="41"/>
    </row>
    <row r="376" spans="2:11" ht="9.75" customHeight="1" x14ac:dyDescent="0.2">
      <c r="B376" s="38"/>
      <c r="C376" s="279" t="str">
        <f>"0:"</f>
        <v>0:</v>
      </c>
      <c r="D376" s="278" t="s">
        <v>932</v>
      </c>
      <c r="E376" s="291"/>
      <c r="F376" s="291"/>
      <c r="G376" s="291"/>
      <c r="H376" s="291"/>
      <c r="I376" s="291"/>
      <c r="J376" s="244"/>
      <c r="K376" s="41"/>
    </row>
    <row r="377" spans="2:11" ht="9.75" customHeight="1" x14ac:dyDescent="0.2">
      <c r="B377" s="38"/>
      <c r="C377" s="280" t="str">
        <f>"1:"</f>
        <v>1:</v>
      </c>
      <c r="D377" s="278" t="s">
        <v>934</v>
      </c>
      <c r="E377" s="291"/>
      <c r="F377" s="291"/>
      <c r="G377" s="291"/>
      <c r="H377" s="291"/>
      <c r="I377" s="291"/>
      <c r="J377" s="244"/>
      <c r="K377" s="41"/>
    </row>
    <row r="378" spans="2:11" ht="9.75" customHeight="1" x14ac:dyDescent="0.2">
      <c r="B378" s="38"/>
      <c r="C378" s="280" t="str">
        <f>"2:"</f>
        <v>2:</v>
      </c>
      <c r="D378" s="278" t="s">
        <v>933</v>
      </c>
      <c r="E378" s="291"/>
      <c r="F378" s="291"/>
      <c r="G378" s="291"/>
      <c r="H378" s="291"/>
      <c r="I378" s="291"/>
      <c r="J378" s="244"/>
      <c r="K378" s="41"/>
    </row>
    <row r="379" spans="2:11" ht="9.75" customHeight="1" x14ac:dyDescent="0.2">
      <c r="B379" s="38"/>
      <c r="C379" s="280" t="str">
        <f>"3:"</f>
        <v>3:</v>
      </c>
      <c r="D379" s="278" t="s">
        <v>935</v>
      </c>
      <c r="E379" s="291"/>
      <c r="F379" s="291"/>
      <c r="G379" s="291"/>
      <c r="H379" s="291"/>
      <c r="I379" s="291"/>
      <c r="J379" s="244"/>
      <c r="K379" s="41"/>
    </row>
    <row r="380" spans="2:11" ht="9.75" customHeight="1" x14ac:dyDescent="0.2">
      <c r="B380" s="38"/>
      <c r="C380" s="280" t="str">
        <f>"4:"</f>
        <v>4:</v>
      </c>
      <c r="D380" s="278" t="s">
        <v>936</v>
      </c>
      <c r="E380" s="40"/>
      <c r="F380" s="40"/>
      <c r="G380" s="40"/>
      <c r="H380" s="40"/>
      <c r="I380" s="40"/>
      <c r="J380" s="40"/>
      <c r="K380" s="41"/>
    </row>
    <row r="381" spans="2:11" x14ac:dyDescent="0.2">
      <c r="B381" s="38"/>
      <c r="C381" s="40" t="s">
        <v>85</v>
      </c>
      <c r="D381" s="40"/>
      <c r="E381" s="40"/>
      <c r="F381" s="40"/>
      <c r="G381" s="40"/>
      <c r="H381" s="40"/>
      <c r="I381" s="40"/>
      <c r="J381" s="252">
        <f>'Baseline Health'!G114</f>
        <v>7</v>
      </c>
      <c r="K381" s="41"/>
    </row>
    <row r="382" spans="2:11" x14ac:dyDescent="0.2">
      <c r="B382" s="38"/>
      <c r="C382" s="40" t="s">
        <v>297</v>
      </c>
      <c r="D382" s="40"/>
      <c r="E382" s="40"/>
      <c r="F382" s="40"/>
      <c r="G382" s="40"/>
      <c r="H382" s="40"/>
      <c r="I382" s="40"/>
      <c r="J382" s="266"/>
      <c r="K382" s="41"/>
    </row>
    <row r="383" spans="2:11" x14ac:dyDescent="0.2">
      <c r="B383" s="38"/>
      <c r="C383" s="40" t="s">
        <v>261</v>
      </c>
      <c r="D383" s="40"/>
      <c r="E383" s="40"/>
      <c r="F383" s="40"/>
      <c r="G383" s="40"/>
      <c r="H383" s="40"/>
      <c r="I383" s="40"/>
      <c r="J383" s="248">
        <f>IF((J382-J381)&lt;1,0,IF((J382-J381)&lt;3,1,IF((J382-J381)&lt;5,2,IF((J382-J381)&lt;7,3,4))))</f>
        <v>0</v>
      </c>
      <c r="K383" s="41"/>
    </row>
    <row r="384" spans="2:11" x14ac:dyDescent="0.2">
      <c r="B384" s="38"/>
      <c r="C384" s="40" t="s">
        <v>893</v>
      </c>
      <c r="D384" s="40"/>
      <c r="E384" s="40"/>
      <c r="F384" s="40"/>
      <c r="G384" s="40"/>
      <c r="H384" s="40"/>
      <c r="I384" s="40"/>
      <c r="J384" s="40"/>
      <c r="K384" s="41"/>
    </row>
    <row r="385" spans="2:11" x14ac:dyDescent="0.2">
      <c r="B385" s="38"/>
      <c r="C385" s="399"/>
      <c r="D385" s="400"/>
      <c r="E385" s="400"/>
      <c r="F385" s="400"/>
      <c r="G385" s="400"/>
      <c r="H385" s="400"/>
      <c r="I385" s="400"/>
      <c r="J385" s="401"/>
      <c r="K385" s="41"/>
    </row>
    <row r="386" spans="2:11" x14ac:dyDescent="0.2">
      <c r="B386" s="38"/>
      <c r="C386" s="40"/>
      <c r="D386" s="40"/>
      <c r="E386" s="40"/>
      <c r="F386" s="40"/>
      <c r="G386" s="40"/>
      <c r="H386" s="40"/>
      <c r="I386" s="40"/>
      <c r="J386" s="40"/>
      <c r="K386" s="41"/>
    </row>
    <row r="387" spans="2:11" x14ac:dyDescent="0.2">
      <c r="B387" s="38"/>
      <c r="C387" s="179" t="s">
        <v>889</v>
      </c>
      <c r="D387" s="40"/>
      <c r="E387" s="40"/>
      <c r="F387" s="40"/>
      <c r="G387" s="40"/>
      <c r="H387" s="40"/>
      <c r="I387" s="40"/>
      <c r="J387" s="245">
        <f>IF(OR(J375="Not Calculated",J383="Not Calculated")=TRUE,"Not Calculated",AVERAGE(J375,J383))</f>
        <v>2</v>
      </c>
      <c r="K387" s="41"/>
    </row>
    <row r="388" spans="2:11" x14ac:dyDescent="0.2">
      <c r="B388" s="38"/>
      <c r="C388" s="40"/>
      <c r="D388" s="40"/>
      <c r="E388" s="40"/>
      <c r="F388" s="40"/>
      <c r="G388" s="40"/>
      <c r="H388" s="40"/>
      <c r="I388" s="40"/>
      <c r="J388" s="40"/>
      <c r="K388" s="41"/>
    </row>
    <row r="389" spans="2:11" x14ac:dyDescent="0.2">
      <c r="B389" s="38"/>
      <c r="C389" s="40"/>
      <c r="D389" s="40"/>
      <c r="E389" s="40"/>
      <c r="F389" s="40"/>
      <c r="G389" s="40"/>
      <c r="H389" s="40"/>
      <c r="I389" s="40"/>
      <c r="J389" s="40"/>
      <c r="K389" s="41"/>
    </row>
    <row r="390" spans="2:11" ht="16" x14ac:dyDescent="0.2">
      <c r="B390" s="38"/>
      <c r="C390" s="45" t="s">
        <v>860</v>
      </c>
      <c r="D390" s="40"/>
      <c r="E390" s="40"/>
      <c r="F390" s="40"/>
      <c r="G390" s="40"/>
      <c r="H390" s="40"/>
      <c r="I390" s="40"/>
      <c r="J390" s="40"/>
      <c r="K390" s="41"/>
    </row>
    <row r="391" spans="2:11" x14ac:dyDescent="0.2">
      <c r="B391" s="38"/>
      <c r="C391" s="380" t="s">
        <v>849</v>
      </c>
      <c r="D391" s="380"/>
      <c r="E391" s="380"/>
      <c r="F391" s="380"/>
      <c r="G391" s="380"/>
      <c r="H391" s="380"/>
      <c r="I391" s="380"/>
      <c r="J391" s="181"/>
      <c r="K391" s="41"/>
    </row>
    <row r="392" spans="2:11" x14ac:dyDescent="0.2">
      <c r="B392" s="38"/>
      <c r="C392" s="380"/>
      <c r="D392" s="380"/>
      <c r="E392" s="380"/>
      <c r="F392" s="380"/>
      <c r="G392" s="380"/>
      <c r="H392" s="380"/>
      <c r="I392" s="380"/>
      <c r="J392" s="264"/>
      <c r="K392" s="41"/>
    </row>
    <row r="393" spans="2:11" x14ac:dyDescent="0.2">
      <c r="B393" s="38"/>
      <c r="C393" s="40" t="s">
        <v>853</v>
      </c>
      <c r="D393" s="291"/>
      <c r="E393" s="291"/>
      <c r="F393" s="291"/>
      <c r="G393" s="291"/>
      <c r="H393" s="291"/>
      <c r="I393" s="291"/>
      <c r="J393" s="255">
        <f>'Baseline Health'!$G$102</f>
        <v>0</v>
      </c>
      <c r="K393" s="41"/>
    </row>
    <row r="394" spans="2:11" ht="15" customHeight="1" x14ac:dyDescent="0.2">
      <c r="B394" s="38"/>
      <c r="C394" s="40" t="s">
        <v>850</v>
      </c>
      <c r="D394" s="291"/>
      <c r="E394" s="291"/>
      <c r="F394" s="291"/>
      <c r="G394" s="291"/>
      <c r="H394" s="291"/>
      <c r="I394" s="291"/>
      <c r="J394" s="244" t="str">
        <f>IF('Baseline Health'!$G$102=0,"Not Calculated",100*J392/'Baseline Health'!$G$102)</f>
        <v>Not Calculated</v>
      </c>
      <c r="K394" s="41"/>
    </row>
    <row r="395" spans="2:11" ht="15" customHeight="1" x14ac:dyDescent="0.2">
      <c r="B395" s="38"/>
      <c r="C395" s="40" t="s">
        <v>260</v>
      </c>
      <c r="D395" s="40"/>
      <c r="E395" s="40"/>
      <c r="F395" s="40"/>
      <c r="G395" s="40"/>
      <c r="H395" s="40"/>
      <c r="I395" s="40"/>
      <c r="J395" s="43">
        <f>IF(J394&lt;=0,0,IF(J394&lt;=1,1,IF(J394&lt;=5,2,IF(J394&lt;=10,3,4))))</f>
        <v>4</v>
      </c>
      <c r="K395" s="41"/>
    </row>
    <row r="396" spans="2:11" ht="9.75" customHeight="1" x14ac:dyDescent="0.2">
      <c r="B396" s="38"/>
      <c r="C396" s="279" t="str">
        <f>"0:"</f>
        <v>0:</v>
      </c>
      <c r="D396" s="278" t="s">
        <v>932</v>
      </c>
      <c r="E396" s="291"/>
      <c r="F396" s="291"/>
      <c r="G396" s="291"/>
      <c r="H396" s="291"/>
      <c r="I396" s="291"/>
      <c r="J396" s="244"/>
      <c r="K396" s="41"/>
    </row>
    <row r="397" spans="2:11" ht="9.75" customHeight="1" x14ac:dyDescent="0.2">
      <c r="B397" s="38"/>
      <c r="C397" s="280" t="str">
        <f>"1:"</f>
        <v>1:</v>
      </c>
      <c r="D397" s="278" t="s">
        <v>934</v>
      </c>
      <c r="E397" s="291"/>
      <c r="F397" s="291"/>
      <c r="G397" s="291"/>
      <c r="H397" s="291"/>
      <c r="I397" s="291"/>
      <c r="J397" s="244"/>
      <c r="K397" s="41"/>
    </row>
    <row r="398" spans="2:11" ht="9.75" customHeight="1" x14ac:dyDescent="0.2">
      <c r="B398" s="38"/>
      <c r="C398" s="280" t="str">
        <f>"2:"</f>
        <v>2:</v>
      </c>
      <c r="D398" s="278" t="s">
        <v>933</v>
      </c>
      <c r="E398" s="291"/>
      <c r="F398" s="291"/>
      <c r="G398" s="291"/>
      <c r="H398" s="291"/>
      <c r="I398" s="291"/>
      <c r="J398" s="244"/>
      <c r="K398" s="41"/>
    </row>
    <row r="399" spans="2:11" ht="9.75" customHeight="1" x14ac:dyDescent="0.2">
      <c r="B399" s="38"/>
      <c r="C399" s="280" t="str">
        <f>"3:"</f>
        <v>3:</v>
      </c>
      <c r="D399" s="278" t="s">
        <v>935</v>
      </c>
      <c r="E399" s="291"/>
      <c r="F399" s="291"/>
      <c r="G399" s="291"/>
      <c r="H399" s="291"/>
      <c r="I399" s="291"/>
      <c r="J399" s="244"/>
      <c r="K399" s="41"/>
    </row>
    <row r="400" spans="2:11" ht="9.75" customHeight="1" x14ac:dyDescent="0.2">
      <c r="B400" s="38"/>
      <c r="C400" s="280" t="str">
        <f>"4:"</f>
        <v>4:</v>
      </c>
      <c r="D400" s="278" t="s">
        <v>936</v>
      </c>
      <c r="E400" s="40"/>
      <c r="F400" s="40"/>
      <c r="G400" s="40"/>
      <c r="H400" s="40"/>
      <c r="I400" s="40"/>
      <c r="J400" s="40"/>
      <c r="K400" s="41"/>
    </row>
    <row r="401" spans="2:11" x14ac:dyDescent="0.2">
      <c r="B401" s="38"/>
      <c r="C401" s="40" t="s">
        <v>893</v>
      </c>
      <c r="D401" s="40"/>
      <c r="E401" s="40"/>
      <c r="F401" s="40"/>
      <c r="G401" s="40"/>
      <c r="H401" s="40"/>
      <c r="I401" s="40"/>
      <c r="J401" s="40"/>
      <c r="K401" s="41"/>
    </row>
    <row r="402" spans="2:11" ht="15" customHeight="1" x14ac:dyDescent="0.2">
      <c r="B402" s="38"/>
      <c r="C402" s="399"/>
      <c r="D402" s="400"/>
      <c r="E402" s="400"/>
      <c r="F402" s="400"/>
      <c r="G402" s="400"/>
      <c r="H402" s="400"/>
      <c r="I402" s="400"/>
      <c r="J402" s="401"/>
      <c r="K402" s="41"/>
    </row>
    <row r="403" spans="2:11" x14ac:dyDescent="0.2">
      <c r="B403" s="38"/>
      <c r="C403" s="40"/>
      <c r="D403" s="40"/>
      <c r="E403" s="40"/>
      <c r="F403" s="40"/>
      <c r="G403" s="40"/>
      <c r="H403" s="40"/>
      <c r="I403" s="40"/>
      <c r="J403" s="40"/>
      <c r="K403" s="41"/>
    </row>
    <row r="404" spans="2:11" x14ac:dyDescent="0.2">
      <c r="B404" s="38"/>
      <c r="C404" s="179" t="s">
        <v>890</v>
      </c>
      <c r="D404" s="40"/>
      <c r="E404" s="40"/>
      <c r="F404" s="40"/>
      <c r="G404" s="40"/>
      <c r="H404" s="40"/>
      <c r="I404" s="40"/>
      <c r="J404" s="245">
        <f>J395</f>
        <v>4</v>
      </c>
      <c r="K404" s="41"/>
    </row>
    <row r="405" spans="2:11" x14ac:dyDescent="0.2">
      <c r="B405" s="38"/>
      <c r="C405" s="40"/>
      <c r="D405" s="40"/>
      <c r="E405" s="40"/>
      <c r="F405" s="40"/>
      <c r="G405" s="40"/>
      <c r="H405" s="40"/>
      <c r="I405" s="40"/>
      <c r="J405" s="40"/>
      <c r="K405" s="41"/>
    </row>
    <row r="406" spans="2:11" x14ac:dyDescent="0.2">
      <c r="B406" s="38"/>
      <c r="C406" s="40"/>
      <c r="D406" s="40"/>
      <c r="E406" s="40"/>
      <c r="F406" s="40"/>
      <c r="G406" s="40"/>
      <c r="H406" s="40"/>
      <c r="I406" s="40"/>
      <c r="J406" s="40"/>
      <c r="K406" s="41"/>
    </row>
    <row r="407" spans="2:11" ht="16" x14ac:dyDescent="0.2">
      <c r="B407" s="38"/>
      <c r="C407" s="45" t="s">
        <v>861</v>
      </c>
      <c r="D407" s="40"/>
      <c r="E407" s="40"/>
      <c r="F407" s="40"/>
      <c r="G407" s="40"/>
      <c r="H407" s="40"/>
      <c r="I407" s="40"/>
      <c r="J407" s="40"/>
      <c r="K407" s="41"/>
    </row>
    <row r="408" spans="2:11" x14ac:dyDescent="0.2">
      <c r="B408" s="38"/>
      <c r="C408" s="40" t="s">
        <v>298</v>
      </c>
      <c r="D408" s="40"/>
      <c r="E408" s="40"/>
      <c r="F408" s="40"/>
      <c r="G408" s="40"/>
      <c r="H408" s="40"/>
      <c r="I408" s="40"/>
      <c r="J408" s="269"/>
      <c r="K408" s="41"/>
    </row>
    <row r="409" spans="2:11" x14ac:dyDescent="0.2">
      <c r="B409" s="38"/>
      <c r="C409" s="40" t="s">
        <v>260</v>
      </c>
      <c r="D409" s="40"/>
      <c r="E409" s="40"/>
      <c r="F409" s="40"/>
      <c r="G409" s="40"/>
      <c r="H409" s="40"/>
      <c r="I409" s="40"/>
      <c r="J409" s="253">
        <f>IF(J408&lt;=0,0,IF(J408&lt;=(J161*0.01),1,IF(J408&lt;=(J161*0.05),2,IF(J408&lt;=(J161*0.1),3,4))))</f>
        <v>0</v>
      </c>
      <c r="K409" s="41"/>
    </row>
    <row r="410" spans="2:11" ht="9.75" customHeight="1" x14ac:dyDescent="0.2">
      <c r="B410" s="38"/>
      <c r="C410" s="279" t="str">
        <f>"0:"</f>
        <v>0:</v>
      </c>
      <c r="D410" s="278" t="s">
        <v>939</v>
      </c>
      <c r="E410" s="40"/>
      <c r="F410" s="40"/>
      <c r="G410" s="40"/>
      <c r="H410" s="40"/>
      <c r="I410" s="40"/>
      <c r="J410" s="282"/>
      <c r="K410" s="41"/>
    </row>
    <row r="411" spans="2:11" ht="9.75" customHeight="1" x14ac:dyDescent="0.2">
      <c r="B411" s="38"/>
      <c r="C411" s="280" t="str">
        <f>"1:"</f>
        <v>1:</v>
      </c>
      <c r="D411" s="278" t="s">
        <v>940</v>
      </c>
      <c r="E411" s="40"/>
      <c r="F411" s="40"/>
      <c r="G411" s="40"/>
      <c r="H411" s="40"/>
      <c r="I411" s="40"/>
      <c r="J411" s="282"/>
      <c r="K411" s="41"/>
    </row>
    <row r="412" spans="2:11" ht="9.75" customHeight="1" x14ac:dyDescent="0.2">
      <c r="B412" s="38"/>
      <c r="C412" s="280" t="str">
        <f>"2:"</f>
        <v>2:</v>
      </c>
      <c r="D412" s="278" t="s">
        <v>941</v>
      </c>
      <c r="E412" s="40"/>
      <c r="F412" s="40"/>
      <c r="G412" s="40"/>
      <c r="H412" s="40"/>
      <c r="I412" s="40"/>
      <c r="J412" s="282"/>
      <c r="K412" s="41"/>
    </row>
    <row r="413" spans="2:11" ht="9.75" customHeight="1" x14ac:dyDescent="0.2">
      <c r="B413" s="38"/>
      <c r="C413" s="280" t="str">
        <f>"3:"</f>
        <v>3:</v>
      </c>
      <c r="D413" s="278" t="s">
        <v>942</v>
      </c>
      <c r="E413" s="40"/>
      <c r="F413" s="40"/>
      <c r="G413" s="40"/>
      <c r="H413" s="40"/>
      <c r="I413" s="40"/>
      <c r="J413" s="282"/>
      <c r="K413" s="41"/>
    </row>
    <row r="414" spans="2:11" ht="9.75" customHeight="1" x14ac:dyDescent="0.2">
      <c r="B414" s="38"/>
      <c r="C414" s="280" t="str">
        <f>"4:"</f>
        <v>4:</v>
      </c>
      <c r="D414" s="278" t="s">
        <v>943</v>
      </c>
      <c r="E414" s="40"/>
      <c r="F414" s="40"/>
      <c r="G414" s="40"/>
      <c r="H414" s="40"/>
      <c r="I414" s="40"/>
      <c r="J414" s="40"/>
      <c r="K414" s="41"/>
    </row>
    <row r="415" spans="2:11" x14ac:dyDescent="0.2">
      <c r="B415" s="38"/>
      <c r="C415" s="40" t="s">
        <v>893</v>
      </c>
      <c r="D415" s="40"/>
      <c r="E415" s="40"/>
      <c r="F415" s="40"/>
      <c r="G415" s="40"/>
      <c r="H415" s="40"/>
      <c r="I415" s="40"/>
      <c r="J415" s="40"/>
      <c r="K415" s="41"/>
    </row>
    <row r="416" spans="2:11" ht="15" customHeight="1" x14ac:dyDescent="0.2">
      <c r="B416" s="38"/>
      <c r="C416" s="399"/>
      <c r="D416" s="400"/>
      <c r="E416" s="400"/>
      <c r="F416" s="400"/>
      <c r="G416" s="400"/>
      <c r="H416" s="400"/>
      <c r="I416" s="400"/>
      <c r="J416" s="401"/>
      <c r="K416" s="41"/>
    </row>
    <row r="417" spans="2:11" x14ac:dyDescent="0.2">
      <c r="B417" s="38"/>
      <c r="C417" s="40"/>
      <c r="D417" s="40"/>
      <c r="E417" s="40"/>
      <c r="F417" s="40"/>
      <c r="G417" s="40"/>
      <c r="H417" s="40"/>
      <c r="I417" s="40"/>
      <c r="J417" s="40"/>
      <c r="K417" s="41"/>
    </row>
    <row r="418" spans="2:11" x14ac:dyDescent="0.2">
      <c r="B418" s="38"/>
      <c r="C418" s="179" t="s">
        <v>891</v>
      </c>
      <c r="D418" s="40"/>
      <c r="E418" s="40"/>
      <c r="F418" s="40"/>
      <c r="G418" s="40"/>
      <c r="H418" s="40"/>
      <c r="I418" s="40"/>
      <c r="J418" s="245">
        <f>J409</f>
        <v>0</v>
      </c>
      <c r="K418" s="41"/>
    </row>
    <row r="419" spans="2:11" x14ac:dyDescent="0.2">
      <c r="B419" s="38"/>
      <c r="C419" s="40"/>
      <c r="D419" s="40"/>
      <c r="E419" s="40"/>
      <c r="F419" s="40"/>
      <c r="G419" s="40"/>
      <c r="H419" s="40"/>
      <c r="I419" s="40"/>
      <c r="J419" s="40"/>
      <c r="K419" s="41"/>
    </row>
    <row r="420" spans="2:11" x14ac:dyDescent="0.2">
      <c r="B420" s="38"/>
      <c r="C420" s="410" t="s">
        <v>881</v>
      </c>
      <c r="D420" s="410"/>
      <c r="E420" s="410"/>
      <c r="F420" s="410"/>
      <c r="G420" s="410"/>
      <c r="H420" s="410"/>
      <c r="I420" s="410"/>
      <c r="J420" s="40"/>
      <c r="K420" s="41"/>
    </row>
    <row r="421" spans="2:11" x14ac:dyDescent="0.2">
      <c r="B421" s="38"/>
      <c r="C421" s="410"/>
      <c r="D421" s="410"/>
      <c r="E421" s="410"/>
      <c r="F421" s="410"/>
      <c r="G421" s="410"/>
      <c r="H421" s="410"/>
      <c r="I421" s="410"/>
      <c r="J421" s="244" t="str">
        <f>IF(OR(J288="Not Calculated",J307="Not Calculated",J326="Not Calculated",J349="Not Calculated",J367="Not Calculated",J387="Not Calculated",J404="Not Calculated",J418="Not Calculated")=TRUE,"Not Calculated",AVERAGE(J288,J307,J326,J349,J367,J387,J404,J418))</f>
        <v>Not Calculated</v>
      </c>
      <c r="K421" s="41"/>
    </row>
    <row r="422" spans="2:11" ht="16" thickBot="1" x14ac:dyDescent="0.25">
      <c r="B422" s="46"/>
      <c r="C422" s="47"/>
      <c r="D422" s="47"/>
      <c r="E422" s="47"/>
      <c r="F422" s="47"/>
      <c r="G422" s="47"/>
      <c r="H422" s="47"/>
      <c r="I422" s="47"/>
      <c r="J422" s="47"/>
      <c r="K422" s="49"/>
    </row>
    <row r="423" spans="2:11" ht="16" thickBot="1" x14ac:dyDescent="0.25"/>
    <row r="424" spans="2:11" x14ac:dyDescent="0.2">
      <c r="B424" s="33"/>
      <c r="C424" s="34"/>
      <c r="D424" s="34"/>
      <c r="E424" s="34"/>
      <c r="F424" s="34"/>
      <c r="G424" s="34"/>
      <c r="H424" s="34"/>
      <c r="I424" s="34"/>
      <c r="J424" s="34"/>
      <c r="K424" s="37"/>
    </row>
    <row r="425" spans="2:11" ht="21" x14ac:dyDescent="0.25">
      <c r="B425" s="38"/>
      <c r="C425" s="40"/>
      <c r="D425" s="40"/>
      <c r="E425" s="40"/>
      <c r="F425" s="40"/>
      <c r="G425" s="172" t="s">
        <v>230</v>
      </c>
      <c r="H425" s="40"/>
      <c r="I425" s="40"/>
      <c r="J425" s="40"/>
      <c r="K425" s="41"/>
    </row>
    <row r="426" spans="2:11" x14ac:dyDescent="0.2">
      <c r="B426" s="38"/>
      <c r="C426" s="40"/>
      <c r="D426" s="40"/>
      <c r="E426" s="40"/>
      <c r="F426" s="40"/>
      <c r="G426" s="40"/>
      <c r="H426" s="40"/>
      <c r="I426" s="40"/>
      <c r="J426" s="40"/>
      <c r="K426" s="41"/>
    </row>
    <row r="427" spans="2:11" ht="16" x14ac:dyDescent="0.2">
      <c r="B427" s="38"/>
      <c r="C427" s="45" t="s">
        <v>299</v>
      </c>
      <c r="D427" s="40"/>
      <c r="E427" s="40"/>
      <c r="F427" s="40"/>
      <c r="G427" s="40"/>
      <c r="H427" s="40"/>
      <c r="I427" s="40"/>
      <c r="J427" s="40"/>
      <c r="K427" s="41"/>
    </row>
    <row r="428" spans="2:11" x14ac:dyDescent="0.2">
      <c r="B428" s="38"/>
      <c r="C428" s="40" t="s">
        <v>300</v>
      </c>
      <c r="D428" s="40"/>
      <c r="E428" s="40"/>
      <c r="F428" s="40"/>
      <c r="G428" s="40"/>
      <c r="H428" s="40"/>
      <c r="I428" s="40"/>
      <c r="J428" s="270"/>
      <c r="K428" s="41"/>
    </row>
    <row r="429" spans="2:11" x14ac:dyDescent="0.2">
      <c r="B429" s="38"/>
      <c r="C429" s="40" t="s">
        <v>260</v>
      </c>
      <c r="D429" s="40"/>
      <c r="E429" s="40"/>
      <c r="F429" s="40"/>
      <c r="G429" s="40"/>
      <c r="H429" s="40"/>
      <c r="I429" s="40"/>
      <c r="J429" s="248">
        <f>IF(J428&lt;=0,0,IF(J428&lt;=1,1,IF(J428&lt;=5,2,IF(J428&lt;=10,3,4))))</f>
        <v>0</v>
      </c>
      <c r="K429" s="41"/>
    </row>
    <row r="430" spans="2:11" s="98" customFormat="1" ht="9.75" customHeight="1" x14ac:dyDescent="0.2">
      <c r="B430" s="288"/>
      <c r="C430" s="279" t="str">
        <f>"0:"</f>
        <v>0:</v>
      </c>
      <c r="D430" s="290" t="s">
        <v>944</v>
      </c>
      <c r="E430" s="245"/>
      <c r="F430" s="245"/>
      <c r="G430" s="245"/>
      <c r="H430" s="245"/>
      <c r="I430" s="245"/>
      <c r="J430" s="245"/>
      <c r="K430" s="289"/>
    </row>
    <row r="431" spans="2:11" s="98" customFormat="1" ht="9.75" customHeight="1" x14ac:dyDescent="0.2">
      <c r="B431" s="288"/>
      <c r="C431" s="280" t="str">
        <f>"1:"</f>
        <v>1:</v>
      </c>
      <c r="D431" s="290" t="s">
        <v>945</v>
      </c>
      <c r="E431" s="245"/>
      <c r="F431" s="245"/>
      <c r="G431" s="245"/>
      <c r="H431" s="245"/>
      <c r="I431" s="245"/>
      <c r="J431" s="245"/>
      <c r="K431" s="289"/>
    </row>
    <row r="432" spans="2:11" s="98" customFormat="1" ht="9.75" customHeight="1" x14ac:dyDescent="0.2">
      <c r="B432" s="288"/>
      <c r="C432" s="280" t="str">
        <f>"2:"</f>
        <v>2:</v>
      </c>
      <c r="D432" s="290" t="s">
        <v>946</v>
      </c>
      <c r="E432" s="245"/>
      <c r="F432" s="245"/>
      <c r="G432" s="245"/>
      <c r="H432" s="245"/>
      <c r="I432" s="245"/>
      <c r="J432" s="245"/>
      <c r="K432" s="289"/>
    </row>
    <row r="433" spans="2:11" s="98" customFormat="1" ht="9.75" customHeight="1" x14ac:dyDescent="0.2">
      <c r="B433" s="288"/>
      <c r="C433" s="280" t="str">
        <f>"3:"</f>
        <v>3:</v>
      </c>
      <c r="D433" s="290" t="s">
        <v>947</v>
      </c>
      <c r="E433" s="245"/>
      <c r="F433" s="245"/>
      <c r="G433" s="245"/>
      <c r="H433" s="245"/>
      <c r="I433" s="245"/>
      <c r="J433" s="245"/>
      <c r="K433" s="289"/>
    </row>
    <row r="434" spans="2:11" s="98" customFormat="1" ht="9.75" customHeight="1" x14ac:dyDescent="0.2">
      <c r="B434" s="288"/>
      <c r="C434" s="280" t="str">
        <f>"4:"</f>
        <v>4:</v>
      </c>
      <c r="D434" s="290" t="s">
        <v>948</v>
      </c>
      <c r="E434" s="245"/>
      <c r="F434" s="245"/>
      <c r="G434" s="245"/>
      <c r="H434" s="245"/>
      <c r="I434" s="245"/>
      <c r="J434" s="247"/>
      <c r="K434" s="289"/>
    </row>
    <row r="435" spans="2:11" x14ac:dyDescent="0.2">
      <c r="B435" s="38"/>
      <c r="C435" s="40" t="s">
        <v>257</v>
      </c>
      <c r="D435" s="40"/>
      <c r="E435" s="40"/>
      <c r="F435" s="40"/>
      <c r="G435" s="40"/>
      <c r="H435" s="40"/>
      <c r="I435" s="40"/>
      <c r="J435" s="266"/>
      <c r="K435" s="41"/>
    </row>
    <row r="436" spans="2:11" x14ac:dyDescent="0.2">
      <c r="B436" s="38"/>
      <c r="C436" s="40" t="s">
        <v>261</v>
      </c>
      <c r="D436" s="40"/>
      <c r="E436" s="40"/>
      <c r="F436" s="40"/>
      <c r="G436" s="40"/>
      <c r="H436" s="40"/>
      <c r="I436" s="40"/>
      <c r="J436" s="245" t="str">
        <f>IF(J435=$B$973,$A$973,IF(J435=$B$974,$A$974,IF(J435=$B$975,$A$975,IF(J435=$B$976,$A$976,IF(J435=$B$977,$A$977,"Not Calculated")))))</f>
        <v>Not Calculated</v>
      </c>
      <c r="K436" s="41"/>
    </row>
    <row r="437" spans="2:11" x14ac:dyDescent="0.2">
      <c r="B437" s="38"/>
      <c r="C437" s="40" t="s">
        <v>893</v>
      </c>
      <c r="D437" s="40"/>
      <c r="E437" s="40"/>
      <c r="F437" s="40"/>
      <c r="G437" s="40"/>
      <c r="H437" s="40"/>
      <c r="I437" s="40"/>
      <c r="J437" s="40"/>
      <c r="K437" s="41"/>
    </row>
    <row r="438" spans="2:11" x14ac:dyDescent="0.2">
      <c r="B438" s="38"/>
      <c r="C438" s="399"/>
      <c r="D438" s="400"/>
      <c r="E438" s="400"/>
      <c r="F438" s="400"/>
      <c r="G438" s="400"/>
      <c r="H438" s="400"/>
      <c r="I438" s="400"/>
      <c r="J438" s="401"/>
      <c r="K438" s="41"/>
    </row>
    <row r="439" spans="2:11" x14ac:dyDescent="0.2">
      <c r="B439" s="38"/>
      <c r="C439" s="40"/>
      <c r="D439" s="40"/>
      <c r="E439" s="40"/>
      <c r="F439" s="40"/>
      <c r="G439" s="40"/>
      <c r="H439" s="40"/>
      <c r="I439" s="40"/>
      <c r="J439" s="40"/>
      <c r="K439" s="41"/>
    </row>
    <row r="440" spans="2:11" x14ac:dyDescent="0.2">
      <c r="B440" s="38"/>
      <c r="C440" s="179" t="s">
        <v>301</v>
      </c>
      <c r="D440" s="40"/>
      <c r="E440" s="40"/>
      <c r="F440" s="40"/>
      <c r="G440" s="40"/>
      <c r="H440" s="40"/>
      <c r="I440" s="40"/>
      <c r="J440" s="245" t="str">
        <f>IF(OR(J429="Not Calculated",J436="Not Calculated")=TRUE,"Not Calculated",AVERAGE(J429,J436))</f>
        <v>Not Calculated</v>
      </c>
      <c r="K440" s="41"/>
    </row>
    <row r="441" spans="2:11" x14ac:dyDescent="0.2">
      <c r="B441" s="38"/>
      <c r="C441" s="40"/>
      <c r="D441" s="40"/>
      <c r="E441" s="40"/>
      <c r="F441" s="40"/>
      <c r="G441" s="40"/>
      <c r="H441" s="40"/>
      <c r="I441" s="40"/>
      <c r="J441" s="40"/>
      <c r="K441" s="41"/>
    </row>
    <row r="442" spans="2:11" x14ac:dyDescent="0.2">
      <c r="B442" s="38"/>
      <c r="C442" s="40"/>
      <c r="D442" s="40"/>
      <c r="E442" s="40"/>
      <c r="F442" s="40"/>
      <c r="G442" s="40"/>
      <c r="H442" s="40"/>
      <c r="I442" s="40"/>
      <c r="J442" s="40"/>
      <c r="K442" s="41"/>
    </row>
    <row r="443" spans="2:11" ht="16" x14ac:dyDescent="0.2">
      <c r="B443" s="38"/>
      <c r="C443" s="45" t="s">
        <v>303</v>
      </c>
      <c r="D443" s="40"/>
      <c r="E443" s="40"/>
      <c r="F443" s="40"/>
      <c r="G443" s="40"/>
      <c r="H443" s="40"/>
      <c r="I443" s="40"/>
      <c r="J443" s="40"/>
      <c r="K443" s="41"/>
    </row>
    <row r="444" spans="2:11" ht="15" customHeight="1" x14ac:dyDescent="0.2">
      <c r="B444" s="38"/>
      <c r="C444" s="380" t="s">
        <v>305</v>
      </c>
      <c r="D444" s="380"/>
      <c r="E444" s="380"/>
      <c r="F444" s="380"/>
      <c r="G444" s="380"/>
      <c r="H444" s="380"/>
      <c r="I444" s="380"/>
      <c r="J444" s="40"/>
      <c r="K444" s="41"/>
    </row>
    <row r="445" spans="2:11" x14ac:dyDescent="0.2">
      <c r="B445" s="38"/>
      <c r="C445" s="380"/>
      <c r="D445" s="380"/>
      <c r="E445" s="380"/>
      <c r="F445" s="380"/>
      <c r="G445" s="380"/>
      <c r="H445" s="380"/>
      <c r="I445" s="380"/>
      <c r="J445" s="270"/>
      <c r="K445" s="41"/>
    </row>
    <row r="446" spans="2:11" x14ac:dyDescent="0.2">
      <c r="B446" s="38"/>
      <c r="C446" s="40" t="s">
        <v>260</v>
      </c>
      <c r="D446" s="40"/>
      <c r="E446" s="40"/>
      <c r="F446" s="40"/>
      <c r="G446" s="40"/>
      <c r="H446" s="40"/>
      <c r="I446" s="40"/>
      <c r="J446" s="248">
        <f>IF(J445&lt;=0,0,IF(J445&lt;=1,1,IF(J445&lt;=5,2,IF(J445&lt;=10,3,4))))</f>
        <v>0</v>
      </c>
      <c r="K446" s="41"/>
    </row>
    <row r="447" spans="2:11" ht="9.75" customHeight="1" x14ac:dyDescent="0.2">
      <c r="B447" s="38"/>
      <c r="C447" s="279" t="str">
        <f>"0:"</f>
        <v>0:</v>
      </c>
      <c r="D447" s="278" t="s">
        <v>944</v>
      </c>
      <c r="E447" s="40"/>
      <c r="F447" s="40"/>
      <c r="G447" s="40"/>
      <c r="H447" s="40"/>
      <c r="I447" s="40"/>
      <c r="J447" s="245"/>
      <c r="K447" s="41"/>
    </row>
    <row r="448" spans="2:11" ht="9.75" customHeight="1" x14ac:dyDescent="0.2">
      <c r="B448" s="38"/>
      <c r="C448" s="280" t="str">
        <f>"1:"</f>
        <v>1:</v>
      </c>
      <c r="D448" s="278" t="s">
        <v>945</v>
      </c>
      <c r="E448" s="40"/>
      <c r="F448" s="40"/>
      <c r="G448" s="40"/>
      <c r="H448" s="40"/>
      <c r="I448" s="40"/>
      <c r="J448" s="245"/>
      <c r="K448" s="41"/>
    </row>
    <row r="449" spans="2:11" ht="9.75" customHeight="1" x14ac:dyDescent="0.2">
      <c r="B449" s="38"/>
      <c r="C449" s="280" t="str">
        <f>"2:"</f>
        <v>2:</v>
      </c>
      <c r="D449" s="278" t="s">
        <v>946</v>
      </c>
      <c r="E449" s="40"/>
      <c r="F449" s="40"/>
      <c r="G449" s="40"/>
      <c r="H449" s="40"/>
      <c r="I449" s="40"/>
      <c r="J449" s="245"/>
      <c r="K449" s="41"/>
    </row>
    <row r="450" spans="2:11" ht="9.75" customHeight="1" x14ac:dyDescent="0.2">
      <c r="B450" s="38"/>
      <c r="C450" s="280" t="str">
        <f>"3:"</f>
        <v>3:</v>
      </c>
      <c r="D450" s="278" t="s">
        <v>947</v>
      </c>
      <c r="E450" s="40"/>
      <c r="F450" s="40"/>
      <c r="G450" s="40"/>
      <c r="H450" s="40"/>
      <c r="I450" s="40"/>
      <c r="J450" s="245"/>
      <c r="K450" s="41"/>
    </row>
    <row r="451" spans="2:11" ht="9.75" customHeight="1" x14ac:dyDescent="0.2">
      <c r="B451" s="38"/>
      <c r="C451" s="280" t="str">
        <f>"4:"</f>
        <v>4:</v>
      </c>
      <c r="D451" s="278" t="s">
        <v>948</v>
      </c>
      <c r="E451" s="40"/>
      <c r="F451" s="40"/>
      <c r="G451" s="40"/>
      <c r="H451" s="40"/>
      <c r="I451" s="40"/>
      <c r="J451" s="247"/>
      <c r="K451" s="41"/>
    </row>
    <row r="452" spans="2:11" x14ac:dyDescent="0.2">
      <c r="B452" s="38"/>
      <c r="C452" s="40" t="s">
        <v>257</v>
      </c>
      <c r="D452" s="40"/>
      <c r="E452" s="40"/>
      <c r="F452" s="40"/>
      <c r="G452" s="40"/>
      <c r="H452" s="40"/>
      <c r="I452" s="40"/>
      <c r="J452" s="266"/>
      <c r="K452" s="41"/>
    </row>
    <row r="453" spans="2:11" x14ac:dyDescent="0.2">
      <c r="B453" s="38"/>
      <c r="C453" s="40" t="s">
        <v>261</v>
      </c>
      <c r="D453" s="40"/>
      <c r="E453" s="40"/>
      <c r="F453" s="40"/>
      <c r="G453" s="40"/>
      <c r="H453" s="40"/>
      <c r="I453" s="40"/>
      <c r="J453" s="245" t="str">
        <f>IF(J452=$B$973,$A$973,IF(J452=$B$974,$A$974,IF(J452=$B$975,$A$975,IF(J452=$B$976,$A$976,IF(J452=$B$977,$A$977,"Not Calculated")))))</f>
        <v>Not Calculated</v>
      </c>
      <c r="K453" s="41"/>
    </row>
    <row r="454" spans="2:11" x14ac:dyDescent="0.2">
      <c r="B454" s="38"/>
      <c r="C454" s="40" t="s">
        <v>893</v>
      </c>
      <c r="D454" s="40"/>
      <c r="E454" s="40"/>
      <c r="F454" s="40"/>
      <c r="G454" s="40"/>
      <c r="H454" s="40"/>
      <c r="I454" s="40"/>
      <c r="J454" s="40"/>
      <c r="K454" s="41"/>
    </row>
    <row r="455" spans="2:11" ht="15" customHeight="1" x14ac:dyDescent="0.2">
      <c r="B455" s="38"/>
      <c r="C455" s="399"/>
      <c r="D455" s="400"/>
      <c r="E455" s="400"/>
      <c r="F455" s="400"/>
      <c r="G455" s="400"/>
      <c r="H455" s="400"/>
      <c r="I455" s="400"/>
      <c r="J455" s="401"/>
      <c r="K455" s="41"/>
    </row>
    <row r="456" spans="2:11" x14ac:dyDescent="0.2">
      <c r="B456" s="38"/>
      <c r="C456" s="40"/>
      <c r="D456" s="40"/>
      <c r="E456" s="40"/>
      <c r="F456" s="40"/>
      <c r="G456" s="40"/>
      <c r="H456" s="40"/>
      <c r="I456" s="40"/>
      <c r="J456" s="40"/>
      <c r="K456" s="41"/>
    </row>
    <row r="457" spans="2:11" x14ac:dyDescent="0.2">
      <c r="B457" s="38"/>
      <c r="C457" s="179" t="s">
        <v>304</v>
      </c>
      <c r="D457" s="40"/>
      <c r="E457" s="40"/>
      <c r="F457" s="40"/>
      <c r="G457" s="40"/>
      <c r="H457" s="40"/>
      <c r="I457" s="40"/>
      <c r="J457" s="245" t="str">
        <f>IF(OR(J446="Not Calculated",J453="Not Calculated")=TRUE,"Not Calculated",AVERAGE(J446,J453))</f>
        <v>Not Calculated</v>
      </c>
      <c r="K457" s="41"/>
    </row>
    <row r="458" spans="2:11" x14ac:dyDescent="0.2">
      <c r="B458" s="38"/>
      <c r="C458" s="40"/>
      <c r="D458" s="40"/>
      <c r="E458" s="40"/>
      <c r="F458" s="40"/>
      <c r="G458" s="40"/>
      <c r="H458" s="40"/>
      <c r="I458" s="40"/>
      <c r="J458" s="40"/>
      <c r="K458" s="41"/>
    </row>
    <row r="459" spans="2:11" x14ac:dyDescent="0.2">
      <c r="B459" s="38"/>
      <c r="C459" s="40"/>
      <c r="D459" s="40"/>
      <c r="E459" s="40"/>
      <c r="F459" s="40"/>
      <c r="G459" s="40"/>
      <c r="H459" s="40"/>
      <c r="I459" s="40"/>
      <c r="J459" s="40"/>
      <c r="K459" s="41"/>
    </row>
    <row r="460" spans="2:11" ht="16" x14ac:dyDescent="0.2">
      <c r="B460" s="38"/>
      <c r="C460" s="45" t="s">
        <v>306</v>
      </c>
      <c r="D460" s="40"/>
      <c r="E460" s="40"/>
      <c r="F460" s="40"/>
      <c r="G460" s="40"/>
      <c r="H460" s="40"/>
      <c r="I460" s="40"/>
      <c r="J460" s="40"/>
      <c r="K460" s="41"/>
    </row>
    <row r="461" spans="2:11" x14ac:dyDescent="0.2">
      <c r="B461" s="38"/>
      <c r="C461" s="40" t="s">
        <v>949</v>
      </c>
      <c r="D461" s="40"/>
      <c r="E461" s="40"/>
      <c r="F461" s="40"/>
      <c r="G461" s="40"/>
      <c r="H461" s="40"/>
      <c r="I461" s="40"/>
      <c r="J461" s="270"/>
      <c r="K461" s="41"/>
    </row>
    <row r="462" spans="2:11" x14ac:dyDescent="0.2">
      <c r="B462" s="38"/>
      <c r="C462" s="40" t="s">
        <v>260</v>
      </c>
      <c r="D462" s="40"/>
      <c r="E462" s="40"/>
      <c r="F462" s="40"/>
      <c r="G462" s="40"/>
      <c r="H462" s="40"/>
      <c r="I462" s="40"/>
      <c r="J462" s="248">
        <f>IF(J461&lt;=0,0,IF(J461&lt;=1,1,IF(J461&lt;=5,2,IF(J461&lt;=10,3,4))))</f>
        <v>0</v>
      </c>
      <c r="K462" s="41"/>
    </row>
    <row r="463" spans="2:11" ht="9.75" customHeight="1" x14ac:dyDescent="0.2">
      <c r="B463" s="38"/>
      <c r="C463" s="279" t="str">
        <f>"0:"</f>
        <v>0:</v>
      </c>
      <c r="D463" s="290" t="s">
        <v>944</v>
      </c>
      <c r="E463" s="40"/>
      <c r="F463" s="40"/>
      <c r="G463" s="40"/>
      <c r="H463" s="40"/>
      <c r="I463" s="40"/>
      <c r="J463" s="245"/>
      <c r="K463" s="41"/>
    </row>
    <row r="464" spans="2:11" ht="9.75" customHeight="1" x14ac:dyDescent="0.2">
      <c r="B464" s="38"/>
      <c r="C464" s="280" t="str">
        <f>"1:"</f>
        <v>1:</v>
      </c>
      <c r="D464" s="290" t="s">
        <v>945</v>
      </c>
      <c r="E464" s="40"/>
      <c r="F464" s="40"/>
      <c r="G464" s="40"/>
      <c r="H464" s="40"/>
      <c r="I464" s="40"/>
      <c r="J464" s="245"/>
      <c r="K464" s="41"/>
    </row>
    <row r="465" spans="2:11" ht="9.75" customHeight="1" x14ac:dyDescent="0.2">
      <c r="B465" s="38"/>
      <c r="C465" s="280" t="str">
        <f>"2:"</f>
        <v>2:</v>
      </c>
      <c r="D465" s="290" t="s">
        <v>946</v>
      </c>
      <c r="E465" s="40"/>
      <c r="F465" s="40"/>
      <c r="G465" s="40"/>
      <c r="H465" s="40"/>
      <c r="I465" s="40"/>
      <c r="J465" s="245"/>
      <c r="K465" s="41"/>
    </row>
    <row r="466" spans="2:11" ht="9.75" customHeight="1" x14ac:dyDescent="0.2">
      <c r="B466" s="38"/>
      <c r="C466" s="280" t="str">
        <f>"3:"</f>
        <v>3:</v>
      </c>
      <c r="D466" s="290" t="s">
        <v>947</v>
      </c>
      <c r="E466" s="40"/>
      <c r="F466" s="40"/>
      <c r="G466" s="40"/>
      <c r="H466" s="40"/>
      <c r="I466" s="40"/>
      <c r="J466" s="245"/>
      <c r="K466" s="41"/>
    </row>
    <row r="467" spans="2:11" ht="9.75" customHeight="1" x14ac:dyDescent="0.2">
      <c r="B467" s="38"/>
      <c r="C467" s="280" t="str">
        <f>"4:"</f>
        <v>4:</v>
      </c>
      <c r="D467" s="290" t="s">
        <v>948</v>
      </c>
      <c r="E467" s="40"/>
      <c r="F467" s="40"/>
      <c r="G467" s="40"/>
      <c r="H467" s="40"/>
      <c r="I467" s="40"/>
      <c r="J467" s="247"/>
      <c r="K467" s="41"/>
    </row>
    <row r="468" spans="2:11" x14ac:dyDescent="0.2">
      <c r="B468" s="38"/>
      <c r="C468" s="40" t="s">
        <v>257</v>
      </c>
      <c r="D468" s="40"/>
      <c r="E468" s="40"/>
      <c r="F468" s="40"/>
      <c r="G468" s="40"/>
      <c r="H468" s="40"/>
      <c r="I468" s="40"/>
      <c r="J468" s="266"/>
      <c r="K468" s="41"/>
    </row>
    <row r="469" spans="2:11" ht="15" customHeight="1" x14ac:dyDescent="0.2">
      <c r="B469" s="38"/>
      <c r="C469" s="40" t="s">
        <v>261</v>
      </c>
      <c r="D469" s="40"/>
      <c r="E469" s="40"/>
      <c r="F469" s="40"/>
      <c r="G469" s="40"/>
      <c r="H469" s="40"/>
      <c r="I469" s="40"/>
      <c r="J469" s="245" t="str">
        <f>IF(J468=$B$973,$A$973,IF(J468=$B$974,$A$974,IF(J468=$B$975,$A$975,IF(J468=$B$976,$A$976,IF(J468=$B$977,$A$977,"Not Calculated")))))</f>
        <v>Not Calculated</v>
      </c>
      <c r="K469" s="41"/>
    </row>
    <row r="470" spans="2:11" x14ac:dyDescent="0.2">
      <c r="B470" s="38"/>
      <c r="C470" s="40" t="s">
        <v>893</v>
      </c>
      <c r="D470" s="40"/>
      <c r="E470" s="40"/>
      <c r="F470" s="40"/>
      <c r="G470" s="40"/>
      <c r="H470" s="40"/>
      <c r="I470" s="40"/>
      <c r="J470" s="40"/>
      <c r="K470" s="41"/>
    </row>
    <row r="471" spans="2:11" x14ac:dyDescent="0.2">
      <c r="B471" s="38"/>
      <c r="C471" s="399"/>
      <c r="D471" s="400"/>
      <c r="E471" s="400"/>
      <c r="F471" s="400"/>
      <c r="G471" s="400"/>
      <c r="H471" s="400"/>
      <c r="I471" s="400"/>
      <c r="J471" s="401"/>
      <c r="K471" s="41"/>
    </row>
    <row r="472" spans="2:11" x14ac:dyDescent="0.2">
      <c r="B472" s="38"/>
      <c r="C472" s="40"/>
      <c r="D472" s="40"/>
      <c r="E472" s="40"/>
      <c r="F472" s="40"/>
      <c r="G472" s="40"/>
      <c r="H472" s="40"/>
      <c r="I472" s="40"/>
      <c r="J472" s="40"/>
      <c r="K472" s="41"/>
    </row>
    <row r="473" spans="2:11" x14ac:dyDescent="0.2">
      <c r="B473" s="38"/>
      <c r="C473" s="179" t="s">
        <v>307</v>
      </c>
      <c r="D473" s="40"/>
      <c r="E473" s="40"/>
      <c r="F473" s="40"/>
      <c r="G473" s="40"/>
      <c r="H473" s="40"/>
      <c r="I473" s="40"/>
      <c r="J473" s="245" t="str">
        <f>IF(OR(J462="Not Calculated",J469="Not Calculated")=TRUE,"Not Calculated",AVERAGE(J462,J469))</f>
        <v>Not Calculated</v>
      </c>
      <c r="K473" s="41"/>
    </row>
    <row r="474" spans="2:11" x14ac:dyDescent="0.2">
      <c r="B474" s="38"/>
      <c r="C474" s="40"/>
      <c r="D474" s="40"/>
      <c r="E474" s="40"/>
      <c r="F474" s="40"/>
      <c r="G474" s="40"/>
      <c r="H474" s="40"/>
      <c r="I474" s="40"/>
      <c r="J474" s="40"/>
      <c r="K474" s="41"/>
    </row>
    <row r="475" spans="2:11" x14ac:dyDescent="0.2">
      <c r="B475" s="38"/>
      <c r="C475" s="40"/>
      <c r="D475" s="40"/>
      <c r="E475" s="40"/>
      <c r="F475" s="40"/>
      <c r="G475" s="40"/>
      <c r="H475" s="40"/>
      <c r="I475" s="40"/>
      <c r="J475" s="40"/>
      <c r="K475" s="41"/>
    </row>
    <row r="476" spans="2:11" ht="16" x14ac:dyDescent="0.2">
      <c r="B476" s="38"/>
      <c r="C476" s="45" t="s">
        <v>308</v>
      </c>
      <c r="D476" s="40"/>
      <c r="E476" s="40"/>
      <c r="F476" s="40"/>
      <c r="G476" s="40"/>
      <c r="H476" s="40"/>
      <c r="I476" s="40"/>
      <c r="J476" s="40"/>
      <c r="K476" s="41"/>
    </row>
    <row r="477" spans="2:11" ht="15" customHeight="1" x14ac:dyDescent="0.2">
      <c r="B477" s="38"/>
      <c r="C477" s="380" t="s">
        <v>310</v>
      </c>
      <c r="D477" s="380"/>
      <c r="E477" s="380"/>
      <c r="F477" s="380"/>
      <c r="G477" s="380"/>
      <c r="H477" s="380"/>
      <c r="I477" s="380"/>
      <c r="J477" s="40"/>
      <c r="K477" s="41"/>
    </row>
    <row r="478" spans="2:11" x14ac:dyDescent="0.2">
      <c r="B478" s="38"/>
      <c r="C478" s="380"/>
      <c r="D478" s="380"/>
      <c r="E478" s="380"/>
      <c r="F478" s="380"/>
      <c r="G478" s="380"/>
      <c r="H478" s="380"/>
      <c r="I478" s="380"/>
      <c r="J478" s="131"/>
      <c r="K478" s="41"/>
    </row>
    <row r="479" spans="2:11" x14ac:dyDescent="0.2">
      <c r="B479" s="38"/>
      <c r="C479" s="40" t="s">
        <v>261</v>
      </c>
      <c r="D479" s="40"/>
      <c r="E479" s="40"/>
      <c r="F479" s="40"/>
      <c r="G479" s="40"/>
      <c r="H479" s="40"/>
      <c r="I479" s="40"/>
      <c r="J479" s="245">
        <f>IF(J478&lt;=0,0,IF(J478&lt;=1,1,IF(J478&lt;=7,2,IF(J478&lt;=14,3,4))))</f>
        <v>0</v>
      </c>
      <c r="K479" s="41"/>
    </row>
    <row r="480" spans="2:11" s="51" customFormat="1" ht="9.75" customHeight="1" x14ac:dyDescent="0.2">
      <c r="B480" s="283"/>
      <c r="C480" s="279" t="str">
        <f>"0:"</f>
        <v>0:</v>
      </c>
      <c r="D480" s="284" t="s">
        <v>950</v>
      </c>
      <c r="E480" s="285"/>
      <c r="F480" s="285"/>
      <c r="G480" s="285"/>
      <c r="H480" s="285"/>
      <c r="I480" s="285"/>
      <c r="J480" s="43"/>
      <c r="K480" s="286"/>
    </row>
    <row r="481" spans="2:11" s="51" customFormat="1" ht="9.75" customHeight="1" x14ac:dyDescent="0.2">
      <c r="B481" s="283"/>
      <c r="C481" s="280" t="str">
        <f>"1:"</f>
        <v>1:</v>
      </c>
      <c r="D481" s="284" t="s">
        <v>951</v>
      </c>
      <c r="E481" s="285"/>
      <c r="F481" s="285"/>
      <c r="G481" s="285"/>
      <c r="H481" s="285"/>
      <c r="I481" s="285"/>
      <c r="J481" s="43"/>
      <c r="K481" s="286"/>
    </row>
    <row r="482" spans="2:11" s="51" customFormat="1" ht="9.75" customHeight="1" x14ac:dyDescent="0.2">
      <c r="B482" s="283"/>
      <c r="C482" s="280" t="str">
        <f>"2:"</f>
        <v>2:</v>
      </c>
      <c r="D482" s="284" t="s">
        <v>952</v>
      </c>
      <c r="E482" s="285"/>
      <c r="F482" s="285"/>
      <c r="G482" s="285"/>
      <c r="H482" s="285"/>
      <c r="I482" s="285"/>
      <c r="J482" s="43"/>
      <c r="K482" s="286"/>
    </row>
    <row r="483" spans="2:11" s="51" customFormat="1" ht="9.75" customHeight="1" x14ac:dyDescent="0.2">
      <c r="B483" s="283"/>
      <c r="C483" s="280" t="str">
        <f>"3:"</f>
        <v>3:</v>
      </c>
      <c r="D483" s="284" t="s">
        <v>953</v>
      </c>
      <c r="E483" s="285"/>
      <c r="F483" s="285"/>
      <c r="G483" s="285"/>
      <c r="H483" s="285"/>
      <c r="I483" s="285"/>
      <c r="J483" s="43"/>
      <c r="K483" s="286"/>
    </row>
    <row r="484" spans="2:11" s="51" customFormat="1" ht="9.75" customHeight="1" x14ac:dyDescent="0.2">
      <c r="B484" s="283"/>
      <c r="C484" s="280" t="str">
        <f>"4:"</f>
        <v>4:</v>
      </c>
      <c r="D484" s="284" t="s">
        <v>954</v>
      </c>
      <c r="E484" s="285"/>
      <c r="F484" s="285"/>
      <c r="G484" s="285"/>
      <c r="H484" s="285"/>
      <c r="I484" s="285"/>
      <c r="J484" s="43"/>
      <c r="K484" s="286"/>
    </row>
    <row r="485" spans="2:11" x14ac:dyDescent="0.2">
      <c r="B485" s="38"/>
      <c r="C485" s="40" t="s">
        <v>893</v>
      </c>
      <c r="D485" s="40"/>
      <c r="E485" s="40"/>
      <c r="F485" s="40"/>
      <c r="G485" s="40"/>
      <c r="H485" s="40"/>
      <c r="I485" s="40"/>
      <c r="J485" s="40"/>
      <c r="K485" s="41"/>
    </row>
    <row r="486" spans="2:11" x14ac:dyDescent="0.2">
      <c r="B486" s="38"/>
      <c r="C486" s="399"/>
      <c r="D486" s="400"/>
      <c r="E486" s="400"/>
      <c r="F486" s="400"/>
      <c r="G486" s="400"/>
      <c r="H486" s="400"/>
      <c r="I486" s="400"/>
      <c r="J486" s="401"/>
      <c r="K486" s="41"/>
    </row>
    <row r="487" spans="2:11" x14ac:dyDescent="0.2">
      <c r="B487" s="38"/>
      <c r="C487" s="40"/>
      <c r="D487" s="40"/>
      <c r="E487" s="40"/>
      <c r="F487" s="40"/>
      <c r="G487" s="40"/>
      <c r="H487" s="40"/>
      <c r="I487" s="40"/>
      <c r="J487" s="40"/>
      <c r="K487" s="41"/>
    </row>
    <row r="488" spans="2:11" x14ac:dyDescent="0.2">
      <c r="B488" s="38"/>
      <c r="C488" s="179" t="s">
        <v>309</v>
      </c>
      <c r="D488" s="40"/>
      <c r="E488" s="40"/>
      <c r="F488" s="40"/>
      <c r="G488" s="40"/>
      <c r="H488" s="40"/>
      <c r="I488" s="40"/>
      <c r="J488" s="245">
        <f>J479</f>
        <v>0</v>
      </c>
      <c r="K488" s="41"/>
    </row>
    <row r="489" spans="2:11" x14ac:dyDescent="0.2">
      <c r="B489" s="38"/>
      <c r="C489" s="40"/>
      <c r="D489" s="40"/>
      <c r="E489" s="40"/>
      <c r="F489" s="40"/>
      <c r="G489" s="40"/>
      <c r="H489" s="40"/>
      <c r="I489" s="40"/>
      <c r="J489" s="40"/>
      <c r="K489" s="41"/>
    </row>
    <row r="490" spans="2:11" x14ac:dyDescent="0.2">
      <c r="B490" s="38"/>
      <c r="C490" s="40"/>
      <c r="D490" s="40"/>
      <c r="E490" s="40"/>
      <c r="F490" s="40"/>
      <c r="G490" s="40"/>
      <c r="H490" s="40"/>
      <c r="I490" s="40"/>
      <c r="J490" s="40"/>
      <c r="K490" s="41"/>
    </row>
    <row r="491" spans="2:11" ht="16" x14ac:dyDescent="0.2">
      <c r="B491" s="38"/>
      <c r="C491" s="45" t="s">
        <v>311</v>
      </c>
      <c r="D491" s="40"/>
      <c r="E491" s="40"/>
      <c r="F491" s="40"/>
      <c r="G491" s="40"/>
      <c r="H491" s="40"/>
      <c r="I491" s="40"/>
      <c r="J491" s="40"/>
      <c r="K491" s="41"/>
    </row>
    <row r="492" spans="2:11" x14ac:dyDescent="0.2">
      <c r="B492" s="38"/>
      <c r="C492" s="40" t="s">
        <v>312</v>
      </c>
      <c r="D492" s="40"/>
      <c r="E492" s="40"/>
      <c r="F492" s="40"/>
      <c r="G492" s="40"/>
      <c r="H492" s="40"/>
      <c r="I492" s="40"/>
      <c r="J492" s="270"/>
      <c r="K492" s="41"/>
    </row>
    <row r="493" spans="2:11" x14ac:dyDescent="0.2">
      <c r="B493" s="38"/>
      <c r="C493" s="40" t="s">
        <v>260</v>
      </c>
      <c r="D493" s="40"/>
      <c r="E493" s="40"/>
      <c r="F493" s="40"/>
      <c r="G493" s="40"/>
      <c r="H493" s="40"/>
      <c r="I493" s="40"/>
      <c r="J493" s="248">
        <f>IF(J492&lt;=0,0,IF(J492&lt;=1,1,IF(J492&lt;=5,2,IF(J492&lt;=10,3,4))))</f>
        <v>0</v>
      </c>
      <c r="K493" s="41"/>
    </row>
    <row r="494" spans="2:11" ht="9.75" customHeight="1" x14ac:dyDescent="0.2">
      <c r="B494" s="38"/>
      <c r="C494" s="279" t="str">
        <f>"0:"</f>
        <v>0:</v>
      </c>
      <c r="D494" s="290" t="s">
        <v>955</v>
      </c>
      <c r="E494" s="40"/>
      <c r="F494" s="40"/>
      <c r="G494" s="40"/>
      <c r="H494" s="40"/>
      <c r="I494" s="40"/>
      <c r="J494" s="245"/>
      <c r="K494" s="41"/>
    </row>
    <row r="495" spans="2:11" ht="9.75" customHeight="1" x14ac:dyDescent="0.2">
      <c r="B495" s="38"/>
      <c r="C495" s="280" t="str">
        <f>"1:"</f>
        <v>1:</v>
      </c>
      <c r="D495" s="290" t="s">
        <v>956</v>
      </c>
      <c r="E495" s="40"/>
      <c r="F495" s="40"/>
      <c r="G495" s="40"/>
      <c r="H495" s="40"/>
      <c r="I495" s="40"/>
      <c r="J495" s="245"/>
      <c r="K495" s="41"/>
    </row>
    <row r="496" spans="2:11" ht="9.75" customHeight="1" x14ac:dyDescent="0.2">
      <c r="B496" s="38"/>
      <c r="C496" s="280" t="str">
        <f>"2:"</f>
        <v>2:</v>
      </c>
      <c r="D496" s="290" t="s">
        <v>957</v>
      </c>
      <c r="E496" s="40"/>
      <c r="F496" s="40"/>
      <c r="G496" s="40"/>
      <c r="H496" s="40"/>
      <c r="I496" s="40"/>
      <c r="J496" s="245"/>
      <c r="K496" s="41"/>
    </row>
    <row r="497" spans="2:11" ht="9.75" customHeight="1" x14ac:dyDescent="0.2">
      <c r="B497" s="38"/>
      <c r="C497" s="280" t="str">
        <f>"3:"</f>
        <v>3:</v>
      </c>
      <c r="D497" s="290" t="s">
        <v>958</v>
      </c>
      <c r="E497" s="40"/>
      <c r="F497" s="40"/>
      <c r="G497" s="40"/>
      <c r="H497" s="40"/>
      <c r="I497" s="40"/>
      <c r="J497" s="245"/>
      <c r="K497" s="41"/>
    </row>
    <row r="498" spans="2:11" ht="9.75" customHeight="1" x14ac:dyDescent="0.2">
      <c r="B498" s="38"/>
      <c r="C498" s="280" t="str">
        <f>"4:"</f>
        <v>4:</v>
      </c>
      <c r="D498" s="290" t="s">
        <v>959</v>
      </c>
      <c r="E498" s="40"/>
      <c r="F498" s="40"/>
      <c r="G498" s="40"/>
      <c r="H498" s="40"/>
      <c r="I498" s="40"/>
      <c r="J498" s="247"/>
      <c r="K498" s="41"/>
    </row>
    <row r="499" spans="2:11" x14ac:dyDescent="0.2">
      <c r="B499" s="38"/>
      <c r="C499" s="40" t="s">
        <v>313</v>
      </c>
      <c r="D499" s="40"/>
      <c r="E499" s="40"/>
      <c r="F499" s="40"/>
      <c r="G499" s="40"/>
      <c r="H499" s="40"/>
      <c r="I499" s="40"/>
      <c r="J499" s="266"/>
      <c r="K499" s="41"/>
    </row>
    <row r="500" spans="2:11" x14ac:dyDescent="0.2">
      <c r="B500" s="38"/>
      <c r="C500" s="40" t="s">
        <v>261</v>
      </c>
      <c r="D500" s="40"/>
      <c r="E500" s="40"/>
      <c r="F500" s="40"/>
      <c r="G500" s="40"/>
      <c r="H500" s="40"/>
      <c r="I500" s="40"/>
      <c r="J500" s="245" t="str">
        <f>IF(J499=$B$973,$A$973,IF(J499=$B$974,$A$974,IF(J499=$B$975,$A$975,IF(J499=$B$976,$A$976,IF(J499=$B$977,$A$977,"Not Calculated")))))</f>
        <v>Not Calculated</v>
      </c>
      <c r="K500" s="41"/>
    </row>
    <row r="501" spans="2:11" x14ac:dyDescent="0.2">
      <c r="B501" s="38"/>
      <c r="C501" s="40" t="s">
        <v>893</v>
      </c>
      <c r="D501" s="40"/>
      <c r="E501" s="40"/>
      <c r="F501" s="40"/>
      <c r="G501" s="40"/>
      <c r="H501" s="40"/>
      <c r="I501" s="40"/>
      <c r="J501" s="40"/>
      <c r="K501" s="41"/>
    </row>
    <row r="502" spans="2:11" x14ac:dyDescent="0.2">
      <c r="B502" s="38"/>
      <c r="C502" s="399"/>
      <c r="D502" s="400"/>
      <c r="E502" s="400"/>
      <c r="F502" s="400"/>
      <c r="G502" s="400"/>
      <c r="H502" s="400"/>
      <c r="I502" s="400"/>
      <c r="J502" s="401"/>
      <c r="K502" s="41"/>
    </row>
    <row r="503" spans="2:11" x14ac:dyDescent="0.2">
      <c r="B503" s="38"/>
      <c r="C503" s="40"/>
      <c r="D503" s="40"/>
      <c r="E503" s="40"/>
      <c r="F503" s="40"/>
      <c r="G503" s="40"/>
      <c r="H503" s="40"/>
      <c r="I503" s="40"/>
      <c r="J503" s="40"/>
      <c r="K503" s="41"/>
    </row>
    <row r="504" spans="2:11" x14ac:dyDescent="0.2">
      <c r="B504" s="38"/>
      <c r="C504" s="179" t="s">
        <v>321</v>
      </c>
      <c r="D504" s="40"/>
      <c r="E504" s="40"/>
      <c r="F504" s="40"/>
      <c r="G504" s="40"/>
      <c r="H504" s="40"/>
      <c r="I504" s="40"/>
      <c r="J504" s="245" t="str">
        <f>IF(OR(J493="Not Calculated",J500="Not Calculated")=TRUE,"Not Calculated",AVERAGE(J493,J500))</f>
        <v>Not Calculated</v>
      </c>
      <c r="K504" s="41"/>
    </row>
    <row r="505" spans="2:11" x14ac:dyDescent="0.2">
      <c r="B505" s="38"/>
      <c r="C505" s="40"/>
      <c r="D505" s="40"/>
      <c r="E505" s="40"/>
      <c r="F505" s="40"/>
      <c r="G505" s="40"/>
      <c r="H505" s="40"/>
      <c r="I505" s="40"/>
      <c r="J505" s="40"/>
      <c r="K505" s="41"/>
    </row>
    <row r="506" spans="2:11" x14ac:dyDescent="0.2">
      <c r="B506" s="38"/>
      <c r="C506" s="40"/>
      <c r="D506" s="40"/>
      <c r="E506" s="40"/>
      <c r="F506" s="40"/>
      <c r="G506" s="40"/>
      <c r="H506" s="40"/>
      <c r="I506" s="40"/>
      <c r="J506" s="40"/>
      <c r="K506" s="41"/>
    </row>
    <row r="507" spans="2:11" ht="16" x14ac:dyDescent="0.2">
      <c r="B507" s="38"/>
      <c r="C507" s="45" t="s">
        <v>314</v>
      </c>
      <c r="D507" s="40"/>
      <c r="E507" s="40"/>
      <c r="F507" s="40"/>
      <c r="G507" s="40"/>
      <c r="H507" s="40"/>
      <c r="I507" s="40"/>
      <c r="J507" s="40"/>
      <c r="K507" s="41"/>
    </row>
    <row r="508" spans="2:11" x14ac:dyDescent="0.2">
      <c r="B508" s="38"/>
      <c r="C508" s="40" t="s">
        <v>316</v>
      </c>
      <c r="D508" s="40"/>
      <c r="E508" s="40"/>
      <c r="F508" s="40"/>
      <c r="G508" s="40"/>
      <c r="H508" s="40"/>
      <c r="I508" s="40"/>
      <c r="J508" s="269"/>
      <c r="K508" s="41"/>
    </row>
    <row r="509" spans="2:11" x14ac:dyDescent="0.2">
      <c r="B509" s="38"/>
      <c r="C509" s="40" t="s">
        <v>260</v>
      </c>
      <c r="D509" s="40"/>
      <c r="E509" s="40"/>
      <c r="F509" s="40"/>
      <c r="G509" s="40"/>
      <c r="H509" s="40"/>
      <c r="I509" s="40"/>
      <c r="J509" s="248">
        <f>IF(J508&lt;=0,0,IF(J508&lt;=1000,1,IF(J508&lt;=5000,2,IF(J508&lt;=25000,3,4))))</f>
        <v>0</v>
      </c>
      <c r="K509" s="41"/>
    </row>
    <row r="510" spans="2:11" s="51" customFormat="1" ht="9.75" customHeight="1" x14ac:dyDescent="0.2">
      <c r="B510" s="283"/>
      <c r="C510" s="279" t="str">
        <f>"0:"</f>
        <v>0:</v>
      </c>
      <c r="D510" s="284" t="s">
        <v>960</v>
      </c>
      <c r="E510" s="285"/>
      <c r="F510" s="285"/>
      <c r="G510" s="285"/>
      <c r="H510" s="285"/>
      <c r="I510" s="285"/>
      <c r="J510" s="43"/>
      <c r="K510" s="286"/>
    </row>
    <row r="511" spans="2:11" s="51" customFormat="1" ht="9.75" customHeight="1" x14ac:dyDescent="0.2">
      <c r="B511" s="283"/>
      <c r="C511" s="280" t="str">
        <f>"1:"</f>
        <v>1:</v>
      </c>
      <c r="D511" s="284" t="s">
        <v>961</v>
      </c>
      <c r="E511" s="285"/>
      <c r="F511" s="285"/>
      <c r="G511" s="285"/>
      <c r="H511" s="285"/>
      <c r="I511" s="285"/>
      <c r="J511" s="43"/>
      <c r="K511" s="286"/>
    </row>
    <row r="512" spans="2:11" s="51" customFormat="1" ht="9.75" customHeight="1" x14ac:dyDescent="0.2">
      <c r="B512" s="283"/>
      <c r="C512" s="280" t="str">
        <f>"2:"</f>
        <v>2:</v>
      </c>
      <c r="D512" s="284" t="s">
        <v>962</v>
      </c>
      <c r="E512" s="285"/>
      <c r="F512" s="285"/>
      <c r="G512" s="285"/>
      <c r="H512" s="285"/>
      <c r="I512" s="285"/>
      <c r="J512" s="43"/>
      <c r="K512" s="286"/>
    </row>
    <row r="513" spans="2:11" s="51" customFormat="1" ht="9.75" customHeight="1" x14ac:dyDescent="0.2">
      <c r="B513" s="283"/>
      <c r="C513" s="280" t="str">
        <f>"3:"</f>
        <v>3:</v>
      </c>
      <c r="D513" s="284" t="s">
        <v>963</v>
      </c>
      <c r="E513" s="285"/>
      <c r="F513" s="285"/>
      <c r="G513" s="285"/>
      <c r="H513" s="285"/>
      <c r="I513" s="285"/>
      <c r="J513" s="43"/>
      <c r="K513" s="286"/>
    </row>
    <row r="514" spans="2:11" s="51" customFormat="1" ht="9.75" customHeight="1" x14ac:dyDescent="0.2">
      <c r="B514" s="283"/>
      <c r="C514" s="280" t="str">
        <f>"4:"</f>
        <v>4:</v>
      </c>
      <c r="D514" s="284" t="s">
        <v>964</v>
      </c>
      <c r="E514" s="285"/>
      <c r="F514" s="285"/>
      <c r="G514" s="285"/>
      <c r="H514" s="285"/>
      <c r="I514" s="285"/>
      <c r="J514" s="287"/>
      <c r="K514" s="286"/>
    </row>
    <row r="515" spans="2:11" x14ac:dyDescent="0.2">
      <c r="B515" s="38"/>
      <c r="C515" s="40" t="s">
        <v>315</v>
      </c>
      <c r="D515" s="40"/>
      <c r="E515" s="40"/>
      <c r="F515" s="40"/>
      <c r="G515" s="40"/>
      <c r="H515" s="40"/>
      <c r="I515" s="40"/>
      <c r="J515" s="266"/>
      <c r="K515" s="41"/>
    </row>
    <row r="516" spans="2:11" x14ac:dyDescent="0.2">
      <c r="B516" s="38"/>
      <c r="C516" s="40" t="s">
        <v>261</v>
      </c>
      <c r="D516" s="40"/>
      <c r="E516" s="40"/>
      <c r="F516" s="40"/>
      <c r="G516" s="40"/>
      <c r="H516" s="40"/>
      <c r="I516" s="40"/>
      <c r="J516" s="245" t="str">
        <f>IF(J515=$B$973,$A$973,IF(J515=$B$974,$A$974,IF(J515=$B$975,$A$975,IF(J515=$B$976,$A$976,IF(J515=$B$977,$A$977,"Not Calculated")))))</f>
        <v>Not Calculated</v>
      </c>
      <c r="K516" s="41"/>
    </row>
    <row r="517" spans="2:11" x14ac:dyDescent="0.2">
      <c r="B517" s="38"/>
      <c r="C517" s="40" t="s">
        <v>893</v>
      </c>
      <c r="D517" s="40"/>
      <c r="E517" s="40"/>
      <c r="F517" s="40"/>
      <c r="G517" s="40"/>
      <c r="H517" s="40"/>
      <c r="I517" s="40"/>
      <c r="J517" s="40"/>
      <c r="K517" s="41"/>
    </row>
    <row r="518" spans="2:11" ht="15" customHeight="1" x14ac:dyDescent="0.2">
      <c r="B518" s="38"/>
      <c r="C518" s="399"/>
      <c r="D518" s="400"/>
      <c r="E518" s="400"/>
      <c r="F518" s="400"/>
      <c r="G518" s="400"/>
      <c r="H518" s="400"/>
      <c r="I518" s="400"/>
      <c r="J518" s="401"/>
      <c r="K518" s="41"/>
    </row>
    <row r="519" spans="2:11" x14ac:dyDescent="0.2">
      <c r="B519" s="38"/>
      <c r="C519" s="40"/>
      <c r="D519" s="40"/>
      <c r="E519" s="40"/>
      <c r="F519" s="40"/>
      <c r="G519" s="40"/>
      <c r="H519" s="40"/>
      <c r="I519" s="40"/>
      <c r="J519" s="40"/>
      <c r="K519" s="41"/>
    </row>
    <row r="520" spans="2:11" x14ac:dyDescent="0.2">
      <c r="B520" s="38"/>
      <c r="C520" s="179" t="s">
        <v>320</v>
      </c>
      <c r="D520" s="40"/>
      <c r="E520" s="40"/>
      <c r="F520" s="40"/>
      <c r="G520" s="40"/>
      <c r="H520" s="40"/>
      <c r="I520" s="40"/>
      <c r="J520" s="245" t="str">
        <f>IF(OR(J509="Not Calculated",J516="Not Calculated")=TRUE,"Not Calculated",AVERAGE(J509,J516))</f>
        <v>Not Calculated</v>
      </c>
      <c r="K520" s="41"/>
    </row>
    <row r="521" spans="2:11" x14ac:dyDescent="0.2">
      <c r="B521" s="38"/>
      <c r="C521" s="40"/>
      <c r="D521" s="40"/>
      <c r="E521" s="40"/>
      <c r="F521" s="40"/>
      <c r="G521" s="40"/>
      <c r="H521" s="40"/>
      <c r="I521" s="40"/>
      <c r="J521" s="40"/>
      <c r="K521" s="41"/>
    </row>
    <row r="522" spans="2:11" x14ac:dyDescent="0.2">
      <c r="B522" s="38"/>
      <c r="C522" s="40"/>
      <c r="D522" s="40"/>
      <c r="E522" s="40"/>
      <c r="F522" s="40"/>
      <c r="G522" s="40"/>
      <c r="H522" s="40"/>
      <c r="I522" s="40"/>
      <c r="J522" s="40"/>
      <c r="K522" s="41"/>
    </row>
    <row r="523" spans="2:11" ht="16" x14ac:dyDescent="0.2">
      <c r="B523" s="38"/>
      <c r="C523" s="45" t="s">
        <v>317</v>
      </c>
      <c r="D523" s="40"/>
      <c r="E523" s="40"/>
      <c r="F523" s="40"/>
      <c r="G523" s="40"/>
      <c r="H523" s="40"/>
      <c r="I523" s="40"/>
      <c r="J523" s="40"/>
      <c r="K523" s="41"/>
    </row>
    <row r="524" spans="2:11" ht="15" customHeight="1" x14ac:dyDescent="0.2">
      <c r="B524" s="38"/>
      <c r="C524" s="380" t="s">
        <v>318</v>
      </c>
      <c r="D524" s="380"/>
      <c r="E524" s="380"/>
      <c r="F524" s="380"/>
      <c r="G524" s="380"/>
      <c r="H524" s="380"/>
      <c r="I524" s="380"/>
      <c r="J524" s="40"/>
      <c r="K524" s="41"/>
    </row>
    <row r="525" spans="2:11" x14ac:dyDescent="0.2">
      <c r="B525" s="38"/>
      <c r="C525" s="380"/>
      <c r="D525" s="380"/>
      <c r="E525" s="380"/>
      <c r="F525" s="380"/>
      <c r="G525" s="380"/>
      <c r="H525" s="380"/>
      <c r="I525" s="380"/>
      <c r="J525" s="274"/>
      <c r="K525" s="41"/>
    </row>
    <row r="526" spans="2:11" x14ac:dyDescent="0.2">
      <c r="B526" s="38"/>
      <c r="C526" s="40" t="s">
        <v>260</v>
      </c>
      <c r="D526" s="40"/>
      <c r="E526" s="40"/>
      <c r="F526" s="40"/>
      <c r="G526" s="40"/>
      <c r="H526" s="40"/>
      <c r="I526" s="40"/>
      <c r="J526" s="248">
        <f>IF(J525&lt;=0,0,IF(J525&lt;=1,1,IF(J525&lt;=5,2,IF(J525&lt;=10,3,4))))</f>
        <v>0</v>
      </c>
      <c r="K526" s="41"/>
    </row>
    <row r="527" spans="2:11" s="51" customFormat="1" ht="9.75" customHeight="1" x14ac:dyDescent="0.2">
      <c r="B527" s="283"/>
      <c r="C527" s="279" t="str">
        <f>"0:"</f>
        <v>0:</v>
      </c>
      <c r="D527" s="284" t="s">
        <v>965</v>
      </c>
      <c r="E527" s="285"/>
      <c r="F527" s="285"/>
      <c r="G527" s="285"/>
      <c r="H527" s="285"/>
      <c r="I527" s="285"/>
      <c r="J527" s="43"/>
      <c r="K527" s="286"/>
    </row>
    <row r="528" spans="2:11" s="51" customFormat="1" ht="9.75" customHeight="1" x14ac:dyDescent="0.2">
      <c r="B528" s="283"/>
      <c r="C528" s="280" t="str">
        <f>"1:"</f>
        <v>1:</v>
      </c>
      <c r="D528" s="284" t="s">
        <v>966</v>
      </c>
      <c r="E528" s="285"/>
      <c r="F528" s="285"/>
      <c r="G528" s="285"/>
      <c r="H528" s="285"/>
      <c r="I528" s="285"/>
      <c r="J528" s="43"/>
      <c r="K528" s="286"/>
    </row>
    <row r="529" spans="2:11" s="51" customFormat="1" ht="9.75" customHeight="1" x14ac:dyDescent="0.2">
      <c r="B529" s="283"/>
      <c r="C529" s="280" t="str">
        <f>"2:"</f>
        <v>2:</v>
      </c>
      <c r="D529" s="284" t="s">
        <v>967</v>
      </c>
      <c r="E529" s="285"/>
      <c r="F529" s="285"/>
      <c r="G529" s="285"/>
      <c r="H529" s="285"/>
      <c r="I529" s="285"/>
      <c r="J529" s="43"/>
      <c r="K529" s="286"/>
    </row>
    <row r="530" spans="2:11" s="51" customFormat="1" ht="9.75" customHeight="1" x14ac:dyDescent="0.2">
      <c r="B530" s="283"/>
      <c r="C530" s="280" t="str">
        <f>"3:"</f>
        <v>3:</v>
      </c>
      <c r="D530" s="284" t="s">
        <v>968</v>
      </c>
      <c r="E530" s="285"/>
      <c r="F530" s="285"/>
      <c r="G530" s="285"/>
      <c r="H530" s="285"/>
      <c r="I530" s="285"/>
      <c r="J530" s="43"/>
      <c r="K530" s="286"/>
    </row>
    <row r="531" spans="2:11" s="51" customFormat="1" ht="9.75" customHeight="1" x14ac:dyDescent="0.2">
      <c r="B531" s="283"/>
      <c r="C531" s="280" t="str">
        <f>"4:"</f>
        <v>4:</v>
      </c>
      <c r="D531" s="284" t="s">
        <v>969</v>
      </c>
      <c r="E531" s="285"/>
      <c r="F531" s="285"/>
      <c r="G531" s="285"/>
      <c r="H531" s="285"/>
      <c r="I531" s="285"/>
      <c r="J531" s="287"/>
      <c r="K531" s="286"/>
    </row>
    <row r="532" spans="2:11" x14ac:dyDescent="0.2">
      <c r="B532" s="38"/>
      <c r="C532" s="40" t="s">
        <v>257</v>
      </c>
      <c r="D532" s="40"/>
      <c r="E532" s="40"/>
      <c r="F532" s="40"/>
      <c r="G532" s="40"/>
      <c r="H532" s="40"/>
      <c r="I532" s="40"/>
      <c r="J532" s="266"/>
      <c r="K532" s="41"/>
    </row>
    <row r="533" spans="2:11" x14ac:dyDescent="0.2">
      <c r="B533" s="38"/>
      <c r="C533" s="40" t="s">
        <v>261</v>
      </c>
      <c r="D533" s="40"/>
      <c r="E533" s="40"/>
      <c r="F533" s="40"/>
      <c r="G533" s="40"/>
      <c r="H533" s="40"/>
      <c r="I533" s="40"/>
      <c r="J533" s="245" t="str">
        <f>IF(J532=$B$973,$A$973,IF(J532=$B$974,$A$974,IF(J532=$B$975,$A$975,IF(J532=$B$976,$A$976,IF(J532=$B$977,$A$977,"Not Calculated")))))</f>
        <v>Not Calculated</v>
      </c>
      <c r="K533" s="41"/>
    </row>
    <row r="534" spans="2:11" x14ac:dyDescent="0.2">
      <c r="B534" s="38"/>
      <c r="C534" s="40" t="s">
        <v>893</v>
      </c>
      <c r="D534" s="40"/>
      <c r="E534" s="40"/>
      <c r="F534" s="40"/>
      <c r="G534" s="40"/>
      <c r="H534" s="40"/>
      <c r="I534" s="40"/>
      <c r="J534" s="40"/>
      <c r="K534" s="41"/>
    </row>
    <row r="535" spans="2:11" ht="15" customHeight="1" x14ac:dyDescent="0.2">
      <c r="B535" s="38"/>
      <c r="C535" s="399"/>
      <c r="D535" s="400"/>
      <c r="E535" s="400"/>
      <c r="F535" s="400"/>
      <c r="G535" s="400"/>
      <c r="H535" s="400"/>
      <c r="I535" s="400"/>
      <c r="J535" s="401"/>
      <c r="K535" s="41"/>
    </row>
    <row r="536" spans="2:11" x14ac:dyDescent="0.2">
      <c r="B536" s="38"/>
      <c r="C536" s="40"/>
      <c r="D536" s="40"/>
      <c r="E536" s="40"/>
      <c r="F536" s="40"/>
      <c r="G536" s="40"/>
      <c r="H536" s="40"/>
      <c r="I536" s="40"/>
      <c r="J536" s="40"/>
      <c r="K536" s="41"/>
    </row>
    <row r="537" spans="2:11" x14ac:dyDescent="0.2">
      <c r="B537" s="38"/>
      <c r="C537" s="179" t="s">
        <v>319</v>
      </c>
      <c r="D537" s="40"/>
      <c r="E537" s="40"/>
      <c r="F537" s="40"/>
      <c r="G537" s="40"/>
      <c r="H537" s="40"/>
      <c r="I537" s="40"/>
      <c r="J537" s="245" t="str">
        <f>IF(OR(J526="Not Calculated",J533="Not Calculated")=TRUE,"Not Calculated",AVERAGE(J526,J533))</f>
        <v>Not Calculated</v>
      </c>
      <c r="K537" s="41"/>
    </row>
    <row r="538" spans="2:11" x14ac:dyDescent="0.2">
      <c r="B538" s="38"/>
      <c r="C538" s="40"/>
      <c r="D538" s="40"/>
      <c r="E538" s="40"/>
      <c r="F538" s="40"/>
      <c r="G538" s="40"/>
      <c r="H538" s="40"/>
      <c r="I538" s="40"/>
      <c r="J538" s="40"/>
      <c r="K538" s="41"/>
    </row>
    <row r="539" spans="2:11" ht="18" x14ac:dyDescent="0.2">
      <c r="B539" s="38"/>
      <c r="C539" s="180" t="s">
        <v>302</v>
      </c>
      <c r="D539" s="40"/>
      <c r="E539" s="40"/>
      <c r="F539" s="40"/>
      <c r="G539" s="40"/>
      <c r="H539" s="40"/>
      <c r="I539" s="40"/>
      <c r="J539" s="244" t="str">
        <f>IF(OR(J440="Not Calculated",J457="Not Calculated",J473="Not Calculated",J488="Not Calculated",J504="Not Calculated",J520="Not Calculated",J537="Not Calculated")=TRUE,"Not Calculated",AVERAGE(J440,J457,J473,J488,J504,J520,J537))</f>
        <v>Not Calculated</v>
      </c>
      <c r="K539" s="41"/>
    </row>
    <row r="540" spans="2:11" ht="16" thickBot="1" x14ac:dyDescent="0.25">
      <c r="B540" s="46"/>
      <c r="C540" s="47"/>
      <c r="D540" s="47"/>
      <c r="E540" s="47"/>
      <c r="F540" s="47"/>
      <c r="G540" s="47"/>
      <c r="H540" s="47"/>
      <c r="I540" s="47"/>
      <c r="J540" s="47"/>
      <c r="K540" s="49"/>
    </row>
    <row r="541" spans="2:11" ht="16" thickBot="1" x14ac:dyDescent="0.25"/>
    <row r="542" spans="2:11" x14ac:dyDescent="0.2">
      <c r="B542" s="33"/>
      <c r="C542" s="34"/>
      <c r="D542" s="34"/>
      <c r="E542" s="34"/>
      <c r="F542" s="34"/>
      <c r="G542" s="34"/>
      <c r="H542" s="34"/>
      <c r="I542" s="34"/>
      <c r="J542" s="34"/>
      <c r="K542" s="37"/>
    </row>
    <row r="543" spans="2:11" ht="21" x14ac:dyDescent="0.25">
      <c r="B543" s="38"/>
      <c r="C543" s="40"/>
      <c r="D543" s="40"/>
      <c r="E543" s="40"/>
      <c r="F543" s="40"/>
      <c r="G543" s="172" t="s">
        <v>29</v>
      </c>
      <c r="H543" s="40"/>
      <c r="I543" s="40"/>
      <c r="J543" s="40"/>
      <c r="K543" s="41"/>
    </row>
    <row r="544" spans="2:11" ht="15" customHeight="1" x14ac:dyDescent="0.2">
      <c r="B544" s="38"/>
      <c r="C544" s="40"/>
      <c r="D544" s="40"/>
      <c r="E544" s="40"/>
      <c r="F544" s="40"/>
      <c r="G544" s="40"/>
      <c r="H544" s="40"/>
      <c r="I544" s="40"/>
      <c r="J544" s="40"/>
      <c r="K544" s="41"/>
    </row>
    <row r="545" spans="2:14" ht="16" x14ac:dyDescent="0.2">
      <c r="B545" s="38"/>
      <c r="C545" s="45" t="s">
        <v>88</v>
      </c>
      <c r="D545" s="40"/>
      <c r="E545" s="40"/>
      <c r="F545" s="40"/>
      <c r="G545" s="40"/>
      <c r="H545" s="40"/>
      <c r="I545" s="40"/>
      <c r="J545" s="40"/>
      <c r="K545" s="41"/>
    </row>
    <row r="546" spans="2:14" x14ac:dyDescent="0.2">
      <c r="B546" s="38"/>
      <c r="C546" s="40" t="s">
        <v>448</v>
      </c>
      <c r="D546" s="40"/>
      <c r="E546" s="40"/>
      <c r="F546" s="40"/>
      <c r="G546" s="40"/>
      <c r="H546" s="40"/>
      <c r="I546" s="40"/>
      <c r="J546" s="251">
        <f>'Baseline Health'!G123</f>
        <v>0</v>
      </c>
      <c r="K546" s="41"/>
    </row>
    <row r="547" spans="2:14" x14ac:dyDescent="0.2">
      <c r="B547" s="38"/>
      <c r="C547" s="40" t="s">
        <v>322</v>
      </c>
      <c r="D547" s="40"/>
      <c r="E547" s="40"/>
      <c r="F547" s="40"/>
      <c r="G547" s="40"/>
      <c r="H547" s="40"/>
      <c r="I547" s="40"/>
      <c r="J547" s="264"/>
      <c r="K547" s="41"/>
    </row>
    <row r="548" spans="2:14" x14ac:dyDescent="0.2">
      <c r="B548" s="38"/>
      <c r="C548" s="40" t="s">
        <v>428</v>
      </c>
      <c r="D548" s="40"/>
      <c r="E548" s="40"/>
      <c r="F548" s="40"/>
      <c r="G548" s="40"/>
      <c r="H548" s="40"/>
      <c r="I548" s="40"/>
      <c r="J548" s="264"/>
      <c r="K548" s="41"/>
    </row>
    <row r="549" spans="2:14" x14ac:dyDescent="0.2">
      <c r="B549" s="38"/>
      <c r="C549" s="40" t="s">
        <v>260</v>
      </c>
      <c r="D549" s="40"/>
      <c r="E549" s="40"/>
      <c r="F549" s="40"/>
      <c r="G549" s="40"/>
      <c r="H549" s="40"/>
      <c r="I549" s="40"/>
      <c r="J549" s="245" t="str">
        <f>IF(OR(J546=0,J546="Not Calculated")=TRUE,"Not Calculated",IF(J546-J547=0,4,(IF(((J546+J548)/(J546-J547))&lt;=1,0,IF(((J546+J548)/(J546-J547))&lt;=1.05,1,IF(((J546+J548)/(J546-J547))&lt;=1.5, 2,IF(((J546+J548)/(J546-J547))&lt;=2,3,4)))))))</f>
        <v>Not Calculated</v>
      </c>
      <c r="K549" s="41"/>
    </row>
    <row r="550" spans="2:14" ht="9.75" customHeight="1" x14ac:dyDescent="0.2">
      <c r="B550" s="38"/>
      <c r="C550" s="279" t="str">
        <f>"0:"</f>
        <v>0:</v>
      </c>
      <c r="D550" s="278" t="s">
        <v>918</v>
      </c>
      <c r="E550" s="40"/>
      <c r="F550" s="40"/>
      <c r="G550" s="40"/>
      <c r="H550" s="40"/>
      <c r="I550" s="40"/>
      <c r="J550" s="251"/>
      <c r="K550" s="41"/>
    </row>
    <row r="551" spans="2:14" ht="9.75" customHeight="1" x14ac:dyDescent="0.2">
      <c r="B551" s="38"/>
      <c r="C551" s="280" t="str">
        <f>"1:"</f>
        <v>1:</v>
      </c>
      <c r="D551" s="278" t="s">
        <v>923</v>
      </c>
      <c r="E551" s="40"/>
      <c r="F551" s="40"/>
      <c r="G551" s="40"/>
      <c r="H551" s="40"/>
      <c r="I551" s="40"/>
      <c r="J551" s="251"/>
      <c r="K551" s="41"/>
    </row>
    <row r="552" spans="2:14" ht="9.75" customHeight="1" x14ac:dyDescent="0.2">
      <c r="B552" s="38"/>
      <c r="C552" s="280" t="str">
        <f>"2:"</f>
        <v>2:</v>
      </c>
      <c r="D552" s="278" t="s">
        <v>924</v>
      </c>
      <c r="E552" s="40"/>
      <c r="F552" s="40"/>
      <c r="G552" s="40"/>
      <c r="H552" s="40"/>
      <c r="I552" s="40"/>
      <c r="J552" s="251"/>
      <c r="K552" s="41"/>
    </row>
    <row r="553" spans="2:14" ht="9.75" customHeight="1" x14ac:dyDescent="0.2">
      <c r="B553" s="38"/>
      <c r="C553" s="280" t="str">
        <f>"3:"</f>
        <v>3:</v>
      </c>
      <c r="D553" s="278" t="s">
        <v>925</v>
      </c>
      <c r="E553" s="40"/>
      <c r="F553" s="40"/>
      <c r="G553" s="40"/>
      <c r="H553" s="40"/>
      <c r="I553" s="40"/>
      <c r="J553" s="251"/>
      <c r="K553" s="41"/>
    </row>
    <row r="554" spans="2:14" ht="9.75" customHeight="1" x14ac:dyDescent="0.2">
      <c r="B554" s="38"/>
      <c r="C554" s="280" t="str">
        <f>"4:"</f>
        <v>4:</v>
      </c>
      <c r="D554" s="278" t="s">
        <v>926</v>
      </c>
      <c r="E554" s="40"/>
      <c r="F554" s="40"/>
      <c r="G554" s="40"/>
      <c r="H554" s="40"/>
      <c r="I554" s="40"/>
      <c r="J554" s="40"/>
      <c r="K554" s="41"/>
      <c r="N554" s="12" t="s">
        <v>661</v>
      </c>
    </row>
    <row r="555" spans="2:14" x14ac:dyDescent="0.2">
      <c r="B555" s="38"/>
      <c r="C555" s="174" t="s">
        <v>662</v>
      </c>
      <c r="D555" s="40"/>
      <c r="E555" s="40"/>
      <c r="F555" s="40"/>
      <c r="G555" s="40"/>
      <c r="H555" s="40"/>
      <c r="I555" s="40"/>
      <c r="J555" s="265" t="s">
        <v>661</v>
      </c>
      <c r="K555" s="41"/>
      <c r="N555" s="12" t="s">
        <v>894</v>
      </c>
    </row>
    <row r="556" spans="2:14" x14ac:dyDescent="0.2">
      <c r="B556" s="38"/>
      <c r="C556" s="174" t="s">
        <v>660</v>
      </c>
      <c r="D556" s="40"/>
      <c r="E556" s="40"/>
      <c r="F556" s="40"/>
      <c r="G556" s="40"/>
      <c r="H556" s="40"/>
      <c r="I556" s="40"/>
      <c r="J556" s="247" t="str">
        <f>IF(J555=N554,"N/A",IF(J555=N555,0,IF(J555=N556,1,IF(J555=N557,2,IF(J555=N558,3,IF(J555=N559,4,"N/A"))))))</f>
        <v>N/A</v>
      </c>
      <c r="K556" s="41"/>
      <c r="N556" s="12" t="s">
        <v>899</v>
      </c>
    </row>
    <row r="557" spans="2:14" x14ac:dyDescent="0.2">
      <c r="B557" s="38"/>
      <c r="C557" s="40" t="s">
        <v>257</v>
      </c>
      <c r="D557" s="40"/>
      <c r="E557" s="40"/>
      <c r="F557" s="40"/>
      <c r="G557" s="40"/>
      <c r="H557" s="40"/>
      <c r="I557" s="40"/>
      <c r="J557" s="266"/>
      <c r="K557" s="41"/>
      <c r="N557" s="12" t="s">
        <v>900</v>
      </c>
    </row>
    <row r="558" spans="2:14" x14ac:dyDescent="0.2">
      <c r="B558" s="38"/>
      <c r="C558" s="40" t="s">
        <v>261</v>
      </c>
      <c r="D558" s="40"/>
      <c r="E558" s="40"/>
      <c r="F558" s="40"/>
      <c r="G558" s="40"/>
      <c r="H558" s="40"/>
      <c r="I558" s="40"/>
      <c r="J558" s="245" t="str">
        <f>IF(J557=$B$973,$A$973,IF(J557=$B$974,$A$974,IF(J557=$B$975,$A$975,IF(J557=$B$976,$A$976,IF(J557=$B$977,$A$977,"Not Calculated")))))</f>
        <v>Not Calculated</v>
      </c>
      <c r="K558" s="41"/>
      <c r="N558" s="12" t="s">
        <v>901</v>
      </c>
    </row>
    <row r="559" spans="2:14" x14ac:dyDescent="0.2">
      <c r="B559" s="38"/>
      <c r="C559" s="40" t="s">
        <v>893</v>
      </c>
      <c r="D559" s="40"/>
      <c r="E559" s="40"/>
      <c r="F559" s="40"/>
      <c r="G559" s="40"/>
      <c r="H559" s="40"/>
      <c r="I559" s="40"/>
      <c r="J559" s="40"/>
      <c r="K559" s="41"/>
      <c r="N559" s="12" t="s">
        <v>902</v>
      </c>
    </row>
    <row r="560" spans="2:14" ht="15" customHeight="1" x14ac:dyDescent="0.2">
      <c r="B560" s="38"/>
      <c r="C560" s="399"/>
      <c r="D560" s="400"/>
      <c r="E560" s="400"/>
      <c r="F560" s="400"/>
      <c r="G560" s="400"/>
      <c r="H560" s="400"/>
      <c r="I560" s="400"/>
      <c r="J560" s="401"/>
      <c r="K560" s="41"/>
    </row>
    <row r="561" spans="2:11" x14ac:dyDescent="0.2">
      <c r="B561" s="38"/>
      <c r="C561" s="40"/>
      <c r="D561" s="40"/>
      <c r="E561" s="40"/>
      <c r="F561" s="40"/>
      <c r="G561" s="40"/>
      <c r="H561" s="40"/>
      <c r="I561" s="40"/>
      <c r="J561" s="40"/>
      <c r="K561" s="41"/>
    </row>
    <row r="562" spans="2:11" x14ac:dyDescent="0.2">
      <c r="B562" s="38"/>
      <c r="C562" s="179" t="s">
        <v>323</v>
      </c>
      <c r="D562" s="40"/>
      <c r="E562" s="40"/>
      <c r="F562" s="40"/>
      <c r="G562" s="40"/>
      <c r="H562" s="40"/>
      <c r="I562" s="40"/>
      <c r="J562" s="245" t="str">
        <f>IF(J556="N/A",IF(OR(J549="Not Calculated",J558="Not Calculated")=TRUE,"Not Calculated",AVERAGE(J549,J558)),AVERAGE(J556,J558))</f>
        <v>Not Calculated</v>
      </c>
      <c r="K562" s="41"/>
    </row>
    <row r="563" spans="2:11" x14ac:dyDescent="0.2">
      <c r="B563" s="38"/>
      <c r="C563" s="40"/>
      <c r="D563" s="40"/>
      <c r="E563" s="40"/>
      <c r="F563" s="40"/>
      <c r="G563" s="40"/>
      <c r="H563" s="40"/>
      <c r="I563" s="40"/>
      <c r="J563" s="40"/>
      <c r="K563" s="41"/>
    </row>
    <row r="564" spans="2:11" x14ac:dyDescent="0.2">
      <c r="B564" s="38"/>
      <c r="C564" s="40"/>
      <c r="D564" s="40"/>
      <c r="E564" s="40"/>
      <c r="F564" s="40"/>
      <c r="G564" s="40"/>
      <c r="H564" s="40"/>
      <c r="I564" s="40"/>
      <c r="J564" s="40"/>
      <c r="K564" s="41"/>
    </row>
    <row r="565" spans="2:11" ht="16" x14ac:dyDescent="0.2">
      <c r="B565" s="38"/>
      <c r="C565" s="45" t="s">
        <v>89</v>
      </c>
      <c r="D565" s="40"/>
      <c r="E565" s="40"/>
      <c r="F565" s="40"/>
      <c r="G565" s="40"/>
      <c r="H565" s="40"/>
      <c r="I565" s="40"/>
      <c r="J565" s="40"/>
      <c r="K565" s="41"/>
    </row>
    <row r="566" spans="2:11" ht="15" customHeight="1" x14ac:dyDescent="0.2">
      <c r="B566" s="38"/>
      <c r="C566" s="380" t="s">
        <v>333</v>
      </c>
      <c r="D566" s="380"/>
      <c r="E566" s="380"/>
      <c r="F566" s="380"/>
      <c r="G566" s="380"/>
      <c r="H566" s="380"/>
      <c r="I566" s="380"/>
      <c r="J566" s="40"/>
      <c r="K566" s="41"/>
    </row>
    <row r="567" spans="2:11" x14ac:dyDescent="0.2">
      <c r="B567" s="38"/>
      <c r="C567" s="380"/>
      <c r="D567" s="380"/>
      <c r="E567" s="380"/>
      <c r="F567" s="380"/>
      <c r="G567" s="380"/>
      <c r="H567" s="380"/>
      <c r="I567" s="380"/>
      <c r="J567" s="40"/>
      <c r="K567" s="41"/>
    </row>
    <row r="568" spans="2:11" x14ac:dyDescent="0.2">
      <c r="B568" s="38"/>
      <c r="C568" s="380"/>
      <c r="D568" s="380"/>
      <c r="E568" s="380"/>
      <c r="F568" s="380"/>
      <c r="G568" s="380"/>
      <c r="H568" s="380"/>
      <c r="I568" s="380"/>
      <c r="J568" s="251">
        <f>'Baseline Health'!G132</f>
        <v>0</v>
      </c>
      <c r="K568" s="41"/>
    </row>
    <row r="569" spans="2:11" ht="15" customHeight="1" x14ac:dyDescent="0.2">
      <c r="B569" s="38"/>
      <c r="C569" s="380" t="s">
        <v>334</v>
      </c>
      <c r="D569" s="380"/>
      <c r="E569" s="380"/>
      <c r="F569" s="380"/>
      <c r="G569" s="380"/>
      <c r="H569" s="380"/>
      <c r="I569" s="380"/>
      <c r="J569" s="245"/>
      <c r="K569" s="41"/>
    </row>
    <row r="570" spans="2:11" x14ac:dyDescent="0.2">
      <c r="B570" s="38"/>
      <c r="C570" s="380"/>
      <c r="D570" s="380"/>
      <c r="E570" s="380"/>
      <c r="F570" s="380"/>
      <c r="G570" s="380"/>
      <c r="H570" s="380"/>
      <c r="I570" s="380"/>
      <c r="J570" s="245"/>
      <c r="K570" s="41"/>
    </row>
    <row r="571" spans="2:11" x14ac:dyDescent="0.2">
      <c r="B571" s="38"/>
      <c r="C571" s="380"/>
      <c r="D571" s="380"/>
      <c r="E571" s="380"/>
      <c r="F571" s="380"/>
      <c r="G571" s="380"/>
      <c r="H571" s="380"/>
      <c r="I571" s="380"/>
      <c r="J571" s="264"/>
      <c r="K571" s="41"/>
    </row>
    <row r="572" spans="2:11" x14ac:dyDescent="0.2">
      <c r="B572" s="38"/>
      <c r="C572" s="40" t="s">
        <v>260</v>
      </c>
      <c r="D572" s="40"/>
      <c r="E572" s="40"/>
      <c r="F572" s="40"/>
      <c r="G572" s="40"/>
      <c r="H572" s="40"/>
      <c r="I572" s="40"/>
      <c r="J572" s="245" t="str">
        <f>IF(OR(J568=0,J568="Not Calculated")=TRUE,"Not Calculated",IF(((J568+J571)/J568)&lt;=1,0,IF(((J568+J571)/J568)&lt;=1.05,1,IF(((J568+J571)/J568)&lt;=1.5, 2,IF(((J568+J571)/J568)&lt;=2,3,4)))))</f>
        <v>Not Calculated</v>
      </c>
      <c r="K572" s="41"/>
    </row>
    <row r="573" spans="2:11" ht="9.75" customHeight="1" x14ac:dyDescent="0.2">
      <c r="B573" s="38"/>
      <c r="C573" s="279" t="str">
        <f>"0:"</f>
        <v>0:</v>
      </c>
      <c r="D573" s="281" t="s">
        <v>918</v>
      </c>
      <c r="E573" s="291"/>
      <c r="F573" s="291"/>
      <c r="G573" s="291"/>
      <c r="H573" s="291"/>
      <c r="I573" s="291"/>
      <c r="J573" s="251"/>
      <c r="K573" s="41"/>
    </row>
    <row r="574" spans="2:11" ht="9.75" customHeight="1" x14ac:dyDescent="0.2">
      <c r="B574" s="38"/>
      <c r="C574" s="280" t="str">
        <f>"1:"</f>
        <v>1:</v>
      </c>
      <c r="D574" s="281" t="s">
        <v>919</v>
      </c>
      <c r="E574" s="291"/>
      <c r="F574" s="291"/>
      <c r="G574" s="291"/>
      <c r="H574" s="291"/>
      <c r="I574" s="291"/>
      <c r="J574" s="251"/>
      <c r="K574" s="41"/>
    </row>
    <row r="575" spans="2:11" ht="9.75" customHeight="1" x14ac:dyDescent="0.2">
      <c r="B575" s="38"/>
      <c r="C575" s="280" t="str">
        <f>"2:"</f>
        <v>2:</v>
      </c>
      <c r="D575" s="281" t="s">
        <v>920</v>
      </c>
      <c r="E575" s="291"/>
      <c r="F575" s="291"/>
      <c r="G575" s="291"/>
      <c r="H575" s="291"/>
      <c r="I575" s="291"/>
      <c r="J575" s="251"/>
      <c r="K575" s="41"/>
    </row>
    <row r="576" spans="2:11" ht="9.75" customHeight="1" x14ac:dyDescent="0.2">
      <c r="B576" s="38"/>
      <c r="C576" s="280" t="str">
        <f>"3:"</f>
        <v>3:</v>
      </c>
      <c r="D576" s="281" t="s">
        <v>921</v>
      </c>
      <c r="E576" s="291"/>
      <c r="F576" s="291"/>
      <c r="G576" s="291"/>
      <c r="H576" s="291"/>
      <c r="I576" s="291"/>
      <c r="J576" s="251"/>
      <c r="K576" s="41"/>
    </row>
    <row r="577" spans="2:14" ht="9.75" customHeight="1" x14ac:dyDescent="0.2">
      <c r="B577" s="38"/>
      <c r="C577" s="280" t="str">
        <f>"4:"</f>
        <v>4:</v>
      </c>
      <c r="D577" s="281" t="s">
        <v>922</v>
      </c>
      <c r="E577" s="40"/>
      <c r="F577" s="40"/>
      <c r="G577" s="40"/>
      <c r="H577" s="40"/>
      <c r="I577" s="40"/>
      <c r="J577" s="40"/>
      <c r="K577" s="41"/>
      <c r="N577" s="12" t="s">
        <v>661</v>
      </c>
    </row>
    <row r="578" spans="2:14" ht="15" customHeight="1" x14ac:dyDescent="0.2">
      <c r="B578" s="38"/>
      <c r="C578" s="174" t="s">
        <v>662</v>
      </c>
      <c r="D578" s="40"/>
      <c r="E578" s="40"/>
      <c r="F578" s="40"/>
      <c r="G578" s="40"/>
      <c r="H578" s="40"/>
      <c r="I578" s="40"/>
      <c r="J578" s="265" t="s">
        <v>661</v>
      </c>
      <c r="K578" s="41"/>
      <c r="N578" s="12" t="s">
        <v>894</v>
      </c>
    </row>
    <row r="579" spans="2:14" ht="15" customHeight="1" x14ac:dyDescent="0.2">
      <c r="B579" s="38"/>
      <c r="C579" s="174" t="s">
        <v>660</v>
      </c>
      <c r="D579" s="40"/>
      <c r="E579" s="40"/>
      <c r="F579" s="40"/>
      <c r="G579" s="40"/>
      <c r="H579" s="40"/>
      <c r="I579" s="40"/>
      <c r="J579" s="247" t="str">
        <f>IF(J578=N577,"N/A",IF(J578=N578,0,IF(J578=N579,1,IF(J578=N580,2,IF(J578=N581,3,IF(J578=N582,4,"N/A"))))))</f>
        <v>N/A</v>
      </c>
      <c r="K579" s="41"/>
      <c r="N579" s="12" t="s">
        <v>895</v>
      </c>
    </row>
    <row r="580" spans="2:14" x14ac:dyDescent="0.2">
      <c r="B580" s="38"/>
      <c r="C580" s="40" t="s">
        <v>257</v>
      </c>
      <c r="D580" s="40"/>
      <c r="E580" s="40"/>
      <c r="F580" s="40"/>
      <c r="G580" s="40"/>
      <c r="H580" s="40"/>
      <c r="I580" s="40"/>
      <c r="J580" s="266"/>
      <c r="K580" s="41"/>
      <c r="N580" s="12" t="s">
        <v>896</v>
      </c>
    </row>
    <row r="581" spans="2:14" x14ac:dyDescent="0.2">
      <c r="B581" s="38"/>
      <c r="C581" s="40" t="s">
        <v>261</v>
      </c>
      <c r="D581" s="40"/>
      <c r="E581" s="40"/>
      <c r="F581" s="40"/>
      <c r="G581" s="40"/>
      <c r="H581" s="40"/>
      <c r="I581" s="40"/>
      <c r="J581" s="245" t="str">
        <f>IF(J580=$B$973,$A$973,IF(J580=$B$974,$A$974,IF(J580=$B$975,$A$975,IF(J580=$B$976,$A$976,IF(J580=$B$977,$A$977,"Not Calculated")))))</f>
        <v>Not Calculated</v>
      </c>
      <c r="K581" s="41"/>
      <c r="N581" s="12" t="s">
        <v>897</v>
      </c>
    </row>
    <row r="582" spans="2:14" x14ac:dyDescent="0.2">
      <c r="B582" s="38"/>
      <c r="C582" s="40" t="s">
        <v>893</v>
      </c>
      <c r="D582" s="40"/>
      <c r="E582" s="40"/>
      <c r="F582" s="40"/>
      <c r="G582" s="40"/>
      <c r="H582" s="40"/>
      <c r="I582" s="40"/>
      <c r="J582" s="40"/>
      <c r="K582" s="41"/>
      <c r="N582" s="12" t="s">
        <v>898</v>
      </c>
    </row>
    <row r="583" spans="2:14" ht="15" customHeight="1" x14ac:dyDescent="0.2">
      <c r="B583" s="38"/>
      <c r="C583" s="399"/>
      <c r="D583" s="400"/>
      <c r="E583" s="400"/>
      <c r="F583" s="400"/>
      <c r="G583" s="400"/>
      <c r="H583" s="400"/>
      <c r="I583" s="400"/>
      <c r="J583" s="401"/>
      <c r="K583" s="41"/>
    </row>
    <row r="584" spans="2:14" x14ac:dyDescent="0.2">
      <c r="B584" s="38"/>
      <c r="C584" s="40"/>
      <c r="D584" s="40"/>
      <c r="E584" s="40"/>
      <c r="F584" s="40"/>
      <c r="G584" s="40"/>
      <c r="H584" s="40"/>
      <c r="I584" s="40"/>
      <c r="J584" s="40"/>
      <c r="K584" s="41"/>
    </row>
    <row r="585" spans="2:14" x14ac:dyDescent="0.2">
      <c r="B585" s="38"/>
      <c r="C585" s="179" t="s">
        <v>324</v>
      </c>
      <c r="D585" s="40"/>
      <c r="E585" s="40"/>
      <c r="F585" s="40"/>
      <c r="G585" s="40"/>
      <c r="H585" s="40"/>
      <c r="I585" s="40"/>
      <c r="J585" s="245" t="str">
        <f>IF(J579="N/A",IF(OR(J572="Not Calculated",J581="Not Calculated")=TRUE,"Not Calculated",AVERAGE(J572,J581)),AVERAGE(J579,J581))</f>
        <v>Not Calculated</v>
      </c>
      <c r="K585" s="41"/>
    </row>
    <row r="586" spans="2:14" x14ac:dyDescent="0.2">
      <c r="B586" s="38"/>
      <c r="C586" s="40"/>
      <c r="D586" s="40"/>
      <c r="E586" s="40"/>
      <c r="F586" s="40"/>
      <c r="G586" s="40"/>
      <c r="H586" s="40"/>
      <c r="I586" s="40"/>
      <c r="J586" s="40"/>
      <c r="K586" s="41"/>
    </row>
    <row r="587" spans="2:14" x14ac:dyDescent="0.2">
      <c r="B587" s="38"/>
      <c r="C587" s="40"/>
      <c r="D587" s="40"/>
      <c r="E587" s="40"/>
      <c r="F587" s="40"/>
      <c r="G587" s="40"/>
      <c r="H587" s="40"/>
      <c r="I587" s="40"/>
      <c r="J587" s="40"/>
      <c r="K587" s="41"/>
    </row>
    <row r="588" spans="2:14" ht="16" x14ac:dyDescent="0.2">
      <c r="B588" s="38"/>
      <c r="C588" s="45" t="s">
        <v>115</v>
      </c>
      <c r="D588" s="40"/>
      <c r="E588" s="40"/>
      <c r="F588" s="40"/>
      <c r="G588" s="40"/>
      <c r="H588" s="40"/>
      <c r="I588" s="40"/>
      <c r="J588" s="40"/>
      <c r="K588" s="41"/>
    </row>
    <row r="589" spans="2:14" x14ac:dyDescent="0.2">
      <c r="B589" s="38"/>
      <c r="C589" s="40" t="s">
        <v>335</v>
      </c>
      <c r="D589" s="40"/>
      <c r="E589" s="40"/>
      <c r="F589" s="40"/>
      <c r="G589" s="40"/>
      <c r="H589" s="40"/>
      <c r="I589" s="40"/>
      <c r="J589" s="264"/>
      <c r="K589" s="41"/>
    </row>
    <row r="590" spans="2:14" x14ac:dyDescent="0.2">
      <c r="B590" s="38"/>
      <c r="C590" s="40" t="s">
        <v>260</v>
      </c>
      <c r="D590" s="40"/>
      <c r="E590" s="40"/>
      <c r="F590" s="40"/>
      <c r="G590" s="40"/>
      <c r="H590" s="40"/>
      <c r="I590" s="40"/>
      <c r="J590" s="255">
        <f>IF(J589&lt;=0,0,IF(J589&lt;=1000,1,IF(J589&lt;=5000,2,IF(J589&lt;=25000,3,4))))</f>
        <v>0</v>
      </c>
      <c r="K590" s="41"/>
    </row>
    <row r="591" spans="2:14" ht="9.75" customHeight="1" x14ac:dyDescent="0.2">
      <c r="B591" s="38"/>
      <c r="C591" s="279" t="str">
        <f>"0:"</f>
        <v>0:</v>
      </c>
      <c r="D591" s="284" t="s">
        <v>970</v>
      </c>
      <c r="E591" s="40"/>
      <c r="F591" s="40"/>
      <c r="G591" s="40"/>
      <c r="H591" s="40"/>
      <c r="I591" s="40"/>
      <c r="J591" s="251"/>
      <c r="K591" s="41"/>
    </row>
    <row r="592" spans="2:14" ht="9.75" customHeight="1" x14ac:dyDescent="0.2">
      <c r="B592" s="38"/>
      <c r="C592" s="280" t="str">
        <f>"1:"</f>
        <v>1:</v>
      </c>
      <c r="D592" s="284" t="s">
        <v>961</v>
      </c>
      <c r="E592" s="40"/>
      <c r="F592" s="40"/>
      <c r="G592" s="40"/>
      <c r="H592" s="40"/>
      <c r="I592" s="40"/>
      <c r="J592" s="251"/>
      <c r="K592" s="41"/>
    </row>
    <row r="593" spans="2:11" ht="9.75" customHeight="1" x14ac:dyDescent="0.2">
      <c r="B593" s="38"/>
      <c r="C593" s="280" t="str">
        <f>"2:"</f>
        <v>2:</v>
      </c>
      <c r="D593" s="284" t="s">
        <v>971</v>
      </c>
      <c r="E593" s="40"/>
      <c r="F593" s="40"/>
      <c r="G593" s="40"/>
      <c r="H593" s="40"/>
      <c r="I593" s="40"/>
      <c r="J593" s="251"/>
      <c r="K593" s="41"/>
    </row>
    <row r="594" spans="2:11" ht="9.75" customHeight="1" x14ac:dyDescent="0.2">
      <c r="B594" s="38"/>
      <c r="C594" s="280" t="str">
        <f>"3:"</f>
        <v>3:</v>
      </c>
      <c r="D594" s="284" t="s">
        <v>963</v>
      </c>
      <c r="E594" s="40"/>
      <c r="F594" s="40"/>
      <c r="G594" s="40"/>
      <c r="H594" s="40"/>
      <c r="I594" s="40"/>
      <c r="J594" s="251"/>
      <c r="K594" s="41"/>
    </row>
    <row r="595" spans="2:11" ht="9.75" customHeight="1" x14ac:dyDescent="0.2">
      <c r="B595" s="38"/>
      <c r="C595" s="280" t="str">
        <f>"4:"</f>
        <v>4:</v>
      </c>
      <c r="D595" s="284" t="s">
        <v>964</v>
      </c>
      <c r="E595" s="40"/>
      <c r="F595" s="40"/>
      <c r="G595" s="40"/>
      <c r="H595" s="40"/>
      <c r="I595" s="40"/>
      <c r="J595" s="40"/>
      <c r="K595" s="41"/>
    </row>
    <row r="596" spans="2:11" ht="15" customHeight="1" x14ac:dyDescent="0.2">
      <c r="B596" s="38"/>
      <c r="C596" s="40" t="s">
        <v>257</v>
      </c>
      <c r="D596" s="40"/>
      <c r="E596" s="40"/>
      <c r="F596" s="40"/>
      <c r="G596" s="40"/>
      <c r="H596" s="40"/>
      <c r="I596" s="40"/>
      <c r="J596" s="266"/>
      <c r="K596" s="41"/>
    </row>
    <row r="597" spans="2:11" ht="15" customHeight="1" x14ac:dyDescent="0.2">
      <c r="B597" s="38"/>
      <c r="C597" s="40" t="s">
        <v>261</v>
      </c>
      <c r="D597" s="40"/>
      <c r="E597" s="40"/>
      <c r="F597" s="40"/>
      <c r="G597" s="40"/>
      <c r="H597" s="40"/>
      <c r="I597" s="40"/>
      <c r="J597" s="245" t="str">
        <f>IF(J596=$B$973,$A$973,IF(J596=$B$974,$A$974,IF(J596=$B$975,$A$975,IF(J596=$B$976,$A$976,IF(J596=$B$977,$A$977,"Not Calculated")))))</f>
        <v>Not Calculated</v>
      </c>
      <c r="K597" s="41"/>
    </row>
    <row r="598" spans="2:11" x14ac:dyDescent="0.2">
      <c r="B598" s="38"/>
      <c r="C598" s="40" t="s">
        <v>893</v>
      </c>
      <c r="D598" s="40"/>
      <c r="E598" s="40"/>
      <c r="F598" s="40"/>
      <c r="G598" s="40"/>
      <c r="H598" s="40"/>
      <c r="I598" s="40"/>
      <c r="J598" s="40"/>
      <c r="K598" s="41"/>
    </row>
    <row r="599" spans="2:11" ht="15" customHeight="1" x14ac:dyDescent="0.2">
      <c r="B599" s="38"/>
      <c r="C599" s="399"/>
      <c r="D599" s="400"/>
      <c r="E599" s="400"/>
      <c r="F599" s="400"/>
      <c r="G599" s="400"/>
      <c r="H599" s="400"/>
      <c r="I599" s="400"/>
      <c r="J599" s="401"/>
      <c r="K599" s="41"/>
    </row>
    <row r="600" spans="2:11" x14ac:dyDescent="0.2">
      <c r="B600" s="38"/>
      <c r="C600" s="40"/>
      <c r="D600" s="40"/>
      <c r="E600" s="40"/>
      <c r="F600" s="40"/>
      <c r="G600" s="40"/>
      <c r="H600" s="40"/>
      <c r="I600" s="40"/>
      <c r="J600" s="40"/>
      <c r="K600" s="41"/>
    </row>
    <row r="601" spans="2:11" x14ac:dyDescent="0.2">
      <c r="B601" s="38"/>
      <c r="C601" s="179" t="s">
        <v>325</v>
      </c>
      <c r="D601" s="40"/>
      <c r="E601" s="40"/>
      <c r="F601" s="40"/>
      <c r="G601" s="40"/>
      <c r="H601" s="40"/>
      <c r="I601" s="40"/>
      <c r="J601" s="245">
        <f>IF(J590="Not Calculated","Not Calculated",AVERAGE(J590,J597))</f>
        <v>0</v>
      </c>
      <c r="K601" s="41"/>
    </row>
    <row r="602" spans="2:11" x14ac:dyDescent="0.2">
      <c r="B602" s="38"/>
      <c r="C602" s="40"/>
      <c r="D602" s="40"/>
      <c r="E602" s="40"/>
      <c r="F602" s="40"/>
      <c r="G602" s="40"/>
      <c r="H602" s="40"/>
      <c r="I602" s="40"/>
      <c r="J602" s="40"/>
      <c r="K602" s="41"/>
    </row>
    <row r="603" spans="2:11" x14ac:dyDescent="0.2">
      <c r="B603" s="38"/>
      <c r="C603" s="40"/>
      <c r="D603" s="40"/>
      <c r="E603" s="40"/>
      <c r="F603" s="40"/>
      <c r="G603" s="40"/>
      <c r="H603" s="40"/>
      <c r="I603" s="40"/>
      <c r="J603" s="40"/>
      <c r="K603" s="41"/>
    </row>
    <row r="604" spans="2:11" ht="16" x14ac:dyDescent="0.2">
      <c r="B604" s="38"/>
      <c r="C604" s="45" t="s">
        <v>326</v>
      </c>
      <c r="D604" s="40"/>
      <c r="E604" s="40"/>
      <c r="F604" s="40"/>
      <c r="G604" s="40"/>
      <c r="H604" s="40"/>
      <c r="I604" s="40"/>
      <c r="J604" s="40"/>
      <c r="K604" s="41"/>
    </row>
    <row r="605" spans="2:11" x14ac:dyDescent="0.2">
      <c r="B605" s="38"/>
      <c r="C605" s="40" t="s">
        <v>336</v>
      </c>
      <c r="D605" s="40"/>
      <c r="E605" s="40"/>
      <c r="F605" s="40"/>
      <c r="G605" s="40"/>
      <c r="H605" s="40"/>
      <c r="I605" s="40"/>
      <c r="J605" s="271"/>
      <c r="K605" s="41"/>
    </row>
    <row r="606" spans="2:11" x14ac:dyDescent="0.2">
      <c r="B606" s="38"/>
      <c r="C606" s="40" t="s">
        <v>260</v>
      </c>
      <c r="D606" s="40"/>
      <c r="E606" s="40"/>
      <c r="F606" s="40"/>
      <c r="G606" s="40"/>
      <c r="H606" s="40"/>
      <c r="I606" s="40"/>
      <c r="J606" s="248">
        <f>IF(J605&lt;=0,0,IF(J605&lt;=10,1,IF(J605&lt;=25,2,IF(J605&lt;=50,3,4))))</f>
        <v>0</v>
      </c>
      <c r="K606" s="41"/>
    </row>
    <row r="607" spans="2:11" ht="9.75" customHeight="1" x14ac:dyDescent="0.2">
      <c r="B607" s="38"/>
      <c r="C607" s="279" t="str">
        <f>"0:"</f>
        <v>0:</v>
      </c>
      <c r="D607" s="290" t="s">
        <v>944</v>
      </c>
      <c r="E607" s="40"/>
      <c r="F607" s="40"/>
      <c r="G607" s="40"/>
      <c r="H607" s="40"/>
      <c r="I607" s="40"/>
      <c r="J607" s="244"/>
      <c r="K607" s="41"/>
    </row>
    <row r="608" spans="2:11" ht="9.75" customHeight="1" x14ac:dyDescent="0.2">
      <c r="B608" s="38"/>
      <c r="C608" s="280" t="str">
        <f>"1:"</f>
        <v>1:</v>
      </c>
      <c r="D608" s="290" t="s">
        <v>947</v>
      </c>
      <c r="E608" s="40"/>
      <c r="F608" s="40"/>
      <c r="G608" s="40"/>
      <c r="H608" s="40"/>
      <c r="I608" s="40"/>
      <c r="J608" s="244"/>
      <c r="K608" s="41"/>
    </row>
    <row r="609" spans="2:11" ht="9.75" customHeight="1" x14ac:dyDescent="0.2">
      <c r="B609" s="38"/>
      <c r="C609" s="280" t="str">
        <f>"2:"</f>
        <v>2:</v>
      </c>
      <c r="D609" s="290" t="s">
        <v>972</v>
      </c>
      <c r="E609" s="40"/>
      <c r="F609" s="40"/>
      <c r="G609" s="40"/>
      <c r="H609" s="40"/>
      <c r="I609" s="40"/>
      <c r="J609" s="244"/>
      <c r="K609" s="41"/>
    </row>
    <row r="610" spans="2:11" ht="9.75" customHeight="1" x14ac:dyDescent="0.2">
      <c r="B610" s="38"/>
      <c r="C610" s="280" t="str">
        <f>"3:"</f>
        <v>3:</v>
      </c>
      <c r="D610" s="290" t="s">
        <v>973</v>
      </c>
      <c r="E610" s="40"/>
      <c r="F610" s="40"/>
      <c r="G610" s="40"/>
      <c r="H610" s="40"/>
      <c r="I610" s="40"/>
      <c r="J610" s="244"/>
      <c r="K610" s="41"/>
    </row>
    <row r="611" spans="2:11" ht="9.75" customHeight="1" x14ac:dyDescent="0.2">
      <c r="B611" s="38"/>
      <c r="C611" s="280" t="str">
        <f>"4:"</f>
        <v>4:</v>
      </c>
      <c r="D611" s="290" t="s">
        <v>974</v>
      </c>
      <c r="E611" s="40"/>
      <c r="F611" s="40"/>
      <c r="G611" s="40"/>
      <c r="H611" s="40"/>
      <c r="I611" s="40"/>
      <c r="J611" s="40"/>
      <c r="K611" s="41"/>
    </row>
    <row r="612" spans="2:11" x14ac:dyDescent="0.2">
      <c r="B612" s="38"/>
      <c r="C612" s="40" t="s">
        <v>893</v>
      </c>
      <c r="D612" s="40"/>
      <c r="E612" s="40"/>
      <c r="F612" s="40"/>
      <c r="G612" s="40"/>
      <c r="H612" s="40"/>
      <c r="I612" s="40"/>
      <c r="J612" s="40"/>
      <c r="K612" s="41"/>
    </row>
    <row r="613" spans="2:11" ht="15" customHeight="1" x14ac:dyDescent="0.2">
      <c r="B613" s="38"/>
      <c r="C613" s="399"/>
      <c r="D613" s="400"/>
      <c r="E613" s="400"/>
      <c r="F613" s="400"/>
      <c r="G613" s="400"/>
      <c r="H613" s="400"/>
      <c r="I613" s="400"/>
      <c r="J613" s="401"/>
      <c r="K613" s="41"/>
    </row>
    <row r="614" spans="2:11" x14ac:dyDescent="0.2">
      <c r="B614" s="38"/>
      <c r="C614" s="40"/>
      <c r="D614" s="40"/>
      <c r="E614" s="40"/>
      <c r="F614" s="40"/>
      <c r="G614" s="40"/>
      <c r="H614" s="40"/>
      <c r="I614" s="40"/>
      <c r="J614" s="40"/>
      <c r="K614" s="41"/>
    </row>
    <row r="615" spans="2:11" x14ac:dyDescent="0.2">
      <c r="B615" s="38"/>
      <c r="C615" s="179" t="s">
        <v>327</v>
      </c>
      <c r="D615" s="40"/>
      <c r="E615" s="40"/>
      <c r="F615" s="40"/>
      <c r="G615" s="40"/>
      <c r="H615" s="40"/>
      <c r="I615" s="40"/>
      <c r="J615" s="245">
        <f>J606</f>
        <v>0</v>
      </c>
      <c r="K615" s="41"/>
    </row>
    <row r="616" spans="2:11" x14ac:dyDescent="0.2">
      <c r="B616" s="38"/>
      <c r="C616" s="40"/>
      <c r="D616" s="40"/>
      <c r="E616" s="40"/>
      <c r="F616" s="40"/>
      <c r="G616" s="40"/>
      <c r="H616" s="40"/>
      <c r="I616" s="40"/>
      <c r="J616" s="40"/>
      <c r="K616" s="41"/>
    </row>
    <row r="617" spans="2:11" x14ac:dyDescent="0.2">
      <c r="B617" s="38"/>
      <c r="C617" s="40"/>
      <c r="D617" s="40"/>
      <c r="E617" s="40"/>
      <c r="F617" s="40"/>
      <c r="G617" s="40"/>
      <c r="H617" s="40"/>
      <c r="I617" s="40"/>
      <c r="J617" s="40"/>
      <c r="K617" s="41"/>
    </row>
    <row r="618" spans="2:11" ht="16" x14ac:dyDescent="0.2">
      <c r="B618" s="38"/>
      <c r="C618" s="45" t="s">
        <v>92</v>
      </c>
      <c r="D618" s="40"/>
      <c r="E618" s="40"/>
      <c r="F618" s="40"/>
      <c r="G618" s="40"/>
      <c r="H618" s="40"/>
      <c r="I618" s="40"/>
      <c r="J618" s="40"/>
      <c r="K618" s="41"/>
    </row>
    <row r="619" spans="2:11" x14ac:dyDescent="0.2">
      <c r="B619" s="38"/>
      <c r="C619" s="40" t="s">
        <v>337</v>
      </c>
      <c r="D619" s="40"/>
      <c r="E619" s="40"/>
      <c r="F619" s="40"/>
      <c r="G619" s="40"/>
      <c r="H619" s="40"/>
      <c r="I619" s="40"/>
      <c r="J619" s="251">
        <f>'Baseline Health'!G137</f>
        <v>1</v>
      </c>
      <c r="K619" s="41"/>
    </row>
    <row r="620" spans="2:11" ht="15" customHeight="1" x14ac:dyDescent="0.2">
      <c r="B620" s="38"/>
      <c r="C620" s="380" t="s">
        <v>338</v>
      </c>
      <c r="D620" s="380"/>
      <c r="E620" s="380"/>
      <c r="F620" s="380"/>
      <c r="G620" s="380"/>
      <c r="H620" s="380"/>
      <c r="I620" s="380"/>
      <c r="J620" s="251"/>
      <c r="K620" s="41"/>
    </row>
    <row r="621" spans="2:11" x14ac:dyDescent="0.2">
      <c r="B621" s="38"/>
      <c r="C621" s="380"/>
      <c r="D621" s="380"/>
      <c r="E621" s="380"/>
      <c r="F621" s="380"/>
      <c r="G621" s="380"/>
      <c r="H621" s="380"/>
      <c r="I621" s="380"/>
      <c r="J621" s="264"/>
      <c r="K621" s="41"/>
    </row>
    <row r="622" spans="2:11" x14ac:dyDescent="0.2">
      <c r="B622" s="38"/>
      <c r="C622" s="40" t="s">
        <v>260</v>
      </c>
      <c r="D622" s="40"/>
      <c r="E622" s="40"/>
      <c r="F622" s="40"/>
      <c r="G622" s="40"/>
      <c r="H622" s="40"/>
      <c r="I622" s="40"/>
      <c r="J622" s="245">
        <f>IF(OR(J619=0,J619="Not Calculated")=TRUE,"Not Calculated",IF(((J619+J621)/J619)&lt;=1,0,IF(((J619+J621)/J619)&lt;=1.05,1,IF(((J619+J621)/J619)&lt;=1.5, 2,IF(((J619+J621)/J619)&lt;=2,3,4)))))</f>
        <v>0</v>
      </c>
      <c r="K622" s="41"/>
    </row>
    <row r="623" spans="2:11" ht="9.75" customHeight="1" x14ac:dyDescent="0.2">
      <c r="B623" s="38"/>
      <c r="C623" s="279" t="str">
        <f>"0:"</f>
        <v>0:</v>
      </c>
      <c r="D623" s="281" t="s">
        <v>918</v>
      </c>
      <c r="E623" s="291"/>
      <c r="F623" s="291"/>
      <c r="G623" s="291"/>
      <c r="H623" s="291"/>
      <c r="I623" s="291"/>
      <c r="J623" s="251"/>
      <c r="K623" s="41"/>
    </row>
    <row r="624" spans="2:11" ht="9.75" customHeight="1" x14ac:dyDescent="0.2">
      <c r="B624" s="38"/>
      <c r="C624" s="280" t="str">
        <f>"1:"</f>
        <v>1:</v>
      </c>
      <c r="D624" s="281" t="s">
        <v>919</v>
      </c>
      <c r="E624" s="291"/>
      <c r="F624" s="291"/>
      <c r="G624" s="291"/>
      <c r="H624" s="291"/>
      <c r="I624" s="291"/>
      <c r="J624" s="251"/>
      <c r="K624" s="41"/>
    </row>
    <row r="625" spans="2:14" ht="9.75" customHeight="1" x14ac:dyDescent="0.2">
      <c r="B625" s="38"/>
      <c r="C625" s="280" t="str">
        <f>"2:"</f>
        <v>2:</v>
      </c>
      <c r="D625" s="281" t="s">
        <v>920</v>
      </c>
      <c r="E625" s="291"/>
      <c r="F625" s="291"/>
      <c r="G625" s="291"/>
      <c r="H625" s="291"/>
      <c r="I625" s="291"/>
      <c r="J625" s="251"/>
      <c r="K625" s="41"/>
    </row>
    <row r="626" spans="2:14" ht="9.75" customHeight="1" x14ac:dyDescent="0.2">
      <c r="B626" s="38"/>
      <c r="C626" s="280" t="str">
        <f>"3:"</f>
        <v>3:</v>
      </c>
      <c r="D626" s="281" t="s">
        <v>921</v>
      </c>
      <c r="E626" s="291"/>
      <c r="F626" s="291"/>
      <c r="G626" s="291"/>
      <c r="H626" s="291"/>
      <c r="I626" s="291"/>
      <c r="J626" s="251"/>
      <c r="K626" s="41"/>
    </row>
    <row r="627" spans="2:14" ht="9.75" customHeight="1" x14ac:dyDescent="0.2">
      <c r="B627" s="38"/>
      <c r="C627" s="280" t="str">
        <f>"4:"</f>
        <v>4:</v>
      </c>
      <c r="D627" s="281" t="s">
        <v>922</v>
      </c>
      <c r="E627" s="40"/>
      <c r="F627" s="40"/>
      <c r="G627" s="40"/>
      <c r="H627" s="40"/>
      <c r="I627" s="40"/>
      <c r="J627" s="40"/>
      <c r="K627" s="41"/>
      <c r="N627" s="12" t="s">
        <v>661</v>
      </c>
    </row>
    <row r="628" spans="2:14" x14ac:dyDescent="0.2">
      <c r="B628" s="38"/>
      <c r="C628" s="174" t="s">
        <v>662</v>
      </c>
      <c r="D628" s="40"/>
      <c r="E628" s="40"/>
      <c r="F628" s="40"/>
      <c r="G628" s="40"/>
      <c r="H628" s="40"/>
      <c r="I628" s="40"/>
      <c r="J628" s="265" t="s">
        <v>661</v>
      </c>
      <c r="K628" s="41"/>
      <c r="N628" s="12" t="s">
        <v>894</v>
      </c>
    </row>
    <row r="629" spans="2:14" x14ac:dyDescent="0.2">
      <c r="B629" s="38"/>
      <c r="C629" s="174" t="s">
        <v>660</v>
      </c>
      <c r="D629" s="40"/>
      <c r="E629" s="40"/>
      <c r="F629" s="40"/>
      <c r="G629" s="40"/>
      <c r="H629" s="40"/>
      <c r="I629" s="40"/>
      <c r="J629" s="247" t="str">
        <f>IF(J628=N627,"N/A",IF(J628=N628,0,IF(J628=N629,1,IF(J628=N630,2,IF(J628=N631,3,IF(J628=N632,4,"N/A"))))))</f>
        <v>N/A</v>
      </c>
      <c r="K629" s="41"/>
      <c r="N629" s="12" t="s">
        <v>895</v>
      </c>
    </row>
    <row r="630" spans="2:14" x14ac:dyDescent="0.2">
      <c r="B630" s="38"/>
      <c r="C630" s="40" t="s">
        <v>257</v>
      </c>
      <c r="D630" s="40"/>
      <c r="E630" s="40"/>
      <c r="F630" s="40"/>
      <c r="G630" s="40"/>
      <c r="H630" s="40"/>
      <c r="I630" s="40"/>
      <c r="J630" s="266"/>
      <c r="K630" s="41"/>
      <c r="N630" s="12" t="s">
        <v>896</v>
      </c>
    </row>
    <row r="631" spans="2:14" x14ac:dyDescent="0.2">
      <c r="B631" s="38"/>
      <c r="C631" s="40" t="s">
        <v>261</v>
      </c>
      <c r="D631" s="40"/>
      <c r="E631" s="40"/>
      <c r="F631" s="40"/>
      <c r="G631" s="40"/>
      <c r="H631" s="40"/>
      <c r="I631" s="40"/>
      <c r="J631" s="245" t="str">
        <f>IF(J630=$B$973,$A$973,IF(J630=$B$974,$A$974,IF(J630=$B$975,$A$975,IF(J630=$B$976,$A$976,IF(J630=$B$977,$A$977,"Not Calculated")))))</f>
        <v>Not Calculated</v>
      </c>
      <c r="K631" s="41"/>
      <c r="N631" s="12" t="s">
        <v>897</v>
      </c>
    </row>
    <row r="632" spans="2:14" x14ac:dyDescent="0.2">
      <c r="B632" s="38"/>
      <c r="C632" s="40" t="s">
        <v>893</v>
      </c>
      <c r="D632" s="40"/>
      <c r="E632" s="40"/>
      <c r="F632" s="40"/>
      <c r="G632" s="40"/>
      <c r="H632" s="40"/>
      <c r="I632" s="40"/>
      <c r="J632" s="40"/>
      <c r="K632" s="41"/>
      <c r="N632" s="12" t="s">
        <v>898</v>
      </c>
    </row>
    <row r="633" spans="2:14" ht="15" customHeight="1" x14ac:dyDescent="0.2">
      <c r="B633" s="38"/>
      <c r="C633" s="399"/>
      <c r="D633" s="400"/>
      <c r="E633" s="400"/>
      <c r="F633" s="400"/>
      <c r="G633" s="400"/>
      <c r="H633" s="400"/>
      <c r="I633" s="400"/>
      <c r="J633" s="401"/>
      <c r="K633" s="41"/>
    </row>
    <row r="634" spans="2:14" x14ac:dyDescent="0.2">
      <c r="B634" s="38"/>
      <c r="C634" s="40"/>
      <c r="D634" s="40"/>
      <c r="E634" s="40"/>
      <c r="F634" s="40"/>
      <c r="G634" s="40"/>
      <c r="H634" s="40"/>
      <c r="I634" s="40"/>
      <c r="J634" s="40"/>
      <c r="K634" s="41"/>
    </row>
    <row r="635" spans="2:14" x14ac:dyDescent="0.2">
      <c r="B635" s="38"/>
      <c r="C635" s="179" t="s">
        <v>328</v>
      </c>
      <c r="D635" s="40"/>
      <c r="E635" s="40"/>
      <c r="F635" s="40"/>
      <c r="G635" s="40"/>
      <c r="H635" s="40"/>
      <c r="I635" s="40"/>
      <c r="J635" s="245" t="str">
        <f>IF(J629="N/A",IF(OR(J622="Not Calculated",J631="Not Calculated")=TRUE,"Not Calculated",AVERAGE(J622,J631)),AVERAGE(J629,J631))</f>
        <v>Not Calculated</v>
      </c>
      <c r="K635" s="41"/>
    </row>
    <row r="636" spans="2:14" x14ac:dyDescent="0.2">
      <c r="B636" s="38"/>
      <c r="C636" s="40"/>
      <c r="D636" s="40"/>
      <c r="E636" s="40"/>
      <c r="F636" s="40"/>
      <c r="G636" s="40"/>
      <c r="H636" s="40"/>
      <c r="I636" s="40"/>
      <c r="J636" s="40"/>
      <c r="K636" s="41"/>
    </row>
    <row r="637" spans="2:14" x14ac:dyDescent="0.2">
      <c r="B637" s="38"/>
      <c r="C637" s="40"/>
      <c r="D637" s="40"/>
      <c r="E637" s="40"/>
      <c r="F637" s="40"/>
      <c r="G637" s="40"/>
      <c r="H637" s="40"/>
      <c r="I637" s="40"/>
      <c r="J637" s="40"/>
      <c r="K637" s="41"/>
    </row>
    <row r="638" spans="2:14" ht="16" x14ac:dyDescent="0.2">
      <c r="B638" s="38"/>
      <c r="C638" s="45" t="s">
        <v>329</v>
      </c>
      <c r="D638" s="40"/>
      <c r="E638" s="40"/>
      <c r="F638" s="40"/>
      <c r="G638" s="40"/>
      <c r="H638" s="40"/>
      <c r="I638" s="40"/>
      <c r="J638" s="40"/>
      <c r="K638" s="41"/>
    </row>
    <row r="639" spans="2:14" ht="15" customHeight="1" x14ac:dyDescent="0.2">
      <c r="B639" s="38"/>
      <c r="C639" s="380" t="s">
        <v>339</v>
      </c>
      <c r="D639" s="380"/>
      <c r="E639" s="380"/>
      <c r="F639" s="380"/>
      <c r="G639" s="380"/>
      <c r="H639" s="380"/>
      <c r="I639" s="380"/>
      <c r="J639" s="40"/>
      <c r="K639" s="41"/>
    </row>
    <row r="640" spans="2:14" x14ac:dyDescent="0.2">
      <c r="B640" s="38"/>
      <c r="C640" s="380"/>
      <c r="D640" s="380"/>
      <c r="E640" s="380"/>
      <c r="F640" s="380"/>
      <c r="G640" s="380"/>
      <c r="H640" s="380"/>
      <c r="I640" s="380"/>
      <c r="J640" s="250">
        <f>'Baseline Health'!G145</f>
        <v>0</v>
      </c>
      <c r="K640" s="41"/>
    </row>
    <row r="641" spans="2:14" ht="15" customHeight="1" x14ac:dyDescent="0.2">
      <c r="B641" s="38"/>
      <c r="C641" s="380" t="s">
        <v>340</v>
      </c>
      <c r="D641" s="380"/>
      <c r="E641" s="380"/>
      <c r="F641" s="380"/>
      <c r="G641" s="380"/>
      <c r="H641" s="380"/>
      <c r="I641" s="380"/>
      <c r="J641" s="245"/>
      <c r="K641" s="41"/>
    </row>
    <row r="642" spans="2:14" x14ac:dyDescent="0.2">
      <c r="B642" s="38"/>
      <c r="C642" s="380"/>
      <c r="D642" s="380"/>
      <c r="E642" s="380"/>
      <c r="F642" s="380"/>
      <c r="G642" s="380"/>
      <c r="H642" s="380"/>
      <c r="I642" s="380"/>
      <c r="J642" s="245"/>
      <c r="K642" s="41"/>
    </row>
    <row r="643" spans="2:14" x14ac:dyDescent="0.2">
      <c r="B643" s="38"/>
      <c r="C643" s="380"/>
      <c r="D643" s="380"/>
      <c r="E643" s="380"/>
      <c r="F643" s="380"/>
      <c r="G643" s="380"/>
      <c r="H643" s="380"/>
      <c r="I643" s="380"/>
      <c r="J643" s="272"/>
      <c r="K643" s="41"/>
    </row>
    <row r="644" spans="2:14" x14ac:dyDescent="0.2">
      <c r="B644" s="38"/>
      <c r="C644" s="40" t="s">
        <v>260</v>
      </c>
      <c r="D644" s="40"/>
      <c r="E644" s="40"/>
      <c r="F644" s="40"/>
      <c r="G644" s="40"/>
      <c r="H644" s="40"/>
      <c r="I644" s="40"/>
      <c r="J644" s="245" t="str">
        <f>IF(OR(J640=0,J640="Not Calculated")=TRUE,"Not Calculated",IF(((J640+J643)/J640)&lt;=1,0,IF(((J640+J643)/J640)&lt;=1.05,1,IF(((J640+J643)/J640)&lt;=1.5, 2,IF(((J640+J643)/J640)&lt;=2,3,4)))))</f>
        <v>Not Calculated</v>
      </c>
      <c r="K644" s="41"/>
    </row>
    <row r="645" spans="2:14" ht="9.75" customHeight="1" x14ac:dyDescent="0.2">
      <c r="B645" s="38"/>
      <c r="C645" s="279" t="str">
        <f>"0:"</f>
        <v>0:</v>
      </c>
      <c r="D645" s="281" t="s">
        <v>918</v>
      </c>
      <c r="E645" s="291"/>
      <c r="F645" s="291"/>
      <c r="G645" s="291"/>
      <c r="H645" s="291"/>
      <c r="I645" s="291"/>
      <c r="J645" s="250"/>
      <c r="K645" s="41"/>
    </row>
    <row r="646" spans="2:14" ht="9.75" customHeight="1" x14ac:dyDescent="0.2">
      <c r="B646" s="38"/>
      <c r="C646" s="280" t="str">
        <f>"1:"</f>
        <v>1:</v>
      </c>
      <c r="D646" s="281" t="s">
        <v>919</v>
      </c>
      <c r="E646" s="291"/>
      <c r="F646" s="291"/>
      <c r="G646" s="291"/>
      <c r="H646" s="291"/>
      <c r="I646" s="291"/>
      <c r="J646" s="250"/>
      <c r="K646" s="41"/>
    </row>
    <row r="647" spans="2:14" ht="9.75" customHeight="1" x14ac:dyDescent="0.2">
      <c r="B647" s="38"/>
      <c r="C647" s="280" t="str">
        <f>"2:"</f>
        <v>2:</v>
      </c>
      <c r="D647" s="281" t="s">
        <v>920</v>
      </c>
      <c r="E647" s="291"/>
      <c r="F647" s="291"/>
      <c r="G647" s="291"/>
      <c r="H647" s="291"/>
      <c r="I647" s="291"/>
      <c r="J647" s="250"/>
      <c r="K647" s="41"/>
    </row>
    <row r="648" spans="2:14" ht="9.75" customHeight="1" x14ac:dyDescent="0.2">
      <c r="B648" s="38"/>
      <c r="C648" s="280" t="str">
        <f>"3:"</f>
        <v>3:</v>
      </c>
      <c r="D648" s="281" t="s">
        <v>921</v>
      </c>
      <c r="E648" s="291"/>
      <c r="F648" s="291"/>
      <c r="G648" s="291"/>
      <c r="H648" s="291"/>
      <c r="I648" s="291"/>
      <c r="J648" s="250"/>
      <c r="K648" s="41"/>
    </row>
    <row r="649" spans="2:14" ht="9.75" customHeight="1" x14ac:dyDescent="0.2">
      <c r="B649" s="38"/>
      <c r="C649" s="280" t="str">
        <f>"4:"</f>
        <v>4:</v>
      </c>
      <c r="D649" s="281" t="s">
        <v>922</v>
      </c>
      <c r="E649" s="40"/>
      <c r="F649" s="40"/>
      <c r="G649" s="40"/>
      <c r="H649" s="40"/>
      <c r="I649" s="40"/>
      <c r="J649" s="40"/>
      <c r="K649" s="41"/>
      <c r="N649" s="12" t="s">
        <v>661</v>
      </c>
    </row>
    <row r="650" spans="2:14" x14ac:dyDescent="0.2">
      <c r="B650" s="38"/>
      <c r="C650" s="174" t="s">
        <v>662</v>
      </c>
      <c r="D650" s="40"/>
      <c r="E650" s="40"/>
      <c r="F650" s="40"/>
      <c r="G650" s="40"/>
      <c r="H650" s="40"/>
      <c r="I650" s="40"/>
      <c r="J650" s="265" t="s">
        <v>661</v>
      </c>
      <c r="K650" s="41"/>
      <c r="N650" s="12" t="s">
        <v>894</v>
      </c>
    </row>
    <row r="651" spans="2:14" x14ac:dyDescent="0.2">
      <c r="B651" s="38"/>
      <c r="C651" s="174" t="s">
        <v>660</v>
      </c>
      <c r="D651" s="40"/>
      <c r="E651" s="40"/>
      <c r="F651" s="40"/>
      <c r="G651" s="40"/>
      <c r="H651" s="40"/>
      <c r="I651" s="40"/>
      <c r="J651" s="247" t="str">
        <f>IF(J650=N649,"N/A",IF(J650=N650,0,IF(J650=N651,1,IF(J650=N652,2,IF(J650=N653,3,IF(J650=N654,4,"N/A"))))))</f>
        <v>N/A</v>
      </c>
      <c r="K651" s="41"/>
      <c r="N651" s="12" t="s">
        <v>895</v>
      </c>
    </row>
    <row r="652" spans="2:14" ht="15" customHeight="1" x14ac:dyDescent="0.2">
      <c r="B652" s="38"/>
      <c r="C652" s="40" t="s">
        <v>257</v>
      </c>
      <c r="D652" s="40"/>
      <c r="E652" s="40"/>
      <c r="F652" s="40"/>
      <c r="G652" s="40"/>
      <c r="H652" s="40"/>
      <c r="I652" s="40"/>
      <c r="J652" s="266"/>
      <c r="K652" s="41"/>
      <c r="N652" s="12" t="s">
        <v>896</v>
      </c>
    </row>
    <row r="653" spans="2:14" x14ac:dyDescent="0.2">
      <c r="B653" s="38"/>
      <c r="C653" s="40" t="s">
        <v>261</v>
      </c>
      <c r="D653" s="40"/>
      <c r="E653" s="40"/>
      <c r="F653" s="40"/>
      <c r="G653" s="40"/>
      <c r="H653" s="40"/>
      <c r="I653" s="40"/>
      <c r="J653" s="245" t="str">
        <f>IF(J652=$B$973,$A$973,IF(J652=$B$974,$A$974,IF(J652=$B$975,$A$975,IF(J652=$B$976,$A$976,IF(J652=$B$977,$A$977,"Not Calculated")))))</f>
        <v>Not Calculated</v>
      </c>
      <c r="K653" s="41"/>
      <c r="N653" s="12" t="s">
        <v>897</v>
      </c>
    </row>
    <row r="654" spans="2:14" x14ac:dyDescent="0.2">
      <c r="B654" s="38"/>
      <c r="C654" s="40" t="s">
        <v>893</v>
      </c>
      <c r="D654" s="40"/>
      <c r="E654" s="40"/>
      <c r="F654" s="40"/>
      <c r="G654" s="40"/>
      <c r="H654" s="40"/>
      <c r="I654" s="40"/>
      <c r="J654" s="40"/>
      <c r="K654" s="41"/>
      <c r="N654" s="12" t="s">
        <v>898</v>
      </c>
    </row>
    <row r="655" spans="2:14" x14ac:dyDescent="0.2">
      <c r="B655" s="38"/>
      <c r="C655" s="399"/>
      <c r="D655" s="400"/>
      <c r="E655" s="400"/>
      <c r="F655" s="400"/>
      <c r="G655" s="400"/>
      <c r="H655" s="400"/>
      <c r="I655" s="400"/>
      <c r="J655" s="401"/>
      <c r="K655" s="41"/>
    </row>
    <row r="656" spans="2:14" x14ac:dyDescent="0.2">
      <c r="B656" s="38"/>
      <c r="C656" s="40"/>
      <c r="D656" s="40"/>
      <c r="E656" s="40"/>
      <c r="F656" s="40"/>
      <c r="G656" s="40"/>
      <c r="H656" s="40"/>
      <c r="I656" s="40"/>
      <c r="J656" s="40"/>
      <c r="K656" s="41"/>
    </row>
    <row r="657" spans="2:14" x14ac:dyDescent="0.2">
      <c r="B657" s="38"/>
      <c r="C657" s="179" t="s">
        <v>330</v>
      </c>
      <c r="D657" s="40"/>
      <c r="E657" s="40"/>
      <c r="F657" s="40"/>
      <c r="G657" s="40"/>
      <c r="H657" s="40"/>
      <c r="I657" s="40"/>
      <c r="J657" s="245" t="str">
        <f>IF(J651="N/A",IF(OR(J644="Not Calculated",J653="Not Calculated")=TRUE,"Not Calculated",AVERAGE(J644,J653)),AVERAGE(J651,J653))</f>
        <v>Not Calculated</v>
      </c>
      <c r="K657" s="41"/>
    </row>
    <row r="658" spans="2:14" x14ac:dyDescent="0.2">
      <c r="B658" s="38"/>
      <c r="C658" s="40"/>
      <c r="D658" s="40"/>
      <c r="E658" s="40"/>
      <c r="F658" s="40"/>
      <c r="G658" s="40"/>
      <c r="H658" s="40"/>
      <c r="I658" s="40"/>
      <c r="J658" s="40"/>
      <c r="K658" s="41"/>
    </row>
    <row r="659" spans="2:14" x14ac:dyDescent="0.2">
      <c r="B659" s="38"/>
      <c r="C659" s="40"/>
      <c r="D659" s="40"/>
      <c r="E659" s="40"/>
      <c r="F659" s="40"/>
      <c r="G659" s="40"/>
      <c r="H659" s="40"/>
      <c r="I659" s="40"/>
      <c r="J659" s="40"/>
      <c r="K659" s="41"/>
    </row>
    <row r="660" spans="2:14" ht="16" x14ac:dyDescent="0.2">
      <c r="B660" s="38"/>
      <c r="C660" s="45" t="s">
        <v>97</v>
      </c>
      <c r="D660" s="40"/>
      <c r="E660" s="40"/>
      <c r="F660" s="40"/>
      <c r="G660" s="40"/>
      <c r="H660" s="40"/>
      <c r="I660" s="40"/>
      <c r="J660" s="40"/>
      <c r="K660" s="41"/>
    </row>
    <row r="661" spans="2:14" x14ac:dyDescent="0.2">
      <c r="B661" s="38"/>
      <c r="C661" s="40" t="s">
        <v>449</v>
      </c>
      <c r="D661" s="40"/>
      <c r="E661" s="40"/>
      <c r="F661" s="40"/>
      <c r="G661" s="40"/>
      <c r="H661" s="40"/>
      <c r="I661" s="40"/>
      <c r="J661" s="263">
        <f>'Baseline Health'!G150</f>
        <v>0</v>
      </c>
      <c r="K661" s="41"/>
    </row>
    <row r="662" spans="2:14" x14ac:dyDescent="0.2">
      <c r="B662" s="38"/>
      <c r="C662" s="40" t="s">
        <v>341</v>
      </c>
      <c r="D662" s="40"/>
      <c r="E662" s="40"/>
      <c r="F662" s="40"/>
      <c r="G662" s="40"/>
      <c r="H662" s="40"/>
      <c r="I662" s="40"/>
      <c r="J662" s="273"/>
      <c r="K662" s="41"/>
    </row>
    <row r="663" spans="2:14" x14ac:dyDescent="0.2">
      <c r="B663" s="38"/>
      <c r="C663" s="40" t="s">
        <v>450</v>
      </c>
      <c r="D663" s="40"/>
      <c r="E663" s="40"/>
      <c r="F663" s="40"/>
      <c r="G663" s="40"/>
      <c r="H663" s="40"/>
      <c r="I663" s="40"/>
      <c r="J663" s="263">
        <f>J26</f>
        <v>0</v>
      </c>
      <c r="K663" s="41"/>
    </row>
    <row r="664" spans="2:14" ht="15" customHeight="1" x14ac:dyDescent="0.2">
      <c r="B664" s="38"/>
      <c r="C664" s="291"/>
      <c r="D664" s="380" t="s">
        <v>342</v>
      </c>
      <c r="E664" s="380"/>
      <c r="F664" s="380"/>
      <c r="G664" s="380"/>
      <c r="H664" s="380"/>
      <c r="I664" s="380"/>
      <c r="J664" s="245"/>
      <c r="K664" s="41"/>
    </row>
    <row r="665" spans="2:14" x14ac:dyDescent="0.2">
      <c r="B665" s="38"/>
      <c r="C665" s="291"/>
      <c r="D665" s="380"/>
      <c r="E665" s="380"/>
      <c r="F665" s="380"/>
      <c r="G665" s="380"/>
      <c r="H665" s="380"/>
      <c r="I665" s="380"/>
      <c r="J665" s="245"/>
      <c r="K665" s="41"/>
    </row>
    <row r="666" spans="2:14" x14ac:dyDescent="0.2">
      <c r="B666" s="38"/>
      <c r="C666" s="40" t="s">
        <v>260</v>
      </c>
      <c r="D666" s="40"/>
      <c r="E666" s="40"/>
      <c r="F666" s="40"/>
      <c r="G666" s="40"/>
      <c r="H666" s="40"/>
      <c r="I666" s="40"/>
      <c r="J666" s="245" t="str">
        <f>IF(OR(J661=0,J661="Not Calculated")=TRUE,"Not Calculated",IF(((J661+J663)/(J661-J662))&lt;=1,0,IF(((J661+J663)/(J661-J662))&lt;=1.1,1,IF(((J661+J663)/(J661-J662))&lt;=1.5, 2,IF(((J661+J663)/(J661-J662))&lt;=2,3,4)))))</f>
        <v>Not Calculated</v>
      </c>
      <c r="K666" s="41"/>
    </row>
    <row r="667" spans="2:14" ht="9.75" customHeight="1" x14ac:dyDescent="0.2">
      <c r="B667" s="38"/>
      <c r="C667" s="279" t="str">
        <f>"0:"</f>
        <v>0:</v>
      </c>
      <c r="D667" s="278" t="s">
        <v>918</v>
      </c>
      <c r="E667" s="291"/>
      <c r="F667" s="291"/>
      <c r="G667" s="291"/>
      <c r="H667" s="291"/>
      <c r="I667" s="291"/>
      <c r="J667" s="245"/>
      <c r="K667" s="41"/>
    </row>
    <row r="668" spans="2:14" ht="9.75" customHeight="1" x14ac:dyDescent="0.2">
      <c r="B668" s="38"/>
      <c r="C668" s="280" t="str">
        <f>"1:"</f>
        <v>1:</v>
      </c>
      <c r="D668" s="278" t="s">
        <v>923</v>
      </c>
      <c r="E668" s="291"/>
      <c r="F668" s="291"/>
      <c r="G668" s="291"/>
      <c r="H668" s="291"/>
      <c r="I668" s="291"/>
      <c r="J668" s="245"/>
      <c r="K668" s="41"/>
    </row>
    <row r="669" spans="2:14" ht="9.75" customHeight="1" x14ac:dyDescent="0.2">
      <c r="B669" s="38"/>
      <c r="C669" s="280" t="str">
        <f>"2:"</f>
        <v>2:</v>
      </c>
      <c r="D669" s="278" t="s">
        <v>924</v>
      </c>
      <c r="E669" s="291"/>
      <c r="F669" s="291"/>
      <c r="G669" s="291"/>
      <c r="H669" s="291"/>
      <c r="I669" s="291"/>
      <c r="J669" s="245"/>
      <c r="K669" s="41"/>
    </row>
    <row r="670" spans="2:14" ht="9.75" customHeight="1" x14ac:dyDescent="0.2">
      <c r="B670" s="38"/>
      <c r="C670" s="280" t="str">
        <f>"3:"</f>
        <v>3:</v>
      </c>
      <c r="D670" s="278" t="s">
        <v>925</v>
      </c>
      <c r="E670" s="291"/>
      <c r="F670" s="291"/>
      <c r="G670" s="291"/>
      <c r="H670" s="291"/>
      <c r="I670" s="291"/>
      <c r="J670" s="245"/>
      <c r="K670" s="41"/>
    </row>
    <row r="671" spans="2:14" ht="9.75" customHeight="1" x14ac:dyDescent="0.2">
      <c r="B671" s="38"/>
      <c r="C671" s="280" t="str">
        <f>"4:"</f>
        <v>4:</v>
      </c>
      <c r="D671" s="278" t="s">
        <v>926</v>
      </c>
      <c r="E671" s="40"/>
      <c r="F671" s="40"/>
      <c r="G671" s="40"/>
      <c r="H671" s="40"/>
      <c r="I671" s="40"/>
      <c r="J671" s="40"/>
      <c r="K671" s="41"/>
      <c r="N671" s="12" t="s">
        <v>661</v>
      </c>
    </row>
    <row r="672" spans="2:14" ht="15" customHeight="1" x14ac:dyDescent="0.2">
      <c r="B672" s="38"/>
      <c r="C672" s="174" t="s">
        <v>662</v>
      </c>
      <c r="D672" s="40"/>
      <c r="E672" s="40"/>
      <c r="F672" s="40"/>
      <c r="G672" s="40"/>
      <c r="H672" s="40"/>
      <c r="I672" s="40"/>
      <c r="J672" s="265" t="s">
        <v>661</v>
      </c>
      <c r="K672" s="41"/>
      <c r="N672" s="12" t="s">
        <v>894</v>
      </c>
    </row>
    <row r="673" spans="2:14" ht="15" customHeight="1" x14ac:dyDescent="0.2">
      <c r="B673" s="38"/>
      <c r="C673" s="174" t="s">
        <v>660</v>
      </c>
      <c r="D673" s="40"/>
      <c r="E673" s="40"/>
      <c r="F673" s="40"/>
      <c r="G673" s="40"/>
      <c r="H673" s="40"/>
      <c r="I673" s="40"/>
      <c r="J673" s="246" t="str">
        <f>IF(J672=N671,"N/A",IF(J672=N672,0,IF(J672=N673,1,IF(J672=N674,2,IF(J672=N675,3,IF(J672=N676,4,"N/A"))))))</f>
        <v>N/A</v>
      </c>
      <c r="K673" s="41"/>
      <c r="N673" s="12" t="s">
        <v>908</v>
      </c>
    </row>
    <row r="674" spans="2:14" ht="15" customHeight="1" x14ac:dyDescent="0.2">
      <c r="B674" s="38"/>
      <c r="C674" s="40" t="s">
        <v>257</v>
      </c>
      <c r="D674" s="40"/>
      <c r="E674" s="40"/>
      <c r="F674" s="40"/>
      <c r="G674" s="40"/>
      <c r="H674" s="40"/>
      <c r="I674" s="40"/>
      <c r="J674" s="266"/>
      <c r="K674" s="41"/>
      <c r="N674" s="12" t="s">
        <v>900</v>
      </c>
    </row>
    <row r="675" spans="2:14" x14ac:dyDescent="0.2">
      <c r="B675" s="38"/>
      <c r="C675" s="40" t="s">
        <v>261</v>
      </c>
      <c r="D675" s="40"/>
      <c r="E675" s="40"/>
      <c r="F675" s="40"/>
      <c r="G675" s="40"/>
      <c r="H675" s="40"/>
      <c r="I675" s="40"/>
      <c r="J675" s="245" t="str">
        <f>IF(J674=$B$973,$A$973,IF(J674=$B$974,$A$974,IF(J674=$B$975,$A$975,IF(J674=$B$976,$A$976,IF(J674=$B$977,$A$977,"Not Calculated")))))</f>
        <v>Not Calculated</v>
      </c>
      <c r="K675" s="41"/>
      <c r="N675" s="12" t="s">
        <v>901</v>
      </c>
    </row>
    <row r="676" spans="2:14" ht="15" customHeight="1" x14ac:dyDescent="0.2">
      <c r="B676" s="38"/>
      <c r="C676" s="40" t="s">
        <v>893</v>
      </c>
      <c r="D676" s="40"/>
      <c r="E676" s="40"/>
      <c r="F676" s="40"/>
      <c r="G676" s="40"/>
      <c r="H676" s="40"/>
      <c r="I676" s="40"/>
      <c r="J676" s="40"/>
      <c r="K676" s="41"/>
      <c r="N676" s="12" t="s">
        <v>909</v>
      </c>
    </row>
    <row r="677" spans="2:14" ht="15" customHeight="1" x14ac:dyDescent="0.2">
      <c r="B677" s="38"/>
      <c r="C677" s="399"/>
      <c r="D677" s="400"/>
      <c r="E677" s="400"/>
      <c r="F677" s="400"/>
      <c r="G677" s="400"/>
      <c r="H677" s="400"/>
      <c r="I677" s="400"/>
      <c r="J677" s="401"/>
      <c r="K677" s="41"/>
    </row>
    <row r="678" spans="2:14" x14ac:dyDescent="0.2">
      <c r="B678" s="38"/>
      <c r="C678" s="40"/>
      <c r="D678" s="40"/>
      <c r="E678" s="40"/>
      <c r="F678" s="40"/>
      <c r="G678" s="40"/>
      <c r="H678" s="40"/>
      <c r="I678" s="40"/>
      <c r="J678" s="40"/>
      <c r="K678" s="41"/>
    </row>
    <row r="679" spans="2:14" x14ac:dyDescent="0.2">
      <c r="B679" s="38"/>
      <c r="C679" s="179" t="s">
        <v>331</v>
      </c>
      <c r="D679" s="40"/>
      <c r="E679" s="40"/>
      <c r="F679" s="40"/>
      <c r="G679" s="40"/>
      <c r="H679" s="40"/>
      <c r="I679" s="40"/>
      <c r="J679" s="245" t="str">
        <f>IF(J673="N/A",IF(OR(J666="Not Calculated",J675="Not Calculated")=TRUE,"Not Calculated",AVERAGE(J666,J675)),AVERAGE(J673,J675))</f>
        <v>Not Calculated</v>
      </c>
      <c r="K679" s="41"/>
    </row>
    <row r="680" spans="2:14" x14ac:dyDescent="0.2">
      <c r="B680" s="38"/>
      <c r="C680" s="40"/>
      <c r="D680" s="40"/>
      <c r="E680" s="40"/>
      <c r="F680" s="40"/>
      <c r="G680" s="40"/>
      <c r="H680" s="40"/>
      <c r="I680" s="40"/>
      <c r="J680" s="40"/>
      <c r="K680" s="41"/>
    </row>
    <row r="681" spans="2:14" ht="18" x14ac:dyDescent="0.2">
      <c r="B681" s="38"/>
      <c r="C681" s="180" t="s">
        <v>332</v>
      </c>
      <c r="D681" s="40"/>
      <c r="E681" s="40"/>
      <c r="F681" s="40"/>
      <c r="G681" s="40"/>
      <c r="H681" s="40"/>
      <c r="I681" s="40"/>
      <c r="J681" s="244" t="str">
        <f>IF(OR(J562="Not Calculated",J585="Not Calculated",J601="Not Calculated",J615="Not Calculated",J635="Not Calculated",J657="Not Calculated",J679="Not Calculated")=TRUE,"Not Calculated",AVERAGE(J562,J585,J601,J615,J635,J657,J679))</f>
        <v>Not Calculated</v>
      </c>
      <c r="K681" s="41"/>
    </row>
    <row r="682" spans="2:14" ht="16" thickBot="1" x14ac:dyDescent="0.25">
      <c r="B682" s="46"/>
      <c r="C682" s="47"/>
      <c r="D682" s="47"/>
      <c r="E682" s="47"/>
      <c r="F682" s="47"/>
      <c r="G682" s="47"/>
      <c r="H682" s="47"/>
      <c r="I682" s="47"/>
      <c r="J682" s="47"/>
      <c r="K682" s="49"/>
    </row>
    <row r="683" spans="2:14" ht="16" thickBot="1" x14ac:dyDescent="0.25"/>
    <row r="684" spans="2:14" x14ac:dyDescent="0.2">
      <c r="B684" s="33"/>
      <c r="C684" s="34"/>
      <c r="D684" s="34"/>
      <c r="E684" s="34"/>
      <c r="F684" s="34"/>
      <c r="G684" s="34"/>
      <c r="H684" s="34"/>
      <c r="I684" s="34"/>
      <c r="J684" s="34"/>
      <c r="K684" s="37"/>
    </row>
    <row r="685" spans="2:14" ht="21" x14ac:dyDescent="0.25">
      <c r="B685" s="38"/>
      <c r="C685" s="40"/>
      <c r="D685" s="40"/>
      <c r="E685" s="40"/>
      <c r="F685" s="40"/>
      <c r="G685" s="172" t="s">
        <v>346</v>
      </c>
      <c r="H685" s="40"/>
      <c r="I685" s="40"/>
      <c r="J685" s="40"/>
      <c r="K685" s="41"/>
    </row>
    <row r="686" spans="2:14" x14ac:dyDescent="0.2">
      <c r="B686" s="38"/>
      <c r="C686" s="40"/>
      <c r="D686" s="40"/>
      <c r="E686" s="40"/>
      <c r="F686" s="40"/>
      <c r="G686" s="40"/>
      <c r="H686" s="40"/>
      <c r="I686" s="40"/>
      <c r="J686" s="40"/>
      <c r="K686" s="41"/>
    </row>
    <row r="687" spans="2:14" ht="16" x14ac:dyDescent="0.2">
      <c r="B687" s="38"/>
      <c r="C687" s="182" t="s">
        <v>986</v>
      </c>
      <c r="D687" s="40"/>
      <c r="E687" s="40"/>
      <c r="F687" s="40"/>
      <c r="G687" s="40"/>
      <c r="H687" s="40"/>
      <c r="I687" s="40"/>
      <c r="J687" s="257" t="str">
        <f>IF(OR($J$133="Not Calculated",$J$261="Not Calculated",$J$421="Not Calculated",$J$539="Not Calculated",$J$681="Not Calculated")=TRUE,"Not Calculated",AVERAGE($J$133,$J$261,$J$421,$J$539,$J$681))</f>
        <v>Not Calculated</v>
      </c>
      <c r="K687" s="41"/>
    </row>
    <row r="688" spans="2:14" x14ac:dyDescent="0.2">
      <c r="B688" s="38"/>
      <c r="C688" s="40"/>
      <c r="D688" s="40" t="s">
        <v>343</v>
      </c>
      <c r="E688" s="40"/>
      <c r="F688" s="40"/>
      <c r="G688" s="40"/>
      <c r="H688" s="40"/>
      <c r="I688" s="40"/>
      <c r="J688" s="40"/>
      <c r="K688" s="41"/>
    </row>
    <row r="689" spans="2:11" ht="15" customHeight="1" x14ac:dyDescent="0.2">
      <c r="B689" s="38"/>
      <c r="C689" s="40"/>
      <c r="D689" s="40"/>
      <c r="E689" s="40"/>
      <c r="F689" s="40"/>
      <c r="G689" s="40"/>
      <c r="H689" s="40"/>
      <c r="I689" s="40"/>
      <c r="J689" s="40"/>
      <c r="K689" s="41"/>
    </row>
    <row r="690" spans="2:11" ht="16" x14ac:dyDescent="0.2">
      <c r="B690" s="38"/>
      <c r="C690" s="182" t="s">
        <v>987</v>
      </c>
      <c r="D690" s="40"/>
      <c r="E690" s="40"/>
      <c r="F690" s="40"/>
      <c r="G690" s="40"/>
      <c r="H690" s="40"/>
      <c r="I690" s="40"/>
      <c r="J690" s="257" t="str">
        <f>IF(OR($J$133="Not Calculated",$J$261="Not Calculated",$J$539="Not Calculated",$J$681="Not Calculated")=TRUE,"Not Calculated",AVERAGE($J$133,$J$261,$J$539,$J$681))</f>
        <v>Not Calculated</v>
      </c>
      <c r="K690" s="41"/>
    </row>
    <row r="691" spans="2:11" ht="15" customHeight="1" x14ac:dyDescent="0.2">
      <c r="B691" s="38"/>
      <c r="C691" s="40"/>
      <c r="D691" s="40" t="s">
        <v>344</v>
      </c>
      <c r="E691" s="40"/>
      <c r="F691" s="40"/>
      <c r="G691" s="40"/>
      <c r="H691" s="40"/>
      <c r="I691" s="40"/>
      <c r="J691" s="40"/>
      <c r="K691" s="41"/>
    </row>
    <row r="692" spans="2:11" x14ac:dyDescent="0.2">
      <c r="B692" s="38"/>
      <c r="C692" s="40"/>
      <c r="D692" s="40"/>
      <c r="E692" s="40"/>
      <c r="F692" s="40"/>
      <c r="G692" s="40"/>
      <c r="H692" s="40"/>
      <c r="I692" s="40"/>
      <c r="J692" s="40"/>
      <c r="K692" s="41"/>
    </row>
    <row r="693" spans="2:11" ht="16" x14ac:dyDescent="0.2">
      <c r="B693" s="38"/>
      <c r="C693" s="182" t="s">
        <v>988</v>
      </c>
      <c r="D693" s="40"/>
      <c r="E693" s="40"/>
      <c r="F693" s="40"/>
      <c r="G693" s="40"/>
      <c r="H693" s="40"/>
      <c r="I693" s="40"/>
      <c r="J693" s="257" t="str">
        <f>IF(OR($J$133="Not Calculated",$J$261="Not Calculated",$J$421="Not Calculated")=TRUE,"Not Calculated",AVERAGE($J$133,$J$261,$J$421))</f>
        <v>Not Calculated</v>
      </c>
      <c r="K693" s="41"/>
    </row>
    <row r="694" spans="2:11" x14ac:dyDescent="0.2">
      <c r="B694" s="38"/>
      <c r="C694" s="40"/>
      <c r="D694" s="40" t="s">
        <v>345</v>
      </c>
      <c r="E694" s="40"/>
      <c r="F694" s="40"/>
      <c r="G694" s="40"/>
      <c r="H694" s="40"/>
      <c r="I694" s="40"/>
      <c r="J694" s="40"/>
      <c r="K694" s="41"/>
    </row>
    <row r="695" spans="2:11" ht="16" thickBot="1" x14ac:dyDescent="0.25">
      <c r="B695" s="46"/>
      <c r="C695" s="47"/>
      <c r="D695" s="47"/>
      <c r="E695" s="47"/>
      <c r="F695" s="47"/>
      <c r="G695" s="47"/>
      <c r="H695" s="47"/>
      <c r="I695" s="47"/>
      <c r="J695" s="47"/>
      <c r="K695" s="49"/>
    </row>
    <row r="696" spans="2:11" ht="16" thickBot="1" x14ac:dyDescent="0.25"/>
    <row r="697" spans="2:11" x14ac:dyDescent="0.2">
      <c r="B697" s="183"/>
      <c r="C697" s="184"/>
      <c r="D697" s="184"/>
      <c r="E697" s="184"/>
      <c r="F697" s="184"/>
      <c r="G697" s="184"/>
      <c r="H697" s="184"/>
      <c r="I697" s="184"/>
      <c r="J697" s="184"/>
      <c r="K697" s="185"/>
    </row>
    <row r="698" spans="2:11" ht="21" x14ac:dyDescent="0.25">
      <c r="B698" s="186"/>
      <c r="C698" s="187"/>
      <c r="D698" s="187"/>
      <c r="E698" s="187"/>
      <c r="F698" s="187"/>
      <c r="G698" s="188" t="s">
        <v>231</v>
      </c>
      <c r="H698" s="187"/>
      <c r="I698" s="187"/>
      <c r="J698" s="187"/>
      <c r="K698" s="189"/>
    </row>
    <row r="699" spans="2:11" x14ac:dyDescent="0.2">
      <c r="B699" s="186"/>
      <c r="C699" s="187"/>
      <c r="D699" s="187"/>
      <c r="E699" s="187"/>
      <c r="F699" s="187"/>
      <c r="G699" s="187"/>
      <c r="H699" s="187"/>
      <c r="I699" s="187"/>
      <c r="J699" s="187"/>
      <c r="K699" s="189"/>
    </row>
    <row r="700" spans="2:11" ht="16" x14ac:dyDescent="0.2">
      <c r="B700" s="186"/>
      <c r="C700" s="190" t="s">
        <v>989</v>
      </c>
      <c r="D700" s="187"/>
      <c r="E700" s="187"/>
      <c r="F700" s="187"/>
      <c r="G700" s="187"/>
      <c r="H700" s="187"/>
      <c r="I700" s="187"/>
      <c r="J700" s="256" t="str">
        <f>IF(OR(J687="Not Calculated",$E$17="Not Calculated")=TRUE,"Not Calculated",(J687*$E$17*100/16))</f>
        <v>Not Calculated</v>
      </c>
      <c r="K700" s="189"/>
    </row>
    <row r="701" spans="2:11" x14ac:dyDescent="0.2">
      <c r="B701" s="186"/>
      <c r="C701" s="187"/>
      <c r="D701" s="187" t="s">
        <v>377</v>
      </c>
      <c r="E701" s="187"/>
      <c r="F701" s="187"/>
      <c r="G701" s="187"/>
      <c r="H701" s="187"/>
      <c r="I701" s="187"/>
      <c r="J701" s="187"/>
      <c r="K701" s="189"/>
    </row>
    <row r="702" spans="2:11" x14ac:dyDescent="0.2">
      <c r="B702" s="186"/>
      <c r="C702" s="187"/>
      <c r="D702" s="187"/>
      <c r="E702" s="187"/>
      <c r="F702" s="187"/>
      <c r="G702" s="187"/>
      <c r="H702" s="187"/>
      <c r="I702" s="187"/>
      <c r="J702" s="187"/>
      <c r="K702" s="189"/>
    </row>
    <row r="703" spans="2:11" ht="16" x14ac:dyDescent="0.2">
      <c r="B703" s="186"/>
      <c r="C703" s="190" t="s">
        <v>990</v>
      </c>
      <c r="D703" s="187"/>
      <c r="E703" s="187"/>
      <c r="F703" s="187"/>
      <c r="G703" s="187"/>
      <c r="H703" s="187"/>
      <c r="I703" s="187"/>
      <c r="J703" s="256" t="str">
        <f>IF(OR(J690="Not Calculated",$E$17="Not Calculated")=TRUE,"Not Calculated",(J690*$E$17*100/16))</f>
        <v>Not Calculated</v>
      </c>
      <c r="K703" s="189"/>
    </row>
    <row r="704" spans="2:11" x14ac:dyDescent="0.2">
      <c r="B704" s="186"/>
      <c r="C704" s="187"/>
      <c r="D704" s="187" t="s">
        <v>378</v>
      </c>
      <c r="E704" s="187"/>
      <c r="F704" s="187"/>
      <c r="G704" s="187"/>
      <c r="H704" s="187"/>
      <c r="I704" s="187"/>
      <c r="J704" s="187"/>
      <c r="K704" s="189"/>
    </row>
    <row r="705" spans="2:11" x14ac:dyDescent="0.2">
      <c r="B705" s="186"/>
      <c r="C705" s="187"/>
      <c r="D705" s="187"/>
      <c r="E705" s="187"/>
      <c r="F705" s="187"/>
      <c r="G705" s="187"/>
      <c r="H705" s="187"/>
      <c r="I705" s="187"/>
      <c r="J705" s="187"/>
      <c r="K705" s="189"/>
    </row>
    <row r="706" spans="2:11" ht="16" x14ac:dyDescent="0.2">
      <c r="B706" s="186"/>
      <c r="C706" s="190" t="s">
        <v>991</v>
      </c>
      <c r="D706" s="187"/>
      <c r="E706" s="187"/>
      <c r="F706" s="187"/>
      <c r="G706" s="187"/>
      <c r="H706" s="187"/>
      <c r="I706" s="187"/>
      <c r="J706" s="256" t="str">
        <f>IF(OR(J693="Not Calculated",$E$17="Not Calculated")=TRUE,"Not Calculated",(J693*$E$17*100/16))</f>
        <v>Not Calculated</v>
      </c>
      <c r="K706" s="189"/>
    </row>
    <row r="707" spans="2:11" x14ac:dyDescent="0.2">
      <c r="B707" s="186"/>
      <c r="C707" s="187"/>
      <c r="D707" s="187" t="s">
        <v>379</v>
      </c>
      <c r="E707" s="187"/>
      <c r="F707" s="187"/>
      <c r="G707" s="187"/>
      <c r="H707" s="187"/>
      <c r="I707" s="187"/>
      <c r="J707" s="187"/>
      <c r="K707" s="189"/>
    </row>
    <row r="708" spans="2:11" ht="16" thickBot="1" x14ac:dyDescent="0.25">
      <c r="B708" s="191"/>
      <c r="C708" s="192"/>
      <c r="D708" s="192"/>
      <c r="E708" s="192"/>
      <c r="F708" s="192"/>
      <c r="G708" s="192"/>
      <c r="H708" s="192"/>
      <c r="I708" s="192"/>
      <c r="J708" s="192"/>
      <c r="K708" s="193"/>
    </row>
    <row r="709" spans="2:11" ht="16" thickBot="1" x14ac:dyDescent="0.25"/>
    <row r="710" spans="2:11" x14ac:dyDescent="0.2">
      <c r="B710" s="53"/>
      <c r="C710" s="54"/>
      <c r="D710" s="54"/>
      <c r="E710" s="54"/>
      <c r="F710" s="54"/>
      <c r="G710" s="54"/>
      <c r="H710" s="54"/>
      <c r="I710" s="54"/>
      <c r="J710" s="54"/>
      <c r="K710" s="56"/>
    </row>
    <row r="711" spans="2:11" ht="21" x14ac:dyDescent="0.25">
      <c r="B711" s="57"/>
      <c r="C711" s="59"/>
      <c r="D711" s="59"/>
      <c r="E711" s="59"/>
      <c r="F711" s="59"/>
      <c r="G711" s="194" t="s">
        <v>232</v>
      </c>
      <c r="H711" s="59"/>
      <c r="I711" s="59"/>
      <c r="J711" s="59"/>
      <c r="K711" s="61"/>
    </row>
    <row r="712" spans="2:11" x14ac:dyDescent="0.2">
      <c r="B712" s="57"/>
      <c r="C712" s="59"/>
      <c r="D712" s="59"/>
      <c r="E712" s="59"/>
      <c r="F712" s="59"/>
      <c r="G712" s="59"/>
      <c r="H712" s="59"/>
      <c r="I712" s="59"/>
      <c r="J712" s="59"/>
      <c r="K712" s="61"/>
    </row>
    <row r="713" spans="2:11" ht="16" x14ac:dyDescent="0.2">
      <c r="B713" s="57"/>
      <c r="C713" s="195" t="s">
        <v>363</v>
      </c>
      <c r="D713" s="59"/>
      <c r="E713" s="59"/>
      <c r="F713" s="59"/>
      <c r="G713" s="59"/>
      <c r="H713" s="59"/>
      <c r="I713" s="59"/>
      <c r="J713" s="59"/>
      <c r="K713" s="61"/>
    </row>
    <row r="714" spans="2:11" ht="15" customHeight="1" x14ac:dyDescent="0.2">
      <c r="B714" s="57"/>
      <c r="C714" s="411" t="s">
        <v>364</v>
      </c>
      <c r="D714" s="411"/>
      <c r="E714" s="411"/>
      <c r="F714" s="411"/>
      <c r="G714" s="411"/>
      <c r="H714" s="411"/>
      <c r="I714" s="411"/>
      <c r="J714" s="411"/>
      <c r="K714" s="61"/>
    </row>
    <row r="715" spans="2:11" x14ac:dyDescent="0.2">
      <c r="B715" s="57"/>
      <c r="C715" s="411"/>
      <c r="D715" s="411"/>
      <c r="E715" s="411"/>
      <c r="F715" s="411"/>
      <c r="G715" s="411"/>
      <c r="H715" s="411"/>
      <c r="I715" s="411"/>
      <c r="J715" s="411"/>
      <c r="K715" s="61"/>
    </row>
    <row r="716" spans="2:11" x14ac:dyDescent="0.2">
      <c r="B716" s="57"/>
      <c r="C716" s="411"/>
      <c r="D716" s="411"/>
      <c r="E716" s="411"/>
      <c r="F716" s="411"/>
      <c r="G716" s="411"/>
      <c r="H716" s="411"/>
      <c r="I716" s="411"/>
      <c r="J716" s="411"/>
      <c r="K716" s="61"/>
    </row>
    <row r="717" spans="2:11" x14ac:dyDescent="0.2">
      <c r="B717" s="57"/>
      <c r="C717" s="196" t="s">
        <v>30</v>
      </c>
      <c r="D717" s="59"/>
      <c r="E717" s="59"/>
      <c r="F717" s="59"/>
      <c r="G717" s="431"/>
      <c r="H717" s="431"/>
      <c r="I717" s="59"/>
      <c r="J717" s="260" t="str">
        <f>IF(G717=$B$994,$A$994,IF(G717=$B$995,$A$995,"Not Calculated"))</f>
        <v>Not Calculated</v>
      </c>
      <c r="K717" s="61"/>
    </row>
    <row r="718" spans="2:11" x14ac:dyDescent="0.2">
      <c r="B718" s="57"/>
      <c r="C718" s="196" t="s">
        <v>32</v>
      </c>
      <c r="D718" s="59"/>
      <c r="E718" s="59"/>
      <c r="F718" s="59"/>
      <c r="G718" s="431"/>
      <c r="H718" s="431"/>
      <c r="I718" s="59"/>
      <c r="J718" s="260" t="str">
        <f t="shared" ref="J718:J725" si="0">IF(G718=$B$994,$A$994,IF(G718=$B$995,$A$995,"Not Calculated"))</f>
        <v>Not Calculated</v>
      </c>
      <c r="K718" s="61"/>
    </row>
    <row r="719" spans="2:11" x14ac:dyDescent="0.2">
      <c r="B719" s="57"/>
      <c r="C719" s="196" t="s">
        <v>34</v>
      </c>
      <c r="D719" s="59"/>
      <c r="E719" s="59"/>
      <c r="F719" s="59"/>
      <c r="G719" s="431"/>
      <c r="H719" s="431"/>
      <c r="I719" s="59"/>
      <c r="J719" s="260" t="str">
        <f t="shared" si="0"/>
        <v>Not Calculated</v>
      </c>
      <c r="K719" s="61"/>
    </row>
    <row r="720" spans="2:11" x14ac:dyDescent="0.2">
      <c r="B720" s="57"/>
      <c r="C720" s="196" t="s">
        <v>35</v>
      </c>
      <c r="D720" s="59"/>
      <c r="E720" s="59"/>
      <c r="F720" s="59"/>
      <c r="G720" s="431"/>
      <c r="H720" s="431"/>
      <c r="I720" s="59"/>
      <c r="J720" s="260" t="str">
        <f t="shared" si="0"/>
        <v>Not Calculated</v>
      </c>
      <c r="K720" s="61"/>
    </row>
    <row r="721" spans="2:11" x14ac:dyDescent="0.2">
      <c r="B721" s="57"/>
      <c r="C721" s="196" t="s">
        <v>37</v>
      </c>
      <c r="D721" s="59"/>
      <c r="E721" s="59"/>
      <c r="F721" s="59"/>
      <c r="G721" s="431"/>
      <c r="H721" s="431"/>
      <c r="I721" s="59"/>
      <c r="J721" s="260" t="str">
        <f t="shared" si="0"/>
        <v>Not Calculated</v>
      </c>
      <c r="K721" s="61"/>
    </row>
    <row r="722" spans="2:11" x14ac:dyDescent="0.2">
      <c r="B722" s="57"/>
      <c r="C722" s="196" t="s">
        <v>38</v>
      </c>
      <c r="D722" s="59"/>
      <c r="E722" s="59"/>
      <c r="F722" s="59"/>
      <c r="G722" s="431"/>
      <c r="H722" s="431"/>
      <c r="I722" s="59"/>
      <c r="J722" s="260" t="str">
        <f t="shared" si="0"/>
        <v>Not Calculated</v>
      </c>
      <c r="K722" s="61"/>
    </row>
    <row r="723" spans="2:11" x14ac:dyDescent="0.2">
      <c r="B723" s="57"/>
      <c r="C723" s="196" t="s">
        <v>40</v>
      </c>
      <c r="D723" s="59"/>
      <c r="E723" s="59"/>
      <c r="F723" s="59"/>
      <c r="G723" s="431"/>
      <c r="H723" s="431"/>
      <c r="I723" s="59"/>
      <c r="J723" s="260" t="str">
        <f t="shared" si="0"/>
        <v>Not Calculated</v>
      </c>
      <c r="K723" s="61"/>
    </row>
    <row r="724" spans="2:11" x14ac:dyDescent="0.2">
      <c r="B724" s="57"/>
      <c r="C724" s="196" t="s">
        <v>41</v>
      </c>
      <c r="D724" s="59"/>
      <c r="E724" s="59"/>
      <c r="F724" s="59"/>
      <c r="G724" s="431"/>
      <c r="H724" s="431"/>
      <c r="I724" s="59"/>
      <c r="J724" s="260" t="str">
        <f t="shared" si="0"/>
        <v>Not Calculated</v>
      </c>
      <c r="K724" s="61"/>
    </row>
    <row r="725" spans="2:11" x14ac:dyDescent="0.2">
      <c r="B725" s="57"/>
      <c r="C725" s="196" t="s">
        <v>43</v>
      </c>
      <c r="D725" s="59"/>
      <c r="E725" s="59"/>
      <c r="F725" s="59"/>
      <c r="G725" s="431"/>
      <c r="H725" s="431"/>
      <c r="I725" s="59"/>
      <c r="J725" s="260" t="str">
        <f t="shared" si="0"/>
        <v>Not Calculated</v>
      </c>
      <c r="K725" s="61"/>
    </row>
    <row r="726" spans="2:11" x14ac:dyDescent="0.2">
      <c r="B726" s="57"/>
      <c r="C726" s="59"/>
      <c r="D726" s="59"/>
      <c r="E726" s="59"/>
      <c r="F726" s="59"/>
      <c r="G726" s="59"/>
      <c r="H726" s="59"/>
      <c r="I726" s="59"/>
      <c r="J726" s="59"/>
      <c r="K726" s="61"/>
    </row>
    <row r="727" spans="2:11" x14ac:dyDescent="0.2">
      <c r="B727" s="57"/>
      <c r="C727" s="59"/>
      <c r="D727" s="59"/>
      <c r="E727" s="59"/>
      <c r="F727" s="59"/>
      <c r="G727" s="59"/>
      <c r="H727" s="59"/>
      <c r="I727" s="59"/>
      <c r="J727" s="59"/>
      <c r="K727" s="61"/>
    </row>
    <row r="728" spans="2:11" ht="16" x14ac:dyDescent="0.2">
      <c r="B728" s="57"/>
      <c r="C728" s="195" t="s">
        <v>115</v>
      </c>
      <c r="D728" s="59"/>
      <c r="E728" s="59"/>
      <c r="F728" s="59"/>
      <c r="G728" s="59"/>
      <c r="H728" s="59"/>
      <c r="I728" s="59"/>
      <c r="J728" s="59"/>
      <c r="K728" s="61"/>
    </row>
    <row r="729" spans="2:11" ht="15" customHeight="1" x14ac:dyDescent="0.2">
      <c r="B729" s="57"/>
      <c r="C729" s="411" t="s">
        <v>365</v>
      </c>
      <c r="D729" s="411"/>
      <c r="E729" s="411"/>
      <c r="F729" s="411"/>
      <c r="G729" s="411"/>
      <c r="H729" s="411"/>
      <c r="I729" s="411"/>
      <c r="J729" s="411"/>
      <c r="K729" s="61"/>
    </row>
    <row r="730" spans="2:11" x14ac:dyDescent="0.2">
      <c r="B730" s="57"/>
      <c r="C730" s="411"/>
      <c r="D730" s="411"/>
      <c r="E730" s="411"/>
      <c r="F730" s="411"/>
      <c r="G730" s="411"/>
      <c r="H730" s="411"/>
      <c r="I730" s="411"/>
      <c r="J730" s="411"/>
      <c r="K730" s="61"/>
    </row>
    <row r="731" spans="2:11" x14ac:dyDescent="0.2">
      <c r="B731" s="57"/>
      <c r="C731" s="411"/>
      <c r="D731" s="411"/>
      <c r="E731" s="411"/>
      <c r="F731" s="411"/>
      <c r="G731" s="411"/>
      <c r="H731" s="411"/>
      <c r="I731" s="411"/>
      <c r="J731" s="411"/>
      <c r="K731" s="61"/>
    </row>
    <row r="732" spans="2:11" x14ac:dyDescent="0.2">
      <c r="B732" s="57"/>
      <c r="C732" s="196" t="s">
        <v>30</v>
      </c>
      <c r="D732" s="59"/>
      <c r="E732" s="59"/>
      <c r="F732" s="59"/>
      <c r="G732" s="431"/>
      <c r="H732" s="431"/>
      <c r="I732" s="59"/>
      <c r="J732" s="260" t="str">
        <f>IF(G732=$B$994,$A$994,IF(G732=$B$995,$A$995,"Not Calculated"))</f>
        <v>Not Calculated</v>
      </c>
      <c r="K732" s="61"/>
    </row>
    <row r="733" spans="2:11" x14ac:dyDescent="0.2">
      <c r="B733" s="57"/>
      <c r="C733" s="196" t="s">
        <v>32</v>
      </c>
      <c r="D733" s="59"/>
      <c r="E733" s="59"/>
      <c r="F733" s="59"/>
      <c r="G733" s="431"/>
      <c r="H733" s="431"/>
      <c r="I733" s="59"/>
      <c r="J733" s="260" t="str">
        <f t="shared" ref="J733:J740" si="1">IF(G733=$B$994,$A$994,IF(G733=$B$995,$A$995,"Not Calculated"))</f>
        <v>Not Calculated</v>
      </c>
      <c r="K733" s="61"/>
    </row>
    <row r="734" spans="2:11" ht="15" customHeight="1" x14ac:dyDescent="0.2">
      <c r="B734" s="57"/>
      <c r="C734" s="196" t="s">
        <v>34</v>
      </c>
      <c r="D734" s="59"/>
      <c r="E734" s="59"/>
      <c r="F734" s="59"/>
      <c r="G734" s="431"/>
      <c r="H734" s="431"/>
      <c r="I734" s="59"/>
      <c r="J734" s="260" t="str">
        <f t="shared" si="1"/>
        <v>Not Calculated</v>
      </c>
      <c r="K734" s="61"/>
    </row>
    <row r="735" spans="2:11" x14ac:dyDescent="0.2">
      <c r="B735" s="57"/>
      <c r="C735" s="196" t="s">
        <v>35</v>
      </c>
      <c r="D735" s="59"/>
      <c r="E735" s="59"/>
      <c r="F735" s="59"/>
      <c r="G735" s="431"/>
      <c r="H735" s="431"/>
      <c r="I735" s="59"/>
      <c r="J735" s="260" t="str">
        <f t="shared" si="1"/>
        <v>Not Calculated</v>
      </c>
      <c r="K735" s="61"/>
    </row>
    <row r="736" spans="2:11" x14ac:dyDescent="0.2">
      <c r="B736" s="57"/>
      <c r="C736" s="196" t="s">
        <v>37</v>
      </c>
      <c r="D736" s="59"/>
      <c r="E736" s="59"/>
      <c r="F736" s="59"/>
      <c r="G736" s="431"/>
      <c r="H736" s="431"/>
      <c r="I736" s="59"/>
      <c r="J736" s="260" t="str">
        <f t="shared" si="1"/>
        <v>Not Calculated</v>
      </c>
      <c r="K736" s="61"/>
    </row>
    <row r="737" spans="2:11" x14ac:dyDescent="0.2">
      <c r="B737" s="57"/>
      <c r="C737" s="196" t="s">
        <v>38</v>
      </c>
      <c r="D737" s="59"/>
      <c r="E737" s="59"/>
      <c r="F737" s="59"/>
      <c r="G737" s="431"/>
      <c r="H737" s="431"/>
      <c r="I737" s="59"/>
      <c r="J737" s="260" t="str">
        <f t="shared" si="1"/>
        <v>Not Calculated</v>
      </c>
      <c r="K737" s="61"/>
    </row>
    <row r="738" spans="2:11" x14ac:dyDescent="0.2">
      <c r="B738" s="57"/>
      <c r="C738" s="196" t="s">
        <v>40</v>
      </c>
      <c r="D738" s="59"/>
      <c r="E738" s="59"/>
      <c r="F738" s="59"/>
      <c r="G738" s="431"/>
      <c r="H738" s="431"/>
      <c r="I738" s="59"/>
      <c r="J738" s="260" t="str">
        <f t="shared" si="1"/>
        <v>Not Calculated</v>
      </c>
      <c r="K738" s="61"/>
    </row>
    <row r="739" spans="2:11" x14ac:dyDescent="0.2">
      <c r="B739" s="57"/>
      <c r="C739" s="196" t="s">
        <v>41</v>
      </c>
      <c r="D739" s="59"/>
      <c r="E739" s="59"/>
      <c r="F739" s="59"/>
      <c r="G739" s="431"/>
      <c r="H739" s="431"/>
      <c r="I739" s="59"/>
      <c r="J739" s="260" t="str">
        <f t="shared" si="1"/>
        <v>Not Calculated</v>
      </c>
      <c r="K739" s="61"/>
    </row>
    <row r="740" spans="2:11" x14ac:dyDescent="0.2">
      <c r="B740" s="57"/>
      <c r="C740" s="196" t="s">
        <v>43</v>
      </c>
      <c r="D740" s="59"/>
      <c r="E740" s="59"/>
      <c r="F740" s="59"/>
      <c r="G740" s="431"/>
      <c r="H740" s="431"/>
      <c r="I740" s="59"/>
      <c r="J740" s="260" t="str">
        <f t="shared" si="1"/>
        <v>Not Calculated</v>
      </c>
      <c r="K740" s="61"/>
    </row>
    <row r="741" spans="2:11" x14ac:dyDescent="0.2">
      <c r="B741" s="57"/>
      <c r="C741" s="59"/>
      <c r="D741" s="59"/>
      <c r="E741" s="59"/>
      <c r="F741" s="59"/>
      <c r="G741" s="59"/>
      <c r="H741" s="59"/>
      <c r="I741" s="59"/>
      <c r="J741" s="59"/>
      <c r="K741" s="61"/>
    </row>
    <row r="742" spans="2:11" x14ac:dyDescent="0.2">
      <c r="B742" s="57"/>
      <c r="C742" s="59"/>
      <c r="D742" s="59"/>
      <c r="E742" s="59"/>
      <c r="F742" s="59"/>
      <c r="G742" s="59"/>
      <c r="H742" s="59"/>
      <c r="I742" s="59"/>
      <c r="J742" s="59"/>
      <c r="K742" s="61"/>
    </row>
    <row r="743" spans="2:11" ht="16" x14ac:dyDescent="0.2">
      <c r="B743" s="57"/>
      <c r="C743" s="195" t="s">
        <v>366</v>
      </c>
      <c r="D743" s="59"/>
      <c r="E743" s="59"/>
      <c r="F743" s="59"/>
      <c r="G743" s="59"/>
      <c r="H743" s="59"/>
      <c r="I743" s="59"/>
      <c r="J743" s="59"/>
      <c r="K743" s="61"/>
    </row>
    <row r="744" spans="2:11" ht="15" customHeight="1" x14ac:dyDescent="0.2">
      <c r="B744" s="57"/>
      <c r="C744" s="411" t="s">
        <v>367</v>
      </c>
      <c r="D744" s="411"/>
      <c r="E744" s="411"/>
      <c r="F744" s="411"/>
      <c r="G744" s="411"/>
      <c r="H744" s="411"/>
      <c r="I744" s="411"/>
      <c r="J744" s="411"/>
      <c r="K744" s="61"/>
    </row>
    <row r="745" spans="2:11" x14ac:dyDescent="0.2">
      <c r="B745" s="57"/>
      <c r="C745" s="411"/>
      <c r="D745" s="411"/>
      <c r="E745" s="411"/>
      <c r="F745" s="411"/>
      <c r="G745" s="411"/>
      <c r="H745" s="411"/>
      <c r="I745" s="411"/>
      <c r="J745" s="411"/>
      <c r="K745" s="61"/>
    </row>
    <row r="746" spans="2:11" x14ac:dyDescent="0.2">
      <c r="B746" s="57"/>
      <c r="C746" s="411"/>
      <c r="D746" s="411"/>
      <c r="E746" s="411"/>
      <c r="F746" s="411"/>
      <c r="G746" s="411"/>
      <c r="H746" s="411"/>
      <c r="I746" s="411"/>
      <c r="J746" s="411"/>
      <c r="K746" s="61"/>
    </row>
    <row r="747" spans="2:11" x14ac:dyDescent="0.2">
      <c r="B747" s="57"/>
      <c r="C747" s="196" t="s">
        <v>30</v>
      </c>
      <c r="D747" s="59"/>
      <c r="E747" s="59"/>
      <c r="F747" s="59"/>
      <c r="G747" s="431"/>
      <c r="H747" s="431"/>
      <c r="I747" s="59"/>
      <c r="J747" s="260" t="str">
        <f>IF(G747=$B$994,$A$994,IF(G747=$B$995,$A$995,"Not Calculated"))</f>
        <v>Not Calculated</v>
      </c>
      <c r="K747" s="61"/>
    </row>
    <row r="748" spans="2:11" x14ac:dyDescent="0.2">
      <c r="B748" s="57"/>
      <c r="C748" s="196" t="s">
        <v>32</v>
      </c>
      <c r="D748" s="59"/>
      <c r="E748" s="59"/>
      <c r="F748" s="59"/>
      <c r="G748" s="431"/>
      <c r="H748" s="431"/>
      <c r="I748" s="59"/>
      <c r="J748" s="260" t="str">
        <f t="shared" ref="J748:J755" si="2">IF(G748=$B$994,$A$994,IF(G748=$B$995,$A$995,"Not Calculated"))</f>
        <v>Not Calculated</v>
      </c>
      <c r="K748" s="61"/>
    </row>
    <row r="749" spans="2:11" ht="15" customHeight="1" x14ac:dyDescent="0.2">
      <c r="B749" s="57"/>
      <c r="C749" s="196" t="s">
        <v>34</v>
      </c>
      <c r="D749" s="59"/>
      <c r="E749" s="59"/>
      <c r="F749" s="59"/>
      <c r="G749" s="431"/>
      <c r="H749" s="431"/>
      <c r="I749" s="59"/>
      <c r="J749" s="260" t="str">
        <f t="shared" si="2"/>
        <v>Not Calculated</v>
      </c>
      <c r="K749" s="61"/>
    </row>
    <row r="750" spans="2:11" x14ac:dyDescent="0.2">
      <c r="B750" s="57"/>
      <c r="C750" s="196" t="s">
        <v>35</v>
      </c>
      <c r="D750" s="59"/>
      <c r="E750" s="59"/>
      <c r="F750" s="59"/>
      <c r="G750" s="431"/>
      <c r="H750" s="431"/>
      <c r="I750" s="59"/>
      <c r="J750" s="260" t="str">
        <f t="shared" si="2"/>
        <v>Not Calculated</v>
      </c>
      <c r="K750" s="61"/>
    </row>
    <row r="751" spans="2:11" x14ac:dyDescent="0.2">
      <c r="B751" s="57"/>
      <c r="C751" s="196" t="s">
        <v>37</v>
      </c>
      <c r="D751" s="59"/>
      <c r="E751" s="59"/>
      <c r="F751" s="59"/>
      <c r="G751" s="431"/>
      <c r="H751" s="431"/>
      <c r="I751" s="59"/>
      <c r="J751" s="260" t="str">
        <f t="shared" si="2"/>
        <v>Not Calculated</v>
      </c>
      <c r="K751" s="61"/>
    </row>
    <row r="752" spans="2:11" x14ac:dyDescent="0.2">
      <c r="B752" s="57"/>
      <c r="C752" s="196" t="s">
        <v>38</v>
      </c>
      <c r="D752" s="59"/>
      <c r="E752" s="59"/>
      <c r="F752" s="59"/>
      <c r="G752" s="431"/>
      <c r="H752" s="431"/>
      <c r="I752" s="59"/>
      <c r="J752" s="260" t="str">
        <f t="shared" si="2"/>
        <v>Not Calculated</v>
      </c>
      <c r="K752" s="61"/>
    </row>
    <row r="753" spans="2:11" x14ac:dyDescent="0.2">
      <c r="B753" s="57"/>
      <c r="C753" s="196" t="s">
        <v>40</v>
      </c>
      <c r="D753" s="59"/>
      <c r="E753" s="59"/>
      <c r="F753" s="59"/>
      <c r="G753" s="431"/>
      <c r="H753" s="431"/>
      <c r="I753" s="59"/>
      <c r="J753" s="260" t="str">
        <f t="shared" si="2"/>
        <v>Not Calculated</v>
      </c>
      <c r="K753" s="61"/>
    </row>
    <row r="754" spans="2:11" x14ac:dyDescent="0.2">
      <c r="B754" s="57"/>
      <c r="C754" s="196" t="s">
        <v>41</v>
      </c>
      <c r="D754" s="59"/>
      <c r="E754" s="59"/>
      <c r="F754" s="59"/>
      <c r="G754" s="431"/>
      <c r="H754" s="431"/>
      <c r="I754" s="59"/>
      <c r="J754" s="260" t="str">
        <f t="shared" si="2"/>
        <v>Not Calculated</v>
      </c>
      <c r="K754" s="61"/>
    </row>
    <row r="755" spans="2:11" x14ac:dyDescent="0.2">
      <c r="B755" s="57"/>
      <c r="C755" s="196" t="s">
        <v>43</v>
      </c>
      <c r="D755" s="59"/>
      <c r="E755" s="59"/>
      <c r="F755" s="59"/>
      <c r="G755" s="431"/>
      <c r="H755" s="431"/>
      <c r="I755" s="59"/>
      <c r="J755" s="260" t="str">
        <f t="shared" si="2"/>
        <v>Not Calculated</v>
      </c>
      <c r="K755" s="61"/>
    </row>
    <row r="756" spans="2:11" x14ac:dyDescent="0.2">
      <c r="B756" s="57"/>
      <c r="C756" s="59"/>
      <c r="D756" s="59"/>
      <c r="E756" s="59"/>
      <c r="F756" s="59"/>
      <c r="G756" s="59"/>
      <c r="H756" s="59"/>
      <c r="I756" s="59"/>
      <c r="J756" s="59"/>
      <c r="K756" s="61"/>
    </row>
    <row r="757" spans="2:11" x14ac:dyDescent="0.2">
      <c r="B757" s="57"/>
      <c r="C757" s="59"/>
      <c r="D757" s="59"/>
      <c r="E757" s="59"/>
      <c r="F757" s="59"/>
      <c r="G757" s="59"/>
      <c r="H757" s="59"/>
      <c r="I757" s="59"/>
      <c r="J757" s="59"/>
      <c r="K757" s="61"/>
    </row>
    <row r="758" spans="2:11" ht="16" x14ac:dyDescent="0.2">
      <c r="B758" s="57"/>
      <c r="C758" s="195" t="s">
        <v>368</v>
      </c>
      <c r="D758" s="59"/>
      <c r="E758" s="59"/>
      <c r="F758" s="59"/>
      <c r="G758" s="59"/>
      <c r="H758" s="59"/>
      <c r="I758" s="59"/>
      <c r="J758" s="59"/>
      <c r="K758" s="61"/>
    </row>
    <row r="759" spans="2:11" ht="15" customHeight="1" x14ac:dyDescent="0.2">
      <c r="B759" s="57"/>
      <c r="C759" s="411" t="s">
        <v>369</v>
      </c>
      <c r="D759" s="411"/>
      <c r="E759" s="411"/>
      <c r="F759" s="411"/>
      <c r="G759" s="411"/>
      <c r="H759" s="411"/>
      <c r="I759" s="411"/>
      <c r="J759" s="411"/>
      <c r="K759" s="61"/>
    </row>
    <row r="760" spans="2:11" x14ac:dyDescent="0.2">
      <c r="B760" s="57"/>
      <c r="C760" s="411"/>
      <c r="D760" s="411"/>
      <c r="E760" s="411"/>
      <c r="F760" s="411"/>
      <c r="G760" s="411"/>
      <c r="H760" s="411"/>
      <c r="I760" s="411"/>
      <c r="J760" s="411"/>
      <c r="K760" s="61"/>
    </row>
    <row r="761" spans="2:11" x14ac:dyDescent="0.2">
      <c r="B761" s="57"/>
      <c r="C761" s="411"/>
      <c r="D761" s="411"/>
      <c r="E761" s="411"/>
      <c r="F761" s="411"/>
      <c r="G761" s="411"/>
      <c r="H761" s="411"/>
      <c r="I761" s="411"/>
      <c r="J761" s="411"/>
      <c r="K761" s="61"/>
    </row>
    <row r="762" spans="2:11" x14ac:dyDescent="0.2">
      <c r="B762" s="57"/>
      <c r="C762" s="196" t="s">
        <v>30</v>
      </c>
      <c r="D762" s="59"/>
      <c r="E762" s="59"/>
      <c r="F762" s="59"/>
      <c r="G762" s="431"/>
      <c r="H762" s="431"/>
      <c r="I762" s="59"/>
      <c r="J762" s="260" t="str">
        <f>IF(G762=$B$994,$A$994,IF(G762=$B$995,$A$995,"Not Calculated"))</f>
        <v>Not Calculated</v>
      </c>
      <c r="K762" s="61"/>
    </row>
    <row r="763" spans="2:11" x14ac:dyDescent="0.2">
      <c r="B763" s="57"/>
      <c r="C763" s="196" t="s">
        <v>32</v>
      </c>
      <c r="D763" s="59"/>
      <c r="E763" s="59"/>
      <c r="F763" s="59"/>
      <c r="G763" s="431"/>
      <c r="H763" s="431"/>
      <c r="I763" s="59"/>
      <c r="J763" s="260" t="str">
        <f t="shared" ref="J763:J770" si="3">IF(G763=$B$994,$A$994,IF(G763=$B$995,$A$995,"Not Calculated"))</f>
        <v>Not Calculated</v>
      </c>
      <c r="K763" s="61"/>
    </row>
    <row r="764" spans="2:11" ht="15" customHeight="1" x14ac:dyDescent="0.2">
      <c r="B764" s="57"/>
      <c r="C764" s="196" t="s">
        <v>34</v>
      </c>
      <c r="D764" s="59"/>
      <c r="E764" s="59"/>
      <c r="F764" s="59"/>
      <c r="G764" s="431"/>
      <c r="H764" s="431"/>
      <c r="I764" s="59"/>
      <c r="J764" s="260" t="str">
        <f t="shared" si="3"/>
        <v>Not Calculated</v>
      </c>
      <c r="K764" s="61"/>
    </row>
    <row r="765" spans="2:11" x14ac:dyDescent="0.2">
      <c r="B765" s="57"/>
      <c r="C765" s="196" t="s">
        <v>35</v>
      </c>
      <c r="D765" s="59"/>
      <c r="E765" s="59"/>
      <c r="F765" s="59"/>
      <c r="G765" s="431"/>
      <c r="H765" s="431"/>
      <c r="I765" s="59"/>
      <c r="J765" s="260" t="str">
        <f t="shared" si="3"/>
        <v>Not Calculated</v>
      </c>
      <c r="K765" s="61"/>
    </row>
    <row r="766" spans="2:11" x14ac:dyDescent="0.2">
      <c r="B766" s="57"/>
      <c r="C766" s="196" t="s">
        <v>37</v>
      </c>
      <c r="D766" s="59"/>
      <c r="E766" s="59"/>
      <c r="F766" s="59"/>
      <c r="G766" s="431"/>
      <c r="H766" s="431"/>
      <c r="I766" s="59"/>
      <c r="J766" s="260" t="str">
        <f t="shared" si="3"/>
        <v>Not Calculated</v>
      </c>
      <c r="K766" s="61"/>
    </row>
    <row r="767" spans="2:11" x14ac:dyDescent="0.2">
      <c r="B767" s="57"/>
      <c r="C767" s="196" t="s">
        <v>38</v>
      </c>
      <c r="D767" s="59"/>
      <c r="E767" s="59"/>
      <c r="F767" s="59"/>
      <c r="G767" s="431"/>
      <c r="H767" s="431"/>
      <c r="I767" s="59"/>
      <c r="J767" s="260" t="str">
        <f t="shared" si="3"/>
        <v>Not Calculated</v>
      </c>
      <c r="K767" s="61"/>
    </row>
    <row r="768" spans="2:11" x14ac:dyDescent="0.2">
      <c r="B768" s="57"/>
      <c r="C768" s="196" t="s">
        <v>40</v>
      </c>
      <c r="D768" s="59"/>
      <c r="E768" s="59"/>
      <c r="F768" s="59"/>
      <c r="G768" s="431"/>
      <c r="H768" s="431"/>
      <c r="I768" s="59"/>
      <c r="J768" s="260" t="str">
        <f t="shared" si="3"/>
        <v>Not Calculated</v>
      </c>
      <c r="K768" s="61"/>
    </row>
    <row r="769" spans="2:11" x14ac:dyDescent="0.2">
      <c r="B769" s="57"/>
      <c r="C769" s="196" t="s">
        <v>41</v>
      </c>
      <c r="D769" s="59"/>
      <c r="E769" s="59"/>
      <c r="F769" s="59"/>
      <c r="G769" s="431"/>
      <c r="H769" s="431"/>
      <c r="I769" s="59"/>
      <c r="J769" s="260" t="str">
        <f t="shared" si="3"/>
        <v>Not Calculated</v>
      </c>
      <c r="K769" s="61"/>
    </row>
    <row r="770" spans="2:11" x14ac:dyDescent="0.2">
      <c r="B770" s="57"/>
      <c r="C770" s="196" t="s">
        <v>43</v>
      </c>
      <c r="D770" s="59"/>
      <c r="E770" s="59"/>
      <c r="F770" s="59"/>
      <c r="G770" s="431"/>
      <c r="H770" s="431"/>
      <c r="I770" s="59"/>
      <c r="J770" s="260" t="str">
        <f t="shared" si="3"/>
        <v>Not Calculated</v>
      </c>
      <c r="K770" s="61"/>
    </row>
    <row r="771" spans="2:11" x14ac:dyDescent="0.2">
      <c r="B771" s="57"/>
      <c r="C771" s="59"/>
      <c r="D771" s="59"/>
      <c r="E771" s="59"/>
      <c r="F771" s="59"/>
      <c r="G771" s="59"/>
      <c r="H771" s="59"/>
      <c r="I771" s="59"/>
      <c r="J771" s="59"/>
      <c r="K771" s="61"/>
    </row>
    <row r="772" spans="2:11" x14ac:dyDescent="0.2">
      <c r="B772" s="57"/>
      <c r="C772" s="59"/>
      <c r="D772" s="59"/>
      <c r="E772" s="59"/>
      <c r="F772" s="59"/>
      <c r="G772" s="59"/>
      <c r="H772" s="59"/>
      <c r="I772" s="59"/>
      <c r="J772" s="59"/>
      <c r="K772" s="61"/>
    </row>
    <row r="773" spans="2:11" ht="16" x14ac:dyDescent="0.2">
      <c r="B773" s="57"/>
      <c r="C773" s="197" t="s">
        <v>30</v>
      </c>
      <c r="D773" s="59"/>
      <c r="E773" s="59"/>
      <c r="F773" s="59"/>
      <c r="G773" s="59"/>
      <c r="H773" s="59"/>
      <c r="I773" s="59"/>
      <c r="J773" s="59"/>
      <c r="K773" s="61"/>
    </row>
    <row r="774" spans="2:11" x14ac:dyDescent="0.2">
      <c r="B774" s="57"/>
      <c r="C774" s="59"/>
      <c r="D774" s="59" t="s">
        <v>370</v>
      </c>
      <c r="E774" s="59"/>
      <c r="F774" s="59"/>
      <c r="G774" s="59"/>
      <c r="H774" s="59"/>
      <c r="I774" s="59"/>
      <c r="J774" s="60">
        <f>'Baseline At-Risk Pops'!H8</f>
        <v>0</v>
      </c>
      <c r="K774" s="61"/>
    </row>
    <row r="775" spans="2:11" x14ac:dyDescent="0.2">
      <c r="B775" s="57"/>
      <c r="C775" s="59"/>
      <c r="D775" s="59" t="s">
        <v>371</v>
      </c>
      <c r="E775" s="59"/>
      <c r="F775" s="59"/>
      <c r="G775" s="59"/>
      <c r="H775" s="59"/>
      <c r="I775" s="59"/>
      <c r="J775" s="60">
        <f>SUM(J717,J732,J747,J762)</f>
        <v>0</v>
      </c>
      <c r="K775" s="61"/>
    </row>
    <row r="776" spans="2:11" x14ac:dyDescent="0.2">
      <c r="B776" s="57"/>
      <c r="C776" s="59"/>
      <c r="D776" s="196" t="s">
        <v>372</v>
      </c>
      <c r="E776" s="59"/>
      <c r="F776" s="59"/>
      <c r="G776" s="59"/>
      <c r="H776" s="59"/>
      <c r="I776" s="59"/>
      <c r="J776" s="60">
        <f>AVERAGE(J774,J775)</f>
        <v>0</v>
      </c>
      <c r="K776" s="61"/>
    </row>
    <row r="777" spans="2:11" ht="16" x14ac:dyDescent="0.2">
      <c r="B777" s="57"/>
      <c r="C777" s="197" t="s">
        <v>32</v>
      </c>
      <c r="D777" s="59"/>
      <c r="E777" s="59"/>
      <c r="F777" s="59"/>
      <c r="G777" s="59"/>
      <c r="H777" s="59"/>
      <c r="I777" s="59"/>
      <c r="J777" s="60"/>
      <c r="K777" s="61"/>
    </row>
    <row r="778" spans="2:11" x14ac:dyDescent="0.2">
      <c r="B778" s="57"/>
      <c r="C778" s="59"/>
      <c r="D778" s="59" t="s">
        <v>370</v>
      </c>
      <c r="E778" s="59"/>
      <c r="F778" s="59"/>
      <c r="G778" s="59"/>
      <c r="H778" s="59"/>
      <c r="I778" s="59"/>
      <c r="J778" s="60">
        <f>'Baseline At-Risk Pops'!H14</f>
        <v>0</v>
      </c>
      <c r="K778" s="61"/>
    </row>
    <row r="779" spans="2:11" ht="15" customHeight="1" x14ac:dyDescent="0.2">
      <c r="B779" s="57"/>
      <c r="C779" s="59"/>
      <c r="D779" s="59" t="s">
        <v>371</v>
      </c>
      <c r="E779" s="59"/>
      <c r="F779" s="59"/>
      <c r="G779" s="59"/>
      <c r="H779" s="59"/>
      <c r="I779" s="59"/>
      <c r="J779" s="60">
        <f>SUM(J718,J733,J748,J763)</f>
        <v>0</v>
      </c>
      <c r="K779" s="61"/>
    </row>
    <row r="780" spans="2:11" x14ac:dyDescent="0.2">
      <c r="B780" s="57"/>
      <c r="C780" s="59"/>
      <c r="D780" s="196" t="s">
        <v>372</v>
      </c>
      <c r="E780" s="59"/>
      <c r="F780" s="59"/>
      <c r="G780" s="59"/>
      <c r="H780" s="59"/>
      <c r="I780" s="59"/>
      <c r="J780" s="60">
        <f>AVERAGE(J778,J779)</f>
        <v>0</v>
      </c>
      <c r="K780" s="61"/>
    </row>
    <row r="781" spans="2:11" ht="16" x14ac:dyDescent="0.2">
      <c r="B781" s="57"/>
      <c r="C781" s="197" t="s">
        <v>34</v>
      </c>
      <c r="D781" s="59"/>
      <c r="E781" s="59"/>
      <c r="F781" s="59"/>
      <c r="G781" s="59"/>
      <c r="H781" s="59"/>
      <c r="I781" s="59"/>
      <c r="J781" s="60"/>
      <c r="K781" s="61"/>
    </row>
    <row r="782" spans="2:11" ht="16" x14ac:dyDescent="0.2">
      <c r="B782" s="57"/>
      <c r="C782" s="197"/>
      <c r="D782" s="59" t="s">
        <v>370</v>
      </c>
      <c r="E782" s="59"/>
      <c r="F782" s="59"/>
      <c r="G782" s="59"/>
      <c r="H782" s="59"/>
      <c r="I782" s="59"/>
      <c r="J782" s="60">
        <f>'Baseline At-Risk Pops'!H21</f>
        <v>0</v>
      </c>
      <c r="K782" s="61"/>
    </row>
    <row r="783" spans="2:11" x14ac:dyDescent="0.2">
      <c r="B783" s="57"/>
      <c r="C783" s="59"/>
      <c r="D783" s="59" t="s">
        <v>371</v>
      </c>
      <c r="E783" s="59"/>
      <c r="F783" s="59"/>
      <c r="G783" s="59"/>
      <c r="H783" s="59"/>
      <c r="I783" s="59"/>
      <c r="J783" s="60">
        <f>SUM(J719,J734,J749,J764)</f>
        <v>0</v>
      </c>
      <c r="K783" s="61"/>
    </row>
    <row r="784" spans="2:11" x14ac:dyDescent="0.2">
      <c r="B784" s="57"/>
      <c r="C784" s="59"/>
      <c r="D784" s="196" t="s">
        <v>372</v>
      </c>
      <c r="E784" s="59"/>
      <c r="F784" s="59"/>
      <c r="G784" s="59"/>
      <c r="H784" s="59"/>
      <c r="I784" s="59"/>
      <c r="J784" s="60">
        <f>AVERAGE(J782,J783)</f>
        <v>0</v>
      </c>
      <c r="K784" s="61"/>
    </row>
    <row r="785" spans="2:11" ht="16" x14ac:dyDescent="0.2">
      <c r="B785" s="57"/>
      <c r="C785" s="197" t="s">
        <v>35</v>
      </c>
      <c r="D785" s="59"/>
      <c r="E785" s="59"/>
      <c r="F785" s="59"/>
      <c r="G785" s="59"/>
      <c r="H785" s="59"/>
      <c r="I785" s="59"/>
      <c r="J785" s="60"/>
      <c r="K785" s="61"/>
    </row>
    <row r="786" spans="2:11" x14ac:dyDescent="0.2">
      <c r="B786" s="57"/>
      <c r="C786" s="59"/>
      <c r="D786" s="59" t="s">
        <v>370</v>
      </c>
      <c r="E786" s="59"/>
      <c r="F786" s="59"/>
      <c r="G786" s="59"/>
      <c r="H786" s="59"/>
      <c r="I786" s="59"/>
      <c r="J786" s="60">
        <f>'Baseline At-Risk Pops'!H27</f>
        <v>0</v>
      </c>
      <c r="K786" s="61"/>
    </row>
    <row r="787" spans="2:11" x14ac:dyDescent="0.2">
      <c r="B787" s="57"/>
      <c r="C787" s="59"/>
      <c r="D787" s="59" t="s">
        <v>371</v>
      </c>
      <c r="E787" s="59"/>
      <c r="F787" s="59"/>
      <c r="G787" s="59"/>
      <c r="H787" s="59"/>
      <c r="I787" s="59"/>
      <c r="J787" s="60">
        <f>SUM(J720,J735,J750,J765)</f>
        <v>0</v>
      </c>
      <c r="K787" s="61"/>
    </row>
    <row r="788" spans="2:11" x14ac:dyDescent="0.2">
      <c r="B788" s="57"/>
      <c r="C788" s="59"/>
      <c r="D788" s="196" t="s">
        <v>372</v>
      </c>
      <c r="E788" s="59"/>
      <c r="F788" s="59"/>
      <c r="G788" s="59"/>
      <c r="H788" s="59"/>
      <c r="I788" s="59"/>
      <c r="J788" s="60">
        <f>AVERAGE(J786,J787)</f>
        <v>0</v>
      </c>
      <c r="K788" s="61"/>
    </row>
    <row r="789" spans="2:11" ht="16" x14ac:dyDescent="0.2">
      <c r="B789" s="57"/>
      <c r="C789" s="197" t="s">
        <v>37</v>
      </c>
      <c r="D789" s="59"/>
      <c r="E789" s="59"/>
      <c r="F789" s="59"/>
      <c r="G789" s="59"/>
      <c r="H789" s="59"/>
      <c r="I789" s="59"/>
      <c r="J789" s="60"/>
      <c r="K789" s="61"/>
    </row>
    <row r="790" spans="2:11" x14ac:dyDescent="0.2">
      <c r="B790" s="57"/>
      <c r="C790" s="59"/>
      <c r="D790" s="59" t="s">
        <v>370</v>
      </c>
      <c r="E790" s="59"/>
      <c r="F790" s="59"/>
      <c r="G790" s="59"/>
      <c r="H790" s="59"/>
      <c r="I790" s="59"/>
      <c r="J790" s="60">
        <f>'Baseline At-Risk Pops'!H34</f>
        <v>0</v>
      </c>
      <c r="K790" s="61"/>
    </row>
    <row r="791" spans="2:11" x14ac:dyDescent="0.2">
      <c r="B791" s="57"/>
      <c r="C791" s="59"/>
      <c r="D791" s="59" t="s">
        <v>371</v>
      </c>
      <c r="E791" s="59"/>
      <c r="F791" s="59"/>
      <c r="G791" s="59"/>
      <c r="H791" s="59"/>
      <c r="I791" s="59"/>
      <c r="J791" s="60">
        <f>SUM(J721,J736,J751,J766)</f>
        <v>0</v>
      </c>
      <c r="K791" s="61"/>
    </row>
    <row r="792" spans="2:11" x14ac:dyDescent="0.2">
      <c r="B792" s="57"/>
      <c r="C792" s="59"/>
      <c r="D792" s="196" t="s">
        <v>372</v>
      </c>
      <c r="E792" s="59"/>
      <c r="F792" s="59"/>
      <c r="G792" s="59"/>
      <c r="H792" s="59"/>
      <c r="I792" s="59"/>
      <c r="J792" s="60">
        <f>AVERAGE(J790,J791)</f>
        <v>0</v>
      </c>
      <c r="K792" s="61"/>
    </row>
    <row r="793" spans="2:11" ht="16" x14ac:dyDescent="0.2">
      <c r="B793" s="57"/>
      <c r="C793" s="197" t="s">
        <v>38</v>
      </c>
      <c r="D793" s="59"/>
      <c r="E793" s="59"/>
      <c r="F793" s="59"/>
      <c r="G793" s="59"/>
      <c r="H793" s="59"/>
      <c r="I793" s="59"/>
      <c r="J793" s="60"/>
      <c r="K793" s="61"/>
    </row>
    <row r="794" spans="2:11" x14ac:dyDescent="0.2">
      <c r="B794" s="57"/>
      <c r="C794" s="59"/>
      <c r="D794" s="59" t="s">
        <v>370</v>
      </c>
      <c r="E794" s="59"/>
      <c r="F794" s="59"/>
      <c r="G794" s="59"/>
      <c r="H794" s="59"/>
      <c r="I794" s="59"/>
      <c r="J794" s="60">
        <f>'Baseline At-Risk Pops'!H40</f>
        <v>0</v>
      </c>
      <c r="K794" s="61"/>
    </row>
    <row r="795" spans="2:11" x14ac:dyDescent="0.2">
      <c r="B795" s="57"/>
      <c r="C795" s="59"/>
      <c r="D795" s="59" t="s">
        <v>371</v>
      </c>
      <c r="E795" s="59"/>
      <c r="F795" s="59"/>
      <c r="G795" s="59"/>
      <c r="H795" s="59"/>
      <c r="I795" s="59"/>
      <c r="J795" s="60">
        <f>SUM(J722,J737,J752,J767)</f>
        <v>0</v>
      </c>
      <c r="K795" s="61"/>
    </row>
    <row r="796" spans="2:11" x14ac:dyDescent="0.2">
      <c r="B796" s="57"/>
      <c r="C796" s="59"/>
      <c r="D796" s="196" t="s">
        <v>372</v>
      </c>
      <c r="E796" s="59"/>
      <c r="F796" s="59"/>
      <c r="G796" s="59"/>
      <c r="H796" s="59"/>
      <c r="I796" s="59"/>
      <c r="J796" s="60">
        <f>AVERAGE(J794,J795)</f>
        <v>0</v>
      </c>
      <c r="K796" s="61"/>
    </row>
    <row r="797" spans="2:11" ht="16" x14ac:dyDescent="0.2">
      <c r="B797" s="57"/>
      <c r="C797" s="197" t="s">
        <v>40</v>
      </c>
      <c r="D797" s="59"/>
      <c r="E797" s="59"/>
      <c r="F797" s="59"/>
      <c r="G797" s="59"/>
      <c r="H797" s="59"/>
      <c r="I797" s="59"/>
      <c r="J797" s="60"/>
      <c r="K797" s="61"/>
    </row>
    <row r="798" spans="2:11" x14ac:dyDescent="0.2">
      <c r="B798" s="57"/>
      <c r="C798" s="59"/>
      <c r="D798" s="59" t="s">
        <v>370</v>
      </c>
      <c r="E798" s="59"/>
      <c r="F798" s="59"/>
      <c r="G798" s="59"/>
      <c r="H798" s="59"/>
      <c r="I798" s="59"/>
      <c r="J798" s="60">
        <f>'Baseline At-Risk Pops'!H46</f>
        <v>0</v>
      </c>
      <c r="K798" s="61"/>
    </row>
    <row r="799" spans="2:11" x14ac:dyDescent="0.2">
      <c r="B799" s="57"/>
      <c r="C799" s="59"/>
      <c r="D799" s="59" t="s">
        <v>371</v>
      </c>
      <c r="E799" s="59"/>
      <c r="F799" s="59"/>
      <c r="G799" s="59"/>
      <c r="H799" s="59"/>
      <c r="I799" s="59"/>
      <c r="J799" s="60">
        <f>SUM(J723,J738,J753,J768)</f>
        <v>0</v>
      </c>
      <c r="K799" s="61"/>
    </row>
    <row r="800" spans="2:11" x14ac:dyDescent="0.2">
      <c r="B800" s="57"/>
      <c r="C800" s="59"/>
      <c r="D800" s="196" t="s">
        <v>372</v>
      </c>
      <c r="E800" s="59"/>
      <c r="F800" s="59"/>
      <c r="G800" s="59"/>
      <c r="H800" s="59"/>
      <c r="I800" s="59"/>
      <c r="J800" s="60">
        <f>AVERAGE(J798,J799)</f>
        <v>0</v>
      </c>
      <c r="K800" s="61"/>
    </row>
    <row r="801" spans="2:11" ht="16" x14ac:dyDescent="0.2">
      <c r="B801" s="57"/>
      <c r="C801" s="197" t="s">
        <v>41</v>
      </c>
      <c r="D801" s="59"/>
      <c r="E801" s="59"/>
      <c r="F801" s="59"/>
      <c r="G801" s="59"/>
      <c r="H801" s="59"/>
      <c r="I801" s="59"/>
      <c r="J801" s="60"/>
      <c r="K801" s="61"/>
    </row>
    <row r="802" spans="2:11" ht="16" x14ac:dyDescent="0.2">
      <c r="B802" s="57"/>
      <c r="C802" s="197"/>
      <c r="D802" s="59" t="s">
        <v>370</v>
      </c>
      <c r="E802" s="59"/>
      <c r="F802" s="59"/>
      <c r="G802" s="59"/>
      <c r="H802" s="59"/>
      <c r="I802" s="59"/>
      <c r="J802" s="60">
        <f>'Baseline At-Risk Pops'!H52</f>
        <v>0</v>
      </c>
      <c r="K802" s="61"/>
    </row>
    <row r="803" spans="2:11" x14ac:dyDescent="0.2">
      <c r="B803" s="57"/>
      <c r="C803" s="59"/>
      <c r="D803" s="59" t="s">
        <v>371</v>
      </c>
      <c r="E803" s="59"/>
      <c r="F803" s="59"/>
      <c r="G803" s="59"/>
      <c r="H803" s="59"/>
      <c r="I803" s="59"/>
      <c r="J803" s="60">
        <f>SUM(J724,J739,J754,J769)</f>
        <v>0</v>
      </c>
      <c r="K803" s="61"/>
    </row>
    <row r="804" spans="2:11" x14ac:dyDescent="0.2">
      <c r="B804" s="57"/>
      <c r="C804" s="59"/>
      <c r="D804" s="196" t="s">
        <v>372</v>
      </c>
      <c r="E804" s="59"/>
      <c r="F804" s="59"/>
      <c r="G804" s="59"/>
      <c r="H804" s="59"/>
      <c r="I804" s="59"/>
      <c r="J804" s="60">
        <f>AVERAGE(J802,J803)</f>
        <v>0</v>
      </c>
      <c r="K804" s="61"/>
    </row>
    <row r="805" spans="2:11" ht="16" x14ac:dyDescent="0.2">
      <c r="B805" s="57"/>
      <c r="C805" s="197" t="s">
        <v>43</v>
      </c>
      <c r="D805" s="59"/>
      <c r="E805" s="59"/>
      <c r="F805" s="59"/>
      <c r="G805" s="59"/>
      <c r="H805" s="59"/>
      <c r="I805" s="59"/>
      <c r="J805" s="60"/>
      <c r="K805" s="61"/>
    </row>
    <row r="806" spans="2:11" x14ac:dyDescent="0.2">
      <c r="B806" s="57"/>
      <c r="C806" s="59"/>
      <c r="D806" s="59" t="s">
        <v>370</v>
      </c>
      <c r="E806" s="59"/>
      <c r="F806" s="59"/>
      <c r="G806" s="59"/>
      <c r="H806" s="59"/>
      <c r="I806" s="59"/>
      <c r="J806" s="60">
        <f>'Baseline At-Risk Pops'!H58</f>
        <v>0</v>
      </c>
      <c r="K806" s="61"/>
    </row>
    <row r="807" spans="2:11" x14ac:dyDescent="0.2">
      <c r="B807" s="57"/>
      <c r="C807" s="59"/>
      <c r="D807" s="59" t="s">
        <v>371</v>
      </c>
      <c r="E807" s="59"/>
      <c r="F807" s="59"/>
      <c r="G807" s="59"/>
      <c r="H807" s="59"/>
      <c r="I807" s="59"/>
      <c r="J807" s="60">
        <f>SUM(J725,J740,J755,J770)</f>
        <v>0</v>
      </c>
      <c r="K807" s="61"/>
    </row>
    <row r="808" spans="2:11" x14ac:dyDescent="0.2">
      <c r="B808" s="57"/>
      <c r="C808" s="59"/>
      <c r="D808" s="196" t="s">
        <v>372</v>
      </c>
      <c r="E808" s="59"/>
      <c r="F808" s="59"/>
      <c r="G808" s="59"/>
      <c r="H808" s="59"/>
      <c r="I808" s="59"/>
      <c r="J808" s="60">
        <f>AVERAGE(J806,J807)</f>
        <v>0</v>
      </c>
      <c r="K808" s="61"/>
    </row>
    <row r="809" spans="2:11" x14ac:dyDescent="0.2">
      <c r="B809" s="57"/>
      <c r="C809" s="59"/>
      <c r="D809" s="59"/>
      <c r="E809" s="59"/>
      <c r="F809" s="59"/>
      <c r="G809" s="59"/>
      <c r="H809" s="59"/>
      <c r="I809" s="59"/>
      <c r="J809" s="59"/>
      <c r="K809" s="61"/>
    </row>
    <row r="810" spans="2:11" x14ac:dyDescent="0.2">
      <c r="B810" s="57"/>
      <c r="C810" s="59"/>
      <c r="D810" s="59"/>
      <c r="E810" s="59"/>
      <c r="F810" s="59"/>
      <c r="G810" s="59"/>
      <c r="H810" s="59"/>
      <c r="I810" s="59"/>
      <c r="J810" s="59"/>
      <c r="K810" s="61"/>
    </row>
    <row r="811" spans="2:11" ht="16" x14ac:dyDescent="0.2">
      <c r="B811" s="57"/>
      <c r="C811" s="198" t="s">
        <v>373</v>
      </c>
      <c r="D811" s="59"/>
      <c r="E811" s="59"/>
      <c r="F811" s="59"/>
      <c r="G811" s="59"/>
      <c r="H811" s="59"/>
      <c r="I811" s="59"/>
      <c r="J811" s="261">
        <f>AVERAGE(J776,J780,J784,J788,J792,J796,J800,J804,J808)</f>
        <v>0</v>
      </c>
      <c r="K811" s="61"/>
    </row>
    <row r="812" spans="2:11" ht="16" thickBot="1" x14ac:dyDescent="0.25">
      <c r="B812" s="73"/>
      <c r="C812" s="74"/>
      <c r="D812" s="74"/>
      <c r="E812" s="74"/>
      <c r="F812" s="74"/>
      <c r="G812" s="74"/>
      <c r="H812" s="74"/>
      <c r="I812" s="74"/>
      <c r="J812" s="74"/>
      <c r="K812" s="76"/>
    </row>
    <row r="813" spans="2:11" ht="16" thickBot="1" x14ac:dyDescent="0.25"/>
    <row r="814" spans="2:11" x14ac:dyDescent="0.2">
      <c r="B814" s="199"/>
      <c r="C814" s="200"/>
      <c r="D814" s="200"/>
      <c r="E814" s="200"/>
      <c r="F814" s="200"/>
      <c r="G814" s="200"/>
      <c r="H814" s="200"/>
      <c r="I814" s="200"/>
      <c r="J814" s="200"/>
      <c r="K814" s="201"/>
    </row>
    <row r="815" spans="2:11" ht="21" x14ac:dyDescent="0.25">
      <c r="B815" s="202"/>
      <c r="C815" s="203"/>
      <c r="D815" s="203"/>
      <c r="E815" s="203"/>
      <c r="F815" s="203"/>
      <c r="G815" s="204" t="s">
        <v>233</v>
      </c>
      <c r="H815" s="203"/>
      <c r="I815" s="203"/>
      <c r="J815" s="203"/>
      <c r="K815" s="205"/>
    </row>
    <row r="816" spans="2:11" x14ac:dyDescent="0.2">
      <c r="B816" s="202"/>
      <c r="C816" s="203"/>
      <c r="D816" s="203"/>
      <c r="E816" s="203"/>
      <c r="F816" s="203"/>
      <c r="G816" s="203"/>
      <c r="H816" s="203"/>
      <c r="I816" s="203"/>
      <c r="J816" s="203"/>
      <c r="K816" s="205"/>
    </row>
    <row r="817" spans="2:11" ht="16" x14ac:dyDescent="0.2">
      <c r="B817" s="202"/>
      <c r="C817" s="206" t="s">
        <v>992</v>
      </c>
      <c r="D817" s="203"/>
      <c r="E817" s="203"/>
      <c r="F817" s="203"/>
      <c r="G817" s="203"/>
      <c r="H817" s="203"/>
      <c r="I817" s="203"/>
      <c r="J817" s="262" t="str">
        <f>IF(J700="Not Calculated","Not Calculated",J700*(($J$811/4)+1))</f>
        <v>Not Calculated</v>
      </c>
      <c r="K817" s="205"/>
    </row>
    <row r="818" spans="2:11" x14ac:dyDescent="0.2">
      <c r="B818" s="202"/>
      <c r="C818" s="203"/>
      <c r="D818" s="203" t="s">
        <v>374</v>
      </c>
      <c r="E818" s="203"/>
      <c r="F818" s="203"/>
      <c r="G818" s="203"/>
      <c r="H818" s="203"/>
      <c r="I818" s="203"/>
      <c r="J818" s="203"/>
      <c r="K818" s="205"/>
    </row>
    <row r="819" spans="2:11" x14ac:dyDescent="0.2">
      <c r="B819" s="202"/>
      <c r="C819" s="203"/>
      <c r="D819" s="203"/>
      <c r="E819" s="203"/>
      <c r="F819" s="203"/>
      <c r="G819" s="203"/>
      <c r="H819" s="203"/>
      <c r="I819" s="203"/>
      <c r="J819" s="203"/>
      <c r="K819" s="205"/>
    </row>
    <row r="820" spans="2:11" ht="16" x14ac:dyDescent="0.2">
      <c r="B820" s="202"/>
      <c r="C820" s="206" t="s">
        <v>993</v>
      </c>
      <c r="D820" s="203"/>
      <c r="E820" s="203"/>
      <c r="F820" s="203"/>
      <c r="G820" s="203"/>
      <c r="H820" s="203"/>
      <c r="I820" s="203"/>
      <c r="J820" s="262" t="str">
        <f>IF(J703="Not Calculated","Not Calculated",J703*(($J$811/4)+1))</f>
        <v>Not Calculated</v>
      </c>
      <c r="K820" s="205"/>
    </row>
    <row r="821" spans="2:11" x14ac:dyDescent="0.2">
      <c r="B821" s="202"/>
      <c r="C821" s="203"/>
      <c r="D821" s="203" t="s">
        <v>375</v>
      </c>
      <c r="E821" s="203"/>
      <c r="F821" s="203"/>
      <c r="G821" s="203"/>
      <c r="H821" s="203"/>
      <c r="I821" s="203"/>
      <c r="J821" s="203"/>
      <c r="K821" s="205"/>
    </row>
    <row r="822" spans="2:11" x14ac:dyDescent="0.2">
      <c r="B822" s="202"/>
      <c r="C822" s="203"/>
      <c r="D822" s="203"/>
      <c r="E822" s="203"/>
      <c r="F822" s="203"/>
      <c r="G822" s="203"/>
      <c r="H822" s="203"/>
      <c r="I822" s="203"/>
      <c r="J822" s="203"/>
      <c r="K822" s="205"/>
    </row>
    <row r="823" spans="2:11" ht="16" x14ac:dyDescent="0.2">
      <c r="B823" s="202"/>
      <c r="C823" s="206" t="s">
        <v>994</v>
      </c>
      <c r="D823" s="203"/>
      <c r="E823" s="203"/>
      <c r="F823" s="203"/>
      <c r="G823" s="203"/>
      <c r="H823" s="203"/>
      <c r="I823" s="203"/>
      <c r="J823" s="262" t="str">
        <f>IF(J706="Not Calculated","Not Calculated",J706*(($J$811/4)+1))</f>
        <v>Not Calculated</v>
      </c>
      <c r="K823" s="205"/>
    </row>
    <row r="824" spans="2:11" x14ac:dyDescent="0.2">
      <c r="B824" s="202"/>
      <c r="C824" s="203"/>
      <c r="D824" s="203" t="s">
        <v>376</v>
      </c>
      <c r="E824" s="203"/>
      <c r="F824" s="203"/>
      <c r="G824" s="203"/>
      <c r="H824" s="203"/>
      <c r="I824" s="203"/>
      <c r="J824" s="203"/>
      <c r="K824" s="205"/>
    </row>
    <row r="825" spans="2:11" ht="16" thickBot="1" x14ac:dyDescent="0.25">
      <c r="B825" s="207"/>
      <c r="C825" s="208"/>
      <c r="D825" s="208"/>
      <c r="E825" s="208"/>
      <c r="F825" s="208"/>
      <c r="G825" s="208"/>
      <c r="H825" s="208"/>
      <c r="I825" s="208"/>
      <c r="J825" s="208"/>
      <c r="K825" s="209"/>
    </row>
    <row r="826" spans="2:11" ht="16" thickBot="1" x14ac:dyDescent="0.25"/>
    <row r="827" spans="2:11" x14ac:dyDescent="0.2">
      <c r="B827" s="77"/>
      <c r="C827" s="78"/>
      <c r="D827" s="78"/>
      <c r="E827" s="78"/>
      <c r="F827" s="78"/>
      <c r="G827" s="78"/>
      <c r="H827" s="78"/>
      <c r="I827" s="78"/>
      <c r="J827" s="78"/>
      <c r="K827" s="80"/>
    </row>
    <row r="828" spans="2:11" ht="21" x14ac:dyDescent="0.25">
      <c r="B828" s="81"/>
      <c r="C828" s="85"/>
      <c r="D828" s="85"/>
      <c r="E828" s="85"/>
      <c r="F828" s="85"/>
      <c r="G828" s="210" t="s">
        <v>806</v>
      </c>
      <c r="H828" s="85"/>
      <c r="I828" s="85"/>
      <c r="J828" s="85"/>
      <c r="K828" s="87"/>
    </row>
    <row r="829" spans="2:11" x14ac:dyDescent="0.2">
      <c r="B829" s="81"/>
      <c r="C829" s="85"/>
      <c r="D829" s="85"/>
      <c r="E829" s="85"/>
      <c r="F829" s="85"/>
      <c r="G829" s="85"/>
      <c r="H829" s="85"/>
      <c r="I829" s="85"/>
      <c r="J829" s="85"/>
      <c r="K829" s="87"/>
    </row>
    <row r="830" spans="2:11" ht="15" customHeight="1" x14ac:dyDescent="0.2">
      <c r="B830" s="81"/>
      <c r="C830" s="424" t="s">
        <v>808</v>
      </c>
      <c r="D830" s="424"/>
      <c r="E830" s="424"/>
      <c r="F830" s="424"/>
      <c r="G830" s="424"/>
      <c r="H830" s="424"/>
      <c r="I830" s="424"/>
      <c r="J830" s="424"/>
      <c r="K830" s="87"/>
    </row>
    <row r="831" spans="2:11" x14ac:dyDescent="0.2">
      <c r="B831" s="81"/>
      <c r="C831" s="424"/>
      <c r="D831" s="424"/>
      <c r="E831" s="424"/>
      <c r="F831" s="424"/>
      <c r="G831" s="424"/>
      <c r="H831" s="424"/>
      <c r="I831" s="424"/>
      <c r="J831" s="424"/>
      <c r="K831" s="87"/>
    </row>
    <row r="832" spans="2:11" x14ac:dyDescent="0.2">
      <c r="B832" s="81"/>
      <c r="C832" s="85"/>
      <c r="D832" s="85"/>
      <c r="E832" s="85"/>
      <c r="F832" s="85"/>
      <c r="G832" s="85"/>
      <c r="H832" s="85"/>
      <c r="I832" s="85"/>
      <c r="J832" s="85"/>
      <c r="K832" s="87"/>
    </row>
    <row r="833" spans="2:11" ht="16" x14ac:dyDescent="0.2">
      <c r="B833" s="81"/>
      <c r="C833" s="211" t="s">
        <v>654</v>
      </c>
      <c r="D833" s="85"/>
      <c r="E833" s="85"/>
      <c r="F833" s="85"/>
      <c r="G833" s="85"/>
      <c r="H833" s="85"/>
      <c r="I833" s="85"/>
      <c r="J833" s="85"/>
      <c r="K833" s="87"/>
    </row>
    <row r="834" spans="2:11" x14ac:dyDescent="0.2">
      <c r="B834" s="81"/>
      <c r="C834" s="85" t="s">
        <v>380</v>
      </c>
      <c r="D834" s="85"/>
      <c r="E834" s="85"/>
      <c r="F834" s="85"/>
      <c r="G834" s="406"/>
      <c r="H834" s="407"/>
      <c r="I834" s="85"/>
      <c r="J834" s="83" t="str">
        <f>IF(G834=$B$998,$A$998,IF(G834=$B$999,$A$999,IF(G834=$B$1000,$A$1000,IF(G834=$B$1001,$A$1001,IF(G834=$B$1002,$A$1002,"Not Calculated")))))</f>
        <v>Not Calculated</v>
      </c>
      <c r="K834" s="87"/>
    </row>
    <row r="835" spans="2:11" x14ac:dyDescent="0.2">
      <c r="B835" s="81"/>
      <c r="C835" s="85" t="s">
        <v>134</v>
      </c>
      <c r="D835" s="85"/>
      <c r="E835" s="85"/>
      <c r="F835" s="85"/>
      <c r="G835" s="85"/>
      <c r="H835" s="85"/>
      <c r="I835" s="85"/>
      <c r="J835" s="240">
        <f>'Baseline PHP'!J16</f>
        <v>0</v>
      </c>
      <c r="K835" s="87"/>
    </row>
    <row r="836" spans="2:11" x14ac:dyDescent="0.2">
      <c r="B836" s="81"/>
      <c r="C836" s="85"/>
      <c r="D836" s="85"/>
      <c r="E836" s="85"/>
      <c r="F836" s="85"/>
      <c r="G836" s="85"/>
      <c r="H836" s="85"/>
      <c r="I836" s="85"/>
      <c r="J836" s="85"/>
      <c r="K836" s="87"/>
    </row>
    <row r="837" spans="2:11" ht="16" x14ac:dyDescent="0.2">
      <c r="B837" s="81"/>
      <c r="C837" s="211" t="s">
        <v>655</v>
      </c>
      <c r="D837" s="85"/>
      <c r="E837" s="85"/>
      <c r="F837" s="85"/>
      <c r="G837" s="85"/>
      <c r="H837" s="85"/>
      <c r="I837" s="85"/>
      <c r="J837" s="85"/>
      <c r="K837" s="87"/>
    </row>
    <row r="838" spans="2:11" x14ac:dyDescent="0.2">
      <c r="B838" s="81"/>
      <c r="C838" s="85" t="s">
        <v>380</v>
      </c>
      <c r="D838" s="85"/>
      <c r="E838" s="85"/>
      <c r="F838" s="85"/>
      <c r="G838" s="406"/>
      <c r="H838" s="407"/>
      <c r="I838" s="85"/>
      <c r="J838" s="83" t="str">
        <f>IF(G838=$B$998,$A$998,IF(G838=$B$999,$A$999,IF(G838=$B$1000,$A$1000,IF(G838=$B$1001,$A$1001,IF(G838=$B$1002,$A$1002,"Not Calculated")))))</f>
        <v>Not Calculated</v>
      </c>
      <c r="K838" s="87"/>
    </row>
    <row r="839" spans="2:11" x14ac:dyDescent="0.2">
      <c r="B839" s="81"/>
      <c r="C839" s="85" t="s">
        <v>134</v>
      </c>
      <c r="D839" s="85"/>
      <c r="E839" s="85"/>
      <c r="F839" s="85"/>
      <c r="G839" s="85"/>
      <c r="H839" s="85"/>
      <c r="I839" s="85"/>
      <c r="J839" s="240">
        <f>'Baseline PHP'!J28</f>
        <v>0</v>
      </c>
      <c r="K839" s="87"/>
    </row>
    <row r="840" spans="2:11" x14ac:dyDescent="0.2">
      <c r="B840" s="81"/>
      <c r="C840" s="85"/>
      <c r="D840" s="85"/>
      <c r="E840" s="85"/>
      <c r="F840" s="85"/>
      <c r="G840" s="85"/>
      <c r="H840" s="85"/>
      <c r="I840" s="85"/>
      <c r="J840" s="85"/>
      <c r="K840" s="87"/>
    </row>
    <row r="841" spans="2:11" ht="16" x14ac:dyDescent="0.2">
      <c r="B841" s="81"/>
      <c r="C841" s="211" t="s">
        <v>645</v>
      </c>
      <c r="D841" s="85"/>
      <c r="E841" s="85"/>
      <c r="F841" s="85"/>
      <c r="G841" s="85"/>
      <c r="H841" s="85"/>
      <c r="I841" s="85"/>
      <c r="J841" s="85"/>
      <c r="K841" s="87"/>
    </row>
    <row r="842" spans="2:11" x14ac:dyDescent="0.2">
      <c r="B842" s="81"/>
      <c r="C842" s="85" t="s">
        <v>380</v>
      </c>
      <c r="D842" s="85"/>
      <c r="E842" s="85"/>
      <c r="F842" s="85"/>
      <c r="G842" s="406"/>
      <c r="H842" s="407"/>
      <c r="I842" s="85"/>
      <c r="J842" s="83" t="str">
        <f>IF(G842=$B$998,$A$998,IF(G842=$B$999,$A$999,IF(G842=$B$1000,$A$1000,IF(G842=$B$1001,$A$1001,IF(G842=$B$1002,$A$1002,"Not Calculated")))))</f>
        <v>Not Calculated</v>
      </c>
      <c r="K842" s="87"/>
    </row>
    <row r="843" spans="2:11" x14ac:dyDescent="0.2">
      <c r="B843" s="81"/>
      <c r="C843" s="85" t="s">
        <v>134</v>
      </c>
      <c r="D843" s="85"/>
      <c r="E843" s="85"/>
      <c r="F843" s="85"/>
      <c r="G843" s="85"/>
      <c r="H843" s="85"/>
      <c r="I843" s="85"/>
      <c r="J843" s="240">
        <f>'Baseline PHP'!J44</f>
        <v>0</v>
      </c>
      <c r="K843" s="87"/>
    </row>
    <row r="844" spans="2:11" x14ac:dyDescent="0.2">
      <c r="B844" s="81"/>
      <c r="C844" s="85"/>
      <c r="D844" s="85"/>
      <c r="E844" s="85"/>
      <c r="F844" s="85"/>
      <c r="G844" s="85"/>
      <c r="H844" s="85"/>
      <c r="I844" s="85"/>
      <c r="J844" s="85"/>
      <c r="K844" s="87"/>
    </row>
    <row r="845" spans="2:11" ht="16" x14ac:dyDescent="0.2">
      <c r="B845" s="81"/>
      <c r="C845" s="211" t="s">
        <v>646</v>
      </c>
      <c r="D845" s="85"/>
      <c r="E845" s="85"/>
      <c r="F845" s="85"/>
      <c r="G845" s="85"/>
      <c r="H845" s="85"/>
      <c r="I845" s="85"/>
      <c r="J845" s="85"/>
      <c r="K845" s="87"/>
    </row>
    <row r="846" spans="2:11" x14ac:dyDescent="0.2">
      <c r="B846" s="81"/>
      <c r="C846" s="85" t="s">
        <v>380</v>
      </c>
      <c r="D846" s="85"/>
      <c r="E846" s="85"/>
      <c r="F846" s="85"/>
      <c r="G846" s="406"/>
      <c r="H846" s="407"/>
      <c r="I846" s="85"/>
      <c r="J846" s="83" t="str">
        <f>IF(G846=$B$998,$A$998,IF(G846=$B$999,$A$999,IF(G846=$B$1000,$A$1000,IF(G846=$B$1001,$A$1001,IF(G846=$B$1002,$A$1002,"Not Calculated")))))</f>
        <v>Not Calculated</v>
      </c>
      <c r="K846" s="87"/>
    </row>
    <row r="847" spans="2:11" x14ac:dyDescent="0.2">
      <c r="B847" s="81"/>
      <c r="C847" s="85" t="s">
        <v>134</v>
      </c>
      <c r="D847" s="85"/>
      <c r="E847" s="85"/>
      <c r="F847" s="85"/>
      <c r="G847" s="85"/>
      <c r="H847" s="85"/>
      <c r="I847" s="85"/>
      <c r="J847" s="240">
        <f>'Baseline PHP'!J60</f>
        <v>0</v>
      </c>
      <c r="K847" s="87"/>
    </row>
    <row r="848" spans="2:11" x14ac:dyDescent="0.2">
      <c r="B848" s="81"/>
      <c r="C848" s="85"/>
      <c r="D848" s="85"/>
      <c r="E848" s="85"/>
      <c r="F848" s="85"/>
      <c r="G848" s="85"/>
      <c r="H848" s="85"/>
      <c r="I848" s="85"/>
      <c r="J848" s="85"/>
      <c r="K848" s="87"/>
    </row>
    <row r="849" spans="2:11" ht="16" x14ac:dyDescent="0.2">
      <c r="B849" s="81"/>
      <c r="C849" s="211" t="s">
        <v>648</v>
      </c>
      <c r="D849" s="85"/>
      <c r="E849" s="85"/>
      <c r="F849" s="85"/>
      <c r="G849" s="85"/>
      <c r="H849" s="85"/>
      <c r="I849" s="85"/>
      <c r="J849" s="85"/>
      <c r="K849" s="87"/>
    </row>
    <row r="850" spans="2:11" ht="15" customHeight="1" x14ac:dyDescent="0.2">
      <c r="B850" s="81"/>
      <c r="C850" s="85" t="s">
        <v>380</v>
      </c>
      <c r="D850" s="85"/>
      <c r="E850" s="85"/>
      <c r="F850" s="85"/>
      <c r="G850" s="406"/>
      <c r="H850" s="407"/>
      <c r="I850" s="85"/>
      <c r="J850" s="83" t="str">
        <f>IF(G850=$B$998,$A$998,IF(G850=$B$999,$A$999,IF(G850=$B$1000,$A$1000,IF(G850=$B$1001,$A$1001,IF(G850=$B$1002,$A$1002,"Not Calculated")))))</f>
        <v>Not Calculated</v>
      </c>
      <c r="K850" s="87"/>
    </row>
    <row r="851" spans="2:11" x14ac:dyDescent="0.2">
      <c r="B851" s="81"/>
      <c r="C851" s="85" t="s">
        <v>134</v>
      </c>
      <c r="D851" s="85"/>
      <c r="E851" s="85"/>
      <c r="F851" s="85"/>
      <c r="G851" s="85"/>
      <c r="H851" s="85"/>
      <c r="I851" s="85"/>
      <c r="J851" s="240">
        <f>'Baseline PHP'!J76</f>
        <v>0</v>
      </c>
      <c r="K851" s="87"/>
    </row>
    <row r="852" spans="2:11" x14ac:dyDescent="0.2">
      <c r="B852" s="81"/>
      <c r="C852" s="85"/>
      <c r="D852" s="85"/>
      <c r="E852" s="85"/>
      <c r="F852" s="85"/>
      <c r="G852" s="85"/>
      <c r="H852" s="85"/>
      <c r="I852" s="85"/>
      <c r="J852" s="85"/>
      <c r="K852" s="87"/>
    </row>
    <row r="853" spans="2:11" ht="16" x14ac:dyDescent="0.2">
      <c r="B853" s="81"/>
      <c r="C853" s="211" t="s">
        <v>647</v>
      </c>
      <c r="D853" s="85"/>
      <c r="E853" s="85"/>
      <c r="F853" s="85"/>
      <c r="G853" s="85"/>
      <c r="H853" s="85"/>
      <c r="I853" s="85"/>
      <c r="J853" s="85"/>
      <c r="K853" s="87"/>
    </row>
    <row r="854" spans="2:11" x14ac:dyDescent="0.2">
      <c r="B854" s="81"/>
      <c r="C854" s="85" t="s">
        <v>380</v>
      </c>
      <c r="D854" s="85"/>
      <c r="E854" s="85"/>
      <c r="F854" s="85"/>
      <c r="G854" s="406"/>
      <c r="H854" s="407"/>
      <c r="I854" s="85"/>
      <c r="J854" s="83" t="str">
        <f>IF(G854=$B$998,$A$998,IF(G854=$B$999,$A$999,IF(G854=$B$1000,$A$1000,IF(G854=$B$1001,$A$1001,IF(G854=$B$1002,$A$1002,"Not Calculated")))))</f>
        <v>Not Calculated</v>
      </c>
      <c r="K854" s="87"/>
    </row>
    <row r="855" spans="2:11" x14ac:dyDescent="0.2">
      <c r="B855" s="81"/>
      <c r="C855" s="85" t="s">
        <v>134</v>
      </c>
      <c r="D855" s="85"/>
      <c r="E855" s="85"/>
      <c r="F855" s="85"/>
      <c r="G855" s="85"/>
      <c r="H855" s="85"/>
      <c r="I855" s="85"/>
      <c r="J855" s="240">
        <f>'Baseline PHP'!J88</f>
        <v>0</v>
      </c>
      <c r="K855" s="87"/>
    </row>
    <row r="856" spans="2:11" x14ac:dyDescent="0.2">
      <c r="B856" s="81"/>
      <c r="C856" s="85"/>
      <c r="D856" s="85"/>
      <c r="E856" s="85"/>
      <c r="F856" s="85"/>
      <c r="G856" s="85"/>
      <c r="H856" s="85"/>
      <c r="I856" s="85"/>
      <c r="J856" s="85"/>
      <c r="K856" s="87"/>
    </row>
    <row r="857" spans="2:11" ht="16" x14ac:dyDescent="0.2">
      <c r="B857" s="81"/>
      <c r="C857" s="211" t="s">
        <v>115</v>
      </c>
      <c r="D857" s="85"/>
      <c r="E857" s="85"/>
      <c r="F857" s="85"/>
      <c r="G857" s="85"/>
      <c r="H857" s="85"/>
      <c r="I857" s="85"/>
      <c r="J857" s="85"/>
      <c r="K857" s="87"/>
    </row>
    <row r="858" spans="2:11" x14ac:dyDescent="0.2">
      <c r="B858" s="81"/>
      <c r="C858" s="85" t="s">
        <v>380</v>
      </c>
      <c r="D858" s="85"/>
      <c r="E858" s="85"/>
      <c r="F858" s="85"/>
      <c r="G858" s="406"/>
      <c r="H858" s="407"/>
      <c r="I858" s="85"/>
      <c r="J858" s="83" t="str">
        <f>IF(G858=$B$998,$A$998,IF(G858=$B$999,$A$999,IF(G858=$B$1000,$A$1000,IF(G858=$B$1001,$A$1001,IF(G858=$B$1002,$A$1002,"Not Calculated")))))</f>
        <v>Not Calculated</v>
      </c>
      <c r="K858" s="87"/>
    </row>
    <row r="859" spans="2:11" x14ac:dyDescent="0.2">
      <c r="B859" s="81"/>
      <c r="C859" s="85" t="s">
        <v>134</v>
      </c>
      <c r="D859" s="85"/>
      <c r="E859" s="85"/>
      <c r="F859" s="85"/>
      <c r="G859" s="85"/>
      <c r="H859" s="85"/>
      <c r="I859" s="85"/>
      <c r="J859" s="240">
        <f>'Baseline PHP'!J102</f>
        <v>0</v>
      </c>
      <c r="K859" s="87"/>
    </row>
    <row r="860" spans="2:11" x14ac:dyDescent="0.2">
      <c r="B860" s="81"/>
      <c r="C860" s="85"/>
      <c r="D860" s="85"/>
      <c r="E860" s="85"/>
      <c r="F860" s="85"/>
      <c r="G860" s="85"/>
      <c r="H860" s="85"/>
      <c r="I860" s="85"/>
      <c r="J860" s="85"/>
      <c r="K860" s="87"/>
    </row>
    <row r="861" spans="2:11" ht="16" x14ac:dyDescent="0.2">
      <c r="B861" s="81"/>
      <c r="C861" s="211" t="s">
        <v>649</v>
      </c>
      <c r="D861" s="85"/>
      <c r="E861" s="85"/>
      <c r="F861" s="85"/>
      <c r="G861" s="85"/>
      <c r="H861" s="85"/>
      <c r="I861" s="85"/>
      <c r="J861" s="85"/>
      <c r="K861" s="87"/>
    </row>
    <row r="862" spans="2:11" x14ac:dyDescent="0.2">
      <c r="B862" s="81"/>
      <c r="C862" s="85" t="s">
        <v>380</v>
      </c>
      <c r="D862" s="85"/>
      <c r="E862" s="85"/>
      <c r="F862" s="85"/>
      <c r="G862" s="406"/>
      <c r="H862" s="407"/>
      <c r="I862" s="85"/>
      <c r="J862" s="83" t="str">
        <f>IF(G862=$B$998,$A$998,IF(G862=$B$999,$A$999,IF(G862=$B$1000,$A$1000,IF(G862=$B$1001,$A$1001,IF(G862=$B$1002,$A$1002,"Not Calculated")))))</f>
        <v>Not Calculated</v>
      </c>
      <c r="K862" s="87"/>
    </row>
    <row r="863" spans="2:11" x14ac:dyDescent="0.2">
      <c r="B863" s="81"/>
      <c r="C863" s="85" t="s">
        <v>134</v>
      </c>
      <c r="D863" s="85"/>
      <c r="E863" s="85"/>
      <c r="F863" s="85"/>
      <c r="G863" s="85"/>
      <c r="H863" s="85"/>
      <c r="I863" s="85"/>
      <c r="J863" s="240">
        <f>'Baseline PHP'!J118</f>
        <v>0</v>
      </c>
      <c r="K863" s="87"/>
    </row>
    <row r="864" spans="2:11" x14ac:dyDescent="0.2">
      <c r="B864" s="81"/>
      <c r="C864" s="85"/>
      <c r="D864" s="85"/>
      <c r="E864" s="85"/>
      <c r="F864" s="85"/>
      <c r="G864" s="85"/>
      <c r="H864" s="85"/>
      <c r="I864" s="85"/>
      <c r="J864" s="85"/>
      <c r="K864" s="87"/>
    </row>
    <row r="865" spans="2:11" ht="16" x14ac:dyDescent="0.2">
      <c r="B865" s="81"/>
      <c r="C865" s="211" t="s">
        <v>656</v>
      </c>
      <c r="D865" s="85"/>
      <c r="E865" s="85"/>
      <c r="F865" s="85"/>
      <c r="G865" s="85"/>
      <c r="H865" s="85"/>
      <c r="I865" s="85"/>
      <c r="J865" s="85"/>
      <c r="K865" s="87"/>
    </row>
    <row r="866" spans="2:11" x14ac:dyDescent="0.2">
      <c r="B866" s="81"/>
      <c r="C866" s="85" t="s">
        <v>380</v>
      </c>
      <c r="D866" s="85"/>
      <c r="E866" s="85"/>
      <c r="F866" s="85"/>
      <c r="G866" s="406"/>
      <c r="H866" s="407"/>
      <c r="I866" s="85"/>
      <c r="J866" s="83" t="str">
        <f>IF(G866=$B$998,$A$998,IF(G866=$B$999,$A$999,IF(G866=$B$1000,$A$1000,IF(G866=$B$1001,$A$1001,IF(G866=$B$1002,$A$1002,"Not Calculated")))))</f>
        <v>Not Calculated</v>
      </c>
      <c r="K866" s="87"/>
    </row>
    <row r="867" spans="2:11" x14ac:dyDescent="0.2">
      <c r="B867" s="81"/>
      <c r="C867" s="85" t="s">
        <v>134</v>
      </c>
      <c r="D867" s="85"/>
      <c r="E867" s="85"/>
      <c r="F867" s="85"/>
      <c r="G867" s="85"/>
      <c r="H867" s="85"/>
      <c r="I867" s="85"/>
      <c r="J867" s="240">
        <f>'Baseline PHP'!J136</f>
        <v>0</v>
      </c>
      <c r="K867" s="87"/>
    </row>
    <row r="868" spans="2:11" x14ac:dyDescent="0.2">
      <c r="B868" s="81"/>
      <c r="C868" s="85"/>
      <c r="D868" s="85"/>
      <c r="E868" s="85"/>
      <c r="F868" s="85"/>
      <c r="G868" s="85"/>
      <c r="H868" s="85"/>
      <c r="I868" s="85"/>
      <c r="J868" s="85"/>
      <c r="K868" s="87"/>
    </row>
    <row r="869" spans="2:11" ht="16" x14ac:dyDescent="0.2">
      <c r="B869" s="81"/>
      <c r="C869" s="211" t="s">
        <v>121</v>
      </c>
      <c r="D869" s="85"/>
      <c r="E869" s="85"/>
      <c r="F869" s="85"/>
      <c r="G869" s="85"/>
      <c r="H869" s="85"/>
      <c r="I869" s="85"/>
      <c r="J869" s="85"/>
      <c r="K869" s="87"/>
    </row>
    <row r="870" spans="2:11" x14ac:dyDescent="0.2">
      <c r="B870" s="81"/>
      <c r="C870" s="85" t="s">
        <v>380</v>
      </c>
      <c r="D870" s="85"/>
      <c r="E870" s="85"/>
      <c r="F870" s="85"/>
      <c r="G870" s="406"/>
      <c r="H870" s="407"/>
      <c r="I870" s="85"/>
      <c r="J870" s="83" t="str">
        <f>IF(G870=$B$998,$A$998,IF(G870=$B$999,$A$999,IF(G870=$B$1000,$A$1000,IF(G870=$B$1001,$A$1001,IF(G870=$B$1002,$A$1002,"Not Calculated")))))</f>
        <v>Not Calculated</v>
      </c>
      <c r="K870" s="87"/>
    </row>
    <row r="871" spans="2:11" x14ac:dyDescent="0.2">
      <c r="B871" s="81"/>
      <c r="C871" s="85" t="s">
        <v>134</v>
      </c>
      <c r="D871" s="85"/>
      <c r="E871" s="85"/>
      <c r="F871" s="85"/>
      <c r="G871" s="85"/>
      <c r="H871" s="85"/>
      <c r="I871" s="85"/>
      <c r="J871" s="240">
        <f>'Baseline PHP'!J150</f>
        <v>0</v>
      </c>
      <c r="K871" s="87"/>
    </row>
    <row r="872" spans="2:11" x14ac:dyDescent="0.2">
      <c r="B872" s="81"/>
      <c r="C872" s="85"/>
      <c r="D872" s="85"/>
      <c r="E872" s="85"/>
      <c r="F872" s="85"/>
      <c r="G872" s="85"/>
      <c r="H872" s="85"/>
      <c r="I872" s="85"/>
      <c r="J872" s="85"/>
      <c r="K872" s="87"/>
    </row>
    <row r="873" spans="2:11" ht="16" x14ac:dyDescent="0.2">
      <c r="B873" s="81"/>
      <c r="C873" s="211" t="s">
        <v>657</v>
      </c>
      <c r="D873" s="85"/>
      <c r="E873" s="85"/>
      <c r="F873" s="85"/>
      <c r="G873" s="85"/>
      <c r="H873" s="85"/>
      <c r="I873" s="85"/>
      <c r="J873" s="85"/>
      <c r="K873" s="87"/>
    </row>
    <row r="874" spans="2:11" x14ac:dyDescent="0.2">
      <c r="B874" s="81"/>
      <c r="C874" s="85" t="s">
        <v>380</v>
      </c>
      <c r="D874" s="85"/>
      <c r="E874" s="85"/>
      <c r="F874" s="85"/>
      <c r="G874" s="406"/>
      <c r="H874" s="407"/>
      <c r="I874" s="85"/>
      <c r="J874" s="83" t="str">
        <f>IF(G874=$B$998,$A$998,IF(G874=$B$999,$A$999,IF(G874=$B$1000,$A$1000,IF(G874=$B$1001,$A$1001,IF(G874=$B$1002,$A$1002,"Not Calculated")))))</f>
        <v>Not Calculated</v>
      </c>
      <c r="K874" s="87"/>
    </row>
    <row r="875" spans="2:11" x14ac:dyDescent="0.2">
      <c r="B875" s="81"/>
      <c r="C875" s="85" t="s">
        <v>134</v>
      </c>
      <c r="D875" s="85"/>
      <c r="E875" s="85"/>
      <c r="F875" s="85"/>
      <c r="G875" s="85"/>
      <c r="H875" s="85"/>
      <c r="I875" s="85"/>
      <c r="J875" s="240">
        <f>'Baseline PHP'!J164</f>
        <v>0</v>
      </c>
      <c r="K875" s="87"/>
    </row>
    <row r="876" spans="2:11" x14ac:dyDescent="0.2">
      <c r="B876" s="81"/>
      <c r="C876" s="85"/>
      <c r="D876" s="85"/>
      <c r="E876" s="85"/>
      <c r="F876" s="85"/>
      <c r="G876" s="85"/>
      <c r="H876" s="85"/>
      <c r="I876" s="85"/>
      <c r="J876" s="85"/>
      <c r="K876" s="87"/>
    </row>
    <row r="877" spans="2:11" ht="16" x14ac:dyDescent="0.2">
      <c r="B877" s="81"/>
      <c r="C877" s="211" t="s">
        <v>650</v>
      </c>
      <c r="D877" s="85"/>
      <c r="E877" s="85"/>
      <c r="F877" s="85"/>
      <c r="G877" s="85"/>
      <c r="H877" s="85"/>
      <c r="I877" s="85"/>
      <c r="J877" s="85"/>
      <c r="K877" s="87"/>
    </row>
    <row r="878" spans="2:11" x14ac:dyDescent="0.2">
      <c r="B878" s="81"/>
      <c r="C878" s="85" t="s">
        <v>380</v>
      </c>
      <c r="D878" s="85"/>
      <c r="E878" s="85"/>
      <c r="F878" s="85"/>
      <c r="G878" s="406"/>
      <c r="H878" s="407"/>
      <c r="I878" s="85"/>
      <c r="J878" s="83" t="str">
        <f>IF(G878=$B$998,$A$998,IF(G878=$B$999,$A$999,IF(G878=$B$1000,$A$1000,IF(G878=$B$1001,$A$1001,IF(G878=$B$1002,$A$1002,"Not Calculated")))))</f>
        <v>Not Calculated</v>
      </c>
      <c r="K878" s="87"/>
    </row>
    <row r="879" spans="2:11" x14ac:dyDescent="0.2">
      <c r="B879" s="81"/>
      <c r="C879" s="85" t="s">
        <v>134</v>
      </c>
      <c r="D879" s="85"/>
      <c r="E879" s="85"/>
      <c r="F879" s="85"/>
      <c r="G879" s="85"/>
      <c r="H879" s="85"/>
      <c r="I879" s="85"/>
      <c r="J879" s="240">
        <f>'Baseline PHP'!J180</f>
        <v>0</v>
      </c>
      <c r="K879" s="87"/>
    </row>
    <row r="880" spans="2:11" x14ac:dyDescent="0.2">
      <c r="B880" s="81"/>
      <c r="C880" s="85"/>
      <c r="D880" s="85"/>
      <c r="E880" s="85"/>
      <c r="F880" s="85"/>
      <c r="G880" s="85"/>
      <c r="H880" s="85"/>
      <c r="I880" s="85"/>
      <c r="J880" s="85"/>
      <c r="K880" s="87"/>
    </row>
    <row r="881" spans="2:11" ht="16" x14ac:dyDescent="0.2">
      <c r="B881" s="81"/>
      <c r="C881" s="211" t="s">
        <v>651</v>
      </c>
      <c r="D881" s="85"/>
      <c r="E881" s="85"/>
      <c r="F881" s="85"/>
      <c r="G881" s="85"/>
      <c r="H881" s="85"/>
      <c r="I881" s="85"/>
      <c r="J881" s="85"/>
      <c r="K881" s="87"/>
    </row>
    <row r="882" spans="2:11" x14ac:dyDescent="0.2">
      <c r="B882" s="81"/>
      <c r="C882" s="85" t="s">
        <v>380</v>
      </c>
      <c r="D882" s="85"/>
      <c r="E882" s="85"/>
      <c r="F882" s="85"/>
      <c r="G882" s="406"/>
      <c r="H882" s="407"/>
      <c r="I882" s="85"/>
      <c r="J882" s="83" t="str">
        <f>IF(G882=$B$998,$A$998,IF(G882=$B$999,$A$999,IF(G882=$B$1000,$A$1000,IF(G882=$B$1001,$A$1001,IF(G882=$B$1002,$A$1002,"Not Calculated")))))</f>
        <v>Not Calculated</v>
      </c>
      <c r="K882" s="87"/>
    </row>
    <row r="883" spans="2:11" x14ac:dyDescent="0.2">
      <c r="B883" s="81"/>
      <c r="C883" s="85" t="s">
        <v>134</v>
      </c>
      <c r="D883" s="85"/>
      <c r="E883" s="85"/>
      <c r="F883" s="85"/>
      <c r="G883" s="85"/>
      <c r="H883" s="85"/>
      <c r="I883" s="85"/>
      <c r="J883" s="240">
        <f>'Baseline PHP'!J194</f>
        <v>0</v>
      </c>
      <c r="K883" s="87"/>
    </row>
    <row r="884" spans="2:11" x14ac:dyDescent="0.2">
      <c r="B884" s="81"/>
      <c r="C884" s="85"/>
      <c r="D884" s="85"/>
      <c r="E884" s="85"/>
      <c r="F884" s="85"/>
      <c r="G884" s="85"/>
      <c r="H884" s="85"/>
      <c r="I884" s="85"/>
      <c r="J884" s="85"/>
      <c r="K884" s="87"/>
    </row>
    <row r="885" spans="2:11" ht="16" x14ac:dyDescent="0.2">
      <c r="B885" s="81"/>
      <c r="C885" s="211" t="s">
        <v>652</v>
      </c>
      <c r="D885" s="85"/>
      <c r="E885" s="85"/>
      <c r="F885" s="85"/>
      <c r="G885" s="85"/>
      <c r="H885" s="85"/>
      <c r="I885" s="85"/>
      <c r="J885" s="85"/>
      <c r="K885" s="87"/>
    </row>
    <row r="886" spans="2:11" x14ac:dyDescent="0.2">
      <c r="B886" s="81"/>
      <c r="C886" s="85" t="s">
        <v>380</v>
      </c>
      <c r="D886" s="85"/>
      <c r="E886" s="85"/>
      <c r="F886" s="85"/>
      <c r="G886" s="406"/>
      <c r="H886" s="407"/>
      <c r="I886" s="85"/>
      <c r="J886" s="83" t="str">
        <f>IF(G886=$B$998,$A$998,IF(G886=$B$999,$A$999,IF(G886=$B$1000,$A$1000,IF(G886=$B$1001,$A$1001,IF(G886=$B$1002,$A$1002,"Not Calculated")))))</f>
        <v>Not Calculated</v>
      </c>
      <c r="K886" s="87"/>
    </row>
    <row r="887" spans="2:11" x14ac:dyDescent="0.2">
      <c r="B887" s="81"/>
      <c r="C887" s="85" t="s">
        <v>134</v>
      </c>
      <c r="D887" s="85"/>
      <c r="E887" s="85"/>
      <c r="F887" s="85"/>
      <c r="G887" s="85"/>
      <c r="H887" s="85"/>
      <c r="I887" s="85"/>
      <c r="J887" s="240">
        <f>'Baseline PHP'!J208</f>
        <v>0</v>
      </c>
      <c r="K887" s="87"/>
    </row>
    <row r="888" spans="2:11" x14ac:dyDescent="0.2">
      <c r="B888" s="81"/>
      <c r="C888" s="85"/>
      <c r="D888" s="85"/>
      <c r="E888" s="85"/>
      <c r="F888" s="85"/>
      <c r="G888" s="85"/>
      <c r="H888" s="85"/>
      <c r="I888" s="85"/>
      <c r="J888" s="85"/>
      <c r="K888" s="87"/>
    </row>
    <row r="889" spans="2:11" ht="16" x14ac:dyDescent="0.2">
      <c r="B889" s="81"/>
      <c r="C889" s="211" t="s">
        <v>653</v>
      </c>
      <c r="D889" s="85"/>
      <c r="E889" s="85"/>
      <c r="F889" s="85"/>
      <c r="G889" s="85"/>
      <c r="H889" s="85"/>
      <c r="I889" s="85"/>
      <c r="J889" s="85"/>
      <c r="K889" s="87"/>
    </row>
    <row r="890" spans="2:11" x14ac:dyDescent="0.2">
      <c r="B890" s="81"/>
      <c r="C890" s="85" t="s">
        <v>380</v>
      </c>
      <c r="D890" s="85"/>
      <c r="E890" s="85"/>
      <c r="F890" s="85"/>
      <c r="G890" s="406"/>
      <c r="H890" s="407"/>
      <c r="I890" s="85"/>
      <c r="J890" s="83" t="str">
        <f>IF(G890=$B$998,$A$998,IF(G890=$B$999,$A$999,IF(G890=$B$1000,$A$1000,IF(G890=$B$1001,$A$1001,IF(G890=$B$1002,$A$1002,"Not Calculated")))))</f>
        <v>Not Calculated</v>
      </c>
      <c r="K890" s="87"/>
    </row>
    <row r="891" spans="2:11" x14ac:dyDescent="0.2">
      <c r="B891" s="81"/>
      <c r="C891" s="85" t="s">
        <v>134</v>
      </c>
      <c r="D891" s="85"/>
      <c r="E891" s="85"/>
      <c r="F891" s="85"/>
      <c r="G891" s="85"/>
      <c r="H891" s="85"/>
      <c r="I891" s="85"/>
      <c r="J891" s="240">
        <f>'Baseline PHP'!J222</f>
        <v>0</v>
      </c>
      <c r="K891" s="87"/>
    </row>
    <row r="892" spans="2:11" x14ac:dyDescent="0.2">
      <c r="B892" s="81"/>
      <c r="C892" s="85"/>
      <c r="D892" s="85"/>
      <c r="E892" s="85"/>
      <c r="F892" s="85"/>
      <c r="G892" s="85"/>
      <c r="H892" s="85"/>
      <c r="I892" s="85"/>
      <c r="J892" s="85"/>
      <c r="K892" s="87"/>
    </row>
    <row r="893" spans="2:11" x14ac:dyDescent="0.2">
      <c r="B893" s="81"/>
      <c r="C893" s="85"/>
      <c r="D893" s="85"/>
      <c r="E893" s="85"/>
      <c r="F893" s="85"/>
      <c r="G893" s="85"/>
      <c r="H893" s="85"/>
      <c r="I893" s="85"/>
      <c r="J893" s="85"/>
      <c r="K893" s="87"/>
    </row>
    <row r="894" spans="2:11" ht="16" x14ac:dyDescent="0.2">
      <c r="B894" s="81"/>
      <c r="C894" s="212" t="s">
        <v>813</v>
      </c>
      <c r="D894" s="85"/>
      <c r="E894" s="85"/>
      <c r="F894" s="85"/>
      <c r="G894" s="85"/>
      <c r="H894" s="85"/>
      <c r="I894" s="85"/>
      <c r="J894" s="241" t="str">
        <f>IF(OR(J854="Not Calculated",J858="Not Calculated",J862="Not Calculated",J866="Not Calculated",J870="Not Calculated",J874="Not Calculated",J878="Not Calculated",J882="Not Calculated",J886="Not Calculated",J890="Not Calculated",J834="Not Calculated",J838="Not Calculated",J842="Not Calculated",J846="Not Calculated",J850="Not Calculated",J855="Not Calculated",J859="Not Calculated",J863="Not Calculated",J867="Not Calculated",J871="Not Calculated",J875="Not Calculated",J879="Not Calculated",J883="Not Calculated",J887="Not Calculated",J891="Not Calculated",J835="Not Calculated",J839="Not Calculated",J843="Not Calculated",J847="Not Calculated",J851="Not Calculated")=TRUE,"Not Calculated",((J834*J835)+(J838*J839)+(J842*J843)+(J846*J847)+(J850*J851)+(J854*J855)+(J858*J859)+(J862*J863)+(J866*J867)+(J870*J871)+(J874*J875)+(J878*J879)+(J882*J883)+(J886*J887)+(J890*J891))/(J834+J838+J842+J846+J850+J854+J858+J862+J866+J870+J874+J878+J882+J886+J890))</f>
        <v>Not Calculated</v>
      </c>
      <c r="K894" s="87"/>
    </row>
    <row r="895" spans="2:11" ht="16" thickBot="1" x14ac:dyDescent="0.25">
      <c r="B895" s="213"/>
      <c r="C895" s="94"/>
      <c r="D895" s="94"/>
      <c r="E895" s="94"/>
      <c r="F895" s="94"/>
      <c r="G895" s="94"/>
      <c r="H895" s="94"/>
      <c r="I895" s="94"/>
      <c r="J895" s="94"/>
      <c r="K895" s="96"/>
    </row>
    <row r="896" spans="2:11" ht="16" thickBot="1" x14ac:dyDescent="0.25"/>
    <row r="897" spans="2:11" x14ac:dyDescent="0.2">
      <c r="B897" s="77"/>
      <c r="C897" s="78"/>
      <c r="D897" s="78"/>
      <c r="E897" s="78"/>
      <c r="F897" s="78"/>
      <c r="G897" s="78"/>
      <c r="H897" s="78"/>
      <c r="I897" s="78"/>
      <c r="J897" s="78"/>
      <c r="K897" s="80"/>
    </row>
    <row r="898" spans="2:11" ht="21" x14ac:dyDescent="0.25">
      <c r="B898" s="81"/>
      <c r="C898" s="85"/>
      <c r="D898" s="85"/>
      <c r="E898" s="85"/>
      <c r="F898" s="85"/>
      <c r="G898" s="210" t="s">
        <v>807</v>
      </c>
      <c r="H898" s="85"/>
      <c r="I898" s="85"/>
      <c r="J898" s="85"/>
      <c r="K898" s="87"/>
    </row>
    <row r="899" spans="2:11" x14ac:dyDescent="0.2">
      <c r="B899" s="81"/>
      <c r="C899" s="85"/>
      <c r="D899" s="85"/>
      <c r="E899" s="85"/>
      <c r="F899" s="85"/>
      <c r="G899" s="85"/>
      <c r="H899" s="85"/>
      <c r="I899" s="85"/>
      <c r="J899" s="85"/>
      <c r="K899" s="87"/>
    </row>
    <row r="900" spans="2:11" ht="15" customHeight="1" x14ac:dyDescent="0.2">
      <c r="B900" s="81"/>
      <c r="C900" s="424" t="s">
        <v>809</v>
      </c>
      <c r="D900" s="424"/>
      <c r="E900" s="424"/>
      <c r="F900" s="424"/>
      <c r="G900" s="424"/>
      <c r="H900" s="424"/>
      <c r="I900" s="424"/>
      <c r="J900" s="424"/>
      <c r="K900" s="87"/>
    </row>
    <row r="901" spans="2:11" x14ac:dyDescent="0.2">
      <c r="B901" s="81"/>
      <c r="C901" s="424"/>
      <c r="D901" s="424"/>
      <c r="E901" s="424"/>
      <c r="F901" s="424"/>
      <c r="G901" s="424"/>
      <c r="H901" s="424"/>
      <c r="I901" s="424"/>
      <c r="J901" s="424"/>
      <c r="K901" s="87"/>
    </row>
    <row r="902" spans="2:11" x14ac:dyDescent="0.2">
      <c r="B902" s="81"/>
      <c r="C902" s="85"/>
      <c r="D902" s="85"/>
      <c r="E902" s="85"/>
      <c r="F902" s="85"/>
      <c r="G902" s="85"/>
      <c r="H902" s="85"/>
      <c r="I902" s="85"/>
      <c r="J902" s="85"/>
      <c r="K902" s="87"/>
    </row>
    <row r="903" spans="2:11" ht="16" x14ac:dyDescent="0.2">
      <c r="B903" s="81"/>
      <c r="C903" s="211" t="s">
        <v>810</v>
      </c>
      <c r="D903" s="85"/>
      <c r="E903" s="85"/>
      <c r="F903" s="85"/>
      <c r="G903" s="85"/>
      <c r="H903" s="85"/>
      <c r="I903" s="85"/>
      <c r="J903" s="85"/>
      <c r="K903" s="87"/>
    </row>
    <row r="904" spans="2:11" x14ac:dyDescent="0.2">
      <c r="B904" s="81"/>
      <c r="C904" s="85" t="s">
        <v>380</v>
      </c>
      <c r="D904" s="85"/>
      <c r="E904" s="85"/>
      <c r="F904" s="85"/>
      <c r="G904" s="406"/>
      <c r="H904" s="407"/>
      <c r="I904" s="85"/>
      <c r="J904" s="83" t="str">
        <f>IF(G904=$B$998,$A$998,IF(G904=$B$999,$A$999,IF(G904=$B$1000,$A$1000,IF(G904=$B$1001,$A$1001,IF(G904=$B$1002,$A$1002,"Not Calculated")))))</f>
        <v>Not Calculated</v>
      </c>
      <c r="K904" s="87"/>
    </row>
    <row r="905" spans="2:11" x14ac:dyDescent="0.2">
      <c r="B905" s="81"/>
      <c r="C905" s="85" t="s">
        <v>134</v>
      </c>
      <c r="D905" s="85"/>
      <c r="E905" s="85"/>
      <c r="F905" s="85"/>
      <c r="G905" s="85"/>
      <c r="H905" s="85"/>
      <c r="I905" s="85"/>
      <c r="J905" s="240">
        <f>'Baseline HP'!J22</f>
        <v>0</v>
      </c>
      <c r="K905" s="87"/>
    </row>
    <row r="906" spans="2:11" x14ac:dyDescent="0.2">
      <c r="B906" s="81"/>
      <c r="C906" s="85"/>
      <c r="D906" s="85"/>
      <c r="E906" s="85"/>
      <c r="F906" s="85"/>
      <c r="G906" s="85"/>
      <c r="H906" s="85"/>
      <c r="I906" s="85"/>
      <c r="J906" s="85"/>
      <c r="K906" s="87"/>
    </row>
    <row r="907" spans="2:11" ht="16" x14ac:dyDescent="0.2">
      <c r="B907" s="81"/>
      <c r="C907" s="211" t="s">
        <v>811</v>
      </c>
      <c r="D907" s="85"/>
      <c r="E907" s="85"/>
      <c r="F907" s="85"/>
      <c r="G907" s="85"/>
      <c r="H907" s="85"/>
      <c r="I907" s="85"/>
      <c r="J907" s="85"/>
      <c r="K907" s="87"/>
    </row>
    <row r="908" spans="2:11" x14ac:dyDescent="0.2">
      <c r="B908" s="81"/>
      <c r="C908" s="85" t="s">
        <v>380</v>
      </c>
      <c r="D908" s="85"/>
      <c r="E908" s="85"/>
      <c r="F908" s="85"/>
      <c r="G908" s="406"/>
      <c r="H908" s="407"/>
      <c r="I908" s="85"/>
      <c r="J908" s="83" t="str">
        <f>IF(G908=$B$998,$A$998,IF(G908=$B$999,$A$999,IF(G908=$B$1000,$A$1000,IF(G908=$B$1001,$A$1001,IF(G908=$B$1002,$A$1002,"Not Calculated")))))</f>
        <v>Not Calculated</v>
      </c>
      <c r="K908" s="87"/>
    </row>
    <row r="909" spans="2:11" x14ac:dyDescent="0.2">
      <c r="B909" s="81"/>
      <c r="C909" s="85" t="s">
        <v>134</v>
      </c>
      <c r="D909" s="85"/>
      <c r="E909" s="85"/>
      <c r="F909" s="85"/>
      <c r="G909" s="85"/>
      <c r="H909" s="85"/>
      <c r="I909" s="85"/>
      <c r="J909" s="240">
        <f>'Baseline HP'!J32</f>
        <v>0</v>
      </c>
      <c r="K909" s="87"/>
    </row>
    <row r="910" spans="2:11" x14ac:dyDescent="0.2">
      <c r="B910" s="81"/>
      <c r="C910" s="85"/>
      <c r="D910" s="85"/>
      <c r="E910" s="85"/>
      <c r="F910" s="85"/>
      <c r="G910" s="85"/>
      <c r="H910" s="85"/>
      <c r="I910" s="85"/>
      <c r="J910" s="85"/>
      <c r="K910" s="87"/>
    </row>
    <row r="911" spans="2:11" ht="16" x14ac:dyDescent="0.2">
      <c r="B911" s="81"/>
      <c r="C911" s="211" t="s">
        <v>645</v>
      </c>
      <c r="D911" s="85"/>
      <c r="E911" s="85"/>
      <c r="F911" s="85"/>
      <c r="G911" s="85"/>
      <c r="H911" s="85"/>
      <c r="I911" s="85"/>
      <c r="J911" s="85"/>
      <c r="K911" s="87"/>
    </row>
    <row r="912" spans="2:11" x14ac:dyDescent="0.2">
      <c r="B912" s="81"/>
      <c r="C912" s="85" t="s">
        <v>380</v>
      </c>
      <c r="D912" s="85"/>
      <c r="E912" s="85"/>
      <c r="F912" s="85"/>
      <c r="G912" s="406"/>
      <c r="H912" s="407"/>
      <c r="I912" s="85"/>
      <c r="J912" s="83" t="str">
        <f>IF(G912=$B$998,$A$998,IF(G912=$B$999,$A$999,IF(G912=$B$1000,$A$1000,IF(G912=$B$1001,$A$1001,IF(G912=$B$1002,$A$1002,"Not Calculated")))))</f>
        <v>Not Calculated</v>
      </c>
      <c r="K912" s="87"/>
    </row>
    <row r="913" spans="2:11" x14ac:dyDescent="0.2">
      <c r="B913" s="81"/>
      <c r="C913" s="85" t="s">
        <v>134</v>
      </c>
      <c r="D913" s="85"/>
      <c r="E913" s="85"/>
      <c r="F913" s="85"/>
      <c r="G913" s="85"/>
      <c r="H913" s="85"/>
      <c r="I913" s="85"/>
      <c r="J913" s="240">
        <f>'Baseline HP'!J46</f>
        <v>0</v>
      </c>
      <c r="K913" s="87"/>
    </row>
    <row r="914" spans="2:11" x14ac:dyDescent="0.2">
      <c r="B914" s="81"/>
      <c r="C914" s="85"/>
      <c r="D914" s="85"/>
      <c r="E914" s="85"/>
      <c r="F914" s="85"/>
      <c r="G914" s="85"/>
      <c r="H914" s="85"/>
      <c r="I914" s="85"/>
      <c r="J914" s="85"/>
      <c r="K914" s="87"/>
    </row>
    <row r="915" spans="2:11" ht="16" x14ac:dyDescent="0.2">
      <c r="B915" s="81"/>
      <c r="C915" s="211" t="s">
        <v>648</v>
      </c>
      <c r="D915" s="85"/>
      <c r="E915" s="85"/>
      <c r="F915" s="85"/>
      <c r="G915" s="85"/>
      <c r="H915" s="85"/>
      <c r="I915" s="85"/>
      <c r="J915" s="85"/>
      <c r="K915" s="87"/>
    </row>
    <row r="916" spans="2:11" ht="15" customHeight="1" x14ac:dyDescent="0.2">
      <c r="B916" s="81"/>
      <c r="C916" s="85" t="s">
        <v>380</v>
      </c>
      <c r="D916" s="85"/>
      <c r="E916" s="85"/>
      <c r="F916" s="85"/>
      <c r="G916" s="406"/>
      <c r="H916" s="407"/>
      <c r="I916" s="85"/>
      <c r="J916" s="83" t="str">
        <f>IF(G916=$B$998,$A$998,IF(G916=$B$999,$A$999,IF(G916=$B$1000,$A$1000,IF(G916=$B$1001,$A$1001,IF(G916=$B$1002,$A$1002,"Not Calculated")))))</f>
        <v>Not Calculated</v>
      </c>
      <c r="K916" s="87"/>
    </row>
    <row r="917" spans="2:11" x14ac:dyDescent="0.2">
      <c r="B917" s="81"/>
      <c r="C917" s="85" t="s">
        <v>134</v>
      </c>
      <c r="D917" s="85"/>
      <c r="E917" s="85"/>
      <c r="F917" s="85"/>
      <c r="G917" s="85"/>
      <c r="H917" s="85"/>
      <c r="I917" s="85"/>
      <c r="J917" s="240">
        <f>'Baseline HP'!J58</f>
        <v>0</v>
      </c>
      <c r="K917" s="87"/>
    </row>
    <row r="918" spans="2:11" x14ac:dyDescent="0.2">
      <c r="B918" s="81"/>
      <c r="C918" s="85"/>
      <c r="D918" s="85"/>
      <c r="E918" s="85"/>
      <c r="F918" s="85"/>
      <c r="G918" s="85"/>
      <c r="H918" s="85"/>
      <c r="I918" s="85"/>
      <c r="J918" s="85"/>
      <c r="K918" s="87"/>
    </row>
    <row r="919" spans="2:11" ht="16" x14ac:dyDescent="0.2">
      <c r="B919" s="81"/>
      <c r="C919" s="211" t="s">
        <v>647</v>
      </c>
      <c r="D919" s="85"/>
      <c r="E919" s="85"/>
      <c r="F919" s="85"/>
      <c r="G919" s="85"/>
      <c r="H919" s="85"/>
      <c r="I919" s="85"/>
      <c r="J919" s="85"/>
      <c r="K919" s="87"/>
    </row>
    <row r="920" spans="2:11" x14ac:dyDescent="0.2">
      <c r="B920" s="81"/>
      <c r="C920" s="85" t="s">
        <v>380</v>
      </c>
      <c r="D920" s="85"/>
      <c r="E920" s="85"/>
      <c r="F920" s="85"/>
      <c r="G920" s="406"/>
      <c r="H920" s="407"/>
      <c r="I920" s="85"/>
      <c r="J920" s="83" t="str">
        <f>IF(G920=$B$998,$A$998,IF(G920=$B$999,$A$999,IF(G920=$B$1000,$A$1000,IF(G920=$B$1001,$A$1001,IF(G920=$B$1002,$A$1002,"Not Calculated")))))</f>
        <v>Not Calculated</v>
      </c>
      <c r="K920" s="87"/>
    </row>
    <row r="921" spans="2:11" x14ac:dyDescent="0.2">
      <c r="B921" s="81"/>
      <c r="C921" s="85" t="s">
        <v>134</v>
      </c>
      <c r="D921" s="85"/>
      <c r="E921" s="85"/>
      <c r="F921" s="85"/>
      <c r="G921" s="85"/>
      <c r="H921" s="85"/>
      <c r="I921" s="85"/>
      <c r="J921" s="240">
        <f>'Baseline HP'!J68</f>
        <v>0</v>
      </c>
      <c r="K921" s="87"/>
    </row>
    <row r="922" spans="2:11" x14ac:dyDescent="0.2">
      <c r="B922" s="81"/>
      <c r="C922" s="85"/>
      <c r="D922" s="85"/>
      <c r="E922" s="85"/>
      <c r="F922" s="85"/>
      <c r="G922" s="85"/>
      <c r="H922" s="85"/>
      <c r="I922" s="85"/>
      <c r="J922" s="85"/>
      <c r="K922" s="87"/>
    </row>
    <row r="923" spans="2:11" ht="16" x14ac:dyDescent="0.2">
      <c r="B923" s="81"/>
      <c r="C923" s="211" t="s">
        <v>121</v>
      </c>
      <c r="D923" s="85"/>
      <c r="E923" s="85"/>
      <c r="F923" s="85"/>
      <c r="G923" s="85"/>
      <c r="H923" s="85"/>
      <c r="I923" s="85"/>
      <c r="J923" s="85"/>
      <c r="K923" s="87"/>
    </row>
    <row r="924" spans="2:11" x14ac:dyDescent="0.2">
      <c r="B924" s="81"/>
      <c r="C924" s="85" t="s">
        <v>380</v>
      </c>
      <c r="D924" s="85"/>
      <c r="E924" s="85"/>
      <c r="F924" s="85"/>
      <c r="G924" s="406"/>
      <c r="H924" s="407"/>
      <c r="I924" s="85"/>
      <c r="J924" s="83" t="str">
        <f>IF(G924=$B$998,$A$998,IF(G924=$B$999,$A$999,IF(G924=$B$1000,$A$1000,IF(G924=$B$1001,$A$1001,IF(G924=$B$1002,$A$1002,"Not Calculated")))))</f>
        <v>Not Calculated</v>
      </c>
      <c r="K924" s="87"/>
    </row>
    <row r="925" spans="2:11" x14ac:dyDescent="0.2">
      <c r="B925" s="81"/>
      <c r="C925" s="85" t="s">
        <v>134</v>
      </c>
      <c r="D925" s="85"/>
      <c r="E925" s="85"/>
      <c r="F925" s="85"/>
      <c r="G925" s="85"/>
      <c r="H925" s="85"/>
      <c r="I925" s="85"/>
      <c r="J925" s="240">
        <f>'Baseline HP'!J84</f>
        <v>0</v>
      </c>
      <c r="K925" s="87"/>
    </row>
    <row r="926" spans="2:11" x14ac:dyDescent="0.2">
      <c r="B926" s="81"/>
      <c r="C926" s="85"/>
      <c r="D926" s="85"/>
      <c r="E926" s="85"/>
      <c r="F926" s="85"/>
      <c r="G926" s="85"/>
      <c r="H926" s="85"/>
      <c r="I926" s="85"/>
      <c r="J926" s="85"/>
      <c r="K926" s="87"/>
    </row>
    <row r="927" spans="2:11" ht="16" x14ac:dyDescent="0.2">
      <c r="B927" s="81"/>
      <c r="C927" s="211" t="s">
        <v>652</v>
      </c>
      <c r="D927" s="85"/>
      <c r="E927" s="85"/>
      <c r="F927" s="85"/>
      <c r="G927" s="85"/>
      <c r="H927" s="85"/>
      <c r="I927" s="85"/>
      <c r="J927" s="85"/>
      <c r="K927" s="87"/>
    </row>
    <row r="928" spans="2:11" x14ac:dyDescent="0.2">
      <c r="B928" s="81"/>
      <c r="C928" s="85" t="s">
        <v>380</v>
      </c>
      <c r="D928" s="85"/>
      <c r="E928" s="85"/>
      <c r="F928" s="85"/>
      <c r="G928" s="406"/>
      <c r="H928" s="407"/>
      <c r="I928" s="85"/>
      <c r="J928" s="83" t="str">
        <f>IF(G928=$B$998,$A$998,IF(G928=$B$999,$A$999,IF(G928=$B$1000,$A$1000,IF(G928=$B$1001,$A$1001,IF(G928=$B$1002,$A$1002,"Not Calculated")))))</f>
        <v>Not Calculated</v>
      </c>
      <c r="K928" s="87"/>
    </row>
    <row r="929" spans="2:11" x14ac:dyDescent="0.2">
      <c r="B929" s="81"/>
      <c r="C929" s="85" t="s">
        <v>134</v>
      </c>
      <c r="D929" s="85"/>
      <c r="E929" s="85"/>
      <c r="F929" s="85"/>
      <c r="G929" s="85"/>
      <c r="H929" s="85"/>
      <c r="I929" s="85"/>
      <c r="J929" s="240">
        <f>'Baseline HP'!J94</f>
        <v>0</v>
      </c>
      <c r="K929" s="87"/>
    </row>
    <row r="930" spans="2:11" x14ac:dyDescent="0.2">
      <c r="B930" s="81"/>
      <c r="C930" s="85"/>
      <c r="D930" s="85"/>
      <c r="E930" s="85"/>
      <c r="F930" s="85"/>
      <c r="G930" s="85"/>
      <c r="H930" s="85"/>
      <c r="I930" s="85"/>
      <c r="J930" s="85"/>
      <c r="K930" s="87"/>
    </row>
    <row r="931" spans="2:11" ht="16" x14ac:dyDescent="0.2">
      <c r="B931" s="81"/>
      <c r="C931" s="211" t="s">
        <v>653</v>
      </c>
      <c r="D931" s="85"/>
      <c r="E931" s="85"/>
      <c r="F931" s="85"/>
      <c r="G931" s="85"/>
      <c r="H931" s="85"/>
      <c r="I931" s="85"/>
      <c r="J931" s="85"/>
      <c r="K931" s="87"/>
    </row>
    <row r="932" spans="2:11" x14ac:dyDescent="0.2">
      <c r="B932" s="81"/>
      <c r="C932" s="85" t="s">
        <v>380</v>
      </c>
      <c r="D932" s="85"/>
      <c r="E932" s="85"/>
      <c r="F932" s="85"/>
      <c r="G932" s="406"/>
      <c r="H932" s="407"/>
      <c r="I932" s="85"/>
      <c r="J932" s="83" t="str">
        <f>IF(G932=$B$998,$A$998,IF(G932=$B$999,$A$999,IF(G932=$B$1000,$A$1000,IF(G932=$B$1001,$A$1001,IF(G932=$B$1002,$A$1002,"Not Calculated")))))</f>
        <v>Not Calculated</v>
      </c>
      <c r="K932" s="87"/>
    </row>
    <row r="933" spans="2:11" x14ac:dyDescent="0.2">
      <c r="B933" s="81"/>
      <c r="C933" s="85" t="s">
        <v>134</v>
      </c>
      <c r="D933" s="85"/>
      <c r="E933" s="85"/>
      <c r="F933" s="85"/>
      <c r="G933" s="85"/>
      <c r="H933" s="85"/>
      <c r="I933" s="85"/>
      <c r="J933" s="240">
        <f>'Baseline HP'!J108</f>
        <v>0</v>
      </c>
      <c r="K933" s="87"/>
    </row>
    <row r="934" spans="2:11" x14ac:dyDescent="0.2">
      <c r="B934" s="81"/>
      <c r="C934" s="85"/>
      <c r="D934" s="85"/>
      <c r="E934" s="85"/>
      <c r="F934" s="85"/>
      <c r="G934" s="85"/>
      <c r="H934" s="85"/>
      <c r="I934" s="85"/>
      <c r="J934" s="85"/>
      <c r="K934" s="87"/>
    </row>
    <row r="935" spans="2:11" x14ac:dyDescent="0.2">
      <c r="B935" s="81"/>
      <c r="C935" s="85"/>
      <c r="D935" s="85"/>
      <c r="E935" s="85"/>
      <c r="F935" s="85"/>
      <c r="G935" s="85"/>
      <c r="H935" s="85"/>
      <c r="I935" s="85"/>
      <c r="J935" s="85"/>
      <c r="K935" s="87"/>
    </row>
    <row r="936" spans="2:11" ht="16" x14ac:dyDescent="0.2">
      <c r="B936" s="81"/>
      <c r="C936" s="212" t="s">
        <v>812</v>
      </c>
      <c r="D936" s="85"/>
      <c r="E936" s="85"/>
      <c r="F936" s="85"/>
      <c r="G936" s="85"/>
      <c r="H936" s="85"/>
      <c r="I936" s="85"/>
      <c r="J936" s="241" t="str">
        <f>IF(OR(J920="Not Calculated",J924="Not Calculated",J928="Not Calculated",J932="Not Calculated",J904="Not Calculated",J908="Not Calculated",J912="Not Calculated",J916="Not Calculated",J921="Not Calculated",J925="Not Calculated",J929="Not Calculated",J933="Not Calculated",J905="Not Calculated",J909="Not Calculated",J913="Not Calculated",J917="Not Calculated")=TRUE,"Not Calculated",((J904*J905)+(J908*J909)+(J912*J913)+(J916*J917)+(J920*J921)+(J924*J925)+(J928*J929)+(J932*J933))/(J904+J908+J912+J916+J920+J924+J928+J932))</f>
        <v>Not Calculated</v>
      </c>
      <c r="K936" s="87"/>
    </row>
    <row r="937" spans="2:11" ht="16" thickBot="1" x14ac:dyDescent="0.25">
      <c r="B937" s="213"/>
      <c r="C937" s="94"/>
      <c r="D937" s="94"/>
      <c r="E937" s="94"/>
      <c r="F937" s="94"/>
      <c r="G937" s="94"/>
      <c r="H937" s="94"/>
      <c r="I937" s="94"/>
      <c r="J937" s="94"/>
      <c r="K937" s="96"/>
    </row>
    <row r="938" spans="2:11" ht="16" thickBot="1" x14ac:dyDescent="0.25"/>
    <row r="939" spans="2:11" x14ac:dyDescent="0.2">
      <c r="B939" s="77"/>
      <c r="C939" s="78"/>
      <c r="D939" s="78"/>
      <c r="E939" s="78"/>
      <c r="F939" s="78"/>
      <c r="G939" s="78"/>
      <c r="H939" s="78"/>
      <c r="I939" s="78"/>
      <c r="J939" s="78"/>
      <c r="K939" s="80"/>
    </row>
    <row r="940" spans="2:11" ht="21" x14ac:dyDescent="0.25">
      <c r="B940" s="81"/>
      <c r="C940" s="85"/>
      <c r="D940" s="85"/>
      <c r="E940" s="85"/>
      <c r="F940" s="85"/>
      <c r="G940" s="210" t="s">
        <v>815</v>
      </c>
      <c r="H940" s="85"/>
      <c r="I940" s="85"/>
      <c r="J940" s="85"/>
      <c r="K940" s="87"/>
    </row>
    <row r="941" spans="2:11" ht="21" x14ac:dyDescent="0.25">
      <c r="B941" s="81"/>
      <c r="C941" s="85"/>
      <c r="D941" s="85"/>
      <c r="E941" s="85"/>
      <c r="F941" s="85"/>
      <c r="G941" s="210"/>
      <c r="H941" s="85"/>
      <c r="I941" s="85"/>
      <c r="J941" s="85"/>
      <c r="K941" s="87"/>
    </row>
    <row r="942" spans="2:11" ht="16" x14ac:dyDescent="0.2">
      <c r="B942" s="81"/>
      <c r="C942" s="212" t="s">
        <v>995</v>
      </c>
      <c r="D942" s="85"/>
      <c r="E942" s="85"/>
      <c r="F942" s="85"/>
      <c r="G942" s="85"/>
      <c r="H942" s="85"/>
      <c r="I942" s="85"/>
      <c r="J942" s="241" t="str">
        <f>IF(OR(J936="Not Calculated",J894="Not Calculated")=TRUE,"Not Calculated",AVERAGE(J936,J894))</f>
        <v>Not Calculated</v>
      </c>
      <c r="K942" s="87"/>
    </row>
    <row r="943" spans="2:11" ht="16" x14ac:dyDescent="0.2">
      <c r="B943" s="81"/>
      <c r="C943" s="212"/>
      <c r="D943" s="85" t="s">
        <v>814</v>
      </c>
      <c r="E943" s="85"/>
      <c r="F943" s="85"/>
      <c r="G943" s="85"/>
      <c r="H943" s="85"/>
      <c r="I943" s="85"/>
      <c r="J943" s="241"/>
      <c r="K943" s="87"/>
    </row>
    <row r="944" spans="2:11" ht="17" thickBot="1" x14ac:dyDescent="0.25">
      <c r="B944" s="213"/>
      <c r="C944" s="227"/>
      <c r="D944" s="94"/>
      <c r="E944" s="94"/>
      <c r="F944" s="94"/>
      <c r="G944" s="94"/>
      <c r="H944" s="94"/>
      <c r="I944" s="94"/>
      <c r="J944" s="228"/>
      <c r="K944" s="96"/>
    </row>
    <row r="945" spans="2:11" ht="16" thickBot="1" x14ac:dyDescent="0.25"/>
    <row r="946" spans="2:11" x14ac:dyDescent="0.2">
      <c r="B946" s="214"/>
      <c r="C946" s="215"/>
      <c r="D946" s="215"/>
      <c r="E946" s="215"/>
      <c r="F946" s="215"/>
      <c r="G946" s="215"/>
      <c r="H946" s="215"/>
      <c r="I946" s="215"/>
      <c r="J946" s="215"/>
      <c r="K946" s="216"/>
    </row>
    <row r="947" spans="2:11" ht="21" x14ac:dyDescent="0.25">
      <c r="B947" s="217"/>
      <c r="C947" s="218"/>
      <c r="D947" s="218"/>
      <c r="E947" s="218"/>
      <c r="F947" s="218"/>
      <c r="G947" s="219" t="s">
        <v>239</v>
      </c>
      <c r="H947" s="218"/>
      <c r="I947" s="218"/>
      <c r="J947" s="218"/>
      <c r="K947" s="220"/>
    </row>
    <row r="948" spans="2:11" x14ac:dyDescent="0.2">
      <c r="B948" s="217"/>
      <c r="C948" s="218"/>
      <c r="D948" s="218"/>
      <c r="E948" s="218"/>
      <c r="F948" s="218"/>
      <c r="G948" s="218"/>
      <c r="H948" s="218"/>
      <c r="I948" s="218"/>
      <c r="J948" s="218"/>
      <c r="K948" s="220"/>
    </row>
    <row r="949" spans="2:11" ht="16" x14ac:dyDescent="0.2">
      <c r="B949" s="217"/>
      <c r="C949" s="221" t="s">
        <v>393</v>
      </c>
      <c r="D949" s="218"/>
      <c r="E949" s="218"/>
      <c r="F949" s="218"/>
      <c r="G949" s="218"/>
      <c r="H949" s="218"/>
      <c r="I949" s="218"/>
      <c r="J949" s="242" t="str">
        <f>IF(OR(J817="Not Calculated",J942="Not Calculated")=TRUE,"Not Calculated",J817/J942)</f>
        <v>Not Calculated</v>
      </c>
      <c r="K949" s="220"/>
    </row>
    <row r="950" spans="2:11" x14ac:dyDescent="0.2">
      <c r="B950" s="217"/>
      <c r="C950" s="218"/>
      <c r="D950" s="218" t="s">
        <v>816</v>
      </c>
      <c r="E950" s="218"/>
      <c r="F950" s="218"/>
      <c r="G950" s="218"/>
      <c r="H950" s="218"/>
      <c r="I950" s="218"/>
      <c r="J950" s="218"/>
      <c r="K950" s="220"/>
    </row>
    <row r="951" spans="2:11" x14ac:dyDescent="0.2">
      <c r="B951" s="217"/>
      <c r="C951" s="218"/>
      <c r="D951" s="218"/>
      <c r="E951" s="218"/>
      <c r="F951" s="218"/>
      <c r="G951" s="218"/>
      <c r="H951" s="218"/>
      <c r="I951" s="218"/>
      <c r="J951" s="218"/>
      <c r="K951" s="220"/>
    </row>
    <row r="952" spans="2:11" ht="16" x14ac:dyDescent="0.2">
      <c r="B952" s="217"/>
      <c r="C952" s="221" t="s">
        <v>996</v>
      </c>
      <c r="D952" s="218"/>
      <c r="E952" s="218"/>
      <c r="F952" s="218"/>
      <c r="G952" s="218"/>
      <c r="H952" s="218"/>
      <c r="I952" s="218"/>
      <c r="J952" s="242" t="str">
        <f>IF(OR(J820="Not Calculated",J894="Not Calculated")=TRUE,"Not Calculated",J820/J894)</f>
        <v>Not Calculated</v>
      </c>
      <c r="K952" s="220"/>
    </row>
    <row r="953" spans="2:11" x14ac:dyDescent="0.2">
      <c r="B953" s="217"/>
      <c r="C953" s="218"/>
      <c r="D953" s="218" t="s">
        <v>817</v>
      </c>
      <c r="E953" s="218"/>
      <c r="F953" s="218"/>
      <c r="G953" s="218"/>
      <c r="H953" s="218"/>
      <c r="I953" s="218"/>
      <c r="J953" s="218"/>
      <c r="K953" s="220"/>
    </row>
    <row r="954" spans="2:11" x14ac:dyDescent="0.2">
      <c r="B954" s="217"/>
      <c r="C954" s="218"/>
      <c r="D954" s="218"/>
      <c r="E954" s="218"/>
      <c r="F954" s="218"/>
      <c r="G954" s="218"/>
      <c r="H954" s="218"/>
      <c r="I954" s="218"/>
      <c r="J954" s="218"/>
      <c r="K954" s="220"/>
    </row>
    <row r="955" spans="2:11" ht="16" x14ac:dyDescent="0.2">
      <c r="B955" s="217"/>
      <c r="C955" s="221" t="s">
        <v>997</v>
      </c>
      <c r="D955" s="218"/>
      <c r="E955" s="218"/>
      <c r="F955" s="218"/>
      <c r="G955" s="218"/>
      <c r="H955" s="218"/>
      <c r="I955" s="218"/>
      <c r="J955" s="242" t="str">
        <f>IF(OR(J936="Not Calculated",J823="Not Calculated")=TRUE,"Not Calculated",J823/J936)</f>
        <v>Not Calculated</v>
      </c>
      <c r="K955" s="220"/>
    </row>
    <row r="956" spans="2:11" x14ac:dyDescent="0.2">
      <c r="B956" s="217"/>
      <c r="C956" s="218"/>
      <c r="D956" s="218" t="s">
        <v>818</v>
      </c>
      <c r="E956" s="218"/>
      <c r="F956" s="218"/>
      <c r="G956" s="218"/>
      <c r="H956" s="218"/>
      <c r="I956" s="218"/>
      <c r="J956" s="218"/>
      <c r="K956" s="220"/>
    </row>
    <row r="957" spans="2:11" ht="16" thickBot="1" x14ac:dyDescent="0.25">
      <c r="B957" s="222"/>
      <c r="C957" s="223"/>
      <c r="D957" s="223"/>
      <c r="E957" s="223"/>
      <c r="F957" s="223"/>
      <c r="G957" s="223"/>
      <c r="H957" s="223"/>
      <c r="I957" s="223"/>
      <c r="J957" s="223"/>
      <c r="K957" s="224"/>
    </row>
    <row r="959" spans="2:11" ht="15" customHeight="1" x14ac:dyDescent="0.2">
      <c r="F959" s="405"/>
      <c r="G959" s="405"/>
      <c r="H959" s="405"/>
    </row>
    <row r="960" spans="2:11" x14ac:dyDescent="0.2">
      <c r="F960" s="405"/>
      <c r="G960" s="405"/>
      <c r="H960" s="405"/>
    </row>
    <row r="965" spans="1:3" ht="15" hidden="1" customHeight="1" x14ac:dyDescent="0.2">
      <c r="A965" s="12" t="s">
        <v>228</v>
      </c>
    </row>
    <row r="966" spans="1:3" ht="15" hidden="1" customHeight="1" x14ac:dyDescent="0.2">
      <c r="A966" s="12">
        <v>0</v>
      </c>
      <c r="B966" s="12" t="s">
        <v>250</v>
      </c>
      <c r="C966" s="12" t="s">
        <v>240</v>
      </c>
    </row>
    <row r="967" spans="1:3" ht="15" hidden="1" customHeight="1" x14ac:dyDescent="0.2">
      <c r="A967" s="12">
        <v>1</v>
      </c>
      <c r="B967" s="12" t="s">
        <v>251</v>
      </c>
      <c r="C967" s="12" t="s">
        <v>241</v>
      </c>
    </row>
    <row r="968" spans="1:3" ht="15" hidden="1" customHeight="1" x14ac:dyDescent="0.2">
      <c r="A968" s="12">
        <v>2</v>
      </c>
      <c r="B968" s="12" t="s">
        <v>252</v>
      </c>
      <c r="C968" s="12" t="s">
        <v>242</v>
      </c>
    </row>
    <row r="969" spans="1:3" ht="15" hidden="1" customHeight="1" x14ac:dyDescent="0.2">
      <c r="A969" s="12">
        <v>3</v>
      </c>
      <c r="B969" s="12" t="s">
        <v>253</v>
      </c>
      <c r="C969" s="12" t="s">
        <v>227</v>
      </c>
    </row>
    <row r="970" spans="1:3" ht="15" hidden="1" customHeight="1" x14ac:dyDescent="0.2">
      <c r="A970" s="12">
        <v>4</v>
      </c>
      <c r="B970" s="12" t="s">
        <v>254</v>
      </c>
      <c r="C970" s="12" t="s">
        <v>243</v>
      </c>
    </row>
    <row r="971" spans="1:3" ht="15" hidden="1" customHeight="1" x14ac:dyDescent="0.2"/>
    <row r="972" spans="1:3" ht="15" hidden="1" customHeight="1" x14ac:dyDescent="0.2">
      <c r="A972" s="12" t="s">
        <v>259</v>
      </c>
    </row>
    <row r="973" spans="1:3" ht="15" hidden="1" customHeight="1" x14ac:dyDescent="0.2">
      <c r="A973" s="12">
        <v>0</v>
      </c>
      <c r="B973" s="225" t="s">
        <v>870</v>
      </c>
    </row>
    <row r="974" spans="1:3" ht="15" hidden="1" customHeight="1" x14ac:dyDescent="0.2">
      <c r="A974" s="12">
        <v>1</v>
      </c>
      <c r="B974" s="12" t="s">
        <v>880</v>
      </c>
    </row>
    <row r="975" spans="1:3" ht="15" hidden="1" customHeight="1" x14ac:dyDescent="0.2">
      <c r="A975" s="12">
        <v>2</v>
      </c>
      <c r="B975" s="12" t="s">
        <v>872</v>
      </c>
    </row>
    <row r="976" spans="1:3" ht="15" hidden="1" customHeight="1" x14ac:dyDescent="0.2">
      <c r="A976" s="12">
        <v>3</v>
      </c>
      <c r="B976" s="12" t="s">
        <v>873</v>
      </c>
    </row>
    <row r="977" spans="1:2" ht="15" hidden="1" customHeight="1" x14ac:dyDescent="0.2">
      <c r="A977" s="12">
        <v>4</v>
      </c>
      <c r="B977" s="12" t="s">
        <v>874</v>
      </c>
    </row>
    <row r="978" spans="1:2" ht="15" hidden="1" customHeight="1" x14ac:dyDescent="0.2"/>
    <row r="979" spans="1:2" ht="15" hidden="1" customHeight="1" x14ac:dyDescent="0.2">
      <c r="A979" s="12" t="s">
        <v>294</v>
      </c>
    </row>
    <row r="980" spans="1:2" ht="15" hidden="1" customHeight="1" x14ac:dyDescent="0.2">
      <c r="A980" s="12">
        <v>0</v>
      </c>
      <c r="B980" s="225" t="s">
        <v>870</v>
      </c>
    </row>
    <row r="981" spans="1:2" ht="15" hidden="1" customHeight="1" x14ac:dyDescent="0.2">
      <c r="A981" s="12">
        <v>1</v>
      </c>
      <c r="B981" s="12" t="s">
        <v>875</v>
      </c>
    </row>
    <row r="982" spans="1:2" ht="15" hidden="1" customHeight="1" x14ac:dyDescent="0.2">
      <c r="A982" s="12">
        <v>2</v>
      </c>
      <c r="B982" s="12" t="s">
        <v>876</v>
      </c>
    </row>
    <row r="983" spans="1:2" ht="15" hidden="1" customHeight="1" x14ac:dyDescent="0.2">
      <c r="A983" s="12">
        <v>3</v>
      </c>
      <c r="B983" s="12" t="s">
        <v>877</v>
      </c>
    </row>
    <row r="984" spans="1:2" ht="15" hidden="1" customHeight="1" x14ac:dyDescent="0.2">
      <c r="A984" s="12">
        <v>4</v>
      </c>
      <c r="B984" s="12" t="s">
        <v>878</v>
      </c>
    </row>
    <row r="985" spans="1:2" ht="15" hidden="1" customHeight="1" x14ac:dyDescent="0.2"/>
    <row r="986" spans="1:2" ht="15" hidden="1" customHeight="1" x14ac:dyDescent="0.2">
      <c r="A986" s="12" t="s">
        <v>244</v>
      </c>
    </row>
    <row r="987" spans="1:2" ht="15" hidden="1" customHeight="1" x14ac:dyDescent="0.2">
      <c r="A987" s="12">
        <v>0</v>
      </c>
      <c r="B987" s="12" t="s">
        <v>245</v>
      </c>
    </row>
    <row r="988" spans="1:2" ht="15" hidden="1" customHeight="1" x14ac:dyDescent="0.2">
      <c r="A988" s="12">
        <v>1</v>
      </c>
      <c r="B988" s="12" t="s">
        <v>246</v>
      </c>
    </row>
    <row r="989" spans="1:2" ht="15" hidden="1" customHeight="1" x14ac:dyDescent="0.2">
      <c r="A989" s="12">
        <v>2</v>
      </c>
      <c r="B989" s="12" t="s">
        <v>247</v>
      </c>
    </row>
    <row r="990" spans="1:2" ht="15" hidden="1" customHeight="1" x14ac:dyDescent="0.2">
      <c r="A990" s="12">
        <v>3</v>
      </c>
      <c r="B990" s="12" t="s">
        <v>229</v>
      </c>
    </row>
    <row r="991" spans="1:2" ht="15" hidden="1" customHeight="1" x14ac:dyDescent="0.2">
      <c r="A991" s="12">
        <v>4</v>
      </c>
      <c r="B991" s="12" t="s">
        <v>248</v>
      </c>
    </row>
    <row r="992" spans="1:2" ht="15" hidden="1" customHeight="1" x14ac:dyDescent="0.2"/>
    <row r="993" spans="1:11" ht="15" hidden="1" customHeight="1" x14ac:dyDescent="0.2">
      <c r="A993" s="12" t="s">
        <v>381</v>
      </c>
    </row>
    <row r="994" spans="1:11" ht="15" hidden="1" customHeight="1" x14ac:dyDescent="0.2">
      <c r="A994" s="12">
        <v>0</v>
      </c>
      <c r="B994" s="12" t="s">
        <v>202</v>
      </c>
    </row>
    <row r="995" spans="1:11" ht="15" hidden="1" customHeight="1" x14ac:dyDescent="0.2">
      <c r="A995" s="12">
        <v>1</v>
      </c>
      <c r="B995" s="12" t="s">
        <v>190</v>
      </c>
    </row>
    <row r="996" spans="1:11" ht="15" hidden="1" customHeight="1" x14ac:dyDescent="0.2"/>
    <row r="997" spans="1:11" ht="15" hidden="1" customHeight="1" x14ac:dyDescent="0.2">
      <c r="A997" s="12" t="s">
        <v>249</v>
      </c>
    </row>
    <row r="998" spans="1:11" ht="15" hidden="1" customHeight="1" x14ac:dyDescent="0.2">
      <c r="A998" s="12">
        <v>0</v>
      </c>
      <c r="B998" s="12" t="s">
        <v>236</v>
      </c>
    </row>
    <row r="999" spans="1:11" ht="15" hidden="1" customHeight="1" x14ac:dyDescent="0.2">
      <c r="A999" s="12">
        <v>1</v>
      </c>
      <c r="B999" s="12" t="s">
        <v>237</v>
      </c>
    </row>
    <row r="1000" spans="1:11" ht="15" hidden="1" customHeight="1" x14ac:dyDescent="0.2">
      <c r="A1000" s="12">
        <v>2</v>
      </c>
      <c r="B1000" s="12" t="s">
        <v>235</v>
      </c>
    </row>
    <row r="1001" spans="1:11" ht="15" hidden="1" customHeight="1" x14ac:dyDescent="0.2">
      <c r="A1001" s="12">
        <v>3</v>
      </c>
      <c r="B1001" s="12" t="s">
        <v>238</v>
      </c>
    </row>
    <row r="1002" spans="1:11" ht="15" hidden="1" customHeight="1" x14ac:dyDescent="0.2">
      <c r="A1002" s="12">
        <v>4</v>
      </c>
      <c r="B1002" s="12" t="s">
        <v>234</v>
      </c>
    </row>
    <row r="1003" spans="1:11" ht="15" customHeight="1" x14ac:dyDescent="0.2">
      <c r="B1003" s="12" t="s">
        <v>685</v>
      </c>
    </row>
    <row r="1004" spans="1:11" ht="15" customHeight="1" x14ac:dyDescent="0.2">
      <c r="B1004" s="402"/>
      <c r="C1004" s="403"/>
      <c r="D1004" s="403"/>
      <c r="E1004" s="403"/>
      <c r="F1004" s="403"/>
      <c r="G1004" s="403"/>
      <c r="H1004" s="403"/>
      <c r="I1004" s="403"/>
      <c r="J1004" s="403"/>
      <c r="K1004" s="404"/>
    </row>
    <row r="1005" spans="1:11" ht="15" customHeight="1" x14ac:dyDescent="0.2">
      <c r="B1005" s="396"/>
      <c r="C1005" s="397"/>
      <c r="D1005" s="397"/>
      <c r="E1005" s="397"/>
      <c r="F1005" s="397"/>
      <c r="G1005" s="397"/>
      <c r="H1005" s="397"/>
      <c r="I1005" s="397"/>
      <c r="J1005" s="397"/>
      <c r="K1005" s="398"/>
    </row>
    <row r="1006" spans="1:11" ht="15" customHeight="1" x14ac:dyDescent="0.2">
      <c r="B1006" s="396"/>
      <c r="C1006" s="397"/>
      <c r="D1006" s="397"/>
      <c r="E1006" s="397"/>
      <c r="F1006" s="397"/>
      <c r="G1006" s="397"/>
      <c r="H1006" s="397"/>
      <c r="I1006" s="397"/>
      <c r="J1006" s="397"/>
      <c r="K1006" s="398"/>
    </row>
    <row r="1007" spans="1:11" ht="15" customHeight="1" x14ac:dyDescent="0.2">
      <c r="B1007" s="396"/>
      <c r="C1007" s="397"/>
      <c r="D1007" s="397"/>
      <c r="E1007" s="397"/>
      <c r="F1007" s="397"/>
      <c r="G1007" s="397"/>
      <c r="H1007" s="397"/>
      <c r="I1007" s="397"/>
      <c r="J1007" s="397"/>
      <c r="K1007" s="398"/>
    </row>
    <row r="1008" spans="1:11" ht="15" customHeight="1" x14ac:dyDescent="0.2">
      <c r="B1008" s="396"/>
      <c r="C1008" s="397"/>
      <c r="D1008" s="397"/>
      <c r="E1008" s="397"/>
      <c r="F1008" s="397"/>
      <c r="G1008" s="397"/>
      <c r="H1008" s="397"/>
      <c r="I1008" s="397"/>
      <c r="J1008" s="397"/>
      <c r="K1008" s="398"/>
    </row>
    <row r="1009" spans="2:11" ht="15" customHeight="1" x14ac:dyDescent="0.2">
      <c r="B1009" s="396"/>
      <c r="C1009" s="397"/>
      <c r="D1009" s="397"/>
      <c r="E1009" s="397"/>
      <c r="F1009" s="397"/>
      <c r="G1009" s="397"/>
      <c r="H1009" s="397"/>
      <c r="I1009" s="397"/>
      <c r="J1009" s="397"/>
      <c r="K1009" s="398"/>
    </row>
    <row r="1010" spans="2:11" x14ac:dyDescent="0.2">
      <c r="B1010" s="396"/>
      <c r="C1010" s="397"/>
      <c r="D1010" s="397"/>
      <c r="E1010" s="397"/>
      <c r="F1010" s="397"/>
      <c r="G1010" s="397"/>
      <c r="H1010" s="397"/>
      <c r="I1010" s="397"/>
      <c r="J1010" s="397"/>
      <c r="K1010" s="398"/>
    </row>
    <row r="1011" spans="2:11" ht="15" customHeight="1" x14ac:dyDescent="0.2">
      <c r="B1011" s="396"/>
      <c r="C1011" s="397"/>
      <c r="D1011" s="397"/>
      <c r="E1011" s="397"/>
      <c r="F1011" s="397"/>
      <c r="G1011" s="397"/>
      <c r="H1011" s="397"/>
      <c r="I1011" s="397"/>
      <c r="J1011" s="397"/>
      <c r="K1011" s="398"/>
    </row>
    <row r="1012" spans="2:11" ht="30" customHeight="1" x14ac:dyDescent="0.2">
      <c r="B1012" s="396"/>
      <c r="C1012" s="397"/>
      <c r="D1012" s="397"/>
      <c r="E1012" s="397"/>
      <c r="F1012" s="397"/>
      <c r="G1012" s="397"/>
      <c r="H1012" s="397"/>
      <c r="I1012" s="397"/>
      <c r="J1012" s="397"/>
      <c r="K1012" s="398"/>
    </row>
    <row r="1013" spans="2:11" ht="15" customHeight="1" x14ac:dyDescent="0.2">
      <c r="B1013" s="396"/>
      <c r="C1013" s="397"/>
      <c r="D1013" s="397"/>
      <c r="E1013" s="397"/>
      <c r="F1013" s="397"/>
      <c r="G1013" s="397"/>
      <c r="H1013" s="397"/>
      <c r="I1013" s="397"/>
      <c r="J1013" s="397"/>
      <c r="K1013" s="398"/>
    </row>
    <row r="1014" spans="2:11" ht="15" customHeight="1" x14ac:dyDescent="0.2">
      <c r="B1014" s="396"/>
      <c r="C1014" s="397"/>
      <c r="D1014" s="397"/>
      <c r="E1014" s="397"/>
      <c r="F1014" s="397"/>
      <c r="G1014" s="397"/>
      <c r="H1014" s="397"/>
      <c r="I1014" s="397"/>
      <c r="J1014" s="397"/>
      <c r="K1014" s="398"/>
    </row>
    <row r="1015" spans="2:11" ht="15" customHeight="1" x14ac:dyDescent="0.2">
      <c r="B1015" s="396"/>
      <c r="C1015" s="397"/>
      <c r="D1015" s="397"/>
      <c r="E1015" s="397"/>
      <c r="F1015" s="397"/>
      <c r="G1015" s="397"/>
      <c r="H1015" s="397"/>
      <c r="I1015" s="397"/>
      <c r="J1015" s="397"/>
      <c r="K1015" s="398"/>
    </row>
    <row r="1016" spans="2:11" x14ac:dyDescent="0.2">
      <c r="B1016" s="396"/>
      <c r="C1016" s="397"/>
      <c r="D1016" s="397"/>
      <c r="E1016" s="397"/>
      <c r="F1016" s="397"/>
      <c r="G1016" s="397"/>
      <c r="H1016" s="397"/>
      <c r="I1016" s="397"/>
      <c r="J1016" s="397"/>
      <c r="K1016" s="398"/>
    </row>
    <row r="1017" spans="2:11" ht="15" customHeight="1" x14ac:dyDescent="0.2">
      <c r="B1017" s="396"/>
      <c r="C1017" s="397"/>
      <c r="D1017" s="397"/>
      <c r="E1017" s="397"/>
      <c r="F1017" s="397"/>
      <c r="G1017" s="397"/>
      <c r="H1017" s="397"/>
      <c r="I1017" s="397"/>
      <c r="J1017" s="397"/>
      <c r="K1017" s="398"/>
    </row>
    <row r="1018" spans="2:11" ht="15" customHeight="1" x14ac:dyDescent="0.2">
      <c r="B1018" s="396"/>
      <c r="C1018" s="397"/>
      <c r="D1018" s="397"/>
      <c r="E1018" s="397"/>
      <c r="F1018" s="397"/>
      <c r="G1018" s="397"/>
      <c r="H1018" s="397"/>
      <c r="I1018" s="397"/>
      <c r="J1018" s="397"/>
      <c r="K1018" s="398"/>
    </row>
    <row r="1019" spans="2:11" ht="15" customHeight="1" x14ac:dyDescent="0.2">
      <c r="B1019" s="396"/>
      <c r="C1019" s="397"/>
      <c r="D1019" s="397"/>
      <c r="E1019" s="397"/>
      <c r="F1019" s="397"/>
      <c r="G1019" s="397"/>
      <c r="H1019" s="397"/>
      <c r="I1019" s="397"/>
      <c r="J1019" s="397"/>
      <c r="K1019" s="398"/>
    </row>
    <row r="1020" spans="2:11" ht="15" customHeight="1" x14ac:dyDescent="0.2">
      <c r="B1020" s="396"/>
      <c r="C1020" s="397"/>
      <c r="D1020" s="397"/>
      <c r="E1020" s="397"/>
      <c r="F1020" s="397"/>
      <c r="G1020" s="397"/>
      <c r="H1020" s="397"/>
      <c r="I1020" s="397"/>
      <c r="J1020" s="397"/>
      <c r="K1020" s="398"/>
    </row>
    <row r="1021" spans="2:11" ht="15" customHeight="1" x14ac:dyDescent="0.2">
      <c r="B1021" s="396"/>
      <c r="C1021" s="397"/>
      <c r="D1021" s="397"/>
      <c r="E1021" s="397"/>
      <c r="F1021" s="397"/>
      <c r="G1021" s="397"/>
      <c r="H1021" s="397"/>
      <c r="I1021" s="397"/>
      <c r="J1021" s="397"/>
      <c r="K1021" s="398"/>
    </row>
    <row r="1022" spans="2:11" ht="15" customHeight="1" x14ac:dyDescent="0.2">
      <c r="B1022" s="396"/>
      <c r="C1022" s="397"/>
      <c r="D1022" s="397"/>
      <c r="E1022" s="397"/>
      <c r="F1022" s="397"/>
      <c r="G1022" s="397"/>
      <c r="H1022" s="397"/>
      <c r="I1022" s="397"/>
      <c r="J1022" s="397"/>
      <c r="K1022" s="398"/>
    </row>
    <row r="1023" spans="2:11" ht="15" customHeight="1" x14ac:dyDescent="0.2">
      <c r="B1023" s="396"/>
      <c r="C1023" s="397"/>
      <c r="D1023" s="397"/>
      <c r="E1023" s="397"/>
      <c r="F1023" s="397"/>
      <c r="G1023" s="397"/>
      <c r="H1023" s="397"/>
      <c r="I1023" s="397"/>
      <c r="J1023" s="397"/>
      <c r="K1023" s="398"/>
    </row>
    <row r="1024" spans="2:11" ht="15" customHeight="1" x14ac:dyDescent="0.2">
      <c r="B1024" s="396"/>
      <c r="C1024" s="397"/>
      <c r="D1024" s="397"/>
      <c r="E1024" s="397"/>
      <c r="F1024" s="397"/>
      <c r="G1024" s="397"/>
      <c r="H1024" s="397"/>
      <c r="I1024" s="397"/>
      <c r="J1024" s="397"/>
      <c r="K1024" s="398"/>
    </row>
    <row r="1025" spans="2:11" ht="15" customHeight="1" x14ac:dyDescent="0.2">
      <c r="B1025" s="396"/>
      <c r="C1025" s="397"/>
      <c r="D1025" s="397"/>
      <c r="E1025" s="397"/>
      <c r="F1025" s="397"/>
      <c r="G1025" s="397"/>
      <c r="H1025" s="397"/>
      <c r="I1025" s="397"/>
      <c r="J1025" s="397"/>
      <c r="K1025" s="398"/>
    </row>
    <row r="1026" spans="2:11" ht="15" customHeight="1" x14ac:dyDescent="0.2">
      <c r="B1026" s="396"/>
      <c r="C1026" s="397"/>
      <c r="D1026" s="397"/>
      <c r="E1026" s="397"/>
      <c r="F1026" s="397"/>
      <c r="G1026" s="397"/>
      <c r="H1026" s="397"/>
      <c r="I1026" s="397"/>
      <c r="J1026" s="397"/>
      <c r="K1026" s="398"/>
    </row>
    <row r="1027" spans="2:11" ht="15" customHeight="1" x14ac:dyDescent="0.2">
      <c r="B1027" s="396"/>
      <c r="C1027" s="397"/>
      <c r="D1027" s="397"/>
      <c r="E1027" s="397"/>
      <c r="F1027" s="397"/>
      <c r="G1027" s="397"/>
      <c r="H1027" s="397"/>
      <c r="I1027" s="397"/>
      <c r="J1027" s="397"/>
      <c r="K1027" s="398"/>
    </row>
    <row r="1028" spans="2:11" ht="15" customHeight="1" x14ac:dyDescent="0.2">
      <c r="B1028" s="396"/>
      <c r="C1028" s="397"/>
      <c r="D1028" s="397"/>
      <c r="E1028" s="397"/>
      <c r="F1028" s="397"/>
      <c r="G1028" s="397"/>
      <c r="H1028" s="397"/>
      <c r="I1028" s="397"/>
      <c r="J1028" s="397"/>
      <c r="K1028" s="398"/>
    </row>
    <row r="1029" spans="2:11" ht="15" customHeight="1" x14ac:dyDescent="0.2">
      <c r="B1029" s="393"/>
      <c r="C1029" s="394"/>
      <c r="D1029" s="394"/>
      <c r="E1029" s="394"/>
      <c r="F1029" s="394"/>
      <c r="G1029" s="394"/>
      <c r="H1029" s="394"/>
      <c r="I1029" s="394"/>
      <c r="J1029" s="394"/>
      <c r="K1029" s="395"/>
    </row>
  </sheetData>
  <sheetProtection password="C7B0" sheet="1" objects="1" scenarios="1" formatCells="0" formatColumns="0" formatRows="0" selectLockedCells="1"/>
  <mergeCells count="152">
    <mergeCell ref="B1027:K1027"/>
    <mergeCell ref="B1028:K1028"/>
    <mergeCell ref="B1029:K1029"/>
    <mergeCell ref="B1021:K1021"/>
    <mergeCell ref="B1022:K1022"/>
    <mergeCell ref="B1023:K1023"/>
    <mergeCell ref="B1024:K1024"/>
    <mergeCell ref="B1025:K1025"/>
    <mergeCell ref="B1026:K1026"/>
    <mergeCell ref="B1015:K1015"/>
    <mergeCell ref="B1016:K1016"/>
    <mergeCell ref="B1017:K1017"/>
    <mergeCell ref="B1018:K1018"/>
    <mergeCell ref="B1019:K1019"/>
    <mergeCell ref="B1020:K1020"/>
    <mergeCell ref="B1009:K1009"/>
    <mergeCell ref="B1010:K1010"/>
    <mergeCell ref="B1011:K1011"/>
    <mergeCell ref="B1012:K1012"/>
    <mergeCell ref="B1013:K1013"/>
    <mergeCell ref="B1014:K1014"/>
    <mergeCell ref="F959:H960"/>
    <mergeCell ref="B1004:K1004"/>
    <mergeCell ref="B1005:K1005"/>
    <mergeCell ref="B1006:K1006"/>
    <mergeCell ref="B1007:K1007"/>
    <mergeCell ref="B1008:K1008"/>
    <mergeCell ref="G912:H912"/>
    <mergeCell ref="G916:H916"/>
    <mergeCell ref="G920:H920"/>
    <mergeCell ref="G924:H924"/>
    <mergeCell ref="G928:H928"/>
    <mergeCell ref="G932:H932"/>
    <mergeCell ref="G882:H882"/>
    <mergeCell ref="G886:H886"/>
    <mergeCell ref="G890:H890"/>
    <mergeCell ref="C900:J901"/>
    <mergeCell ref="G904:H904"/>
    <mergeCell ref="G908:H908"/>
    <mergeCell ref="G858:H858"/>
    <mergeCell ref="G862:H862"/>
    <mergeCell ref="G866:H866"/>
    <mergeCell ref="G870:H870"/>
    <mergeCell ref="G874:H874"/>
    <mergeCell ref="G878:H878"/>
    <mergeCell ref="G834:H834"/>
    <mergeCell ref="G838:H838"/>
    <mergeCell ref="G842:H842"/>
    <mergeCell ref="G846:H846"/>
    <mergeCell ref="G850:H850"/>
    <mergeCell ref="G854:H854"/>
    <mergeCell ref="G766:H766"/>
    <mergeCell ref="G767:H767"/>
    <mergeCell ref="G768:H768"/>
    <mergeCell ref="G769:H769"/>
    <mergeCell ref="G770:H770"/>
    <mergeCell ref="C830:J831"/>
    <mergeCell ref="G755:H755"/>
    <mergeCell ref="C759:J761"/>
    <mergeCell ref="G762:H762"/>
    <mergeCell ref="G763:H763"/>
    <mergeCell ref="G764:H764"/>
    <mergeCell ref="G765:H765"/>
    <mergeCell ref="G749:H749"/>
    <mergeCell ref="G750:H750"/>
    <mergeCell ref="G751:H751"/>
    <mergeCell ref="G752:H752"/>
    <mergeCell ref="G753:H753"/>
    <mergeCell ref="G754:H754"/>
    <mergeCell ref="G738:H738"/>
    <mergeCell ref="G739:H739"/>
    <mergeCell ref="G740:H740"/>
    <mergeCell ref="C744:J746"/>
    <mergeCell ref="G747:H747"/>
    <mergeCell ref="G748:H748"/>
    <mergeCell ref="G732:H732"/>
    <mergeCell ref="G733:H733"/>
    <mergeCell ref="G734:H734"/>
    <mergeCell ref="G735:H735"/>
    <mergeCell ref="G736:H736"/>
    <mergeCell ref="G737:H737"/>
    <mergeCell ref="G721:H721"/>
    <mergeCell ref="G722:H722"/>
    <mergeCell ref="G723:H723"/>
    <mergeCell ref="G724:H724"/>
    <mergeCell ref="G725:H725"/>
    <mergeCell ref="C729:J731"/>
    <mergeCell ref="C677:J677"/>
    <mergeCell ref="C714:J716"/>
    <mergeCell ref="G717:H717"/>
    <mergeCell ref="G718:H718"/>
    <mergeCell ref="G719:H719"/>
    <mergeCell ref="G720:H720"/>
    <mergeCell ref="C620:I621"/>
    <mergeCell ref="C633:J633"/>
    <mergeCell ref="C639:I640"/>
    <mergeCell ref="C641:I643"/>
    <mergeCell ref="C655:J655"/>
    <mergeCell ref="D664:I665"/>
    <mergeCell ref="C560:J560"/>
    <mergeCell ref="C566:I568"/>
    <mergeCell ref="C569:I571"/>
    <mergeCell ref="C583:J583"/>
    <mergeCell ref="C599:J599"/>
    <mergeCell ref="C613:J613"/>
    <mergeCell ref="C477:I478"/>
    <mergeCell ref="C486:J486"/>
    <mergeCell ref="C502:J502"/>
    <mergeCell ref="C518:J518"/>
    <mergeCell ref="C524:I525"/>
    <mergeCell ref="C535:J535"/>
    <mergeCell ref="C416:J416"/>
    <mergeCell ref="C420:I421"/>
    <mergeCell ref="C438:J438"/>
    <mergeCell ref="C444:I445"/>
    <mergeCell ref="C455:J455"/>
    <mergeCell ref="C471:J471"/>
    <mergeCell ref="C347:J347"/>
    <mergeCell ref="C365:J365"/>
    <mergeCell ref="C371:I372"/>
    <mergeCell ref="C385:J385"/>
    <mergeCell ref="C391:I392"/>
    <mergeCell ref="C402:J402"/>
    <mergeCell ref="C305:J305"/>
    <mergeCell ref="C311:I312"/>
    <mergeCell ref="C324:J324"/>
    <mergeCell ref="C330:I331"/>
    <mergeCell ref="C340:I341"/>
    <mergeCell ref="D343:I344"/>
    <mergeCell ref="C196:J196"/>
    <mergeCell ref="C216:J216"/>
    <mergeCell ref="C237:J237"/>
    <mergeCell ref="C257:J257"/>
    <mergeCell ref="C286:J286"/>
    <mergeCell ref="C292:I293"/>
    <mergeCell ref="C114:J114"/>
    <mergeCell ref="C120:J122"/>
    <mergeCell ref="C123:J124"/>
    <mergeCell ref="C129:J129"/>
    <mergeCell ref="C155:J155"/>
    <mergeCell ref="C176:J176"/>
    <mergeCell ref="B10:K10"/>
    <mergeCell ref="E15:J15"/>
    <mergeCell ref="C38:J38"/>
    <mergeCell ref="C57:J57"/>
    <mergeCell ref="C76:J76"/>
    <mergeCell ref="C95:J95"/>
    <mergeCell ref="G3:I3"/>
    <mergeCell ref="B6:K6"/>
    <mergeCell ref="B7:K7"/>
    <mergeCell ref="B8:K8"/>
    <mergeCell ref="B9:K9"/>
  </mergeCells>
  <dataValidations count="23">
    <dataValidation type="list" allowBlank="1" showInputMessage="1" showErrorMessage="1" sqref="J672" xr:uid="{00000000-0002-0000-1F00-000000000000}">
      <formula1>$N$671:$N$676</formula1>
    </dataValidation>
    <dataValidation type="list" allowBlank="1" showInputMessage="1" showErrorMessage="1" sqref="J650" xr:uid="{00000000-0002-0000-1F00-000001000000}">
      <formula1>$N$649:$N$654</formula1>
    </dataValidation>
    <dataValidation type="list" allowBlank="1" showInputMessage="1" showErrorMessage="1" sqref="J628" xr:uid="{00000000-0002-0000-1F00-000002000000}">
      <formula1>$N$627:$N$632</formula1>
    </dataValidation>
    <dataValidation type="list" allowBlank="1" showInputMessage="1" showErrorMessage="1" sqref="J578" xr:uid="{00000000-0002-0000-1F00-000003000000}">
      <formula1>$N$577:$N$582</formula1>
    </dataValidation>
    <dataValidation type="list" allowBlank="1" showInputMessage="1" showErrorMessage="1" sqref="J555" xr:uid="{00000000-0002-0000-1F00-000004000000}">
      <formula1>$N$554:$N$559</formula1>
    </dataValidation>
    <dataValidation type="list" allowBlank="1" showInputMessage="1" showErrorMessage="1" sqref="J281" xr:uid="{00000000-0002-0000-1F00-000005000000}">
      <formula1>$N$280:$N$285</formula1>
    </dataValidation>
    <dataValidation type="list" allowBlank="1" showInputMessage="1" showErrorMessage="1" sqref="J252" xr:uid="{00000000-0002-0000-1F00-000006000000}">
      <formula1>$N$251:$N$256</formula1>
    </dataValidation>
    <dataValidation type="list" allowBlank="1" showInputMessage="1" showErrorMessage="1" sqref="J232" xr:uid="{00000000-0002-0000-1F00-000007000000}">
      <formula1>$N$231:$N$236</formula1>
    </dataValidation>
    <dataValidation type="list" allowBlank="1" showInputMessage="1" showErrorMessage="1" sqref="J211" xr:uid="{00000000-0002-0000-1F00-000008000000}">
      <formula1>$N$210:$N$215</formula1>
    </dataValidation>
    <dataValidation type="list" allowBlank="1" showInputMessage="1" showErrorMessage="1" sqref="J191" xr:uid="{00000000-0002-0000-1F00-000009000000}">
      <formula1>$N$190:$N$195</formula1>
    </dataValidation>
    <dataValidation type="list" allowBlank="1" showInputMessage="1" showErrorMessage="1" sqref="J171" xr:uid="{00000000-0002-0000-1F00-00000A000000}">
      <formula1>$N$170:$N$175</formula1>
    </dataValidation>
    <dataValidation type="list" allowBlank="1" showInputMessage="1" showErrorMessage="1" sqref="J150" xr:uid="{00000000-0002-0000-1F00-00000B000000}">
      <formula1>$N$149:$N$154</formula1>
    </dataValidation>
    <dataValidation type="list" allowBlank="1" showInputMessage="1" showErrorMessage="1" sqref="J109" xr:uid="{00000000-0002-0000-1F00-00000C000000}">
      <formula1>$N$108:$N$113</formula1>
    </dataValidation>
    <dataValidation type="list" allowBlank="1" showInputMessage="1" showErrorMessage="1" sqref="J90" xr:uid="{00000000-0002-0000-1F00-00000D000000}">
      <formula1>$N$89:$N$94</formula1>
    </dataValidation>
    <dataValidation type="list" allowBlank="1" showInputMessage="1" showErrorMessage="1" sqref="J71" xr:uid="{00000000-0002-0000-1F00-00000E000000}">
      <formula1>$N$70:$N$75</formula1>
    </dataValidation>
    <dataValidation type="list" allowBlank="1" showInputMessage="1" showErrorMessage="1" sqref="J52" xr:uid="{00000000-0002-0000-1F00-00000F000000}">
      <formula1>$N$51:$N$56</formula1>
    </dataValidation>
    <dataValidation type="list" allowBlank="1" showInputMessage="1" showErrorMessage="1" sqref="J33" xr:uid="{00000000-0002-0000-1F00-000010000000}">
      <formula1>$N$32:$N$37</formula1>
    </dataValidation>
    <dataValidation type="list" allowBlank="1" showInputMessage="1" showErrorMessage="1" sqref="J35 J213 J283 J652 J234 J54 J193 J173 J152 J126 J111 J92 J73 J254 J435 J452 J468 J499 J515 J532 J557 J580 J596 J674 J630" xr:uid="{00000000-0002-0000-1F00-000011000000}">
      <formula1>$B$973:$B$977</formula1>
    </dataValidation>
    <dataValidation type="list" allowBlank="1" showInputMessage="1" showErrorMessage="1" sqref="C123:J124" xr:uid="{00000000-0002-0000-1F00-000012000000}">
      <formula1>$B$987:$B$991</formula1>
    </dataValidation>
    <dataValidation type="list" allowBlank="1" showInputMessage="1" showErrorMessage="1" sqref="J302 J362" xr:uid="{00000000-0002-0000-1F00-000013000000}">
      <formula1>$B$980:$B$984</formula1>
    </dataValidation>
    <dataValidation type="list" allowBlank="1" showInputMessage="1" showErrorMessage="1" sqref="G717:H725 G762:H770 G732:H740 G747:H755" xr:uid="{00000000-0002-0000-1F00-000014000000}">
      <formula1>$B$994:$B$995</formula1>
    </dataValidation>
    <dataValidation type="list" allowBlank="1" showInputMessage="1" showErrorMessage="1" sqref="G834:H834 G890:H890 G886:H886 G882:H882 G878:H878 G874:H874 G870:H870 G866:H866 G862:H862 G858:H858 G854:H854 G850:H850 G846:H846 G842:H842 G838:H838 G904:H904 G932:H932 G928:H928 G924:H924 G920:H920 G916:H916 G912:H912 G908:H908" xr:uid="{00000000-0002-0000-1F00-000015000000}">
      <formula1>$B$998:$B$1002</formula1>
    </dataValidation>
    <dataValidation type="list" allowBlank="1" showInputMessage="1" showErrorMessage="1" sqref="E15:J15" xr:uid="{00000000-0002-0000-1F00-000016000000}">
      <formula1>$C$966:$C$970</formula1>
    </dataValidation>
  </dataValidations>
  <pageMargins left="0.7" right="0.7" top="0.75" bottom="0.75" header="0.3" footer="0.3"/>
  <pageSetup scale="70"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70"/>
  <dimension ref="A1:N1029"/>
  <sheetViews>
    <sheetView showGridLines="0" showRowColHeaders="0" zoomScale="85" zoomScaleNormal="85" workbookViewId="0">
      <selection activeCell="G3" sqref="G3:I3"/>
    </sheetView>
  </sheetViews>
  <sheetFormatPr baseColWidth="10" defaultColWidth="9.1640625" defaultRowHeight="15" x14ac:dyDescent="0.2"/>
  <cols>
    <col min="1" max="1" width="9.1640625" style="12"/>
    <col min="2" max="3" width="9.1640625" style="12" customWidth="1"/>
    <col min="4" max="4" width="9.1640625" style="12"/>
    <col min="5" max="5" width="9.1640625" style="12" customWidth="1"/>
    <col min="6" max="9" width="9.1640625" style="12"/>
    <col min="10" max="10" width="25.6640625" style="12" customWidth="1"/>
    <col min="11" max="12" width="9.1640625" style="12"/>
    <col min="13" max="13" width="9.1640625" style="12" customWidth="1"/>
    <col min="14" max="14" width="9.1640625" style="12" hidden="1" customWidth="1"/>
    <col min="15" max="16384" width="9.1640625" style="12"/>
  </cols>
  <sheetData>
    <row r="1" spans="2:13" x14ac:dyDescent="0.2">
      <c r="I1" s="29"/>
    </row>
    <row r="2" spans="2:13" ht="33" x14ac:dyDescent="0.2">
      <c r="G2" s="16" t="s">
        <v>1038</v>
      </c>
      <c r="I2" s="29"/>
    </row>
    <row r="3" spans="2:13" ht="23" x14ac:dyDescent="0.25">
      <c r="F3" s="306" t="s">
        <v>1042</v>
      </c>
      <c r="G3" s="479"/>
      <c r="H3" s="480"/>
      <c r="I3" s="481"/>
      <c r="L3" s="157"/>
      <c r="M3" s="157"/>
    </row>
    <row r="4" spans="2:13" x14ac:dyDescent="0.2">
      <c r="G4" s="98"/>
      <c r="I4" s="29"/>
      <c r="L4" s="158"/>
      <c r="M4" s="157"/>
    </row>
    <row r="5" spans="2:13" x14ac:dyDescent="0.2">
      <c r="B5" s="12" t="s">
        <v>1043</v>
      </c>
      <c r="G5" s="98"/>
      <c r="I5" s="29"/>
      <c r="L5" s="158"/>
      <c r="M5" s="157"/>
    </row>
    <row r="6" spans="2:13" ht="121.5" customHeight="1" x14ac:dyDescent="0.2">
      <c r="B6" s="476"/>
      <c r="C6" s="477"/>
      <c r="D6" s="477"/>
      <c r="E6" s="477"/>
      <c r="F6" s="477"/>
      <c r="G6" s="477"/>
      <c r="H6" s="477"/>
      <c r="I6" s="477"/>
      <c r="J6" s="477"/>
      <c r="K6" s="478"/>
      <c r="L6" s="158"/>
      <c r="M6" s="157"/>
    </row>
    <row r="7" spans="2:13" x14ac:dyDescent="0.2">
      <c r="B7" s="426"/>
      <c r="C7" s="426"/>
      <c r="D7" s="426"/>
      <c r="E7" s="426"/>
      <c r="F7" s="426"/>
      <c r="G7" s="426"/>
      <c r="H7" s="426"/>
      <c r="I7" s="426"/>
      <c r="J7" s="426"/>
      <c r="K7" s="426"/>
      <c r="L7" s="158"/>
    </row>
    <row r="8" spans="2:13" ht="75" customHeight="1" x14ac:dyDescent="0.2">
      <c r="B8" s="425" t="s">
        <v>664</v>
      </c>
      <c r="C8" s="341"/>
      <c r="D8" s="341"/>
      <c r="E8" s="341"/>
      <c r="F8" s="341"/>
      <c r="G8" s="341"/>
      <c r="H8" s="341"/>
      <c r="I8" s="341"/>
      <c r="J8" s="341"/>
      <c r="K8" s="341"/>
    </row>
    <row r="9" spans="2:13" ht="30" customHeight="1" x14ac:dyDescent="0.2">
      <c r="B9" s="445" t="s">
        <v>665</v>
      </c>
      <c r="C9" s="446"/>
      <c r="D9" s="446"/>
      <c r="E9" s="446"/>
      <c r="F9" s="446"/>
      <c r="G9" s="446"/>
      <c r="H9" s="446"/>
      <c r="I9" s="446"/>
      <c r="J9" s="446"/>
      <c r="K9" s="446"/>
    </row>
    <row r="10" spans="2:13" ht="121.5" customHeight="1" x14ac:dyDescent="0.2">
      <c r="B10" s="447"/>
      <c r="C10" s="448"/>
      <c r="D10" s="448"/>
      <c r="E10" s="448"/>
      <c r="F10" s="448"/>
      <c r="G10" s="448"/>
      <c r="H10" s="448"/>
      <c r="I10" s="448"/>
      <c r="J10" s="448"/>
      <c r="K10" s="449"/>
    </row>
    <row r="11" spans="2:13" ht="16" thickBot="1" x14ac:dyDescent="0.25"/>
    <row r="12" spans="2:13" x14ac:dyDescent="0.2">
      <c r="B12" s="159"/>
      <c r="C12" s="160"/>
      <c r="D12" s="160"/>
      <c r="E12" s="160"/>
      <c r="F12" s="160"/>
      <c r="G12" s="160"/>
      <c r="H12" s="160"/>
      <c r="I12" s="160"/>
      <c r="J12" s="160"/>
      <c r="K12" s="161"/>
    </row>
    <row r="13" spans="2:13" ht="21" x14ac:dyDescent="0.25">
      <c r="B13" s="162"/>
      <c r="C13" s="163"/>
      <c r="D13" s="163"/>
      <c r="E13" s="163"/>
      <c r="F13" s="163"/>
      <c r="G13" s="164" t="s">
        <v>226</v>
      </c>
      <c r="H13" s="163"/>
      <c r="I13" s="163"/>
      <c r="J13" s="163"/>
      <c r="K13" s="165"/>
    </row>
    <row r="14" spans="2:13" ht="21" x14ac:dyDescent="0.25">
      <c r="B14" s="162"/>
      <c r="C14" s="163"/>
      <c r="D14" s="163"/>
      <c r="E14" s="163"/>
      <c r="F14" s="163"/>
      <c r="G14" s="164"/>
      <c r="H14" s="163"/>
      <c r="I14" s="163"/>
      <c r="J14" s="163"/>
      <c r="K14" s="165"/>
    </row>
    <row r="15" spans="2:13" ht="26.25" customHeight="1" x14ac:dyDescent="0.2">
      <c r="B15" s="162"/>
      <c r="C15" s="163" t="s">
        <v>255</v>
      </c>
      <c r="D15" s="163"/>
      <c r="E15" s="412"/>
      <c r="F15" s="437"/>
      <c r="G15" s="437"/>
      <c r="H15" s="437"/>
      <c r="I15" s="437"/>
      <c r="J15" s="438"/>
      <c r="K15" s="165"/>
    </row>
    <row r="16" spans="2:13" x14ac:dyDescent="0.2">
      <c r="B16" s="162"/>
      <c r="C16" s="163"/>
      <c r="D16" s="163"/>
      <c r="E16" s="163"/>
      <c r="F16" s="163"/>
      <c r="G16" s="163"/>
      <c r="H16" s="163"/>
      <c r="I16" s="163"/>
      <c r="J16" s="163"/>
      <c r="K16" s="165"/>
    </row>
    <row r="17" spans="2:14" x14ac:dyDescent="0.2">
      <c r="B17" s="162"/>
      <c r="C17" s="166" t="s">
        <v>256</v>
      </c>
      <c r="D17" s="163"/>
      <c r="E17" s="167" t="str">
        <f>IF(E15=$C$966,$A$966,IF(E15=$C$967,$A$967,IF(E15=$C$968,$A$968,IF(E15=$C$969,$A$969,IF(E15=$C$970,$A$970,"Not Calculated")))))</f>
        <v>Not Calculated</v>
      </c>
      <c r="F17" s="163"/>
      <c r="G17" s="163"/>
      <c r="H17" s="163"/>
      <c r="I17" s="163"/>
      <c r="J17" s="163"/>
      <c r="K17" s="165"/>
    </row>
    <row r="18" spans="2:14" x14ac:dyDescent="0.2">
      <c r="B18" s="162"/>
      <c r="C18" s="163"/>
      <c r="D18" s="163"/>
      <c r="E18" s="167" t="str">
        <f>IF(E15=$C$966,$B$966,IF(E15=$C$967,$B$967,IF(E15=$C$968,$B$968,IF(E15=$C$969,$B$969,IF(E15=$C$970,$B$970,"Not Calculated")))))</f>
        <v>Not Calculated</v>
      </c>
      <c r="F18" s="163"/>
      <c r="G18" s="163"/>
      <c r="H18" s="163"/>
      <c r="I18" s="163"/>
      <c r="J18" s="163"/>
      <c r="K18" s="165"/>
    </row>
    <row r="19" spans="2:14" ht="16" thickBot="1" x14ac:dyDescent="0.25">
      <c r="B19" s="168"/>
      <c r="C19" s="169"/>
      <c r="D19" s="169"/>
      <c r="E19" s="169"/>
      <c r="F19" s="169"/>
      <c r="G19" s="169"/>
      <c r="H19" s="169"/>
      <c r="I19" s="169"/>
      <c r="J19" s="169"/>
      <c r="K19" s="170"/>
    </row>
    <row r="20" spans="2:14" ht="16" thickBot="1" x14ac:dyDescent="0.25"/>
    <row r="21" spans="2:14" x14ac:dyDescent="0.2">
      <c r="B21" s="33"/>
      <c r="C21" s="34"/>
      <c r="D21" s="34"/>
      <c r="E21" s="34"/>
      <c r="F21" s="34"/>
      <c r="G21" s="34"/>
      <c r="H21" s="34"/>
      <c r="I21" s="34"/>
      <c r="J21" s="34"/>
      <c r="K21" s="37"/>
    </row>
    <row r="22" spans="2:14" ht="21" x14ac:dyDescent="0.25">
      <c r="B22" s="38"/>
      <c r="C22" s="171"/>
      <c r="D22" s="40"/>
      <c r="E22" s="40"/>
      <c r="F22" s="40"/>
      <c r="G22" s="172" t="s">
        <v>26</v>
      </c>
      <c r="H22" s="40"/>
      <c r="I22" s="40"/>
      <c r="J22" s="40"/>
      <c r="K22" s="41"/>
    </row>
    <row r="23" spans="2:14" x14ac:dyDescent="0.2">
      <c r="B23" s="38"/>
      <c r="C23" s="40"/>
      <c r="D23" s="40"/>
      <c r="E23" s="40"/>
      <c r="F23" s="40"/>
      <c r="G23" s="40"/>
      <c r="H23" s="40"/>
      <c r="I23" s="40"/>
      <c r="J23" s="40"/>
      <c r="K23" s="41"/>
    </row>
    <row r="24" spans="2:14" ht="16" x14ac:dyDescent="0.2">
      <c r="B24" s="38"/>
      <c r="C24" s="45" t="s">
        <v>61</v>
      </c>
      <c r="D24" s="40"/>
      <c r="E24" s="40"/>
      <c r="F24" s="40"/>
      <c r="G24" s="40"/>
      <c r="H24" s="40"/>
      <c r="I24" s="40"/>
      <c r="J24" s="40"/>
      <c r="K24" s="41"/>
    </row>
    <row r="25" spans="2:14" x14ac:dyDescent="0.2">
      <c r="B25" s="38"/>
      <c r="C25" s="40" t="s">
        <v>434</v>
      </c>
      <c r="D25" s="40"/>
      <c r="E25" s="40"/>
      <c r="F25" s="40"/>
      <c r="G25" s="40"/>
      <c r="H25" s="40"/>
      <c r="I25" s="40"/>
      <c r="J25" s="252">
        <f>'Baseline Health'!G11</f>
        <v>0</v>
      </c>
      <c r="K25" s="41"/>
    </row>
    <row r="26" spans="2:14" x14ac:dyDescent="0.2">
      <c r="B26" s="38"/>
      <c r="C26" s="40" t="s">
        <v>288</v>
      </c>
      <c r="D26" s="40"/>
      <c r="E26" s="40"/>
      <c r="F26" s="40"/>
      <c r="G26" s="40"/>
      <c r="H26" s="40"/>
      <c r="I26" s="40"/>
      <c r="J26" s="264"/>
      <c r="K26" s="41"/>
    </row>
    <row r="27" spans="2:14" x14ac:dyDescent="0.2">
      <c r="B27" s="38"/>
      <c r="C27" s="40" t="s">
        <v>260</v>
      </c>
      <c r="D27" s="40"/>
      <c r="E27" s="40"/>
      <c r="F27" s="40"/>
      <c r="G27" s="40"/>
      <c r="H27" s="40"/>
      <c r="I27" s="40"/>
      <c r="J27" s="248" t="str">
        <f>IF(OR(J25=0,J25="Not Calculated")=TRUE,"Not Calculated",(IF(((J26+J25)/J25)&lt;=1,0,IF(((J26+J25)/J25)&lt;=1.05,1,IF(((J26+J25)/J25)&lt;=1.5, 2,IF(((J26+J25)/J25)&lt;=2,3,4))))))</f>
        <v>Not Calculated</v>
      </c>
      <c r="K27" s="41"/>
    </row>
    <row r="28" spans="2:14" ht="9.75" customHeight="1" x14ac:dyDescent="0.2">
      <c r="B28" s="38"/>
      <c r="C28" s="279" t="str">
        <f>"0:"</f>
        <v>0:</v>
      </c>
      <c r="D28" s="281" t="s">
        <v>918</v>
      </c>
      <c r="E28" s="40"/>
      <c r="F28" s="40"/>
      <c r="G28" s="40"/>
      <c r="H28" s="40"/>
      <c r="I28" s="40"/>
      <c r="J28" s="40"/>
      <c r="K28" s="41"/>
    </row>
    <row r="29" spans="2:14" ht="9.75" customHeight="1" x14ac:dyDescent="0.2">
      <c r="B29" s="38"/>
      <c r="C29" s="280" t="str">
        <f>"1:"</f>
        <v>1:</v>
      </c>
      <c r="D29" s="281" t="s">
        <v>919</v>
      </c>
      <c r="E29" s="40"/>
      <c r="F29" s="40"/>
      <c r="G29" s="40"/>
      <c r="H29" s="40"/>
      <c r="I29" s="40"/>
      <c r="J29" s="40"/>
      <c r="K29" s="41"/>
    </row>
    <row r="30" spans="2:14" ht="9.75" customHeight="1" x14ac:dyDescent="0.2">
      <c r="B30" s="38"/>
      <c r="C30" s="280" t="str">
        <f>"2:"</f>
        <v>2:</v>
      </c>
      <c r="D30" s="281" t="s">
        <v>920</v>
      </c>
      <c r="E30" s="40"/>
      <c r="F30" s="40"/>
      <c r="G30" s="40"/>
      <c r="H30" s="40"/>
      <c r="I30" s="40"/>
      <c r="J30" s="40"/>
      <c r="K30" s="41"/>
    </row>
    <row r="31" spans="2:14" ht="9.75" customHeight="1" x14ac:dyDescent="0.2">
      <c r="B31" s="38"/>
      <c r="C31" s="280" t="str">
        <f>"3:"</f>
        <v>3:</v>
      </c>
      <c r="D31" s="281" t="s">
        <v>921</v>
      </c>
      <c r="E31" s="40"/>
      <c r="F31" s="40"/>
      <c r="G31" s="40"/>
      <c r="H31" s="40"/>
      <c r="I31" s="40"/>
      <c r="J31" s="40"/>
      <c r="K31" s="41"/>
    </row>
    <row r="32" spans="2:14" ht="9.75" customHeight="1" x14ac:dyDescent="0.2">
      <c r="B32" s="38"/>
      <c r="C32" s="280" t="str">
        <f>"4:"</f>
        <v>4:</v>
      </c>
      <c r="D32" s="281" t="s">
        <v>922</v>
      </c>
      <c r="E32" s="40"/>
      <c r="F32" s="40"/>
      <c r="G32" s="40"/>
      <c r="H32" s="40"/>
      <c r="I32" s="40"/>
      <c r="J32" s="40"/>
      <c r="K32" s="41"/>
      <c r="N32" s="12" t="s">
        <v>661</v>
      </c>
    </row>
    <row r="33" spans="2:14" x14ac:dyDescent="0.2">
      <c r="B33" s="38"/>
      <c r="C33" s="174" t="s">
        <v>662</v>
      </c>
      <c r="D33" s="40"/>
      <c r="E33" s="40"/>
      <c r="F33" s="40"/>
      <c r="G33" s="40"/>
      <c r="H33" s="40"/>
      <c r="I33" s="40"/>
      <c r="J33" s="265" t="s">
        <v>661</v>
      </c>
      <c r="K33" s="41"/>
      <c r="N33" s="12" t="s">
        <v>894</v>
      </c>
    </row>
    <row r="34" spans="2:14" x14ac:dyDescent="0.2">
      <c r="B34" s="38"/>
      <c r="C34" s="174" t="s">
        <v>660</v>
      </c>
      <c r="D34" s="40"/>
      <c r="E34" s="40"/>
      <c r="F34" s="40"/>
      <c r="G34" s="40"/>
      <c r="H34" s="40"/>
      <c r="I34" s="40"/>
      <c r="J34" s="246" t="str">
        <f>IF(J33=N32,"N/A",IF(J33=N33,0,IF(J33=N34,1,IF(J33=N35,2,IF(J33=N36,3,IF(J33=N37,4,"N/A"))))))</f>
        <v>N/A</v>
      </c>
      <c r="K34" s="41"/>
      <c r="N34" s="12" t="s">
        <v>895</v>
      </c>
    </row>
    <row r="35" spans="2:14" x14ac:dyDescent="0.2">
      <c r="B35" s="38"/>
      <c r="C35" s="40" t="s">
        <v>257</v>
      </c>
      <c r="D35" s="40"/>
      <c r="E35" s="40"/>
      <c r="F35" s="40"/>
      <c r="G35" s="40"/>
      <c r="H35" s="40"/>
      <c r="I35" s="40"/>
      <c r="J35" s="266"/>
      <c r="K35" s="41"/>
      <c r="N35" s="12" t="s">
        <v>896</v>
      </c>
    </row>
    <row r="36" spans="2:14" x14ac:dyDescent="0.2">
      <c r="B36" s="38"/>
      <c r="C36" s="40" t="s">
        <v>261</v>
      </c>
      <c r="D36" s="40"/>
      <c r="E36" s="40"/>
      <c r="F36" s="40"/>
      <c r="G36" s="40"/>
      <c r="H36" s="40"/>
      <c r="I36" s="40"/>
      <c r="J36" s="245" t="str">
        <f>IF(J35=$B$973,$A$973,IF(J35=$B$974,$A$974,IF(J35=$B$975,$A$975,IF(J35=$B$976,$A$976,IF(J35=$B$977,$A$977,"Not Calculated")))))</f>
        <v>Not Calculated</v>
      </c>
      <c r="K36" s="41"/>
      <c r="N36" s="12" t="s">
        <v>897</v>
      </c>
    </row>
    <row r="37" spans="2:14" x14ac:dyDescent="0.2">
      <c r="B37" s="38"/>
      <c r="C37" s="40" t="s">
        <v>893</v>
      </c>
      <c r="D37" s="40"/>
      <c r="E37" s="40"/>
      <c r="F37" s="40"/>
      <c r="G37" s="40"/>
      <c r="H37" s="40"/>
      <c r="I37" s="40"/>
      <c r="J37" s="175"/>
      <c r="K37" s="41"/>
      <c r="N37" s="12" t="s">
        <v>898</v>
      </c>
    </row>
    <row r="38" spans="2:14" s="178" customFormat="1" x14ac:dyDescent="0.2">
      <c r="B38" s="176"/>
      <c r="C38" s="415"/>
      <c r="D38" s="400"/>
      <c r="E38" s="400"/>
      <c r="F38" s="400"/>
      <c r="G38" s="400"/>
      <c r="H38" s="400"/>
      <c r="I38" s="400"/>
      <c r="J38" s="401"/>
      <c r="K38" s="177"/>
    </row>
    <row r="39" spans="2:14" x14ac:dyDescent="0.2">
      <c r="B39" s="38"/>
      <c r="C39" s="40"/>
      <c r="D39" s="40"/>
      <c r="E39" s="40"/>
      <c r="F39" s="40"/>
      <c r="G39" s="40"/>
      <c r="H39" s="40"/>
      <c r="I39" s="40"/>
      <c r="J39" s="40"/>
      <c r="K39" s="41"/>
    </row>
    <row r="40" spans="2:14" x14ac:dyDescent="0.2">
      <c r="B40" s="38"/>
      <c r="C40" s="179" t="s">
        <v>258</v>
      </c>
      <c r="D40" s="40"/>
      <c r="E40" s="40"/>
      <c r="F40" s="40"/>
      <c r="G40" s="40"/>
      <c r="H40" s="40"/>
      <c r="I40" s="40"/>
      <c r="J40" s="245" t="str">
        <f>IF(J34="N/A",IF(OR(J27="Not Calculated",J36="Not Calculated")=TRUE,"Not Calculated",AVERAGE(J27,J36)),AVERAGE(J34,J36))</f>
        <v>Not Calculated</v>
      </c>
      <c r="K40" s="41"/>
    </row>
    <row r="41" spans="2:14" x14ac:dyDescent="0.2">
      <c r="B41" s="38"/>
      <c r="C41" s="179"/>
      <c r="D41" s="40"/>
      <c r="E41" s="40"/>
      <c r="F41" s="40"/>
      <c r="G41" s="40"/>
      <c r="H41" s="40"/>
      <c r="I41" s="40"/>
      <c r="J41" s="245"/>
      <c r="K41" s="41"/>
    </row>
    <row r="42" spans="2:14" x14ac:dyDescent="0.2">
      <c r="B42" s="38"/>
      <c r="C42" s="40"/>
      <c r="D42" s="40"/>
      <c r="E42" s="40"/>
      <c r="F42" s="40"/>
      <c r="G42" s="40"/>
      <c r="H42" s="40"/>
      <c r="I42" s="40"/>
      <c r="J42" s="40"/>
      <c r="K42" s="41"/>
    </row>
    <row r="43" spans="2:14" ht="16" x14ac:dyDescent="0.2">
      <c r="B43" s="38"/>
      <c r="C43" s="45" t="s">
        <v>51</v>
      </c>
      <c r="D43" s="40"/>
      <c r="E43" s="40"/>
      <c r="F43" s="40"/>
      <c r="G43" s="40"/>
      <c r="H43" s="40"/>
      <c r="I43" s="40"/>
      <c r="J43" s="40"/>
      <c r="K43" s="41"/>
    </row>
    <row r="44" spans="2:14" x14ac:dyDescent="0.2">
      <c r="B44" s="38"/>
      <c r="C44" s="40" t="s">
        <v>435</v>
      </c>
      <c r="D44" s="40"/>
      <c r="E44" s="40"/>
      <c r="F44" s="40"/>
      <c r="G44" s="40"/>
      <c r="H44" s="40"/>
      <c r="I44" s="40"/>
      <c r="J44" s="252">
        <f>'Baseline Health'!G17</f>
        <v>0</v>
      </c>
      <c r="K44" s="41"/>
    </row>
    <row r="45" spans="2:14" x14ac:dyDescent="0.2">
      <c r="B45" s="38"/>
      <c r="C45" s="40" t="s">
        <v>287</v>
      </c>
      <c r="D45" s="40"/>
      <c r="E45" s="40"/>
      <c r="F45" s="40"/>
      <c r="G45" s="40"/>
      <c r="H45" s="40"/>
      <c r="I45" s="40"/>
      <c r="J45" s="264"/>
      <c r="K45" s="41"/>
    </row>
    <row r="46" spans="2:14" x14ac:dyDescent="0.2">
      <c r="B46" s="38"/>
      <c r="C46" s="40" t="s">
        <v>260</v>
      </c>
      <c r="D46" s="40"/>
      <c r="E46" s="40"/>
      <c r="F46" s="40"/>
      <c r="G46" s="40"/>
      <c r="H46" s="40"/>
      <c r="I46" s="40"/>
      <c r="J46" s="248" t="str">
        <f>IF(OR(J44=0,J44="Not Calculated")=TRUE,"Not Calculated",(IF(((J45+J44)/J44)&lt;=1,0,IF(((J45+J44)/J44)&lt;=1.05,1,IF(((J45+J44)/J44)&lt;=1.5, 2,IF(((J45+J44)/J44)&lt;=2,3,4))))))</f>
        <v>Not Calculated</v>
      </c>
      <c r="K46" s="41"/>
    </row>
    <row r="47" spans="2:14" ht="9.75" customHeight="1" x14ac:dyDescent="0.2">
      <c r="B47" s="38"/>
      <c r="C47" s="279" t="str">
        <f>"0:"</f>
        <v>0:</v>
      </c>
      <c r="D47" s="281" t="s">
        <v>918</v>
      </c>
      <c r="E47" s="40"/>
      <c r="F47" s="40"/>
      <c r="G47" s="40"/>
      <c r="H47" s="40"/>
      <c r="I47" s="40"/>
      <c r="J47" s="40"/>
      <c r="K47" s="41"/>
    </row>
    <row r="48" spans="2:14" ht="9.75" customHeight="1" x14ac:dyDescent="0.2">
      <c r="B48" s="38"/>
      <c r="C48" s="280" t="str">
        <f>"1:"</f>
        <v>1:</v>
      </c>
      <c r="D48" s="281" t="s">
        <v>919</v>
      </c>
      <c r="E48" s="40"/>
      <c r="F48" s="40"/>
      <c r="G48" s="40"/>
      <c r="H48" s="40"/>
      <c r="I48" s="40"/>
      <c r="J48" s="40"/>
      <c r="K48" s="41"/>
    </row>
    <row r="49" spans="2:14" ht="9.75" customHeight="1" x14ac:dyDescent="0.2">
      <c r="B49" s="38"/>
      <c r="C49" s="280" t="str">
        <f>"2:"</f>
        <v>2:</v>
      </c>
      <c r="D49" s="281" t="s">
        <v>920</v>
      </c>
      <c r="E49" s="40"/>
      <c r="F49" s="40"/>
      <c r="G49" s="40"/>
      <c r="H49" s="40"/>
      <c r="I49" s="40"/>
      <c r="J49" s="40"/>
      <c r="K49" s="41"/>
    </row>
    <row r="50" spans="2:14" ht="9.75" customHeight="1" x14ac:dyDescent="0.2">
      <c r="B50" s="38"/>
      <c r="C50" s="280" t="str">
        <f>"3:"</f>
        <v>3:</v>
      </c>
      <c r="D50" s="281" t="s">
        <v>921</v>
      </c>
      <c r="E50" s="40"/>
      <c r="F50" s="40"/>
      <c r="G50" s="40"/>
      <c r="H50" s="40"/>
      <c r="I50" s="40"/>
      <c r="J50" s="40"/>
      <c r="K50" s="41"/>
    </row>
    <row r="51" spans="2:14" ht="9.75" customHeight="1" x14ac:dyDescent="0.2">
      <c r="B51" s="38"/>
      <c r="C51" s="280" t="str">
        <f>"4:"</f>
        <v>4:</v>
      </c>
      <c r="D51" s="281" t="s">
        <v>922</v>
      </c>
      <c r="E51" s="40"/>
      <c r="F51" s="40"/>
      <c r="G51" s="40"/>
      <c r="H51" s="40"/>
      <c r="I51" s="40"/>
      <c r="J51" s="40"/>
      <c r="K51" s="41"/>
      <c r="N51" s="12" t="s">
        <v>661</v>
      </c>
    </row>
    <row r="52" spans="2:14" x14ac:dyDescent="0.2">
      <c r="B52" s="38"/>
      <c r="C52" s="174" t="s">
        <v>662</v>
      </c>
      <c r="D52" s="40"/>
      <c r="E52" s="40"/>
      <c r="F52" s="40"/>
      <c r="G52" s="40"/>
      <c r="H52" s="40"/>
      <c r="I52" s="40"/>
      <c r="J52" s="265" t="s">
        <v>661</v>
      </c>
      <c r="K52" s="41"/>
      <c r="N52" s="12" t="s">
        <v>894</v>
      </c>
    </row>
    <row r="53" spans="2:14" x14ac:dyDescent="0.2">
      <c r="B53" s="38"/>
      <c r="C53" s="174" t="s">
        <v>660</v>
      </c>
      <c r="D53" s="40"/>
      <c r="E53" s="40"/>
      <c r="F53" s="40"/>
      <c r="G53" s="40"/>
      <c r="H53" s="40"/>
      <c r="I53" s="40"/>
      <c r="J53" s="246" t="str">
        <f>IF(J52=N51,"N/A",IF(J52=N52,0,IF(J52=N53,1,IF(J52=N54,2,IF(J52=N55,3,IF(J52=N56,4,"N/A"))))))</f>
        <v>N/A</v>
      </c>
      <c r="K53" s="41"/>
      <c r="N53" s="12" t="s">
        <v>895</v>
      </c>
    </row>
    <row r="54" spans="2:14" x14ac:dyDescent="0.2">
      <c r="B54" s="38"/>
      <c r="C54" s="40" t="s">
        <v>257</v>
      </c>
      <c r="D54" s="40"/>
      <c r="E54" s="40"/>
      <c r="F54" s="40"/>
      <c r="G54" s="40"/>
      <c r="H54" s="40"/>
      <c r="I54" s="40"/>
      <c r="J54" s="266"/>
      <c r="K54" s="41"/>
      <c r="N54" s="12" t="s">
        <v>896</v>
      </c>
    </row>
    <row r="55" spans="2:14" x14ac:dyDescent="0.2">
      <c r="B55" s="38"/>
      <c r="C55" s="40" t="s">
        <v>261</v>
      </c>
      <c r="D55" s="40"/>
      <c r="E55" s="40"/>
      <c r="F55" s="40"/>
      <c r="G55" s="40"/>
      <c r="H55" s="40"/>
      <c r="I55" s="40"/>
      <c r="J55" s="245" t="str">
        <f>IF(J54=$B$973,$A$973,IF(J54=$B$974,$A$974,IF(J54=$B$975,$A$975,IF(J54=$B$976,$A$976,IF(J54=$B$977,$A$977,"Not Calculated")))))</f>
        <v>Not Calculated</v>
      </c>
      <c r="K55" s="41"/>
      <c r="N55" s="12" t="s">
        <v>897</v>
      </c>
    </row>
    <row r="56" spans="2:14" x14ac:dyDescent="0.2">
      <c r="B56" s="38"/>
      <c r="C56" s="40" t="s">
        <v>893</v>
      </c>
      <c r="D56" s="40"/>
      <c r="E56" s="40"/>
      <c r="F56" s="40"/>
      <c r="G56" s="40"/>
      <c r="H56" s="40"/>
      <c r="I56" s="40"/>
      <c r="J56" s="175"/>
      <c r="K56" s="41"/>
      <c r="N56" s="12" t="s">
        <v>898</v>
      </c>
    </row>
    <row r="57" spans="2:14" s="178" customFormat="1" ht="15" customHeight="1" x14ac:dyDescent="0.2">
      <c r="B57" s="176"/>
      <c r="C57" s="415"/>
      <c r="D57" s="400"/>
      <c r="E57" s="400"/>
      <c r="F57" s="400"/>
      <c r="G57" s="400"/>
      <c r="H57" s="400"/>
      <c r="I57" s="400"/>
      <c r="J57" s="401"/>
      <c r="K57" s="177"/>
    </row>
    <row r="58" spans="2:14" x14ac:dyDescent="0.2">
      <c r="B58" s="38"/>
      <c r="C58" s="40"/>
      <c r="D58" s="40"/>
      <c r="E58" s="40"/>
      <c r="F58" s="40"/>
      <c r="G58" s="40"/>
      <c r="H58" s="40"/>
      <c r="I58" s="40"/>
      <c r="J58" s="40"/>
      <c r="K58" s="41"/>
    </row>
    <row r="59" spans="2:14" x14ac:dyDescent="0.2">
      <c r="B59" s="38"/>
      <c r="C59" s="179" t="s">
        <v>263</v>
      </c>
      <c r="D59" s="40"/>
      <c r="E59" s="40"/>
      <c r="F59" s="40"/>
      <c r="G59" s="40"/>
      <c r="H59" s="40"/>
      <c r="I59" s="40"/>
      <c r="J59" s="245" t="str">
        <f>IF(J53="N/A",IF(OR(J46="Not Calculated",J55="Not Calculated")=TRUE,"Not Calculated",AVERAGE(J46,J55)),AVERAGE(J53,J55))</f>
        <v>Not Calculated</v>
      </c>
      <c r="K59" s="41"/>
    </row>
    <row r="60" spans="2:14" x14ac:dyDescent="0.2">
      <c r="B60" s="38"/>
      <c r="C60" s="40"/>
      <c r="D60" s="40"/>
      <c r="E60" s="40"/>
      <c r="F60" s="40"/>
      <c r="G60" s="40"/>
      <c r="H60" s="40"/>
      <c r="I60" s="40"/>
      <c r="J60" s="40"/>
      <c r="K60" s="41"/>
    </row>
    <row r="61" spans="2:14" x14ac:dyDescent="0.2">
      <c r="B61" s="38"/>
      <c r="C61" s="40"/>
      <c r="D61" s="40"/>
      <c r="E61" s="40"/>
      <c r="F61" s="40"/>
      <c r="G61" s="40"/>
      <c r="H61" s="40"/>
      <c r="I61" s="40"/>
      <c r="J61" s="40"/>
      <c r="K61" s="41"/>
    </row>
    <row r="62" spans="2:14" ht="16" x14ac:dyDescent="0.2">
      <c r="B62" s="38"/>
      <c r="C62" s="45" t="s">
        <v>54</v>
      </c>
      <c r="D62" s="40"/>
      <c r="E62" s="40"/>
      <c r="F62" s="40"/>
      <c r="G62" s="40"/>
      <c r="H62" s="40"/>
      <c r="I62" s="40"/>
      <c r="J62" s="40"/>
      <c r="K62" s="41"/>
    </row>
    <row r="63" spans="2:14" x14ac:dyDescent="0.2">
      <c r="B63" s="38"/>
      <c r="C63" s="40" t="s">
        <v>436</v>
      </c>
      <c r="D63" s="40"/>
      <c r="E63" s="40"/>
      <c r="F63" s="40"/>
      <c r="G63" s="40"/>
      <c r="H63" s="40"/>
      <c r="I63" s="40"/>
      <c r="J63" s="252">
        <f>'Baseline Health'!G23</f>
        <v>0</v>
      </c>
      <c r="K63" s="41"/>
    </row>
    <row r="64" spans="2:14" x14ac:dyDescent="0.2">
      <c r="B64" s="38"/>
      <c r="C64" s="40" t="s">
        <v>289</v>
      </c>
      <c r="D64" s="40"/>
      <c r="E64" s="40"/>
      <c r="F64" s="40"/>
      <c r="G64" s="40"/>
      <c r="H64" s="40"/>
      <c r="I64" s="40"/>
      <c r="J64" s="264"/>
      <c r="K64" s="41"/>
    </row>
    <row r="65" spans="2:14" x14ac:dyDescent="0.2">
      <c r="B65" s="38"/>
      <c r="C65" s="40" t="s">
        <v>260</v>
      </c>
      <c r="D65" s="40"/>
      <c r="E65" s="40"/>
      <c r="F65" s="40"/>
      <c r="G65" s="40"/>
      <c r="H65" s="40"/>
      <c r="I65" s="40"/>
      <c r="J65" s="248" t="str">
        <f>IF(OR(J63=0,J63="Not Calculated")=TRUE,"Not Calculated",(IF(((J64+J63)/J63)&lt;=1,0,IF(((J64+J63)/J63)&lt;=1.05,1,IF(((J64+J63)/J63)&lt;=1.5, 2,IF(((J64+J63)/J63)&lt;=2,3,4))))))</f>
        <v>Not Calculated</v>
      </c>
      <c r="K65" s="41"/>
    </row>
    <row r="66" spans="2:14" ht="9.75" customHeight="1" x14ac:dyDescent="0.2">
      <c r="B66" s="38"/>
      <c r="C66" s="279" t="str">
        <f>"0:"</f>
        <v>0:</v>
      </c>
      <c r="D66" s="281" t="s">
        <v>918</v>
      </c>
      <c r="E66" s="40"/>
      <c r="F66" s="40"/>
      <c r="G66" s="40"/>
      <c r="H66" s="40"/>
      <c r="I66" s="40"/>
      <c r="J66" s="40"/>
      <c r="K66" s="41"/>
    </row>
    <row r="67" spans="2:14" ht="9.75" customHeight="1" x14ac:dyDescent="0.2">
      <c r="B67" s="38"/>
      <c r="C67" s="280" t="str">
        <f>"1:"</f>
        <v>1:</v>
      </c>
      <c r="D67" s="281" t="s">
        <v>919</v>
      </c>
      <c r="E67" s="40"/>
      <c r="F67" s="40"/>
      <c r="G67" s="40"/>
      <c r="H67" s="40"/>
      <c r="I67" s="40"/>
      <c r="J67" s="40"/>
      <c r="K67" s="41"/>
    </row>
    <row r="68" spans="2:14" ht="9.75" customHeight="1" x14ac:dyDescent="0.2">
      <c r="B68" s="38"/>
      <c r="C68" s="280" t="str">
        <f>"2:"</f>
        <v>2:</v>
      </c>
      <c r="D68" s="281" t="s">
        <v>920</v>
      </c>
      <c r="E68" s="40"/>
      <c r="F68" s="40"/>
      <c r="G68" s="40"/>
      <c r="H68" s="40"/>
      <c r="I68" s="40"/>
      <c r="J68" s="40"/>
      <c r="K68" s="41"/>
    </row>
    <row r="69" spans="2:14" ht="9.75" customHeight="1" x14ac:dyDescent="0.2">
      <c r="B69" s="38"/>
      <c r="C69" s="280" t="str">
        <f>"3:"</f>
        <v>3:</v>
      </c>
      <c r="D69" s="281" t="s">
        <v>921</v>
      </c>
      <c r="E69" s="40"/>
      <c r="F69" s="40"/>
      <c r="G69" s="40"/>
      <c r="H69" s="40"/>
      <c r="I69" s="40"/>
      <c r="J69" s="40"/>
      <c r="K69" s="41"/>
    </row>
    <row r="70" spans="2:14" ht="9.75" customHeight="1" x14ac:dyDescent="0.2">
      <c r="B70" s="38"/>
      <c r="C70" s="280" t="str">
        <f>"4:"</f>
        <v>4:</v>
      </c>
      <c r="D70" s="281" t="s">
        <v>922</v>
      </c>
      <c r="E70" s="40"/>
      <c r="F70" s="40"/>
      <c r="G70" s="40"/>
      <c r="H70" s="40"/>
      <c r="I70" s="40"/>
      <c r="J70" s="40"/>
      <c r="K70" s="41"/>
      <c r="N70" s="12" t="s">
        <v>661</v>
      </c>
    </row>
    <row r="71" spans="2:14" x14ac:dyDescent="0.2">
      <c r="B71" s="38"/>
      <c r="C71" s="174" t="s">
        <v>662</v>
      </c>
      <c r="D71" s="40"/>
      <c r="E71" s="40"/>
      <c r="F71" s="40"/>
      <c r="G71" s="40"/>
      <c r="H71" s="40"/>
      <c r="I71" s="40"/>
      <c r="J71" s="265" t="s">
        <v>661</v>
      </c>
      <c r="K71" s="41"/>
      <c r="N71" s="12" t="s">
        <v>894</v>
      </c>
    </row>
    <row r="72" spans="2:14" x14ac:dyDescent="0.2">
      <c r="B72" s="38"/>
      <c r="C72" s="174" t="s">
        <v>660</v>
      </c>
      <c r="D72" s="40"/>
      <c r="E72" s="40"/>
      <c r="F72" s="40"/>
      <c r="G72" s="40"/>
      <c r="H72" s="40"/>
      <c r="I72" s="40"/>
      <c r="J72" s="246" t="str">
        <f>IF(J71=N70,"N/A",IF(J71=N71,0,IF(J71=N72,1,IF(J71=N73,2,IF(J71=N74,3,IF(J71=N75,4,"N/A"))))))</f>
        <v>N/A</v>
      </c>
      <c r="K72" s="41"/>
      <c r="N72" s="12" t="s">
        <v>895</v>
      </c>
    </row>
    <row r="73" spans="2:14" x14ac:dyDescent="0.2">
      <c r="B73" s="38"/>
      <c r="C73" s="40" t="s">
        <v>257</v>
      </c>
      <c r="D73" s="40"/>
      <c r="E73" s="40"/>
      <c r="F73" s="40"/>
      <c r="G73" s="40"/>
      <c r="H73" s="40"/>
      <c r="I73" s="40"/>
      <c r="J73" s="266"/>
      <c r="K73" s="41"/>
      <c r="N73" s="12" t="s">
        <v>896</v>
      </c>
    </row>
    <row r="74" spans="2:14" x14ac:dyDescent="0.2">
      <c r="B74" s="38"/>
      <c r="C74" s="40" t="s">
        <v>261</v>
      </c>
      <c r="D74" s="40"/>
      <c r="E74" s="40"/>
      <c r="F74" s="40"/>
      <c r="G74" s="40"/>
      <c r="H74" s="40"/>
      <c r="I74" s="40"/>
      <c r="J74" s="245" t="str">
        <f>IF(J73=$B$973,$A$973,IF(J73=$B$974,$A$974,IF(J73=$B$975,$A$975,IF(J73=$B$976,$A$976,IF(J73=$B$977,$A$977,"Not Calculated")))))</f>
        <v>Not Calculated</v>
      </c>
      <c r="K74" s="41"/>
      <c r="N74" s="12" t="s">
        <v>897</v>
      </c>
    </row>
    <row r="75" spans="2:14" x14ac:dyDescent="0.2">
      <c r="B75" s="38"/>
      <c r="C75" s="40" t="s">
        <v>893</v>
      </c>
      <c r="D75" s="40"/>
      <c r="E75" s="40"/>
      <c r="F75" s="40"/>
      <c r="G75" s="40"/>
      <c r="H75" s="40"/>
      <c r="I75" s="40"/>
      <c r="J75" s="175"/>
      <c r="K75" s="41"/>
      <c r="N75" s="12" t="s">
        <v>898</v>
      </c>
    </row>
    <row r="76" spans="2:14" s="178" customFormat="1" x14ac:dyDescent="0.2">
      <c r="B76" s="176"/>
      <c r="C76" s="415"/>
      <c r="D76" s="400"/>
      <c r="E76" s="400"/>
      <c r="F76" s="400"/>
      <c r="G76" s="400"/>
      <c r="H76" s="400"/>
      <c r="I76" s="400"/>
      <c r="J76" s="401"/>
      <c r="K76" s="177"/>
    </row>
    <row r="77" spans="2:14" x14ac:dyDescent="0.2">
      <c r="B77" s="38"/>
      <c r="C77" s="40"/>
      <c r="D77" s="40"/>
      <c r="E77" s="40"/>
      <c r="F77" s="40"/>
      <c r="G77" s="40"/>
      <c r="H77" s="40"/>
      <c r="I77" s="40"/>
      <c r="J77" s="40"/>
      <c r="K77" s="41"/>
    </row>
    <row r="78" spans="2:14" x14ac:dyDescent="0.2">
      <c r="B78" s="38"/>
      <c r="C78" s="179" t="s">
        <v>264</v>
      </c>
      <c r="D78" s="40"/>
      <c r="E78" s="40"/>
      <c r="F78" s="40"/>
      <c r="G78" s="40"/>
      <c r="H78" s="40"/>
      <c r="I78" s="40"/>
      <c r="J78" s="245" t="str">
        <f>IF(J72="N/A",IF(OR(J65="Not Calculated",J74="Not Calculated")=TRUE,"Not Calculated",AVERAGE(J65,J74)),AVERAGE(J72,J74))</f>
        <v>Not Calculated</v>
      </c>
      <c r="K78" s="41"/>
    </row>
    <row r="79" spans="2:14" x14ac:dyDescent="0.2">
      <c r="B79" s="38"/>
      <c r="C79" s="40"/>
      <c r="D79" s="40"/>
      <c r="E79" s="40"/>
      <c r="F79" s="40"/>
      <c r="G79" s="40"/>
      <c r="H79" s="40"/>
      <c r="I79" s="40"/>
      <c r="J79" s="40"/>
      <c r="K79" s="41"/>
    </row>
    <row r="80" spans="2:14" x14ac:dyDescent="0.2">
      <c r="B80" s="38"/>
      <c r="C80" s="40"/>
      <c r="D80" s="40"/>
      <c r="E80" s="40"/>
      <c r="F80" s="40"/>
      <c r="G80" s="40"/>
      <c r="H80" s="40"/>
      <c r="I80" s="40"/>
      <c r="J80" s="40"/>
      <c r="K80" s="41"/>
    </row>
    <row r="81" spans="2:14" ht="16" x14ac:dyDescent="0.2">
      <c r="B81" s="38"/>
      <c r="C81" s="45" t="s">
        <v>57</v>
      </c>
      <c r="D81" s="40"/>
      <c r="E81" s="40"/>
      <c r="F81" s="40"/>
      <c r="G81" s="40"/>
      <c r="H81" s="40"/>
      <c r="I81" s="40"/>
      <c r="J81" s="40"/>
      <c r="K81" s="41"/>
    </row>
    <row r="82" spans="2:14" x14ac:dyDescent="0.2">
      <c r="B82" s="38"/>
      <c r="C82" s="40" t="s">
        <v>437</v>
      </c>
      <c r="D82" s="40"/>
      <c r="E82" s="40"/>
      <c r="F82" s="40"/>
      <c r="G82" s="40"/>
      <c r="H82" s="40"/>
      <c r="I82" s="40"/>
      <c r="J82" s="252">
        <f>'Baseline Health'!G29</f>
        <v>0</v>
      </c>
      <c r="K82" s="41"/>
    </row>
    <row r="83" spans="2:14" x14ac:dyDescent="0.2">
      <c r="B83" s="38"/>
      <c r="C83" s="40" t="s">
        <v>290</v>
      </c>
      <c r="D83" s="40"/>
      <c r="E83" s="40"/>
      <c r="F83" s="40"/>
      <c r="G83" s="40"/>
      <c r="H83" s="40"/>
      <c r="I83" s="40"/>
      <c r="J83" s="264"/>
      <c r="K83" s="41"/>
    </row>
    <row r="84" spans="2:14" x14ac:dyDescent="0.2">
      <c r="B84" s="38"/>
      <c r="C84" s="40" t="s">
        <v>260</v>
      </c>
      <c r="D84" s="40"/>
      <c r="E84" s="40"/>
      <c r="F84" s="40"/>
      <c r="G84" s="40"/>
      <c r="H84" s="40"/>
      <c r="I84" s="40"/>
      <c r="J84" s="248" t="str">
        <f>IF(OR(J82=0,J82="Not Calculated")=TRUE,"Not Calculated",(IF(((J83+J82)/J82)&lt;=1,0,IF(((J83+J82)/J82)&lt;=1.05,1,IF(((J83+J82)/J82)&lt;=1.5, 2,IF(((J83+J82)/J82)&lt;=2,3,4))))))</f>
        <v>Not Calculated</v>
      </c>
      <c r="K84" s="41"/>
    </row>
    <row r="85" spans="2:14" ht="9.75" customHeight="1" x14ac:dyDescent="0.2">
      <c r="B85" s="38"/>
      <c r="C85" s="279" t="str">
        <f>"0:"</f>
        <v>0:</v>
      </c>
      <c r="D85" s="281" t="s">
        <v>918</v>
      </c>
      <c r="E85" s="40"/>
      <c r="F85" s="40"/>
      <c r="G85" s="40"/>
      <c r="H85" s="40"/>
      <c r="I85" s="40"/>
      <c r="J85" s="40"/>
      <c r="K85" s="41"/>
    </row>
    <row r="86" spans="2:14" ht="9.75" customHeight="1" x14ac:dyDescent="0.2">
      <c r="B86" s="38"/>
      <c r="C86" s="280" t="str">
        <f>"1:"</f>
        <v>1:</v>
      </c>
      <c r="D86" s="281" t="s">
        <v>919</v>
      </c>
      <c r="E86" s="40"/>
      <c r="F86" s="40"/>
      <c r="G86" s="40"/>
      <c r="H86" s="40"/>
      <c r="I86" s="40"/>
      <c r="J86" s="40"/>
      <c r="K86" s="41"/>
    </row>
    <row r="87" spans="2:14" ht="9.75" customHeight="1" x14ac:dyDescent="0.2">
      <c r="B87" s="38"/>
      <c r="C87" s="280" t="str">
        <f>"2:"</f>
        <v>2:</v>
      </c>
      <c r="D87" s="281" t="s">
        <v>920</v>
      </c>
      <c r="E87" s="40"/>
      <c r="F87" s="40"/>
      <c r="G87" s="40"/>
      <c r="H87" s="40"/>
      <c r="I87" s="40"/>
      <c r="J87" s="40"/>
      <c r="K87" s="41"/>
    </row>
    <row r="88" spans="2:14" ht="9.75" customHeight="1" x14ac:dyDescent="0.2">
      <c r="B88" s="38"/>
      <c r="C88" s="280" t="str">
        <f>"3:"</f>
        <v>3:</v>
      </c>
      <c r="D88" s="281" t="s">
        <v>921</v>
      </c>
      <c r="E88" s="40"/>
      <c r="F88" s="40"/>
      <c r="G88" s="40"/>
      <c r="H88" s="40"/>
      <c r="I88" s="40"/>
      <c r="J88" s="40"/>
      <c r="K88" s="41"/>
    </row>
    <row r="89" spans="2:14" ht="9.75" customHeight="1" x14ac:dyDescent="0.2">
      <c r="B89" s="38"/>
      <c r="C89" s="280" t="str">
        <f>"4:"</f>
        <v>4:</v>
      </c>
      <c r="D89" s="281" t="s">
        <v>922</v>
      </c>
      <c r="E89" s="40"/>
      <c r="F89" s="40"/>
      <c r="G89" s="40"/>
      <c r="H89" s="40"/>
      <c r="I89" s="40"/>
      <c r="J89" s="40"/>
      <c r="K89" s="41"/>
      <c r="N89" s="12" t="s">
        <v>661</v>
      </c>
    </row>
    <row r="90" spans="2:14" x14ac:dyDescent="0.2">
      <c r="B90" s="38"/>
      <c r="C90" s="174" t="s">
        <v>662</v>
      </c>
      <c r="D90" s="40"/>
      <c r="E90" s="40"/>
      <c r="F90" s="40"/>
      <c r="G90" s="40"/>
      <c r="H90" s="40"/>
      <c r="I90" s="40"/>
      <c r="J90" s="265" t="s">
        <v>661</v>
      </c>
      <c r="K90" s="41"/>
      <c r="N90" s="12" t="s">
        <v>894</v>
      </c>
    </row>
    <row r="91" spans="2:14" x14ac:dyDescent="0.2">
      <c r="B91" s="38"/>
      <c r="C91" s="174" t="s">
        <v>660</v>
      </c>
      <c r="D91" s="40"/>
      <c r="E91" s="40"/>
      <c r="F91" s="40"/>
      <c r="G91" s="40"/>
      <c r="H91" s="40"/>
      <c r="I91" s="40"/>
      <c r="J91" s="246" t="str">
        <f>IF(J90=N89,"N/A",IF(J90=N90,0,IF(J90=N91,1,IF(J90=N92,2,IF(J90=N93,3,IF(J90=N94,4,"N/A"))))))</f>
        <v>N/A</v>
      </c>
      <c r="K91" s="41"/>
      <c r="N91" s="12" t="s">
        <v>895</v>
      </c>
    </row>
    <row r="92" spans="2:14" x14ac:dyDescent="0.2">
      <c r="B92" s="38"/>
      <c r="C92" s="40" t="s">
        <v>257</v>
      </c>
      <c r="D92" s="40"/>
      <c r="E92" s="40"/>
      <c r="F92" s="40"/>
      <c r="G92" s="40"/>
      <c r="H92" s="40"/>
      <c r="I92" s="40"/>
      <c r="J92" s="266"/>
      <c r="K92" s="41"/>
      <c r="N92" s="12" t="s">
        <v>896</v>
      </c>
    </row>
    <row r="93" spans="2:14" x14ac:dyDescent="0.2">
      <c r="B93" s="38"/>
      <c r="C93" s="40" t="s">
        <v>261</v>
      </c>
      <c r="D93" s="40"/>
      <c r="E93" s="40"/>
      <c r="F93" s="40"/>
      <c r="G93" s="40"/>
      <c r="H93" s="40"/>
      <c r="I93" s="40"/>
      <c r="J93" s="245" t="str">
        <f>IF(J92=$B$973,$A$973,IF(J92=$B$974,$A$974,IF(J92=$B$975,$A$975,IF(J92=$B$976,$A$976,IF(J92=$B$977,$A$977,"Not Calculated")))))</f>
        <v>Not Calculated</v>
      </c>
      <c r="K93" s="41"/>
      <c r="N93" s="12" t="s">
        <v>897</v>
      </c>
    </row>
    <row r="94" spans="2:14" x14ac:dyDescent="0.2">
      <c r="B94" s="38"/>
      <c r="C94" s="40" t="s">
        <v>893</v>
      </c>
      <c r="D94" s="40"/>
      <c r="E94" s="40"/>
      <c r="F94" s="40"/>
      <c r="G94" s="40"/>
      <c r="H94" s="40"/>
      <c r="I94" s="40"/>
      <c r="J94" s="175"/>
      <c r="K94" s="41"/>
      <c r="N94" s="12" t="s">
        <v>898</v>
      </c>
    </row>
    <row r="95" spans="2:14" s="178" customFormat="1" x14ac:dyDescent="0.2">
      <c r="B95" s="176"/>
      <c r="C95" s="415"/>
      <c r="D95" s="400"/>
      <c r="E95" s="400"/>
      <c r="F95" s="400"/>
      <c r="G95" s="400"/>
      <c r="H95" s="400"/>
      <c r="I95" s="400"/>
      <c r="J95" s="401"/>
      <c r="K95" s="177"/>
    </row>
    <row r="96" spans="2:14" x14ac:dyDescent="0.2">
      <c r="B96" s="38"/>
      <c r="C96" s="40"/>
      <c r="D96" s="40"/>
      <c r="E96" s="40"/>
      <c r="F96" s="40"/>
      <c r="G96" s="40"/>
      <c r="H96" s="40"/>
      <c r="I96" s="40"/>
      <c r="J96" s="40"/>
      <c r="K96" s="41"/>
    </row>
    <row r="97" spans="2:14" x14ac:dyDescent="0.2">
      <c r="B97" s="38"/>
      <c r="C97" s="179" t="s">
        <v>265</v>
      </c>
      <c r="D97" s="40"/>
      <c r="E97" s="40"/>
      <c r="F97" s="40"/>
      <c r="G97" s="40"/>
      <c r="H97" s="40"/>
      <c r="I97" s="40"/>
      <c r="J97" s="245" t="str">
        <f>IF(J91="N/A",IF(OR(J84="Not Calculated",J93="Not Calculated")=TRUE,"Not Calculated",AVERAGE(J84,J93)),AVERAGE(J91,J93))</f>
        <v>Not Calculated</v>
      </c>
      <c r="K97" s="41"/>
    </row>
    <row r="98" spans="2:14" x14ac:dyDescent="0.2">
      <c r="B98" s="38"/>
      <c r="C98" s="40"/>
      <c r="D98" s="40"/>
      <c r="E98" s="40"/>
      <c r="F98" s="40"/>
      <c r="G98" s="40"/>
      <c r="H98" s="40"/>
      <c r="I98" s="40"/>
      <c r="J98" s="40"/>
      <c r="K98" s="41"/>
    </row>
    <row r="99" spans="2:14" x14ac:dyDescent="0.2">
      <c r="B99" s="38"/>
      <c r="C99" s="40"/>
      <c r="D99" s="40"/>
      <c r="E99" s="40"/>
      <c r="F99" s="40"/>
      <c r="G99" s="40"/>
      <c r="H99" s="40"/>
      <c r="I99" s="40"/>
      <c r="J99" s="40"/>
      <c r="K99" s="41"/>
    </row>
    <row r="100" spans="2:14" ht="16" x14ac:dyDescent="0.2">
      <c r="B100" s="38"/>
      <c r="C100" s="45" t="s">
        <v>60</v>
      </c>
      <c r="D100" s="40"/>
      <c r="E100" s="40"/>
      <c r="F100" s="40"/>
      <c r="G100" s="40"/>
      <c r="H100" s="40"/>
      <c r="I100" s="40"/>
      <c r="J100" s="40"/>
      <c r="K100" s="41"/>
    </row>
    <row r="101" spans="2:14" x14ac:dyDescent="0.2">
      <c r="B101" s="38"/>
      <c r="C101" s="40" t="s">
        <v>438</v>
      </c>
      <c r="D101" s="40"/>
      <c r="E101" s="40"/>
      <c r="F101" s="40"/>
      <c r="G101" s="40"/>
      <c r="H101" s="40"/>
      <c r="I101" s="40"/>
      <c r="J101" s="252">
        <f>'Baseline Health'!G35</f>
        <v>0</v>
      </c>
      <c r="K101" s="41"/>
    </row>
    <row r="102" spans="2:14" x14ac:dyDescent="0.2">
      <c r="B102" s="38"/>
      <c r="C102" s="40" t="s">
        <v>291</v>
      </c>
      <c r="D102" s="40"/>
      <c r="E102" s="40"/>
      <c r="F102" s="40"/>
      <c r="G102" s="40"/>
      <c r="H102" s="40"/>
      <c r="I102" s="40"/>
      <c r="J102" s="264"/>
      <c r="K102" s="41"/>
    </row>
    <row r="103" spans="2:14" x14ac:dyDescent="0.2">
      <c r="B103" s="38"/>
      <c r="C103" s="40" t="s">
        <v>260</v>
      </c>
      <c r="D103" s="40"/>
      <c r="E103" s="40"/>
      <c r="F103" s="40"/>
      <c r="G103" s="40"/>
      <c r="H103" s="40"/>
      <c r="I103" s="40"/>
      <c r="J103" s="248" t="str">
        <f>IF(OR(J101=0,J101="Not Calculated")=TRUE,"Not Calculated",(IF(((J102+J101)/J101)&lt;=1,0,IF(((J102+J101)/J101)&lt;=1.05,1,IF(((J102+J101)/J101)&lt;=1.5, 2,IF(((J102+J101)/J101)&lt;=2,3,4))))))</f>
        <v>Not Calculated</v>
      </c>
      <c r="K103" s="41"/>
    </row>
    <row r="104" spans="2:14" ht="9.75" customHeight="1" x14ac:dyDescent="0.2">
      <c r="B104" s="38"/>
      <c r="C104" s="279" t="str">
        <f>"0:"</f>
        <v>0:</v>
      </c>
      <c r="D104" s="281" t="s">
        <v>918</v>
      </c>
      <c r="E104" s="40"/>
      <c r="F104" s="40"/>
      <c r="G104" s="40"/>
      <c r="H104" s="40"/>
      <c r="I104" s="40"/>
      <c r="J104" s="40"/>
      <c r="K104" s="41"/>
    </row>
    <row r="105" spans="2:14" ht="9.75" customHeight="1" x14ac:dyDescent="0.2">
      <c r="B105" s="38"/>
      <c r="C105" s="280" t="str">
        <f>"1:"</f>
        <v>1:</v>
      </c>
      <c r="D105" s="281" t="s">
        <v>919</v>
      </c>
      <c r="E105" s="40"/>
      <c r="F105" s="40"/>
      <c r="G105" s="40"/>
      <c r="H105" s="40"/>
      <c r="I105" s="40"/>
      <c r="J105" s="40"/>
      <c r="K105" s="41"/>
    </row>
    <row r="106" spans="2:14" ht="9.75" customHeight="1" x14ac:dyDescent="0.2">
      <c r="B106" s="38"/>
      <c r="C106" s="280" t="str">
        <f>"2:"</f>
        <v>2:</v>
      </c>
      <c r="D106" s="281" t="s">
        <v>920</v>
      </c>
      <c r="E106" s="40"/>
      <c r="F106" s="40"/>
      <c r="G106" s="40"/>
      <c r="H106" s="40"/>
      <c r="I106" s="40"/>
      <c r="J106" s="40"/>
      <c r="K106" s="41"/>
    </row>
    <row r="107" spans="2:14" ht="9.75" customHeight="1" x14ac:dyDescent="0.2">
      <c r="B107" s="38"/>
      <c r="C107" s="280" t="str">
        <f>"3:"</f>
        <v>3:</v>
      </c>
      <c r="D107" s="281" t="s">
        <v>921</v>
      </c>
      <c r="E107" s="40"/>
      <c r="F107" s="40"/>
      <c r="G107" s="40"/>
      <c r="H107" s="40"/>
      <c r="I107" s="40"/>
      <c r="J107" s="40"/>
      <c r="K107" s="41"/>
    </row>
    <row r="108" spans="2:14" ht="9.75" customHeight="1" x14ac:dyDescent="0.2">
      <c r="B108" s="38"/>
      <c r="C108" s="280" t="str">
        <f>"4:"</f>
        <v>4:</v>
      </c>
      <c r="D108" s="281" t="s">
        <v>922</v>
      </c>
      <c r="E108" s="40"/>
      <c r="F108" s="40"/>
      <c r="G108" s="40"/>
      <c r="H108" s="40"/>
      <c r="I108" s="40"/>
      <c r="J108" s="40"/>
      <c r="K108" s="41"/>
      <c r="N108" s="12" t="s">
        <v>661</v>
      </c>
    </row>
    <row r="109" spans="2:14" x14ac:dyDescent="0.2">
      <c r="B109" s="38"/>
      <c r="C109" s="174" t="s">
        <v>662</v>
      </c>
      <c r="D109" s="40"/>
      <c r="E109" s="40"/>
      <c r="F109" s="40"/>
      <c r="G109" s="40"/>
      <c r="H109" s="40"/>
      <c r="I109" s="40"/>
      <c r="J109" s="265" t="s">
        <v>661</v>
      </c>
      <c r="K109" s="41"/>
      <c r="N109" s="12" t="s">
        <v>894</v>
      </c>
    </row>
    <row r="110" spans="2:14" x14ac:dyDescent="0.2">
      <c r="B110" s="38"/>
      <c r="C110" s="174" t="s">
        <v>660</v>
      </c>
      <c r="D110" s="40"/>
      <c r="E110" s="40"/>
      <c r="F110" s="40"/>
      <c r="G110" s="40"/>
      <c r="H110" s="40"/>
      <c r="I110" s="40"/>
      <c r="J110" s="246" t="str">
        <f>IF(J109=N108,"N/A",IF(J109=N109,0,IF(J109=N110,1,IF(J109=N111,2,IF(J109=N112,3,IF(J109=N113,4,"N/A"))))))</f>
        <v>N/A</v>
      </c>
      <c r="K110" s="41"/>
      <c r="N110" s="12" t="s">
        <v>895</v>
      </c>
    </row>
    <row r="111" spans="2:14" x14ac:dyDescent="0.2">
      <c r="B111" s="38"/>
      <c r="C111" s="40" t="s">
        <v>257</v>
      </c>
      <c r="D111" s="40"/>
      <c r="E111" s="40"/>
      <c r="F111" s="40"/>
      <c r="G111" s="40"/>
      <c r="H111" s="40"/>
      <c r="I111" s="40"/>
      <c r="J111" s="266"/>
      <c r="K111" s="41"/>
      <c r="N111" s="12" t="s">
        <v>896</v>
      </c>
    </row>
    <row r="112" spans="2:14" x14ac:dyDescent="0.2">
      <c r="B112" s="38"/>
      <c r="C112" s="40" t="s">
        <v>261</v>
      </c>
      <c r="D112" s="40"/>
      <c r="E112" s="40"/>
      <c r="F112" s="40"/>
      <c r="G112" s="40"/>
      <c r="H112" s="40"/>
      <c r="I112" s="40"/>
      <c r="J112" s="245" t="str">
        <f>IF(J111=$B$973,$A$973,IF(J111=$B$974,$A$974,IF(J111=$B$975,$A$975,IF(J111=$B$976,$A$976,IF(J111=$B$977,$A$977,"Not Calculated")))))</f>
        <v>Not Calculated</v>
      </c>
      <c r="K112" s="41"/>
      <c r="N112" s="12" t="s">
        <v>897</v>
      </c>
    </row>
    <row r="113" spans="2:14" x14ac:dyDescent="0.2">
      <c r="B113" s="38"/>
      <c r="C113" s="40" t="s">
        <v>893</v>
      </c>
      <c r="D113" s="40"/>
      <c r="E113" s="40"/>
      <c r="F113" s="40"/>
      <c r="G113" s="40"/>
      <c r="H113" s="40"/>
      <c r="I113" s="40"/>
      <c r="J113" s="175"/>
      <c r="K113" s="41"/>
      <c r="N113" s="12" t="s">
        <v>898</v>
      </c>
    </row>
    <row r="114" spans="2:14" s="178" customFormat="1" x14ac:dyDescent="0.2">
      <c r="B114" s="176"/>
      <c r="C114" s="415"/>
      <c r="D114" s="400"/>
      <c r="E114" s="400"/>
      <c r="F114" s="400"/>
      <c r="G114" s="400"/>
      <c r="H114" s="400"/>
      <c r="I114" s="400"/>
      <c r="J114" s="401"/>
      <c r="K114" s="177"/>
    </row>
    <row r="115" spans="2:14" x14ac:dyDescent="0.2">
      <c r="B115" s="38"/>
      <c r="C115" s="40"/>
      <c r="D115" s="40"/>
      <c r="E115" s="40"/>
      <c r="F115" s="40"/>
      <c r="G115" s="40"/>
      <c r="H115" s="40"/>
      <c r="I115" s="40"/>
      <c r="J115" s="40"/>
      <c r="K115" s="41"/>
    </row>
    <row r="116" spans="2:14" x14ac:dyDescent="0.2">
      <c r="B116" s="38"/>
      <c r="C116" s="179" t="s">
        <v>266</v>
      </c>
      <c r="D116" s="40"/>
      <c r="E116" s="40"/>
      <c r="F116" s="40"/>
      <c r="G116" s="40"/>
      <c r="H116" s="40"/>
      <c r="I116" s="40"/>
      <c r="J116" s="245" t="str">
        <f>IF(J110="N/A",IF(OR(J103="Not Calculated",J112="Not Calculated")=TRUE,"Not Calculated",AVERAGE(J103,J112)),AVERAGE(J110,J112))</f>
        <v>Not Calculated</v>
      </c>
      <c r="K116" s="41"/>
    </row>
    <row r="117" spans="2:14" x14ac:dyDescent="0.2">
      <c r="B117" s="38"/>
      <c r="C117" s="40"/>
      <c r="D117" s="40"/>
      <c r="E117" s="40"/>
      <c r="F117" s="40"/>
      <c r="G117" s="40"/>
      <c r="H117" s="40"/>
      <c r="I117" s="40"/>
      <c r="J117" s="40"/>
      <c r="K117" s="41"/>
    </row>
    <row r="118" spans="2:14" x14ac:dyDescent="0.2">
      <c r="B118" s="38"/>
      <c r="C118" s="40"/>
      <c r="D118" s="40"/>
      <c r="E118" s="40"/>
      <c r="F118" s="40"/>
      <c r="G118" s="40"/>
      <c r="H118" s="40"/>
      <c r="I118" s="40"/>
      <c r="J118" s="40"/>
      <c r="K118" s="41"/>
    </row>
    <row r="119" spans="2:14" ht="16" x14ac:dyDescent="0.2">
      <c r="B119" s="38"/>
      <c r="C119" s="45" t="s">
        <v>262</v>
      </c>
      <c r="D119" s="40"/>
      <c r="E119" s="40"/>
      <c r="F119" s="40"/>
      <c r="G119" s="40"/>
      <c r="H119" s="40"/>
      <c r="I119" s="40"/>
      <c r="J119" s="40"/>
      <c r="K119" s="41"/>
    </row>
    <row r="120" spans="2:14" ht="15" customHeight="1" x14ac:dyDescent="0.2">
      <c r="B120" s="38"/>
      <c r="C120" s="422" t="s">
        <v>268</v>
      </c>
      <c r="D120" s="422"/>
      <c r="E120" s="422"/>
      <c r="F120" s="422"/>
      <c r="G120" s="422"/>
      <c r="H120" s="422"/>
      <c r="I120" s="422"/>
      <c r="J120" s="422"/>
      <c r="K120" s="41"/>
    </row>
    <row r="121" spans="2:14" x14ac:dyDescent="0.2">
      <c r="B121" s="38"/>
      <c r="C121" s="422"/>
      <c r="D121" s="422"/>
      <c r="E121" s="422"/>
      <c r="F121" s="422"/>
      <c r="G121" s="422"/>
      <c r="H121" s="422"/>
      <c r="I121" s="422"/>
      <c r="J121" s="422"/>
      <c r="K121" s="41"/>
    </row>
    <row r="122" spans="2:14" x14ac:dyDescent="0.2">
      <c r="B122" s="38"/>
      <c r="C122" s="423"/>
      <c r="D122" s="423"/>
      <c r="E122" s="423"/>
      <c r="F122" s="423"/>
      <c r="G122" s="423"/>
      <c r="H122" s="423"/>
      <c r="I122" s="423"/>
      <c r="J122" s="423"/>
      <c r="K122" s="41"/>
    </row>
    <row r="123" spans="2:14" ht="15" customHeight="1" x14ac:dyDescent="0.2">
      <c r="B123" s="38"/>
      <c r="C123" s="416"/>
      <c r="D123" s="417"/>
      <c r="E123" s="417"/>
      <c r="F123" s="417"/>
      <c r="G123" s="417"/>
      <c r="H123" s="417"/>
      <c r="I123" s="417"/>
      <c r="J123" s="418"/>
      <c r="K123" s="41"/>
    </row>
    <row r="124" spans="2:14" x14ac:dyDescent="0.2">
      <c r="B124" s="38"/>
      <c r="C124" s="419"/>
      <c r="D124" s="420"/>
      <c r="E124" s="420"/>
      <c r="F124" s="420"/>
      <c r="G124" s="420"/>
      <c r="H124" s="420"/>
      <c r="I124" s="420"/>
      <c r="J124" s="421"/>
      <c r="K124" s="41"/>
    </row>
    <row r="125" spans="2:14" ht="15" customHeight="1" x14ac:dyDescent="0.2">
      <c r="B125" s="38"/>
      <c r="C125" s="40" t="s">
        <v>260</v>
      </c>
      <c r="D125" s="40"/>
      <c r="E125" s="40"/>
      <c r="F125" s="40"/>
      <c r="G125" s="40"/>
      <c r="H125" s="40"/>
      <c r="I125" s="40"/>
      <c r="J125" s="247" t="str">
        <f>IF(C123=B987,A987,IF(C123=B988,A988,IF(C123=B989,A989,IF(C123=B990,A990,IF(C123=B991,A991,"Not Calculated")))))</f>
        <v>Not Calculated</v>
      </c>
      <c r="K125" s="41"/>
    </row>
    <row r="126" spans="2:14" ht="15" customHeight="1" x14ac:dyDescent="0.2">
      <c r="B126" s="38"/>
      <c r="C126" s="40" t="s">
        <v>257</v>
      </c>
      <c r="D126" s="40"/>
      <c r="E126" s="40"/>
      <c r="F126" s="40"/>
      <c r="G126" s="40"/>
      <c r="H126" s="40"/>
      <c r="I126" s="40"/>
      <c r="J126" s="266"/>
      <c r="K126" s="41"/>
    </row>
    <row r="127" spans="2:14" x14ac:dyDescent="0.2">
      <c r="B127" s="38"/>
      <c r="C127" s="40" t="s">
        <v>261</v>
      </c>
      <c r="D127" s="40"/>
      <c r="E127" s="40"/>
      <c r="F127" s="40"/>
      <c r="G127" s="40"/>
      <c r="H127" s="40"/>
      <c r="I127" s="40"/>
      <c r="J127" s="245" t="str">
        <f>IF(J126=$B$973,$A$973,IF(J126=$B$974,$A$974,IF(J126=$B$975,$A$975,IF(J126=$B$976,$A$976,IF(J126=$B$977,$A$977,"Not Calculated")))))</f>
        <v>Not Calculated</v>
      </c>
      <c r="K127" s="41"/>
    </row>
    <row r="128" spans="2:14" ht="15" customHeight="1" x14ac:dyDescent="0.2">
      <c r="B128" s="38"/>
      <c r="C128" s="40" t="s">
        <v>893</v>
      </c>
      <c r="D128" s="40"/>
      <c r="E128" s="40"/>
      <c r="F128" s="40"/>
      <c r="G128" s="40"/>
      <c r="H128" s="40"/>
      <c r="I128" s="40"/>
      <c r="J128" s="175"/>
      <c r="K128" s="41"/>
    </row>
    <row r="129" spans="2:11" s="178" customFormat="1" ht="15" customHeight="1" x14ac:dyDescent="0.2">
      <c r="B129" s="176"/>
      <c r="C129" s="415"/>
      <c r="D129" s="400"/>
      <c r="E129" s="400"/>
      <c r="F129" s="400"/>
      <c r="G129" s="400"/>
      <c r="H129" s="400"/>
      <c r="I129" s="400"/>
      <c r="J129" s="401"/>
      <c r="K129" s="177"/>
    </row>
    <row r="130" spans="2:11" x14ac:dyDescent="0.2">
      <c r="B130" s="38"/>
      <c r="C130" s="40"/>
      <c r="D130" s="40"/>
      <c r="E130" s="40"/>
      <c r="F130" s="40"/>
      <c r="G130" s="40"/>
      <c r="H130" s="40"/>
      <c r="I130" s="40"/>
      <c r="J130" s="40"/>
      <c r="K130" s="41"/>
    </row>
    <row r="131" spans="2:11" x14ac:dyDescent="0.2">
      <c r="B131" s="38"/>
      <c r="C131" s="179" t="s">
        <v>267</v>
      </c>
      <c r="D131" s="40"/>
      <c r="E131" s="40"/>
      <c r="F131" s="40"/>
      <c r="G131" s="40"/>
      <c r="H131" s="40"/>
      <c r="I131" s="40"/>
      <c r="J131" s="245" t="str">
        <f>IF(OR(J125="Not Calculated",J127="Not Calculated")=TRUE,"Not Calculated",AVERAGE(J125,J127))</f>
        <v>Not Calculated</v>
      </c>
      <c r="K131" s="41"/>
    </row>
    <row r="132" spans="2:11" x14ac:dyDescent="0.2">
      <c r="B132" s="38"/>
      <c r="C132" s="179"/>
      <c r="D132" s="40"/>
      <c r="E132" s="40"/>
      <c r="F132" s="40"/>
      <c r="G132" s="40"/>
      <c r="H132" s="40"/>
      <c r="I132" s="40"/>
      <c r="J132" s="245"/>
      <c r="K132" s="41"/>
    </row>
    <row r="133" spans="2:11" ht="18" x14ac:dyDescent="0.2">
      <c r="B133" s="38"/>
      <c r="C133" s="180" t="s">
        <v>269</v>
      </c>
      <c r="D133" s="40"/>
      <c r="E133" s="40"/>
      <c r="F133" s="40"/>
      <c r="G133" s="40"/>
      <c r="H133" s="40"/>
      <c r="I133" s="40"/>
      <c r="J133" s="244" t="str">
        <f>IF(OR(J40="Not Calculated",J59="Not Calculated",J78="Not Calculated",J97="Not Calculated",J116="Not Calculated",J131="Not Calculated",)=TRUE,"Not Calculated",AVERAGE(J40,J59,J78,J97,J116,J131))</f>
        <v>Not Calculated</v>
      </c>
      <c r="K133" s="41"/>
    </row>
    <row r="134" spans="2:11" ht="16" thickBot="1" x14ac:dyDescent="0.25">
      <c r="B134" s="46"/>
      <c r="C134" s="47"/>
      <c r="D134" s="47"/>
      <c r="E134" s="47"/>
      <c r="F134" s="47"/>
      <c r="G134" s="47"/>
      <c r="H134" s="47"/>
      <c r="I134" s="47"/>
      <c r="J134" s="47"/>
      <c r="K134" s="49"/>
    </row>
    <row r="135" spans="2:11" ht="16" thickBot="1" x14ac:dyDescent="0.25"/>
    <row r="136" spans="2:11" x14ac:dyDescent="0.2">
      <c r="B136" s="33"/>
      <c r="C136" s="34"/>
      <c r="D136" s="34"/>
      <c r="E136" s="34"/>
      <c r="F136" s="34"/>
      <c r="G136" s="34"/>
      <c r="H136" s="34"/>
      <c r="I136" s="34"/>
      <c r="J136" s="34"/>
      <c r="K136" s="37"/>
    </row>
    <row r="137" spans="2:11" ht="21" x14ac:dyDescent="0.25">
      <c r="B137" s="38"/>
      <c r="C137" s="171"/>
      <c r="D137" s="40"/>
      <c r="E137" s="40"/>
      <c r="F137" s="40"/>
      <c r="G137" s="172" t="s">
        <v>27</v>
      </c>
      <c r="H137" s="40"/>
      <c r="I137" s="40"/>
      <c r="J137" s="40"/>
      <c r="K137" s="41"/>
    </row>
    <row r="138" spans="2:11" x14ac:dyDescent="0.2">
      <c r="B138" s="38"/>
      <c r="C138" s="40"/>
      <c r="D138" s="40"/>
      <c r="E138" s="40"/>
      <c r="F138" s="40"/>
      <c r="G138" s="40"/>
      <c r="H138" s="40"/>
      <c r="I138" s="40"/>
      <c r="J138" s="40"/>
      <c r="K138" s="41"/>
    </row>
    <row r="139" spans="2:11" ht="16" x14ac:dyDescent="0.2">
      <c r="B139" s="38"/>
      <c r="C139" s="45" t="s">
        <v>72</v>
      </c>
      <c r="D139" s="40"/>
      <c r="E139" s="40"/>
      <c r="F139" s="40"/>
      <c r="G139" s="40"/>
      <c r="H139" s="40"/>
      <c r="I139" s="40"/>
      <c r="J139" s="40"/>
      <c r="K139" s="41"/>
    </row>
    <row r="140" spans="2:11" x14ac:dyDescent="0.2">
      <c r="B140" s="38"/>
      <c r="C140" s="40" t="s">
        <v>440</v>
      </c>
      <c r="D140" s="40"/>
      <c r="E140" s="40"/>
      <c r="F140" s="40"/>
      <c r="G140" s="40"/>
      <c r="H140" s="40"/>
      <c r="I140" s="40"/>
      <c r="J140" s="252">
        <f>'Baseline Health'!G45</f>
        <v>0</v>
      </c>
      <c r="K140" s="41"/>
    </row>
    <row r="141" spans="2:11" x14ac:dyDescent="0.2">
      <c r="B141" s="38"/>
      <c r="C141" s="40" t="s">
        <v>270</v>
      </c>
      <c r="D141" s="40"/>
      <c r="E141" s="40"/>
      <c r="F141" s="40"/>
      <c r="G141" s="40"/>
      <c r="H141" s="40"/>
      <c r="I141" s="40"/>
      <c r="J141" s="264"/>
      <c r="K141" s="41"/>
    </row>
    <row r="142" spans="2:11" x14ac:dyDescent="0.2">
      <c r="B142" s="38"/>
      <c r="C142" s="40" t="s">
        <v>439</v>
      </c>
      <c r="D142" s="40"/>
      <c r="E142" s="40"/>
      <c r="F142" s="40"/>
      <c r="G142" s="40"/>
      <c r="H142" s="40"/>
      <c r="I142" s="40"/>
      <c r="J142" s="251">
        <f>J83/20</f>
        <v>0</v>
      </c>
      <c r="K142" s="41"/>
    </row>
    <row r="143" spans="2:11" x14ac:dyDescent="0.2">
      <c r="B143" s="38"/>
      <c r="C143" s="40"/>
      <c r="D143" s="40" t="s">
        <v>351</v>
      </c>
      <c r="E143" s="40"/>
      <c r="F143" s="40"/>
      <c r="G143" s="40"/>
      <c r="H143" s="40"/>
      <c r="I143" s="40"/>
      <c r="J143" s="40"/>
      <c r="K143" s="41"/>
    </row>
    <row r="144" spans="2:11" x14ac:dyDescent="0.2">
      <c r="B144" s="38"/>
      <c r="C144" s="40" t="s">
        <v>260</v>
      </c>
      <c r="D144" s="40"/>
      <c r="E144" s="40"/>
      <c r="F144" s="40"/>
      <c r="G144" s="40"/>
      <c r="H144" s="40"/>
      <c r="I144" s="40"/>
      <c r="J144" s="245" t="str">
        <f>IF(OR(J140=0,J140="Not Calculated")=TRUE,"Not Calculated",IF((J140-J141)&lt;=0,4,IF(((J140+J142)/(J140-J141))&lt;=1,0,IF(((J140+J142)/(J140-J141))&lt;=1.05,1,IF(((J140+J142)/(J140-J141))&lt;=1.5, 2,IF(((J140+J142)/(J140-J141))&lt;=2,3,4))))))</f>
        <v>Not Calculated</v>
      </c>
      <c r="K144" s="41"/>
    </row>
    <row r="145" spans="2:14" ht="9.75" customHeight="1" x14ac:dyDescent="0.2">
      <c r="B145" s="38"/>
      <c r="C145" s="279" t="str">
        <f>"0:"</f>
        <v>0:</v>
      </c>
      <c r="D145" s="278" t="s">
        <v>918</v>
      </c>
      <c r="E145" s="40"/>
      <c r="F145" s="40"/>
      <c r="G145" s="40"/>
      <c r="H145" s="40"/>
      <c r="I145" s="40"/>
      <c r="J145" s="40"/>
      <c r="K145" s="41"/>
    </row>
    <row r="146" spans="2:14" ht="9.75" customHeight="1" x14ac:dyDescent="0.2">
      <c r="B146" s="38"/>
      <c r="C146" s="280" t="str">
        <f>"1:"</f>
        <v>1:</v>
      </c>
      <c r="D146" s="278" t="s">
        <v>923</v>
      </c>
      <c r="E146" s="40"/>
      <c r="F146" s="40"/>
      <c r="G146" s="40"/>
      <c r="H146" s="40"/>
      <c r="I146" s="40"/>
      <c r="J146" s="40"/>
      <c r="K146" s="41"/>
    </row>
    <row r="147" spans="2:14" ht="9.75" customHeight="1" x14ac:dyDescent="0.2">
      <c r="B147" s="38"/>
      <c r="C147" s="280" t="str">
        <f>"2:"</f>
        <v>2:</v>
      </c>
      <c r="D147" s="278" t="s">
        <v>924</v>
      </c>
      <c r="E147" s="40"/>
      <c r="F147" s="40"/>
      <c r="G147" s="40"/>
      <c r="H147" s="40"/>
      <c r="I147" s="40"/>
      <c r="J147" s="40"/>
      <c r="K147" s="41"/>
    </row>
    <row r="148" spans="2:14" ht="9.75" customHeight="1" x14ac:dyDescent="0.2">
      <c r="B148" s="38"/>
      <c r="C148" s="280" t="str">
        <f>"3:"</f>
        <v>3:</v>
      </c>
      <c r="D148" s="278" t="s">
        <v>925</v>
      </c>
      <c r="E148" s="40"/>
      <c r="F148" s="40"/>
      <c r="G148" s="40"/>
      <c r="H148" s="40"/>
      <c r="I148" s="40"/>
      <c r="J148" s="40"/>
      <c r="K148" s="41"/>
    </row>
    <row r="149" spans="2:14" ht="9.75" customHeight="1" x14ac:dyDescent="0.2">
      <c r="B149" s="38"/>
      <c r="C149" s="280" t="str">
        <f>"4:"</f>
        <v>4:</v>
      </c>
      <c r="D149" s="278" t="s">
        <v>926</v>
      </c>
      <c r="E149" s="40"/>
      <c r="F149" s="40"/>
      <c r="G149" s="40"/>
      <c r="H149" s="40"/>
      <c r="I149" s="40"/>
      <c r="J149" s="40"/>
      <c r="K149" s="41"/>
      <c r="N149" s="12" t="s">
        <v>661</v>
      </c>
    </row>
    <row r="150" spans="2:14" x14ac:dyDescent="0.2">
      <c r="B150" s="38"/>
      <c r="C150" s="174" t="s">
        <v>662</v>
      </c>
      <c r="D150" s="40"/>
      <c r="E150" s="40"/>
      <c r="F150" s="40"/>
      <c r="G150" s="40"/>
      <c r="H150" s="40"/>
      <c r="I150" s="40"/>
      <c r="J150" s="265" t="s">
        <v>661</v>
      </c>
      <c r="K150" s="41"/>
      <c r="N150" s="12" t="s">
        <v>894</v>
      </c>
    </row>
    <row r="151" spans="2:14" x14ac:dyDescent="0.2">
      <c r="B151" s="38"/>
      <c r="C151" s="174" t="s">
        <v>660</v>
      </c>
      <c r="D151" s="40"/>
      <c r="E151" s="40"/>
      <c r="F151" s="40"/>
      <c r="G151" s="40"/>
      <c r="H151" s="40"/>
      <c r="I151" s="40"/>
      <c r="J151" s="246" t="str">
        <f>IF(J150=N149,"N/A",IF(J150=N150,0,IF(J150=N151,1,IF(J150=N152,2,IF(J150=N153,3,IF(J150=N154,4,"N/A"))))))</f>
        <v>N/A</v>
      </c>
      <c r="K151" s="41"/>
      <c r="N151" s="12" t="s">
        <v>899</v>
      </c>
    </row>
    <row r="152" spans="2:14" x14ac:dyDescent="0.2">
      <c r="B152" s="38"/>
      <c r="C152" s="40" t="s">
        <v>257</v>
      </c>
      <c r="D152" s="40"/>
      <c r="E152" s="40"/>
      <c r="F152" s="40"/>
      <c r="G152" s="40"/>
      <c r="H152" s="40"/>
      <c r="I152" s="40"/>
      <c r="J152" s="266"/>
      <c r="K152" s="41"/>
      <c r="N152" s="12" t="s">
        <v>900</v>
      </c>
    </row>
    <row r="153" spans="2:14" x14ac:dyDescent="0.2">
      <c r="B153" s="38"/>
      <c r="C153" s="40" t="s">
        <v>261</v>
      </c>
      <c r="D153" s="40"/>
      <c r="E153" s="40"/>
      <c r="F153" s="40"/>
      <c r="G153" s="40"/>
      <c r="H153" s="40"/>
      <c r="I153" s="40"/>
      <c r="J153" s="245" t="str">
        <f>IF(J152=$B$973,$A$973,IF(J152=$B$974,$A$974,IF(J152=$B$975,$A$975,IF(J152=$B$976,$A$976,IF(J152=$B$977,$A$977,"Not Calculated")))))</f>
        <v>Not Calculated</v>
      </c>
      <c r="K153" s="41"/>
      <c r="N153" s="12" t="s">
        <v>901</v>
      </c>
    </row>
    <row r="154" spans="2:14" x14ac:dyDescent="0.2">
      <c r="B154" s="38"/>
      <c r="C154" s="40" t="s">
        <v>893</v>
      </c>
      <c r="D154" s="40"/>
      <c r="E154" s="40"/>
      <c r="F154" s="40"/>
      <c r="G154" s="40"/>
      <c r="H154" s="40"/>
      <c r="I154" s="40"/>
      <c r="J154" s="40"/>
      <c r="K154" s="41"/>
      <c r="N154" s="12" t="s">
        <v>902</v>
      </c>
    </row>
    <row r="155" spans="2:14" ht="15" customHeight="1" x14ac:dyDescent="0.2">
      <c r="B155" s="38"/>
      <c r="C155" s="399"/>
      <c r="D155" s="400"/>
      <c r="E155" s="400"/>
      <c r="F155" s="400"/>
      <c r="G155" s="400"/>
      <c r="H155" s="400"/>
      <c r="I155" s="400"/>
      <c r="J155" s="401"/>
      <c r="K155" s="41"/>
    </row>
    <row r="156" spans="2:14" x14ac:dyDescent="0.2">
      <c r="B156" s="38"/>
      <c r="C156" s="40"/>
      <c r="D156" s="40"/>
      <c r="E156" s="40"/>
      <c r="F156" s="40"/>
      <c r="G156" s="40"/>
      <c r="H156" s="40"/>
      <c r="I156" s="40"/>
      <c r="J156" s="40"/>
      <c r="K156" s="41"/>
    </row>
    <row r="157" spans="2:14" x14ac:dyDescent="0.2">
      <c r="B157" s="38"/>
      <c r="C157" s="179" t="s">
        <v>271</v>
      </c>
      <c r="D157" s="40"/>
      <c r="E157" s="40"/>
      <c r="F157" s="40"/>
      <c r="G157" s="40"/>
      <c r="H157" s="40"/>
      <c r="I157" s="40"/>
      <c r="J157" s="245" t="str">
        <f>IF(J151="N/A",IF(OR(J144="Not Calculated",J153="Not Calculated")=TRUE,"Not Calculated",AVERAGE(J144,J153)),AVERAGE(J151,J153))</f>
        <v>Not Calculated</v>
      </c>
      <c r="K157" s="41"/>
    </row>
    <row r="158" spans="2:14" x14ac:dyDescent="0.2">
      <c r="B158" s="38"/>
      <c r="C158" s="40"/>
      <c r="D158" s="40"/>
      <c r="E158" s="40"/>
      <c r="F158" s="40"/>
      <c r="G158" s="40"/>
      <c r="H158" s="40"/>
      <c r="I158" s="40"/>
      <c r="J158" s="40"/>
      <c r="K158" s="41"/>
    </row>
    <row r="159" spans="2:14" x14ac:dyDescent="0.2">
      <c r="B159" s="38"/>
      <c r="C159" s="40"/>
      <c r="D159" s="40"/>
      <c r="E159" s="40"/>
      <c r="F159" s="40"/>
      <c r="G159" s="40"/>
      <c r="H159" s="40"/>
      <c r="I159" s="40"/>
      <c r="J159" s="40"/>
      <c r="K159" s="41"/>
    </row>
    <row r="160" spans="2:14" ht="16" x14ac:dyDescent="0.2">
      <c r="B160" s="38"/>
      <c r="C160" s="45" t="s">
        <v>273</v>
      </c>
      <c r="D160" s="40"/>
      <c r="E160" s="40"/>
      <c r="F160" s="40"/>
      <c r="G160" s="40"/>
      <c r="H160" s="40"/>
      <c r="I160" s="40"/>
      <c r="J160" s="40"/>
      <c r="K160" s="41"/>
    </row>
    <row r="161" spans="2:14" x14ac:dyDescent="0.2">
      <c r="B161" s="38"/>
      <c r="C161" s="40" t="s">
        <v>441</v>
      </c>
      <c r="D161" s="40"/>
      <c r="E161" s="40"/>
      <c r="F161" s="40"/>
      <c r="G161" s="40"/>
      <c r="H161" s="40"/>
      <c r="I161" s="40"/>
      <c r="J161" s="252">
        <f>'Baseline Health'!G51</f>
        <v>0</v>
      </c>
      <c r="K161" s="41"/>
    </row>
    <row r="162" spans="2:14" x14ac:dyDescent="0.2">
      <c r="B162" s="38"/>
      <c r="C162" s="40" t="s">
        <v>280</v>
      </c>
      <c r="D162" s="40"/>
      <c r="E162" s="40"/>
      <c r="F162" s="40"/>
      <c r="G162" s="40"/>
      <c r="H162" s="40"/>
      <c r="I162" s="40"/>
      <c r="J162" s="264"/>
      <c r="K162" s="41"/>
    </row>
    <row r="163" spans="2:14" x14ac:dyDescent="0.2">
      <c r="B163" s="38"/>
      <c r="C163" s="40" t="s">
        <v>442</v>
      </c>
      <c r="D163" s="40"/>
      <c r="E163" s="40"/>
      <c r="F163" s="40"/>
      <c r="G163" s="40"/>
      <c r="H163" s="40"/>
      <c r="I163" s="40"/>
      <c r="J163" s="251">
        <f>(J64)/4.5</f>
        <v>0</v>
      </c>
      <c r="K163" s="41"/>
    </row>
    <row r="164" spans="2:14" x14ac:dyDescent="0.2">
      <c r="B164" s="38"/>
      <c r="C164" s="40"/>
      <c r="D164" s="40" t="s">
        <v>353</v>
      </c>
      <c r="E164" s="40"/>
      <c r="F164" s="40"/>
      <c r="G164" s="40"/>
      <c r="H164" s="40"/>
      <c r="I164" s="40"/>
      <c r="J164" s="40"/>
      <c r="K164" s="41"/>
    </row>
    <row r="165" spans="2:14" x14ac:dyDescent="0.2">
      <c r="B165" s="38"/>
      <c r="C165" s="40" t="s">
        <v>260</v>
      </c>
      <c r="D165" s="40"/>
      <c r="E165" s="40"/>
      <c r="F165" s="40"/>
      <c r="G165" s="40"/>
      <c r="H165" s="40"/>
      <c r="I165" s="40"/>
      <c r="J165" s="245" t="str">
        <f>IF(OR(J161=0,J161="Not Calculated")=TRUE,"Not Calculated",IF((J161-J162)&lt;=0,4,IF(((J161+J163)/(J161-J162))&lt;=1,0,IF(((J161+J163)/(J161-J162))&lt;=1.05,1,IF(((J161+J163)/(J161-J162))&lt;=1.5, 2,IF(((J161+J163)/(J161-J162))&lt;=2,3,4))))))</f>
        <v>Not Calculated</v>
      </c>
      <c r="K165" s="41"/>
    </row>
    <row r="166" spans="2:14" ht="9.75" customHeight="1" x14ac:dyDescent="0.2">
      <c r="B166" s="38"/>
      <c r="C166" s="279" t="str">
        <f>"0:"</f>
        <v>0:</v>
      </c>
      <c r="D166" s="278" t="s">
        <v>918</v>
      </c>
      <c r="E166" s="40"/>
      <c r="F166" s="40"/>
      <c r="G166" s="40"/>
      <c r="H166" s="40"/>
      <c r="I166" s="40"/>
      <c r="J166" s="40"/>
      <c r="K166" s="41"/>
    </row>
    <row r="167" spans="2:14" ht="9.75" customHeight="1" x14ac:dyDescent="0.2">
      <c r="B167" s="38"/>
      <c r="C167" s="280" t="str">
        <f>"1:"</f>
        <v>1:</v>
      </c>
      <c r="D167" s="278" t="s">
        <v>923</v>
      </c>
      <c r="E167" s="40"/>
      <c r="F167" s="40"/>
      <c r="G167" s="40"/>
      <c r="H167" s="40"/>
      <c r="I167" s="40"/>
      <c r="J167" s="40"/>
      <c r="K167" s="41"/>
    </row>
    <row r="168" spans="2:14" ht="9.75" customHeight="1" x14ac:dyDescent="0.2">
      <c r="B168" s="38"/>
      <c r="C168" s="280" t="str">
        <f>"2:"</f>
        <v>2:</v>
      </c>
      <c r="D168" s="278" t="s">
        <v>924</v>
      </c>
      <c r="E168" s="40"/>
      <c r="F168" s="40"/>
      <c r="G168" s="40"/>
      <c r="H168" s="40"/>
      <c r="I168" s="40"/>
      <c r="J168" s="40"/>
      <c r="K168" s="41"/>
    </row>
    <row r="169" spans="2:14" ht="9.75" customHeight="1" x14ac:dyDescent="0.2">
      <c r="B169" s="38"/>
      <c r="C169" s="280" t="str">
        <f>"3:"</f>
        <v>3:</v>
      </c>
      <c r="D169" s="278" t="s">
        <v>925</v>
      </c>
      <c r="E169" s="40"/>
      <c r="F169" s="40"/>
      <c r="G169" s="40"/>
      <c r="H169" s="40"/>
      <c r="I169" s="40"/>
      <c r="J169" s="40"/>
      <c r="K169" s="41"/>
    </row>
    <row r="170" spans="2:14" ht="9.75" customHeight="1" x14ac:dyDescent="0.2">
      <c r="B170" s="38"/>
      <c r="C170" s="280" t="str">
        <f>"4:"</f>
        <v>4:</v>
      </c>
      <c r="D170" s="278" t="s">
        <v>926</v>
      </c>
      <c r="E170" s="40"/>
      <c r="F170" s="40"/>
      <c r="G170" s="40"/>
      <c r="H170" s="40"/>
      <c r="I170" s="40"/>
      <c r="J170" s="40"/>
      <c r="K170" s="41"/>
      <c r="N170" s="12" t="s">
        <v>661</v>
      </c>
    </row>
    <row r="171" spans="2:14" x14ac:dyDescent="0.2">
      <c r="B171" s="38"/>
      <c r="C171" s="174" t="s">
        <v>662</v>
      </c>
      <c r="D171" s="40"/>
      <c r="E171" s="40"/>
      <c r="F171" s="40"/>
      <c r="G171" s="40"/>
      <c r="H171" s="40"/>
      <c r="I171" s="40"/>
      <c r="J171" s="265" t="s">
        <v>661</v>
      </c>
      <c r="K171" s="41"/>
      <c r="N171" s="12" t="s">
        <v>894</v>
      </c>
    </row>
    <row r="172" spans="2:14" x14ac:dyDescent="0.2">
      <c r="B172" s="38"/>
      <c r="C172" s="174" t="s">
        <v>660</v>
      </c>
      <c r="D172" s="40"/>
      <c r="E172" s="40"/>
      <c r="F172" s="40"/>
      <c r="G172" s="40"/>
      <c r="H172" s="40"/>
      <c r="I172" s="40"/>
      <c r="J172" s="246" t="str">
        <f>IF(J171=N170,"N/A",IF(J171=N171,0,IF(J171=N172,1,IF(J171=N173,2,IF(J171=N174,3,IF(J171=N175,4,"N/A"))))))</f>
        <v>N/A</v>
      </c>
      <c r="K172" s="41"/>
      <c r="N172" s="12" t="s">
        <v>899</v>
      </c>
    </row>
    <row r="173" spans="2:14" x14ac:dyDescent="0.2">
      <c r="B173" s="38"/>
      <c r="C173" s="40" t="s">
        <v>257</v>
      </c>
      <c r="D173" s="40"/>
      <c r="E173" s="40"/>
      <c r="F173" s="40"/>
      <c r="G173" s="40"/>
      <c r="H173" s="40"/>
      <c r="I173" s="40"/>
      <c r="J173" s="266"/>
      <c r="K173" s="41"/>
      <c r="N173" s="12" t="s">
        <v>900</v>
      </c>
    </row>
    <row r="174" spans="2:14" x14ac:dyDescent="0.2">
      <c r="B174" s="38"/>
      <c r="C174" s="40" t="s">
        <v>261</v>
      </c>
      <c r="D174" s="40"/>
      <c r="E174" s="40"/>
      <c r="F174" s="40"/>
      <c r="G174" s="40"/>
      <c r="H174" s="40"/>
      <c r="I174" s="40"/>
      <c r="J174" s="245" t="str">
        <f>IF(J173=$B$973,$A$973,IF(J173=$B$974,$A$974,IF(J173=$B$975,$A$975,IF(J173=$B$976,$A$976,IF(J173=$B$977,$A$977,"Not Calculated")))))</f>
        <v>Not Calculated</v>
      </c>
      <c r="K174" s="41"/>
      <c r="N174" s="12" t="s">
        <v>901</v>
      </c>
    </row>
    <row r="175" spans="2:14" x14ac:dyDescent="0.2">
      <c r="B175" s="38"/>
      <c r="C175" s="40" t="s">
        <v>893</v>
      </c>
      <c r="D175" s="40"/>
      <c r="E175" s="40"/>
      <c r="F175" s="40"/>
      <c r="G175" s="40"/>
      <c r="H175" s="40"/>
      <c r="I175" s="40"/>
      <c r="J175" s="40"/>
      <c r="K175" s="41"/>
      <c r="N175" s="12" t="s">
        <v>902</v>
      </c>
    </row>
    <row r="176" spans="2:14" ht="15" customHeight="1" x14ac:dyDescent="0.2">
      <c r="B176" s="38"/>
      <c r="C176" s="399"/>
      <c r="D176" s="400"/>
      <c r="E176" s="400"/>
      <c r="F176" s="400"/>
      <c r="G176" s="400"/>
      <c r="H176" s="400"/>
      <c r="I176" s="400"/>
      <c r="J176" s="401"/>
      <c r="K176" s="41"/>
    </row>
    <row r="177" spans="2:14" x14ac:dyDescent="0.2">
      <c r="B177" s="38"/>
      <c r="C177" s="40"/>
      <c r="D177" s="40"/>
      <c r="E177" s="40"/>
      <c r="F177" s="40"/>
      <c r="G177" s="40"/>
      <c r="H177" s="40"/>
      <c r="I177" s="40"/>
      <c r="J177" s="40"/>
      <c r="K177" s="41"/>
    </row>
    <row r="178" spans="2:14" x14ac:dyDescent="0.2">
      <c r="B178" s="38"/>
      <c r="C178" s="179" t="s">
        <v>274</v>
      </c>
      <c r="D178" s="40"/>
      <c r="E178" s="40"/>
      <c r="F178" s="40"/>
      <c r="G178" s="40"/>
      <c r="H178" s="40"/>
      <c r="I178" s="40"/>
      <c r="J178" s="245" t="str">
        <f>IF(J172="N/A",IF(OR(J165="Not Calculated",J174="Not Calculated")=TRUE,"Not Calculated",AVERAGE(J165,J174)),AVERAGE(J172,J174))</f>
        <v>Not Calculated</v>
      </c>
      <c r="K178" s="41"/>
    </row>
    <row r="179" spans="2:14" x14ac:dyDescent="0.2">
      <c r="B179" s="38"/>
      <c r="C179" s="40"/>
      <c r="D179" s="40"/>
      <c r="E179" s="40"/>
      <c r="F179" s="40"/>
      <c r="G179" s="40"/>
      <c r="H179" s="40"/>
      <c r="I179" s="40"/>
      <c r="J179" s="40"/>
      <c r="K179" s="41"/>
    </row>
    <row r="180" spans="2:14" x14ac:dyDescent="0.2">
      <c r="B180" s="38"/>
      <c r="C180" s="40"/>
      <c r="D180" s="40"/>
      <c r="E180" s="40"/>
      <c r="F180" s="40"/>
      <c r="G180" s="40"/>
      <c r="H180" s="40"/>
      <c r="I180" s="40"/>
      <c r="J180" s="40"/>
      <c r="K180" s="41"/>
    </row>
    <row r="181" spans="2:14" ht="16" x14ac:dyDescent="0.2">
      <c r="B181" s="38"/>
      <c r="C181" s="45" t="s">
        <v>74</v>
      </c>
      <c r="D181" s="40"/>
      <c r="E181" s="40"/>
      <c r="F181" s="40"/>
      <c r="G181" s="40"/>
      <c r="H181" s="40"/>
      <c r="I181" s="40"/>
      <c r="J181" s="40"/>
      <c r="K181" s="41"/>
    </row>
    <row r="182" spans="2:14" x14ac:dyDescent="0.2">
      <c r="B182" s="38"/>
      <c r="C182" s="40" t="s">
        <v>443</v>
      </c>
      <c r="D182" s="40"/>
      <c r="E182" s="40"/>
      <c r="F182" s="40"/>
      <c r="G182" s="40"/>
      <c r="H182" s="40"/>
      <c r="I182" s="40"/>
      <c r="J182" s="252">
        <f>'Baseline Health'!G59</f>
        <v>0</v>
      </c>
      <c r="K182" s="41"/>
    </row>
    <row r="183" spans="2:14" x14ac:dyDescent="0.2">
      <c r="B183" s="38"/>
      <c r="C183" s="40" t="s">
        <v>281</v>
      </c>
      <c r="D183" s="40"/>
      <c r="E183" s="40"/>
      <c r="F183" s="40"/>
      <c r="G183" s="40"/>
      <c r="H183" s="40"/>
      <c r="I183" s="40"/>
      <c r="J183" s="264"/>
      <c r="K183" s="41"/>
    </row>
    <row r="184" spans="2:14" x14ac:dyDescent="0.2">
      <c r="B184" s="38"/>
      <c r="C184" s="40" t="s">
        <v>354</v>
      </c>
      <c r="D184" s="40"/>
      <c r="E184" s="40"/>
      <c r="F184" s="40"/>
      <c r="G184" s="40"/>
      <c r="H184" s="40"/>
      <c r="I184" s="40"/>
      <c r="J184" s="264"/>
      <c r="K184" s="41"/>
    </row>
    <row r="185" spans="2:14" x14ac:dyDescent="0.2">
      <c r="B185" s="38"/>
      <c r="C185" s="40" t="s">
        <v>260</v>
      </c>
      <c r="D185" s="40"/>
      <c r="E185" s="40"/>
      <c r="F185" s="40"/>
      <c r="G185" s="40"/>
      <c r="H185" s="40"/>
      <c r="I185" s="40"/>
      <c r="J185" s="245" t="str">
        <f>IF(OR(J182=0,J182="Not Calculated")=TRUE,"Not Calculated",IF(J182-J183=0,4,IF(((J182+J184)/(J182-J183))&lt;=1,0,IF(((J182+J184)/(J182-J183))&lt;=1.05,1,IF(((J182+J184)/(J182-J183))&lt;=1.5, 2,IF(((J182+J184)/(J182-J183))&lt;=2,3,4))))))</f>
        <v>Not Calculated</v>
      </c>
      <c r="K185" s="41"/>
    </row>
    <row r="186" spans="2:14" ht="9.75" customHeight="1" x14ac:dyDescent="0.2">
      <c r="B186" s="38"/>
      <c r="C186" s="279" t="str">
        <f>"0:"</f>
        <v>0:</v>
      </c>
      <c r="D186" s="278" t="s">
        <v>918</v>
      </c>
      <c r="E186" s="40"/>
      <c r="F186" s="40"/>
      <c r="G186" s="40"/>
      <c r="H186" s="40"/>
      <c r="I186" s="40"/>
      <c r="J186" s="40"/>
      <c r="K186" s="41"/>
    </row>
    <row r="187" spans="2:14" ht="9.75" customHeight="1" x14ac:dyDescent="0.2">
      <c r="B187" s="38"/>
      <c r="C187" s="280" t="str">
        <f>"1:"</f>
        <v>1:</v>
      </c>
      <c r="D187" s="278" t="s">
        <v>923</v>
      </c>
      <c r="E187" s="40"/>
      <c r="F187" s="40"/>
      <c r="G187" s="40"/>
      <c r="H187" s="40"/>
      <c r="I187" s="40"/>
      <c r="J187" s="40"/>
      <c r="K187" s="41"/>
    </row>
    <row r="188" spans="2:14" ht="9.75" customHeight="1" x14ac:dyDescent="0.2">
      <c r="B188" s="38"/>
      <c r="C188" s="280" t="str">
        <f>"2:"</f>
        <v>2:</v>
      </c>
      <c r="D188" s="278" t="s">
        <v>924</v>
      </c>
      <c r="E188" s="40"/>
      <c r="F188" s="40"/>
      <c r="G188" s="40"/>
      <c r="H188" s="40"/>
      <c r="I188" s="40"/>
      <c r="J188" s="40"/>
      <c r="K188" s="41"/>
    </row>
    <row r="189" spans="2:14" ht="9.75" customHeight="1" x14ac:dyDescent="0.2">
      <c r="B189" s="38"/>
      <c r="C189" s="280" t="str">
        <f>"3:"</f>
        <v>3:</v>
      </c>
      <c r="D189" s="278" t="s">
        <v>925</v>
      </c>
      <c r="E189" s="40"/>
      <c r="F189" s="40"/>
      <c r="G189" s="40"/>
      <c r="H189" s="40"/>
      <c r="I189" s="40"/>
      <c r="J189" s="40"/>
      <c r="K189" s="41"/>
    </row>
    <row r="190" spans="2:14" ht="9.75" customHeight="1" x14ac:dyDescent="0.2">
      <c r="B190" s="38"/>
      <c r="C190" s="280" t="str">
        <f>"4:"</f>
        <v>4:</v>
      </c>
      <c r="D190" s="278" t="s">
        <v>926</v>
      </c>
      <c r="E190" s="40"/>
      <c r="F190" s="40"/>
      <c r="G190" s="40"/>
      <c r="H190" s="40"/>
      <c r="I190" s="40"/>
      <c r="J190" s="40"/>
      <c r="K190" s="41"/>
      <c r="N190" s="12" t="s">
        <v>661</v>
      </c>
    </row>
    <row r="191" spans="2:14" x14ac:dyDescent="0.2">
      <c r="B191" s="38"/>
      <c r="C191" s="174" t="s">
        <v>662</v>
      </c>
      <c r="D191" s="40"/>
      <c r="E191" s="40"/>
      <c r="F191" s="40"/>
      <c r="G191" s="40"/>
      <c r="H191" s="40"/>
      <c r="I191" s="40"/>
      <c r="J191" s="265" t="s">
        <v>661</v>
      </c>
      <c r="K191" s="41"/>
      <c r="N191" s="12" t="s">
        <v>894</v>
      </c>
    </row>
    <row r="192" spans="2:14" x14ac:dyDescent="0.2">
      <c r="B192" s="38"/>
      <c r="C192" s="174" t="s">
        <v>660</v>
      </c>
      <c r="D192" s="40"/>
      <c r="E192" s="40"/>
      <c r="F192" s="40"/>
      <c r="G192" s="40"/>
      <c r="H192" s="40"/>
      <c r="I192" s="40"/>
      <c r="J192" s="246" t="str">
        <f>IF(J191=N190,"N/A",IF(J191=N191,0,IF(J191=N192,1,IF(J191=N193,2,IF(J191=N194,3,IF(J191=N195,4,"N/A"))))))</f>
        <v>N/A</v>
      </c>
      <c r="K192" s="41"/>
      <c r="N192" s="12" t="s">
        <v>899</v>
      </c>
    </row>
    <row r="193" spans="2:14" x14ac:dyDescent="0.2">
      <c r="B193" s="38"/>
      <c r="C193" s="40" t="s">
        <v>257</v>
      </c>
      <c r="D193" s="40"/>
      <c r="E193" s="40"/>
      <c r="F193" s="40"/>
      <c r="G193" s="40"/>
      <c r="H193" s="40"/>
      <c r="I193" s="40"/>
      <c r="J193" s="266"/>
      <c r="K193" s="41"/>
      <c r="N193" s="12" t="s">
        <v>900</v>
      </c>
    </row>
    <row r="194" spans="2:14" x14ac:dyDescent="0.2">
      <c r="B194" s="38"/>
      <c r="C194" s="40" t="s">
        <v>261</v>
      </c>
      <c r="D194" s="40"/>
      <c r="E194" s="40"/>
      <c r="F194" s="40"/>
      <c r="G194" s="40"/>
      <c r="H194" s="40"/>
      <c r="I194" s="40"/>
      <c r="J194" s="245" t="str">
        <f>IF(J193=$B$973,$A$973,IF(J193=$B$974,$A$974,IF(J193=$B$975,$A$975,IF(J193=$B$976,$A$976,IF(J193=$B$977,$A$977,"Not Calculated")))))</f>
        <v>Not Calculated</v>
      </c>
      <c r="K194" s="41"/>
      <c r="N194" s="12" t="s">
        <v>901</v>
      </c>
    </row>
    <row r="195" spans="2:14" x14ac:dyDescent="0.2">
      <c r="B195" s="38"/>
      <c r="C195" s="40" t="s">
        <v>893</v>
      </c>
      <c r="D195" s="40"/>
      <c r="E195" s="40"/>
      <c r="F195" s="40"/>
      <c r="G195" s="40"/>
      <c r="H195" s="40"/>
      <c r="I195" s="40"/>
      <c r="J195" s="40"/>
      <c r="K195" s="41"/>
      <c r="N195" s="12" t="s">
        <v>902</v>
      </c>
    </row>
    <row r="196" spans="2:14" x14ac:dyDescent="0.2">
      <c r="B196" s="38"/>
      <c r="C196" s="399"/>
      <c r="D196" s="400"/>
      <c r="E196" s="400"/>
      <c r="F196" s="400"/>
      <c r="G196" s="400"/>
      <c r="H196" s="400"/>
      <c r="I196" s="400"/>
      <c r="J196" s="401"/>
      <c r="K196" s="41"/>
    </row>
    <row r="197" spans="2:14" x14ac:dyDescent="0.2">
      <c r="B197" s="38"/>
      <c r="C197" s="40"/>
      <c r="D197" s="40"/>
      <c r="E197" s="40"/>
      <c r="F197" s="40"/>
      <c r="G197" s="40"/>
      <c r="H197" s="40"/>
      <c r="I197" s="40"/>
      <c r="J197" s="40"/>
      <c r="K197" s="41"/>
    </row>
    <row r="198" spans="2:14" x14ac:dyDescent="0.2">
      <c r="B198" s="38"/>
      <c r="C198" s="179" t="s">
        <v>275</v>
      </c>
      <c r="D198" s="40"/>
      <c r="E198" s="40"/>
      <c r="F198" s="40"/>
      <c r="G198" s="40"/>
      <c r="H198" s="40"/>
      <c r="I198" s="40"/>
      <c r="J198" s="245" t="str">
        <f>IF(J192="N/A",IF(OR(J185="Not Calculated",J194="Not Calculated")=TRUE,"Not Calculated",AVERAGE(J185,J194)),AVERAGE(J192,J194))</f>
        <v>Not Calculated</v>
      </c>
      <c r="K198" s="41"/>
    </row>
    <row r="199" spans="2:14" x14ac:dyDescent="0.2">
      <c r="B199" s="38"/>
      <c r="C199" s="40"/>
      <c r="D199" s="40"/>
      <c r="E199" s="40"/>
      <c r="F199" s="40"/>
      <c r="G199" s="40"/>
      <c r="H199" s="40"/>
      <c r="I199" s="40"/>
      <c r="J199" s="40"/>
      <c r="K199" s="41"/>
    </row>
    <row r="200" spans="2:14" x14ac:dyDescent="0.2">
      <c r="B200" s="38"/>
      <c r="C200" s="40"/>
      <c r="D200" s="40"/>
      <c r="E200" s="40"/>
      <c r="F200" s="40"/>
      <c r="G200" s="40"/>
      <c r="H200" s="40"/>
      <c r="I200" s="40"/>
      <c r="J200" s="40"/>
      <c r="K200" s="41"/>
    </row>
    <row r="201" spans="2:14" ht="16" x14ac:dyDescent="0.2">
      <c r="B201" s="38"/>
      <c r="C201" s="45" t="s">
        <v>75</v>
      </c>
      <c r="D201" s="40"/>
      <c r="E201" s="40"/>
      <c r="F201" s="40"/>
      <c r="G201" s="40"/>
      <c r="H201" s="40"/>
      <c r="I201" s="40"/>
      <c r="J201" s="40"/>
      <c r="K201" s="41"/>
    </row>
    <row r="202" spans="2:14" x14ac:dyDescent="0.2">
      <c r="B202" s="38"/>
      <c r="C202" s="40" t="s">
        <v>444</v>
      </c>
      <c r="D202" s="40"/>
      <c r="E202" s="40"/>
      <c r="F202" s="40"/>
      <c r="G202" s="40"/>
      <c r="H202" s="40"/>
      <c r="I202" s="40"/>
      <c r="J202" s="252">
        <f>'Baseline Health'!G65</f>
        <v>0</v>
      </c>
      <c r="K202" s="41"/>
    </row>
    <row r="203" spans="2:14" x14ac:dyDescent="0.2">
      <c r="B203" s="38"/>
      <c r="C203" s="40" t="s">
        <v>282</v>
      </c>
      <c r="D203" s="40"/>
      <c r="E203" s="40"/>
      <c r="F203" s="40"/>
      <c r="G203" s="40"/>
      <c r="H203" s="40"/>
      <c r="I203" s="40"/>
      <c r="J203" s="264"/>
      <c r="K203" s="41"/>
    </row>
    <row r="204" spans="2:14" x14ac:dyDescent="0.2">
      <c r="B204" s="38"/>
      <c r="C204" s="40" t="s">
        <v>355</v>
      </c>
      <c r="D204" s="40"/>
      <c r="E204" s="40"/>
      <c r="F204" s="40"/>
      <c r="G204" s="40"/>
      <c r="H204" s="40"/>
      <c r="I204" s="40"/>
      <c r="J204" s="264"/>
      <c r="K204" s="41"/>
    </row>
    <row r="205" spans="2:14" x14ac:dyDescent="0.2">
      <c r="B205" s="38"/>
      <c r="C205" s="40" t="s">
        <v>260</v>
      </c>
      <c r="D205" s="40"/>
      <c r="E205" s="40"/>
      <c r="F205" s="40"/>
      <c r="G205" s="40"/>
      <c r="H205" s="40"/>
      <c r="I205" s="40"/>
      <c r="J205" s="245" t="str">
        <f>IF(OR(J202=0,J202="Not Calculated")=TRUE,"Not Calculated",IF(J202-J203=0,4,IF(((J202+J204)/(J202-J203))&lt;=1,0,IF(((J202+J204)/(J202-J203))&lt;=1.05,1,IF(((J202+J204)/(J202-J203))&lt;=1.5, 2,IF(((J202+J204)/(J202-J203))&lt;=2,3,4))))))</f>
        <v>Not Calculated</v>
      </c>
      <c r="K205" s="41"/>
    </row>
    <row r="206" spans="2:14" ht="9.75" customHeight="1" x14ac:dyDescent="0.2">
      <c r="B206" s="38"/>
      <c r="C206" s="279" t="str">
        <f>"0:"</f>
        <v>0:</v>
      </c>
      <c r="D206" s="278" t="s">
        <v>918</v>
      </c>
      <c r="E206" s="40"/>
      <c r="F206" s="40"/>
      <c r="G206" s="40"/>
      <c r="H206" s="40"/>
      <c r="I206" s="40"/>
      <c r="J206" s="40"/>
      <c r="K206" s="41"/>
    </row>
    <row r="207" spans="2:14" ht="9.75" customHeight="1" x14ac:dyDescent="0.2">
      <c r="B207" s="38"/>
      <c r="C207" s="280" t="str">
        <f>"1:"</f>
        <v>1:</v>
      </c>
      <c r="D207" s="278" t="s">
        <v>923</v>
      </c>
      <c r="E207" s="40"/>
      <c r="F207" s="40"/>
      <c r="G207" s="40"/>
      <c r="H207" s="40"/>
      <c r="I207" s="40"/>
      <c r="J207" s="40"/>
      <c r="K207" s="41"/>
    </row>
    <row r="208" spans="2:14" ht="9.75" customHeight="1" x14ac:dyDescent="0.2">
      <c r="B208" s="38"/>
      <c r="C208" s="280" t="str">
        <f>"2:"</f>
        <v>2:</v>
      </c>
      <c r="D208" s="278" t="s">
        <v>924</v>
      </c>
      <c r="E208" s="40"/>
      <c r="F208" s="40"/>
      <c r="G208" s="40"/>
      <c r="H208" s="40"/>
      <c r="I208" s="40"/>
      <c r="J208" s="40"/>
      <c r="K208" s="41"/>
    </row>
    <row r="209" spans="2:14" ht="9.75" customHeight="1" x14ac:dyDescent="0.2">
      <c r="B209" s="38"/>
      <c r="C209" s="280" t="str">
        <f>"3:"</f>
        <v>3:</v>
      </c>
      <c r="D209" s="278" t="s">
        <v>925</v>
      </c>
      <c r="E209" s="40"/>
      <c r="F209" s="40"/>
      <c r="G209" s="40"/>
      <c r="H209" s="40"/>
      <c r="I209" s="40"/>
      <c r="J209" s="40"/>
      <c r="K209" s="41"/>
    </row>
    <row r="210" spans="2:14" ht="9.75" customHeight="1" x14ac:dyDescent="0.2">
      <c r="B210" s="38"/>
      <c r="C210" s="280" t="str">
        <f>"4:"</f>
        <v>4:</v>
      </c>
      <c r="D210" s="278" t="s">
        <v>926</v>
      </c>
      <c r="E210" s="40"/>
      <c r="F210" s="40"/>
      <c r="G210" s="40"/>
      <c r="H210" s="40"/>
      <c r="I210" s="40"/>
      <c r="J210" s="40"/>
      <c r="K210" s="41"/>
      <c r="N210" s="12" t="s">
        <v>661</v>
      </c>
    </row>
    <row r="211" spans="2:14" x14ac:dyDescent="0.2">
      <c r="B211" s="38"/>
      <c r="C211" s="174" t="s">
        <v>662</v>
      </c>
      <c r="D211" s="40"/>
      <c r="E211" s="40"/>
      <c r="F211" s="40"/>
      <c r="G211" s="40"/>
      <c r="H211" s="40"/>
      <c r="I211" s="40"/>
      <c r="J211" s="265" t="s">
        <v>661</v>
      </c>
      <c r="K211" s="41"/>
      <c r="N211" s="12" t="s">
        <v>894</v>
      </c>
    </row>
    <row r="212" spans="2:14" x14ac:dyDescent="0.2">
      <c r="B212" s="38"/>
      <c r="C212" s="174" t="s">
        <v>660</v>
      </c>
      <c r="D212" s="40"/>
      <c r="E212" s="40"/>
      <c r="F212" s="40"/>
      <c r="G212" s="40"/>
      <c r="H212" s="40"/>
      <c r="I212" s="40"/>
      <c r="J212" s="246" t="str">
        <f>IF(J211=N210,"N/A",IF(J211=N211,0,IF(J211=N212,1,IF(J211=N213,2,IF(J211=N214,3,IF(J211=N215,4,"N/A"))))))</f>
        <v>N/A</v>
      </c>
      <c r="K212" s="41"/>
      <c r="N212" s="12" t="s">
        <v>899</v>
      </c>
    </row>
    <row r="213" spans="2:14" x14ac:dyDescent="0.2">
      <c r="B213" s="38"/>
      <c r="C213" s="40" t="s">
        <v>257</v>
      </c>
      <c r="D213" s="40"/>
      <c r="E213" s="40"/>
      <c r="F213" s="40"/>
      <c r="G213" s="40"/>
      <c r="H213" s="40"/>
      <c r="I213" s="40"/>
      <c r="J213" s="266"/>
      <c r="K213" s="41"/>
      <c r="N213" s="12" t="s">
        <v>900</v>
      </c>
    </row>
    <row r="214" spans="2:14" x14ac:dyDescent="0.2">
      <c r="B214" s="38"/>
      <c r="C214" s="40" t="s">
        <v>261</v>
      </c>
      <c r="D214" s="40"/>
      <c r="E214" s="40"/>
      <c r="F214" s="40"/>
      <c r="G214" s="40"/>
      <c r="H214" s="40"/>
      <c r="I214" s="40"/>
      <c r="J214" s="245" t="str">
        <f>IF(J213=$B$973,$A$973,IF(J213=$B$974,$A$974,IF(J213=$B$975,$A$975,IF(J213=$B$976,$A$976,IF(J213=$B$977,$A$977,"Not Calculated")))))</f>
        <v>Not Calculated</v>
      </c>
      <c r="K214" s="41"/>
      <c r="N214" s="12" t="s">
        <v>901</v>
      </c>
    </row>
    <row r="215" spans="2:14" x14ac:dyDescent="0.2">
      <c r="B215" s="38"/>
      <c r="C215" s="40" t="s">
        <v>893</v>
      </c>
      <c r="D215" s="40"/>
      <c r="E215" s="40"/>
      <c r="F215" s="40"/>
      <c r="G215" s="40"/>
      <c r="H215" s="40"/>
      <c r="I215" s="40"/>
      <c r="J215" s="40"/>
      <c r="K215" s="41"/>
      <c r="N215" s="12" t="s">
        <v>902</v>
      </c>
    </row>
    <row r="216" spans="2:14" ht="15" customHeight="1" x14ac:dyDescent="0.2">
      <c r="B216" s="38"/>
      <c r="C216" s="399"/>
      <c r="D216" s="400"/>
      <c r="E216" s="400"/>
      <c r="F216" s="400"/>
      <c r="G216" s="400"/>
      <c r="H216" s="400"/>
      <c r="I216" s="400"/>
      <c r="J216" s="401"/>
      <c r="K216" s="41"/>
    </row>
    <row r="217" spans="2:14" x14ac:dyDescent="0.2">
      <c r="B217" s="38"/>
      <c r="C217" s="40"/>
      <c r="D217" s="40"/>
      <c r="E217" s="40"/>
      <c r="F217" s="40"/>
      <c r="G217" s="40"/>
      <c r="H217" s="40"/>
      <c r="I217" s="40"/>
      <c r="J217" s="40"/>
      <c r="K217" s="41"/>
    </row>
    <row r="218" spans="2:14" x14ac:dyDescent="0.2">
      <c r="B218" s="38"/>
      <c r="C218" s="179" t="s">
        <v>276</v>
      </c>
      <c r="D218" s="40"/>
      <c r="E218" s="40"/>
      <c r="F218" s="40"/>
      <c r="G218" s="40"/>
      <c r="H218" s="40"/>
      <c r="I218" s="40"/>
      <c r="J218" s="245" t="str">
        <f>IF(J212="N/A",IF(OR(J205="Not Calculated",J214="Not Calculated")=TRUE,"Not Calculated",AVERAGE(J205,J214)),AVERAGE(J212,J214))</f>
        <v>Not Calculated</v>
      </c>
      <c r="K218" s="41"/>
    </row>
    <row r="219" spans="2:14" x14ac:dyDescent="0.2">
      <c r="B219" s="38"/>
      <c r="C219" s="40"/>
      <c r="D219" s="40"/>
      <c r="E219" s="40"/>
      <c r="F219" s="40"/>
      <c r="G219" s="40"/>
      <c r="H219" s="40"/>
      <c r="I219" s="40"/>
      <c r="J219" s="40"/>
      <c r="K219" s="41"/>
    </row>
    <row r="220" spans="2:14" x14ac:dyDescent="0.2">
      <c r="B220" s="38"/>
      <c r="C220" s="40"/>
      <c r="D220" s="40"/>
      <c r="E220" s="40"/>
      <c r="F220" s="40"/>
      <c r="G220" s="40"/>
      <c r="H220" s="40"/>
      <c r="I220" s="40"/>
      <c r="J220" s="40"/>
      <c r="K220" s="41"/>
    </row>
    <row r="221" spans="2:14" ht="16" x14ac:dyDescent="0.2">
      <c r="B221" s="38"/>
      <c r="C221" s="45" t="s">
        <v>76</v>
      </c>
      <c r="D221" s="40"/>
      <c r="E221" s="40"/>
      <c r="F221" s="40"/>
      <c r="G221" s="40"/>
      <c r="H221" s="40"/>
      <c r="I221" s="40"/>
      <c r="J221" s="40"/>
      <c r="K221" s="41"/>
    </row>
    <row r="222" spans="2:14" ht="15" customHeight="1" x14ac:dyDescent="0.2">
      <c r="B222" s="38"/>
      <c r="C222" s="40" t="s">
        <v>356</v>
      </c>
      <c r="D222" s="40"/>
      <c r="E222" s="40"/>
      <c r="F222" s="40"/>
      <c r="G222" s="40"/>
      <c r="H222" s="40"/>
      <c r="I222" s="40"/>
      <c r="J222" s="252">
        <f>'Baseline Health'!G71</f>
        <v>0</v>
      </c>
      <c r="K222" s="41"/>
    </row>
    <row r="223" spans="2:14" x14ac:dyDescent="0.2">
      <c r="B223" s="38"/>
      <c r="C223" s="40" t="s">
        <v>357</v>
      </c>
      <c r="D223" s="40"/>
      <c r="E223" s="40"/>
      <c r="F223" s="40"/>
      <c r="G223" s="40"/>
      <c r="H223" s="40"/>
      <c r="I223" s="40"/>
      <c r="J223" s="264"/>
      <c r="K223" s="41"/>
    </row>
    <row r="224" spans="2:14" x14ac:dyDescent="0.2">
      <c r="B224" s="38"/>
      <c r="C224" s="40" t="s">
        <v>445</v>
      </c>
      <c r="D224" s="40"/>
      <c r="E224" s="40"/>
      <c r="F224" s="40"/>
      <c r="G224" s="40"/>
      <c r="H224" s="40"/>
      <c r="I224" s="40"/>
      <c r="J224" s="251">
        <f>J102</f>
        <v>0</v>
      </c>
      <c r="K224" s="41"/>
    </row>
    <row r="225" spans="2:14" x14ac:dyDescent="0.2">
      <c r="B225" s="38"/>
      <c r="C225" s="40"/>
      <c r="D225" s="40" t="s">
        <v>446</v>
      </c>
      <c r="E225" s="40"/>
      <c r="F225" s="40"/>
      <c r="G225" s="40"/>
      <c r="H225" s="40"/>
      <c r="I225" s="40"/>
      <c r="J225" s="40"/>
      <c r="K225" s="41"/>
    </row>
    <row r="226" spans="2:14" x14ac:dyDescent="0.2">
      <c r="B226" s="38"/>
      <c r="C226" s="40" t="s">
        <v>260</v>
      </c>
      <c r="D226" s="40"/>
      <c r="E226" s="40"/>
      <c r="F226" s="40"/>
      <c r="G226" s="40"/>
      <c r="H226" s="40"/>
      <c r="I226" s="40"/>
      <c r="J226" s="245" t="str">
        <f>IF(OR(J222=0,J222="Not Calculated")=TRUE,"Not Calculated",IF(J222-J223=0,4,IF(((J222+J224)/(J222-J223))&lt;=1,0,IF(((J222+J224)/(J222-J223))&lt;=1.05,1,IF(((J222+J224)/(J222-J223))&lt;=1.5, 2,IF(((J222+J224)/(J222-J223))&lt;=2,3,4))))))</f>
        <v>Not Calculated</v>
      </c>
      <c r="K226" s="41"/>
    </row>
    <row r="227" spans="2:14" ht="9.75" customHeight="1" x14ac:dyDescent="0.2">
      <c r="B227" s="38"/>
      <c r="C227" s="279" t="str">
        <f>"0:"</f>
        <v>0:</v>
      </c>
      <c r="D227" s="278" t="s">
        <v>918</v>
      </c>
      <c r="E227" s="40"/>
      <c r="F227" s="40"/>
      <c r="G227" s="40"/>
      <c r="H227" s="40"/>
      <c r="I227" s="40"/>
      <c r="J227" s="40"/>
      <c r="K227" s="41"/>
    </row>
    <row r="228" spans="2:14" ht="9.75" customHeight="1" x14ac:dyDescent="0.2">
      <c r="B228" s="38"/>
      <c r="C228" s="280" t="str">
        <f>"1:"</f>
        <v>1:</v>
      </c>
      <c r="D228" s="278" t="s">
        <v>923</v>
      </c>
      <c r="E228" s="40"/>
      <c r="F228" s="40"/>
      <c r="G228" s="40"/>
      <c r="H228" s="40"/>
      <c r="I228" s="40"/>
      <c r="J228" s="40"/>
      <c r="K228" s="41"/>
    </row>
    <row r="229" spans="2:14" ht="9.75" customHeight="1" x14ac:dyDescent="0.2">
      <c r="B229" s="38"/>
      <c r="C229" s="280" t="str">
        <f>"2:"</f>
        <v>2:</v>
      </c>
      <c r="D229" s="278" t="s">
        <v>924</v>
      </c>
      <c r="E229" s="40"/>
      <c r="F229" s="40"/>
      <c r="G229" s="40"/>
      <c r="H229" s="40"/>
      <c r="I229" s="40"/>
      <c r="J229" s="40"/>
      <c r="K229" s="41"/>
    </row>
    <row r="230" spans="2:14" ht="9.75" customHeight="1" x14ac:dyDescent="0.2">
      <c r="B230" s="38"/>
      <c r="C230" s="280" t="str">
        <f>"3:"</f>
        <v>3:</v>
      </c>
      <c r="D230" s="278" t="s">
        <v>925</v>
      </c>
      <c r="E230" s="40"/>
      <c r="F230" s="40"/>
      <c r="G230" s="40"/>
      <c r="H230" s="40"/>
      <c r="I230" s="40"/>
      <c r="J230" s="40"/>
      <c r="K230" s="41"/>
    </row>
    <row r="231" spans="2:14" ht="9.75" customHeight="1" x14ac:dyDescent="0.2">
      <c r="B231" s="38"/>
      <c r="C231" s="280" t="str">
        <f>"4:"</f>
        <v>4:</v>
      </c>
      <c r="D231" s="278" t="s">
        <v>926</v>
      </c>
      <c r="E231" s="40"/>
      <c r="F231" s="40"/>
      <c r="G231" s="40"/>
      <c r="H231" s="40"/>
      <c r="I231" s="40"/>
      <c r="J231" s="40"/>
      <c r="K231" s="41"/>
      <c r="N231" s="12" t="s">
        <v>661</v>
      </c>
    </row>
    <row r="232" spans="2:14" x14ac:dyDescent="0.2">
      <c r="B232" s="38"/>
      <c r="C232" s="174" t="s">
        <v>662</v>
      </c>
      <c r="D232" s="40"/>
      <c r="E232" s="40"/>
      <c r="F232" s="40"/>
      <c r="G232" s="40"/>
      <c r="H232" s="40"/>
      <c r="I232" s="40"/>
      <c r="J232" s="265" t="s">
        <v>661</v>
      </c>
      <c r="K232" s="41"/>
      <c r="N232" s="12" t="s">
        <v>894</v>
      </c>
    </row>
    <row r="233" spans="2:14" x14ac:dyDescent="0.2">
      <c r="B233" s="38"/>
      <c r="C233" s="174" t="s">
        <v>660</v>
      </c>
      <c r="D233" s="40"/>
      <c r="E233" s="40"/>
      <c r="F233" s="40"/>
      <c r="G233" s="40"/>
      <c r="H233" s="40"/>
      <c r="I233" s="40"/>
      <c r="J233" s="246" t="str">
        <f>IF(J232=N231,"N/A",IF(J232=N232,0,IF(J232=N233,1,IF(J232=N234,2,IF(J232=N235,3,IF(J232=N236,4,"N/A"))))))</f>
        <v>N/A</v>
      </c>
      <c r="K233" s="41"/>
      <c r="N233" s="12" t="s">
        <v>899</v>
      </c>
    </row>
    <row r="234" spans="2:14" x14ac:dyDescent="0.2">
      <c r="B234" s="38"/>
      <c r="C234" s="40" t="s">
        <v>257</v>
      </c>
      <c r="D234" s="40"/>
      <c r="E234" s="40"/>
      <c r="F234" s="40"/>
      <c r="G234" s="40"/>
      <c r="H234" s="40"/>
      <c r="I234" s="40"/>
      <c r="J234" s="266"/>
      <c r="K234" s="41"/>
      <c r="N234" s="12" t="s">
        <v>900</v>
      </c>
    </row>
    <row r="235" spans="2:14" x14ac:dyDescent="0.2">
      <c r="B235" s="38"/>
      <c r="C235" s="40" t="s">
        <v>261</v>
      </c>
      <c r="D235" s="40"/>
      <c r="E235" s="40"/>
      <c r="F235" s="40"/>
      <c r="G235" s="40"/>
      <c r="H235" s="40"/>
      <c r="I235" s="40"/>
      <c r="J235" s="245" t="str">
        <f>IF(J234=$B$973,$A$973,IF(J234=$B$974,$A$974,IF(J234=$B$975,$A$975,IF(J234=$B$976,$A$976,IF(J234=$B$977,$A$977,"Not Calculated")))))</f>
        <v>Not Calculated</v>
      </c>
      <c r="K235" s="41"/>
      <c r="N235" s="12" t="s">
        <v>901</v>
      </c>
    </row>
    <row r="236" spans="2:14" x14ac:dyDescent="0.2">
      <c r="B236" s="38"/>
      <c r="C236" s="40" t="s">
        <v>893</v>
      </c>
      <c r="D236" s="40"/>
      <c r="E236" s="40"/>
      <c r="F236" s="40"/>
      <c r="G236" s="40"/>
      <c r="H236" s="40"/>
      <c r="I236" s="40"/>
      <c r="J236" s="40"/>
      <c r="K236" s="41"/>
      <c r="N236" s="12" t="s">
        <v>902</v>
      </c>
    </row>
    <row r="237" spans="2:14" ht="15" customHeight="1" x14ac:dyDescent="0.2">
      <c r="B237" s="38"/>
      <c r="C237" s="399"/>
      <c r="D237" s="400"/>
      <c r="E237" s="400"/>
      <c r="F237" s="400"/>
      <c r="G237" s="400"/>
      <c r="H237" s="400"/>
      <c r="I237" s="400"/>
      <c r="J237" s="401"/>
      <c r="K237" s="41"/>
    </row>
    <row r="238" spans="2:14" x14ac:dyDescent="0.2">
      <c r="B238" s="38"/>
      <c r="C238" s="40"/>
      <c r="D238" s="40"/>
      <c r="E238" s="40"/>
      <c r="F238" s="40"/>
      <c r="G238" s="40"/>
      <c r="H238" s="40"/>
      <c r="I238" s="40"/>
      <c r="J238" s="40"/>
      <c r="K238" s="41"/>
    </row>
    <row r="239" spans="2:14" x14ac:dyDescent="0.2">
      <c r="B239" s="38"/>
      <c r="C239" s="179" t="s">
        <v>277</v>
      </c>
      <c r="D239" s="40"/>
      <c r="E239" s="40"/>
      <c r="F239" s="40"/>
      <c r="G239" s="40"/>
      <c r="H239" s="40"/>
      <c r="I239" s="40"/>
      <c r="J239" s="245" t="str">
        <f>IF(J233="N/A",IF(OR(J226="Not Calculated",J235="Not Calculated")=TRUE,"Not Calculated",AVERAGE(J226,J235)),AVERAGE(J233,J235))</f>
        <v>Not Calculated</v>
      </c>
      <c r="K239" s="41"/>
    </row>
    <row r="240" spans="2:14" x14ac:dyDescent="0.2">
      <c r="B240" s="38"/>
      <c r="C240" s="40"/>
      <c r="D240" s="40"/>
      <c r="E240" s="40"/>
      <c r="F240" s="40"/>
      <c r="G240" s="40"/>
      <c r="H240" s="40"/>
      <c r="I240" s="40"/>
      <c r="J240" s="40"/>
      <c r="K240" s="41"/>
    </row>
    <row r="241" spans="2:14" x14ac:dyDescent="0.2">
      <c r="B241" s="38"/>
      <c r="C241" s="40"/>
      <c r="D241" s="40"/>
      <c r="E241" s="40"/>
      <c r="F241" s="40"/>
      <c r="G241" s="40"/>
      <c r="H241" s="40"/>
      <c r="I241" s="40"/>
      <c r="J241" s="40"/>
      <c r="K241" s="41"/>
    </row>
    <row r="242" spans="2:14" ht="16" x14ac:dyDescent="0.2">
      <c r="B242" s="38"/>
      <c r="C242" s="45" t="s">
        <v>278</v>
      </c>
      <c r="D242" s="40"/>
      <c r="E242" s="40"/>
      <c r="F242" s="40"/>
      <c r="G242" s="40"/>
      <c r="H242" s="40"/>
      <c r="I242" s="40"/>
      <c r="J242" s="40"/>
      <c r="K242" s="41"/>
    </row>
    <row r="243" spans="2:14" ht="15" customHeight="1" x14ac:dyDescent="0.2">
      <c r="B243" s="38"/>
      <c r="C243" s="40" t="s">
        <v>447</v>
      </c>
      <c r="D243" s="40"/>
      <c r="E243" s="40"/>
      <c r="F243" s="40"/>
      <c r="G243" s="40"/>
      <c r="H243" s="40"/>
      <c r="I243" s="40"/>
      <c r="J243" s="254">
        <f>'Baseline Health'!G77</f>
        <v>0</v>
      </c>
      <c r="K243" s="41"/>
    </row>
    <row r="244" spans="2:14" x14ac:dyDescent="0.2">
      <c r="B244" s="38"/>
      <c r="C244" s="40" t="s">
        <v>358</v>
      </c>
      <c r="D244" s="40"/>
      <c r="E244" s="40"/>
      <c r="F244" s="40"/>
      <c r="G244" s="40"/>
      <c r="H244" s="40"/>
      <c r="I244" s="40"/>
      <c r="J244" s="264"/>
      <c r="K244" s="41"/>
    </row>
    <row r="245" spans="2:14" x14ac:dyDescent="0.2">
      <c r="B245" s="38"/>
      <c r="C245" s="40" t="s">
        <v>360</v>
      </c>
      <c r="D245" s="291"/>
      <c r="E245" s="291"/>
      <c r="F245" s="291"/>
      <c r="G245" s="291"/>
      <c r="H245" s="291"/>
      <c r="I245" s="291"/>
      <c r="J245" s="264"/>
      <c r="K245" s="41"/>
    </row>
    <row r="246" spans="2:14" x14ac:dyDescent="0.2">
      <c r="B246" s="38"/>
      <c r="C246" s="40" t="s">
        <v>260</v>
      </c>
      <c r="D246" s="40"/>
      <c r="E246" s="40"/>
      <c r="F246" s="40"/>
      <c r="G246" s="40"/>
      <c r="H246" s="40"/>
      <c r="I246" s="40"/>
      <c r="J246" s="245" t="str">
        <f>IF(OR(J243=0,J243="Not Calculated")=TRUE,"Not Calculated",IF(J243-J244=0,4,(IF(((J243+J245)/(J243-J244))&lt;=1,0,IF(((J243+J245)/(J243-J244))&lt;=1.05,1,IF(((J243+J245)/(J243-J244))&lt;=1.5,2,IF(((J243+J245)/(J243-J244))&lt;=2,3,4)))))))</f>
        <v>Not Calculated</v>
      </c>
      <c r="K246" s="41"/>
    </row>
    <row r="247" spans="2:14" ht="9.75" customHeight="1" x14ac:dyDescent="0.2">
      <c r="B247" s="38"/>
      <c r="C247" s="279" t="str">
        <f>"0:"</f>
        <v>0:</v>
      </c>
      <c r="D247" s="278" t="s">
        <v>918</v>
      </c>
      <c r="E247" s="40"/>
      <c r="F247" s="40"/>
      <c r="G247" s="40"/>
      <c r="H247" s="40"/>
      <c r="I247" s="40"/>
      <c r="J247" s="40"/>
      <c r="K247" s="41"/>
    </row>
    <row r="248" spans="2:14" ht="9.75" customHeight="1" x14ac:dyDescent="0.2">
      <c r="B248" s="38"/>
      <c r="C248" s="280" t="str">
        <f>"1:"</f>
        <v>1:</v>
      </c>
      <c r="D248" s="278" t="s">
        <v>923</v>
      </c>
      <c r="E248" s="40"/>
      <c r="F248" s="40"/>
      <c r="G248" s="40"/>
      <c r="H248" s="40"/>
      <c r="I248" s="40"/>
      <c r="J248" s="40"/>
      <c r="K248" s="41"/>
    </row>
    <row r="249" spans="2:14" ht="9.75" customHeight="1" x14ac:dyDescent="0.2">
      <c r="B249" s="38"/>
      <c r="C249" s="280" t="str">
        <f>"2:"</f>
        <v>2:</v>
      </c>
      <c r="D249" s="278" t="s">
        <v>924</v>
      </c>
      <c r="E249" s="40"/>
      <c r="F249" s="40"/>
      <c r="G249" s="40"/>
      <c r="H249" s="40"/>
      <c r="I249" s="40"/>
      <c r="J249" s="40"/>
      <c r="K249" s="41"/>
    </row>
    <row r="250" spans="2:14" ht="9.75" customHeight="1" x14ac:dyDescent="0.2">
      <c r="B250" s="38"/>
      <c r="C250" s="280" t="str">
        <f>"3:"</f>
        <v>3:</v>
      </c>
      <c r="D250" s="278" t="s">
        <v>925</v>
      </c>
      <c r="E250" s="40"/>
      <c r="F250" s="40"/>
      <c r="G250" s="40"/>
      <c r="H250" s="40"/>
      <c r="I250" s="40"/>
      <c r="J250" s="40"/>
      <c r="K250" s="41"/>
    </row>
    <row r="251" spans="2:14" ht="9.75" customHeight="1" x14ac:dyDescent="0.2">
      <c r="B251" s="38"/>
      <c r="C251" s="280" t="str">
        <f>"4:"</f>
        <v>4:</v>
      </c>
      <c r="D251" s="278" t="s">
        <v>926</v>
      </c>
      <c r="E251" s="40"/>
      <c r="F251" s="40"/>
      <c r="G251" s="40"/>
      <c r="H251" s="40"/>
      <c r="I251" s="40"/>
      <c r="J251" s="40"/>
      <c r="K251" s="41"/>
      <c r="N251" s="12" t="s">
        <v>661</v>
      </c>
    </row>
    <row r="252" spans="2:14" x14ac:dyDescent="0.2">
      <c r="B252" s="38"/>
      <c r="C252" s="174" t="s">
        <v>662</v>
      </c>
      <c r="D252" s="40"/>
      <c r="E252" s="40"/>
      <c r="F252" s="40"/>
      <c r="G252" s="40"/>
      <c r="H252" s="40"/>
      <c r="I252" s="40"/>
      <c r="J252" s="265" t="s">
        <v>661</v>
      </c>
      <c r="K252" s="41"/>
      <c r="N252" s="12" t="s">
        <v>894</v>
      </c>
    </row>
    <row r="253" spans="2:14" x14ac:dyDescent="0.2">
      <c r="B253" s="38"/>
      <c r="C253" s="174" t="s">
        <v>660</v>
      </c>
      <c r="D253" s="40"/>
      <c r="E253" s="40"/>
      <c r="F253" s="40"/>
      <c r="G253" s="40"/>
      <c r="H253" s="40"/>
      <c r="I253" s="40"/>
      <c r="J253" s="246" t="str">
        <f>IF(J252=N251,"N/A",IF(J252=N252,0,IF(J252=N253,1,IF(J252=N254,2,IF(J252=N255,3,IF(J252=N256,4,"N/A"))))))</f>
        <v>N/A</v>
      </c>
      <c r="K253" s="41"/>
      <c r="N253" s="12" t="s">
        <v>899</v>
      </c>
    </row>
    <row r="254" spans="2:14" x14ac:dyDescent="0.2">
      <c r="B254" s="38"/>
      <c r="C254" s="40" t="s">
        <v>257</v>
      </c>
      <c r="D254" s="40"/>
      <c r="E254" s="40"/>
      <c r="F254" s="40"/>
      <c r="G254" s="40"/>
      <c r="H254" s="40"/>
      <c r="I254" s="40"/>
      <c r="J254" s="266"/>
      <c r="K254" s="41"/>
      <c r="N254" s="12" t="s">
        <v>900</v>
      </c>
    </row>
    <row r="255" spans="2:14" x14ac:dyDescent="0.2">
      <c r="B255" s="38"/>
      <c r="C255" s="40" t="s">
        <v>261</v>
      </c>
      <c r="D255" s="40"/>
      <c r="E255" s="40"/>
      <c r="F255" s="40"/>
      <c r="G255" s="40"/>
      <c r="H255" s="40"/>
      <c r="I255" s="40"/>
      <c r="J255" s="245" t="str">
        <f>IF(J254=$B$973,$A$973,IF(J254=$B$974,$A$974,IF(J254=$B$975,$A$975,IF(J254=$B$976,$A$976,IF(J254=$B$977,$A$977,"Not Calculated")))))</f>
        <v>Not Calculated</v>
      </c>
      <c r="K255" s="41"/>
      <c r="N255" s="12" t="s">
        <v>901</v>
      </c>
    </row>
    <row r="256" spans="2:14" x14ac:dyDescent="0.2">
      <c r="B256" s="38"/>
      <c r="C256" s="40" t="s">
        <v>893</v>
      </c>
      <c r="D256" s="40"/>
      <c r="E256" s="40"/>
      <c r="F256" s="40"/>
      <c r="G256" s="40"/>
      <c r="H256" s="40"/>
      <c r="I256" s="40"/>
      <c r="J256" s="40"/>
      <c r="K256" s="41"/>
      <c r="N256" s="12" t="s">
        <v>902</v>
      </c>
    </row>
    <row r="257" spans="2:11" x14ac:dyDescent="0.2">
      <c r="B257" s="38"/>
      <c r="C257" s="399"/>
      <c r="D257" s="400"/>
      <c r="E257" s="400"/>
      <c r="F257" s="400"/>
      <c r="G257" s="400"/>
      <c r="H257" s="400"/>
      <c r="I257" s="400"/>
      <c r="J257" s="401"/>
      <c r="K257" s="41"/>
    </row>
    <row r="258" spans="2:11" x14ac:dyDescent="0.2">
      <c r="B258" s="38"/>
      <c r="C258" s="40"/>
      <c r="D258" s="40"/>
      <c r="E258" s="40"/>
      <c r="F258" s="40"/>
      <c r="G258" s="40"/>
      <c r="H258" s="40"/>
      <c r="I258" s="40"/>
      <c r="J258" s="40"/>
      <c r="K258" s="41"/>
    </row>
    <row r="259" spans="2:11" x14ac:dyDescent="0.2">
      <c r="B259" s="38"/>
      <c r="C259" s="179" t="s">
        <v>279</v>
      </c>
      <c r="D259" s="40"/>
      <c r="E259" s="40"/>
      <c r="F259" s="40"/>
      <c r="G259" s="40"/>
      <c r="H259" s="40"/>
      <c r="I259" s="40"/>
      <c r="J259" s="245" t="str">
        <f>IF(J253="N/A",IF(OR(J246="Not Calculated",J255="Not Calculated")=TRUE,"Not Calculated",AVERAGE(J246,J255)),AVERAGE(J253,J255))</f>
        <v>Not Calculated</v>
      </c>
      <c r="K259" s="41"/>
    </row>
    <row r="260" spans="2:11" x14ac:dyDescent="0.2">
      <c r="B260" s="38"/>
      <c r="C260" s="40"/>
      <c r="D260" s="40"/>
      <c r="E260" s="40"/>
      <c r="F260" s="40"/>
      <c r="G260" s="40"/>
      <c r="H260" s="40"/>
      <c r="I260" s="40"/>
      <c r="J260" s="40"/>
      <c r="K260" s="41"/>
    </row>
    <row r="261" spans="2:11" ht="18" x14ac:dyDescent="0.2">
      <c r="B261" s="38"/>
      <c r="C261" s="180" t="s">
        <v>272</v>
      </c>
      <c r="D261" s="40"/>
      <c r="E261" s="40"/>
      <c r="F261" s="40"/>
      <c r="G261" s="40"/>
      <c r="H261" s="40"/>
      <c r="I261" s="40"/>
      <c r="J261" s="244" t="str">
        <f>IF(OR(J157="Not Calculated",J178="Not Calculated",J198="Not Calculated",J218="Not Calculated",J239="Not Calculated",J259="Not Calculated",)=TRUE,"Not Calculated",AVERAGE(J157,J178,J198,J218,J239,J259))</f>
        <v>Not Calculated</v>
      </c>
      <c r="K261" s="41"/>
    </row>
    <row r="262" spans="2:11" ht="16" thickBot="1" x14ac:dyDescent="0.25">
      <c r="B262" s="46"/>
      <c r="C262" s="47"/>
      <c r="D262" s="47"/>
      <c r="E262" s="47"/>
      <c r="F262" s="47"/>
      <c r="G262" s="47"/>
      <c r="H262" s="47"/>
      <c r="I262" s="47"/>
      <c r="J262" s="47"/>
      <c r="K262" s="49"/>
    </row>
    <row r="263" spans="2:11" ht="16" thickBot="1" x14ac:dyDescent="0.25"/>
    <row r="264" spans="2:11" x14ac:dyDescent="0.2">
      <c r="B264" s="33"/>
      <c r="C264" s="34"/>
      <c r="D264" s="34"/>
      <c r="E264" s="34"/>
      <c r="F264" s="34"/>
      <c r="G264" s="34"/>
      <c r="H264" s="34"/>
      <c r="I264" s="34"/>
      <c r="J264" s="34"/>
      <c r="K264" s="37"/>
    </row>
    <row r="265" spans="2:11" ht="21" x14ac:dyDescent="0.25">
      <c r="B265" s="38"/>
      <c r="C265" s="40"/>
      <c r="D265" s="40"/>
      <c r="E265" s="40"/>
      <c r="F265" s="40"/>
      <c r="G265" s="172" t="s">
        <v>864</v>
      </c>
      <c r="H265" s="40"/>
      <c r="I265" s="40"/>
      <c r="J265" s="40"/>
      <c r="K265" s="41"/>
    </row>
    <row r="266" spans="2:11" ht="15" customHeight="1" x14ac:dyDescent="0.2">
      <c r="B266" s="38"/>
      <c r="C266" s="40"/>
      <c r="D266" s="40"/>
      <c r="E266" s="40"/>
      <c r="F266" s="40"/>
      <c r="G266" s="40"/>
      <c r="H266" s="40"/>
      <c r="I266" s="40"/>
      <c r="J266" s="40"/>
      <c r="K266" s="41"/>
    </row>
    <row r="267" spans="2:11" ht="16" x14ac:dyDescent="0.2">
      <c r="B267" s="38"/>
      <c r="C267" s="45" t="s">
        <v>80</v>
      </c>
      <c r="D267" s="40"/>
      <c r="E267" s="40"/>
      <c r="F267" s="40"/>
      <c r="G267" s="40"/>
      <c r="H267" s="40"/>
      <c r="I267" s="40"/>
      <c r="J267" s="40"/>
      <c r="K267" s="41"/>
    </row>
    <row r="268" spans="2:11" x14ac:dyDescent="0.2">
      <c r="B268" s="38"/>
      <c r="C268" s="40" t="s">
        <v>283</v>
      </c>
      <c r="D268" s="40"/>
      <c r="E268" s="40"/>
      <c r="F268" s="40"/>
      <c r="G268" s="40"/>
      <c r="H268" s="40"/>
      <c r="I268" s="40"/>
      <c r="J268" s="250">
        <f>'Baseline Health'!G88</f>
        <v>0</v>
      </c>
      <c r="K268" s="41"/>
    </row>
    <row r="269" spans="2:11" x14ac:dyDescent="0.2">
      <c r="B269" s="38"/>
      <c r="C269" s="40" t="s">
        <v>284</v>
      </c>
      <c r="D269" s="40"/>
      <c r="E269" s="40"/>
      <c r="F269" s="40"/>
      <c r="G269" s="40"/>
      <c r="H269" s="40"/>
      <c r="I269" s="40"/>
      <c r="J269" s="264"/>
      <c r="K269" s="41"/>
    </row>
    <row r="270" spans="2:11" x14ac:dyDescent="0.2">
      <c r="B270" s="38"/>
      <c r="C270" s="40" t="s">
        <v>285</v>
      </c>
      <c r="D270" s="40"/>
      <c r="E270" s="40"/>
      <c r="F270" s="40"/>
      <c r="G270" s="40"/>
      <c r="H270" s="40"/>
      <c r="I270" s="40"/>
      <c r="J270" s="259">
        <f>'Baseline Health'!G93</f>
        <v>0</v>
      </c>
      <c r="K270" s="41"/>
    </row>
    <row r="271" spans="2:11" x14ac:dyDescent="0.2">
      <c r="B271" s="38"/>
      <c r="C271" s="40" t="s">
        <v>286</v>
      </c>
      <c r="D271" s="40"/>
      <c r="E271" s="40"/>
      <c r="F271" s="40"/>
      <c r="G271" s="40"/>
      <c r="H271" s="40"/>
      <c r="I271" s="40"/>
      <c r="J271" s="250">
        <f>J184</f>
        <v>0</v>
      </c>
      <c r="K271" s="41"/>
    </row>
    <row r="272" spans="2:11" x14ac:dyDescent="0.2">
      <c r="B272" s="38"/>
      <c r="C272" s="40"/>
      <c r="D272" s="40" t="s">
        <v>432</v>
      </c>
      <c r="E272" s="40"/>
      <c r="F272" s="40"/>
      <c r="G272" s="40"/>
      <c r="H272" s="40"/>
      <c r="I272" s="40"/>
      <c r="J272" s="40"/>
      <c r="K272" s="41"/>
    </row>
    <row r="273" spans="2:14" x14ac:dyDescent="0.2">
      <c r="B273" s="38"/>
      <c r="C273" s="40" t="s">
        <v>292</v>
      </c>
      <c r="D273" s="40"/>
      <c r="E273" s="40"/>
      <c r="F273" s="40"/>
      <c r="G273" s="40"/>
      <c r="H273" s="40"/>
      <c r="I273" s="40"/>
      <c r="J273" s="258" t="str">
        <f>'Baseline Health'!G97</f>
        <v>N/A</v>
      </c>
      <c r="K273" s="41"/>
    </row>
    <row r="274" spans="2:14" x14ac:dyDescent="0.2">
      <c r="B274" s="38"/>
      <c r="C274" s="40" t="s">
        <v>293</v>
      </c>
      <c r="D274" s="40"/>
      <c r="E274" s="40"/>
      <c r="F274" s="40"/>
      <c r="G274" s="40"/>
      <c r="H274" s="40"/>
      <c r="I274" s="40"/>
      <c r="J274" s="258" t="str">
        <f>IF(J273="N/A","N/A",IF(J268-J269=0,"No Nurses",((J270+J271)/(J268-J269))))</f>
        <v>N/A</v>
      </c>
      <c r="K274" s="41"/>
    </row>
    <row r="275" spans="2:14" x14ac:dyDescent="0.2">
      <c r="B275" s="38"/>
      <c r="C275" s="40" t="s">
        <v>260</v>
      </c>
      <c r="D275" s="40"/>
      <c r="E275" s="40"/>
      <c r="F275" s="40"/>
      <c r="G275" s="40"/>
      <c r="H275" s="40"/>
      <c r="I275" s="40"/>
      <c r="J275" s="245">
        <f>IF(J273=0,"Not Calculated",IF(J274="N/A",0,IF(J274="No Nurses",4,IF((J274/J273)&lt;=1,0,IF((J274/J273)&lt;=1.1,1,IF((J274/J273)&lt;=1=1.25,2,IF((J274/J273)&lt;=1.5,3,4)))))))</f>
        <v>0</v>
      </c>
      <c r="K275" s="41"/>
    </row>
    <row r="276" spans="2:14" ht="9.75" customHeight="1" x14ac:dyDescent="0.2">
      <c r="B276" s="38"/>
      <c r="C276" s="279" t="str">
        <f>"0:"</f>
        <v>0:</v>
      </c>
      <c r="D276" s="278" t="s">
        <v>927</v>
      </c>
      <c r="E276" s="40"/>
      <c r="F276" s="40"/>
      <c r="G276" s="40"/>
      <c r="H276" s="40"/>
      <c r="I276" s="40"/>
      <c r="J276" s="258"/>
      <c r="K276" s="41"/>
    </row>
    <row r="277" spans="2:14" ht="9.75" customHeight="1" x14ac:dyDescent="0.2">
      <c r="B277" s="38"/>
      <c r="C277" s="280" t="str">
        <f>"1:"</f>
        <v>1:</v>
      </c>
      <c r="D277" s="278" t="s">
        <v>928</v>
      </c>
      <c r="E277" s="40"/>
      <c r="F277" s="40"/>
      <c r="G277" s="40"/>
      <c r="H277" s="40"/>
      <c r="I277" s="40"/>
      <c r="J277" s="258"/>
      <c r="K277" s="41"/>
    </row>
    <row r="278" spans="2:14" ht="9.75" customHeight="1" x14ac:dyDescent="0.2">
      <c r="B278" s="38"/>
      <c r="C278" s="280" t="str">
        <f>"2:"</f>
        <v>2:</v>
      </c>
      <c r="D278" s="278" t="s">
        <v>929</v>
      </c>
      <c r="E278" s="40"/>
      <c r="F278" s="40"/>
      <c r="G278" s="40"/>
      <c r="H278" s="40"/>
      <c r="I278" s="40"/>
      <c r="J278" s="258"/>
      <c r="K278" s="41"/>
    </row>
    <row r="279" spans="2:14" ht="9.75" customHeight="1" x14ac:dyDescent="0.2">
      <c r="B279" s="38"/>
      <c r="C279" s="280" t="str">
        <f>"3:"</f>
        <v>3:</v>
      </c>
      <c r="D279" s="278" t="s">
        <v>930</v>
      </c>
      <c r="E279" s="40"/>
      <c r="F279" s="40"/>
      <c r="G279" s="40"/>
      <c r="H279" s="40"/>
      <c r="I279" s="40"/>
      <c r="J279" s="258"/>
      <c r="K279" s="41"/>
    </row>
    <row r="280" spans="2:14" ht="9.75" customHeight="1" x14ac:dyDescent="0.2">
      <c r="B280" s="38"/>
      <c r="C280" s="280" t="str">
        <f>"4:"</f>
        <v>4:</v>
      </c>
      <c r="D280" s="278" t="s">
        <v>931</v>
      </c>
      <c r="E280" s="40"/>
      <c r="F280" s="40"/>
      <c r="G280" s="40"/>
      <c r="H280" s="40"/>
      <c r="I280" s="40"/>
      <c r="J280" s="40"/>
      <c r="K280" s="41"/>
      <c r="N280" s="12" t="s">
        <v>661</v>
      </c>
    </row>
    <row r="281" spans="2:14" x14ac:dyDescent="0.2">
      <c r="B281" s="38"/>
      <c r="C281" s="174" t="s">
        <v>662</v>
      </c>
      <c r="D281" s="40"/>
      <c r="E281" s="40"/>
      <c r="F281" s="40"/>
      <c r="G281" s="40"/>
      <c r="H281" s="40"/>
      <c r="I281" s="40"/>
      <c r="J281" s="265" t="s">
        <v>661</v>
      </c>
      <c r="K281" s="41"/>
      <c r="N281" s="12" t="s">
        <v>903</v>
      </c>
    </row>
    <row r="282" spans="2:14" x14ac:dyDescent="0.2">
      <c r="B282" s="38"/>
      <c r="C282" s="174" t="s">
        <v>660</v>
      </c>
      <c r="D282" s="40"/>
      <c r="E282" s="40"/>
      <c r="F282" s="40"/>
      <c r="G282" s="40"/>
      <c r="H282" s="40"/>
      <c r="I282" s="40"/>
      <c r="J282" s="246" t="str">
        <f>IF(J281=N280,"N/A",IF(J281=N281,0,IF(J281=N282,1,IF(J281=N283,2,IF(J281=N284,3,IF(J281=N285,4,"N/A"))))))</f>
        <v>N/A</v>
      </c>
      <c r="K282" s="41"/>
      <c r="N282" s="12" t="s">
        <v>904</v>
      </c>
    </row>
    <row r="283" spans="2:14" x14ac:dyDescent="0.2">
      <c r="B283" s="38"/>
      <c r="C283" s="40" t="s">
        <v>257</v>
      </c>
      <c r="D283" s="40"/>
      <c r="E283" s="40"/>
      <c r="F283" s="40"/>
      <c r="G283" s="40"/>
      <c r="H283" s="40"/>
      <c r="I283" s="40"/>
      <c r="J283" s="266"/>
      <c r="K283" s="41"/>
      <c r="N283" s="12" t="s">
        <v>905</v>
      </c>
    </row>
    <row r="284" spans="2:14" x14ac:dyDescent="0.2">
      <c r="B284" s="38"/>
      <c r="C284" s="40" t="s">
        <v>261</v>
      </c>
      <c r="D284" s="40"/>
      <c r="E284" s="40"/>
      <c r="F284" s="40"/>
      <c r="G284" s="40"/>
      <c r="H284" s="40"/>
      <c r="I284" s="40"/>
      <c r="J284" s="248" t="str">
        <f>IF(J283=$B$973,$A$973,IF(J283=$B$974,$A$974,IF(J283=$B$975,$A$975,IF(J283=$B$976,$A$976,IF(J283=$B$977,$A$977,"Not Calculated")))))</f>
        <v>Not Calculated</v>
      </c>
      <c r="K284" s="41"/>
      <c r="N284" s="12" t="s">
        <v>906</v>
      </c>
    </row>
    <row r="285" spans="2:14" x14ac:dyDescent="0.2">
      <c r="B285" s="38"/>
      <c r="C285" s="40" t="s">
        <v>893</v>
      </c>
      <c r="D285" s="40"/>
      <c r="E285" s="40"/>
      <c r="F285" s="40"/>
      <c r="G285" s="40"/>
      <c r="H285" s="40"/>
      <c r="I285" s="40"/>
      <c r="J285" s="40"/>
      <c r="K285" s="41"/>
      <c r="N285" s="12" t="s">
        <v>907</v>
      </c>
    </row>
    <row r="286" spans="2:14" x14ac:dyDescent="0.2">
      <c r="B286" s="38"/>
      <c r="C286" s="399"/>
      <c r="D286" s="400"/>
      <c r="E286" s="400"/>
      <c r="F286" s="400"/>
      <c r="G286" s="400"/>
      <c r="H286" s="400"/>
      <c r="I286" s="400"/>
      <c r="J286" s="401"/>
      <c r="K286" s="41"/>
    </row>
    <row r="287" spans="2:14" x14ac:dyDescent="0.2">
      <c r="B287" s="38"/>
      <c r="C287" s="40"/>
      <c r="D287" s="40"/>
      <c r="E287" s="40"/>
      <c r="F287" s="40"/>
      <c r="G287" s="40"/>
      <c r="H287" s="40"/>
      <c r="I287" s="40"/>
      <c r="J287" s="40"/>
      <c r="K287" s="41"/>
    </row>
    <row r="288" spans="2:14" x14ac:dyDescent="0.2">
      <c r="B288" s="38"/>
      <c r="C288" s="179" t="s">
        <v>295</v>
      </c>
      <c r="D288" s="40"/>
      <c r="E288" s="40"/>
      <c r="F288" s="40"/>
      <c r="G288" s="40"/>
      <c r="H288" s="40"/>
      <c r="I288" s="40"/>
      <c r="J288" s="245" t="str">
        <f>IF(J282="N/A",IF(OR(J275="Not Calculated",J284="Not Calculated")=TRUE,"Not Calculated",AVERAGE(J275,J284)),AVERAGE(J282,J284))</f>
        <v>Not Calculated</v>
      </c>
      <c r="K288" s="41"/>
    </row>
    <row r="289" spans="2:11" x14ac:dyDescent="0.2">
      <c r="B289" s="38"/>
      <c r="C289" s="40"/>
      <c r="D289" s="40"/>
      <c r="E289" s="40"/>
      <c r="F289" s="40"/>
      <c r="G289" s="40"/>
      <c r="H289" s="40"/>
      <c r="I289" s="40"/>
      <c r="J289" s="245"/>
      <c r="K289" s="41"/>
    </row>
    <row r="290" spans="2:11" x14ac:dyDescent="0.2">
      <c r="B290" s="38"/>
      <c r="C290" s="40"/>
      <c r="D290" s="40"/>
      <c r="E290" s="40"/>
      <c r="F290" s="40"/>
      <c r="G290" s="40"/>
      <c r="H290" s="40"/>
      <c r="I290" s="40"/>
      <c r="J290" s="40"/>
      <c r="K290" s="41"/>
    </row>
    <row r="291" spans="2:11" ht="16" x14ac:dyDescent="0.2">
      <c r="B291" s="38"/>
      <c r="C291" s="45" t="s">
        <v>856</v>
      </c>
      <c r="D291" s="40"/>
      <c r="E291" s="40"/>
      <c r="F291" s="40"/>
      <c r="G291" s="40"/>
      <c r="H291" s="40"/>
      <c r="I291" s="40"/>
      <c r="J291" s="40"/>
      <c r="K291" s="41"/>
    </row>
    <row r="292" spans="2:11" ht="15" customHeight="1" x14ac:dyDescent="0.2">
      <c r="B292" s="38"/>
      <c r="C292" s="380" t="s">
        <v>855</v>
      </c>
      <c r="D292" s="380"/>
      <c r="E292" s="380"/>
      <c r="F292" s="380"/>
      <c r="G292" s="380"/>
      <c r="H292" s="380"/>
      <c r="I292" s="380"/>
      <c r="J292" s="40"/>
      <c r="K292" s="41"/>
    </row>
    <row r="293" spans="2:11" x14ac:dyDescent="0.2">
      <c r="B293" s="38"/>
      <c r="C293" s="380"/>
      <c r="D293" s="380"/>
      <c r="E293" s="380"/>
      <c r="F293" s="380"/>
      <c r="G293" s="380"/>
      <c r="H293" s="380"/>
      <c r="I293" s="380"/>
      <c r="J293" s="264"/>
      <c r="K293" s="41"/>
    </row>
    <row r="294" spans="2:11" x14ac:dyDescent="0.2">
      <c r="B294" s="38"/>
      <c r="C294" s="40" t="s">
        <v>853</v>
      </c>
      <c r="D294" s="291"/>
      <c r="E294" s="291"/>
      <c r="F294" s="291"/>
      <c r="G294" s="291"/>
      <c r="H294" s="291"/>
      <c r="I294" s="291"/>
      <c r="J294" s="255">
        <f>'Baseline Health'!$G$102</f>
        <v>0</v>
      </c>
      <c r="K294" s="41"/>
    </row>
    <row r="295" spans="2:11" x14ac:dyDescent="0.2">
      <c r="B295" s="38"/>
      <c r="C295" s="40" t="s">
        <v>842</v>
      </c>
      <c r="D295" s="40"/>
      <c r="E295" s="40"/>
      <c r="F295" s="40"/>
      <c r="G295" s="40"/>
      <c r="H295" s="40"/>
      <c r="I295" s="40"/>
      <c r="J295" s="244" t="str">
        <f>IF('Baseline Health'!$G$102=0,"Not Calculated",100*J293/'Baseline Health'!$G$102)</f>
        <v>Not Calculated</v>
      </c>
      <c r="K295" s="41"/>
    </row>
    <row r="296" spans="2:11" x14ac:dyDescent="0.2">
      <c r="B296" s="38"/>
      <c r="C296" s="40" t="s">
        <v>260</v>
      </c>
      <c r="D296" s="40"/>
      <c r="E296" s="40"/>
      <c r="F296" s="40"/>
      <c r="G296" s="40"/>
      <c r="H296" s="40"/>
      <c r="I296" s="40"/>
      <c r="J296" s="245">
        <f>IF(J295&lt;=0,0,IF(J295&lt;=1,1,IF(J295&lt;=5,2,IF(J295&lt;=10,3,4))))</f>
        <v>4</v>
      </c>
      <c r="K296" s="41"/>
    </row>
    <row r="297" spans="2:11" ht="9.75" customHeight="1" x14ac:dyDescent="0.2">
      <c r="B297" s="38"/>
      <c r="C297" s="279" t="str">
        <f>"0:"</f>
        <v>0:</v>
      </c>
      <c r="D297" s="278" t="s">
        <v>932</v>
      </c>
      <c r="E297" s="40"/>
      <c r="F297" s="40"/>
      <c r="G297" s="40"/>
      <c r="H297" s="40"/>
      <c r="I297" s="40"/>
      <c r="J297" s="244"/>
      <c r="K297" s="41"/>
    </row>
    <row r="298" spans="2:11" ht="9.75" customHeight="1" x14ac:dyDescent="0.2">
      <c r="B298" s="38"/>
      <c r="C298" s="280" t="str">
        <f>"1:"</f>
        <v>1:</v>
      </c>
      <c r="D298" s="278" t="s">
        <v>934</v>
      </c>
      <c r="E298" s="40"/>
      <c r="F298" s="40"/>
      <c r="G298" s="40"/>
      <c r="H298" s="40"/>
      <c r="I298" s="40"/>
      <c r="J298" s="244"/>
      <c r="K298" s="41"/>
    </row>
    <row r="299" spans="2:11" ht="9.75" customHeight="1" x14ac:dyDescent="0.2">
      <c r="B299" s="38"/>
      <c r="C299" s="280" t="str">
        <f>"2:"</f>
        <v>2:</v>
      </c>
      <c r="D299" s="278" t="s">
        <v>933</v>
      </c>
      <c r="E299" s="40"/>
      <c r="F299" s="40"/>
      <c r="G299" s="40"/>
      <c r="H299" s="40"/>
      <c r="I299" s="40"/>
      <c r="J299" s="244"/>
      <c r="K299" s="41"/>
    </row>
    <row r="300" spans="2:11" ht="9.75" customHeight="1" x14ac:dyDescent="0.2">
      <c r="B300" s="38"/>
      <c r="C300" s="280" t="str">
        <f>"3:"</f>
        <v>3:</v>
      </c>
      <c r="D300" s="278" t="s">
        <v>935</v>
      </c>
      <c r="E300" s="40"/>
      <c r="F300" s="40"/>
      <c r="G300" s="40"/>
      <c r="H300" s="40"/>
      <c r="I300" s="40"/>
      <c r="J300" s="244"/>
      <c r="K300" s="41"/>
    </row>
    <row r="301" spans="2:11" ht="9.75" customHeight="1" x14ac:dyDescent="0.2">
      <c r="B301" s="38"/>
      <c r="C301" s="280" t="str">
        <f>"4:"</f>
        <v>4:</v>
      </c>
      <c r="D301" s="278" t="s">
        <v>936</v>
      </c>
      <c r="E301" s="40"/>
      <c r="F301" s="40"/>
      <c r="G301" s="40"/>
      <c r="H301" s="40"/>
      <c r="I301" s="40"/>
      <c r="J301" s="40"/>
      <c r="K301" s="41"/>
    </row>
    <row r="302" spans="2:11" x14ac:dyDescent="0.2">
      <c r="B302" s="38"/>
      <c r="C302" s="40" t="s">
        <v>257</v>
      </c>
      <c r="D302" s="40"/>
      <c r="E302" s="40"/>
      <c r="F302" s="40"/>
      <c r="G302" s="40"/>
      <c r="H302" s="40"/>
      <c r="I302" s="40"/>
      <c r="J302" s="266"/>
      <c r="K302" s="41"/>
    </row>
    <row r="303" spans="2:11" x14ac:dyDescent="0.2">
      <c r="B303" s="38"/>
      <c r="C303" s="40" t="s">
        <v>261</v>
      </c>
      <c r="D303" s="40"/>
      <c r="E303" s="40"/>
      <c r="F303" s="40"/>
      <c r="G303" s="40"/>
      <c r="H303" s="40"/>
      <c r="I303" s="40"/>
      <c r="J303" s="245" t="str">
        <f>IF(J302=$B$980,$A$980,IF(J302=$B$981,$A$981,IF(J302=$B$982,$A$982,IF(J302=$B$983,$A$983,IF(J302=$B$984,$A$984,"Not Calculated")))))</f>
        <v>Not Calculated</v>
      </c>
      <c r="K303" s="41"/>
    </row>
    <row r="304" spans="2:11" x14ac:dyDescent="0.2">
      <c r="B304" s="38"/>
      <c r="C304" s="40" t="s">
        <v>893</v>
      </c>
      <c r="D304" s="40"/>
      <c r="E304" s="40"/>
      <c r="F304" s="40"/>
      <c r="G304" s="40"/>
      <c r="H304" s="40"/>
      <c r="I304" s="40"/>
      <c r="J304" s="40"/>
      <c r="K304" s="41"/>
    </row>
    <row r="305" spans="2:11" ht="15" customHeight="1" x14ac:dyDescent="0.2">
      <c r="B305" s="38"/>
      <c r="C305" s="399"/>
      <c r="D305" s="400"/>
      <c r="E305" s="400"/>
      <c r="F305" s="400"/>
      <c r="G305" s="400"/>
      <c r="H305" s="400"/>
      <c r="I305" s="400"/>
      <c r="J305" s="401"/>
      <c r="K305" s="41"/>
    </row>
    <row r="306" spans="2:11" x14ac:dyDescent="0.2">
      <c r="B306" s="38"/>
      <c r="C306" s="40"/>
      <c r="D306" s="40"/>
      <c r="E306" s="40"/>
      <c r="F306" s="40"/>
      <c r="G306" s="40"/>
      <c r="H306" s="40"/>
      <c r="I306" s="40"/>
      <c r="J306" s="40"/>
      <c r="K306" s="41"/>
    </row>
    <row r="307" spans="2:11" x14ac:dyDescent="0.2">
      <c r="B307" s="38"/>
      <c r="C307" s="179" t="s">
        <v>885</v>
      </c>
      <c r="D307" s="40"/>
      <c r="E307" s="40"/>
      <c r="F307" s="40"/>
      <c r="G307" s="40"/>
      <c r="H307" s="40"/>
      <c r="I307" s="40"/>
      <c r="J307" s="245" t="str">
        <f>IF(OR(J296="Not Calculated",J303="Not Calculated")=TRUE,"Not Calculated",AVERAGE(J296,J303))</f>
        <v>Not Calculated</v>
      </c>
      <c r="K307" s="41"/>
    </row>
    <row r="308" spans="2:11" x14ac:dyDescent="0.2">
      <c r="B308" s="38"/>
      <c r="C308" s="40"/>
      <c r="D308" s="40"/>
      <c r="E308" s="40"/>
      <c r="F308" s="40"/>
      <c r="G308" s="40"/>
      <c r="H308" s="40"/>
      <c r="I308" s="40"/>
      <c r="J308" s="40"/>
      <c r="K308" s="41"/>
    </row>
    <row r="309" spans="2:11" x14ac:dyDescent="0.2">
      <c r="B309" s="38"/>
      <c r="C309" s="40"/>
      <c r="D309" s="40"/>
      <c r="E309" s="40"/>
      <c r="F309" s="40"/>
      <c r="G309" s="40"/>
      <c r="H309" s="40"/>
      <c r="I309" s="40"/>
      <c r="J309" s="40"/>
      <c r="K309" s="41"/>
    </row>
    <row r="310" spans="2:11" ht="16" x14ac:dyDescent="0.2">
      <c r="B310" s="38"/>
      <c r="C310" s="45" t="s">
        <v>857</v>
      </c>
      <c r="D310" s="40"/>
      <c r="E310" s="40"/>
      <c r="F310" s="40"/>
      <c r="G310" s="40"/>
      <c r="H310" s="40"/>
      <c r="I310" s="40"/>
      <c r="J310" s="40"/>
      <c r="K310" s="41"/>
    </row>
    <row r="311" spans="2:11" x14ac:dyDescent="0.2">
      <c r="B311" s="38"/>
      <c r="C311" s="380" t="s">
        <v>843</v>
      </c>
      <c r="D311" s="380"/>
      <c r="E311" s="380"/>
      <c r="F311" s="380"/>
      <c r="G311" s="380"/>
      <c r="H311" s="380"/>
      <c r="I311" s="380"/>
      <c r="J311" s="40"/>
      <c r="K311" s="41"/>
    </row>
    <row r="312" spans="2:11" x14ac:dyDescent="0.2">
      <c r="B312" s="38"/>
      <c r="C312" s="380"/>
      <c r="D312" s="380"/>
      <c r="E312" s="380"/>
      <c r="F312" s="380"/>
      <c r="G312" s="380"/>
      <c r="H312" s="380"/>
      <c r="I312" s="380"/>
      <c r="J312" s="264"/>
      <c r="K312" s="41"/>
    </row>
    <row r="313" spans="2:11" x14ac:dyDescent="0.2">
      <c r="B313" s="38"/>
      <c r="C313" s="40" t="s">
        <v>853</v>
      </c>
      <c r="D313" s="291"/>
      <c r="E313" s="291"/>
      <c r="F313" s="291"/>
      <c r="G313" s="291"/>
      <c r="H313" s="291"/>
      <c r="I313" s="291"/>
      <c r="J313" s="255">
        <f>'Baseline Health'!$G$102</f>
        <v>0</v>
      </c>
      <c r="K313" s="41"/>
    </row>
    <row r="314" spans="2:11" x14ac:dyDescent="0.2">
      <c r="B314" s="38"/>
      <c r="C314" s="40" t="s">
        <v>842</v>
      </c>
      <c r="D314" s="40"/>
      <c r="E314" s="40"/>
      <c r="F314" s="40"/>
      <c r="G314" s="40"/>
      <c r="H314" s="40"/>
      <c r="I314" s="40"/>
      <c r="J314" s="244" t="str">
        <f>IF('Baseline Health'!$G$102=0,"Not Calculated",100*J312/'Baseline Health'!$G$102)</f>
        <v>Not Calculated</v>
      </c>
      <c r="K314" s="41"/>
    </row>
    <row r="315" spans="2:11" x14ac:dyDescent="0.2">
      <c r="B315" s="38"/>
      <c r="C315" s="40" t="s">
        <v>260</v>
      </c>
      <c r="D315" s="40"/>
      <c r="E315" s="40"/>
      <c r="F315" s="40"/>
      <c r="G315" s="40"/>
      <c r="H315" s="40"/>
      <c r="I315" s="40"/>
      <c r="J315" s="245">
        <f>IF(J314&lt;=0,0,IF(J314&lt;=1,1,IF(J314&lt;=5,2,IF(J314&lt;=10,3,4))))</f>
        <v>4</v>
      </c>
      <c r="K315" s="41"/>
    </row>
    <row r="316" spans="2:11" ht="9.75" customHeight="1" x14ac:dyDescent="0.2">
      <c r="B316" s="38"/>
      <c r="C316" s="279" t="str">
        <f>"0:"</f>
        <v>0:</v>
      </c>
      <c r="D316" s="278" t="s">
        <v>932</v>
      </c>
      <c r="E316" s="40"/>
      <c r="F316" s="40"/>
      <c r="G316" s="40"/>
      <c r="H316" s="40"/>
      <c r="I316" s="40"/>
      <c r="J316" s="244"/>
      <c r="K316" s="41"/>
    </row>
    <row r="317" spans="2:11" ht="9.75" customHeight="1" x14ac:dyDescent="0.2">
      <c r="B317" s="38"/>
      <c r="C317" s="280" t="str">
        <f>"1:"</f>
        <v>1:</v>
      </c>
      <c r="D317" s="278" t="s">
        <v>934</v>
      </c>
      <c r="E317" s="40"/>
      <c r="F317" s="40"/>
      <c r="G317" s="40"/>
      <c r="H317" s="40"/>
      <c r="I317" s="40"/>
      <c r="J317" s="244"/>
      <c r="K317" s="41"/>
    </row>
    <row r="318" spans="2:11" ht="9.75" customHeight="1" x14ac:dyDescent="0.2">
      <c r="B318" s="38"/>
      <c r="C318" s="280" t="str">
        <f>"2:"</f>
        <v>2:</v>
      </c>
      <c r="D318" s="278" t="s">
        <v>933</v>
      </c>
      <c r="E318" s="40"/>
      <c r="F318" s="40"/>
      <c r="G318" s="40"/>
      <c r="H318" s="40"/>
      <c r="I318" s="40"/>
      <c r="J318" s="244"/>
      <c r="K318" s="41"/>
    </row>
    <row r="319" spans="2:11" ht="9.75" customHeight="1" x14ac:dyDescent="0.2">
      <c r="B319" s="38"/>
      <c r="C319" s="280" t="str">
        <f>"3:"</f>
        <v>3:</v>
      </c>
      <c r="D319" s="278" t="s">
        <v>935</v>
      </c>
      <c r="E319" s="40"/>
      <c r="F319" s="40"/>
      <c r="G319" s="40"/>
      <c r="H319" s="40"/>
      <c r="I319" s="40"/>
      <c r="J319" s="244"/>
      <c r="K319" s="41"/>
    </row>
    <row r="320" spans="2:11" ht="9.75" customHeight="1" x14ac:dyDescent="0.2">
      <c r="B320" s="38"/>
      <c r="C320" s="280" t="str">
        <f>"4:"</f>
        <v>4:</v>
      </c>
      <c r="D320" s="278" t="s">
        <v>936</v>
      </c>
      <c r="E320" s="40"/>
      <c r="F320" s="40"/>
      <c r="G320" s="40"/>
      <c r="H320" s="40"/>
      <c r="I320" s="40"/>
      <c r="J320" s="40"/>
      <c r="K320" s="41"/>
    </row>
    <row r="321" spans="2:11" x14ac:dyDescent="0.2">
      <c r="B321" s="38"/>
      <c r="C321" s="40" t="s">
        <v>296</v>
      </c>
      <c r="D321" s="40"/>
      <c r="E321" s="40"/>
      <c r="F321" s="40"/>
      <c r="G321" s="40"/>
      <c r="H321" s="40"/>
      <c r="I321" s="40"/>
      <c r="J321" s="266"/>
      <c r="K321" s="41"/>
    </row>
    <row r="322" spans="2:11" x14ac:dyDescent="0.2">
      <c r="B322" s="38"/>
      <c r="C322" s="40" t="s">
        <v>261</v>
      </c>
      <c r="D322" s="40"/>
      <c r="E322" s="40"/>
      <c r="F322" s="40"/>
      <c r="G322" s="40"/>
      <c r="H322" s="40"/>
      <c r="I322" s="40"/>
      <c r="J322" s="245">
        <f>IF(J321&lt;=0,0,IF(J321&lt;=2,1,IF(J321&lt;=6,2,IF(J321&lt;=12,3,4))))</f>
        <v>0</v>
      </c>
      <c r="K322" s="41"/>
    </row>
    <row r="323" spans="2:11" x14ac:dyDescent="0.2">
      <c r="B323" s="38"/>
      <c r="C323" s="40" t="s">
        <v>893</v>
      </c>
      <c r="D323" s="40"/>
      <c r="E323" s="40"/>
      <c r="F323" s="40"/>
      <c r="G323" s="40"/>
      <c r="H323" s="40"/>
      <c r="I323" s="40"/>
      <c r="J323" s="40"/>
      <c r="K323" s="41"/>
    </row>
    <row r="324" spans="2:11" ht="15" customHeight="1" x14ac:dyDescent="0.2">
      <c r="B324" s="38"/>
      <c r="C324" s="399"/>
      <c r="D324" s="400"/>
      <c r="E324" s="400"/>
      <c r="F324" s="400"/>
      <c r="G324" s="400"/>
      <c r="H324" s="400"/>
      <c r="I324" s="400"/>
      <c r="J324" s="401"/>
      <c r="K324" s="41"/>
    </row>
    <row r="325" spans="2:11" x14ac:dyDescent="0.2">
      <c r="B325" s="38"/>
      <c r="C325" s="40"/>
      <c r="D325" s="40"/>
      <c r="E325" s="40"/>
      <c r="F325" s="40"/>
      <c r="G325" s="40"/>
      <c r="H325" s="40"/>
      <c r="I325" s="40"/>
      <c r="J325" s="40"/>
      <c r="K325" s="41"/>
    </row>
    <row r="326" spans="2:11" x14ac:dyDescent="0.2">
      <c r="B326" s="38"/>
      <c r="C326" s="179" t="s">
        <v>886</v>
      </c>
      <c r="D326" s="40"/>
      <c r="E326" s="40"/>
      <c r="F326" s="40"/>
      <c r="G326" s="40"/>
      <c r="H326" s="40"/>
      <c r="I326" s="40"/>
      <c r="J326" s="245">
        <f>IF(OR(J315="Not Calculated",J322="Not Calculated")=TRUE,"Not Calculated",AVERAGE(J315,J322))</f>
        <v>2</v>
      </c>
      <c r="K326" s="41"/>
    </row>
    <row r="327" spans="2:11" x14ac:dyDescent="0.2">
      <c r="B327" s="38"/>
      <c r="C327" s="40"/>
      <c r="D327" s="40"/>
      <c r="E327" s="40"/>
      <c r="F327" s="40"/>
      <c r="G327" s="40"/>
      <c r="H327" s="40"/>
      <c r="I327" s="40"/>
      <c r="J327" s="40"/>
      <c r="K327" s="41"/>
    </row>
    <row r="328" spans="2:11" x14ac:dyDescent="0.2">
      <c r="B328" s="38"/>
      <c r="C328" s="40"/>
      <c r="D328" s="40"/>
      <c r="E328" s="40"/>
      <c r="F328" s="40"/>
      <c r="G328" s="40"/>
      <c r="H328" s="40"/>
      <c r="I328" s="40"/>
      <c r="J328" s="40"/>
      <c r="K328" s="41"/>
    </row>
    <row r="329" spans="2:11" ht="16" x14ac:dyDescent="0.2">
      <c r="B329" s="38"/>
      <c r="C329" s="45" t="s">
        <v>858</v>
      </c>
      <c r="D329" s="40"/>
      <c r="E329" s="40"/>
      <c r="F329" s="40"/>
      <c r="G329" s="40"/>
      <c r="H329" s="40"/>
      <c r="I329" s="40"/>
      <c r="J329" s="40"/>
      <c r="K329" s="41"/>
    </row>
    <row r="330" spans="2:11" ht="15" customHeight="1" x14ac:dyDescent="0.2">
      <c r="B330" s="38"/>
      <c r="C330" s="380" t="s">
        <v>844</v>
      </c>
      <c r="D330" s="380"/>
      <c r="E330" s="380"/>
      <c r="F330" s="380"/>
      <c r="G330" s="380"/>
      <c r="H330" s="380"/>
      <c r="I330" s="380"/>
      <c r="J330" s="40"/>
      <c r="K330" s="41"/>
    </row>
    <row r="331" spans="2:11" x14ac:dyDescent="0.2">
      <c r="B331" s="38"/>
      <c r="C331" s="380"/>
      <c r="D331" s="380"/>
      <c r="E331" s="380"/>
      <c r="F331" s="380"/>
      <c r="G331" s="380"/>
      <c r="H331" s="380"/>
      <c r="I331" s="380"/>
      <c r="J331" s="264"/>
      <c r="K331" s="41"/>
    </row>
    <row r="332" spans="2:11" x14ac:dyDescent="0.2">
      <c r="B332" s="38"/>
      <c r="C332" s="40" t="s">
        <v>853</v>
      </c>
      <c r="D332" s="291"/>
      <c r="E332" s="291"/>
      <c r="F332" s="291"/>
      <c r="G332" s="291"/>
      <c r="H332" s="291"/>
      <c r="I332" s="291"/>
      <c r="J332" s="255">
        <f>'Baseline Health'!$G$102</f>
        <v>0</v>
      </c>
      <c r="K332" s="41"/>
    </row>
    <row r="333" spans="2:11" x14ac:dyDescent="0.2">
      <c r="B333" s="38"/>
      <c r="C333" s="40" t="s">
        <v>845</v>
      </c>
      <c r="D333" s="40"/>
      <c r="E333" s="40"/>
      <c r="F333" s="40"/>
      <c r="G333" s="40"/>
      <c r="H333" s="40"/>
      <c r="I333" s="40"/>
      <c r="J333" s="244" t="str">
        <f>IF('Baseline Health'!$G$102=0,"Not Calculated",100*J331/'Baseline Health'!$G$102)</f>
        <v>Not Calculated</v>
      </c>
      <c r="K333" s="41"/>
    </row>
    <row r="334" spans="2:11" x14ac:dyDescent="0.2">
      <c r="B334" s="38"/>
      <c r="C334" s="40" t="s">
        <v>260</v>
      </c>
      <c r="D334" s="40"/>
      <c r="E334" s="40"/>
      <c r="F334" s="40"/>
      <c r="G334" s="40"/>
      <c r="H334" s="40"/>
      <c r="I334" s="40"/>
      <c r="J334" s="245">
        <f>IF(J333&lt;=0,0,IF(J333&lt;=1,1,IF(J333&lt;=5,2,IF(J333&lt;=10,3,4))))</f>
        <v>4</v>
      </c>
      <c r="K334" s="41"/>
    </row>
    <row r="335" spans="2:11" ht="9.75" customHeight="1" x14ac:dyDescent="0.2">
      <c r="B335" s="38"/>
      <c r="C335" s="279" t="str">
        <f>"0:"</f>
        <v>0:</v>
      </c>
      <c r="D335" s="278" t="s">
        <v>932</v>
      </c>
      <c r="E335" s="40"/>
      <c r="F335" s="40"/>
      <c r="G335" s="40"/>
      <c r="H335" s="40"/>
      <c r="I335" s="40"/>
      <c r="J335" s="244"/>
      <c r="K335" s="41"/>
    </row>
    <row r="336" spans="2:11" ht="9.75" customHeight="1" x14ac:dyDescent="0.2">
      <c r="B336" s="38"/>
      <c r="C336" s="280" t="str">
        <f>"1:"</f>
        <v>1:</v>
      </c>
      <c r="D336" s="278" t="s">
        <v>934</v>
      </c>
      <c r="E336" s="40"/>
      <c r="F336" s="40"/>
      <c r="G336" s="40"/>
      <c r="H336" s="40"/>
      <c r="I336" s="40"/>
      <c r="J336" s="244"/>
      <c r="K336" s="41"/>
    </row>
    <row r="337" spans="2:11" ht="9.75" customHeight="1" x14ac:dyDescent="0.2">
      <c r="B337" s="38"/>
      <c r="C337" s="280" t="str">
        <f>"2:"</f>
        <v>2:</v>
      </c>
      <c r="D337" s="278" t="s">
        <v>933</v>
      </c>
      <c r="E337" s="40"/>
      <c r="F337" s="40"/>
      <c r="G337" s="40"/>
      <c r="H337" s="40"/>
      <c r="I337" s="40"/>
      <c r="J337" s="244"/>
      <c r="K337" s="41"/>
    </row>
    <row r="338" spans="2:11" ht="9.75" customHeight="1" x14ac:dyDescent="0.2">
      <c r="B338" s="38"/>
      <c r="C338" s="280" t="str">
        <f>"3:"</f>
        <v>3:</v>
      </c>
      <c r="D338" s="278" t="s">
        <v>935</v>
      </c>
      <c r="E338" s="40"/>
      <c r="F338" s="40"/>
      <c r="G338" s="40"/>
      <c r="H338" s="40"/>
      <c r="I338" s="40"/>
      <c r="J338" s="244"/>
      <c r="K338" s="41"/>
    </row>
    <row r="339" spans="2:11" ht="9.75" customHeight="1" x14ac:dyDescent="0.2">
      <c r="B339" s="38"/>
      <c r="C339" s="280" t="str">
        <f>"4:"</f>
        <v>4:</v>
      </c>
      <c r="D339" s="278" t="s">
        <v>936</v>
      </c>
      <c r="E339" s="40"/>
      <c r="F339" s="40"/>
      <c r="G339" s="40"/>
      <c r="H339" s="40"/>
      <c r="I339" s="40"/>
      <c r="J339" s="40"/>
      <c r="K339" s="41"/>
    </row>
    <row r="340" spans="2:11" x14ac:dyDescent="0.2">
      <c r="B340" s="38"/>
      <c r="C340" s="380" t="s">
        <v>84</v>
      </c>
      <c r="D340" s="380"/>
      <c r="E340" s="380"/>
      <c r="F340" s="380"/>
      <c r="G340" s="380"/>
      <c r="H340" s="380"/>
      <c r="I340" s="380"/>
      <c r="J340" s="245"/>
      <c r="K340" s="41"/>
    </row>
    <row r="341" spans="2:11" x14ac:dyDescent="0.2">
      <c r="B341" s="38"/>
      <c r="C341" s="380"/>
      <c r="D341" s="380"/>
      <c r="E341" s="380"/>
      <c r="F341" s="380"/>
      <c r="G341" s="380"/>
      <c r="H341" s="380"/>
      <c r="I341" s="380"/>
      <c r="J341" s="245">
        <f>'Baseline Health'!G108</f>
        <v>40</v>
      </c>
      <c r="K341" s="41"/>
    </row>
    <row r="342" spans="2:11" ht="15" customHeight="1" x14ac:dyDescent="0.2">
      <c r="B342" s="38"/>
      <c r="C342" s="40" t="s">
        <v>833</v>
      </c>
      <c r="D342" s="40"/>
      <c r="E342" s="40"/>
      <c r="F342" s="40"/>
      <c r="G342" s="40"/>
      <c r="H342" s="40"/>
      <c r="I342" s="40"/>
      <c r="J342" s="245">
        <f>IF(J341&gt;J321,0,J321-J341)</f>
        <v>0</v>
      </c>
      <c r="K342" s="41"/>
    </row>
    <row r="343" spans="2:11" x14ac:dyDescent="0.2">
      <c r="B343" s="38"/>
      <c r="C343" s="40"/>
      <c r="D343" s="380" t="s">
        <v>834</v>
      </c>
      <c r="E343" s="380"/>
      <c r="F343" s="380"/>
      <c r="G343" s="380"/>
      <c r="H343" s="380"/>
      <c r="I343" s="380"/>
      <c r="J343" s="40"/>
      <c r="K343" s="41"/>
    </row>
    <row r="344" spans="2:11" x14ac:dyDescent="0.2">
      <c r="B344" s="38"/>
      <c r="C344" s="40"/>
      <c r="D344" s="380"/>
      <c r="E344" s="380"/>
      <c r="F344" s="380"/>
      <c r="G344" s="380"/>
      <c r="H344" s="380"/>
      <c r="I344" s="380"/>
      <c r="J344" s="40"/>
      <c r="K344" s="41"/>
    </row>
    <row r="345" spans="2:11" x14ac:dyDescent="0.2">
      <c r="B345" s="38"/>
      <c r="C345" s="40" t="s">
        <v>261</v>
      </c>
      <c r="D345" s="40"/>
      <c r="E345" s="40"/>
      <c r="F345" s="40"/>
      <c r="G345" s="40"/>
      <c r="H345" s="40"/>
      <c r="I345" s="40"/>
      <c r="J345" s="245">
        <f>IF(J342&lt;=0,0,IF(J342&lt;=2,1,IF(J342&lt;=6,2,IF(J342&lt;=12,3,4))))</f>
        <v>0</v>
      </c>
      <c r="K345" s="41"/>
    </row>
    <row r="346" spans="2:11" x14ac:dyDescent="0.2">
      <c r="B346" s="38"/>
      <c r="C346" s="40" t="s">
        <v>893</v>
      </c>
      <c r="D346" s="40"/>
      <c r="E346" s="40"/>
      <c r="F346" s="40"/>
      <c r="G346" s="40"/>
      <c r="H346" s="40"/>
      <c r="I346" s="40"/>
      <c r="J346" s="40"/>
      <c r="K346" s="41"/>
    </row>
    <row r="347" spans="2:11" ht="15" customHeight="1" x14ac:dyDescent="0.2">
      <c r="B347" s="38"/>
      <c r="C347" s="399"/>
      <c r="D347" s="400"/>
      <c r="E347" s="400"/>
      <c r="F347" s="400"/>
      <c r="G347" s="400"/>
      <c r="H347" s="400"/>
      <c r="I347" s="400"/>
      <c r="J347" s="401"/>
      <c r="K347" s="41"/>
    </row>
    <row r="348" spans="2:11" x14ac:dyDescent="0.2">
      <c r="B348" s="38"/>
      <c r="C348" s="40"/>
      <c r="D348" s="40"/>
      <c r="E348" s="40"/>
      <c r="F348" s="40"/>
      <c r="G348" s="40"/>
      <c r="H348" s="40"/>
      <c r="I348" s="40"/>
      <c r="J348" s="40"/>
      <c r="K348" s="41"/>
    </row>
    <row r="349" spans="2:11" x14ac:dyDescent="0.2">
      <c r="B349" s="38"/>
      <c r="C349" s="179" t="s">
        <v>887</v>
      </c>
      <c r="D349" s="40"/>
      <c r="E349" s="40"/>
      <c r="F349" s="40"/>
      <c r="G349" s="40"/>
      <c r="H349" s="40"/>
      <c r="I349" s="40"/>
      <c r="J349" s="245">
        <f>IF(OR(J334="Not Calculated",J345="Not Calculated")=TRUE,"Not Calculated",AVERAGE(J334,J345))</f>
        <v>2</v>
      </c>
      <c r="K349" s="41"/>
    </row>
    <row r="350" spans="2:11" x14ac:dyDescent="0.2">
      <c r="B350" s="38"/>
      <c r="C350" s="40"/>
      <c r="D350" s="40"/>
      <c r="E350" s="40"/>
      <c r="F350" s="40"/>
      <c r="G350" s="40"/>
      <c r="H350" s="40"/>
      <c r="I350" s="40"/>
      <c r="J350" s="40"/>
      <c r="K350" s="41"/>
    </row>
    <row r="351" spans="2:11" x14ac:dyDescent="0.2">
      <c r="B351" s="38"/>
      <c r="C351" s="40"/>
      <c r="D351" s="40"/>
      <c r="E351" s="40"/>
      <c r="F351" s="40"/>
      <c r="G351" s="40"/>
      <c r="H351" s="40"/>
      <c r="I351" s="40"/>
      <c r="J351" s="40"/>
      <c r="K351" s="41"/>
    </row>
    <row r="352" spans="2:11" ht="15" customHeight="1" x14ac:dyDescent="0.2">
      <c r="B352" s="38"/>
      <c r="C352" s="45" t="s">
        <v>859</v>
      </c>
      <c r="D352" s="40"/>
      <c r="E352" s="40"/>
      <c r="F352" s="40"/>
      <c r="G352" s="40"/>
      <c r="H352" s="40"/>
      <c r="I352" s="40"/>
      <c r="J352" s="40"/>
      <c r="K352" s="41"/>
    </row>
    <row r="353" spans="2:11" x14ac:dyDescent="0.2">
      <c r="B353" s="38"/>
      <c r="C353" s="40" t="s">
        <v>846</v>
      </c>
      <c r="D353" s="40"/>
      <c r="E353" s="40"/>
      <c r="F353" s="40"/>
      <c r="G353" s="40"/>
      <c r="H353" s="40"/>
      <c r="I353" s="40"/>
      <c r="J353" s="264"/>
      <c r="K353" s="41"/>
    </row>
    <row r="354" spans="2:11" x14ac:dyDescent="0.2">
      <c r="B354" s="38"/>
      <c r="C354" s="40" t="s">
        <v>854</v>
      </c>
      <c r="D354" s="40"/>
      <c r="E354" s="40"/>
      <c r="F354" s="40"/>
      <c r="G354" s="40"/>
      <c r="H354" s="40"/>
      <c r="I354" s="40"/>
      <c r="J354" s="255">
        <f>'Baseline Health'!$G$59</f>
        <v>0</v>
      </c>
      <c r="K354" s="41"/>
    </row>
    <row r="355" spans="2:11" x14ac:dyDescent="0.2">
      <c r="B355" s="38"/>
      <c r="C355" s="40" t="s">
        <v>847</v>
      </c>
      <c r="D355" s="40"/>
      <c r="E355" s="40"/>
      <c r="F355" s="40"/>
      <c r="G355" s="40"/>
      <c r="H355" s="40"/>
      <c r="I355" s="40"/>
      <c r="J355" s="244">
        <f>IF(J353=0,0,IF('Baseline Health'!G$59=0,"Not Calculated",100*J353/'Baseline Health'!$G$59))</f>
        <v>0</v>
      </c>
      <c r="K355" s="41"/>
    </row>
    <row r="356" spans="2:11" x14ac:dyDescent="0.2">
      <c r="B356" s="38"/>
      <c r="C356" s="40" t="s">
        <v>260</v>
      </c>
      <c r="D356" s="40"/>
      <c r="E356" s="40"/>
      <c r="F356" s="40"/>
      <c r="G356" s="40"/>
      <c r="H356" s="40"/>
      <c r="I356" s="40"/>
      <c r="J356" s="245">
        <f>IF(J355&lt;=0,0,IF(J355&lt;=5,1,IF(J355&lt;=10,2,IF(J355&lt;=25,3,4))))</f>
        <v>0</v>
      </c>
      <c r="K356" s="41"/>
    </row>
    <row r="357" spans="2:11" ht="9.75" customHeight="1" x14ac:dyDescent="0.2">
      <c r="B357" s="38"/>
      <c r="C357" s="279" t="str">
        <f>"0:"</f>
        <v>0:</v>
      </c>
      <c r="D357" s="278" t="s">
        <v>932</v>
      </c>
      <c r="E357" s="40"/>
      <c r="F357" s="40"/>
      <c r="G357" s="40"/>
      <c r="H357" s="40"/>
      <c r="I357" s="40"/>
      <c r="J357" s="244"/>
      <c r="K357" s="41"/>
    </row>
    <row r="358" spans="2:11" ht="9.75" customHeight="1" x14ac:dyDescent="0.2">
      <c r="B358" s="38"/>
      <c r="C358" s="280" t="str">
        <f>"1:"</f>
        <v>1:</v>
      </c>
      <c r="D358" s="278" t="s">
        <v>933</v>
      </c>
      <c r="E358" s="40"/>
      <c r="F358" s="40"/>
      <c r="G358" s="40"/>
      <c r="H358" s="40"/>
      <c r="I358" s="40"/>
      <c r="J358" s="244"/>
      <c r="K358" s="41"/>
    </row>
    <row r="359" spans="2:11" ht="9.75" customHeight="1" x14ac:dyDescent="0.2">
      <c r="B359" s="38"/>
      <c r="C359" s="280" t="str">
        <f>"2:"</f>
        <v>2:</v>
      </c>
      <c r="D359" s="278" t="s">
        <v>935</v>
      </c>
      <c r="E359" s="40"/>
      <c r="F359" s="40"/>
      <c r="G359" s="40"/>
      <c r="H359" s="40"/>
      <c r="I359" s="40"/>
      <c r="J359" s="244"/>
      <c r="K359" s="41"/>
    </row>
    <row r="360" spans="2:11" ht="9.75" customHeight="1" x14ac:dyDescent="0.2">
      <c r="B360" s="38"/>
      <c r="C360" s="280" t="str">
        <f>"3:"</f>
        <v>3:</v>
      </c>
      <c r="D360" s="278" t="s">
        <v>937</v>
      </c>
      <c r="E360" s="40"/>
      <c r="F360" s="40"/>
      <c r="G360" s="40"/>
      <c r="H360" s="40"/>
      <c r="I360" s="40"/>
      <c r="J360" s="244"/>
      <c r="K360" s="41"/>
    </row>
    <row r="361" spans="2:11" ht="9.75" customHeight="1" x14ac:dyDescent="0.2">
      <c r="B361" s="38"/>
      <c r="C361" s="280" t="str">
        <f>"4:"</f>
        <v>4:</v>
      </c>
      <c r="D361" s="278" t="s">
        <v>938</v>
      </c>
      <c r="E361" s="40"/>
      <c r="F361" s="40"/>
      <c r="G361" s="40"/>
      <c r="H361" s="40"/>
      <c r="I361" s="40"/>
      <c r="J361" s="40"/>
      <c r="K361" s="41"/>
    </row>
    <row r="362" spans="2:11" x14ac:dyDescent="0.2">
      <c r="B362" s="38"/>
      <c r="C362" s="40" t="s">
        <v>257</v>
      </c>
      <c r="D362" s="40"/>
      <c r="E362" s="40"/>
      <c r="F362" s="40"/>
      <c r="G362" s="40"/>
      <c r="H362" s="40"/>
      <c r="I362" s="40"/>
      <c r="J362" s="266"/>
      <c r="K362" s="41"/>
    </row>
    <row r="363" spans="2:11" x14ac:dyDescent="0.2">
      <c r="B363" s="38"/>
      <c r="C363" s="40" t="s">
        <v>261</v>
      </c>
      <c r="D363" s="40"/>
      <c r="E363" s="40"/>
      <c r="F363" s="40"/>
      <c r="G363" s="40"/>
      <c r="H363" s="40"/>
      <c r="I363" s="40"/>
      <c r="J363" s="245" t="str">
        <f>IF(J362=$B$980,$A$980,IF(J362=$B$981,$A$981,IF(J362=$B$982,$A$982,IF(J362=$B$983,$A$983,IF(J362=$B$984,$A$984,"Not Calculated")))))</f>
        <v>Not Calculated</v>
      </c>
      <c r="K363" s="41"/>
    </row>
    <row r="364" spans="2:11" x14ac:dyDescent="0.2">
      <c r="B364" s="38"/>
      <c r="C364" s="40" t="s">
        <v>893</v>
      </c>
      <c r="D364" s="40"/>
      <c r="E364" s="40"/>
      <c r="F364" s="40"/>
      <c r="G364" s="40"/>
      <c r="H364" s="40"/>
      <c r="I364" s="40"/>
      <c r="J364" s="40"/>
      <c r="K364" s="41"/>
    </row>
    <row r="365" spans="2:11" ht="15" customHeight="1" x14ac:dyDescent="0.2">
      <c r="B365" s="38"/>
      <c r="C365" s="399"/>
      <c r="D365" s="400"/>
      <c r="E365" s="400"/>
      <c r="F365" s="400"/>
      <c r="G365" s="400"/>
      <c r="H365" s="400"/>
      <c r="I365" s="400"/>
      <c r="J365" s="401"/>
      <c r="K365" s="41"/>
    </row>
    <row r="366" spans="2:11" x14ac:dyDescent="0.2">
      <c r="B366" s="38"/>
      <c r="C366" s="40"/>
      <c r="D366" s="40"/>
      <c r="E366" s="40"/>
      <c r="F366" s="40"/>
      <c r="G366" s="40"/>
      <c r="H366" s="40"/>
      <c r="I366" s="40"/>
      <c r="J366" s="40"/>
      <c r="K366" s="41"/>
    </row>
    <row r="367" spans="2:11" x14ac:dyDescent="0.2">
      <c r="B367" s="38"/>
      <c r="C367" s="179" t="s">
        <v>888</v>
      </c>
      <c r="D367" s="40"/>
      <c r="E367" s="40"/>
      <c r="F367" s="40"/>
      <c r="G367" s="40"/>
      <c r="H367" s="40"/>
      <c r="I367" s="40"/>
      <c r="J367" s="245" t="str">
        <f>IF(OR(J356="Not Calculated",J363="Not Calculated")=TRUE,"Not Calculated",AVERAGE(J356,J363))</f>
        <v>Not Calculated</v>
      </c>
      <c r="K367" s="41"/>
    </row>
    <row r="368" spans="2:11" x14ac:dyDescent="0.2">
      <c r="B368" s="38"/>
      <c r="C368" s="40"/>
      <c r="D368" s="40"/>
      <c r="E368" s="40"/>
      <c r="F368" s="40"/>
      <c r="G368" s="40"/>
      <c r="H368" s="40"/>
      <c r="I368" s="40"/>
      <c r="J368" s="40"/>
      <c r="K368" s="41"/>
    </row>
    <row r="369" spans="2:11" x14ac:dyDescent="0.2">
      <c r="B369" s="38"/>
      <c r="C369" s="40"/>
      <c r="D369" s="40"/>
      <c r="E369" s="40"/>
      <c r="F369" s="40"/>
      <c r="G369" s="40"/>
      <c r="H369" s="40"/>
      <c r="I369" s="40"/>
      <c r="J369" s="40"/>
      <c r="K369" s="41"/>
    </row>
    <row r="370" spans="2:11" ht="16" x14ac:dyDescent="0.2">
      <c r="B370" s="38"/>
      <c r="C370" s="45" t="s">
        <v>863</v>
      </c>
      <c r="D370" s="40"/>
      <c r="E370" s="40"/>
      <c r="F370" s="40"/>
      <c r="G370" s="40"/>
      <c r="H370" s="40"/>
      <c r="I370" s="40"/>
      <c r="J370" s="40"/>
      <c r="K370" s="41"/>
    </row>
    <row r="371" spans="2:11" ht="15" customHeight="1" x14ac:dyDescent="0.2">
      <c r="B371" s="38"/>
      <c r="C371" s="380" t="s">
        <v>848</v>
      </c>
      <c r="D371" s="380"/>
      <c r="E371" s="380"/>
      <c r="F371" s="380"/>
      <c r="G371" s="380"/>
      <c r="H371" s="380"/>
      <c r="I371" s="380"/>
      <c r="J371" s="181"/>
      <c r="K371" s="41"/>
    </row>
    <row r="372" spans="2:11" x14ac:dyDescent="0.2">
      <c r="B372" s="38"/>
      <c r="C372" s="380"/>
      <c r="D372" s="380"/>
      <c r="E372" s="380"/>
      <c r="F372" s="380"/>
      <c r="G372" s="380"/>
      <c r="H372" s="380"/>
      <c r="I372" s="380"/>
      <c r="J372" s="264"/>
      <c r="K372" s="41"/>
    </row>
    <row r="373" spans="2:11" x14ac:dyDescent="0.2">
      <c r="B373" s="38"/>
      <c r="C373" s="40" t="s">
        <v>853</v>
      </c>
      <c r="D373" s="291"/>
      <c r="E373" s="291"/>
      <c r="F373" s="291"/>
      <c r="G373" s="291"/>
      <c r="H373" s="291"/>
      <c r="I373" s="291"/>
      <c r="J373" s="255">
        <f>'Baseline Health'!$G$102</f>
        <v>0</v>
      </c>
      <c r="K373" s="41"/>
    </row>
    <row r="374" spans="2:11" x14ac:dyDescent="0.2">
      <c r="B374" s="38"/>
      <c r="C374" s="40" t="s">
        <v>842</v>
      </c>
      <c r="D374" s="291"/>
      <c r="E374" s="291"/>
      <c r="F374" s="291"/>
      <c r="G374" s="291"/>
      <c r="H374" s="291"/>
      <c r="I374" s="291"/>
      <c r="J374" s="244" t="str">
        <f>IF('Baseline Health'!$G$102=0,"Not Calculated",100*J372/'Baseline Health'!$G$102)</f>
        <v>Not Calculated</v>
      </c>
      <c r="K374" s="41"/>
    </row>
    <row r="375" spans="2:11" x14ac:dyDescent="0.2">
      <c r="B375" s="38"/>
      <c r="C375" s="40" t="s">
        <v>260</v>
      </c>
      <c r="D375" s="40"/>
      <c r="E375" s="40"/>
      <c r="F375" s="40"/>
      <c r="G375" s="40"/>
      <c r="H375" s="40"/>
      <c r="I375" s="40"/>
      <c r="J375" s="251">
        <f>IF(J374&lt;=0,0,IF(J374&lt;=1,1,IF(J374&lt;=5,2,IF(J374&lt;=10,3,4))))</f>
        <v>4</v>
      </c>
      <c r="K375" s="41"/>
    </row>
    <row r="376" spans="2:11" ht="9.75" customHeight="1" x14ac:dyDescent="0.2">
      <c r="B376" s="38"/>
      <c r="C376" s="279" t="str">
        <f>"0:"</f>
        <v>0:</v>
      </c>
      <c r="D376" s="278" t="s">
        <v>932</v>
      </c>
      <c r="E376" s="291"/>
      <c r="F376" s="291"/>
      <c r="G376" s="291"/>
      <c r="H376" s="291"/>
      <c r="I376" s="291"/>
      <c r="J376" s="244"/>
      <c r="K376" s="41"/>
    </row>
    <row r="377" spans="2:11" ht="9.75" customHeight="1" x14ac:dyDescent="0.2">
      <c r="B377" s="38"/>
      <c r="C377" s="280" t="str">
        <f>"1:"</f>
        <v>1:</v>
      </c>
      <c r="D377" s="278" t="s">
        <v>934</v>
      </c>
      <c r="E377" s="291"/>
      <c r="F377" s="291"/>
      <c r="G377" s="291"/>
      <c r="H377" s="291"/>
      <c r="I377" s="291"/>
      <c r="J377" s="244"/>
      <c r="K377" s="41"/>
    </row>
    <row r="378" spans="2:11" ht="9.75" customHeight="1" x14ac:dyDescent="0.2">
      <c r="B378" s="38"/>
      <c r="C378" s="280" t="str">
        <f>"2:"</f>
        <v>2:</v>
      </c>
      <c r="D378" s="278" t="s">
        <v>933</v>
      </c>
      <c r="E378" s="291"/>
      <c r="F378" s="291"/>
      <c r="G378" s="291"/>
      <c r="H378" s="291"/>
      <c r="I378" s="291"/>
      <c r="J378" s="244"/>
      <c r="K378" s="41"/>
    </row>
    <row r="379" spans="2:11" ht="9.75" customHeight="1" x14ac:dyDescent="0.2">
      <c r="B379" s="38"/>
      <c r="C379" s="280" t="str">
        <f>"3:"</f>
        <v>3:</v>
      </c>
      <c r="D379" s="278" t="s">
        <v>935</v>
      </c>
      <c r="E379" s="291"/>
      <c r="F379" s="291"/>
      <c r="G379" s="291"/>
      <c r="H379" s="291"/>
      <c r="I379" s="291"/>
      <c r="J379" s="244"/>
      <c r="K379" s="41"/>
    </row>
    <row r="380" spans="2:11" ht="9.75" customHeight="1" x14ac:dyDescent="0.2">
      <c r="B380" s="38"/>
      <c r="C380" s="280" t="str">
        <f>"4:"</f>
        <v>4:</v>
      </c>
      <c r="D380" s="278" t="s">
        <v>936</v>
      </c>
      <c r="E380" s="40"/>
      <c r="F380" s="40"/>
      <c r="G380" s="40"/>
      <c r="H380" s="40"/>
      <c r="I380" s="40"/>
      <c r="J380" s="40"/>
      <c r="K380" s="41"/>
    </row>
    <row r="381" spans="2:11" x14ac:dyDescent="0.2">
      <c r="B381" s="38"/>
      <c r="C381" s="40" t="s">
        <v>85</v>
      </c>
      <c r="D381" s="40"/>
      <c r="E381" s="40"/>
      <c r="F381" s="40"/>
      <c r="G381" s="40"/>
      <c r="H381" s="40"/>
      <c r="I381" s="40"/>
      <c r="J381" s="252">
        <f>'Baseline Health'!G114</f>
        <v>7</v>
      </c>
      <c r="K381" s="41"/>
    </row>
    <row r="382" spans="2:11" x14ac:dyDescent="0.2">
      <c r="B382" s="38"/>
      <c r="C382" s="40" t="s">
        <v>297</v>
      </c>
      <c r="D382" s="40"/>
      <c r="E382" s="40"/>
      <c r="F382" s="40"/>
      <c r="G382" s="40"/>
      <c r="H382" s="40"/>
      <c r="I382" s="40"/>
      <c r="J382" s="266"/>
      <c r="K382" s="41"/>
    </row>
    <row r="383" spans="2:11" x14ac:dyDescent="0.2">
      <c r="B383" s="38"/>
      <c r="C383" s="40" t="s">
        <v>261</v>
      </c>
      <c r="D383" s="40"/>
      <c r="E383" s="40"/>
      <c r="F383" s="40"/>
      <c r="G383" s="40"/>
      <c r="H383" s="40"/>
      <c r="I383" s="40"/>
      <c r="J383" s="248">
        <f>IF((J382-J381)&lt;1,0,IF((J382-J381)&lt;3,1,IF((J382-J381)&lt;5,2,IF((J382-J381)&lt;7,3,4))))</f>
        <v>0</v>
      </c>
      <c r="K383" s="41"/>
    </row>
    <row r="384" spans="2:11" x14ac:dyDescent="0.2">
      <c r="B384" s="38"/>
      <c r="C384" s="40" t="s">
        <v>893</v>
      </c>
      <c r="D384" s="40"/>
      <c r="E384" s="40"/>
      <c r="F384" s="40"/>
      <c r="G384" s="40"/>
      <c r="H384" s="40"/>
      <c r="I384" s="40"/>
      <c r="J384" s="40"/>
      <c r="K384" s="41"/>
    </row>
    <row r="385" spans="2:11" x14ac:dyDescent="0.2">
      <c r="B385" s="38"/>
      <c r="C385" s="399"/>
      <c r="D385" s="400"/>
      <c r="E385" s="400"/>
      <c r="F385" s="400"/>
      <c r="G385" s="400"/>
      <c r="H385" s="400"/>
      <c r="I385" s="400"/>
      <c r="J385" s="401"/>
      <c r="K385" s="41"/>
    </row>
    <row r="386" spans="2:11" x14ac:dyDescent="0.2">
      <c r="B386" s="38"/>
      <c r="C386" s="40"/>
      <c r="D386" s="40"/>
      <c r="E386" s="40"/>
      <c r="F386" s="40"/>
      <c r="G386" s="40"/>
      <c r="H386" s="40"/>
      <c r="I386" s="40"/>
      <c r="J386" s="40"/>
      <c r="K386" s="41"/>
    </row>
    <row r="387" spans="2:11" x14ac:dyDescent="0.2">
      <c r="B387" s="38"/>
      <c r="C387" s="179" t="s">
        <v>889</v>
      </c>
      <c r="D387" s="40"/>
      <c r="E387" s="40"/>
      <c r="F387" s="40"/>
      <c r="G387" s="40"/>
      <c r="H387" s="40"/>
      <c r="I387" s="40"/>
      <c r="J387" s="245">
        <f>IF(OR(J375="Not Calculated",J383="Not Calculated")=TRUE,"Not Calculated",AVERAGE(J375,J383))</f>
        <v>2</v>
      </c>
      <c r="K387" s="41"/>
    </row>
    <row r="388" spans="2:11" x14ac:dyDescent="0.2">
      <c r="B388" s="38"/>
      <c r="C388" s="40"/>
      <c r="D388" s="40"/>
      <c r="E388" s="40"/>
      <c r="F388" s="40"/>
      <c r="G388" s="40"/>
      <c r="H388" s="40"/>
      <c r="I388" s="40"/>
      <c r="J388" s="40"/>
      <c r="K388" s="41"/>
    </row>
    <row r="389" spans="2:11" x14ac:dyDescent="0.2">
      <c r="B389" s="38"/>
      <c r="C389" s="40"/>
      <c r="D389" s="40"/>
      <c r="E389" s="40"/>
      <c r="F389" s="40"/>
      <c r="G389" s="40"/>
      <c r="H389" s="40"/>
      <c r="I389" s="40"/>
      <c r="J389" s="40"/>
      <c r="K389" s="41"/>
    </row>
    <row r="390" spans="2:11" ht="16" x14ac:dyDescent="0.2">
      <c r="B390" s="38"/>
      <c r="C390" s="45" t="s">
        <v>860</v>
      </c>
      <c r="D390" s="40"/>
      <c r="E390" s="40"/>
      <c r="F390" s="40"/>
      <c r="G390" s="40"/>
      <c r="H390" s="40"/>
      <c r="I390" s="40"/>
      <c r="J390" s="40"/>
      <c r="K390" s="41"/>
    </row>
    <row r="391" spans="2:11" x14ac:dyDescent="0.2">
      <c r="B391" s="38"/>
      <c r="C391" s="380" t="s">
        <v>849</v>
      </c>
      <c r="D391" s="380"/>
      <c r="E391" s="380"/>
      <c r="F391" s="380"/>
      <c r="G391" s="380"/>
      <c r="H391" s="380"/>
      <c r="I391" s="380"/>
      <c r="J391" s="181"/>
      <c r="K391" s="41"/>
    </row>
    <row r="392" spans="2:11" x14ac:dyDescent="0.2">
      <c r="B392" s="38"/>
      <c r="C392" s="380"/>
      <c r="D392" s="380"/>
      <c r="E392" s="380"/>
      <c r="F392" s="380"/>
      <c r="G392" s="380"/>
      <c r="H392" s="380"/>
      <c r="I392" s="380"/>
      <c r="J392" s="264"/>
      <c r="K392" s="41"/>
    </row>
    <row r="393" spans="2:11" x14ac:dyDescent="0.2">
      <c r="B393" s="38"/>
      <c r="C393" s="40" t="s">
        <v>853</v>
      </c>
      <c r="D393" s="291"/>
      <c r="E393" s="291"/>
      <c r="F393" s="291"/>
      <c r="G393" s="291"/>
      <c r="H393" s="291"/>
      <c r="I393" s="291"/>
      <c r="J393" s="255">
        <f>'Baseline Health'!$G$102</f>
        <v>0</v>
      </c>
      <c r="K393" s="41"/>
    </row>
    <row r="394" spans="2:11" ht="15" customHeight="1" x14ac:dyDescent="0.2">
      <c r="B394" s="38"/>
      <c r="C394" s="40" t="s">
        <v>850</v>
      </c>
      <c r="D394" s="291"/>
      <c r="E394" s="291"/>
      <c r="F394" s="291"/>
      <c r="G394" s="291"/>
      <c r="H394" s="291"/>
      <c r="I394" s="291"/>
      <c r="J394" s="244" t="str">
        <f>IF('Baseline Health'!$G$102=0,"Not Calculated",100*J392/'Baseline Health'!$G$102)</f>
        <v>Not Calculated</v>
      </c>
      <c r="K394" s="41"/>
    </row>
    <row r="395" spans="2:11" ht="15" customHeight="1" x14ac:dyDescent="0.2">
      <c r="B395" s="38"/>
      <c r="C395" s="40" t="s">
        <v>260</v>
      </c>
      <c r="D395" s="40"/>
      <c r="E395" s="40"/>
      <c r="F395" s="40"/>
      <c r="G395" s="40"/>
      <c r="H395" s="40"/>
      <c r="I395" s="40"/>
      <c r="J395" s="43">
        <f>IF(J394&lt;=0,0,IF(J394&lt;=1,1,IF(J394&lt;=5,2,IF(J394&lt;=10,3,4))))</f>
        <v>4</v>
      </c>
      <c r="K395" s="41"/>
    </row>
    <row r="396" spans="2:11" ht="9.75" customHeight="1" x14ac:dyDescent="0.2">
      <c r="B396" s="38"/>
      <c r="C396" s="279" t="str">
        <f>"0:"</f>
        <v>0:</v>
      </c>
      <c r="D396" s="278" t="s">
        <v>932</v>
      </c>
      <c r="E396" s="291"/>
      <c r="F396" s="291"/>
      <c r="G396" s="291"/>
      <c r="H396" s="291"/>
      <c r="I396" s="291"/>
      <c r="J396" s="244"/>
      <c r="K396" s="41"/>
    </row>
    <row r="397" spans="2:11" ht="9.75" customHeight="1" x14ac:dyDescent="0.2">
      <c r="B397" s="38"/>
      <c r="C397" s="280" t="str">
        <f>"1:"</f>
        <v>1:</v>
      </c>
      <c r="D397" s="278" t="s">
        <v>934</v>
      </c>
      <c r="E397" s="291"/>
      <c r="F397" s="291"/>
      <c r="G397" s="291"/>
      <c r="H397" s="291"/>
      <c r="I397" s="291"/>
      <c r="J397" s="244"/>
      <c r="K397" s="41"/>
    </row>
    <row r="398" spans="2:11" ht="9.75" customHeight="1" x14ac:dyDescent="0.2">
      <c r="B398" s="38"/>
      <c r="C398" s="280" t="str">
        <f>"2:"</f>
        <v>2:</v>
      </c>
      <c r="D398" s="278" t="s">
        <v>933</v>
      </c>
      <c r="E398" s="291"/>
      <c r="F398" s="291"/>
      <c r="G398" s="291"/>
      <c r="H398" s="291"/>
      <c r="I398" s="291"/>
      <c r="J398" s="244"/>
      <c r="K398" s="41"/>
    </row>
    <row r="399" spans="2:11" ht="9.75" customHeight="1" x14ac:dyDescent="0.2">
      <c r="B399" s="38"/>
      <c r="C399" s="280" t="str">
        <f>"3:"</f>
        <v>3:</v>
      </c>
      <c r="D399" s="278" t="s">
        <v>935</v>
      </c>
      <c r="E399" s="291"/>
      <c r="F399" s="291"/>
      <c r="G399" s="291"/>
      <c r="H399" s="291"/>
      <c r="I399" s="291"/>
      <c r="J399" s="244"/>
      <c r="K399" s="41"/>
    </row>
    <row r="400" spans="2:11" ht="9.75" customHeight="1" x14ac:dyDescent="0.2">
      <c r="B400" s="38"/>
      <c r="C400" s="280" t="str">
        <f>"4:"</f>
        <v>4:</v>
      </c>
      <c r="D400" s="278" t="s">
        <v>936</v>
      </c>
      <c r="E400" s="40"/>
      <c r="F400" s="40"/>
      <c r="G400" s="40"/>
      <c r="H400" s="40"/>
      <c r="I400" s="40"/>
      <c r="J400" s="40"/>
      <c r="K400" s="41"/>
    </row>
    <row r="401" spans="2:11" x14ac:dyDescent="0.2">
      <c r="B401" s="38"/>
      <c r="C401" s="40" t="s">
        <v>893</v>
      </c>
      <c r="D401" s="40"/>
      <c r="E401" s="40"/>
      <c r="F401" s="40"/>
      <c r="G401" s="40"/>
      <c r="H401" s="40"/>
      <c r="I401" s="40"/>
      <c r="J401" s="40"/>
      <c r="K401" s="41"/>
    </row>
    <row r="402" spans="2:11" ht="15" customHeight="1" x14ac:dyDescent="0.2">
      <c r="B402" s="38"/>
      <c r="C402" s="399"/>
      <c r="D402" s="400"/>
      <c r="E402" s="400"/>
      <c r="F402" s="400"/>
      <c r="G402" s="400"/>
      <c r="H402" s="400"/>
      <c r="I402" s="400"/>
      <c r="J402" s="401"/>
      <c r="K402" s="41"/>
    </row>
    <row r="403" spans="2:11" x14ac:dyDescent="0.2">
      <c r="B403" s="38"/>
      <c r="C403" s="40"/>
      <c r="D403" s="40"/>
      <c r="E403" s="40"/>
      <c r="F403" s="40"/>
      <c r="G403" s="40"/>
      <c r="H403" s="40"/>
      <c r="I403" s="40"/>
      <c r="J403" s="40"/>
      <c r="K403" s="41"/>
    </row>
    <row r="404" spans="2:11" x14ac:dyDescent="0.2">
      <c r="B404" s="38"/>
      <c r="C404" s="179" t="s">
        <v>890</v>
      </c>
      <c r="D404" s="40"/>
      <c r="E404" s="40"/>
      <c r="F404" s="40"/>
      <c r="G404" s="40"/>
      <c r="H404" s="40"/>
      <c r="I404" s="40"/>
      <c r="J404" s="245">
        <f>J395</f>
        <v>4</v>
      </c>
      <c r="K404" s="41"/>
    </row>
    <row r="405" spans="2:11" x14ac:dyDescent="0.2">
      <c r="B405" s="38"/>
      <c r="C405" s="40"/>
      <c r="D405" s="40"/>
      <c r="E405" s="40"/>
      <c r="F405" s="40"/>
      <c r="G405" s="40"/>
      <c r="H405" s="40"/>
      <c r="I405" s="40"/>
      <c r="J405" s="40"/>
      <c r="K405" s="41"/>
    </row>
    <row r="406" spans="2:11" x14ac:dyDescent="0.2">
      <c r="B406" s="38"/>
      <c r="C406" s="40"/>
      <c r="D406" s="40"/>
      <c r="E406" s="40"/>
      <c r="F406" s="40"/>
      <c r="G406" s="40"/>
      <c r="H406" s="40"/>
      <c r="I406" s="40"/>
      <c r="J406" s="40"/>
      <c r="K406" s="41"/>
    </row>
    <row r="407" spans="2:11" ht="16" x14ac:dyDescent="0.2">
      <c r="B407" s="38"/>
      <c r="C407" s="45" t="s">
        <v>861</v>
      </c>
      <c r="D407" s="40"/>
      <c r="E407" s="40"/>
      <c r="F407" s="40"/>
      <c r="G407" s="40"/>
      <c r="H407" s="40"/>
      <c r="I407" s="40"/>
      <c r="J407" s="40"/>
      <c r="K407" s="41"/>
    </row>
    <row r="408" spans="2:11" x14ac:dyDescent="0.2">
      <c r="B408" s="38"/>
      <c r="C408" s="40" t="s">
        <v>298</v>
      </c>
      <c r="D408" s="40"/>
      <c r="E408" s="40"/>
      <c r="F408" s="40"/>
      <c r="G408" s="40"/>
      <c r="H408" s="40"/>
      <c r="I408" s="40"/>
      <c r="J408" s="269"/>
      <c r="K408" s="41"/>
    </row>
    <row r="409" spans="2:11" x14ac:dyDescent="0.2">
      <c r="B409" s="38"/>
      <c r="C409" s="40" t="s">
        <v>260</v>
      </c>
      <c r="D409" s="40"/>
      <c r="E409" s="40"/>
      <c r="F409" s="40"/>
      <c r="G409" s="40"/>
      <c r="H409" s="40"/>
      <c r="I409" s="40"/>
      <c r="J409" s="253">
        <f>IF(J408&lt;=0,0,IF(J408&lt;=(J161*0.01),1,IF(J408&lt;=(J161*0.05),2,IF(J408&lt;=(J161*0.1),3,4))))</f>
        <v>0</v>
      </c>
      <c r="K409" s="41"/>
    </row>
    <row r="410" spans="2:11" ht="9.75" customHeight="1" x14ac:dyDescent="0.2">
      <c r="B410" s="38"/>
      <c r="C410" s="279" t="str">
        <f>"0:"</f>
        <v>0:</v>
      </c>
      <c r="D410" s="278" t="s">
        <v>939</v>
      </c>
      <c r="E410" s="40"/>
      <c r="F410" s="40"/>
      <c r="G410" s="40"/>
      <c r="H410" s="40"/>
      <c r="I410" s="40"/>
      <c r="J410" s="282"/>
      <c r="K410" s="41"/>
    </row>
    <row r="411" spans="2:11" ht="9.75" customHeight="1" x14ac:dyDescent="0.2">
      <c r="B411" s="38"/>
      <c r="C411" s="280" t="str">
        <f>"1:"</f>
        <v>1:</v>
      </c>
      <c r="D411" s="278" t="s">
        <v>940</v>
      </c>
      <c r="E411" s="40"/>
      <c r="F411" s="40"/>
      <c r="G411" s="40"/>
      <c r="H411" s="40"/>
      <c r="I411" s="40"/>
      <c r="J411" s="282"/>
      <c r="K411" s="41"/>
    </row>
    <row r="412" spans="2:11" ht="9.75" customHeight="1" x14ac:dyDescent="0.2">
      <c r="B412" s="38"/>
      <c r="C412" s="280" t="str">
        <f>"2:"</f>
        <v>2:</v>
      </c>
      <c r="D412" s="278" t="s">
        <v>941</v>
      </c>
      <c r="E412" s="40"/>
      <c r="F412" s="40"/>
      <c r="G412" s="40"/>
      <c r="H412" s="40"/>
      <c r="I412" s="40"/>
      <c r="J412" s="282"/>
      <c r="K412" s="41"/>
    </row>
    <row r="413" spans="2:11" ht="9.75" customHeight="1" x14ac:dyDescent="0.2">
      <c r="B413" s="38"/>
      <c r="C413" s="280" t="str">
        <f>"3:"</f>
        <v>3:</v>
      </c>
      <c r="D413" s="278" t="s">
        <v>942</v>
      </c>
      <c r="E413" s="40"/>
      <c r="F413" s="40"/>
      <c r="G413" s="40"/>
      <c r="H413" s="40"/>
      <c r="I413" s="40"/>
      <c r="J413" s="282"/>
      <c r="K413" s="41"/>
    </row>
    <row r="414" spans="2:11" ht="9.75" customHeight="1" x14ac:dyDescent="0.2">
      <c r="B414" s="38"/>
      <c r="C414" s="280" t="str">
        <f>"4:"</f>
        <v>4:</v>
      </c>
      <c r="D414" s="278" t="s">
        <v>943</v>
      </c>
      <c r="E414" s="40"/>
      <c r="F414" s="40"/>
      <c r="G414" s="40"/>
      <c r="H414" s="40"/>
      <c r="I414" s="40"/>
      <c r="J414" s="40"/>
      <c r="K414" s="41"/>
    </row>
    <row r="415" spans="2:11" x14ac:dyDescent="0.2">
      <c r="B415" s="38"/>
      <c r="C415" s="40" t="s">
        <v>893</v>
      </c>
      <c r="D415" s="40"/>
      <c r="E415" s="40"/>
      <c r="F415" s="40"/>
      <c r="G415" s="40"/>
      <c r="H415" s="40"/>
      <c r="I415" s="40"/>
      <c r="J415" s="40"/>
      <c r="K415" s="41"/>
    </row>
    <row r="416" spans="2:11" ht="15" customHeight="1" x14ac:dyDescent="0.2">
      <c r="B416" s="38"/>
      <c r="C416" s="399"/>
      <c r="D416" s="400"/>
      <c r="E416" s="400"/>
      <c r="F416" s="400"/>
      <c r="G416" s="400"/>
      <c r="H416" s="400"/>
      <c r="I416" s="400"/>
      <c r="J416" s="401"/>
      <c r="K416" s="41"/>
    </row>
    <row r="417" spans="2:11" x14ac:dyDescent="0.2">
      <c r="B417" s="38"/>
      <c r="C417" s="40"/>
      <c r="D417" s="40"/>
      <c r="E417" s="40"/>
      <c r="F417" s="40"/>
      <c r="G417" s="40"/>
      <c r="H417" s="40"/>
      <c r="I417" s="40"/>
      <c r="J417" s="40"/>
      <c r="K417" s="41"/>
    </row>
    <row r="418" spans="2:11" x14ac:dyDescent="0.2">
      <c r="B418" s="38"/>
      <c r="C418" s="179" t="s">
        <v>891</v>
      </c>
      <c r="D418" s="40"/>
      <c r="E418" s="40"/>
      <c r="F418" s="40"/>
      <c r="G418" s="40"/>
      <c r="H418" s="40"/>
      <c r="I418" s="40"/>
      <c r="J418" s="245">
        <f>J409</f>
        <v>0</v>
      </c>
      <c r="K418" s="41"/>
    </row>
    <row r="419" spans="2:11" x14ac:dyDescent="0.2">
      <c r="B419" s="38"/>
      <c r="C419" s="40"/>
      <c r="D419" s="40"/>
      <c r="E419" s="40"/>
      <c r="F419" s="40"/>
      <c r="G419" s="40"/>
      <c r="H419" s="40"/>
      <c r="I419" s="40"/>
      <c r="J419" s="40"/>
      <c r="K419" s="41"/>
    </row>
    <row r="420" spans="2:11" x14ac:dyDescent="0.2">
      <c r="B420" s="38"/>
      <c r="C420" s="410" t="s">
        <v>881</v>
      </c>
      <c r="D420" s="410"/>
      <c r="E420" s="410"/>
      <c r="F420" s="410"/>
      <c r="G420" s="410"/>
      <c r="H420" s="410"/>
      <c r="I420" s="410"/>
      <c r="J420" s="40"/>
      <c r="K420" s="41"/>
    </row>
    <row r="421" spans="2:11" x14ac:dyDescent="0.2">
      <c r="B421" s="38"/>
      <c r="C421" s="410"/>
      <c r="D421" s="410"/>
      <c r="E421" s="410"/>
      <c r="F421" s="410"/>
      <c r="G421" s="410"/>
      <c r="H421" s="410"/>
      <c r="I421" s="410"/>
      <c r="J421" s="244" t="str">
        <f>IF(OR(J288="Not Calculated",J307="Not Calculated",J326="Not Calculated",J349="Not Calculated",J367="Not Calculated",J387="Not Calculated",J404="Not Calculated",J418="Not Calculated")=TRUE,"Not Calculated",AVERAGE(J288,J307,J326,J349,J367,J387,J404,J418))</f>
        <v>Not Calculated</v>
      </c>
      <c r="K421" s="41"/>
    </row>
    <row r="422" spans="2:11" ht="16" thickBot="1" x14ac:dyDescent="0.25">
      <c r="B422" s="46"/>
      <c r="C422" s="47"/>
      <c r="D422" s="47"/>
      <c r="E422" s="47"/>
      <c r="F422" s="47"/>
      <c r="G422" s="47"/>
      <c r="H422" s="47"/>
      <c r="I422" s="47"/>
      <c r="J422" s="47"/>
      <c r="K422" s="49"/>
    </row>
    <row r="423" spans="2:11" ht="16" thickBot="1" x14ac:dyDescent="0.25"/>
    <row r="424" spans="2:11" x14ac:dyDescent="0.2">
      <c r="B424" s="33"/>
      <c r="C424" s="34"/>
      <c r="D424" s="34"/>
      <c r="E424" s="34"/>
      <c r="F424" s="34"/>
      <c r="G424" s="34"/>
      <c r="H424" s="34"/>
      <c r="I424" s="34"/>
      <c r="J424" s="34"/>
      <c r="K424" s="37"/>
    </row>
    <row r="425" spans="2:11" ht="21" x14ac:dyDescent="0.25">
      <c r="B425" s="38"/>
      <c r="C425" s="40"/>
      <c r="D425" s="40"/>
      <c r="E425" s="40"/>
      <c r="F425" s="40"/>
      <c r="G425" s="172" t="s">
        <v>230</v>
      </c>
      <c r="H425" s="40"/>
      <c r="I425" s="40"/>
      <c r="J425" s="40"/>
      <c r="K425" s="41"/>
    </row>
    <row r="426" spans="2:11" x14ac:dyDescent="0.2">
      <c r="B426" s="38"/>
      <c r="C426" s="40"/>
      <c r="D426" s="40"/>
      <c r="E426" s="40"/>
      <c r="F426" s="40"/>
      <c r="G426" s="40"/>
      <c r="H426" s="40"/>
      <c r="I426" s="40"/>
      <c r="J426" s="40"/>
      <c r="K426" s="41"/>
    </row>
    <row r="427" spans="2:11" ht="16" x14ac:dyDescent="0.2">
      <c r="B427" s="38"/>
      <c r="C427" s="45" t="s">
        <v>299</v>
      </c>
      <c r="D427" s="40"/>
      <c r="E427" s="40"/>
      <c r="F427" s="40"/>
      <c r="G427" s="40"/>
      <c r="H427" s="40"/>
      <c r="I427" s="40"/>
      <c r="J427" s="40"/>
      <c r="K427" s="41"/>
    </row>
    <row r="428" spans="2:11" x14ac:dyDescent="0.2">
      <c r="B428" s="38"/>
      <c r="C428" s="40" t="s">
        <v>300</v>
      </c>
      <c r="D428" s="40"/>
      <c r="E428" s="40"/>
      <c r="F428" s="40"/>
      <c r="G428" s="40"/>
      <c r="H428" s="40"/>
      <c r="I428" s="40"/>
      <c r="J428" s="270"/>
      <c r="K428" s="41"/>
    </row>
    <row r="429" spans="2:11" x14ac:dyDescent="0.2">
      <c r="B429" s="38"/>
      <c r="C429" s="40" t="s">
        <v>260</v>
      </c>
      <c r="D429" s="40"/>
      <c r="E429" s="40"/>
      <c r="F429" s="40"/>
      <c r="G429" s="40"/>
      <c r="H429" s="40"/>
      <c r="I429" s="40"/>
      <c r="J429" s="248">
        <f>IF(J428&lt;=0,0,IF(J428&lt;=1,1,IF(J428&lt;=5,2,IF(J428&lt;=10,3,4))))</f>
        <v>0</v>
      </c>
      <c r="K429" s="41"/>
    </row>
    <row r="430" spans="2:11" s="98" customFormat="1" ht="9.75" customHeight="1" x14ac:dyDescent="0.2">
      <c r="B430" s="288"/>
      <c r="C430" s="279" t="str">
        <f>"0:"</f>
        <v>0:</v>
      </c>
      <c r="D430" s="290" t="s">
        <v>944</v>
      </c>
      <c r="E430" s="245"/>
      <c r="F430" s="245"/>
      <c r="G430" s="245"/>
      <c r="H430" s="245"/>
      <c r="I430" s="245"/>
      <c r="J430" s="245"/>
      <c r="K430" s="289"/>
    </row>
    <row r="431" spans="2:11" s="98" customFormat="1" ht="9.75" customHeight="1" x14ac:dyDescent="0.2">
      <c r="B431" s="288"/>
      <c r="C431" s="280" t="str">
        <f>"1:"</f>
        <v>1:</v>
      </c>
      <c r="D431" s="290" t="s">
        <v>945</v>
      </c>
      <c r="E431" s="245"/>
      <c r="F431" s="245"/>
      <c r="G431" s="245"/>
      <c r="H431" s="245"/>
      <c r="I431" s="245"/>
      <c r="J431" s="245"/>
      <c r="K431" s="289"/>
    </row>
    <row r="432" spans="2:11" s="98" customFormat="1" ht="9.75" customHeight="1" x14ac:dyDescent="0.2">
      <c r="B432" s="288"/>
      <c r="C432" s="280" t="str">
        <f>"2:"</f>
        <v>2:</v>
      </c>
      <c r="D432" s="290" t="s">
        <v>946</v>
      </c>
      <c r="E432" s="245"/>
      <c r="F432" s="245"/>
      <c r="G432" s="245"/>
      <c r="H432" s="245"/>
      <c r="I432" s="245"/>
      <c r="J432" s="245"/>
      <c r="K432" s="289"/>
    </row>
    <row r="433" spans="2:11" s="98" customFormat="1" ht="9.75" customHeight="1" x14ac:dyDescent="0.2">
      <c r="B433" s="288"/>
      <c r="C433" s="280" t="str">
        <f>"3:"</f>
        <v>3:</v>
      </c>
      <c r="D433" s="290" t="s">
        <v>947</v>
      </c>
      <c r="E433" s="245"/>
      <c r="F433" s="245"/>
      <c r="G433" s="245"/>
      <c r="H433" s="245"/>
      <c r="I433" s="245"/>
      <c r="J433" s="245"/>
      <c r="K433" s="289"/>
    </row>
    <row r="434" spans="2:11" s="98" customFormat="1" ht="9.75" customHeight="1" x14ac:dyDescent="0.2">
      <c r="B434" s="288"/>
      <c r="C434" s="280" t="str">
        <f>"4:"</f>
        <v>4:</v>
      </c>
      <c r="D434" s="290" t="s">
        <v>948</v>
      </c>
      <c r="E434" s="245"/>
      <c r="F434" s="245"/>
      <c r="G434" s="245"/>
      <c r="H434" s="245"/>
      <c r="I434" s="245"/>
      <c r="J434" s="247"/>
      <c r="K434" s="289"/>
    </row>
    <row r="435" spans="2:11" x14ac:dyDescent="0.2">
      <c r="B435" s="38"/>
      <c r="C435" s="40" t="s">
        <v>257</v>
      </c>
      <c r="D435" s="40"/>
      <c r="E435" s="40"/>
      <c r="F435" s="40"/>
      <c r="G435" s="40"/>
      <c r="H435" s="40"/>
      <c r="I435" s="40"/>
      <c r="J435" s="266"/>
      <c r="K435" s="41"/>
    </row>
    <row r="436" spans="2:11" x14ac:dyDescent="0.2">
      <c r="B436" s="38"/>
      <c r="C436" s="40" t="s">
        <v>261</v>
      </c>
      <c r="D436" s="40"/>
      <c r="E436" s="40"/>
      <c r="F436" s="40"/>
      <c r="G436" s="40"/>
      <c r="H436" s="40"/>
      <c r="I436" s="40"/>
      <c r="J436" s="245" t="str">
        <f>IF(J435=$B$973,$A$973,IF(J435=$B$974,$A$974,IF(J435=$B$975,$A$975,IF(J435=$B$976,$A$976,IF(J435=$B$977,$A$977,"Not Calculated")))))</f>
        <v>Not Calculated</v>
      </c>
      <c r="K436" s="41"/>
    </row>
    <row r="437" spans="2:11" x14ac:dyDescent="0.2">
      <c r="B437" s="38"/>
      <c r="C437" s="40" t="s">
        <v>893</v>
      </c>
      <c r="D437" s="40"/>
      <c r="E437" s="40"/>
      <c r="F437" s="40"/>
      <c r="G437" s="40"/>
      <c r="H437" s="40"/>
      <c r="I437" s="40"/>
      <c r="J437" s="40"/>
      <c r="K437" s="41"/>
    </row>
    <row r="438" spans="2:11" x14ac:dyDescent="0.2">
      <c r="B438" s="38"/>
      <c r="C438" s="399"/>
      <c r="D438" s="400"/>
      <c r="E438" s="400"/>
      <c r="F438" s="400"/>
      <c r="G438" s="400"/>
      <c r="H438" s="400"/>
      <c r="I438" s="400"/>
      <c r="J438" s="401"/>
      <c r="K438" s="41"/>
    </row>
    <row r="439" spans="2:11" x14ac:dyDescent="0.2">
      <c r="B439" s="38"/>
      <c r="C439" s="40"/>
      <c r="D439" s="40"/>
      <c r="E439" s="40"/>
      <c r="F439" s="40"/>
      <c r="G439" s="40"/>
      <c r="H439" s="40"/>
      <c r="I439" s="40"/>
      <c r="J439" s="40"/>
      <c r="K439" s="41"/>
    </row>
    <row r="440" spans="2:11" x14ac:dyDescent="0.2">
      <c r="B440" s="38"/>
      <c r="C440" s="179" t="s">
        <v>301</v>
      </c>
      <c r="D440" s="40"/>
      <c r="E440" s="40"/>
      <c r="F440" s="40"/>
      <c r="G440" s="40"/>
      <c r="H440" s="40"/>
      <c r="I440" s="40"/>
      <c r="J440" s="245" t="str">
        <f>IF(OR(J429="Not Calculated",J436="Not Calculated")=TRUE,"Not Calculated",AVERAGE(J429,J436))</f>
        <v>Not Calculated</v>
      </c>
      <c r="K440" s="41"/>
    </row>
    <row r="441" spans="2:11" x14ac:dyDescent="0.2">
      <c r="B441" s="38"/>
      <c r="C441" s="40"/>
      <c r="D441" s="40"/>
      <c r="E441" s="40"/>
      <c r="F441" s="40"/>
      <c r="G441" s="40"/>
      <c r="H441" s="40"/>
      <c r="I441" s="40"/>
      <c r="J441" s="40"/>
      <c r="K441" s="41"/>
    </row>
    <row r="442" spans="2:11" x14ac:dyDescent="0.2">
      <c r="B442" s="38"/>
      <c r="C442" s="40"/>
      <c r="D442" s="40"/>
      <c r="E442" s="40"/>
      <c r="F442" s="40"/>
      <c r="G442" s="40"/>
      <c r="H442" s="40"/>
      <c r="I442" s="40"/>
      <c r="J442" s="40"/>
      <c r="K442" s="41"/>
    </row>
    <row r="443" spans="2:11" ht="16" x14ac:dyDescent="0.2">
      <c r="B443" s="38"/>
      <c r="C443" s="45" t="s">
        <v>303</v>
      </c>
      <c r="D443" s="40"/>
      <c r="E443" s="40"/>
      <c r="F443" s="40"/>
      <c r="G443" s="40"/>
      <c r="H443" s="40"/>
      <c r="I443" s="40"/>
      <c r="J443" s="40"/>
      <c r="K443" s="41"/>
    </row>
    <row r="444" spans="2:11" ht="15" customHeight="1" x14ac:dyDescent="0.2">
      <c r="B444" s="38"/>
      <c r="C444" s="380" t="s">
        <v>305</v>
      </c>
      <c r="D444" s="380"/>
      <c r="E444" s="380"/>
      <c r="F444" s="380"/>
      <c r="G444" s="380"/>
      <c r="H444" s="380"/>
      <c r="I444" s="380"/>
      <c r="J444" s="40"/>
      <c r="K444" s="41"/>
    </row>
    <row r="445" spans="2:11" x14ac:dyDescent="0.2">
      <c r="B445" s="38"/>
      <c r="C445" s="380"/>
      <c r="D445" s="380"/>
      <c r="E445" s="380"/>
      <c r="F445" s="380"/>
      <c r="G445" s="380"/>
      <c r="H445" s="380"/>
      <c r="I445" s="380"/>
      <c r="J445" s="270"/>
      <c r="K445" s="41"/>
    </row>
    <row r="446" spans="2:11" x14ac:dyDescent="0.2">
      <c r="B446" s="38"/>
      <c r="C446" s="40" t="s">
        <v>260</v>
      </c>
      <c r="D446" s="40"/>
      <c r="E446" s="40"/>
      <c r="F446" s="40"/>
      <c r="G446" s="40"/>
      <c r="H446" s="40"/>
      <c r="I446" s="40"/>
      <c r="J446" s="248">
        <f>IF(J445&lt;=0,0,IF(J445&lt;=1,1,IF(J445&lt;=5,2,IF(J445&lt;=10,3,4))))</f>
        <v>0</v>
      </c>
      <c r="K446" s="41"/>
    </row>
    <row r="447" spans="2:11" ht="9.75" customHeight="1" x14ac:dyDescent="0.2">
      <c r="B447" s="38"/>
      <c r="C447" s="279" t="str">
        <f>"0:"</f>
        <v>0:</v>
      </c>
      <c r="D447" s="278" t="s">
        <v>944</v>
      </c>
      <c r="E447" s="40"/>
      <c r="F447" s="40"/>
      <c r="G447" s="40"/>
      <c r="H447" s="40"/>
      <c r="I447" s="40"/>
      <c r="J447" s="245"/>
      <c r="K447" s="41"/>
    </row>
    <row r="448" spans="2:11" ht="9.75" customHeight="1" x14ac:dyDescent="0.2">
      <c r="B448" s="38"/>
      <c r="C448" s="280" t="str">
        <f>"1:"</f>
        <v>1:</v>
      </c>
      <c r="D448" s="278" t="s">
        <v>945</v>
      </c>
      <c r="E448" s="40"/>
      <c r="F448" s="40"/>
      <c r="G448" s="40"/>
      <c r="H448" s="40"/>
      <c r="I448" s="40"/>
      <c r="J448" s="245"/>
      <c r="K448" s="41"/>
    </row>
    <row r="449" spans="2:11" ht="9.75" customHeight="1" x14ac:dyDescent="0.2">
      <c r="B449" s="38"/>
      <c r="C449" s="280" t="str">
        <f>"2:"</f>
        <v>2:</v>
      </c>
      <c r="D449" s="278" t="s">
        <v>946</v>
      </c>
      <c r="E449" s="40"/>
      <c r="F449" s="40"/>
      <c r="G449" s="40"/>
      <c r="H449" s="40"/>
      <c r="I449" s="40"/>
      <c r="J449" s="245"/>
      <c r="K449" s="41"/>
    </row>
    <row r="450" spans="2:11" ht="9.75" customHeight="1" x14ac:dyDescent="0.2">
      <c r="B450" s="38"/>
      <c r="C450" s="280" t="str">
        <f>"3:"</f>
        <v>3:</v>
      </c>
      <c r="D450" s="278" t="s">
        <v>947</v>
      </c>
      <c r="E450" s="40"/>
      <c r="F450" s="40"/>
      <c r="G450" s="40"/>
      <c r="H450" s="40"/>
      <c r="I450" s="40"/>
      <c r="J450" s="245"/>
      <c r="K450" s="41"/>
    </row>
    <row r="451" spans="2:11" ht="9.75" customHeight="1" x14ac:dyDescent="0.2">
      <c r="B451" s="38"/>
      <c r="C451" s="280" t="str">
        <f>"4:"</f>
        <v>4:</v>
      </c>
      <c r="D451" s="278" t="s">
        <v>948</v>
      </c>
      <c r="E451" s="40"/>
      <c r="F451" s="40"/>
      <c r="G451" s="40"/>
      <c r="H451" s="40"/>
      <c r="I451" s="40"/>
      <c r="J451" s="247"/>
      <c r="K451" s="41"/>
    </row>
    <row r="452" spans="2:11" x14ac:dyDescent="0.2">
      <c r="B452" s="38"/>
      <c r="C452" s="40" t="s">
        <v>257</v>
      </c>
      <c r="D452" s="40"/>
      <c r="E452" s="40"/>
      <c r="F452" s="40"/>
      <c r="G452" s="40"/>
      <c r="H452" s="40"/>
      <c r="I452" s="40"/>
      <c r="J452" s="266"/>
      <c r="K452" s="41"/>
    </row>
    <row r="453" spans="2:11" x14ac:dyDescent="0.2">
      <c r="B453" s="38"/>
      <c r="C453" s="40" t="s">
        <v>261</v>
      </c>
      <c r="D453" s="40"/>
      <c r="E453" s="40"/>
      <c r="F453" s="40"/>
      <c r="G453" s="40"/>
      <c r="H453" s="40"/>
      <c r="I453" s="40"/>
      <c r="J453" s="245" t="str">
        <f>IF(J452=$B$973,$A$973,IF(J452=$B$974,$A$974,IF(J452=$B$975,$A$975,IF(J452=$B$976,$A$976,IF(J452=$B$977,$A$977,"Not Calculated")))))</f>
        <v>Not Calculated</v>
      </c>
      <c r="K453" s="41"/>
    </row>
    <row r="454" spans="2:11" x14ac:dyDescent="0.2">
      <c r="B454" s="38"/>
      <c r="C454" s="40" t="s">
        <v>893</v>
      </c>
      <c r="D454" s="40"/>
      <c r="E454" s="40"/>
      <c r="F454" s="40"/>
      <c r="G454" s="40"/>
      <c r="H454" s="40"/>
      <c r="I454" s="40"/>
      <c r="J454" s="40"/>
      <c r="K454" s="41"/>
    </row>
    <row r="455" spans="2:11" ht="15" customHeight="1" x14ac:dyDescent="0.2">
      <c r="B455" s="38"/>
      <c r="C455" s="399"/>
      <c r="D455" s="400"/>
      <c r="E455" s="400"/>
      <c r="F455" s="400"/>
      <c r="G455" s="400"/>
      <c r="H455" s="400"/>
      <c r="I455" s="400"/>
      <c r="J455" s="401"/>
      <c r="K455" s="41"/>
    </row>
    <row r="456" spans="2:11" x14ac:dyDescent="0.2">
      <c r="B456" s="38"/>
      <c r="C456" s="40"/>
      <c r="D456" s="40"/>
      <c r="E456" s="40"/>
      <c r="F456" s="40"/>
      <c r="G456" s="40"/>
      <c r="H456" s="40"/>
      <c r="I456" s="40"/>
      <c r="J456" s="40"/>
      <c r="K456" s="41"/>
    </row>
    <row r="457" spans="2:11" x14ac:dyDescent="0.2">
      <c r="B457" s="38"/>
      <c r="C457" s="179" t="s">
        <v>304</v>
      </c>
      <c r="D457" s="40"/>
      <c r="E457" s="40"/>
      <c r="F457" s="40"/>
      <c r="G457" s="40"/>
      <c r="H457" s="40"/>
      <c r="I457" s="40"/>
      <c r="J457" s="245" t="str">
        <f>IF(OR(J446="Not Calculated",J453="Not Calculated")=TRUE,"Not Calculated",AVERAGE(J446,J453))</f>
        <v>Not Calculated</v>
      </c>
      <c r="K457" s="41"/>
    </row>
    <row r="458" spans="2:11" x14ac:dyDescent="0.2">
      <c r="B458" s="38"/>
      <c r="C458" s="40"/>
      <c r="D458" s="40"/>
      <c r="E458" s="40"/>
      <c r="F458" s="40"/>
      <c r="G458" s="40"/>
      <c r="H458" s="40"/>
      <c r="I458" s="40"/>
      <c r="J458" s="40"/>
      <c r="K458" s="41"/>
    </row>
    <row r="459" spans="2:11" x14ac:dyDescent="0.2">
      <c r="B459" s="38"/>
      <c r="C459" s="40"/>
      <c r="D459" s="40"/>
      <c r="E459" s="40"/>
      <c r="F459" s="40"/>
      <c r="G459" s="40"/>
      <c r="H459" s="40"/>
      <c r="I459" s="40"/>
      <c r="J459" s="40"/>
      <c r="K459" s="41"/>
    </row>
    <row r="460" spans="2:11" ht="16" x14ac:dyDescent="0.2">
      <c r="B460" s="38"/>
      <c r="C460" s="45" t="s">
        <v>306</v>
      </c>
      <c r="D460" s="40"/>
      <c r="E460" s="40"/>
      <c r="F460" s="40"/>
      <c r="G460" s="40"/>
      <c r="H460" s="40"/>
      <c r="I460" s="40"/>
      <c r="J460" s="40"/>
      <c r="K460" s="41"/>
    </row>
    <row r="461" spans="2:11" x14ac:dyDescent="0.2">
      <c r="B461" s="38"/>
      <c r="C461" s="40" t="s">
        <v>949</v>
      </c>
      <c r="D461" s="40"/>
      <c r="E461" s="40"/>
      <c r="F461" s="40"/>
      <c r="G461" s="40"/>
      <c r="H461" s="40"/>
      <c r="I461" s="40"/>
      <c r="J461" s="270"/>
      <c r="K461" s="41"/>
    </row>
    <row r="462" spans="2:11" x14ac:dyDescent="0.2">
      <c r="B462" s="38"/>
      <c r="C462" s="40" t="s">
        <v>260</v>
      </c>
      <c r="D462" s="40"/>
      <c r="E462" s="40"/>
      <c r="F462" s="40"/>
      <c r="G462" s="40"/>
      <c r="H462" s="40"/>
      <c r="I462" s="40"/>
      <c r="J462" s="248">
        <f>IF(J461&lt;=0,0,IF(J461&lt;=1,1,IF(J461&lt;=5,2,IF(J461&lt;=10,3,4))))</f>
        <v>0</v>
      </c>
      <c r="K462" s="41"/>
    </row>
    <row r="463" spans="2:11" ht="9.75" customHeight="1" x14ac:dyDescent="0.2">
      <c r="B463" s="38"/>
      <c r="C463" s="279" t="str">
        <f>"0:"</f>
        <v>0:</v>
      </c>
      <c r="D463" s="290" t="s">
        <v>944</v>
      </c>
      <c r="E463" s="40"/>
      <c r="F463" s="40"/>
      <c r="G463" s="40"/>
      <c r="H463" s="40"/>
      <c r="I463" s="40"/>
      <c r="J463" s="245"/>
      <c r="K463" s="41"/>
    </row>
    <row r="464" spans="2:11" ht="9.75" customHeight="1" x14ac:dyDescent="0.2">
      <c r="B464" s="38"/>
      <c r="C464" s="280" t="str">
        <f>"1:"</f>
        <v>1:</v>
      </c>
      <c r="D464" s="290" t="s">
        <v>945</v>
      </c>
      <c r="E464" s="40"/>
      <c r="F464" s="40"/>
      <c r="G464" s="40"/>
      <c r="H464" s="40"/>
      <c r="I464" s="40"/>
      <c r="J464" s="245"/>
      <c r="K464" s="41"/>
    </row>
    <row r="465" spans="2:11" ht="9.75" customHeight="1" x14ac:dyDescent="0.2">
      <c r="B465" s="38"/>
      <c r="C465" s="280" t="str">
        <f>"2:"</f>
        <v>2:</v>
      </c>
      <c r="D465" s="290" t="s">
        <v>946</v>
      </c>
      <c r="E465" s="40"/>
      <c r="F465" s="40"/>
      <c r="G465" s="40"/>
      <c r="H465" s="40"/>
      <c r="I465" s="40"/>
      <c r="J465" s="245"/>
      <c r="K465" s="41"/>
    </row>
    <row r="466" spans="2:11" ht="9.75" customHeight="1" x14ac:dyDescent="0.2">
      <c r="B466" s="38"/>
      <c r="C466" s="280" t="str">
        <f>"3:"</f>
        <v>3:</v>
      </c>
      <c r="D466" s="290" t="s">
        <v>947</v>
      </c>
      <c r="E466" s="40"/>
      <c r="F466" s="40"/>
      <c r="G466" s="40"/>
      <c r="H466" s="40"/>
      <c r="I466" s="40"/>
      <c r="J466" s="245"/>
      <c r="K466" s="41"/>
    </row>
    <row r="467" spans="2:11" ht="9.75" customHeight="1" x14ac:dyDescent="0.2">
      <c r="B467" s="38"/>
      <c r="C467" s="280" t="str">
        <f>"4:"</f>
        <v>4:</v>
      </c>
      <c r="D467" s="290" t="s">
        <v>948</v>
      </c>
      <c r="E467" s="40"/>
      <c r="F467" s="40"/>
      <c r="G467" s="40"/>
      <c r="H467" s="40"/>
      <c r="I467" s="40"/>
      <c r="J467" s="247"/>
      <c r="K467" s="41"/>
    </row>
    <row r="468" spans="2:11" x14ac:dyDescent="0.2">
      <c r="B468" s="38"/>
      <c r="C468" s="40" t="s">
        <v>257</v>
      </c>
      <c r="D468" s="40"/>
      <c r="E468" s="40"/>
      <c r="F468" s="40"/>
      <c r="G468" s="40"/>
      <c r="H468" s="40"/>
      <c r="I468" s="40"/>
      <c r="J468" s="266"/>
      <c r="K468" s="41"/>
    </row>
    <row r="469" spans="2:11" ht="15" customHeight="1" x14ac:dyDescent="0.2">
      <c r="B469" s="38"/>
      <c r="C469" s="40" t="s">
        <v>261</v>
      </c>
      <c r="D469" s="40"/>
      <c r="E469" s="40"/>
      <c r="F469" s="40"/>
      <c r="G469" s="40"/>
      <c r="H469" s="40"/>
      <c r="I469" s="40"/>
      <c r="J469" s="245" t="str">
        <f>IF(J468=$B$973,$A$973,IF(J468=$B$974,$A$974,IF(J468=$B$975,$A$975,IF(J468=$B$976,$A$976,IF(J468=$B$977,$A$977,"Not Calculated")))))</f>
        <v>Not Calculated</v>
      </c>
      <c r="K469" s="41"/>
    </row>
    <row r="470" spans="2:11" x14ac:dyDescent="0.2">
      <c r="B470" s="38"/>
      <c r="C470" s="40" t="s">
        <v>893</v>
      </c>
      <c r="D470" s="40"/>
      <c r="E470" s="40"/>
      <c r="F470" s="40"/>
      <c r="G470" s="40"/>
      <c r="H470" s="40"/>
      <c r="I470" s="40"/>
      <c r="J470" s="40"/>
      <c r="K470" s="41"/>
    </row>
    <row r="471" spans="2:11" x14ac:dyDescent="0.2">
      <c r="B471" s="38"/>
      <c r="C471" s="399"/>
      <c r="D471" s="400"/>
      <c r="E471" s="400"/>
      <c r="F471" s="400"/>
      <c r="G471" s="400"/>
      <c r="H471" s="400"/>
      <c r="I471" s="400"/>
      <c r="J471" s="401"/>
      <c r="K471" s="41"/>
    </row>
    <row r="472" spans="2:11" x14ac:dyDescent="0.2">
      <c r="B472" s="38"/>
      <c r="C472" s="40"/>
      <c r="D472" s="40"/>
      <c r="E472" s="40"/>
      <c r="F472" s="40"/>
      <c r="G472" s="40"/>
      <c r="H472" s="40"/>
      <c r="I472" s="40"/>
      <c r="J472" s="40"/>
      <c r="K472" s="41"/>
    </row>
    <row r="473" spans="2:11" x14ac:dyDescent="0.2">
      <c r="B473" s="38"/>
      <c r="C473" s="179" t="s">
        <v>307</v>
      </c>
      <c r="D473" s="40"/>
      <c r="E473" s="40"/>
      <c r="F473" s="40"/>
      <c r="G473" s="40"/>
      <c r="H473" s="40"/>
      <c r="I473" s="40"/>
      <c r="J473" s="245" t="str">
        <f>IF(OR(J462="Not Calculated",J469="Not Calculated")=TRUE,"Not Calculated",AVERAGE(J462,J469))</f>
        <v>Not Calculated</v>
      </c>
      <c r="K473" s="41"/>
    </row>
    <row r="474" spans="2:11" x14ac:dyDescent="0.2">
      <c r="B474" s="38"/>
      <c r="C474" s="40"/>
      <c r="D474" s="40"/>
      <c r="E474" s="40"/>
      <c r="F474" s="40"/>
      <c r="G474" s="40"/>
      <c r="H474" s="40"/>
      <c r="I474" s="40"/>
      <c r="J474" s="40"/>
      <c r="K474" s="41"/>
    </row>
    <row r="475" spans="2:11" x14ac:dyDescent="0.2">
      <c r="B475" s="38"/>
      <c r="C475" s="40"/>
      <c r="D475" s="40"/>
      <c r="E475" s="40"/>
      <c r="F475" s="40"/>
      <c r="G475" s="40"/>
      <c r="H475" s="40"/>
      <c r="I475" s="40"/>
      <c r="J475" s="40"/>
      <c r="K475" s="41"/>
    </row>
    <row r="476" spans="2:11" ht="16" x14ac:dyDescent="0.2">
      <c r="B476" s="38"/>
      <c r="C476" s="45" t="s">
        <v>308</v>
      </c>
      <c r="D476" s="40"/>
      <c r="E476" s="40"/>
      <c r="F476" s="40"/>
      <c r="G476" s="40"/>
      <c r="H476" s="40"/>
      <c r="I476" s="40"/>
      <c r="J476" s="40"/>
      <c r="K476" s="41"/>
    </row>
    <row r="477" spans="2:11" ht="15" customHeight="1" x14ac:dyDescent="0.2">
      <c r="B477" s="38"/>
      <c r="C477" s="380" t="s">
        <v>310</v>
      </c>
      <c r="D477" s="380"/>
      <c r="E477" s="380"/>
      <c r="F477" s="380"/>
      <c r="G477" s="380"/>
      <c r="H477" s="380"/>
      <c r="I477" s="380"/>
      <c r="J477" s="40"/>
      <c r="K477" s="41"/>
    </row>
    <row r="478" spans="2:11" x14ac:dyDescent="0.2">
      <c r="B478" s="38"/>
      <c r="C478" s="380"/>
      <c r="D478" s="380"/>
      <c r="E478" s="380"/>
      <c r="F478" s="380"/>
      <c r="G478" s="380"/>
      <c r="H478" s="380"/>
      <c r="I478" s="380"/>
      <c r="J478" s="131"/>
      <c r="K478" s="41"/>
    </row>
    <row r="479" spans="2:11" x14ac:dyDescent="0.2">
      <c r="B479" s="38"/>
      <c r="C479" s="40" t="s">
        <v>261</v>
      </c>
      <c r="D479" s="40"/>
      <c r="E479" s="40"/>
      <c r="F479" s="40"/>
      <c r="G479" s="40"/>
      <c r="H479" s="40"/>
      <c r="I479" s="40"/>
      <c r="J479" s="245">
        <f>IF(J478&lt;=0,0,IF(J478&lt;=1,1,IF(J478&lt;=7,2,IF(J478&lt;=14,3,4))))</f>
        <v>0</v>
      </c>
      <c r="K479" s="41"/>
    </row>
    <row r="480" spans="2:11" s="51" customFormat="1" ht="9.75" customHeight="1" x14ac:dyDescent="0.2">
      <c r="B480" s="283"/>
      <c r="C480" s="279" t="str">
        <f>"0:"</f>
        <v>0:</v>
      </c>
      <c r="D480" s="284" t="s">
        <v>950</v>
      </c>
      <c r="E480" s="285"/>
      <c r="F480" s="285"/>
      <c r="G480" s="285"/>
      <c r="H480" s="285"/>
      <c r="I480" s="285"/>
      <c r="J480" s="43"/>
      <c r="K480" s="286"/>
    </row>
    <row r="481" spans="2:11" s="51" customFormat="1" ht="9.75" customHeight="1" x14ac:dyDescent="0.2">
      <c r="B481" s="283"/>
      <c r="C481" s="280" t="str">
        <f>"1:"</f>
        <v>1:</v>
      </c>
      <c r="D481" s="284" t="s">
        <v>951</v>
      </c>
      <c r="E481" s="285"/>
      <c r="F481" s="285"/>
      <c r="G481" s="285"/>
      <c r="H481" s="285"/>
      <c r="I481" s="285"/>
      <c r="J481" s="43"/>
      <c r="K481" s="286"/>
    </row>
    <row r="482" spans="2:11" s="51" customFormat="1" ht="9.75" customHeight="1" x14ac:dyDescent="0.2">
      <c r="B482" s="283"/>
      <c r="C482" s="280" t="str">
        <f>"2:"</f>
        <v>2:</v>
      </c>
      <c r="D482" s="284" t="s">
        <v>952</v>
      </c>
      <c r="E482" s="285"/>
      <c r="F482" s="285"/>
      <c r="G482" s="285"/>
      <c r="H482" s="285"/>
      <c r="I482" s="285"/>
      <c r="J482" s="43"/>
      <c r="K482" s="286"/>
    </row>
    <row r="483" spans="2:11" s="51" customFormat="1" ht="9.75" customHeight="1" x14ac:dyDescent="0.2">
      <c r="B483" s="283"/>
      <c r="C483" s="280" t="str">
        <f>"3:"</f>
        <v>3:</v>
      </c>
      <c r="D483" s="284" t="s">
        <v>953</v>
      </c>
      <c r="E483" s="285"/>
      <c r="F483" s="285"/>
      <c r="G483" s="285"/>
      <c r="H483" s="285"/>
      <c r="I483" s="285"/>
      <c r="J483" s="43"/>
      <c r="K483" s="286"/>
    </row>
    <row r="484" spans="2:11" s="51" customFormat="1" ht="9.75" customHeight="1" x14ac:dyDescent="0.2">
      <c r="B484" s="283"/>
      <c r="C484" s="280" t="str">
        <f>"4:"</f>
        <v>4:</v>
      </c>
      <c r="D484" s="284" t="s">
        <v>954</v>
      </c>
      <c r="E484" s="285"/>
      <c r="F484" s="285"/>
      <c r="G484" s="285"/>
      <c r="H484" s="285"/>
      <c r="I484" s="285"/>
      <c r="J484" s="43"/>
      <c r="K484" s="286"/>
    </row>
    <row r="485" spans="2:11" x14ac:dyDescent="0.2">
      <c r="B485" s="38"/>
      <c r="C485" s="40" t="s">
        <v>893</v>
      </c>
      <c r="D485" s="40"/>
      <c r="E485" s="40"/>
      <c r="F485" s="40"/>
      <c r="G485" s="40"/>
      <c r="H485" s="40"/>
      <c r="I485" s="40"/>
      <c r="J485" s="40"/>
      <c r="K485" s="41"/>
    </row>
    <row r="486" spans="2:11" x14ac:dyDescent="0.2">
      <c r="B486" s="38"/>
      <c r="C486" s="399"/>
      <c r="D486" s="400"/>
      <c r="E486" s="400"/>
      <c r="F486" s="400"/>
      <c r="G486" s="400"/>
      <c r="H486" s="400"/>
      <c r="I486" s="400"/>
      <c r="J486" s="401"/>
      <c r="K486" s="41"/>
    </row>
    <row r="487" spans="2:11" x14ac:dyDescent="0.2">
      <c r="B487" s="38"/>
      <c r="C487" s="40"/>
      <c r="D487" s="40"/>
      <c r="E487" s="40"/>
      <c r="F487" s="40"/>
      <c r="G487" s="40"/>
      <c r="H487" s="40"/>
      <c r="I487" s="40"/>
      <c r="J487" s="40"/>
      <c r="K487" s="41"/>
    </row>
    <row r="488" spans="2:11" x14ac:dyDescent="0.2">
      <c r="B488" s="38"/>
      <c r="C488" s="179" t="s">
        <v>309</v>
      </c>
      <c r="D488" s="40"/>
      <c r="E488" s="40"/>
      <c r="F488" s="40"/>
      <c r="G488" s="40"/>
      <c r="H488" s="40"/>
      <c r="I488" s="40"/>
      <c r="J488" s="245">
        <f>J479</f>
        <v>0</v>
      </c>
      <c r="K488" s="41"/>
    </row>
    <row r="489" spans="2:11" x14ac:dyDescent="0.2">
      <c r="B489" s="38"/>
      <c r="C489" s="40"/>
      <c r="D489" s="40"/>
      <c r="E489" s="40"/>
      <c r="F489" s="40"/>
      <c r="G489" s="40"/>
      <c r="H489" s="40"/>
      <c r="I489" s="40"/>
      <c r="J489" s="40"/>
      <c r="K489" s="41"/>
    </row>
    <row r="490" spans="2:11" x14ac:dyDescent="0.2">
      <c r="B490" s="38"/>
      <c r="C490" s="40"/>
      <c r="D490" s="40"/>
      <c r="E490" s="40"/>
      <c r="F490" s="40"/>
      <c r="G490" s="40"/>
      <c r="H490" s="40"/>
      <c r="I490" s="40"/>
      <c r="J490" s="40"/>
      <c r="K490" s="41"/>
    </row>
    <row r="491" spans="2:11" ht="16" x14ac:dyDescent="0.2">
      <c r="B491" s="38"/>
      <c r="C491" s="45" t="s">
        <v>311</v>
      </c>
      <c r="D491" s="40"/>
      <c r="E491" s="40"/>
      <c r="F491" s="40"/>
      <c r="G491" s="40"/>
      <c r="H491" s="40"/>
      <c r="I491" s="40"/>
      <c r="J491" s="40"/>
      <c r="K491" s="41"/>
    </row>
    <row r="492" spans="2:11" x14ac:dyDescent="0.2">
      <c r="B492" s="38"/>
      <c r="C492" s="40" t="s">
        <v>312</v>
      </c>
      <c r="D492" s="40"/>
      <c r="E492" s="40"/>
      <c r="F492" s="40"/>
      <c r="G492" s="40"/>
      <c r="H492" s="40"/>
      <c r="I492" s="40"/>
      <c r="J492" s="270"/>
      <c r="K492" s="41"/>
    </row>
    <row r="493" spans="2:11" x14ac:dyDescent="0.2">
      <c r="B493" s="38"/>
      <c r="C493" s="40" t="s">
        <v>260</v>
      </c>
      <c r="D493" s="40"/>
      <c r="E493" s="40"/>
      <c r="F493" s="40"/>
      <c r="G493" s="40"/>
      <c r="H493" s="40"/>
      <c r="I493" s="40"/>
      <c r="J493" s="248">
        <f>IF(J492&lt;=0,0,IF(J492&lt;=1,1,IF(J492&lt;=5,2,IF(J492&lt;=10,3,4))))</f>
        <v>0</v>
      </c>
      <c r="K493" s="41"/>
    </row>
    <row r="494" spans="2:11" ht="9.75" customHeight="1" x14ac:dyDescent="0.2">
      <c r="B494" s="38"/>
      <c r="C494" s="279" t="str">
        <f>"0:"</f>
        <v>0:</v>
      </c>
      <c r="D494" s="290" t="s">
        <v>955</v>
      </c>
      <c r="E494" s="40"/>
      <c r="F494" s="40"/>
      <c r="G494" s="40"/>
      <c r="H494" s="40"/>
      <c r="I494" s="40"/>
      <c r="J494" s="245"/>
      <c r="K494" s="41"/>
    </row>
    <row r="495" spans="2:11" ht="9.75" customHeight="1" x14ac:dyDescent="0.2">
      <c r="B495" s="38"/>
      <c r="C495" s="280" t="str">
        <f>"1:"</f>
        <v>1:</v>
      </c>
      <c r="D495" s="290" t="s">
        <v>956</v>
      </c>
      <c r="E495" s="40"/>
      <c r="F495" s="40"/>
      <c r="G495" s="40"/>
      <c r="H495" s="40"/>
      <c r="I495" s="40"/>
      <c r="J495" s="245"/>
      <c r="K495" s="41"/>
    </row>
    <row r="496" spans="2:11" ht="9.75" customHeight="1" x14ac:dyDescent="0.2">
      <c r="B496" s="38"/>
      <c r="C496" s="280" t="str">
        <f>"2:"</f>
        <v>2:</v>
      </c>
      <c r="D496" s="290" t="s">
        <v>957</v>
      </c>
      <c r="E496" s="40"/>
      <c r="F496" s="40"/>
      <c r="G496" s="40"/>
      <c r="H496" s="40"/>
      <c r="I496" s="40"/>
      <c r="J496" s="245"/>
      <c r="K496" s="41"/>
    </row>
    <row r="497" spans="2:11" ht="9.75" customHeight="1" x14ac:dyDescent="0.2">
      <c r="B497" s="38"/>
      <c r="C497" s="280" t="str">
        <f>"3:"</f>
        <v>3:</v>
      </c>
      <c r="D497" s="290" t="s">
        <v>958</v>
      </c>
      <c r="E497" s="40"/>
      <c r="F497" s="40"/>
      <c r="G497" s="40"/>
      <c r="H497" s="40"/>
      <c r="I497" s="40"/>
      <c r="J497" s="245"/>
      <c r="K497" s="41"/>
    </row>
    <row r="498" spans="2:11" ht="9.75" customHeight="1" x14ac:dyDescent="0.2">
      <c r="B498" s="38"/>
      <c r="C498" s="280" t="str">
        <f>"4:"</f>
        <v>4:</v>
      </c>
      <c r="D498" s="290" t="s">
        <v>959</v>
      </c>
      <c r="E498" s="40"/>
      <c r="F498" s="40"/>
      <c r="G498" s="40"/>
      <c r="H498" s="40"/>
      <c r="I498" s="40"/>
      <c r="J498" s="247"/>
      <c r="K498" s="41"/>
    </row>
    <row r="499" spans="2:11" x14ac:dyDescent="0.2">
      <c r="B499" s="38"/>
      <c r="C499" s="40" t="s">
        <v>313</v>
      </c>
      <c r="D499" s="40"/>
      <c r="E499" s="40"/>
      <c r="F499" s="40"/>
      <c r="G499" s="40"/>
      <c r="H499" s="40"/>
      <c r="I499" s="40"/>
      <c r="J499" s="266"/>
      <c r="K499" s="41"/>
    </row>
    <row r="500" spans="2:11" x14ac:dyDescent="0.2">
      <c r="B500" s="38"/>
      <c r="C500" s="40" t="s">
        <v>261</v>
      </c>
      <c r="D500" s="40"/>
      <c r="E500" s="40"/>
      <c r="F500" s="40"/>
      <c r="G500" s="40"/>
      <c r="H500" s="40"/>
      <c r="I500" s="40"/>
      <c r="J500" s="245" t="str">
        <f>IF(J499=$B$973,$A$973,IF(J499=$B$974,$A$974,IF(J499=$B$975,$A$975,IF(J499=$B$976,$A$976,IF(J499=$B$977,$A$977,"Not Calculated")))))</f>
        <v>Not Calculated</v>
      </c>
      <c r="K500" s="41"/>
    </row>
    <row r="501" spans="2:11" x14ac:dyDescent="0.2">
      <c r="B501" s="38"/>
      <c r="C501" s="40" t="s">
        <v>893</v>
      </c>
      <c r="D501" s="40"/>
      <c r="E501" s="40"/>
      <c r="F501" s="40"/>
      <c r="G501" s="40"/>
      <c r="H501" s="40"/>
      <c r="I501" s="40"/>
      <c r="J501" s="40"/>
      <c r="K501" s="41"/>
    </row>
    <row r="502" spans="2:11" x14ac:dyDescent="0.2">
      <c r="B502" s="38"/>
      <c r="C502" s="399"/>
      <c r="D502" s="400"/>
      <c r="E502" s="400"/>
      <c r="F502" s="400"/>
      <c r="G502" s="400"/>
      <c r="H502" s="400"/>
      <c r="I502" s="400"/>
      <c r="J502" s="401"/>
      <c r="K502" s="41"/>
    </row>
    <row r="503" spans="2:11" x14ac:dyDescent="0.2">
      <c r="B503" s="38"/>
      <c r="C503" s="40"/>
      <c r="D503" s="40"/>
      <c r="E503" s="40"/>
      <c r="F503" s="40"/>
      <c r="G503" s="40"/>
      <c r="H503" s="40"/>
      <c r="I503" s="40"/>
      <c r="J503" s="40"/>
      <c r="K503" s="41"/>
    </row>
    <row r="504" spans="2:11" x14ac:dyDescent="0.2">
      <c r="B504" s="38"/>
      <c r="C504" s="179" t="s">
        <v>321</v>
      </c>
      <c r="D504" s="40"/>
      <c r="E504" s="40"/>
      <c r="F504" s="40"/>
      <c r="G504" s="40"/>
      <c r="H504" s="40"/>
      <c r="I504" s="40"/>
      <c r="J504" s="245" t="str">
        <f>IF(OR(J493="Not Calculated",J500="Not Calculated")=TRUE,"Not Calculated",AVERAGE(J493,J500))</f>
        <v>Not Calculated</v>
      </c>
      <c r="K504" s="41"/>
    </row>
    <row r="505" spans="2:11" x14ac:dyDescent="0.2">
      <c r="B505" s="38"/>
      <c r="C505" s="40"/>
      <c r="D505" s="40"/>
      <c r="E505" s="40"/>
      <c r="F505" s="40"/>
      <c r="G505" s="40"/>
      <c r="H505" s="40"/>
      <c r="I505" s="40"/>
      <c r="J505" s="40"/>
      <c r="K505" s="41"/>
    </row>
    <row r="506" spans="2:11" x14ac:dyDescent="0.2">
      <c r="B506" s="38"/>
      <c r="C506" s="40"/>
      <c r="D506" s="40"/>
      <c r="E506" s="40"/>
      <c r="F506" s="40"/>
      <c r="G506" s="40"/>
      <c r="H506" s="40"/>
      <c r="I506" s="40"/>
      <c r="J506" s="40"/>
      <c r="K506" s="41"/>
    </row>
    <row r="507" spans="2:11" ht="16" x14ac:dyDescent="0.2">
      <c r="B507" s="38"/>
      <c r="C507" s="45" t="s">
        <v>314</v>
      </c>
      <c r="D507" s="40"/>
      <c r="E507" s="40"/>
      <c r="F507" s="40"/>
      <c r="G507" s="40"/>
      <c r="H507" s="40"/>
      <c r="I507" s="40"/>
      <c r="J507" s="40"/>
      <c r="K507" s="41"/>
    </row>
    <row r="508" spans="2:11" x14ac:dyDescent="0.2">
      <c r="B508" s="38"/>
      <c r="C508" s="40" t="s">
        <v>316</v>
      </c>
      <c r="D508" s="40"/>
      <c r="E508" s="40"/>
      <c r="F508" s="40"/>
      <c r="G508" s="40"/>
      <c r="H508" s="40"/>
      <c r="I508" s="40"/>
      <c r="J508" s="269"/>
      <c r="K508" s="41"/>
    </row>
    <row r="509" spans="2:11" x14ac:dyDescent="0.2">
      <c r="B509" s="38"/>
      <c r="C509" s="40" t="s">
        <v>260</v>
      </c>
      <c r="D509" s="40"/>
      <c r="E509" s="40"/>
      <c r="F509" s="40"/>
      <c r="G509" s="40"/>
      <c r="H509" s="40"/>
      <c r="I509" s="40"/>
      <c r="J509" s="248">
        <f>IF(J508&lt;=0,0,IF(J508&lt;=1000,1,IF(J508&lt;=5000,2,IF(J508&lt;=25000,3,4))))</f>
        <v>0</v>
      </c>
      <c r="K509" s="41"/>
    </row>
    <row r="510" spans="2:11" s="51" customFormat="1" ht="9.75" customHeight="1" x14ac:dyDescent="0.2">
      <c r="B510" s="283"/>
      <c r="C510" s="279" t="str">
        <f>"0:"</f>
        <v>0:</v>
      </c>
      <c r="D510" s="284" t="s">
        <v>960</v>
      </c>
      <c r="E510" s="285"/>
      <c r="F510" s="285"/>
      <c r="G510" s="285"/>
      <c r="H510" s="285"/>
      <c r="I510" s="285"/>
      <c r="J510" s="43"/>
      <c r="K510" s="286"/>
    </row>
    <row r="511" spans="2:11" s="51" customFormat="1" ht="9.75" customHeight="1" x14ac:dyDescent="0.2">
      <c r="B511" s="283"/>
      <c r="C511" s="280" t="str">
        <f>"1:"</f>
        <v>1:</v>
      </c>
      <c r="D511" s="284" t="s">
        <v>961</v>
      </c>
      <c r="E511" s="285"/>
      <c r="F511" s="285"/>
      <c r="G511" s="285"/>
      <c r="H511" s="285"/>
      <c r="I511" s="285"/>
      <c r="J511" s="43"/>
      <c r="K511" s="286"/>
    </row>
    <row r="512" spans="2:11" s="51" customFormat="1" ht="9.75" customHeight="1" x14ac:dyDescent="0.2">
      <c r="B512" s="283"/>
      <c r="C512" s="280" t="str">
        <f>"2:"</f>
        <v>2:</v>
      </c>
      <c r="D512" s="284" t="s">
        <v>962</v>
      </c>
      <c r="E512" s="285"/>
      <c r="F512" s="285"/>
      <c r="G512" s="285"/>
      <c r="H512" s="285"/>
      <c r="I512" s="285"/>
      <c r="J512" s="43"/>
      <c r="K512" s="286"/>
    </row>
    <row r="513" spans="2:11" s="51" customFormat="1" ht="9.75" customHeight="1" x14ac:dyDescent="0.2">
      <c r="B513" s="283"/>
      <c r="C513" s="280" t="str">
        <f>"3:"</f>
        <v>3:</v>
      </c>
      <c r="D513" s="284" t="s">
        <v>963</v>
      </c>
      <c r="E513" s="285"/>
      <c r="F513" s="285"/>
      <c r="G513" s="285"/>
      <c r="H513" s="285"/>
      <c r="I513" s="285"/>
      <c r="J513" s="43"/>
      <c r="K513" s="286"/>
    </row>
    <row r="514" spans="2:11" s="51" customFormat="1" ht="9.75" customHeight="1" x14ac:dyDescent="0.2">
      <c r="B514" s="283"/>
      <c r="C514" s="280" t="str">
        <f>"4:"</f>
        <v>4:</v>
      </c>
      <c r="D514" s="284" t="s">
        <v>964</v>
      </c>
      <c r="E514" s="285"/>
      <c r="F514" s="285"/>
      <c r="G514" s="285"/>
      <c r="H514" s="285"/>
      <c r="I514" s="285"/>
      <c r="J514" s="287"/>
      <c r="K514" s="286"/>
    </row>
    <row r="515" spans="2:11" x14ac:dyDescent="0.2">
      <c r="B515" s="38"/>
      <c r="C515" s="40" t="s">
        <v>315</v>
      </c>
      <c r="D515" s="40"/>
      <c r="E515" s="40"/>
      <c r="F515" s="40"/>
      <c r="G515" s="40"/>
      <c r="H515" s="40"/>
      <c r="I515" s="40"/>
      <c r="J515" s="266"/>
      <c r="K515" s="41"/>
    </row>
    <row r="516" spans="2:11" x14ac:dyDescent="0.2">
      <c r="B516" s="38"/>
      <c r="C516" s="40" t="s">
        <v>261</v>
      </c>
      <c r="D516" s="40"/>
      <c r="E516" s="40"/>
      <c r="F516" s="40"/>
      <c r="G516" s="40"/>
      <c r="H516" s="40"/>
      <c r="I516" s="40"/>
      <c r="J516" s="245" t="str">
        <f>IF(J515=$B$973,$A$973,IF(J515=$B$974,$A$974,IF(J515=$B$975,$A$975,IF(J515=$B$976,$A$976,IF(J515=$B$977,$A$977,"Not Calculated")))))</f>
        <v>Not Calculated</v>
      </c>
      <c r="K516" s="41"/>
    </row>
    <row r="517" spans="2:11" x14ac:dyDescent="0.2">
      <c r="B517" s="38"/>
      <c r="C517" s="40" t="s">
        <v>893</v>
      </c>
      <c r="D517" s="40"/>
      <c r="E517" s="40"/>
      <c r="F517" s="40"/>
      <c r="G517" s="40"/>
      <c r="H517" s="40"/>
      <c r="I517" s="40"/>
      <c r="J517" s="40"/>
      <c r="K517" s="41"/>
    </row>
    <row r="518" spans="2:11" ht="15" customHeight="1" x14ac:dyDescent="0.2">
      <c r="B518" s="38"/>
      <c r="C518" s="399"/>
      <c r="D518" s="400"/>
      <c r="E518" s="400"/>
      <c r="F518" s="400"/>
      <c r="G518" s="400"/>
      <c r="H518" s="400"/>
      <c r="I518" s="400"/>
      <c r="J518" s="401"/>
      <c r="K518" s="41"/>
    </row>
    <row r="519" spans="2:11" x14ac:dyDescent="0.2">
      <c r="B519" s="38"/>
      <c r="C519" s="40"/>
      <c r="D519" s="40"/>
      <c r="E519" s="40"/>
      <c r="F519" s="40"/>
      <c r="G519" s="40"/>
      <c r="H519" s="40"/>
      <c r="I519" s="40"/>
      <c r="J519" s="40"/>
      <c r="K519" s="41"/>
    </row>
    <row r="520" spans="2:11" x14ac:dyDescent="0.2">
      <c r="B520" s="38"/>
      <c r="C520" s="179" t="s">
        <v>320</v>
      </c>
      <c r="D520" s="40"/>
      <c r="E520" s="40"/>
      <c r="F520" s="40"/>
      <c r="G520" s="40"/>
      <c r="H520" s="40"/>
      <c r="I520" s="40"/>
      <c r="J520" s="245" t="str">
        <f>IF(OR(J509="Not Calculated",J516="Not Calculated")=TRUE,"Not Calculated",AVERAGE(J509,J516))</f>
        <v>Not Calculated</v>
      </c>
      <c r="K520" s="41"/>
    </row>
    <row r="521" spans="2:11" x14ac:dyDescent="0.2">
      <c r="B521" s="38"/>
      <c r="C521" s="40"/>
      <c r="D521" s="40"/>
      <c r="E521" s="40"/>
      <c r="F521" s="40"/>
      <c r="G521" s="40"/>
      <c r="H521" s="40"/>
      <c r="I521" s="40"/>
      <c r="J521" s="40"/>
      <c r="K521" s="41"/>
    </row>
    <row r="522" spans="2:11" x14ac:dyDescent="0.2">
      <c r="B522" s="38"/>
      <c r="C522" s="40"/>
      <c r="D522" s="40"/>
      <c r="E522" s="40"/>
      <c r="F522" s="40"/>
      <c r="G522" s="40"/>
      <c r="H522" s="40"/>
      <c r="I522" s="40"/>
      <c r="J522" s="40"/>
      <c r="K522" s="41"/>
    </row>
    <row r="523" spans="2:11" ht="16" x14ac:dyDescent="0.2">
      <c r="B523" s="38"/>
      <c r="C523" s="45" t="s">
        <v>317</v>
      </c>
      <c r="D523" s="40"/>
      <c r="E523" s="40"/>
      <c r="F523" s="40"/>
      <c r="G523" s="40"/>
      <c r="H523" s="40"/>
      <c r="I523" s="40"/>
      <c r="J523" s="40"/>
      <c r="K523" s="41"/>
    </row>
    <row r="524" spans="2:11" ht="15" customHeight="1" x14ac:dyDescent="0.2">
      <c r="B524" s="38"/>
      <c r="C524" s="380" t="s">
        <v>318</v>
      </c>
      <c r="D524" s="380"/>
      <c r="E524" s="380"/>
      <c r="F524" s="380"/>
      <c r="G524" s="380"/>
      <c r="H524" s="380"/>
      <c r="I524" s="380"/>
      <c r="J524" s="40"/>
      <c r="K524" s="41"/>
    </row>
    <row r="525" spans="2:11" x14ac:dyDescent="0.2">
      <c r="B525" s="38"/>
      <c r="C525" s="380"/>
      <c r="D525" s="380"/>
      <c r="E525" s="380"/>
      <c r="F525" s="380"/>
      <c r="G525" s="380"/>
      <c r="H525" s="380"/>
      <c r="I525" s="380"/>
      <c r="J525" s="274"/>
      <c r="K525" s="41"/>
    </row>
    <row r="526" spans="2:11" x14ac:dyDescent="0.2">
      <c r="B526" s="38"/>
      <c r="C526" s="40" t="s">
        <v>260</v>
      </c>
      <c r="D526" s="40"/>
      <c r="E526" s="40"/>
      <c r="F526" s="40"/>
      <c r="G526" s="40"/>
      <c r="H526" s="40"/>
      <c r="I526" s="40"/>
      <c r="J526" s="248">
        <f>IF(J525&lt;=0,0,IF(J525&lt;=1,1,IF(J525&lt;=5,2,IF(J525&lt;=10,3,4))))</f>
        <v>0</v>
      </c>
      <c r="K526" s="41"/>
    </row>
    <row r="527" spans="2:11" s="51" customFormat="1" ht="9.75" customHeight="1" x14ac:dyDescent="0.2">
      <c r="B527" s="283"/>
      <c r="C527" s="279" t="str">
        <f>"0:"</f>
        <v>0:</v>
      </c>
      <c r="D527" s="284" t="s">
        <v>965</v>
      </c>
      <c r="E527" s="285"/>
      <c r="F527" s="285"/>
      <c r="G527" s="285"/>
      <c r="H527" s="285"/>
      <c r="I527" s="285"/>
      <c r="J527" s="43"/>
      <c r="K527" s="286"/>
    </row>
    <row r="528" spans="2:11" s="51" customFormat="1" ht="9.75" customHeight="1" x14ac:dyDescent="0.2">
      <c r="B528" s="283"/>
      <c r="C528" s="280" t="str">
        <f>"1:"</f>
        <v>1:</v>
      </c>
      <c r="D528" s="284" t="s">
        <v>966</v>
      </c>
      <c r="E528" s="285"/>
      <c r="F528" s="285"/>
      <c r="G528" s="285"/>
      <c r="H528" s="285"/>
      <c r="I528" s="285"/>
      <c r="J528" s="43"/>
      <c r="K528" s="286"/>
    </row>
    <row r="529" spans="2:11" s="51" customFormat="1" ht="9.75" customHeight="1" x14ac:dyDescent="0.2">
      <c r="B529" s="283"/>
      <c r="C529" s="280" t="str">
        <f>"2:"</f>
        <v>2:</v>
      </c>
      <c r="D529" s="284" t="s">
        <v>967</v>
      </c>
      <c r="E529" s="285"/>
      <c r="F529" s="285"/>
      <c r="G529" s="285"/>
      <c r="H529" s="285"/>
      <c r="I529" s="285"/>
      <c r="J529" s="43"/>
      <c r="K529" s="286"/>
    </row>
    <row r="530" spans="2:11" s="51" customFormat="1" ht="9.75" customHeight="1" x14ac:dyDescent="0.2">
      <c r="B530" s="283"/>
      <c r="C530" s="280" t="str">
        <f>"3:"</f>
        <v>3:</v>
      </c>
      <c r="D530" s="284" t="s">
        <v>968</v>
      </c>
      <c r="E530" s="285"/>
      <c r="F530" s="285"/>
      <c r="G530" s="285"/>
      <c r="H530" s="285"/>
      <c r="I530" s="285"/>
      <c r="J530" s="43"/>
      <c r="K530" s="286"/>
    </row>
    <row r="531" spans="2:11" s="51" customFormat="1" ht="9.75" customHeight="1" x14ac:dyDescent="0.2">
      <c r="B531" s="283"/>
      <c r="C531" s="280" t="str">
        <f>"4:"</f>
        <v>4:</v>
      </c>
      <c r="D531" s="284" t="s">
        <v>969</v>
      </c>
      <c r="E531" s="285"/>
      <c r="F531" s="285"/>
      <c r="G531" s="285"/>
      <c r="H531" s="285"/>
      <c r="I531" s="285"/>
      <c r="J531" s="287"/>
      <c r="K531" s="286"/>
    </row>
    <row r="532" spans="2:11" x14ac:dyDescent="0.2">
      <c r="B532" s="38"/>
      <c r="C532" s="40" t="s">
        <v>257</v>
      </c>
      <c r="D532" s="40"/>
      <c r="E532" s="40"/>
      <c r="F532" s="40"/>
      <c r="G532" s="40"/>
      <c r="H532" s="40"/>
      <c r="I532" s="40"/>
      <c r="J532" s="266"/>
      <c r="K532" s="41"/>
    </row>
    <row r="533" spans="2:11" x14ac:dyDescent="0.2">
      <c r="B533" s="38"/>
      <c r="C533" s="40" t="s">
        <v>261</v>
      </c>
      <c r="D533" s="40"/>
      <c r="E533" s="40"/>
      <c r="F533" s="40"/>
      <c r="G533" s="40"/>
      <c r="H533" s="40"/>
      <c r="I533" s="40"/>
      <c r="J533" s="245" t="str">
        <f>IF(J532=$B$973,$A$973,IF(J532=$B$974,$A$974,IF(J532=$B$975,$A$975,IF(J532=$B$976,$A$976,IF(J532=$B$977,$A$977,"Not Calculated")))))</f>
        <v>Not Calculated</v>
      </c>
      <c r="K533" s="41"/>
    </row>
    <row r="534" spans="2:11" x14ac:dyDescent="0.2">
      <c r="B534" s="38"/>
      <c r="C534" s="40" t="s">
        <v>893</v>
      </c>
      <c r="D534" s="40"/>
      <c r="E534" s="40"/>
      <c r="F534" s="40"/>
      <c r="G534" s="40"/>
      <c r="H534" s="40"/>
      <c r="I534" s="40"/>
      <c r="J534" s="40"/>
      <c r="K534" s="41"/>
    </row>
    <row r="535" spans="2:11" ht="15" customHeight="1" x14ac:dyDescent="0.2">
      <c r="B535" s="38"/>
      <c r="C535" s="399"/>
      <c r="D535" s="400"/>
      <c r="E535" s="400"/>
      <c r="F535" s="400"/>
      <c r="G535" s="400"/>
      <c r="H535" s="400"/>
      <c r="I535" s="400"/>
      <c r="J535" s="401"/>
      <c r="K535" s="41"/>
    </row>
    <row r="536" spans="2:11" x14ac:dyDescent="0.2">
      <c r="B536" s="38"/>
      <c r="C536" s="40"/>
      <c r="D536" s="40"/>
      <c r="E536" s="40"/>
      <c r="F536" s="40"/>
      <c r="G536" s="40"/>
      <c r="H536" s="40"/>
      <c r="I536" s="40"/>
      <c r="J536" s="40"/>
      <c r="K536" s="41"/>
    </row>
    <row r="537" spans="2:11" x14ac:dyDescent="0.2">
      <c r="B537" s="38"/>
      <c r="C537" s="179" t="s">
        <v>319</v>
      </c>
      <c r="D537" s="40"/>
      <c r="E537" s="40"/>
      <c r="F537" s="40"/>
      <c r="G537" s="40"/>
      <c r="H537" s="40"/>
      <c r="I537" s="40"/>
      <c r="J537" s="245" t="str">
        <f>IF(OR(J526="Not Calculated",J533="Not Calculated")=TRUE,"Not Calculated",AVERAGE(J526,J533))</f>
        <v>Not Calculated</v>
      </c>
      <c r="K537" s="41"/>
    </row>
    <row r="538" spans="2:11" x14ac:dyDescent="0.2">
      <c r="B538" s="38"/>
      <c r="C538" s="40"/>
      <c r="D538" s="40"/>
      <c r="E538" s="40"/>
      <c r="F538" s="40"/>
      <c r="G538" s="40"/>
      <c r="H538" s="40"/>
      <c r="I538" s="40"/>
      <c r="J538" s="40"/>
      <c r="K538" s="41"/>
    </row>
    <row r="539" spans="2:11" ht="18" x14ac:dyDescent="0.2">
      <c r="B539" s="38"/>
      <c r="C539" s="180" t="s">
        <v>302</v>
      </c>
      <c r="D539" s="40"/>
      <c r="E539" s="40"/>
      <c r="F539" s="40"/>
      <c r="G539" s="40"/>
      <c r="H539" s="40"/>
      <c r="I539" s="40"/>
      <c r="J539" s="244" t="str">
        <f>IF(OR(J440="Not Calculated",J457="Not Calculated",J473="Not Calculated",J488="Not Calculated",J504="Not Calculated",J520="Not Calculated",J537="Not Calculated")=TRUE,"Not Calculated",AVERAGE(J440,J457,J473,J488,J504,J520,J537))</f>
        <v>Not Calculated</v>
      </c>
      <c r="K539" s="41"/>
    </row>
    <row r="540" spans="2:11" ht="16" thickBot="1" x14ac:dyDescent="0.25">
      <c r="B540" s="46"/>
      <c r="C540" s="47"/>
      <c r="D540" s="47"/>
      <c r="E540" s="47"/>
      <c r="F540" s="47"/>
      <c r="G540" s="47"/>
      <c r="H540" s="47"/>
      <c r="I540" s="47"/>
      <c r="J540" s="47"/>
      <c r="K540" s="49"/>
    </row>
    <row r="541" spans="2:11" ht="16" thickBot="1" x14ac:dyDescent="0.25"/>
    <row r="542" spans="2:11" x14ac:dyDescent="0.2">
      <c r="B542" s="33"/>
      <c r="C542" s="34"/>
      <c r="D542" s="34"/>
      <c r="E542" s="34"/>
      <c r="F542" s="34"/>
      <c r="G542" s="34"/>
      <c r="H542" s="34"/>
      <c r="I542" s="34"/>
      <c r="J542" s="34"/>
      <c r="K542" s="37"/>
    </row>
    <row r="543" spans="2:11" ht="21" x14ac:dyDescent="0.25">
      <c r="B543" s="38"/>
      <c r="C543" s="40"/>
      <c r="D543" s="40"/>
      <c r="E543" s="40"/>
      <c r="F543" s="40"/>
      <c r="G543" s="172" t="s">
        <v>29</v>
      </c>
      <c r="H543" s="40"/>
      <c r="I543" s="40"/>
      <c r="J543" s="40"/>
      <c r="K543" s="41"/>
    </row>
    <row r="544" spans="2:11" ht="15" customHeight="1" x14ac:dyDescent="0.2">
      <c r="B544" s="38"/>
      <c r="C544" s="40"/>
      <c r="D544" s="40"/>
      <c r="E544" s="40"/>
      <c r="F544" s="40"/>
      <c r="G544" s="40"/>
      <c r="H544" s="40"/>
      <c r="I544" s="40"/>
      <c r="J544" s="40"/>
      <c r="K544" s="41"/>
    </row>
    <row r="545" spans="2:14" ht="16" x14ac:dyDescent="0.2">
      <c r="B545" s="38"/>
      <c r="C545" s="45" t="s">
        <v>88</v>
      </c>
      <c r="D545" s="40"/>
      <c r="E545" s="40"/>
      <c r="F545" s="40"/>
      <c r="G545" s="40"/>
      <c r="H545" s="40"/>
      <c r="I545" s="40"/>
      <c r="J545" s="40"/>
      <c r="K545" s="41"/>
    </row>
    <row r="546" spans="2:14" x14ac:dyDescent="0.2">
      <c r="B546" s="38"/>
      <c r="C546" s="40" t="s">
        <v>448</v>
      </c>
      <c r="D546" s="40"/>
      <c r="E546" s="40"/>
      <c r="F546" s="40"/>
      <c r="G546" s="40"/>
      <c r="H546" s="40"/>
      <c r="I546" s="40"/>
      <c r="J546" s="251">
        <f>'Baseline Health'!G123</f>
        <v>0</v>
      </c>
      <c r="K546" s="41"/>
    </row>
    <row r="547" spans="2:14" x14ac:dyDescent="0.2">
      <c r="B547" s="38"/>
      <c r="C547" s="40" t="s">
        <v>322</v>
      </c>
      <c r="D547" s="40"/>
      <c r="E547" s="40"/>
      <c r="F547" s="40"/>
      <c r="G547" s="40"/>
      <c r="H547" s="40"/>
      <c r="I547" s="40"/>
      <c r="J547" s="264"/>
      <c r="K547" s="41"/>
    </row>
    <row r="548" spans="2:14" x14ac:dyDescent="0.2">
      <c r="B548" s="38"/>
      <c r="C548" s="40" t="s">
        <v>428</v>
      </c>
      <c r="D548" s="40"/>
      <c r="E548" s="40"/>
      <c r="F548" s="40"/>
      <c r="G548" s="40"/>
      <c r="H548" s="40"/>
      <c r="I548" s="40"/>
      <c r="J548" s="264"/>
      <c r="K548" s="41"/>
    </row>
    <row r="549" spans="2:14" x14ac:dyDescent="0.2">
      <c r="B549" s="38"/>
      <c r="C549" s="40" t="s">
        <v>260</v>
      </c>
      <c r="D549" s="40"/>
      <c r="E549" s="40"/>
      <c r="F549" s="40"/>
      <c r="G549" s="40"/>
      <c r="H549" s="40"/>
      <c r="I549" s="40"/>
      <c r="J549" s="245" t="str">
        <f>IF(OR(J546=0,J546="Not Calculated")=TRUE,"Not Calculated",IF(J546-J547=0,4,(IF(((J546+J548)/(J546-J547))&lt;=1,0,IF(((J546+J548)/(J546-J547))&lt;=1.05,1,IF(((J546+J548)/(J546-J547))&lt;=1.5, 2,IF(((J546+J548)/(J546-J547))&lt;=2,3,4)))))))</f>
        <v>Not Calculated</v>
      </c>
      <c r="K549" s="41"/>
    </row>
    <row r="550" spans="2:14" ht="9.75" customHeight="1" x14ac:dyDescent="0.2">
      <c r="B550" s="38"/>
      <c r="C550" s="279" t="str">
        <f>"0:"</f>
        <v>0:</v>
      </c>
      <c r="D550" s="278" t="s">
        <v>918</v>
      </c>
      <c r="E550" s="40"/>
      <c r="F550" s="40"/>
      <c r="G550" s="40"/>
      <c r="H550" s="40"/>
      <c r="I550" s="40"/>
      <c r="J550" s="251"/>
      <c r="K550" s="41"/>
    </row>
    <row r="551" spans="2:14" ht="9.75" customHeight="1" x14ac:dyDescent="0.2">
      <c r="B551" s="38"/>
      <c r="C551" s="280" t="str">
        <f>"1:"</f>
        <v>1:</v>
      </c>
      <c r="D551" s="278" t="s">
        <v>923</v>
      </c>
      <c r="E551" s="40"/>
      <c r="F551" s="40"/>
      <c r="G551" s="40"/>
      <c r="H551" s="40"/>
      <c r="I551" s="40"/>
      <c r="J551" s="251"/>
      <c r="K551" s="41"/>
    </row>
    <row r="552" spans="2:14" ht="9.75" customHeight="1" x14ac:dyDescent="0.2">
      <c r="B552" s="38"/>
      <c r="C552" s="280" t="str">
        <f>"2:"</f>
        <v>2:</v>
      </c>
      <c r="D552" s="278" t="s">
        <v>924</v>
      </c>
      <c r="E552" s="40"/>
      <c r="F552" s="40"/>
      <c r="G552" s="40"/>
      <c r="H552" s="40"/>
      <c r="I552" s="40"/>
      <c r="J552" s="251"/>
      <c r="K552" s="41"/>
    </row>
    <row r="553" spans="2:14" ht="9.75" customHeight="1" x14ac:dyDescent="0.2">
      <c r="B553" s="38"/>
      <c r="C553" s="280" t="str">
        <f>"3:"</f>
        <v>3:</v>
      </c>
      <c r="D553" s="278" t="s">
        <v>925</v>
      </c>
      <c r="E553" s="40"/>
      <c r="F553" s="40"/>
      <c r="G553" s="40"/>
      <c r="H553" s="40"/>
      <c r="I553" s="40"/>
      <c r="J553" s="251"/>
      <c r="K553" s="41"/>
    </row>
    <row r="554" spans="2:14" ht="9.75" customHeight="1" x14ac:dyDescent="0.2">
      <c r="B554" s="38"/>
      <c r="C554" s="280" t="str">
        <f>"4:"</f>
        <v>4:</v>
      </c>
      <c r="D554" s="278" t="s">
        <v>926</v>
      </c>
      <c r="E554" s="40"/>
      <c r="F554" s="40"/>
      <c r="G554" s="40"/>
      <c r="H554" s="40"/>
      <c r="I554" s="40"/>
      <c r="J554" s="40"/>
      <c r="K554" s="41"/>
      <c r="N554" s="12" t="s">
        <v>661</v>
      </c>
    </row>
    <row r="555" spans="2:14" x14ac:dyDescent="0.2">
      <c r="B555" s="38"/>
      <c r="C555" s="174" t="s">
        <v>662</v>
      </c>
      <c r="D555" s="40"/>
      <c r="E555" s="40"/>
      <c r="F555" s="40"/>
      <c r="G555" s="40"/>
      <c r="H555" s="40"/>
      <c r="I555" s="40"/>
      <c r="J555" s="265" t="s">
        <v>661</v>
      </c>
      <c r="K555" s="41"/>
      <c r="N555" s="12" t="s">
        <v>894</v>
      </c>
    </row>
    <row r="556" spans="2:14" x14ac:dyDescent="0.2">
      <c r="B556" s="38"/>
      <c r="C556" s="174" t="s">
        <v>660</v>
      </c>
      <c r="D556" s="40"/>
      <c r="E556" s="40"/>
      <c r="F556" s="40"/>
      <c r="G556" s="40"/>
      <c r="H556" s="40"/>
      <c r="I556" s="40"/>
      <c r="J556" s="247" t="str">
        <f>IF(J555=N554,"N/A",IF(J555=N555,0,IF(J555=N556,1,IF(J555=N557,2,IF(J555=N558,3,IF(J555=N559,4,"N/A"))))))</f>
        <v>N/A</v>
      </c>
      <c r="K556" s="41"/>
      <c r="N556" s="12" t="s">
        <v>899</v>
      </c>
    </row>
    <row r="557" spans="2:14" x14ac:dyDescent="0.2">
      <c r="B557" s="38"/>
      <c r="C557" s="40" t="s">
        <v>257</v>
      </c>
      <c r="D557" s="40"/>
      <c r="E557" s="40"/>
      <c r="F557" s="40"/>
      <c r="G557" s="40"/>
      <c r="H557" s="40"/>
      <c r="I557" s="40"/>
      <c r="J557" s="266"/>
      <c r="K557" s="41"/>
      <c r="N557" s="12" t="s">
        <v>900</v>
      </c>
    </row>
    <row r="558" spans="2:14" x14ac:dyDescent="0.2">
      <c r="B558" s="38"/>
      <c r="C558" s="40" t="s">
        <v>261</v>
      </c>
      <c r="D558" s="40"/>
      <c r="E558" s="40"/>
      <c r="F558" s="40"/>
      <c r="G558" s="40"/>
      <c r="H558" s="40"/>
      <c r="I558" s="40"/>
      <c r="J558" s="245" t="str">
        <f>IF(J557=$B$973,$A$973,IF(J557=$B$974,$A$974,IF(J557=$B$975,$A$975,IF(J557=$B$976,$A$976,IF(J557=$B$977,$A$977,"Not Calculated")))))</f>
        <v>Not Calculated</v>
      </c>
      <c r="K558" s="41"/>
      <c r="N558" s="12" t="s">
        <v>901</v>
      </c>
    </row>
    <row r="559" spans="2:14" x14ac:dyDescent="0.2">
      <c r="B559" s="38"/>
      <c r="C559" s="40" t="s">
        <v>893</v>
      </c>
      <c r="D559" s="40"/>
      <c r="E559" s="40"/>
      <c r="F559" s="40"/>
      <c r="G559" s="40"/>
      <c r="H559" s="40"/>
      <c r="I559" s="40"/>
      <c r="J559" s="40"/>
      <c r="K559" s="41"/>
      <c r="N559" s="12" t="s">
        <v>902</v>
      </c>
    </row>
    <row r="560" spans="2:14" ht="15" customHeight="1" x14ac:dyDescent="0.2">
      <c r="B560" s="38"/>
      <c r="C560" s="399"/>
      <c r="D560" s="400"/>
      <c r="E560" s="400"/>
      <c r="F560" s="400"/>
      <c r="G560" s="400"/>
      <c r="H560" s="400"/>
      <c r="I560" s="400"/>
      <c r="J560" s="401"/>
      <c r="K560" s="41"/>
    </row>
    <row r="561" spans="2:11" x14ac:dyDescent="0.2">
      <c r="B561" s="38"/>
      <c r="C561" s="40"/>
      <c r="D561" s="40"/>
      <c r="E561" s="40"/>
      <c r="F561" s="40"/>
      <c r="G561" s="40"/>
      <c r="H561" s="40"/>
      <c r="I561" s="40"/>
      <c r="J561" s="40"/>
      <c r="K561" s="41"/>
    </row>
    <row r="562" spans="2:11" x14ac:dyDescent="0.2">
      <c r="B562" s="38"/>
      <c r="C562" s="179" t="s">
        <v>323</v>
      </c>
      <c r="D562" s="40"/>
      <c r="E562" s="40"/>
      <c r="F562" s="40"/>
      <c r="G562" s="40"/>
      <c r="H562" s="40"/>
      <c r="I562" s="40"/>
      <c r="J562" s="245" t="str">
        <f>IF(J556="N/A",IF(OR(J549="Not Calculated",J558="Not Calculated")=TRUE,"Not Calculated",AVERAGE(J549,J558)),AVERAGE(J556,J558))</f>
        <v>Not Calculated</v>
      </c>
      <c r="K562" s="41"/>
    </row>
    <row r="563" spans="2:11" x14ac:dyDescent="0.2">
      <c r="B563" s="38"/>
      <c r="C563" s="40"/>
      <c r="D563" s="40"/>
      <c r="E563" s="40"/>
      <c r="F563" s="40"/>
      <c r="G563" s="40"/>
      <c r="H563" s="40"/>
      <c r="I563" s="40"/>
      <c r="J563" s="40"/>
      <c r="K563" s="41"/>
    </row>
    <row r="564" spans="2:11" x14ac:dyDescent="0.2">
      <c r="B564" s="38"/>
      <c r="C564" s="40"/>
      <c r="D564" s="40"/>
      <c r="E564" s="40"/>
      <c r="F564" s="40"/>
      <c r="G564" s="40"/>
      <c r="H564" s="40"/>
      <c r="I564" s="40"/>
      <c r="J564" s="40"/>
      <c r="K564" s="41"/>
    </row>
    <row r="565" spans="2:11" ht="16" x14ac:dyDescent="0.2">
      <c r="B565" s="38"/>
      <c r="C565" s="45" t="s">
        <v>89</v>
      </c>
      <c r="D565" s="40"/>
      <c r="E565" s="40"/>
      <c r="F565" s="40"/>
      <c r="G565" s="40"/>
      <c r="H565" s="40"/>
      <c r="I565" s="40"/>
      <c r="J565" s="40"/>
      <c r="K565" s="41"/>
    </row>
    <row r="566" spans="2:11" ht="15" customHeight="1" x14ac:dyDescent="0.2">
      <c r="B566" s="38"/>
      <c r="C566" s="380" t="s">
        <v>333</v>
      </c>
      <c r="D566" s="380"/>
      <c r="E566" s="380"/>
      <c r="F566" s="380"/>
      <c r="G566" s="380"/>
      <c r="H566" s="380"/>
      <c r="I566" s="380"/>
      <c r="J566" s="40"/>
      <c r="K566" s="41"/>
    </row>
    <row r="567" spans="2:11" x14ac:dyDescent="0.2">
      <c r="B567" s="38"/>
      <c r="C567" s="380"/>
      <c r="D567" s="380"/>
      <c r="E567" s="380"/>
      <c r="F567" s="380"/>
      <c r="G567" s="380"/>
      <c r="H567" s="380"/>
      <c r="I567" s="380"/>
      <c r="J567" s="40"/>
      <c r="K567" s="41"/>
    </row>
    <row r="568" spans="2:11" x14ac:dyDescent="0.2">
      <c r="B568" s="38"/>
      <c r="C568" s="380"/>
      <c r="D568" s="380"/>
      <c r="E568" s="380"/>
      <c r="F568" s="380"/>
      <c r="G568" s="380"/>
      <c r="H568" s="380"/>
      <c r="I568" s="380"/>
      <c r="J568" s="251">
        <f>'Baseline Health'!G132</f>
        <v>0</v>
      </c>
      <c r="K568" s="41"/>
    </row>
    <row r="569" spans="2:11" ht="15" customHeight="1" x14ac:dyDescent="0.2">
      <c r="B569" s="38"/>
      <c r="C569" s="380" t="s">
        <v>334</v>
      </c>
      <c r="D569" s="380"/>
      <c r="E569" s="380"/>
      <c r="F569" s="380"/>
      <c r="G569" s="380"/>
      <c r="H569" s="380"/>
      <c r="I569" s="380"/>
      <c r="J569" s="245"/>
      <c r="K569" s="41"/>
    </row>
    <row r="570" spans="2:11" x14ac:dyDescent="0.2">
      <c r="B570" s="38"/>
      <c r="C570" s="380"/>
      <c r="D570" s="380"/>
      <c r="E570" s="380"/>
      <c r="F570" s="380"/>
      <c r="G570" s="380"/>
      <c r="H570" s="380"/>
      <c r="I570" s="380"/>
      <c r="J570" s="245"/>
      <c r="K570" s="41"/>
    </row>
    <row r="571" spans="2:11" x14ac:dyDescent="0.2">
      <c r="B571" s="38"/>
      <c r="C571" s="380"/>
      <c r="D571" s="380"/>
      <c r="E571" s="380"/>
      <c r="F571" s="380"/>
      <c r="G571" s="380"/>
      <c r="H571" s="380"/>
      <c r="I571" s="380"/>
      <c r="J571" s="264"/>
      <c r="K571" s="41"/>
    </row>
    <row r="572" spans="2:11" x14ac:dyDescent="0.2">
      <c r="B572" s="38"/>
      <c r="C572" s="40" t="s">
        <v>260</v>
      </c>
      <c r="D572" s="40"/>
      <c r="E572" s="40"/>
      <c r="F572" s="40"/>
      <c r="G572" s="40"/>
      <c r="H572" s="40"/>
      <c r="I572" s="40"/>
      <c r="J572" s="245" t="str">
        <f>IF(OR(J568=0,J568="Not Calculated")=TRUE,"Not Calculated",IF(((J568+J571)/J568)&lt;=1,0,IF(((J568+J571)/J568)&lt;=1.05,1,IF(((J568+J571)/J568)&lt;=1.5, 2,IF(((J568+J571)/J568)&lt;=2,3,4)))))</f>
        <v>Not Calculated</v>
      </c>
      <c r="K572" s="41"/>
    </row>
    <row r="573" spans="2:11" ht="9.75" customHeight="1" x14ac:dyDescent="0.2">
      <c r="B573" s="38"/>
      <c r="C573" s="279" t="str">
        <f>"0:"</f>
        <v>0:</v>
      </c>
      <c r="D573" s="281" t="s">
        <v>918</v>
      </c>
      <c r="E573" s="291"/>
      <c r="F573" s="291"/>
      <c r="G573" s="291"/>
      <c r="H573" s="291"/>
      <c r="I573" s="291"/>
      <c r="J573" s="251"/>
      <c r="K573" s="41"/>
    </row>
    <row r="574" spans="2:11" ht="9.75" customHeight="1" x14ac:dyDescent="0.2">
      <c r="B574" s="38"/>
      <c r="C574" s="280" t="str">
        <f>"1:"</f>
        <v>1:</v>
      </c>
      <c r="D574" s="281" t="s">
        <v>919</v>
      </c>
      <c r="E574" s="291"/>
      <c r="F574" s="291"/>
      <c r="G574" s="291"/>
      <c r="H574" s="291"/>
      <c r="I574" s="291"/>
      <c r="J574" s="251"/>
      <c r="K574" s="41"/>
    </row>
    <row r="575" spans="2:11" ht="9.75" customHeight="1" x14ac:dyDescent="0.2">
      <c r="B575" s="38"/>
      <c r="C575" s="280" t="str">
        <f>"2:"</f>
        <v>2:</v>
      </c>
      <c r="D575" s="281" t="s">
        <v>920</v>
      </c>
      <c r="E575" s="291"/>
      <c r="F575" s="291"/>
      <c r="G575" s="291"/>
      <c r="H575" s="291"/>
      <c r="I575" s="291"/>
      <c r="J575" s="251"/>
      <c r="K575" s="41"/>
    </row>
    <row r="576" spans="2:11" ht="9.75" customHeight="1" x14ac:dyDescent="0.2">
      <c r="B576" s="38"/>
      <c r="C576" s="280" t="str">
        <f>"3:"</f>
        <v>3:</v>
      </c>
      <c r="D576" s="281" t="s">
        <v>921</v>
      </c>
      <c r="E576" s="291"/>
      <c r="F576" s="291"/>
      <c r="G576" s="291"/>
      <c r="H576" s="291"/>
      <c r="I576" s="291"/>
      <c r="J576" s="251"/>
      <c r="K576" s="41"/>
    </row>
    <row r="577" spans="2:14" ht="9.75" customHeight="1" x14ac:dyDescent="0.2">
      <c r="B577" s="38"/>
      <c r="C577" s="280" t="str">
        <f>"4:"</f>
        <v>4:</v>
      </c>
      <c r="D577" s="281" t="s">
        <v>922</v>
      </c>
      <c r="E577" s="40"/>
      <c r="F577" s="40"/>
      <c r="G577" s="40"/>
      <c r="H577" s="40"/>
      <c r="I577" s="40"/>
      <c r="J577" s="40"/>
      <c r="K577" s="41"/>
      <c r="N577" s="12" t="s">
        <v>661</v>
      </c>
    </row>
    <row r="578" spans="2:14" ht="15" customHeight="1" x14ac:dyDescent="0.2">
      <c r="B578" s="38"/>
      <c r="C578" s="174" t="s">
        <v>662</v>
      </c>
      <c r="D578" s="40"/>
      <c r="E578" s="40"/>
      <c r="F578" s="40"/>
      <c r="G578" s="40"/>
      <c r="H578" s="40"/>
      <c r="I578" s="40"/>
      <c r="J578" s="265" t="s">
        <v>661</v>
      </c>
      <c r="K578" s="41"/>
      <c r="N578" s="12" t="s">
        <v>894</v>
      </c>
    </row>
    <row r="579" spans="2:14" ht="15" customHeight="1" x14ac:dyDescent="0.2">
      <c r="B579" s="38"/>
      <c r="C579" s="174" t="s">
        <v>660</v>
      </c>
      <c r="D579" s="40"/>
      <c r="E579" s="40"/>
      <c r="F579" s="40"/>
      <c r="G579" s="40"/>
      <c r="H579" s="40"/>
      <c r="I579" s="40"/>
      <c r="J579" s="247" t="str">
        <f>IF(J578=N577,"N/A",IF(J578=N578,0,IF(J578=N579,1,IF(J578=N580,2,IF(J578=N581,3,IF(J578=N582,4,"N/A"))))))</f>
        <v>N/A</v>
      </c>
      <c r="K579" s="41"/>
      <c r="N579" s="12" t="s">
        <v>895</v>
      </c>
    </row>
    <row r="580" spans="2:14" x14ac:dyDescent="0.2">
      <c r="B580" s="38"/>
      <c r="C580" s="40" t="s">
        <v>257</v>
      </c>
      <c r="D580" s="40"/>
      <c r="E580" s="40"/>
      <c r="F580" s="40"/>
      <c r="G580" s="40"/>
      <c r="H580" s="40"/>
      <c r="I580" s="40"/>
      <c r="J580" s="266"/>
      <c r="K580" s="41"/>
      <c r="N580" s="12" t="s">
        <v>896</v>
      </c>
    </row>
    <row r="581" spans="2:14" x14ac:dyDescent="0.2">
      <c r="B581" s="38"/>
      <c r="C581" s="40" t="s">
        <v>261</v>
      </c>
      <c r="D581" s="40"/>
      <c r="E581" s="40"/>
      <c r="F581" s="40"/>
      <c r="G581" s="40"/>
      <c r="H581" s="40"/>
      <c r="I581" s="40"/>
      <c r="J581" s="245" t="str">
        <f>IF(J580=$B$973,$A$973,IF(J580=$B$974,$A$974,IF(J580=$B$975,$A$975,IF(J580=$B$976,$A$976,IF(J580=$B$977,$A$977,"Not Calculated")))))</f>
        <v>Not Calculated</v>
      </c>
      <c r="K581" s="41"/>
      <c r="N581" s="12" t="s">
        <v>897</v>
      </c>
    </row>
    <row r="582" spans="2:14" x14ac:dyDescent="0.2">
      <c r="B582" s="38"/>
      <c r="C582" s="40" t="s">
        <v>893</v>
      </c>
      <c r="D582" s="40"/>
      <c r="E582" s="40"/>
      <c r="F582" s="40"/>
      <c r="G582" s="40"/>
      <c r="H582" s="40"/>
      <c r="I582" s="40"/>
      <c r="J582" s="40"/>
      <c r="K582" s="41"/>
      <c r="N582" s="12" t="s">
        <v>898</v>
      </c>
    </row>
    <row r="583" spans="2:14" ht="15" customHeight="1" x14ac:dyDescent="0.2">
      <c r="B583" s="38"/>
      <c r="C583" s="399"/>
      <c r="D583" s="400"/>
      <c r="E583" s="400"/>
      <c r="F583" s="400"/>
      <c r="G583" s="400"/>
      <c r="H583" s="400"/>
      <c r="I583" s="400"/>
      <c r="J583" s="401"/>
      <c r="K583" s="41"/>
    </row>
    <row r="584" spans="2:14" x14ac:dyDescent="0.2">
      <c r="B584" s="38"/>
      <c r="C584" s="40"/>
      <c r="D584" s="40"/>
      <c r="E584" s="40"/>
      <c r="F584" s="40"/>
      <c r="G584" s="40"/>
      <c r="H584" s="40"/>
      <c r="I584" s="40"/>
      <c r="J584" s="40"/>
      <c r="K584" s="41"/>
    </row>
    <row r="585" spans="2:14" x14ac:dyDescent="0.2">
      <c r="B585" s="38"/>
      <c r="C585" s="179" t="s">
        <v>324</v>
      </c>
      <c r="D585" s="40"/>
      <c r="E585" s="40"/>
      <c r="F585" s="40"/>
      <c r="G585" s="40"/>
      <c r="H585" s="40"/>
      <c r="I585" s="40"/>
      <c r="J585" s="245" t="str">
        <f>IF(J579="N/A",IF(OR(J572="Not Calculated",J581="Not Calculated")=TRUE,"Not Calculated",AVERAGE(J572,J581)),AVERAGE(J579,J581))</f>
        <v>Not Calculated</v>
      </c>
      <c r="K585" s="41"/>
    </row>
    <row r="586" spans="2:14" x14ac:dyDescent="0.2">
      <c r="B586" s="38"/>
      <c r="C586" s="40"/>
      <c r="D586" s="40"/>
      <c r="E586" s="40"/>
      <c r="F586" s="40"/>
      <c r="G586" s="40"/>
      <c r="H586" s="40"/>
      <c r="I586" s="40"/>
      <c r="J586" s="40"/>
      <c r="K586" s="41"/>
    </row>
    <row r="587" spans="2:14" x14ac:dyDescent="0.2">
      <c r="B587" s="38"/>
      <c r="C587" s="40"/>
      <c r="D587" s="40"/>
      <c r="E587" s="40"/>
      <c r="F587" s="40"/>
      <c r="G587" s="40"/>
      <c r="H587" s="40"/>
      <c r="I587" s="40"/>
      <c r="J587" s="40"/>
      <c r="K587" s="41"/>
    </row>
    <row r="588" spans="2:14" ht="16" x14ac:dyDescent="0.2">
      <c r="B588" s="38"/>
      <c r="C588" s="45" t="s">
        <v>115</v>
      </c>
      <c r="D588" s="40"/>
      <c r="E588" s="40"/>
      <c r="F588" s="40"/>
      <c r="G588" s="40"/>
      <c r="H588" s="40"/>
      <c r="I588" s="40"/>
      <c r="J588" s="40"/>
      <c r="K588" s="41"/>
    </row>
    <row r="589" spans="2:14" x14ac:dyDescent="0.2">
      <c r="B589" s="38"/>
      <c r="C589" s="40" t="s">
        <v>335</v>
      </c>
      <c r="D589" s="40"/>
      <c r="E589" s="40"/>
      <c r="F589" s="40"/>
      <c r="G589" s="40"/>
      <c r="H589" s="40"/>
      <c r="I589" s="40"/>
      <c r="J589" s="264"/>
      <c r="K589" s="41"/>
    </row>
    <row r="590" spans="2:14" x14ac:dyDescent="0.2">
      <c r="B590" s="38"/>
      <c r="C590" s="40" t="s">
        <v>260</v>
      </c>
      <c r="D590" s="40"/>
      <c r="E590" s="40"/>
      <c r="F590" s="40"/>
      <c r="G590" s="40"/>
      <c r="H590" s="40"/>
      <c r="I590" s="40"/>
      <c r="J590" s="255">
        <f>IF(J589&lt;=0,0,IF(J589&lt;=1000,1,IF(J589&lt;=5000,2,IF(J589&lt;=25000,3,4))))</f>
        <v>0</v>
      </c>
      <c r="K590" s="41"/>
    </row>
    <row r="591" spans="2:14" ht="9.75" customHeight="1" x14ac:dyDescent="0.2">
      <c r="B591" s="38"/>
      <c r="C591" s="279" t="str">
        <f>"0:"</f>
        <v>0:</v>
      </c>
      <c r="D591" s="284" t="s">
        <v>970</v>
      </c>
      <c r="E591" s="40"/>
      <c r="F591" s="40"/>
      <c r="G591" s="40"/>
      <c r="H591" s="40"/>
      <c r="I591" s="40"/>
      <c r="J591" s="251"/>
      <c r="K591" s="41"/>
    </row>
    <row r="592" spans="2:14" ht="9.75" customHeight="1" x14ac:dyDescent="0.2">
      <c r="B592" s="38"/>
      <c r="C592" s="280" t="str">
        <f>"1:"</f>
        <v>1:</v>
      </c>
      <c r="D592" s="284" t="s">
        <v>961</v>
      </c>
      <c r="E592" s="40"/>
      <c r="F592" s="40"/>
      <c r="G592" s="40"/>
      <c r="H592" s="40"/>
      <c r="I592" s="40"/>
      <c r="J592" s="251"/>
      <c r="K592" s="41"/>
    </row>
    <row r="593" spans="2:11" ht="9.75" customHeight="1" x14ac:dyDescent="0.2">
      <c r="B593" s="38"/>
      <c r="C593" s="280" t="str">
        <f>"2:"</f>
        <v>2:</v>
      </c>
      <c r="D593" s="284" t="s">
        <v>971</v>
      </c>
      <c r="E593" s="40"/>
      <c r="F593" s="40"/>
      <c r="G593" s="40"/>
      <c r="H593" s="40"/>
      <c r="I593" s="40"/>
      <c r="J593" s="251"/>
      <c r="K593" s="41"/>
    </row>
    <row r="594" spans="2:11" ht="9.75" customHeight="1" x14ac:dyDescent="0.2">
      <c r="B594" s="38"/>
      <c r="C594" s="280" t="str">
        <f>"3:"</f>
        <v>3:</v>
      </c>
      <c r="D594" s="284" t="s">
        <v>963</v>
      </c>
      <c r="E594" s="40"/>
      <c r="F594" s="40"/>
      <c r="G594" s="40"/>
      <c r="H594" s="40"/>
      <c r="I594" s="40"/>
      <c r="J594" s="251"/>
      <c r="K594" s="41"/>
    </row>
    <row r="595" spans="2:11" ht="9.75" customHeight="1" x14ac:dyDescent="0.2">
      <c r="B595" s="38"/>
      <c r="C595" s="280" t="str">
        <f>"4:"</f>
        <v>4:</v>
      </c>
      <c r="D595" s="284" t="s">
        <v>964</v>
      </c>
      <c r="E595" s="40"/>
      <c r="F595" s="40"/>
      <c r="G595" s="40"/>
      <c r="H595" s="40"/>
      <c r="I595" s="40"/>
      <c r="J595" s="40"/>
      <c r="K595" s="41"/>
    </row>
    <row r="596" spans="2:11" ht="15" customHeight="1" x14ac:dyDescent="0.2">
      <c r="B596" s="38"/>
      <c r="C596" s="40" t="s">
        <v>257</v>
      </c>
      <c r="D596" s="40"/>
      <c r="E596" s="40"/>
      <c r="F596" s="40"/>
      <c r="G596" s="40"/>
      <c r="H596" s="40"/>
      <c r="I596" s="40"/>
      <c r="J596" s="266"/>
      <c r="K596" s="41"/>
    </row>
    <row r="597" spans="2:11" ht="15" customHeight="1" x14ac:dyDescent="0.2">
      <c r="B597" s="38"/>
      <c r="C597" s="40" t="s">
        <v>261</v>
      </c>
      <c r="D597" s="40"/>
      <c r="E597" s="40"/>
      <c r="F597" s="40"/>
      <c r="G597" s="40"/>
      <c r="H597" s="40"/>
      <c r="I597" s="40"/>
      <c r="J597" s="245" t="str">
        <f>IF(J596=$B$973,$A$973,IF(J596=$B$974,$A$974,IF(J596=$B$975,$A$975,IF(J596=$B$976,$A$976,IF(J596=$B$977,$A$977,"Not Calculated")))))</f>
        <v>Not Calculated</v>
      </c>
      <c r="K597" s="41"/>
    </row>
    <row r="598" spans="2:11" x14ac:dyDescent="0.2">
      <c r="B598" s="38"/>
      <c r="C598" s="40" t="s">
        <v>893</v>
      </c>
      <c r="D598" s="40"/>
      <c r="E598" s="40"/>
      <c r="F598" s="40"/>
      <c r="G598" s="40"/>
      <c r="H598" s="40"/>
      <c r="I598" s="40"/>
      <c r="J598" s="40"/>
      <c r="K598" s="41"/>
    </row>
    <row r="599" spans="2:11" ht="15" customHeight="1" x14ac:dyDescent="0.2">
      <c r="B599" s="38"/>
      <c r="C599" s="399"/>
      <c r="D599" s="400"/>
      <c r="E599" s="400"/>
      <c r="F599" s="400"/>
      <c r="G599" s="400"/>
      <c r="H599" s="400"/>
      <c r="I599" s="400"/>
      <c r="J599" s="401"/>
      <c r="K599" s="41"/>
    </row>
    <row r="600" spans="2:11" x14ac:dyDescent="0.2">
      <c r="B600" s="38"/>
      <c r="C600" s="40"/>
      <c r="D600" s="40"/>
      <c r="E600" s="40"/>
      <c r="F600" s="40"/>
      <c r="G600" s="40"/>
      <c r="H600" s="40"/>
      <c r="I600" s="40"/>
      <c r="J600" s="40"/>
      <c r="K600" s="41"/>
    </row>
    <row r="601" spans="2:11" x14ac:dyDescent="0.2">
      <c r="B601" s="38"/>
      <c r="C601" s="179" t="s">
        <v>325</v>
      </c>
      <c r="D601" s="40"/>
      <c r="E601" s="40"/>
      <c r="F601" s="40"/>
      <c r="G601" s="40"/>
      <c r="H601" s="40"/>
      <c r="I601" s="40"/>
      <c r="J601" s="245">
        <f>IF(J590="Not Calculated","Not Calculated",AVERAGE(J590,J597))</f>
        <v>0</v>
      </c>
      <c r="K601" s="41"/>
    </row>
    <row r="602" spans="2:11" x14ac:dyDescent="0.2">
      <c r="B602" s="38"/>
      <c r="C602" s="40"/>
      <c r="D602" s="40"/>
      <c r="E602" s="40"/>
      <c r="F602" s="40"/>
      <c r="G602" s="40"/>
      <c r="H602" s="40"/>
      <c r="I602" s="40"/>
      <c r="J602" s="40"/>
      <c r="K602" s="41"/>
    </row>
    <row r="603" spans="2:11" x14ac:dyDescent="0.2">
      <c r="B603" s="38"/>
      <c r="C603" s="40"/>
      <c r="D603" s="40"/>
      <c r="E603" s="40"/>
      <c r="F603" s="40"/>
      <c r="G603" s="40"/>
      <c r="H603" s="40"/>
      <c r="I603" s="40"/>
      <c r="J603" s="40"/>
      <c r="K603" s="41"/>
    </row>
    <row r="604" spans="2:11" ht="16" x14ac:dyDescent="0.2">
      <c r="B604" s="38"/>
      <c r="C604" s="45" t="s">
        <v>326</v>
      </c>
      <c r="D604" s="40"/>
      <c r="E604" s="40"/>
      <c r="F604" s="40"/>
      <c r="G604" s="40"/>
      <c r="H604" s="40"/>
      <c r="I604" s="40"/>
      <c r="J604" s="40"/>
      <c r="K604" s="41"/>
    </row>
    <row r="605" spans="2:11" x14ac:dyDescent="0.2">
      <c r="B605" s="38"/>
      <c r="C605" s="40" t="s">
        <v>336</v>
      </c>
      <c r="D605" s="40"/>
      <c r="E605" s="40"/>
      <c r="F605" s="40"/>
      <c r="G605" s="40"/>
      <c r="H605" s="40"/>
      <c r="I605" s="40"/>
      <c r="J605" s="271"/>
      <c r="K605" s="41"/>
    </row>
    <row r="606" spans="2:11" x14ac:dyDescent="0.2">
      <c r="B606" s="38"/>
      <c r="C606" s="40" t="s">
        <v>260</v>
      </c>
      <c r="D606" s="40"/>
      <c r="E606" s="40"/>
      <c r="F606" s="40"/>
      <c r="G606" s="40"/>
      <c r="H606" s="40"/>
      <c r="I606" s="40"/>
      <c r="J606" s="248">
        <f>IF(J605&lt;=0,0,IF(J605&lt;=10,1,IF(J605&lt;=25,2,IF(J605&lt;=50,3,4))))</f>
        <v>0</v>
      </c>
      <c r="K606" s="41"/>
    </row>
    <row r="607" spans="2:11" ht="9.75" customHeight="1" x14ac:dyDescent="0.2">
      <c r="B607" s="38"/>
      <c r="C607" s="279" t="str">
        <f>"0:"</f>
        <v>0:</v>
      </c>
      <c r="D607" s="290" t="s">
        <v>944</v>
      </c>
      <c r="E607" s="40"/>
      <c r="F607" s="40"/>
      <c r="G607" s="40"/>
      <c r="H607" s="40"/>
      <c r="I607" s="40"/>
      <c r="J607" s="244"/>
      <c r="K607" s="41"/>
    </row>
    <row r="608" spans="2:11" ht="9.75" customHeight="1" x14ac:dyDescent="0.2">
      <c r="B608" s="38"/>
      <c r="C608" s="280" t="str">
        <f>"1:"</f>
        <v>1:</v>
      </c>
      <c r="D608" s="290" t="s">
        <v>947</v>
      </c>
      <c r="E608" s="40"/>
      <c r="F608" s="40"/>
      <c r="G608" s="40"/>
      <c r="H608" s="40"/>
      <c r="I608" s="40"/>
      <c r="J608" s="244"/>
      <c r="K608" s="41"/>
    </row>
    <row r="609" spans="2:11" ht="9.75" customHeight="1" x14ac:dyDescent="0.2">
      <c r="B609" s="38"/>
      <c r="C609" s="280" t="str">
        <f>"2:"</f>
        <v>2:</v>
      </c>
      <c r="D609" s="290" t="s">
        <v>972</v>
      </c>
      <c r="E609" s="40"/>
      <c r="F609" s="40"/>
      <c r="G609" s="40"/>
      <c r="H609" s="40"/>
      <c r="I609" s="40"/>
      <c r="J609" s="244"/>
      <c r="K609" s="41"/>
    </row>
    <row r="610" spans="2:11" ht="9.75" customHeight="1" x14ac:dyDescent="0.2">
      <c r="B610" s="38"/>
      <c r="C610" s="280" t="str">
        <f>"3:"</f>
        <v>3:</v>
      </c>
      <c r="D610" s="290" t="s">
        <v>973</v>
      </c>
      <c r="E610" s="40"/>
      <c r="F610" s="40"/>
      <c r="G610" s="40"/>
      <c r="H610" s="40"/>
      <c r="I610" s="40"/>
      <c r="J610" s="244"/>
      <c r="K610" s="41"/>
    </row>
    <row r="611" spans="2:11" ht="9.75" customHeight="1" x14ac:dyDescent="0.2">
      <c r="B611" s="38"/>
      <c r="C611" s="280" t="str">
        <f>"4:"</f>
        <v>4:</v>
      </c>
      <c r="D611" s="290" t="s">
        <v>974</v>
      </c>
      <c r="E611" s="40"/>
      <c r="F611" s="40"/>
      <c r="G611" s="40"/>
      <c r="H611" s="40"/>
      <c r="I611" s="40"/>
      <c r="J611" s="40"/>
      <c r="K611" s="41"/>
    </row>
    <row r="612" spans="2:11" x14ac:dyDescent="0.2">
      <c r="B612" s="38"/>
      <c r="C612" s="40" t="s">
        <v>893</v>
      </c>
      <c r="D612" s="40"/>
      <c r="E612" s="40"/>
      <c r="F612" s="40"/>
      <c r="G612" s="40"/>
      <c r="H612" s="40"/>
      <c r="I612" s="40"/>
      <c r="J612" s="40"/>
      <c r="K612" s="41"/>
    </row>
    <row r="613" spans="2:11" ht="15" customHeight="1" x14ac:dyDescent="0.2">
      <c r="B613" s="38"/>
      <c r="C613" s="399"/>
      <c r="D613" s="400"/>
      <c r="E613" s="400"/>
      <c r="F613" s="400"/>
      <c r="G613" s="400"/>
      <c r="H613" s="400"/>
      <c r="I613" s="400"/>
      <c r="J613" s="401"/>
      <c r="K613" s="41"/>
    </row>
    <row r="614" spans="2:11" x14ac:dyDescent="0.2">
      <c r="B614" s="38"/>
      <c r="C614" s="40"/>
      <c r="D614" s="40"/>
      <c r="E614" s="40"/>
      <c r="F614" s="40"/>
      <c r="G614" s="40"/>
      <c r="H614" s="40"/>
      <c r="I614" s="40"/>
      <c r="J614" s="40"/>
      <c r="K614" s="41"/>
    </row>
    <row r="615" spans="2:11" x14ac:dyDescent="0.2">
      <c r="B615" s="38"/>
      <c r="C615" s="179" t="s">
        <v>327</v>
      </c>
      <c r="D615" s="40"/>
      <c r="E615" s="40"/>
      <c r="F615" s="40"/>
      <c r="G615" s="40"/>
      <c r="H615" s="40"/>
      <c r="I615" s="40"/>
      <c r="J615" s="245">
        <f>J606</f>
        <v>0</v>
      </c>
      <c r="K615" s="41"/>
    </row>
    <row r="616" spans="2:11" x14ac:dyDescent="0.2">
      <c r="B616" s="38"/>
      <c r="C616" s="40"/>
      <c r="D616" s="40"/>
      <c r="E616" s="40"/>
      <c r="F616" s="40"/>
      <c r="G616" s="40"/>
      <c r="H616" s="40"/>
      <c r="I616" s="40"/>
      <c r="J616" s="40"/>
      <c r="K616" s="41"/>
    </row>
    <row r="617" spans="2:11" x14ac:dyDescent="0.2">
      <c r="B617" s="38"/>
      <c r="C617" s="40"/>
      <c r="D617" s="40"/>
      <c r="E617" s="40"/>
      <c r="F617" s="40"/>
      <c r="G617" s="40"/>
      <c r="H617" s="40"/>
      <c r="I617" s="40"/>
      <c r="J617" s="40"/>
      <c r="K617" s="41"/>
    </row>
    <row r="618" spans="2:11" ht="16" x14ac:dyDescent="0.2">
      <c r="B618" s="38"/>
      <c r="C618" s="45" t="s">
        <v>92</v>
      </c>
      <c r="D618" s="40"/>
      <c r="E618" s="40"/>
      <c r="F618" s="40"/>
      <c r="G618" s="40"/>
      <c r="H618" s="40"/>
      <c r="I618" s="40"/>
      <c r="J618" s="40"/>
      <c r="K618" s="41"/>
    </row>
    <row r="619" spans="2:11" x14ac:dyDescent="0.2">
      <c r="B619" s="38"/>
      <c r="C619" s="40" t="s">
        <v>337</v>
      </c>
      <c r="D619" s="40"/>
      <c r="E619" s="40"/>
      <c r="F619" s="40"/>
      <c r="G619" s="40"/>
      <c r="H619" s="40"/>
      <c r="I619" s="40"/>
      <c r="J619" s="251">
        <f>'Baseline Health'!G137</f>
        <v>1</v>
      </c>
      <c r="K619" s="41"/>
    </row>
    <row r="620" spans="2:11" ht="15" customHeight="1" x14ac:dyDescent="0.2">
      <c r="B620" s="38"/>
      <c r="C620" s="380" t="s">
        <v>338</v>
      </c>
      <c r="D620" s="380"/>
      <c r="E620" s="380"/>
      <c r="F620" s="380"/>
      <c r="G620" s="380"/>
      <c r="H620" s="380"/>
      <c r="I620" s="380"/>
      <c r="J620" s="251"/>
      <c r="K620" s="41"/>
    </row>
    <row r="621" spans="2:11" x14ac:dyDescent="0.2">
      <c r="B621" s="38"/>
      <c r="C621" s="380"/>
      <c r="D621" s="380"/>
      <c r="E621" s="380"/>
      <c r="F621" s="380"/>
      <c r="G621" s="380"/>
      <c r="H621" s="380"/>
      <c r="I621" s="380"/>
      <c r="J621" s="264"/>
      <c r="K621" s="41"/>
    </row>
    <row r="622" spans="2:11" x14ac:dyDescent="0.2">
      <c r="B622" s="38"/>
      <c r="C622" s="40" t="s">
        <v>260</v>
      </c>
      <c r="D622" s="40"/>
      <c r="E622" s="40"/>
      <c r="F622" s="40"/>
      <c r="G622" s="40"/>
      <c r="H622" s="40"/>
      <c r="I622" s="40"/>
      <c r="J622" s="245">
        <f>IF(OR(J619=0,J619="Not Calculated")=TRUE,"Not Calculated",IF(((J619+J621)/J619)&lt;=1,0,IF(((J619+J621)/J619)&lt;=1.05,1,IF(((J619+J621)/J619)&lt;=1.5, 2,IF(((J619+J621)/J619)&lt;=2,3,4)))))</f>
        <v>0</v>
      </c>
      <c r="K622" s="41"/>
    </row>
    <row r="623" spans="2:11" ht="9.75" customHeight="1" x14ac:dyDescent="0.2">
      <c r="B623" s="38"/>
      <c r="C623" s="279" t="str">
        <f>"0:"</f>
        <v>0:</v>
      </c>
      <c r="D623" s="281" t="s">
        <v>918</v>
      </c>
      <c r="E623" s="291"/>
      <c r="F623" s="291"/>
      <c r="G623" s="291"/>
      <c r="H623" s="291"/>
      <c r="I623" s="291"/>
      <c r="J623" s="251"/>
      <c r="K623" s="41"/>
    </row>
    <row r="624" spans="2:11" ht="9.75" customHeight="1" x14ac:dyDescent="0.2">
      <c r="B624" s="38"/>
      <c r="C624" s="280" t="str">
        <f>"1:"</f>
        <v>1:</v>
      </c>
      <c r="D624" s="281" t="s">
        <v>919</v>
      </c>
      <c r="E624" s="291"/>
      <c r="F624" s="291"/>
      <c r="G624" s="291"/>
      <c r="H624" s="291"/>
      <c r="I624" s="291"/>
      <c r="J624" s="251"/>
      <c r="K624" s="41"/>
    </row>
    <row r="625" spans="2:14" ht="9.75" customHeight="1" x14ac:dyDescent="0.2">
      <c r="B625" s="38"/>
      <c r="C625" s="280" t="str">
        <f>"2:"</f>
        <v>2:</v>
      </c>
      <c r="D625" s="281" t="s">
        <v>920</v>
      </c>
      <c r="E625" s="291"/>
      <c r="F625" s="291"/>
      <c r="G625" s="291"/>
      <c r="H625" s="291"/>
      <c r="I625" s="291"/>
      <c r="J625" s="251"/>
      <c r="K625" s="41"/>
    </row>
    <row r="626" spans="2:14" ht="9.75" customHeight="1" x14ac:dyDescent="0.2">
      <c r="B626" s="38"/>
      <c r="C626" s="280" t="str">
        <f>"3:"</f>
        <v>3:</v>
      </c>
      <c r="D626" s="281" t="s">
        <v>921</v>
      </c>
      <c r="E626" s="291"/>
      <c r="F626" s="291"/>
      <c r="G626" s="291"/>
      <c r="H626" s="291"/>
      <c r="I626" s="291"/>
      <c r="J626" s="251"/>
      <c r="K626" s="41"/>
    </row>
    <row r="627" spans="2:14" ht="9.75" customHeight="1" x14ac:dyDescent="0.2">
      <c r="B627" s="38"/>
      <c r="C627" s="280" t="str">
        <f>"4:"</f>
        <v>4:</v>
      </c>
      <c r="D627" s="281" t="s">
        <v>922</v>
      </c>
      <c r="E627" s="40"/>
      <c r="F627" s="40"/>
      <c r="G627" s="40"/>
      <c r="H627" s="40"/>
      <c r="I627" s="40"/>
      <c r="J627" s="40"/>
      <c r="K627" s="41"/>
      <c r="N627" s="12" t="s">
        <v>661</v>
      </c>
    </row>
    <row r="628" spans="2:14" x14ac:dyDescent="0.2">
      <c r="B628" s="38"/>
      <c r="C628" s="174" t="s">
        <v>662</v>
      </c>
      <c r="D628" s="40"/>
      <c r="E628" s="40"/>
      <c r="F628" s="40"/>
      <c r="G628" s="40"/>
      <c r="H628" s="40"/>
      <c r="I628" s="40"/>
      <c r="J628" s="265" t="s">
        <v>661</v>
      </c>
      <c r="K628" s="41"/>
      <c r="N628" s="12" t="s">
        <v>894</v>
      </c>
    </row>
    <row r="629" spans="2:14" x14ac:dyDescent="0.2">
      <c r="B629" s="38"/>
      <c r="C629" s="174" t="s">
        <v>660</v>
      </c>
      <c r="D629" s="40"/>
      <c r="E629" s="40"/>
      <c r="F629" s="40"/>
      <c r="G629" s="40"/>
      <c r="H629" s="40"/>
      <c r="I629" s="40"/>
      <c r="J629" s="247" t="str">
        <f>IF(J628=N627,"N/A",IF(J628=N628,0,IF(J628=N629,1,IF(J628=N630,2,IF(J628=N631,3,IF(J628=N632,4,"N/A"))))))</f>
        <v>N/A</v>
      </c>
      <c r="K629" s="41"/>
      <c r="N629" s="12" t="s">
        <v>895</v>
      </c>
    </row>
    <row r="630" spans="2:14" x14ac:dyDescent="0.2">
      <c r="B630" s="38"/>
      <c r="C630" s="40" t="s">
        <v>257</v>
      </c>
      <c r="D630" s="40"/>
      <c r="E630" s="40"/>
      <c r="F630" s="40"/>
      <c r="G630" s="40"/>
      <c r="H630" s="40"/>
      <c r="I630" s="40"/>
      <c r="J630" s="266"/>
      <c r="K630" s="41"/>
      <c r="N630" s="12" t="s">
        <v>896</v>
      </c>
    </row>
    <row r="631" spans="2:14" x14ac:dyDescent="0.2">
      <c r="B631" s="38"/>
      <c r="C631" s="40" t="s">
        <v>261</v>
      </c>
      <c r="D631" s="40"/>
      <c r="E631" s="40"/>
      <c r="F631" s="40"/>
      <c r="G631" s="40"/>
      <c r="H631" s="40"/>
      <c r="I631" s="40"/>
      <c r="J631" s="245" t="str">
        <f>IF(J630=$B$973,$A$973,IF(J630=$B$974,$A$974,IF(J630=$B$975,$A$975,IF(J630=$B$976,$A$976,IF(J630=$B$977,$A$977,"Not Calculated")))))</f>
        <v>Not Calculated</v>
      </c>
      <c r="K631" s="41"/>
      <c r="N631" s="12" t="s">
        <v>897</v>
      </c>
    </row>
    <row r="632" spans="2:14" x14ac:dyDescent="0.2">
      <c r="B632" s="38"/>
      <c r="C632" s="40" t="s">
        <v>893</v>
      </c>
      <c r="D632" s="40"/>
      <c r="E632" s="40"/>
      <c r="F632" s="40"/>
      <c r="G632" s="40"/>
      <c r="H632" s="40"/>
      <c r="I632" s="40"/>
      <c r="J632" s="40"/>
      <c r="K632" s="41"/>
      <c r="N632" s="12" t="s">
        <v>898</v>
      </c>
    </row>
    <row r="633" spans="2:14" ht="15" customHeight="1" x14ac:dyDescent="0.2">
      <c r="B633" s="38"/>
      <c r="C633" s="399"/>
      <c r="D633" s="400"/>
      <c r="E633" s="400"/>
      <c r="F633" s="400"/>
      <c r="G633" s="400"/>
      <c r="H633" s="400"/>
      <c r="I633" s="400"/>
      <c r="J633" s="401"/>
      <c r="K633" s="41"/>
    </row>
    <row r="634" spans="2:14" x14ac:dyDescent="0.2">
      <c r="B634" s="38"/>
      <c r="C634" s="40"/>
      <c r="D634" s="40"/>
      <c r="E634" s="40"/>
      <c r="F634" s="40"/>
      <c r="G634" s="40"/>
      <c r="H634" s="40"/>
      <c r="I634" s="40"/>
      <c r="J634" s="40"/>
      <c r="K634" s="41"/>
    </row>
    <row r="635" spans="2:14" x14ac:dyDescent="0.2">
      <c r="B635" s="38"/>
      <c r="C635" s="179" t="s">
        <v>328</v>
      </c>
      <c r="D635" s="40"/>
      <c r="E635" s="40"/>
      <c r="F635" s="40"/>
      <c r="G635" s="40"/>
      <c r="H635" s="40"/>
      <c r="I635" s="40"/>
      <c r="J635" s="245" t="str">
        <f>IF(J629="N/A",IF(OR(J622="Not Calculated",J631="Not Calculated")=TRUE,"Not Calculated",AVERAGE(J622,J631)),AVERAGE(J629,J631))</f>
        <v>Not Calculated</v>
      </c>
      <c r="K635" s="41"/>
    </row>
    <row r="636" spans="2:14" x14ac:dyDescent="0.2">
      <c r="B636" s="38"/>
      <c r="C636" s="40"/>
      <c r="D636" s="40"/>
      <c r="E636" s="40"/>
      <c r="F636" s="40"/>
      <c r="G636" s="40"/>
      <c r="H636" s="40"/>
      <c r="I636" s="40"/>
      <c r="J636" s="40"/>
      <c r="K636" s="41"/>
    </row>
    <row r="637" spans="2:14" x14ac:dyDescent="0.2">
      <c r="B637" s="38"/>
      <c r="C637" s="40"/>
      <c r="D637" s="40"/>
      <c r="E637" s="40"/>
      <c r="F637" s="40"/>
      <c r="G637" s="40"/>
      <c r="H637" s="40"/>
      <c r="I637" s="40"/>
      <c r="J637" s="40"/>
      <c r="K637" s="41"/>
    </row>
    <row r="638" spans="2:14" ht="16" x14ac:dyDescent="0.2">
      <c r="B638" s="38"/>
      <c r="C638" s="45" t="s">
        <v>329</v>
      </c>
      <c r="D638" s="40"/>
      <c r="E638" s="40"/>
      <c r="F638" s="40"/>
      <c r="G638" s="40"/>
      <c r="H638" s="40"/>
      <c r="I638" s="40"/>
      <c r="J638" s="40"/>
      <c r="K638" s="41"/>
    </row>
    <row r="639" spans="2:14" ht="15" customHeight="1" x14ac:dyDescent="0.2">
      <c r="B639" s="38"/>
      <c r="C639" s="380" t="s">
        <v>339</v>
      </c>
      <c r="D639" s="380"/>
      <c r="E639" s="380"/>
      <c r="F639" s="380"/>
      <c r="G639" s="380"/>
      <c r="H639" s="380"/>
      <c r="I639" s="380"/>
      <c r="J639" s="40"/>
      <c r="K639" s="41"/>
    </row>
    <row r="640" spans="2:14" x14ac:dyDescent="0.2">
      <c r="B640" s="38"/>
      <c r="C640" s="380"/>
      <c r="D640" s="380"/>
      <c r="E640" s="380"/>
      <c r="F640" s="380"/>
      <c r="G640" s="380"/>
      <c r="H640" s="380"/>
      <c r="I640" s="380"/>
      <c r="J640" s="250">
        <f>'Baseline Health'!G145</f>
        <v>0</v>
      </c>
      <c r="K640" s="41"/>
    </row>
    <row r="641" spans="2:14" ht="15" customHeight="1" x14ac:dyDescent="0.2">
      <c r="B641" s="38"/>
      <c r="C641" s="380" t="s">
        <v>340</v>
      </c>
      <c r="D641" s="380"/>
      <c r="E641" s="380"/>
      <c r="F641" s="380"/>
      <c r="G641" s="380"/>
      <c r="H641" s="380"/>
      <c r="I641" s="380"/>
      <c r="J641" s="245"/>
      <c r="K641" s="41"/>
    </row>
    <row r="642" spans="2:14" x14ac:dyDescent="0.2">
      <c r="B642" s="38"/>
      <c r="C642" s="380"/>
      <c r="D642" s="380"/>
      <c r="E642" s="380"/>
      <c r="F642" s="380"/>
      <c r="G642" s="380"/>
      <c r="H642" s="380"/>
      <c r="I642" s="380"/>
      <c r="J642" s="245"/>
      <c r="K642" s="41"/>
    </row>
    <row r="643" spans="2:14" x14ac:dyDescent="0.2">
      <c r="B643" s="38"/>
      <c r="C643" s="380"/>
      <c r="D643" s="380"/>
      <c r="E643" s="380"/>
      <c r="F643" s="380"/>
      <c r="G643" s="380"/>
      <c r="H643" s="380"/>
      <c r="I643" s="380"/>
      <c r="J643" s="272"/>
      <c r="K643" s="41"/>
    </row>
    <row r="644" spans="2:14" x14ac:dyDescent="0.2">
      <c r="B644" s="38"/>
      <c r="C644" s="40" t="s">
        <v>260</v>
      </c>
      <c r="D644" s="40"/>
      <c r="E644" s="40"/>
      <c r="F644" s="40"/>
      <c r="G644" s="40"/>
      <c r="H644" s="40"/>
      <c r="I644" s="40"/>
      <c r="J644" s="245" t="str">
        <f>IF(OR(J640=0,J640="Not Calculated")=TRUE,"Not Calculated",IF(((J640+J643)/J640)&lt;=1,0,IF(((J640+J643)/J640)&lt;=1.05,1,IF(((J640+J643)/J640)&lt;=1.5, 2,IF(((J640+J643)/J640)&lt;=2,3,4)))))</f>
        <v>Not Calculated</v>
      </c>
      <c r="K644" s="41"/>
    </row>
    <row r="645" spans="2:14" ht="9.75" customHeight="1" x14ac:dyDescent="0.2">
      <c r="B645" s="38"/>
      <c r="C645" s="279" t="str">
        <f>"0:"</f>
        <v>0:</v>
      </c>
      <c r="D645" s="281" t="s">
        <v>918</v>
      </c>
      <c r="E645" s="291"/>
      <c r="F645" s="291"/>
      <c r="G645" s="291"/>
      <c r="H645" s="291"/>
      <c r="I645" s="291"/>
      <c r="J645" s="250"/>
      <c r="K645" s="41"/>
    </row>
    <row r="646" spans="2:14" ht="9.75" customHeight="1" x14ac:dyDescent="0.2">
      <c r="B646" s="38"/>
      <c r="C646" s="280" t="str">
        <f>"1:"</f>
        <v>1:</v>
      </c>
      <c r="D646" s="281" t="s">
        <v>919</v>
      </c>
      <c r="E646" s="291"/>
      <c r="F646" s="291"/>
      <c r="G646" s="291"/>
      <c r="H646" s="291"/>
      <c r="I646" s="291"/>
      <c r="J646" s="250"/>
      <c r="K646" s="41"/>
    </row>
    <row r="647" spans="2:14" ht="9.75" customHeight="1" x14ac:dyDescent="0.2">
      <c r="B647" s="38"/>
      <c r="C647" s="280" t="str">
        <f>"2:"</f>
        <v>2:</v>
      </c>
      <c r="D647" s="281" t="s">
        <v>920</v>
      </c>
      <c r="E647" s="291"/>
      <c r="F647" s="291"/>
      <c r="G647" s="291"/>
      <c r="H647" s="291"/>
      <c r="I647" s="291"/>
      <c r="J647" s="250"/>
      <c r="K647" s="41"/>
    </row>
    <row r="648" spans="2:14" ht="9.75" customHeight="1" x14ac:dyDescent="0.2">
      <c r="B648" s="38"/>
      <c r="C648" s="280" t="str">
        <f>"3:"</f>
        <v>3:</v>
      </c>
      <c r="D648" s="281" t="s">
        <v>921</v>
      </c>
      <c r="E648" s="291"/>
      <c r="F648" s="291"/>
      <c r="G648" s="291"/>
      <c r="H648" s="291"/>
      <c r="I648" s="291"/>
      <c r="J648" s="250"/>
      <c r="K648" s="41"/>
    </row>
    <row r="649" spans="2:14" ht="9.75" customHeight="1" x14ac:dyDescent="0.2">
      <c r="B649" s="38"/>
      <c r="C649" s="280" t="str">
        <f>"4:"</f>
        <v>4:</v>
      </c>
      <c r="D649" s="281" t="s">
        <v>922</v>
      </c>
      <c r="E649" s="40"/>
      <c r="F649" s="40"/>
      <c r="G649" s="40"/>
      <c r="H649" s="40"/>
      <c r="I649" s="40"/>
      <c r="J649" s="40"/>
      <c r="K649" s="41"/>
      <c r="N649" s="12" t="s">
        <v>661</v>
      </c>
    </row>
    <row r="650" spans="2:14" x14ac:dyDescent="0.2">
      <c r="B650" s="38"/>
      <c r="C650" s="174" t="s">
        <v>662</v>
      </c>
      <c r="D650" s="40"/>
      <c r="E650" s="40"/>
      <c r="F650" s="40"/>
      <c r="G650" s="40"/>
      <c r="H650" s="40"/>
      <c r="I650" s="40"/>
      <c r="J650" s="265" t="s">
        <v>661</v>
      </c>
      <c r="K650" s="41"/>
      <c r="N650" s="12" t="s">
        <v>894</v>
      </c>
    </row>
    <row r="651" spans="2:14" x14ac:dyDescent="0.2">
      <c r="B651" s="38"/>
      <c r="C651" s="174" t="s">
        <v>660</v>
      </c>
      <c r="D651" s="40"/>
      <c r="E651" s="40"/>
      <c r="F651" s="40"/>
      <c r="G651" s="40"/>
      <c r="H651" s="40"/>
      <c r="I651" s="40"/>
      <c r="J651" s="247" t="str">
        <f>IF(J650=N649,"N/A",IF(J650=N650,0,IF(J650=N651,1,IF(J650=N652,2,IF(J650=N653,3,IF(J650=N654,4,"N/A"))))))</f>
        <v>N/A</v>
      </c>
      <c r="K651" s="41"/>
      <c r="N651" s="12" t="s">
        <v>895</v>
      </c>
    </row>
    <row r="652" spans="2:14" ht="15" customHeight="1" x14ac:dyDescent="0.2">
      <c r="B652" s="38"/>
      <c r="C652" s="40" t="s">
        <v>257</v>
      </c>
      <c r="D652" s="40"/>
      <c r="E652" s="40"/>
      <c r="F652" s="40"/>
      <c r="G652" s="40"/>
      <c r="H652" s="40"/>
      <c r="I652" s="40"/>
      <c r="J652" s="266"/>
      <c r="K652" s="41"/>
      <c r="N652" s="12" t="s">
        <v>896</v>
      </c>
    </row>
    <row r="653" spans="2:14" x14ac:dyDescent="0.2">
      <c r="B653" s="38"/>
      <c r="C653" s="40" t="s">
        <v>261</v>
      </c>
      <c r="D653" s="40"/>
      <c r="E653" s="40"/>
      <c r="F653" s="40"/>
      <c r="G653" s="40"/>
      <c r="H653" s="40"/>
      <c r="I653" s="40"/>
      <c r="J653" s="245" t="str">
        <f>IF(J652=$B$973,$A$973,IF(J652=$B$974,$A$974,IF(J652=$B$975,$A$975,IF(J652=$B$976,$A$976,IF(J652=$B$977,$A$977,"Not Calculated")))))</f>
        <v>Not Calculated</v>
      </c>
      <c r="K653" s="41"/>
      <c r="N653" s="12" t="s">
        <v>897</v>
      </c>
    </row>
    <row r="654" spans="2:14" x14ac:dyDescent="0.2">
      <c r="B654" s="38"/>
      <c r="C654" s="40" t="s">
        <v>893</v>
      </c>
      <c r="D654" s="40"/>
      <c r="E654" s="40"/>
      <c r="F654" s="40"/>
      <c r="G654" s="40"/>
      <c r="H654" s="40"/>
      <c r="I654" s="40"/>
      <c r="J654" s="40"/>
      <c r="K654" s="41"/>
      <c r="N654" s="12" t="s">
        <v>898</v>
      </c>
    </row>
    <row r="655" spans="2:14" x14ac:dyDescent="0.2">
      <c r="B655" s="38"/>
      <c r="C655" s="399"/>
      <c r="D655" s="400"/>
      <c r="E655" s="400"/>
      <c r="F655" s="400"/>
      <c r="G655" s="400"/>
      <c r="H655" s="400"/>
      <c r="I655" s="400"/>
      <c r="J655" s="401"/>
      <c r="K655" s="41"/>
    </row>
    <row r="656" spans="2:14" x14ac:dyDescent="0.2">
      <c r="B656" s="38"/>
      <c r="C656" s="40"/>
      <c r="D656" s="40"/>
      <c r="E656" s="40"/>
      <c r="F656" s="40"/>
      <c r="G656" s="40"/>
      <c r="H656" s="40"/>
      <c r="I656" s="40"/>
      <c r="J656" s="40"/>
      <c r="K656" s="41"/>
    </row>
    <row r="657" spans="2:14" x14ac:dyDescent="0.2">
      <c r="B657" s="38"/>
      <c r="C657" s="179" t="s">
        <v>330</v>
      </c>
      <c r="D657" s="40"/>
      <c r="E657" s="40"/>
      <c r="F657" s="40"/>
      <c r="G657" s="40"/>
      <c r="H657" s="40"/>
      <c r="I657" s="40"/>
      <c r="J657" s="245" t="str">
        <f>IF(J651="N/A",IF(OR(J644="Not Calculated",J653="Not Calculated")=TRUE,"Not Calculated",AVERAGE(J644,J653)),AVERAGE(J651,J653))</f>
        <v>Not Calculated</v>
      </c>
      <c r="K657" s="41"/>
    </row>
    <row r="658" spans="2:14" x14ac:dyDescent="0.2">
      <c r="B658" s="38"/>
      <c r="C658" s="40"/>
      <c r="D658" s="40"/>
      <c r="E658" s="40"/>
      <c r="F658" s="40"/>
      <c r="G658" s="40"/>
      <c r="H658" s="40"/>
      <c r="I658" s="40"/>
      <c r="J658" s="40"/>
      <c r="K658" s="41"/>
    </row>
    <row r="659" spans="2:14" x14ac:dyDescent="0.2">
      <c r="B659" s="38"/>
      <c r="C659" s="40"/>
      <c r="D659" s="40"/>
      <c r="E659" s="40"/>
      <c r="F659" s="40"/>
      <c r="G659" s="40"/>
      <c r="H659" s="40"/>
      <c r="I659" s="40"/>
      <c r="J659" s="40"/>
      <c r="K659" s="41"/>
    </row>
    <row r="660" spans="2:14" ht="16" x14ac:dyDescent="0.2">
      <c r="B660" s="38"/>
      <c r="C660" s="45" t="s">
        <v>97</v>
      </c>
      <c r="D660" s="40"/>
      <c r="E660" s="40"/>
      <c r="F660" s="40"/>
      <c r="G660" s="40"/>
      <c r="H660" s="40"/>
      <c r="I660" s="40"/>
      <c r="J660" s="40"/>
      <c r="K660" s="41"/>
    </row>
    <row r="661" spans="2:14" x14ac:dyDescent="0.2">
      <c r="B661" s="38"/>
      <c r="C661" s="40" t="s">
        <v>449</v>
      </c>
      <c r="D661" s="40"/>
      <c r="E661" s="40"/>
      <c r="F661" s="40"/>
      <c r="G661" s="40"/>
      <c r="H661" s="40"/>
      <c r="I661" s="40"/>
      <c r="J661" s="263">
        <f>'Baseline Health'!G150</f>
        <v>0</v>
      </c>
      <c r="K661" s="41"/>
    </row>
    <row r="662" spans="2:14" x14ac:dyDescent="0.2">
      <c r="B662" s="38"/>
      <c r="C662" s="40" t="s">
        <v>341</v>
      </c>
      <c r="D662" s="40"/>
      <c r="E662" s="40"/>
      <c r="F662" s="40"/>
      <c r="G662" s="40"/>
      <c r="H662" s="40"/>
      <c r="I662" s="40"/>
      <c r="J662" s="273"/>
      <c r="K662" s="41"/>
    </row>
    <row r="663" spans="2:14" x14ac:dyDescent="0.2">
      <c r="B663" s="38"/>
      <c r="C663" s="40" t="s">
        <v>450</v>
      </c>
      <c r="D663" s="40"/>
      <c r="E663" s="40"/>
      <c r="F663" s="40"/>
      <c r="G663" s="40"/>
      <c r="H663" s="40"/>
      <c r="I663" s="40"/>
      <c r="J663" s="263">
        <f>J26</f>
        <v>0</v>
      </c>
      <c r="K663" s="41"/>
    </row>
    <row r="664" spans="2:14" ht="15" customHeight="1" x14ac:dyDescent="0.2">
      <c r="B664" s="38"/>
      <c r="C664" s="291"/>
      <c r="D664" s="380" t="s">
        <v>342</v>
      </c>
      <c r="E664" s="380"/>
      <c r="F664" s="380"/>
      <c r="G664" s="380"/>
      <c r="H664" s="380"/>
      <c r="I664" s="380"/>
      <c r="J664" s="245"/>
      <c r="K664" s="41"/>
    </row>
    <row r="665" spans="2:14" x14ac:dyDescent="0.2">
      <c r="B665" s="38"/>
      <c r="C665" s="291"/>
      <c r="D665" s="380"/>
      <c r="E665" s="380"/>
      <c r="F665" s="380"/>
      <c r="G665" s="380"/>
      <c r="H665" s="380"/>
      <c r="I665" s="380"/>
      <c r="J665" s="245"/>
      <c r="K665" s="41"/>
    </row>
    <row r="666" spans="2:14" x14ac:dyDescent="0.2">
      <c r="B666" s="38"/>
      <c r="C666" s="40" t="s">
        <v>260</v>
      </c>
      <c r="D666" s="40"/>
      <c r="E666" s="40"/>
      <c r="F666" s="40"/>
      <c r="G666" s="40"/>
      <c r="H666" s="40"/>
      <c r="I666" s="40"/>
      <c r="J666" s="245" t="str">
        <f>IF(OR(J661=0,J661="Not Calculated")=TRUE,"Not Calculated",IF(((J661+J663)/(J661-J662))&lt;=1,0,IF(((J661+J663)/(J661-J662))&lt;=1.1,1,IF(((J661+J663)/(J661-J662))&lt;=1.5, 2,IF(((J661+J663)/(J661-J662))&lt;=2,3,4)))))</f>
        <v>Not Calculated</v>
      </c>
      <c r="K666" s="41"/>
    </row>
    <row r="667" spans="2:14" ht="9.75" customHeight="1" x14ac:dyDescent="0.2">
      <c r="B667" s="38"/>
      <c r="C667" s="279" t="str">
        <f>"0:"</f>
        <v>0:</v>
      </c>
      <c r="D667" s="278" t="s">
        <v>918</v>
      </c>
      <c r="E667" s="291"/>
      <c r="F667" s="291"/>
      <c r="G667" s="291"/>
      <c r="H667" s="291"/>
      <c r="I667" s="291"/>
      <c r="J667" s="245"/>
      <c r="K667" s="41"/>
    </row>
    <row r="668" spans="2:14" ht="9.75" customHeight="1" x14ac:dyDescent="0.2">
      <c r="B668" s="38"/>
      <c r="C668" s="280" t="str">
        <f>"1:"</f>
        <v>1:</v>
      </c>
      <c r="D668" s="278" t="s">
        <v>923</v>
      </c>
      <c r="E668" s="291"/>
      <c r="F668" s="291"/>
      <c r="G668" s="291"/>
      <c r="H668" s="291"/>
      <c r="I668" s="291"/>
      <c r="J668" s="245"/>
      <c r="K668" s="41"/>
    </row>
    <row r="669" spans="2:14" ht="9.75" customHeight="1" x14ac:dyDescent="0.2">
      <c r="B669" s="38"/>
      <c r="C669" s="280" t="str">
        <f>"2:"</f>
        <v>2:</v>
      </c>
      <c r="D669" s="278" t="s">
        <v>924</v>
      </c>
      <c r="E669" s="291"/>
      <c r="F669" s="291"/>
      <c r="G669" s="291"/>
      <c r="H669" s="291"/>
      <c r="I669" s="291"/>
      <c r="J669" s="245"/>
      <c r="K669" s="41"/>
    </row>
    <row r="670" spans="2:14" ht="9.75" customHeight="1" x14ac:dyDescent="0.2">
      <c r="B670" s="38"/>
      <c r="C670" s="280" t="str">
        <f>"3:"</f>
        <v>3:</v>
      </c>
      <c r="D670" s="278" t="s">
        <v>925</v>
      </c>
      <c r="E670" s="291"/>
      <c r="F670" s="291"/>
      <c r="G670" s="291"/>
      <c r="H670" s="291"/>
      <c r="I670" s="291"/>
      <c r="J670" s="245"/>
      <c r="K670" s="41"/>
    </row>
    <row r="671" spans="2:14" ht="9.75" customHeight="1" x14ac:dyDescent="0.2">
      <c r="B671" s="38"/>
      <c r="C671" s="280" t="str">
        <f>"4:"</f>
        <v>4:</v>
      </c>
      <c r="D671" s="278" t="s">
        <v>926</v>
      </c>
      <c r="E671" s="40"/>
      <c r="F671" s="40"/>
      <c r="G671" s="40"/>
      <c r="H671" s="40"/>
      <c r="I671" s="40"/>
      <c r="J671" s="40"/>
      <c r="K671" s="41"/>
      <c r="N671" s="12" t="s">
        <v>661</v>
      </c>
    </row>
    <row r="672" spans="2:14" ht="15" customHeight="1" x14ac:dyDescent="0.2">
      <c r="B672" s="38"/>
      <c r="C672" s="174" t="s">
        <v>662</v>
      </c>
      <c r="D672" s="40"/>
      <c r="E672" s="40"/>
      <c r="F672" s="40"/>
      <c r="G672" s="40"/>
      <c r="H672" s="40"/>
      <c r="I672" s="40"/>
      <c r="J672" s="265" t="s">
        <v>661</v>
      </c>
      <c r="K672" s="41"/>
      <c r="N672" s="12" t="s">
        <v>894</v>
      </c>
    </row>
    <row r="673" spans="2:14" ht="15" customHeight="1" x14ac:dyDescent="0.2">
      <c r="B673" s="38"/>
      <c r="C673" s="174" t="s">
        <v>660</v>
      </c>
      <c r="D673" s="40"/>
      <c r="E673" s="40"/>
      <c r="F673" s="40"/>
      <c r="G673" s="40"/>
      <c r="H673" s="40"/>
      <c r="I673" s="40"/>
      <c r="J673" s="246" t="str">
        <f>IF(J672=N671,"N/A",IF(J672=N672,0,IF(J672=N673,1,IF(J672=N674,2,IF(J672=N675,3,IF(J672=N676,4,"N/A"))))))</f>
        <v>N/A</v>
      </c>
      <c r="K673" s="41"/>
      <c r="N673" s="12" t="s">
        <v>908</v>
      </c>
    </row>
    <row r="674" spans="2:14" ht="15" customHeight="1" x14ac:dyDescent="0.2">
      <c r="B674" s="38"/>
      <c r="C674" s="40" t="s">
        <v>257</v>
      </c>
      <c r="D674" s="40"/>
      <c r="E674" s="40"/>
      <c r="F674" s="40"/>
      <c r="G674" s="40"/>
      <c r="H674" s="40"/>
      <c r="I674" s="40"/>
      <c r="J674" s="266"/>
      <c r="K674" s="41"/>
      <c r="N674" s="12" t="s">
        <v>900</v>
      </c>
    </row>
    <row r="675" spans="2:14" x14ac:dyDescent="0.2">
      <c r="B675" s="38"/>
      <c r="C675" s="40" t="s">
        <v>261</v>
      </c>
      <c r="D675" s="40"/>
      <c r="E675" s="40"/>
      <c r="F675" s="40"/>
      <c r="G675" s="40"/>
      <c r="H675" s="40"/>
      <c r="I675" s="40"/>
      <c r="J675" s="245" t="str">
        <f>IF(J674=$B$973,$A$973,IF(J674=$B$974,$A$974,IF(J674=$B$975,$A$975,IF(J674=$B$976,$A$976,IF(J674=$B$977,$A$977,"Not Calculated")))))</f>
        <v>Not Calculated</v>
      </c>
      <c r="K675" s="41"/>
      <c r="N675" s="12" t="s">
        <v>901</v>
      </c>
    </row>
    <row r="676" spans="2:14" ht="15" customHeight="1" x14ac:dyDescent="0.2">
      <c r="B676" s="38"/>
      <c r="C676" s="40" t="s">
        <v>893</v>
      </c>
      <c r="D676" s="40"/>
      <c r="E676" s="40"/>
      <c r="F676" s="40"/>
      <c r="G676" s="40"/>
      <c r="H676" s="40"/>
      <c r="I676" s="40"/>
      <c r="J676" s="40"/>
      <c r="K676" s="41"/>
      <c r="N676" s="12" t="s">
        <v>909</v>
      </c>
    </row>
    <row r="677" spans="2:14" ht="15" customHeight="1" x14ac:dyDescent="0.2">
      <c r="B677" s="38"/>
      <c r="C677" s="399"/>
      <c r="D677" s="400"/>
      <c r="E677" s="400"/>
      <c r="F677" s="400"/>
      <c r="G677" s="400"/>
      <c r="H677" s="400"/>
      <c r="I677" s="400"/>
      <c r="J677" s="401"/>
      <c r="K677" s="41"/>
    </row>
    <row r="678" spans="2:14" x14ac:dyDescent="0.2">
      <c r="B678" s="38"/>
      <c r="C678" s="40"/>
      <c r="D678" s="40"/>
      <c r="E678" s="40"/>
      <c r="F678" s="40"/>
      <c r="G678" s="40"/>
      <c r="H678" s="40"/>
      <c r="I678" s="40"/>
      <c r="J678" s="40"/>
      <c r="K678" s="41"/>
    </row>
    <row r="679" spans="2:14" x14ac:dyDescent="0.2">
      <c r="B679" s="38"/>
      <c r="C679" s="179" t="s">
        <v>331</v>
      </c>
      <c r="D679" s="40"/>
      <c r="E679" s="40"/>
      <c r="F679" s="40"/>
      <c r="G679" s="40"/>
      <c r="H679" s="40"/>
      <c r="I679" s="40"/>
      <c r="J679" s="245" t="str">
        <f>IF(J673="N/A",IF(OR(J666="Not Calculated",J675="Not Calculated")=TRUE,"Not Calculated",AVERAGE(J666,J675)),AVERAGE(J673,J675))</f>
        <v>Not Calculated</v>
      </c>
      <c r="K679" s="41"/>
    </row>
    <row r="680" spans="2:14" x14ac:dyDescent="0.2">
      <c r="B680" s="38"/>
      <c r="C680" s="40"/>
      <c r="D680" s="40"/>
      <c r="E680" s="40"/>
      <c r="F680" s="40"/>
      <c r="G680" s="40"/>
      <c r="H680" s="40"/>
      <c r="I680" s="40"/>
      <c r="J680" s="40"/>
      <c r="K680" s="41"/>
    </row>
    <row r="681" spans="2:14" ht="18" x14ac:dyDescent="0.2">
      <c r="B681" s="38"/>
      <c r="C681" s="180" t="s">
        <v>332</v>
      </c>
      <c r="D681" s="40"/>
      <c r="E681" s="40"/>
      <c r="F681" s="40"/>
      <c r="G681" s="40"/>
      <c r="H681" s="40"/>
      <c r="I681" s="40"/>
      <c r="J681" s="244" t="str">
        <f>IF(OR(J562="Not Calculated",J585="Not Calculated",J601="Not Calculated",J615="Not Calculated",J635="Not Calculated",J657="Not Calculated",J679="Not Calculated")=TRUE,"Not Calculated",AVERAGE(J562,J585,J601,J615,J635,J657,J679))</f>
        <v>Not Calculated</v>
      </c>
      <c r="K681" s="41"/>
    </row>
    <row r="682" spans="2:14" ht="16" thickBot="1" x14ac:dyDescent="0.25">
      <c r="B682" s="46"/>
      <c r="C682" s="47"/>
      <c r="D682" s="47"/>
      <c r="E682" s="47"/>
      <c r="F682" s="47"/>
      <c r="G682" s="47"/>
      <c r="H682" s="47"/>
      <c r="I682" s="47"/>
      <c r="J682" s="47"/>
      <c r="K682" s="49"/>
    </row>
    <row r="683" spans="2:14" ht="16" thickBot="1" x14ac:dyDescent="0.25"/>
    <row r="684" spans="2:14" x14ac:dyDescent="0.2">
      <c r="B684" s="33"/>
      <c r="C684" s="34"/>
      <c r="D684" s="34"/>
      <c r="E684" s="34"/>
      <c r="F684" s="34"/>
      <c r="G684" s="34"/>
      <c r="H684" s="34"/>
      <c r="I684" s="34"/>
      <c r="J684" s="34"/>
      <c r="K684" s="37"/>
    </row>
    <row r="685" spans="2:14" ht="21" x14ac:dyDescent="0.25">
      <c r="B685" s="38"/>
      <c r="C685" s="40"/>
      <c r="D685" s="40"/>
      <c r="E685" s="40"/>
      <c r="F685" s="40"/>
      <c r="G685" s="172" t="s">
        <v>346</v>
      </c>
      <c r="H685" s="40"/>
      <c r="I685" s="40"/>
      <c r="J685" s="40"/>
      <c r="K685" s="41"/>
    </row>
    <row r="686" spans="2:14" x14ac:dyDescent="0.2">
      <c r="B686" s="38"/>
      <c r="C686" s="40"/>
      <c r="D686" s="40"/>
      <c r="E686" s="40"/>
      <c r="F686" s="40"/>
      <c r="G686" s="40"/>
      <c r="H686" s="40"/>
      <c r="I686" s="40"/>
      <c r="J686" s="40"/>
      <c r="K686" s="41"/>
    </row>
    <row r="687" spans="2:14" ht="16" x14ac:dyDescent="0.2">
      <c r="B687" s="38"/>
      <c r="C687" s="182" t="s">
        <v>986</v>
      </c>
      <c r="D687" s="40"/>
      <c r="E687" s="40"/>
      <c r="F687" s="40"/>
      <c r="G687" s="40"/>
      <c r="H687" s="40"/>
      <c r="I687" s="40"/>
      <c r="J687" s="257" t="str">
        <f>IF(OR($J$133="Not Calculated",$J$261="Not Calculated",$J$421="Not Calculated",$J$539="Not Calculated",$J$681="Not Calculated")=TRUE,"Not Calculated",AVERAGE($J$133,$J$261,$J$421,$J$539,$J$681))</f>
        <v>Not Calculated</v>
      </c>
      <c r="K687" s="41"/>
    </row>
    <row r="688" spans="2:14" x14ac:dyDescent="0.2">
      <c r="B688" s="38"/>
      <c r="C688" s="40"/>
      <c r="D688" s="40" t="s">
        <v>343</v>
      </c>
      <c r="E688" s="40"/>
      <c r="F688" s="40"/>
      <c r="G688" s="40"/>
      <c r="H688" s="40"/>
      <c r="I688" s="40"/>
      <c r="J688" s="40"/>
      <c r="K688" s="41"/>
    </row>
    <row r="689" spans="2:11" ht="15" customHeight="1" x14ac:dyDescent="0.2">
      <c r="B689" s="38"/>
      <c r="C689" s="40"/>
      <c r="D689" s="40"/>
      <c r="E689" s="40"/>
      <c r="F689" s="40"/>
      <c r="G689" s="40"/>
      <c r="H689" s="40"/>
      <c r="I689" s="40"/>
      <c r="J689" s="40"/>
      <c r="K689" s="41"/>
    </row>
    <row r="690" spans="2:11" ht="16" x14ac:dyDescent="0.2">
      <c r="B690" s="38"/>
      <c r="C690" s="182" t="s">
        <v>987</v>
      </c>
      <c r="D690" s="40"/>
      <c r="E690" s="40"/>
      <c r="F690" s="40"/>
      <c r="G690" s="40"/>
      <c r="H690" s="40"/>
      <c r="I690" s="40"/>
      <c r="J690" s="257" t="str">
        <f>IF(OR($J$133="Not Calculated",$J$261="Not Calculated",$J$539="Not Calculated",$J$681="Not Calculated")=TRUE,"Not Calculated",AVERAGE($J$133,$J$261,$J$539,$J$681))</f>
        <v>Not Calculated</v>
      </c>
      <c r="K690" s="41"/>
    </row>
    <row r="691" spans="2:11" ht="15" customHeight="1" x14ac:dyDescent="0.2">
      <c r="B691" s="38"/>
      <c r="C691" s="40"/>
      <c r="D691" s="40" t="s">
        <v>344</v>
      </c>
      <c r="E691" s="40"/>
      <c r="F691" s="40"/>
      <c r="G691" s="40"/>
      <c r="H691" s="40"/>
      <c r="I691" s="40"/>
      <c r="J691" s="40"/>
      <c r="K691" s="41"/>
    </row>
    <row r="692" spans="2:11" x14ac:dyDescent="0.2">
      <c r="B692" s="38"/>
      <c r="C692" s="40"/>
      <c r="D692" s="40"/>
      <c r="E692" s="40"/>
      <c r="F692" s="40"/>
      <c r="G692" s="40"/>
      <c r="H692" s="40"/>
      <c r="I692" s="40"/>
      <c r="J692" s="40"/>
      <c r="K692" s="41"/>
    </row>
    <row r="693" spans="2:11" ht="16" x14ac:dyDescent="0.2">
      <c r="B693" s="38"/>
      <c r="C693" s="182" t="s">
        <v>988</v>
      </c>
      <c r="D693" s="40"/>
      <c r="E693" s="40"/>
      <c r="F693" s="40"/>
      <c r="G693" s="40"/>
      <c r="H693" s="40"/>
      <c r="I693" s="40"/>
      <c r="J693" s="257" t="str">
        <f>IF(OR($J$133="Not Calculated",$J$261="Not Calculated",$J$421="Not Calculated")=TRUE,"Not Calculated",AVERAGE($J$133,$J$261,$J$421))</f>
        <v>Not Calculated</v>
      </c>
      <c r="K693" s="41"/>
    </row>
    <row r="694" spans="2:11" x14ac:dyDescent="0.2">
      <c r="B694" s="38"/>
      <c r="C694" s="40"/>
      <c r="D694" s="40" t="s">
        <v>345</v>
      </c>
      <c r="E694" s="40"/>
      <c r="F694" s="40"/>
      <c r="G694" s="40"/>
      <c r="H694" s="40"/>
      <c r="I694" s="40"/>
      <c r="J694" s="40"/>
      <c r="K694" s="41"/>
    </row>
    <row r="695" spans="2:11" ht="16" thickBot="1" x14ac:dyDescent="0.25">
      <c r="B695" s="46"/>
      <c r="C695" s="47"/>
      <c r="D695" s="47"/>
      <c r="E695" s="47"/>
      <c r="F695" s="47"/>
      <c r="G695" s="47"/>
      <c r="H695" s="47"/>
      <c r="I695" s="47"/>
      <c r="J695" s="47"/>
      <c r="K695" s="49"/>
    </row>
    <row r="696" spans="2:11" ht="16" thickBot="1" x14ac:dyDescent="0.25"/>
    <row r="697" spans="2:11" x14ac:dyDescent="0.2">
      <c r="B697" s="183"/>
      <c r="C697" s="184"/>
      <c r="D697" s="184"/>
      <c r="E697" s="184"/>
      <c r="F697" s="184"/>
      <c r="G697" s="184"/>
      <c r="H697" s="184"/>
      <c r="I697" s="184"/>
      <c r="J697" s="184"/>
      <c r="K697" s="185"/>
    </row>
    <row r="698" spans="2:11" ht="21" x14ac:dyDescent="0.25">
      <c r="B698" s="186"/>
      <c r="C698" s="187"/>
      <c r="D698" s="187"/>
      <c r="E698" s="187"/>
      <c r="F698" s="187"/>
      <c r="G698" s="188" t="s">
        <v>231</v>
      </c>
      <c r="H698" s="187"/>
      <c r="I698" s="187"/>
      <c r="J698" s="187"/>
      <c r="K698" s="189"/>
    </row>
    <row r="699" spans="2:11" x14ac:dyDescent="0.2">
      <c r="B699" s="186"/>
      <c r="C699" s="187"/>
      <c r="D699" s="187"/>
      <c r="E699" s="187"/>
      <c r="F699" s="187"/>
      <c r="G699" s="187"/>
      <c r="H699" s="187"/>
      <c r="I699" s="187"/>
      <c r="J699" s="187"/>
      <c r="K699" s="189"/>
    </row>
    <row r="700" spans="2:11" ht="16" x14ac:dyDescent="0.2">
      <c r="B700" s="186"/>
      <c r="C700" s="190" t="s">
        <v>989</v>
      </c>
      <c r="D700" s="187"/>
      <c r="E700" s="187"/>
      <c r="F700" s="187"/>
      <c r="G700" s="187"/>
      <c r="H700" s="187"/>
      <c r="I700" s="187"/>
      <c r="J700" s="256" t="str">
        <f>IF(OR(J687="Not Calculated",$E$17="Not Calculated")=TRUE,"Not Calculated",(J687*$E$17*100/16))</f>
        <v>Not Calculated</v>
      </c>
      <c r="K700" s="189"/>
    </row>
    <row r="701" spans="2:11" x14ac:dyDescent="0.2">
      <c r="B701" s="186"/>
      <c r="C701" s="187"/>
      <c r="D701" s="187" t="s">
        <v>377</v>
      </c>
      <c r="E701" s="187"/>
      <c r="F701" s="187"/>
      <c r="G701" s="187"/>
      <c r="H701" s="187"/>
      <c r="I701" s="187"/>
      <c r="J701" s="187"/>
      <c r="K701" s="189"/>
    </row>
    <row r="702" spans="2:11" x14ac:dyDescent="0.2">
      <c r="B702" s="186"/>
      <c r="C702" s="187"/>
      <c r="D702" s="187"/>
      <c r="E702" s="187"/>
      <c r="F702" s="187"/>
      <c r="G702" s="187"/>
      <c r="H702" s="187"/>
      <c r="I702" s="187"/>
      <c r="J702" s="187"/>
      <c r="K702" s="189"/>
    </row>
    <row r="703" spans="2:11" ht="16" x14ac:dyDescent="0.2">
      <c r="B703" s="186"/>
      <c r="C703" s="190" t="s">
        <v>990</v>
      </c>
      <c r="D703" s="187"/>
      <c r="E703" s="187"/>
      <c r="F703" s="187"/>
      <c r="G703" s="187"/>
      <c r="H703" s="187"/>
      <c r="I703" s="187"/>
      <c r="J703" s="256" t="str">
        <f>IF(OR(J690="Not Calculated",$E$17="Not Calculated")=TRUE,"Not Calculated",(J690*$E$17*100/16))</f>
        <v>Not Calculated</v>
      </c>
      <c r="K703" s="189"/>
    </row>
    <row r="704" spans="2:11" x14ac:dyDescent="0.2">
      <c r="B704" s="186"/>
      <c r="C704" s="187"/>
      <c r="D704" s="187" t="s">
        <v>378</v>
      </c>
      <c r="E704" s="187"/>
      <c r="F704" s="187"/>
      <c r="G704" s="187"/>
      <c r="H704" s="187"/>
      <c r="I704" s="187"/>
      <c r="J704" s="187"/>
      <c r="K704" s="189"/>
    </row>
    <row r="705" spans="2:11" x14ac:dyDescent="0.2">
      <c r="B705" s="186"/>
      <c r="C705" s="187"/>
      <c r="D705" s="187"/>
      <c r="E705" s="187"/>
      <c r="F705" s="187"/>
      <c r="G705" s="187"/>
      <c r="H705" s="187"/>
      <c r="I705" s="187"/>
      <c r="J705" s="187"/>
      <c r="K705" s="189"/>
    </row>
    <row r="706" spans="2:11" ht="16" x14ac:dyDescent="0.2">
      <c r="B706" s="186"/>
      <c r="C706" s="190" t="s">
        <v>991</v>
      </c>
      <c r="D706" s="187"/>
      <c r="E706" s="187"/>
      <c r="F706" s="187"/>
      <c r="G706" s="187"/>
      <c r="H706" s="187"/>
      <c r="I706" s="187"/>
      <c r="J706" s="256" t="str">
        <f>IF(OR(J693="Not Calculated",$E$17="Not Calculated")=TRUE,"Not Calculated",(J693*$E$17*100/16))</f>
        <v>Not Calculated</v>
      </c>
      <c r="K706" s="189"/>
    </row>
    <row r="707" spans="2:11" x14ac:dyDescent="0.2">
      <c r="B707" s="186"/>
      <c r="C707" s="187"/>
      <c r="D707" s="187" t="s">
        <v>379</v>
      </c>
      <c r="E707" s="187"/>
      <c r="F707" s="187"/>
      <c r="G707" s="187"/>
      <c r="H707" s="187"/>
      <c r="I707" s="187"/>
      <c r="J707" s="187"/>
      <c r="K707" s="189"/>
    </row>
    <row r="708" spans="2:11" ht="16" thickBot="1" x14ac:dyDescent="0.25">
      <c r="B708" s="191"/>
      <c r="C708" s="192"/>
      <c r="D708" s="192"/>
      <c r="E708" s="192"/>
      <c r="F708" s="192"/>
      <c r="G708" s="192"/>
      <c r="H708" s="192"/>
      <c r="I708" s="192"/>
      <c r="J708" s="192"/>
      <c r="K708" s="193"/>
    </row>
    <row r="709" spans="2:11" ht="16" thickBot="1" x14ac:dyDescent="0.25"/>
    <row r="710" spans="2:11" x14ac:dyDescent="0.2">
      <c r="B710" s="53"/>
      <c r="C710" s="54"/>
      <c r="D710" s="54"/>
      <c r="E710" s="54"/>
      <c r="F710" s="54"/>
      <c r="G710" s="54"/>
      <c r="H710" s="54"/>
      <c r="I710" s="54"/>
      <c r="J710" s="54"/>
      <c r="K710" s="56"/>
    </row>
    <row r="711" spans="2:11" ht="21" x14ac:dyDescent="0.25">
      <c r="B711" s="57"/>
      <c r="C711" s="59"/>
      <c r="D711" s="59"/>
      <c r="E711" s="59"/>
      <c r="F711" s="59"/>
      <c r="G711" s="194" t="s">
        <v>232</v>
      </c>
      <c r="H711" s="59"/>
      <c r="I711" s="59"/>
      <c r="J711" s="59"/>
      <c r="K711" s="61"/>
    </row>
    <row r="712" spans="2:11" x14ac:dyDescent="0.2">
      <c r="B712" s="57"/>
      <c r="C712" s="59"/>
      <c r="D712" s="59"/>
      <c r="E712" s="59"/>
      <c r="F712" s="59"/>
      <c r="G712" s="59"/>
      <c r="H712" s="59"/>
      <c r="I712" s="59"/>
      <c r="J712" s="59"/>
      <c r="K712" s="61"/>
    </row>
    <row r="713" spans="2:11" ht="16" x14ac:dyDescent="0.2">
      <c r="B713" s="57"/>
      <c r="C713" s="195" t="s">
        <v>363</v>
      </c>
      <c r="D713" s="59"/>
      <c r="E713" s="59"/>
      <c r="F713" s="59"/>
      <c r="G713" s="59"/>
      <c r="H713" s="59"/>
      <c r="I713" s="59"/>
      <c r="J713" s="59"/>
      <c r="K713" s="61"/>
    </row>
    <row r="714" spans="2:11" ht="15" customHeight="1" x14ac:dyDescent="0.2">
      <c r="B714" s="57"/>
      <c r="C714" s="411" t="s">
        <v>364</v>
      </c>
      <c r="D714" s="411"/>
      <c r="E714" s="411"/>
      <c r="F714" s="411"/>
      <c r="G714" s="411"/>
      <c r="H714" s="411"/>
      <c r="I714" s="411"/>
      <c r="J714" s="411"/>
      <c r="K714" s="61"/>
    </row>
    <row r="715" spans="2:11" x14ac:dyDescent="0.2">
      <c r="B715" s="57"/>
      <c r="C715" s="411"/>
      <c r="D715" s="411"/>
      <c r="E715" s="411"/>
      <c r="F715" s="411"/>
      <c r="G715" s="411"/>
      <c r="H715" s="411"/>
      <c r="I715" s="411"/>
      <c r="J715" s="411"/>
      <c r="K715" s="61"/>
    </row>
    <row r="716" spans="2:11" x14ac:dyDescent="0.2">
      <c r="B716" s="57"/>
      <c r="C716" s="411"/>
      <c r="D716" s="411"/>
      <c r="E716" s="411"/>
      <c r="F716" s="411"/>
      <c r="G716" s="411"/>
      <c r="H716" s="411"/>
      <c r="I716" s="411"/>
      <c r="J716" s="411"/>
      <c r="K716" s="61"/>
    </row>
    <row r="717" spans="2:11" x14ac:dyDescent="0.2">
      <c r="B717" s="57"/>
      <c r="C717" s="196" t="s">
        <v>30</v>
      </c>
      <c r="D717" s="59"/>
      <c r="E717" s="59"/>
      <c r="F717" s="59"/>
      <c r="G717" s="431"/>
      <c r="H717" s="431"/>
      <c r="I717" s="59"/>
      <c r="J717" s="260" t="str">
        <f>IF(G717=$B$994,$A$994,IF(G717=$B$995,$A$995,"Not Calculated"))</f>
        <v>Not Calculated</v>
      </c>
      <c r="K717" s="61"/>
    </row>
    <row r="718" spans="2:11" x14ac:dyDescent="0.2">
      <c r="B718" s="57"/>
      <c r="C718" s="196" t="s">
        <v>32</v>
      </c>
      <c r="D718" s="59"/>
      <c r="E718" s="59"/>
      <c r="F718" s="59"/>
      <c r="G718" s="431"/>
      <c r="H718" s="431"/>
      <c r="I718" s="59"/>
      <c r="J718" s="260" t="str">
        <f t="shared" ref="J718:J725" si="0">IF(G718=$B$994,$A$994,IF(G718=$B$995,$A$995,"Not Calculated"))</f>
        <v>Not Calculated</v>
      </c>
      <c r="K718" s="61"/>
    </row>
    <row r="719" spans="2:11" x14ac:dyDescent="0.2">
      <c r="B719" s="57"/>
      <c r="C719" s="196" t="s">
        <v>34</v>
      </c>
      <c r="D719" s="59"/>
      <c r="E719" s="59"/>
      <c r="F719" s="59"/>
      <c r="G719" s="431"/>
      <c r="H719" s="431"/>
      <c r="I719" s="59"/>
      <c r="J719" s="260" t="str">
        <f t="shared" si="0"/>
        <v>Not Calculated</v>
      </c>
      <c r="K719" s="61"/>
    </row>
    <row r="720" spans="2:11" x14ac:dyDescent="0.2">
      <c r="B720" s="57"/>
      <c r="C720" s="196" t="s">
        <v>35</v>
      </c>
      <c r="D720" s="59"/>
      <c r="E720" s="59"/>
      <c r="F720" s="59"/>
      <c r="G720" s="431"/>
      <c r="H720" s="431"/>
      <c r="I720" s="59"/>
      <c r="J720" s="260" t="str">
        <f t="shared" si="0"/>
        <v>Not Calculated</v>
      </c>
      <c r="K720" s="61"/>
    </row>
    <row r="721" spans="2:11" x14ac:dyDescent="0.2">
      <c r="B721" s="57"/>
      <c r="C721" s="196" t="s">
        <v>37</v>
      </c>
      <c r="D721" s="59"/>
      <c r="E721" s="59"/>
      <c r="F721" s="59"/>
      <c r="G721" s="431"/>
      <c r="H721" s="431"/>
      <c r="I721" s="59"/>
      <c r="J721" s="260" t="str">
        <f t="shared" si="0"/>
        <v>Not Calculated</v>
      </c>
      <c r="K721" s="61"/>
    </row>
    <row r="722" spans="2:11" x14ac:dyDescent="0.2">
      <c r="B722" s="57"/>
      <c r="C722" s="196" t="s">
        <v>38</v>
      </c>
      <c r="D722" s="59"/>
      <c r="E722" s="59"/>
      <c r="F722" s="59"/>
      <c r="G722" s="431"/>
      <c r="H722" s="431"/>
      <c r="I722" s="59"/>
      <c r="J722" s="260" t="str">
        <f t="shared" si="0"/>
        <v>Not Calculated</v>
      </c>
      <c r="K722" s="61"/>
    </row>
    <row r="723" spans="2:11" x14ac:dyDescent="0.2">
      <c r="B723" s="57"/>
      <c r="C723" s="196" t="s">
        <v>40</v>
      </c>
      <c r="D723" s="59"/>
      <c r="E723" s="59"/>
      <c r="F723" s="59"/>
      <c r="G723" s="431"/>
      <c r="H723" s="431"/>
      <c r="I723" s="59"/>
      <c r="J723" s="260" t="str">
        <f t="shared" si="0"/>
        <v>Not Calculated</v>
      </c>
      <c r="K723" s="61"/>
    </row>
    <row r="724" spans="2:11" x14ac:dyDescent="0.2">
      <c r="B724" s="57"/>
      <c r="C724" s="196" t="s">
        <v>41</v>
      </c>
      <c r="D724" s="59"/>
      <c r="E724" s="59"/>
      <c r="F724" s="59"/>
      <c r="G724" s="431"/>
      <c r="H724" s="431"/>
      <c r="I724" s="59"/>
      <c r="J724" s="260" t="str">
        <f t="shared" si="0"/>
        <v>Not Calculated</v>
      </c>
      <c r="K724" s="61"/>
    </row>
    <row r="725" spans="2:11" x14ac:dyDescent="0.2">
      <c r="B725" s="57"/>
      <c r="C725" s="196" t="s">
        <v>43</v>
      </c>
      <c r="D725" s="59"/>
      <c r="E725" s="59"/>
      <c r="F725" s="59"/>
      <c r="G725" s="431"/>
      <c r="H725" s="431"/>
      <c r="I725" s="59"/>
      <c r="J725" s="260" t="str">
        <f t="shared" si="0"/>
        <v>Not Calculated</v>
      </c>
      <c r="K725" s="61"/>
    </row>
    <row r="726" spans="2:11" x14ac:dyDescent="0.2">
      <c r="B726" s="57"/>
      <c r="C726" s="59"/>
      <c r="D726" s="59"/>
      <c r="E726" s="59"/>
      <c r="F726" s="59"/>
      <c r="G726" s="59"/>
      <c r="H726" s="59"/>
      <c r="I726" s="59"/>
      <c r="J726" s="59"/>
      <c r="K726" s="61"/>
    </row>
    <row r="727" spans="2:11" x14ac:dyDescent="0.2">
      <c r="B727" s="57"/>
      <c r="C727" s="59"/>
      <c r="D727" s="59"/>
      <c r="E727" s="59"/>
      <c r="F727" s="59"/>
      <c r="G727" s="59"/>
      <c r="H727" s="59"/>
      <c r="I727" s="59"/>
      <c r="J727" s="59"/>
      <c r="K727" s="61"/>
    </row>
    <row r="728" spans="2:11" ht="16" x14ac:dyDescent="0.2">
      <c r="B728" s="57"/>
      <c r="C728" s="195" t="s">
        <v>115</v>
      </c>
      <c r="D728" s="59"/>
      <c r="E728" s="59"/>
      <c r="F728" s="59"/>
      <c r="G728" s="59"/>
      <c r="H728" s="59"/>
      <c r="I728" s="59"/>
      <c r="J728" s="59"/>
      <c r="K728" s="61"/>
    </row>
    <row r="729" spans="2:11" ht="15" customHeight="1" x14ac:dyDescent="0.2">
      <c r="B729" s="57"/>
      <c r="C729" s="411" t="s">
        <v>365</v>
      </c>
      <c r="D729" s="411"/>
      <c r="E729" s="411"/>
      <c r="F729" s="411"/>
      <c r="G729" s="411"/>
      <c r="H729" s="411"/>
      <c r="I729" s="411"/>
      <c r="J729" s="411"/>
      <c r="K729" s="61"/>
    </row>
    <row r="730" spans="2:11" x14ac:dyDescent="0.2">
      <c r="B730" s="57"/>
      <c r="C730" s="411"/>
      <c r="D730" s="411"/>
      <c r="E730" s="411"/>
      <c r="F730" s="411"/>
      <c r="G730" s="411"/>
      <c r="H730" s="411"/>
      <c r="I730" s="411"/>
      <c r="J730" s="411"/>
      <c r="K730" s="61"/>
    </row>
    <row r="731" spans="2:11" x14ac:dyDescent="0.2">
      <c r="B731" s="57"/>
      <c r="C731" s="411"/>
      <c r="D731" s="411"/>
      <c r="E731" s="411"/>
      <c r="F731" s="411"/>
      <c r="G731" s="411"/>
      <c r="H731" s="411"/>
      <c r="I731" s="411"/>
      <c r="J731" s="411"/>
      <c r="K731" s="61"/>
    </row>
    <row r="732" spans="2:11" x14ac:dyDescent="0.2">
      <c r="B732" s="57"/>
      <c r="C732" s="196" t="s">
        <v>30</v>
      </c>
      <c r="D732" s="59"/>
      <c r="E732" s="59"/>
      <c r="F732" s="59"/>
      <c r="G732" s="431"/>
      <c r="H732" s="431"/>
      <c r="I732" s="59"/>
      <c r="J732" s="260" t="str">
        <f>IF(G732=$B$994,$A$994,IF(G732=$B$995,$A$995,"Not Calculated"))</f>
        <v>Not Calculated</v>
      </c>
      <c r="K732" s="61"/>
    </row>
    <row r="733" spans="2:11" x14ac:dyDescent="0.2">
      <c r="B733" s="57"/>
      <c r="C733" s="196" t="s">
        <v>32</v>
      </c>
      <c r="D733" s="59"/>
      <c r="E733" s="59"/>
      <c r="F733" s="59"/>
      <c r="G733" s="431"/>
      <c r="H733" s="431"/>
      <c r="I733" s="59"/>
      <c r="J733" s="260" t="str">
        <f t="shared" ref="J733:J740" si="1">IF(G733=$B$994,$A$994,IF(G733=$B$995,$A$995,"Not Calculated"))</f>
        <v>Not Calculated</v>
      </c>
      <c r="K733" s="61"/>
    </row>
    <row r="734" spans="2:11" ht="15" customHeight="1" x14ac:dyDescent="0.2">
      <c r="B734" s="57"/>
      <c r="C734" s="196" t="s">
        <v>34</v>
      </c>
      <c r="D734" s="59"/>
      <c r="E734" s="59"/>
      <c r="F734" s="59"/>
      <c r="G734" s="431"/>
      <c r="H734" s="431"/>
      <c r="I734" s="59"/>
      <c r="J734" s="260" t="str">
        <f t="shared" si="1"/>
        <v>Not Calculated</v>
      </c>
      <c r="K734" s="61"/>
    </row>
    <row r="735" spans="2:11" x14ac:dyDescent="0.2">
      <c r="B735" s="57"/>
      <c r="C735" s="196" t="s">
        <v>35</v>
      </c>
      <c r="D735" s="59"/>
      <c r="E735" s="59"/>
      <c r="F735" s="59"/>
      <c r="G735" s="431"/>
      <c r="H735" s="431"/>
      <c r="I735" s="59"/>
      <c r="J735" s="260" t="str">
        <f t="shared" si="1"/>
        <v>Not Calculated</v>
      </c>
      <c r="K735" s="61"/>
    </row>
    <row r="736" spans="2:11" x14ac:dyDescent="0.2">
      <c r="B736" s="57"/>
      <c r="C736" s="196" t="s">
        <v>37</v>
      </c>
      <c r="D736" s="59"/>
      <c r="E736" s="59"/>
      <c r="F736" s="59"/>
      <c r="G736" s="431"/>
      <c r="H736" s="431"/>
      <c r="I736" s="59"/>
      <c r="J736" s="260" t="str">
        <f t="shared" si="1"/>
        <v>Not Calculated</v>
      </c>
      <c r="K736" s="61"/>
    </row>
    <row r="737" spans="2:11" x14ac:dyDescent="0.2">
      <c r="B737" s="57"/>
      <c r="C737" s="196" t="s">
        <v>38</v>
      </c>
      <c r="D737" s="59"/>
      <c r="E737" s="59"/>
      <c r="F737" s="59"/>
      <c r="G737" s="431"/>
      <c r="H737" s="431"/>
      <c r="I737" s="59"/>
      <c r="J737" s="260" t="str">
        <f t="shared" si="1"/>
        <v>Not Calculated</v>
      </c>
      <c r="K737" s="61"/>
    </row>
    <row r="738" spans="2:11" x14ac:dyDescent="0.2">
      <c r="B738" s="57"/>
      <c r="C738" s="196" t="s">
        <v>40</v>
      </c>
      <c r="D738" s="59"/>
      <c r="E738" s="59"/>
      <c r="F738" s="59"/>
      <c r="G738" s="431"/>
      <c r="H738" s="431"/>
      <c r="I738" s="59"/>
      <c r="J738" s="260" t="str">
        <f t="shared" si="1"/>
        <v>Not Calculated</v>
      </c>
      <c r="K738" s="61"/>
    </row>
    <row r="739" spans="2:11" x14ac:dyDescent="0.2">
      <c r="B739" s="57"/>
      <c r="C739" s="196" t="s">
        <v>41</v>
      </c>
      <c r="D739" s="59"/>
      <c r="E739" s="59"/>
      <c r="F739" s="59"/>
      <c r="G739" s="431"/>
      <c r="H739" s="431"/>
      <c r="I739" s="59"/>
      <c r="J739" s="260" t="str">
        <f t="shared" si="1"/>
        <v>Not Calculated</v>
      </c>
      <c r="K739" s="61"/>
    </row>
    <row r="740" spans="2:11" x14ac:dyDescent="0.2">
      <c r="B740" s="57"/>
      <c r="C740" s="196" t="s">
        <v>43</v>
      </c>
      <c r="D740" s="59"/>
      <c r="E740" s="59"/>
      <c r="F740" s="59"/>
      <c r="G740" s="431"/>
      <c r="H740" s="431"/>
      <c r="I740" s="59"/>
      <c r="J740" s="260" t="str">
        <f t="shared" si="1"/>
        <v>Not Calculated</v>
      </c>
      <c r="K740" s="61"/>
    </row>
    <row r="741" spans="2:11" x14ac:dyDescent="0.2">
      <c r="B741" s="57"/>
      <c r="C741" s="59"/>
      <c r="D741" s="59"/>
      <c r="E741" s="59"/>
      <c r="F741" s="59"/>
      <c r="G741" s="59"/>
      <c r="H741" s="59"/>
      <c r="I741" s="59"/>
      <c r="J741" s="59"/>
      <c r="K741" s="61"/>
    </row>
    <row r="742" spans="2:11" x14ac:dyDescent="0.2">
      <c r="B742" s="57"/>
      <c r="C742" s="59"/>
      <c r="D742" s="59"/>
      <c r="E742" s="59"/>
      <c r="F742" s="59"/>
      <c r="G742" s="59"/>
      <c r="H742" s="59"/>
      <c r="I742" s="59"/>
      <c r="J742" s="59"/>
      <c r="K742" s="61"/>
    </row>
    <row r="743" spans="2:11" ht="16" x14ac:dyDescent="0.2">
      <c r="B743" s="57"/>
      <c r="C743" s="195" t="s">
        <v>366</v>
      </c>
      <c r="D743" s="59"/>
      <c r="E743" s="59"/>
      <c r="F743" s="59"/>
      <c r="G743" s="59"/>
      <c r="H743" s="59"/>
      <c r="I743" s="59"/>
      <c r="J743" s="59"/>
      <c r="K743" s="61"/>
    </row>
    <row r="744" spans="2:11" ht="15" customHeight="1" x14ac:dyDescent="0.2">
      <c r="B744" s="57"/>
      <c r="C744" s="411" t="s">
        <v>367</v>
      </c>
      <c r="D744" s="411"/>
      <c r="E744" s="411"/>
      <c r="F744" s="411"/>
      <c r="G744" s="411"/>
      <c r="H744" s="411"/>
      <c r="I744" s="411"/>
      <c r="J744" s="411"/>
      <c r="K744" s="61"/>
    </row>
    <row r="745" spans="2:11" x14ac:dyDescent="0.2">
      <c r="B745" s="57"/>
      <c r="C745" s="411"/>
      <c r="D745" s="411"/>
      <c r="E745" s="411"/>
      <c r="F745" s="411"/>
      <c r="G745" s="411"/>
      <c r="H745" s="411"/>
      <c r="I745" s="411"/>
      <c r="J745" s="411"/>
      <c r="K745" s="61"/>
    </row>
    <row r="746" spans="2:11" x14ac:dyDescent="0.2">
      <c r="B746" s="57"/>
      <c r="C746" s="411"/>
      <c r="D746" s="411"/>
      <c r="E746" s="411"/>
      <c r="F746" s="411"/>
      <c r="G746" s="411"/>
      <c r="H746" s="411"/>
      <c r="I746" s="411"/>
      <c r="J746" s="411"/>
      <c r="K746" s="61"/>
    </row>
    <row r="747" spans="2:11" x14ac:dyDescent="0.2">
      <c r="B747" s="57"/>
      <c r="C747" s="196" t="s">
        <v>30</v>
      </c>
      <c r="D747" s="59"/>
      <c r="E747" s="59"/>
      <c r="F747" s="59"/>
      <c r="G747" s="431"/>
      <c r="H747" s="431"/>
      <c r="I747" s="59"/>
      <c r="J747" s="260" t="str">
        <f>IF(G747=$B$994,$A$994,IF(G747=$B$995,$A$995,"Not Calculated"))</f>
        <v>Not Calculated</v>
      </c>
      <c r="K747" s="61"/>
    </row>
    <row r="748" spans="2:11" x14ac:dyDescent="0.2">
      <c r="B748" s="57"/>
      <c r="C748" s="196" t="s">
        <v>32</v>
      </c>
      <c r="D748" s="59"/>
      <c r="E748" s="59"/>
      <c r="F748" s="59"/>
      <c r="G748" s="431"/>
      <c r="H748" s="431"/>
      <c r="I748" s="59"/>
      <c r="J748" s="260" t="str">
        <f t="shared" ref="J748:J755" si="2">IF(G748=$B$994,$A$994,IF(G748=$B$995,$A$995,"Not Calculated"))</f>
        <v>Not Calculated</v>
      </c>
      <c r="K748" s="61"/>
    </row>
    <row r="749" spans="2:11" ht="15" customHeight="1" x14ac:dyDescent="0.2">
      <c r="B749" s="57"/>
      <c r="C749" s="196" t="s">
        <v>34</v>
      </c>
      <c r="D749" s="59"/>
      <c r="E749" s="59"/>
      <c r="F749" s="59"/>
      <c r="G749" s="431"/>
      <c r="H749" s="431"/>
      <c r="I749" s="59"/>
      <c r="J749" s="260" t="str">
        <f t="shared" si="2"/>
        <v>Not Calculated</v>
      </c>
      <c r="K749" s="61"/>
    </row>
    <row r="750" spans="2:11" x14ac:dyDescent="0.2">
      <c r="B750" s="57"/>
      <c r="C750" s="196" t="s">
        <v>35</v>
      </c>
      <c r="D750" s="59"/>
      <c r="E750" s="59"/>
      <c r="F750" s="59"/>
      <c r="G750" s="431"/>
      <c r="H750" s="431"/>
      <c r="I750" s="59"/>
      <c r="J750" s="260" t="str">
        <f t="shared" si="2"/>
        <v>Not Calculated</v>
      </c>
      <c r="K750" s="61"/>
    </row>
    <row r="751" spans="2:11" x14ac:dyDescent="0.2">
      <c r="B751" s="57"/>
      <c r="C751" s="196" t="s">
        <v>37</v>
      </c>
      <c r="D751" s="59"/>
      <c r="E751" s="59"/>
      <c r="F751" s="59"/>
      <c r="G751" s="431"/>
      <c r="H751" s="431"/>
      <c r="I751" s="59"/>
      <c r="J751" s="260" t="str">
        <f t="shared" si="2"/>
        <v>Not Calculated</v>
      </c>
      <c r="K751" s="61"/>
    </row>
    <row r="752" spans="2:11" x14ac:dyDescent="0.2">
      <c r="B752" s="57"/>
      <c r="C752" s="196" t="s">
        <v>38</v>
      </c>
      <c r="D752" s="59"/>
      <c r="E752" s="59"/>
      <c r="F752" s="59"/>
      <c r="G752" s="431"/>
      <c r="H752" s="431"/>
      <c r="I752" s="59"/>
      <c r="J752" s="260" t="str">
        <f t="shared" si="2"/>
        <v>Not Calculated</v>
      </c>
      <c r="K752" s="61"/>
    </row>
    <row r="753" spans="2:11" x14ac:dyDescent="0.2">
      <c r="B753" s="57"/>
      <c r="C753" s="196" t="s">
        <v>40</v>
      </c>
      <c r="D753" s="59"/>
      <c r="E753" s="59"/>
      <c r="F753" s="59"/>
      <c r="G753" s="431"/>
      <c r="H753" s="431"/>
      <c r="I753" s="59"/>
      <c r="J753" s="260" t="str">
        <f t="shared" si="2"/>
        <v>Not Calculated</v>
      </c>
      <c r="K753" s="61"/>
    </row>
    <row r="754" spans="2:11" x14ac:dyDescent="0.2">
      <c r="B754" s="57"/>
      <c r="C754" s="196" t="s">
        <v>41</v>
      </c>
      <c r="D754" s="59"/>
      <c r="E754" s="59"/>
      <c r="F754" s="59"/>
      <c r="G754" s="431"/>
      <c r="H754" s="431"/>
      <c r="I754" s="59"/>
      <c r="J754" s="260" t="str">
        <f t="shared" si="2"/>
        <v>Not Calculated</v>
      </c>
      <c r="K754" s="61"/>
    </row>
    <row r="755" spans="2:11" x14ac:dyDescent="0.2">
      <c r="B755" s="57"/>
      <c r="C755" s="196" t="s">
        <v>43</v>
      </c>
      <c r="D755" s="59"/>
      <c r="E755" s="59"/>
      <c r="F755" s="59"/>
      <c r="G755" s="431"/>
      <c r="H755" s="431"/>
      <c r="I755" s="59"/>
      <c r="J755" s="260" t="str">
        <f t="shared" si="2"/>
        <v>Not Calculated</v>
      </c>
      <c r="K755" s="61"/>
    </row>
    <row r="756" spans="2:11" x14ac:dyDescent="0.2">
      <c r="B756" s="57"/>
      <c r="C756" s="59"/>
      <c r="D756" s="59"/>
      <c r="E756" s="59"/>
      <c r="F756" s="59"/>
      <c r="G756" s="59"/>
      <c r="H756" s="59"/>
      <c r="I756" s="59"/>
      <c r="J756" s="59"/>
      <c r="K756" s="61"/>
    </row>
    <row r="757" spans="2:11" x14ac:dyDescent="0.2">
      <c r="B757" s="57"/>
      <c r="C757" s="59"/>
      <c r="D757" s="59"/>
      <c r="E757" s="59"/>
      <c r="F757" s="59"/>
      <c r="G757" s="59"/>
      <c r="H757" s="59"/>
      <c r="I757" s="59"/>
      <c r="J757" s="59"/>
      <c r="K757" s="61"/>
    </row>
    <row r="758" spans="2:11" ht="16" x14ac:dyDescent="0.2">
      <c r="B758" s="57"/>
      <c r="C758" s="195" t="s">
        <v>368</v>
      </c>
      <c r="D758" s="59"/>
      <c r="E758" s="59"/>
      <c r="F758" s="59"/>
      <c r="G758" s="59"/>
      <c r="H758" s="59"/>
      <c r="I758" s="59"/>
      <c r="J758" s="59"/>
      <c r="K758" s="61"/>
    </row>
    <row r="759" spans="2:11" ht="15" customHeight="1" x14ac:dyDescent="0.2">
      <c r="B759" s="57"/>
      <c r="C759" s="411" t="s">
        <v>369</v>
      </c>
      <c r="D759" s="411"/>
      <c r="E759" s="411"/>
      <c r="F759" s="411"/>
      <c r="G759" s="411"/>
      <c r="H759" s="411"/>
      <c r="I759" s="411"/>
      <c r="J759" s="411"/>
      <c r="K759" s="61"/>
    </row>
    <row r="760" spans="2:11" x14ac:dyDescent="0.2">
      <c r="B760" s="57"/>
      <c r="C760" s="411"/>
      <c r="D760" s="411"/>
      <c r="E760" s="411"/>
      <c r="F760" s="411"/>
      <c r="G760" s="411"/>
      <c r="H760" s="411"/>
      <c r="I760" s="411"/>
      <c r="J760" s="411"/>
      <c r="K760" s="61"/>
    </row>
    <row r="761" spans="2:11" x14ac:dyDescent="0.2">
      <c r="B761" s="57"/>
      <c r="C761" s="411"/>
      <c r="D761" s="411"/>
      <c r="E761" s="411"/>
      <c r="F761" s="411"/>
      <c r="G761" s="411"/>
      <c r="H761" s="411"/>
      <c r="I761" s="411"/>
      <c r="J761" s="411"/>
      <c r="K761" s="61"/>
    </row>
    <row r="762" spans="2:11" x14ac:dyDescent="0.2">
      <c r="B762" s="57"/>
      <c r="C762" s="196" t="s">
        <v>30</v>
      </c>
      <c r="D762" s="59"/>
      <c r="E762" s="59"/>
      <c r="F762" s="59"/>
      <c r="G762" s="431"/>
      <c r="H762" s="431"/>
      <c r="I762" s="59"/>
      <c r="J762" s="260" t="str">
        <f>IF(G762=$B$994,$A$994,IF(G762=$B$995,$A$995,"Not Calculated"))</f>
        <v>Not Calculated</v>
      </c>
      <c r="K762" s="61"/>
    </row>
    <row r="763" spans="2:11" x14ac:dyDescent="0.2">
      <c r="B763" s="57"/>
      <c r="C763" s="196" t="s">
        <v>32</v>
      </c>
      <c r="D763" s="59"/>
      <c r="E763" s="59"/>
      <c r="F763" s="59"/>
      <c r="G763" s="431"/>
      <c r="H763" s="431"/>
      <c r="I763" s="59"/>
      <c r="J763" s="260" t="str">
        <f t="shared" ref="J763:J770" si="3">IF(G763=$B$994,$A$994,IF(G763=$B$995,$A$995,"Not Calculated"))</f>
        <v>Not Calculated</v>
      </c>
      <c r="K763" s="61"/>
    </row>
    <row r="764" spans="2:11" ht="15" customHeight="1" x14ac:dyDescent="0.2">
      <c r="B764" s="57"/>
      <c r="C764" s="196" t="s">
        <v>34</v>
      </c>
      <c r="D764" s="59"/>
      <c r="E764" s="59"/>
      <c r="F764" s="59"/>
      <c r="G764" s="431"/>
      <c r="H764" s="431"/>
      <c r="I764" s="59"/>
      <c r="J764" s="260" t="str">
        <f t="shared" si="3"/>
        <v>Not Calculated</v>
      </c>
      <c r="K764" s="61"/>
    </row>
    <row r="765" spans="2:11" x14ac:dyDescent="0.2">
      <c r="B765" s="57"/>
      <c r="C765" s="196" t="s">
        <v>35</v>
      </c>
      <c r="D765" s="59"/>
      <c r="E765" s="59"/>
      <c r="F765" s="59"/>
      <c r="G765" s="431"/>
      <c r="H765" s="431"/>
      <c r="I765" s="59"/>
      <c r="J765" s="260" t="str">
        <f t="shared" si="3"/>
        <v>Not Calculated</v>
      </c>
      <c r="K765" s="61"/>
    </row>
    <row r="766" spans="2:11" x14ac:dyDescent="0.2">
      <c r="B766" s="57"/>
      <c r="C766" s="196" t="s">
        <v>37</v>
      </c>
      <c r="D766" s="59"/>
      <c r="E766" s="59"/>
      <c r="F766" s="59"/>
      <c r="G766" s="431"/>
      <c r="H766" s="431"/>
      <c r="I766" s="59"/>
      <c r="J766" s="260" t="str">
        <f t="shared" si="3"/>
        <v>Not Calculated</v>
      </c>
      <c r="K766" s="61"/>
    </row>
    <row r="767" spans="2:11" x14ac:dyDescent="0.2">
      <c r="B767" s="57"/>
      <c r="C767" s="196" t="s">
        <v>38</v>
      </c>
      <c r="D767" s="59"/>
      <c r="E767" s="59"/>
      <c r="F767" s="59"/>
      <c r="G767" s="431"/>
      <c r="H767" s="431"/>
      <c r="I767" s="59"/>
      <c r="J767" s="260" t="str">
        <f t="shared" si="3"/>
        <v>Not Calculated</v>
      </c>
      <c r="K767" s="61"/>
    </row>
    <row r="768" spans="2:11" x14ac:dyDescent="0.2">
      <c r="B768" s="57"/>
      <c r="C768" s="196" t="s">
        <v>40</v>
      </c>
      <c r="D768" s="59"/>
      <c r="E768" s="59"/>
      <c r="F768" s="59"/>
      <c r="G768" s="431"/>
      <c r="H768" s="431"/>
      <c r="I768" s="59"/>
      <c r="J768" s="260" t="str">
        <f t="shared" si="3"/>
        <v>Not Calculated</v>
      </c>
      <c r="K768" s="61"/>
    </row>
    <row r="769" spans="2:11" x14ac:dyDescent="0.2">
      <c r="B769" s="57"/>
      <c r="C769" s="196" t="s">
        <v>41</v>
      </c>
      <c r="D769" s="59"/>
      <c r="E769" s="59"/>
      <c r="F769" s="59"/>
      <c r="G769" s="431"/>
      <c r="H769" s="431"/>
      <c r="I769" s="59"/>
      <c r="J769" s="260" t="str">
        <f t="shared" si="3"/>
        <v>Not Calculated</v>
      </c>
      <c r="K769" s="61"/>
    </row>
    <row r="770" spans="2:11" x14ac:dyDescent="0.2">
      <c r="B770" s="57"/>
      <c r="C770" s="196" t="s">
        <v>43</v>
      </c>
      <c r="D770" s="59"/>
      <c r="E770" s="59"/>
      <c r="F770" s="59"/>
      <c r="G770" s="431"/>
      <c r="H770" s="431"/>
      <c r="I770" s="59"/>
      <c r="J770" s="260" t="str">
        <f t="shared" si="3"/>
        <v>Not Calculated</v>
      </c>
      <c r="K770" s="61"/>
    </row>
    <row r="771" spans="2:11" x14ac:dyDescent="0.2">
      <c r="B771" s="57"/>
      <c r="C771" s="59"/>
      <c r="D771" s="59"/>
      <c r="E771" s="59"/>
      <c r="F771" s="59"/>
      <c r="G771" s="59"/>
      <c r="H771" s="59"/>
      <c r="I771" s="59"/>
      <c r="J771" s="59"/>
      <c r="K771" s="61"/>
    </row>
    <row r="772" spans="2:11" x14ac:dyDescent="0.2">
      <c r="B772" s="57"/>
      <c r="C772" s="59"/>
      <c r="D772" s="59"/>
      <c r="E772" s="59"/>
      <c r="F772" s="59"/>
      <c r="G772" s="59"/>
      <c r="H772" s="59"/>
      <c r="I772" s="59"/>
      <c r="J772" s="59"/>
      <c r="K772" s="61"/>
    </row>
    <row r="773" spans="2:11" ht="16" x14ac:dyDescent="0.2">
      <c r="B773" s="57"/>
      <c r="C773" s="197" t="s">
        <v>30</v>
      </c>
      <c r="D773" s="59"/>
      <c r="E773" s="59"/>
      <c r="F773" s="59"/>
      <c r="G773" s="59"/>
      <c r="H773" s="59"/>
      <c r="I773" s="59"/>
      <c r="J773" s="59"/>
      <c r="K773" s="61"/>
    </row>
    <row r="774" spans="2:11" x14ac:dyDescent="0.2">
      <c r="B774" s="57"/>
      <c r="C774" s="59"/>
      <c r="D774" s="59" t="s">
        <v>370</v>
      </c>
      <c r="E774" s="59"/>
      <c r="F774" s="59"/>
      <c r="G774" s="59"/>
      <c r="H774" s="59"/>
      <c r="I774" s="59"/>
      <c r="J774" s="60">
        <f>'Baseline At-Risk Pops'!H8</f>
        <v>0</v>
      </c>
      <c r="K774" s="61"/>
    </row>
    <row r="775" spans="2:11" x14ac:dyDescent="0.2">
      <c r="B775" s="57"/>
      <c r="C775" s="59"/>
      <c r="D775" s="59" t="s">
        <v>371</v>
      </c>
      <c r="E775" s="59"/>
      <c r="F775" s="59"/>
      <c r="G775" s="59"/>
      <c r="H775" s="59"/>
      <c r="I775" s="59"/>
      <c r="J775" s="60">
        <f>SUM(J717,J732,J747,J762)</f>
        <v>0</v>
      </c>
      <c r="K775" s="61"/>
    </row>
    <row r="776" spans="2:11" x14ac:dyDescent="0.2">
      <c r="B776" s="57"/>
      <c r="C776" s="59"/>
      <c r="D776" s="196" t="s">
        <v>372</v>
      </c>
      <c r="E776" s="59"/>
      <c r="F776" s="59"/>
      <c r="G776" s="59"/>
      <c r="H776" s="59"/>
      <c r="I776" s="59"/>
      <c r="J776" s="60">
        <f>AVERAGE(J774,J775)</f>
        <v>0</v>
      </c>
      <c r="K776" s="61"/>
    </row>
    <row r="777" spans="2:11" ht="16" x14ac:dyDescent="0.2">
      <c r="B777" s="57"/>
      <c r="C777" s="197" t="s">
        <v>32</v>
      </c>
      <c r="D777" s="59"/>
      <c r="E777" s="59"/>
      <c r="F777" s="59"/>
      <c r="G777" s="59"/>
      <c r="H777" s="59"/>
      <c r="I777" s="59"/>
      <c r="J777" s="60"/>
      <c r="K777" s="61"/>
    </row>
    <row r="778" spans="2:11" x14ac:dyDescent="0.2">
      <c r="B778" s="57"/>
      <c r="C778" s="59"/>
      <c r="D778" s="59" t="s">
        <v>370</v>
      </c>
      <c r="E778" s="59"/>
      <c r="F778" s="59"/>
      <c r="G778" s="59"/>
      <c r="H778" s="59"/>
      <c r="I778" s="59"/>
      <c r="J778" s="60">
        <f>'Baseline At-Risk Pops'!H14</f>
        <v>0</v>
      </c>
      <c r="K778" s="61"/>
    </row>
    <row r="779" spans="2:11" ht="15" customHeight="1" x14ac:dyDescent="0.2">
      <c r="B779" s="57"/>
      <c r="C779" s="59"/>
      <c r="D779" s="59" t="s">
        <v>371</v>
      </c>
      <c r="E779" s="59"/>
      <c r="F779" s="59"/>
      <c r="G779" s="59"/>
      <c r="H779" s="59"/>
      <c r="I779" s="59"/>
      <c r="J779" s="60">
        <f>SUM(J718,J733,J748,J763)</f>
        <v>0</v>
      </c>
      <c r="K779" s="61"/>
    </row>
    <row r="780" spans="2:11" x14ac:dyDescent="0.2">
      <c r="B780" s="57"/>
      <c r="C780" s="59"/>
      <c r="D780" s="196" t="s">
        <v>372</v>
      </c>
      <c r="E780" s="59"/>
      <c r="F780" s="59"/>
      <c r="G780" s="59"/>
      <c r="H780" s="59"/>
      <c r="I780" s="59"/>
      <c r="J780" s="60">
        <f>AVERAGE(J778,J779)</f>
        <v>0</v>
      </c>
      <c r="K780" s="61"/>
    </row>
    <row r="781" spans="2:11" ht="16" x14ac:dyDescent="0.2">
      <c r="B781" s="57"/>
      <c r="C781" s="197" t="s">
        <v>34</v>
      </c>
      <c r="D781" s="59"/>
      <c r="E781" s="59"/>
      <c r="F781" s="59"/>
      <c r="G781" s="59"/>
      <c r="H781" s="59"/>
      <c r="I781" s="59"/>
      <c r="J781" s="60"/>
      <c r="K781" s="61"/>
    </row>
    <row r="782" spans="2:11" ht="16" x14ac:dyDescent="0.2">
      <c r="B782" s="57"/>
      <c r="C782" s="197"/>
      <c r="D782" s="59" t="s">
        <v>370</v>
      </c>
      <c r="E782" s="59"/>
      <c r="F782" s="59"/>
      <c r="G782" s="59"/>
      <c r="H782" s="59"/>
      <c r="I782" s="59"/>
      <c r="J782" s="60">
        <f>'Baseline At-Risk Pops'!H21</f>
        <v>0</v>
      </c>
      <c r="K782" s="61"/>
    </row>
    <row r="783" spans="2:11" x14ac:dyDescent="0.2">
      <c r="B783" s="57"/>
      <c r="C783" s="59"/>
      <c r="D783" s="59" t="s">
        <v>371</v>
      </c>
      <c r="E783" s="59"/>
      <c r="F783" s="59"/>
      <c r="G783" s="59"/>
      <c r="H783" s="59"/>
      <c r="I783" s="59"/>
      <c r="J783" s="60">
        <f>SUM(J719,J734,J749,J764)</f>
        <v>0</v>
      </c>
      <c r="K783" s="61"/>
    </row>
    <row r="784" spans="2:11" x14ac:dyDescent="0.2">
      <c r="B784" s="57"/>
      <c r="C784" s="59"/>
      <c r="D784" s="196" t="s">
        <v>372</v>
      </c>
      <c r="E784" s="59"/>
      <c r="F784" s="59"/>
      <c r="G784" s="59"/>
      <c r="H784" s="59"/>
      <c r="I784" s="59"/>
      <c r="J784" s="60">
        <f>AVERAGE(J782,J783)</f>
        <v>0</v>
      </c>
      <c r="K784" s="61"/>
    </row>
    <row r="785" spans="2:11" ht="16" x14ac:dyDescent="0.2">
      <c r="B785" s="57"/>
      <c r="C785" s="197" t="s">
        <v>35</v>
      </c>
      <c r="D785" s="59"/>
      <c r="E785" s="59"/>
      <c r="F785" s="59"/>
      <c r="G785" s="59"/>
      <c r="H785" s="59"/>
      <c r="I785" s="59"/>
      <c r="J785" s="60"/>
      <c r="K785" s="61"/>
    </row>
    <row r="786" spans="2:11" x14ac:dyDescent="0.2">
      <c r="B786" s="57"/>
      <c r="C786" s="59"/>
      <c r="D786" s="59" t="s">
        <v>370</v>
      </c>
      <c r="E786" s="59"/>
      <c r="F786" s="59"/>
      <c r="G786" s="59"/>
      <c r="H786" s="59"/>
      <c r="I786" s="59"/>
      <c r="J786" s="60">
        <f>'Baseline At-Risk Pops'!H27</f>
        <v>0</v>
      </c>
      <c r="K786" s="61"/>
    </row>
    <row r="787" spans="2:11" x14ac:dyDescent="0.2">
      <c r="B787" s="57"/>
      <c r="C787" s="59"/>
      <c r="D787" s="59" t="s">
        <v>371</v>
      </c>
      <c r="E787" s="59"/>
      <c r="F787" s="59"/>
      <c r="G787" s="59"/>
      <c r="H787" s="59"/>
      <c r="I787" s="59"/>
      <c r="J787" s="60">
        <f>SUM(J720,J735,J750,J765)</f>
        <v>0</v>
      </c>
      <c r="K787" s="61"/>
    </row>
    <row r="788" spans="2:11" x14ac:dyDescent="0.2">
      <c r="B788" s="57"/>
      <c r="C788" s="59"/>
      <c r="D788" s="196" t="s">
        <v>372</v>
      </c>
      <c r="E788" s="59"/>
      <c r="F788" s="59"/>
      <c r="G788" s="59"/>
      <c r="H788" s="59"/>
      <c r="I788" s="59"/>
      <c r="J788" s="60">
        <f>AVERAGE(J786,J787)</f>
        <v>0</v>
      </c>
      <c r="K788" s="61"/>
    </row>
    <row r="789" spans="2:11" ht="16" x14ac:dyDescent="0.2">
      <c r="B789" s="57"/>
      <c r="C789" s="197" t="s">
        <v>37</v>
      </c>
      <c r="D789" s="59"/>
      <c r="E789" s="59"/>
      <c r="F789" s="59"/>
      <c r="G789" s="59"/>
      <c r="H789" s="59"/>
      <c r="I789" s="59"/>
      <c r="J789" s="60"/>
      <c r="K789" s="61"/>
    </row>
    <row r="790" spans="2:11" x14ac:dyDescent="0.2">
      <c r="B790" s="57"/>
      <c r="C790" s="59"/>
      <c r="D790" s="59" t="s">
        <v>370</v>
      </c>
      <c r="E790" s="59"/>
      <c r="F790" s="59"/>
      <c r="G790" s="59"/>
      <c r="H790" s="59"/>
      <c r="I790" s="59"/>
      <c r="J790" s="60">
        <f>'Baseline At-Risk Pops'!H34</f>
        <v>0</v>
      </c>
      <c r="K790" s="61"/>
    </row>
    <row r="791" spans="2:11" x14ac:dyDescent="0.2">
      <c r="B791" s="57"/>
      <c r="C791" s="59"/>
      <c r="D791" s="59" t="s">
        <v>371</v>
      </c>
      <c r="E791" s="59"/>
      <c r="F791" s="59"/>
      <c r="G791" s="59"/>
      <c r="H791" s="59"/>
      <c r="I791" s="59"/>
      <c r="J791" s="60">
        <f>SUM(J721,J736,J751,J766)</f>
        <v>0</v>
      </c>
      <c r="K791" s="61"/>
    </row>
    <row r="792" spans="2:11" x14ac:dyDescent="0.2">
      <c r="B792" s="57"/>
      <c r="C792" s="59"/>
      <c r="D792" s="196" t="s">
        <v>372</v>
      </c>
      <c r="E792" s="59"/>
      <c r="F792" s="59"/>
      <c r="G792" s="59"/>
      <c r="H792" s="59"/>
      <c r="I792" s="59"/>
      <c r="J792" s="60">
        <f>AVERAGE(J790,J791)</f>
        <v>0</v>
      </c>
      <c r="K792" s="61"/>
    </row>
    <row r="793" spans="2:11" ht="16" x14ac:dyDescent="0.2">
      <c r="B793" s="57"/>
      <c r="C793" s="197" t="s">
        <v>38</v>
      </c>
      <c r="D793" s="59"/>
      <c r="E793" s="59"/>
      <c r="F793" s="59"/>
      <c r="G793" s="59"/>
      <c r="H793" s="59"/>
      <c r="I793" s="59"/>
      <c r="J793" s="60"/>
      <c r="K793" s="61"/>
    </row>
    <row r="794" spans="2:11" x14ac:dyDescent="0.2">
      <c r="B794" s="57"/>
      <c r="C794" s="59"/>
      <c r="D794" s="59" t="s">
        <v>370</v>
      </c>
      <c r="E794" s="59"/>
      <c r="F794" s="59"/>
      <c r="G794" s="59"/>
      <c r="H794" s="59"/>
      <c r="I794" s="59"/>
      <c r="J794" s="60">
        <f>'Baseline At-Risk Pops'!H40</f>
        <v>0</v>
      </c>
      <c r="K794" s="61"/>
    </row>
    <row r="795" spans="2:11" x14ac:dyDescent="0.2">
      <c r="B795" s="57"/>
      <c r="C795" s="59"/>
      <c r="D795" s="59" t="s">
        <v>371</v>
      </c>
      <c r="E795" s="59"/>
      <c r="F795" s="59"/>
      <c r="G795" s="59"/>
      <c r="H795" s="59"/>
      <c r="I795" s="59"/>
      <c r="J795" s="60">
        <f>SUM(J722,J737,J752,J767)</f>
        <v>0</v>
      </c>
      <c r="K795" s="61"/>
    </row>
    <row r="796" spans="2:11" x14ac:dyDescent="0.2">
      <c r="B796" s="57"/>
      <c r="C796" s="59"/>
      <c r="D796" s="196" t="s">
        <v>372</v>
      </c>
      <c r="E796" s="59"/>
      <c r="F796" s="59"/>
      <c r="G796" s="59"/>
      <c r="H796" s="59"/>
      <c r="I796" s="59"/>
      <c r="J796" s="60">
        <f>AVERAGE(J794,J795)</f>
        <v>0</v>
      </c>
      <c r="K796" s="61"/>
    </row>
    <row r="797" spans="2:11" ht="16" x14ac:dyDescent="0.2">
      <c r="B797" s="57"/>
      <c r="C797" s="197" t="s">
        <v>40</v>
      </c>
      <c r="D797" s="59"/>
      <c r="E797" s="59"/>
      <c r="F797" s="59"/>
      <c r="G797" s="59"/>
      <c r="H797" s="59"/>
      <c r="I797" s="59"/>
      <c r="J797" s="60"/>
      <c r="K797" s="61"/>
    </row>
    <row r="798" spans="2:11" x14ac:dyDescent="0.2">
      <c r="B798" s="57"/>
      <c r="C798" s="59"/>
      <c r="D798" s="59" t="s">
        <v>370</v>
      </c>
      <c r="E798" s="59"/>
      <c r="F798" s="59"/>
      <c r="G798" s="59"/>
      <c r="H798" s="59"/>
      <c r="I798" s="59"/>
      <c r="J798" s="60">
        <f>'Baseline At-Risk Pops'!H46</f>
        <v>0</v>
      </c>
      <c r="K798" s="61"/>
    </row>
    <row r="799" spans="2:11" x14ac:dyDescent="0.2">
      <c r="B799" s="57"/>
      <c r="C799" s="59"/>
      <c r="D799" s="59" t="s">
        <v>371</v>
      </c>
      <c r="E799" s="59"/>
      <c r="F799" s="59"/>
      <c r="G799" s="59"/>
      <c r="H799" s="59"/>
      <c r="I799" s="59"/>
      <c r="J799" s="60">
        <f>SUM(J723,J738,J753,J768)</f>
        <v>0</v>
      </c>
      <c r="K799" s="61"/>
    </row>
    <row r="800" spans="2:11" x14ac:dyDescent="0.2">
      <c r="B800" s="57"/>
      <c r="C800" s="59"/>
      <c r="D800" s="196" t="s">
        <v>372</v>
      </c>
      <c r="E800" s="59"/>
      <c r="F800" s="59"/>
      <c r="G800" s="59"/>
      <c r="H800" s="59"/>
      <c r="I800" s="59"/>
      <c r="J800" s="60">
        <f>AVERAGE(J798,J799)</f>
        <v>0</v>
      </c>
      <c r="K800" s="61"/>
    </row>
    <row r="801" spans="2:11" ht="16" x14ac:dyDescent="0.2">
      <c r="B801" s="57"/>
      <c r="C801" s="197" t="s">
        <v>41</v>
      </c>
      <c r="D801" s="59"/>
      <c r="E801" s="59"/>
      <c r="F801" s="59"/>
      <c r="G801" s="59"/>
      <c r="H801" s="59"/>
      <c r="I801" s="59"/>
      <c r="J801" s="60"/>
      <c r="K801" s="61"/>
    </row>
    <row r="802" spans="2:11" ht="16" x14ac:dyDescent="0.2">
      <c r="B802" s="57"/>
      <c r="C802" s="197"/>
      <c r="D802" s="59" t="s">
        <v>370</v>
      </c>
      <c r="E802" s="59"/>
      <c r="F802" s="59"/>
      <c r="G802" s="59"/>
      <c r="H802" s="59"/>
      <c r="I802" s="59"/>
      <c r="J802" s="60">
        <f>'Baseline At-Risk Pops'!H52</f>
        <v>0</v>
      </c>
      <c r="K802" s="61"/>
    </row>
    <row r="803" spans="2:11" x14ac:dyDescent="0.2">
      <c r="B803" s="57"/>
      <c r="C803" s="59"/>
      <c r="D803" s="59" t="s">
        <v>371</v>
      </c>
      <c r="E803" s="59"/>
      <c r="F803" s="59"/>
      <c r="G803" s="59"/>
      <c r="H803" s="59"/>
      <c r="I803" s="59"/>
      <c r="J803" s="60">
        <f>SUM(J724,J739,J754,J769)</f>
        <v>0</v>
      </c>
      <c r="K803" s="61"/>
    </row>
    <row r="804" spans="2:11" x14ac:dyDescent="0.2">
      <c r="B804" s="57"/>
      <c r="C804" s="59"/>
      <c r="D804" s="196" t="s">
        <v>372</v>
      </c>
      <c r="E804" s="59"/>
      <c r="F804" s="59"/>
      <c r="G804" s="59"/>
      <c r="H804" s="59"/>
      <c r="I804" s="59"/>
      <c r="J804" s="60">
        <f>AVERAGE(J802,J803)</f>
        <v>0</v>
      </c>
      <c r="K804" s="61"/>
    </row>
    <row r="805" spans="2:11" ht="16" x14ac:dyDescent="0.2">
      <c r="B805" s="57"/>
      <c r="C805" s="197" t="s">
        <v>43</v>
      </c>
      <c r="D805" s="59"/>
      <c r="E805" s="59"/>
      <c r="F805" s="59"/>
      <c r="G805" s="59"/>
      <c r="H805" s="59"/>
      <c r="I805" s="59"/>
      <c r="J805" s="60"/>
      <c r="K805" s="61"/>
    </row>
    <row r="806" spans="2:11" x14ac:dyDescent="0.2">
      <c r="B806" s="57"/>
      <c r="C806" s="59"/>
      <c r="D806" s="59" t="s">
        <v>370</v>
      </c>
      <c r="E806" s="59"/>
      <c r="F806" s="59"/>
      <c r="G806" s="59"/>
      <c r="H806" s="59"/>
      <c r="I806" s="59"/>
      <c r="J806" s="60">
        <f>'Baseline At-Risk Pops'!H58</f>
        <v>0</v>
      </c>
      <c r="K806" s="61"/>
    </row>
    <row r="807" spans="2:11" x14ac:dyDescent="0.2">
      <c r="B807" s="57"/>
      <c r="C807" s="59"/>
      <c r="D807" s="59" t="s">
        <v>371</v>
      </c>
      <c r="E807" s="59"/>
      <c r="F807" s="59"/>
      <c r="G807" s="59"/>
      <c r="H807" s="59"/>
      <c r="I807" s="59"/>
      <c r="J807" s="60">
        <f>SUM(J725,J740,J755,J770)</f>
        <v>0</v>
      </c>
      <c r="K807" s="61"/>
    </row>
    <row r="808" spans="2:11" x14ac:dyDescent="0.2">
      <c r="B808" s="57"/>
      <c r="C808" s="59"/>
      <c r="D808" s="196" t="s">
        <v>372</v>
      </c>
      <c r="E808" s="59"/>
      <c r="F808" s="59"/>
      <c r="G808" s="59"/>
      <c r="H808" s="59"/>
      <c r="I808" s="59"/>
      <c r="J808" s="60">
        <f>AVERAGE(J806,J807)</f>
        <v>0</v>
      </c>
      <c r="K808" s="61"/>
    </row>
    <row r="809" spans="2:11" x14ac:dyDescent="0.2">
      <c r="B809" s="57"/>
      <c r="C809" s="59"/>
      <c r="D809" s="59"/>
      <c r="E809" s="59"/>
      <c r="F809" s="59"/>
      <c r="G809" s="59"/>
      <c r="H809" s="59"/>
      <c r="I809" s="59"/>
      <c r="J809" s="59"/>
      <c r="K809" s="61"/>
    </row>
    <row r="810" spans="2:11" x14ac:dyDescent="0.2">
      <c r="B810" s="57"/>
      <c r="C810" s="59"/>
      <c r="D810" s="59"/>
      <c r="E810" s="59"/>
      <c r="F810" s="59"/>
      <c r="G810" s="59"/>
      <c r="H810" s="59"/>
      <c r="I810" s="59"/>
      <c r="J810" s="59"/>
      <c r="K810" s="61"/>
    </row>
    <row r="811" spans="2:11" ht="16" x14ac:dyDescent="0.2">
      <c r="B811" s="57"/>
      <c r="C811" s="198" t="s">
        <v>373</v>
      </c>
      <c r="D811" s="59"/>
      <c r="E811" s="59"/>
      <c r="F811" s="59"/>
      <c r="G811" s="59"/>
      <c r="H811" s="59"/>
      <c r="I811" s="59"/>
      <c r="J811" s="261">
        <f>AVERAGE(J776,J780,J784,J788,J792,J796,J800,J804,J808)</f>
        <v>0</v>
      </c>
      <c r="K811" s="61"/>
    </row>
    <row r="812" spans="2:11" ht="16" thickBot="1" x14ac:dyDescent="0.25">
      <c r="B812" s="73"/>
      <c r="C812" s="74"/>
      <c r="D812" s="74"/>
      <c r="E812" s="74"/>
      <c r="F812" s="74"/>
      <c r="G812" s="74"/>
      <c r="H812" s="74"/>
      <c r="I812" s="74"/>
      <c r="J812" s="74"/>
      <c r="K812" s="76"/>
    </row>
    <row r="813" spans="2:11" ht="16" thickBot="1" x14ac:dyDescent="0.25"/>
    <row r="814" spans="2:11" x14ac:dyDescent="0.2">
      <c r="B814" s="199"/>
      <c r="C814" s="200"/>
      <c r="D814" s="200"/>
      <c r="E814" s="200"/>
      <c r="F814" s="200"/>
      <c r="G814" s="200"/>
      <c r="H814" s="200"/>
      <c r="I814" s="200"/>
      <c r="J814" s="200"/>
      <c r="K814" s="201"/>
    </row>
    <row r="815" spans="2:11" ht="21" x14ac:dyDescent="0.25">
      <c r="B815" s="202"/>
      <c r="C815" s="203"/>
      <c r="D815" s="203"/>
      <c r="E815" s="203"/>
      <c r="F815" s="203"/>
      <c r="G815" s="204" t="s">
        <v>233</v>
      </c>
      <c r="H815" s="203"/>
      <c r="I815" s="203"/>
      <c r="J815" s="203"/>
      <c r="K815" s="205"/>
    </row>
    <row r="816" spans="2:11" x14ac:dyDescent="0.2">
      <c r="B816" s="202"/>
      <c r="C816" s="203"/>
      <c r="D816" s="203"/>
      <c r="E816" s="203"/>
      <c r="F816" s="203"/>
      <c r="G816" s="203"/>
      <c r="H816" s="203"/>
      <c r="I816" s="203"/>
      <c r="J816" s="203"/>
      <c r="K816" s="205"/>
    </row>
    <row r="817" spans="2:11" ht="16" x14ac:dyDescent="0.2">
      <c r="B817" s="202"/>
      <c r="C817" s="206" t="s">
        <v>992</v>
      </c>
      <c r="D817" s="203"/>
      <c r="E817" s="203"/>
      <c r="F817" s="203"/>
      <c r="G817" s="203"/>
      <c r="H817" s="203"/>
      <c r="I817" s="203"/>
      <c r="J817" s="262" t="str">
        <f>IF(J700="Not Calculated","Not Calculated",J700*(($J$811/4)+1))</f>
        <v>Not Calculated</v>
      </c>
      <c r="K817" s="205"/>
    </row>
    <row r="818" spans="2:11" x14ac:dyDescent="0.2">
      <c r="B818" s="202"/>
      <c r="C818" s="203"/>
      <c r="D818" s="203" t="s">
        <v>374</v>
      </c>
      <c r="E818" s="203"/>
      <c r="F818" s="203"/>
      <c r="G818" s="203"/>
      <c r="H818" s="203"/>
      <c r="I818" s="203"/>
      <c r="J818" s="203"/>
      <c r="K818" s="205"/>
    </row>
    <row r="819" spans="2:11" x14ac:dyDescent="0.2">
      <c r="B819" s="202"/>
      <c r="C819" s="203"/>
      <c r="D819" s="203"/>
      <c r="E819" s="203"/>
      <c r="F819" s="203"/>
      <c r="G819" s="203"/>
      <c r="H819" s="203"/>
      <c r="I819" s="203"/>
      <c r="J819" s="203"/>
      <c r="K819" s="205"/>
    </row>
    <row r="820" spans="2:11" ht="16" x14ac:dyDescent="0.2">
      <c r="B820" s="202"/>
      <c r="C820" s="206" t="s">
        <v>993</v>
      </c>
      <c r="D820" s="203"/>
      <c r="E820" s="203"/>
      <c r="F820" s="203"/>
      <c r="G820" s="203"/>
      <c r="H820" s="203"/>
      <c r="I820" s="203"/>
      <c r="J820" s="262" t="str">
        <f>IF(J703="Not Calculated","Not Calculated",J703*(($J$811/4)+1))</f>
        <v>Not Calculated</v>
      </c>
      <c r="K820" s="205"/>
    </row>
    <row r="821" spans="2:11" x14ac:dyDescent="0.2">
      <c r="B821" s="202"/>
      <c r="C821" s="203"/>
      <c r="D821" s="203" t="s">
        <v>375</v>
      </c>
      <c r="E821" s="203"/>
      <c r="F821" s="203"/>
      <c r="G821" s="203"/>
      <c r="H821" s="203"/>
      <c r="I821" s="203"/>
      <c r="J821" s="203"/>
      <c r="K821" s="205"/>
    </row>
    <row r="822" spans="2:11" x14ac:dyDescent="0.2">
      <c r="B822" s="202"/>
      <c r="C822" s="203"/>
      <c r="D822" s="203"/>
      <c r="E822" s="203"/>
      <c r="F822" s="203"/>
      <c r="G822" s="203"/>
      <c r="H822" s="203"/>
      <c r="I822" s="203"/>
      <c r="J822" s="203"/>
      <c r="K822" s="205"/>
    </row>
    <row r="823" spans="2:11" ht="16" x14ac:dyDescent="0.2">
      <c r="B823" s="202"/>
      <c r="C823" s="206" t="s">
        <v>994</v>
      </c>
      <c r="D823" s="203"/>
      <c r="E823" s="203"/>
      <c r="F823" s="203"/>
      <c r="G823" s="203"/>
      <c r="H823" s="203"/>
      <c r="I823" s="203"/>
      <c r="J823" s="262" t="str">
        <f>IF(J706="Not Calculated","Not Calculated",J706*(($J$811/4)+1))</f>
        <v>Not Calculated</v>
      </c>
      <c r="K823" s="205"/>
    </row>
    <row r="824" spans="2:11" x14ac:dyDescent="0.2">
      <c r="B824" s="202"/>
      <c r="C824" s="203"/>
      <c r="D824" s="203" t="s">
        <v>376</v>
      </c>
      <c r="E824" s="203"/>
      <c r="F824" s="203"/>
      <c r="G824" s="203"/>
      <c r="H824" s="203"/>
      <c r="I824" s="203"/>
      <c r="J824" s="203"/>
      <c r="K824" s="205"/>
    </row>
    <row r="825" spans="2:11" ht="16" thickBot="1" x14ac:dyDescent="0.25">
      <c r="B825" s="207"/>
      <c r="C825" s="208"/>
      <c r="D825" s="208"/>
      <c r="E825" s="208"/>
      <c r="F825" s="208"/>
      <c r="G825" s="208"/>
      <c r="H825" s="208"/>
      <c r="I825" s="208"/>
      <c r="J825" s="208"/>
      <c r="K825" s="209"/>
    </row>
    <row r="826" spans="2:11" ht="16" thickBot="1" x14ac:dyDescent="0.25"/>
    <row r="827" spans="2:11" x14ac:dyDescent="0.2">
      <c r="B827" s="77"/>
      <c r="C827" s="78"/>
      <c r="D827" s="78"/>
      <c r="E827" s="78"/>
      <c r="F827" s="78"/>
      <c r="G827" s="78"/>
      <c r="H827" s="78"/>
      <c r="I827" s="78"/>
      <c r="J827" s="78"/>
      <c r="K827" s="80"/>
    </row>
    <row r="828" spans="2:11" ht="21" x14ac:dyDescent="0.25">
      <c r="B828" s="81"/>
      <c r="C828" s="85"/>
      <c r="D828" s="85"/>
      <c r="E828" s="85"/>
      <c r="F828" s="85"/>
      <c r="G828" s="210" t="s">
        <v>806</v>
      </c>
      <c r="H828" s="85"/>
      <c r="I828" s="85"/>
      <c r="J828" s="85"/>
      <c r="K828" s="87"/>
    </row>
    <row r="829" spans="2:11" x14ac:dyDescent="0.2">
      <c r="B829" s="81"/>
      <c r="C829" s="85"/>
      <c r="D829" s="85"/>
      <c r="E829" s="85"/>
      <c r="F829" s="85"/>
      <c r="G829" s="85"/>
      <c r="H829" s="85"/>
      <c r="I829" s="85"/>
      <c r="J829" s="85"/>
      <c r="K829" s="87"/>
    </row>
    <row r="830" spans="2:11" ht="15" customHeight="1" x14ac:dyDescent="0.2">
      <c r="B830" s="81"/>
      <c r="C830" s="424" t="s">
        <v>808</v>
      </c>
      <c r="D830" s="424"/>
      <c r="E830" s="424"/>
      <c r="F830" s="424"/>
      <c r="G830" s="424"/>
      <c r="H830" s="424"/>
      <c r="I830" s="424"/>
      <c r="J830" s="424"/>
      <c r="K830" s="87"/>
    </row>
    <row r="831" spans="2:11" x14ac:dyDescent="0.2">
      <c r="B831" s="81"/>
      <c r="C831" s="424"/>
      <c r="D831" s="424"/>
      <c r="E831" s="424"/>
      <c r="F831" s="424"/>
      <c r="G831" s="424"/>
      <c r="H831" s="424"/>
      <c r="I831" s="424"/>
      <c r="J831" s="424"/>
      <c r="K831" s="87"/>
    </row>
    <row r="832" spans="2:11" x14ac:dyDescent="0.2">
      <c r="B832" s="81"/>
      <c r="C832" s="85"/>
      <c r="D832" s="85"/>
      <c r="E832" s="85"/>
      <c r="F832" s="85"/>
      <c r="G832" s="85"/>
      <c r="H832" s="85"/>
      <c r="I832" s="85"/>
      <c r="J832" s="85"/>
      <c r="K832" s="87"/>
    </row>
    <row r="833" spans="2:11" ht="16" x14ac:dyDescent="0.2">
      <c r="B833" s="81"/>
      <c r="C833" s="211" t="s">
        <v>654</v>
      </c>
      <c r="D833" s="85"/>
      <c r="E833" s="85"/>
      <c r="F833" s="85"/>
      <c r="G833" s="85"/>
      <c r="H833" s="85"/>
      <c r="I833" s="85"/>
      <c r="J833" s="85"/>
      <c r="K833" s="87"/>
    </row>
    <row r="834" spans="2:11" x14ac:dyDescent="0.2">
      <c r="B834" s="81"/>
      <c r="C834" s="85" t="s">
        <v>380</v>
      </c>
      <c r="D834" s="85"/>
      <c r="E834" s="85"/>
      <c r="F834" s="85"/>
      <c r="G834" s="406"/>
      <c r="H834" s="407"/>
      <c r="I834" s="85"/>
      <c r="J834" s="83" t="str">
        <f>IF(G834=$B$998,$A$998,IF(G834=$B$999,$A$999,IF(G834=$B$1000,$A$1000,IF(G834=$B$1001,$A$1001,IF(G834=$B$1002,$A$1002,"Not Calculated")))))</f>
        <v>Not Calculated</v>
      </c>
      <c r="K834" s="87"/>
    </row>
    <row r="835" spans="2:11" x14ac:dyDescent="0.2">
      <c r="B835" s="81"/>
      <c r="C835" s="85" t="s">
        <v>134</v>
      </c>
      <c r="D835" s="85"/>
      <c r="E835" s="85"/>
      <c r="F835" s="85"/>
      <c r="G835" s="85"/>
      <c r="H835" s="85"/>
      <c r="I835" s="85"/>
      <c r="J835" s="240">
        <f>'Baseline PHP'!J16</f>
        <v>0</v>
      </c>
      <c r="K835" s="87"/>
    </row>
    <row r="836" spans="2:11" x14ac:dyDescent="0.2">
      <c r="B836" s="81"/>
      <c r="C836" s="85"/>
      <c r="D836" s="85"/>
      <c r="E836" s="85"/>
      <c r="F836" s="85"/>
      <c r="G836" s="85"/>
      <c r="H836" s="85"/>
      <c r="I836" s="85"/>
      <c r="J836" s="85"/>
      <c r="K836" s="87"/>
    </row>
    <row r="837" spans="2:11" ht="16" x14ac:dyDescent="0.2">
      <c r="B837" s="81"/>
      <c r="C837" s="211" t="s">
        <v>655</v>
      </c>
      <c r="D837" s="85"/>
      <c r="E837" s="85"/>
      <c r="F837" s="85"/>
      <c r="G837" s="85"/>
      <c r="H837" s="85"/>
      <c r="I837" s="85"/>
      <c r="J837" s="85"/>
      <c r="K837" s="87"/>
    </row>
    <row r="838" spans="2:11" x14ac:dyDescent="0.2">
      <c r="B838" s="81"/>
      <c r="C838" s="85" t="s">
        <v>380</v>
      </c>
      <c r="D838" s="85"/>
      <c r="E838" s="85"/>
      <c r="F838" s="85"/>
      <c r="G838" s="406"/>
      <c r="H838" s="407"/>
      <c r="I838" s="85"/>
      <c r="J838" s="83" t="str">
        <f>IF(G838=$B$998,$A$998,IF(G838=$B$999,$A$999,IF(G838=$B$1000,$A$1000,IF(G838=$B$1001,$A$1001,IF(G838=$B$1002,$A$1002,"Not Calculated")))))</f>
        <v>Not Calculated</v>
      </c>
      <c r="K838" s="87"/>
    </row>
    <row r="839" spans="2:11" x14ac:dyDescent="0.2">
      <c r="B839" s="81"/>
      <c r="C839" s="85" t="s">
        <v>134</v>
      </c>
      <c r="D839" s="85"/>
      <c r="E839" s="85"/>
      <c r="F839" s="85"/>
      <c r="G839" s="85"/>
      <c r="H839" s="85"/>
      <c r="I839" s="85"/>
      <c r="J839" s="240">
        <f>'Baseline PHP'!J28</f>
        <v>0</v>
      </c>
      <c r="K839" s="87"/>
    </row>
    <row r="840" spans="2:11" x14ac:dyDescent="0.2">
      <c r="B840" s="81"/>
      <c r="C840" s="85"/>
      <c r="D840" s="85"/>
      <c r="E840" s="85"/>
      <c r="F840" s="85"/>
      <c r="G840" s="85"/>
      <c r="H840" s="85"/>
      <c r="I840" s="85"/>
      <c r="J840" s="85"/>
      <c r="K840" s="87"/>
    </row>
    <row r="841" spans="2:11" ht="16" x14ac:dyDescent="0.2">
      <c r="B841" s="81"/>
      <c r="C841" s="211" t="s">
        <v>645</v>
      </c>
      <c r="D841" s="85"/>
      <c r="E841" s="85"/>
      <c r="F841" s="85"/>
      <c r="G841" s="85"/>
      <c r="H841" s="85"/>
      <c r="I841" s="85"/>
      <c r="J841" s="85"/>
      <c r="K841" s="87"/>
    </row>
    <row r="842" spans="2:11" x14ac:dyDescent="0.2">
      <c r="B842" s="81"/>
      <c r="C842" s="85" t="s">
        <v>380</v>
      </c>
      <c r="D842" s="85"/>
      <c r="E842" s="85"/>
      <c r="F842" s="85"/>
      <c r="G842" s="406"/>
      <c r="H842" s="407"/>
      <c r="I842" s="85"/>
      <c r="J842" s="83" t="str">
        <f>IF(G842=$B$998,$A$998,IF(G842=$B$999,$A$999,IF(G842=$B$1000,$A$1000,IF(G842=$B$1001,$A$1001,IF(G842=$B$1002,$A$1002,"Not Calculated")))))</f>
        <v>Not Calculated</v>
      </c>
      <c r="K842" s="87"/>
    </row>
    <row r="843" spans="2:11" x14ac:dyDescent="0.2">
      <c r="B843" s="81"/>
      <c r="C843" s="85" t="s">
        <v>134</v>
      </c>
      <c r="D843" s="85"/>
      <c r="E843" s="85"/>
      <c r="F843" s="85"/>
      <c r="G843" s="85"/>
      <c r="H843" s="85"/>
      <c r="I843" s="85"/>
      <c r="J843" s="240">
        <f>'Baseline PHP'!J44</f>
        <v>0</v>
      </c>
      <c r="K843" s="87"/>
    </row>
    <row r="844" spans="2:11" x14ac:dyDescent="0.2">
      <c r="B844" s="81"/>
      <c r="C844" s="85"/>
      <c r="D844" s="85"/>
      <c r="E844" s="85"/>
      <c r="F844" s="85"/>
      <c r="G844" s="85"/>
      <c r="H844" s="85"/>
      <c r="I844" s="85"/>
      <c r="J844" s="85"/>
      <c r="K844" s="87"/>
    </row>
    <row r="845" spans="2:11" ht="16" x14ac:dyDescent="0.2">
      <c r="B845" s="81"/>
      <c r="C845" s="211" t="s">
        <v>646</v>
      </c>
      <c r="D845" s="85"/>
      <c r="E845" s="85"/>
      <c r="F845" s="85"/>
      <c r="G845" s="85"/>
      <c r="H845" s="85"/>
      <c r="I845" s="85"/>
      <c r="J845" s="85"/>
      <c r="K845" s="87"/>
    </row>
    <row r="846" spans="2:11" x14ac:dyDescent="0.2">
      <c r="B846" s="81"/>
      <c r="C846" s="85" t="s">
        <v>380</v>
      </c>
      <c r="D846" s="85"/>
      <c r="E846" s="85"/>
      <c r="F846" s="85"/>
      <c r="G846" s="406"/>
      <c r="H846" s="407"/>
      <c r="I846" s="85"/>
      <c r="J846" s="83" t="str">
        <f>IF(G846=$B$998,$A$998,IF(G846=$B$999,$A$999,IF(G846=$B$1000,$A$1000,IF(G846=$B$1001,$A$1001,IF(G846=$B$1002,$A$1002,"Not Calculated")))))</f>
        <v>Not Calculated</v>
      </c>
      <c r="K846" s="87"/>
    </row>
    <row r="847" spans="2:11" x14ac:dyDescent="0.2">
      <c r="B847" s="81"/>
      <c r="C847" s="85" t="s">
        <v>134</v>
      </c>
      <c r="D847" s="85"/>
      <c r="E847" s="85"/>
      <c r="F847" s="85"/>
      <c r="G847" s="85"/>
      <c r="H847" s="85"/>
      <c r="I847" s="85"/>
      <c r="J847" s="240">
        <f>'Baseline PHP'!J60</f>
        <v>0</v>
      </c>
      <c r="K847" s="87"/>
    </row>
    <row r="848" spans="2:11" x14ac:dyDescent="0.2">
      <c r="B848" s="81"/>
      <c r="C848" s="85"/>
      <c r="D848" s="85"/>
      <c r="E848" s="85"/>
      <c r="F848" s="85"/>
      <c r="G848" s="85"/>
      <c r="H848" s="85"/>
      <c r="I848" s="85"/>
      <c r="J848" s="85"/>
      <c r="K848" s="87"/>
    </row>
    <row r="849" spans="2:11" ht="16" x14ac:dyDescent="0.2">
      <c r="B849" s="81"/>
      <c r="C849" s="211" t="s">
        <v>648</v>
      </c>
      <c r="D849" s="85"/>
      <c r="E849" s="85"/>
      <c r="F849" s="85"/>
      <c r="G849" s="85"/>
      <c r="H849" s="85"/>
      <c r="I849" s="85"/>
      <c r="J849" s="85"/>
      <c r="K849" s="87"/>
    </row>
    <row r="850" spans="2:11" ht="15" customHeight="1" x14ac:dyDescent="0.2">
      <c r="B850" s="81"/>
      <c r="C850" s="85" t="s">
        <v>380</v>
      </c>
      <c r="D850" s="85"/>
      <c r="E850" s="85"/>
      <c r="F850" s="85"/>
      <c r="G850" s="406"/>
      <c r="H850" s="407"/>
      <c r="I850" s="85"/>
      <c r="J850" s="83" t="str">
        <f>IF(G850=$B$998,$A$998,IF(G850=$B$999,$A$999,IF(G850=$B$1000,$A$1000,IF(G850=$B$1001,$A$1001,IF(G850=$B$1002,$A$1002,"Not Calculated")))))</f>
        <v>Not Calculated</v>
      </c>
      <c r="K850" s="87"/>
    </row>
    <row r="851" spans="2:11" x14ac:dyDescent="0.2">
      <c r="B851" s="81"/>
      <c r="C851" s="85" t="s">
        <v>134</v>
      </c>
      <c r="D851" s="85"/>
      <c r="E851" s="85"/>
      <c r="F851" s="85"/>
      <c r="G851" s="85"/>
      <c r="H851" s="85"/>
      <c r="I851" s="85"/>
      <c r="J851" s="240">
        <f>'Baseline PHP'!J76</f>
        <v>0</v>
      </c>
      <c r="K851" s="87"/>
    </row>
    <row r="852" spans="2:11" x14ac:dyDescent="0.2">
      <c r="B852" s="81"/>
      <c r="C852" s="85"/>
      <c r="D852" s="85"/>
      <c r="E852" s="85"/>
      <c r="F852" s="85"/>
      <c r="G852" s="85"/>
      <c r="H852" s="85"/>
      <c r="I852" s="85"/>
      <c r="J852" s="85"/>
      <c r="K852" s="87"/>
    </row>
    <row r="853" spans="2:11" ht="16" x14ac:dyDescent="0.2">
      <c r="B853" s="81"/>
      <c r="C853" s="211" t="s">
        <v>647</v>
      </c>
      <c r="D853" s="85"/>
      <c r="E853" s="85"/>
      <c r="F853" s="85"/>
      <c r="G853" s="85"/>
      <c r="H853" s="85"/>
      <c r="I853" s="85"/>
      <c r="J853" s="85"/>
      <c r="K853" s="87"/>
    </row>
    <row r="854" spans="2:11" x14ac:dyDescent="0.2">
      <c r="B854" s="81"/>
      <c r="C854" s="85" t="s">
        <v>380</v>
      </c>
      <c r="D854" s="85"/>
      <c r="E854" s="85"/>
      <c r="F854" s="85"/>
      <c r="G854" s="406"/>
      <c r="H854" s="407"/>
      <c r="I854" s="85"/>
      <c r="J854" s="83" t="str">
        <f>IF(G854=$B$998,$A$998,IF(G854=$B$999,$A$999,IF(G854=$B$1000,$A$1000,IF(G854=$B$1001,$A$1001,IF(G854=$B$1002,$A$1002,"Not Calculated")))))</f>
        <v>Not Calculated</v>
      </c>
      <c r="K854" s="87"/>
    </row>
    <row r="855" spans="2:11" x14ac:dyDescent="0.2">
      <c r="B855" s="81"/>
      <c r="C855" s="85" t="s">
        <v>134</v>
      </c>
      <c r="D855" s="85"/>
      <c r="E855" s="85"/>
      <c r="F855" s="85"/>
      <c r="G855" s="85"/>
      <c r="H855" s="85"/>
      <c r="I855" s="85"/>
      <c r="J855" s="240">
        <f>'Baseline PHP'!J88</f>
        <v>0</v>
      </c>
      <c r="K855" s="87"/>
    </row>
    <row r="856" spans="2:11" x14ac:dyDescent="0.2">
      <c r="B856" s="81"/>
      <c r="C856" s="85"/>
      <c r="D856" s="85"/>
      <c r="E856" s="85"/>
      <c r="F856" s="85"/>
      <c r="G856" s="85"/>
      <c r="H856" s="85"/>
      <c r="I856" s="85"/>
      <c r="J856" s="85"/>
      <c r="K856" s="87"/>
    </row>
    <row r="857" spans="2:11" ht="16" x14ac:dyDescent="0.2">
      <c r="B857" s="81"/>
      <c r="C857" s="211" t="s">
        <v>115</v>
      </c>
      <c r="D857" s="85"/>
      <c r="E857" s="85"/>
      <c r="F857" s="85"/>
      <c r="G857" s="85"/>
      <c r="H857" s="85"/>
      <c r="I857" s="85"/>
      <c r="J857" s="85"/>
      <c r="K857" s="87"/>
    </row>
    <row r="858" spans="2:11" x14ac:dyDescent="0.2">
      <c r="B858" s="81"/>
      <c r="C858" s="85" t="s">
        <v>380</v>
      </c>
      <c r="D858" s="85"/>
      <c r="E858" s="85"/>
      <c r="F858" s="85"/>
      <c r="G858" s="406"/>
      <c r="H858" s="407"/>
      <c r="I858" s="85"/>
      <c r="J858" s="83" t="str">
        <f>IF(G858=$B$998,$A$998,IF(G858=$B$999,$A$999,IF(G858=$B$1000,$A$1000,IF(G858=$B$1001,$A$1001,IF(G858=$B$1002,$A$1002,"Not Calculated")))))</f>
        <v>Not Calculated</v>
      </c>
      <c r="K858" s="87"/>
    </row>
    <row r="859" spans="2:11" x14ac:dyDescent="0.2">
      <c r="B859" s="81"/>
      <c r="C859" s="85" t="s">
        <v>134</v>
      </c>
      <c r="D859" s="85"/>
      <c r="E859" s="85"/>
      <c r="F859" s="85"/>
      <c r="G859" s="85"/>
      <c r="H859" s="85"/>
      <c r="I859" s="85"/>
      <c r="J859" s="240">
        <f>'Baseline PHP'!J102</f>
        <v>0</v>
      </c>
      <c r="K859" s="87"/>
    </row>
    <row r="860" spans="2:11" x14ac:dyDescent="0.2">
      <c r="B860" s="81"/>
      <c r="C860" s="85"/>
      <c r="D860" s="85"/>
      <c r="E860" s="85"/>
      <c r="F860" s="85"/>
      <c r="G860" s="85"/>
      <c r="H860" s="85"/>
      <c r="I860" s="85"/>
      <c r="J860" s="85"/>
      <c r="K860" s="87"/>
    </row>
    <row r="861" spans="2:11" ht="16" x14ac:dyDescent="0.2">
      <c r="B861" s="81"/>
      <c r="C861" s="211" t="s">
        <v>649</v>
      </c>
      <c r="D861" s="85"/>
      <c r="E861" s="85"/>
      <c r="F861" s="85"/>
      <c r="G861" s="85"/>
      <c r="H861" s="85"/>
      <c r="I861" s="85"/>
      <c r="J861" s="85"/>
      <c r="K861" s="87"/>
    </row>
    <row r="862" spans="2:11" x14ac:dyDescent="0.2">
      <c r="B862" s="81"/>
      <c r="C862" s="85" t="s">
        <v>380</v>
      </c>
      <c r="D862" s="85"/>
      <c r="E862" s="85"/>
      <c r="F862" s="85"/>
      <c r="G862" s="406"/>
      <c r="H862" s="407"/>
      <c r="I862" s="85"/>
      <c r="J862" s="83" t="str">
        <f>IF(G862=$B$998,$A$998,IF(G862=$B$999,$A$999,IF(G862=$B$1000,$A$1000,IF(G862=$B$1001,$A$1001,IF(G862=$B$1002,$A$1002,"Not Calculated")))))</f>
        <v>Not Calculated</v>
      </c>
      <c r="K862" s="87"/>
    </row>
    <row r="863" spans="2:11" x14ac:dyDescent="0.2">
      <c r="B863" s="81"/>
      <c r="C863" s="85" t="s">
        <v>134</v>
      </c>
      <c r="D863" s="85"/>
      <c r="E863" s="85"/>
      <c r="F863" s="85"/>
      <c r="G863" s="85"/>
      <c r="H863" s="85"/>
      <c r="I863" s="85"/>
      <c r="J863" s="240">
        <f>'Baseline PHP'!J118</f>
        <v>0</v>
      </c>
      <c r="K863" s="87"/>
    </row>
    <row r="864" spans="2:11" x14ac:dyDescent="0.2">
      <c r="B864" s="81"/>
      <c r="C864" s="85"/>
      <c r="D864" s="85"/>
      <c r="E864" s="85"/>
      <c r="F864" s="85"/>
      <c r="G864" s="85"/>
      <c r="H864" s="85"/>
      <c r="I864" s="85"/>
      <c r="J864" s="85"/>
      <c r="K864" s="87"/>
    </row>
    <row r="865" spans="2:11" ht="16" x14ac:dyDescent="0.2">
      <c r="B865" s="81"/>
      <c r="C865" s="211" t="s">
        <v>656</v>
      </c>
      <c r="D865" s="85"/>
      <c r="E865" s="85"/>
      <c r="F865" s="85"/>
      <c r="G865" s="85"/>
      <c r="H865" s="85"/>
      <c r="I865" s="85"/>
      <c r="J865" s="85"/>
      <c r="K865" s="87"/>
    </row>
    <row r="866" spans="2:11" x14ac:dyDescent="0.2">
      <c r="B866" s="81"/>
      <c r="C866" s="85" t="s">
        <v>380</v>
      </c>
      <c r="D866" s="85"/>
      <c r="E866" s="85"/>
      <c r="F866" s="85"/>
      <c r="G866" s="406"/>
      <c r="H866" s="407"/>
      <c r="I866" s="85"/>
      <c r="J866" s="83" t="str">
        <f>IF(G866=$B$998,$A$998,IF(G866=$B$999,$A$999,IF(G866=$B$1000,$A$1000,IF(G866=$B$1001,$A$1001,IF(G866=$B$1002,$A$1002,"Not Calculated")))))</f>
        <v>Not Calculated</v>
      </c>
      <c r="K866" s="87"/>
    </row>
    <row r="867" spans="2:11" x14ac:dyDescent="0.2">
      <c r="B867" s="81"/>
      <c r="C867" s="85" t="s">
        <v>134</v>
      </c>
      <c r="D867" s="85"/>
      <c r="E867" s="85"/>
      <c r="F867" s="85"/>
      <c r="G867" s="85"/>
      <c r="H867" s="85"/>
      <c r="I867" s="85"/>
      <c r="J867" s="240">
        <f>'Baseline PHP'!J136</f>
        <v>0</v>
      </c>
      <c r="K867" s="87"/>
    </row>
    <row r="868" spans="2:11" x14ac:dyDescent="0.2">
      <c r="B868" s="81"/>
      <c r="C868" s="85"/>
      <c r="D868" s="85"/>
      <c r="E868" s="85"/>
      <c r="F868" s="85"/>
      <c r="G868" s="85"/>
      <c r="H868" s="85"/>
      <c r="I868" s="85"/>
      <c r="J868" s="85"/>
      <c r="K868" s="87"/>
    </row>
    <row r="869" spans="2:11" ht="16" x14ac:dyDescent="0.2">
      <c r="B869" s="81"/>
      <c r="C869" s="211" t="s">
        <v>121</v>
      </c>
      <c r="D869" s="85"/>
      <c r="E869" s="85"/>
      <c r="F869" s="85"/>
      <c r="G869" s="85"/>
      <c r="H869" s="85"/>
      <c r="I869" s="85"/>
      <c r="J869" s="85"/>
      <c r="K869" s="87"/>
    </row>
    <row r="870" spans="2:11" x14ac:dyDescent="0.2">
      <c r="B870" s="81"/>
      <c r="C870" s="85" t="s">
        <v>380</v>
      </c>
      <c r="D870" s="85"/>
      <c r="E870" s="85"/>
      <c r="F870" s="85"/>
      <c r="G870" s="406"/>
      <c r="H870" s="407"/>
      <c r="I870" s="85"/>
      <c r="J870" s="83" t="str">
        <f>IF(G870=$B$998,$A$998,IF(G870=$B$999,$A$999,IF(G870=$B$1000,$A$1000,IF(G870=$B$1001,$A$1001,IF(G870=$B$1002,$A$1002,"Not Calculated")))))</f>
        <v>Not Calculated</v>
      </c>
      <c r="K870" s="87"/>
    </row>
    <row r="871" spans="2:11" x14ac:dyDescent="0.2">
      <c r="B871" s="81"/>
      <c r="C871" s="85" t="s">
        <v>134</v>
      </c>
      <c r="D871" s="85"/>
      <c r="E871" s="85"/>
      <c r="F871" s="85"/>
      <c r="G871" s="85"/>
      <c r="H871" s="85"/>
      <c r="I871" s="85"/>
      <c r="J871" s="240">
        <f>'Baseline PHP'!J150</f>
        <v>0</v>
      </c>
      <c r="K871" s="87"/>
    </row>
    <row r="872" spans="2:11" x14ac:dyDescent="0.2">
      <c r="B872" s="81"/>
      <c r="C872" s="85"/>
      <c r="D872" s="85"/>
      <c r="E872" s="85"/>
      <c r="F872" s="85"/>
      <c r="G872" s="85"/>
      <c r="H872" s="85"/>
      <c r="I872" s="85"/>
      <c r="J872" s="85"/>
      <c r="K872" s="87"/>
    </row>
    <row r="873" spans="2:11" ht="16" x14ac:dyDescent="0.2">
      <c r="B873" s="81"/>
      <c r="C873" s="211" t="s">
        <v>657</v>
      </c>
      <c r="D873" s="85"/>
      <c r="E873" s="85"/>
      <c r="F873" s="85"/>
      <c r="G873" s="85"/>
      <c r="H873" s="85"/>
      <c r="I873" s="85"/>
      <c r="J873" s="85"/>
      <c r="K873" s="87"/>
    </row>
    <row r="874" spans="2:11" x14ac:dyDescent="0.2">
      <c r="B874" s="81"/>
      <c r="C874" s="85" t="s">
        <v>380</v>
      </c>
      <c r="D874" s="85"/>
      <c r="E874" s="85"/>
      <c r="F874" s="85"/>
      <c r="G874" s="406"/>
      <c r="H874" s="407"/>
      <c r="I874" s="85"/>
      <c r="J874" s="83" t="str">
        <f>IF(G874=$B$998,$A$998,IF(G874=$B$999,$A$999,IF(G874=$B$1000,$A$1000,IF(G874=$B$1001,$A$1001,IF(G874=$B$1002,$A$1002,"Not Calculated")))))</f>
        <v>Not Calculated</v>
      </c>
      <c r="K874" s="87"/>
    </row>
    <row r="875" spans="2:11" x14ac:dyDescent="0.2">
      <c r="B875" s="81"/>
      <c r="C875" s="85" t="s">
        <v>134</v>
      </c>
      <c r="D875" s="85"/>
      <c r="E875" s="85"/>
      <c r="F875" s="85"/>
      <c r="G875" s="85"/>
      <c r="H875" s="85"/>
      <c r="I875" s="85"/>
      <c r="J875" s="240">
        <f>'Baseline PHP'!J164</f>
        <v>0</v>
      </c>
      <c r="K875" s="87"/>
    </row>
    <row r="876" spans="2:11" x14ac:dyDescent="0.2">
      <c r="B876" s="81"/>
      <c r="C876" s="85"/>
      <c r="D876" s="85"/>
      <c r="E876" s="85"/>
      <c r="F876" s="85"/>
      <c r="G876" s="85"/>
      <c r="H876" s="85"/>
      <c r="I876" s="85"/>
      <c r="J876" s="85"/>
      <c r="K876" s="87"/>
    </row>
    <row r="877" spans="2:11" ht="16" x14ac:dyDescent="0.2">
      <c r="B877" s="81"/>
      <c r="C877" s="211" t="s">
        <v>650</v>
      </c>
      <c r="D877" s="85"/>
      <c r="E877" s="85"/>
      <c r="F877" s="85"/>
      <c r="G877" s="85"/>
      <c r="H877" s="85"/>
      <c r="I877" s="85"/>
      <c r="J877" s="85"/>
      <c r="K877" s="87"/>
    </row>
    <row r="878" spans="2:11" x14ac:dyDescent="0.2">
      <c r="B878" s="81"/>
      <c r="C878" s="85" t="s">
        <v>380</v>
      </c>
      <c r="D878" s="85"/>
      <c r="E878" s="85"/>
      <c r="F878" s="85"/>
      <c r="G878" s="406"/>
      <c r="H878" s="407"/>
      <c r="I878" s="85"/>
      <c r="J878" s="83" t="str">
        <f>IF(G878=$B$998,$A$998,IF(G878=$B$999,$A$999,IF(G878=$B$1000,$A$1000,IF(G878=$B$1001,$A$1001,IF(G878=$B$1002,$A$1002,"Not Calculated")))))</f>
        <v>Not Calculated</v>
      </c>
      <c r="K878" s="87"/>
    </row>
    <row r="879" spans="2:11" x14ac:dyDescent="0.2">
      <c r="B879" s="81"/>
      <c r="C879" s="85" t="s">
        <v>134</v>
      </c>
      <c r="D879" s="85"/>
      <c r="E879" s="85"/>
      <c r="F879" s="85"/>
      <c r="G879" s="85"/>
      <c r="H879" s="85"/>
      <c r="I879" s="85"/>
      <c r="J879" s="240">
        <f>'Baseline PHP'!J180</f>
        <v>0</v>
      </c>
      <c r="K879" s="87"/>
    </row>
    <row r="880" spans="2:11" x14ac:dyDescent="0.2">
      <c r="B880" s="81"/>
      <c r="C880" s="85"/>
      <c r="D880" s="85"/>
      <c r="E880" s="85"/>
      <c r="F880" s="85"/>
      <c r="G880" s="85"/>
      <c r="H880" s="85"/>
      <c r="I880" s="85"/>
      <c r="J880" s="85"/>
      <c r="K880" s="87"/>
    </row>
    <row r="881" spans="2:11" ht="16" x14ac:dyDescent="0.2">
      <c r="B881" s="81"/>
      <c r="C881" s="211" t="s">
        <v>651</v>
      </c>
      <c r="D881" s="85"/>
      <c r="E881" s="85"/>
      <c r="F881" s="85"/>
      <c r="G881" s="85"/>
      <c r="H881" s="85"/>
      <c r="I881" s="85"/>
      <c r="J881" s="85"/>
      <c r="K881" s="87"/>
    </row>
    <row r="882" spans="2:11" x14ac:dyDescent="0.2">
      <c r="B882" s="81"/>
      <c r="C882" s="85" t="s">
        <v>380</v>
      </c>
      <c r="D882" s="85"/>
      <c r="E882" s="85"/>
      <c r="F882" s="85"/>
      <c r="G882" s="406"/>
      <c r="H882" s="407"/>
      <c r="I882" s="85"/>
      <c r="J882" s="83" t="str">
        <f>IF(G882=$B$998,$A$998,IF(G882=$B$999,$A$999,IF(G882=$B$1000,$A$1000,IF(G882=$B$1001,$A$1001,IF(G882=$B$1002,$A$1002,"Not Calculated")))))</f>
        <v>Not Calculated</v>
      </c>
      <c r="K882" s="87"/>
    </row>
    <row r="883" spans="2:11" x14ac:dyDescent="0.2">
      <c r="B883" s="81"/>
      <c r="C883" s="85" t="s">
        <v>134</v>
      </c>
      <c r="D883" s="85"/>
      <c r="E883" s="85"/>
      <c r="F883" s="85"/>
      <c r="G883" s="85"/>
      <c r="H883" s="85"/>
      <c r="I883" s="85"/>
      <c r="J883" s="240">
        <f>'Baseline PHP'!J194</f>
        <v>0</v>
      </c>
      <c r="K883" s="87"/>
    </row>
    <row r="884" spans="2:11" x14ac:dyDescent="0.2">
      <c r="B884" s="81"/>
      <c r="C884" s="85"/>
      <c r="D884" s="85"/>
      <c r="E884" s="85"/>
      <c r="F884" s="85"/>
      <c r="G884" s="85"/>
      <c r="H884" s="85"/>
      <c r="I884" s="85"/>
      <c r="J884" s="85"/>
      <c r="K884" s="87"/>
    </row>
    <row r="885" spans="2:11" ht="16" x14ac:dyDescent="0.2">
      <c r="B885" s="81"/>
      <c r="C885" s="211" t="s">
        <v>652</v>
      </c>
      <c r="D885" s="85"/>
      <c r="E885" s="85"/>
      <c r="F885" s="85"/>
      <c r="G885" s="85"/>
      <c r="H885" s="85"/>
      <c r="I885" s="85"/>
      <c r="J885" s="85"/>
      <c r="K885" s="87"/>
    </row>
    <row r="886" spans="2:11" x14ac:dyDescent="0.2">
      <c r="B886" s="81"/>
      <c r="C886" s="85" t="s">
        <v>380</v>
      </c>
      <c r="D886" s="85"/>
      <c r="E886" s="85"/>
      <c r="F886" s="85"/>
      <c r="G886" s="406"/>
      <c r="H886" s="407"/>
      <c r="I886" s="85"/>
      <c r="J886" s="83" t="str">
        <f>IF(G886=$B$998,$A$998,IF(G886=$B$999,$A$999,IF(G886=$B$1000,$A$1000,IF(G886=$B$1001,$A$1001,IF(G886=$B$1002,$A$1002,"Not Calculated")))))</f>
        <v>Not Calculated</v>
      </c>
      <c r="K886" s="87"/>
    </row>
    <row r="887" spans="2:11" x14ac:dyDescent="0.2">
      <c r="B887" s="81"/>
      <c r="C887" s="85" t="s">
        <v>134</v>
      </c>
      <c r="D887" s="85"/>
      <c r="E887" s="85"/>
      <c r="F887" s="85"/>
      <c r="G887" s="85"/>
      <c r="H887" s="85"/>
      <c r="I887" s="85"/>
      <c r="J887" s="240">
        <f>'Baseline PHP'!J208</f>
        <v>0</v>
      </c>
      <c r="K887" s="87"/>
    </row>
    <row r="888" spans="2:11" x14ac:dyDescent="0.2">
      <c r="B888" s="81"/>
      <c r="C888" s="85"/>
      <c r="D888" s="85"/>
      <c r="E888" s="85"/>
      <c r="F888" s="85"/>
      <c r="G888" s="85"/>
      <c r="H888" s="85"/>
      <c r="I888" s="85"/>
      <c r="J888" s="85"/>
      <c r="K888" s="87"/>
    </row>
    <row r="889" spans="2:11" ht="16" x14ac:dyDescent="0.2">
      <c r="B889" s="81"/>
      <c r="C889" s="211" t="s">
        <v>653</v>
      </c>
      <c r="D889" s="85"/>
      <c r="E889" s="85"/>
      <c r="F889" s="85"/>
      <c r="G889" s="85"/>
      <c r="H889" s="85"/>
      <c r="I889" s="85"/>
      <c r="J889" s="85"/>
      <c r="K889" s="87"/>
    </row>
    <row r="890" spans="2:11" x14ac:dyDescent="0.2">
      <c r="B890" s="81"/>
      <c r="C890" s="85" t="s">
        <v>380</v>
      </c>
      <c r="D890" s="85"/>
      <c r="E890" s="85"/>
      <c r="F890" s="85"/>
      <c r="G890" s="406"/>
      <c r="H890" s="407"/>
      <c r="I890" s="85"/>
      <c r="J890" s="83" t="str">
        <f>IF(G890=$B$998,$A$998,IF(G890=$B$999,$A$999,IF(G890=$B$1000,$A$1000,IF(G890=$B$1001,$A$1001,IF(G890=$B$1002,$A$1002,"Not Calculated")))))</f>
        <v>Not Calculated</v>
      </c>
      <c r="K890" s="87"/>
    </row>
    <row r="891" spans="2:11" x14ac:dyDescent="0.2">
      <c r="B891" s="81"/>
      <c r="C891" s="85" t="s">
        <v>134</v>
      </c>
      <c r="D891" s="85"/>
      <c r="E891" s="85"/>
      <c r="F891" s="85"/>
      <c r="G891" s="85"/>
      <c r="H891" s="85"/>
      <c r="I891" s="85"/>
      <c r="J891" s="240">
        <f>'Baseline PHP'!J222</f>
        <v>0</v>
      </c>
      <c r="K891" s="87"/>
    </row>
    <row r="892" spans="2:11" x14ac:dyDescent="0.2">
      <c r="B892" s="81"/>
      <c r="C892" s="85"/>
      <c r="D892" s="85"/>
      <c r="E892" s="85"/>
      <c r="F892" s="85"/>
      <c r="G892" s="85"/>
      <c r="H892" s="85"/>
      <c r="I892" s="85"/>
      <c r="J892" s="85"/>
      <c r="K892" s="87"/>
    </row>
    <row r="893" spans="2:11" x14ac:dyDescent="0.2">
      <c r="B893" s="81"/>
      <c r="C893" s="85"/>
      <c r="D893" s="85"/>
      <c r="E893" s="85"/>
      <c r="F893" s="85"/>
      <c r="G893" s="85"/>
      <c r="H893" s="85"/>
      <c r="I893" s="85"/>
      <c r="J893" s="85"/>
      <c r="K893" s="87"/>
    </row>
    <row r="894" spans="2:11" ht="16" x14ac:dyDescent="0.2">
      <c r="B894" s="81"/>
      <c r="C894" s="212" t="s">
        <v>813</v>
      </c>
      <c r="D894" s="85"/>
      <c r="E894" s="85"/>
      <c r="F894" s="85"/>
      <c r="G894" s="85"/>
      <c r="H894" s="85"/>
      <c r="I894" s="85"/>
      <c r="J894" s="241" t="str">
        <f>IF(OR(J854="Not Calculated",J858="Not Calculated",J862="Not Calculated",J866="Not Calculated",J870="Not Calculated",J874="Not Calculated",J878="Not Calculated",J882="Not Calculated",J886="Not Calculated",J890="Not Calculated",J834="Not Calculated",J838="Not Calculated",J842="Not Calculated",J846="Not Calculated",J850="Not Calculated",J855="Not Calculated",J859="Not Calculated",J863="Not Calculated",J867="Not Calculated",J871="Not Calculated",J875="Not Calculated",J879="Not Calculated",J883="Not Calculated",J887="Not Calculated",J891="Not Calculated",J835="Not Calculated",J839="Not Calculated",J843="Not Calculated",J847="Not Calculated",J851="Not Calculated")=TRUE,"Not Calculated",((J834*J835)+(J838*J839)+(J842*J843)+(J846*J847)+(J850*J851)+(J854*J855)+(J858*J859)+(J862*J863)+(J866*J867)+(J870*J871)+(J874*J875)+(J878*J879)+(J882*J883)+(J886*J887)+(J890*J891))/(J834+J838+J842+J846+J850+J854+J858+J862+J866+J870+J874+J878+J882+J886+J890))</f>
        <v>Not Calculated</v>
      </c>
      <c r="K894" s="87"/>
    </row>
    <row r="895" spans="2:11" ht="16" thickBot="1" x14ac:dyDescent="0.25">
      <c r="B895" s="213"/>
      <c r="C895" s="94"/>
      <c r="D895" s="94"/>
      <c r="E895" s="94"/>
      <c r="F895" s="94"/>
      <c r="G895" s="94"/>
      <c r="H895" s="94"/>
      <c r="I895" s="94"/>
      <c r="J895" s="94"/>
      <c r="K895" s="96"/>
    </row>
    <row r="896" spans="2:11" ht="16" thickBot="1" x14ac:dyDescent="0.25"/>
    <row r="897" spans="2:11" x14ac:dyDescent="0.2">
      <c r="B897" s="77"/>
      <c r="C897" s="78"/>
      <c r="D897" s="78"/>
      <c r="E897" s="78"/>
      <c r="F897" s="78"/>
      <c r="G897" s="78"/>
      <c r="H897" s="78"/>
      <c r="I897" s="78"/>
      <c r="J897" s="78"/>
      <c r="K897" s="80"/>
    </row>
    <row r="898" spans="2:11" ht="21" x14ac:dyDescent="0.25">
      <c r="B898" s="81"/>
      <c r="C898" s="85"/>
      <c r="D898" s="85"/>
      <c r="E898" s="85"/>
      <c r="F898" s="85"/>
      <c r="G898" s="210" t="s">
        <v>807</v>
      </c>
      <c r="H898" s="85"/>
      <c r="I898" s="85"/>
      <c r="J898" s="85"/>
      <c r="K898" s="87"/>
    </row>
    <row r="899" spans="2:11" x14ac:dyDescent="0.2">
      <c r="B899" s="81"/>
      <c r="C899" s="85"/>
      <c r="D899" s="85"/>
      <c r="E899" s="85"/>
      <c r="F899" s="85"/>
      <c r="G899" s="85"/>
      <c r="H899" s="85"/>
      <c r="I899" s="85"/>
      <c r="J899" s="85"/>
      <c r="K899" s="87"/>
    </row>
    <row r="900" spans="2:11" ht="15" customHeight="1" x14ac:dyDescent="0.2">
      <c r="B900" s="81"/>
      <c r="C900" s="424" t="s">
        <v>809</v>
      </c>
      <c r="D900" s="424"/>
      <c r="E900" s="424"/>
      <c r="F900" s="424"/>
      <c r="G900" s="424"/>
      <c r="H900" s="424"/>
      <c r="I900" s="424"/>
      <c r="J900" s="424"/>
      <c r="K900" s="87"/>
    </row>
    <row r="901" spans="2:11" x14ac:dyDescent="0.2">
      <c r="B901" s="81"/>
      <c r="C901" s="424"/>
      <c r="D901" s="424"/>
      <c r="E901" s="424"/>
      <c r="F901" s="424"/>
      <c r="G901" s="424"/>
      <c r="H901" s="424"/>
      <c r="I901" s="424"/>
      <c r="J901" s="424"/>
      <c r="K901" s="87"/>
    </row>
    <row r="902" spans="2:11" x14ac:dyDescent="0.2">
      <c r="B902" s="81"/>
      <c r="C902" s="85"/>
      <c r="D902" s="85"/>
      <c r="E902" s="85"/>
      <c r="F902" s="85"/>
      <c r="G902" s="85"/>
      <c r="H902" s="85"/>
      <c r="I902" s="85"/>
      <c r="J902" s="85"/>
      <c r="K902" s="87"/>
    </row>
    <row r="903" spans="2:11" ht="16" x14ac:dyDescent="0.2">
      <c r="B903" s="81"/>
      <c r="C903" s="211" t="s">
        <v>810</v>
      </c>
      <c r="D903" s="85"/>
      <c r="E903" s="85"/>
      <c r="F903" s="85"/>
      <c r="G903" s="85"/>
      <c r="H903" s="85"/>
      <c r="I903" s="85"/>
      <c r="J903" s="85"/>
      <c r="K903" s="87"/>
    </row>
    <row r="904" spans="2:11" x14ac:dyDescent="0.2">
      <c r="B904" s="81"/>
      <c r="C904" s="85" t="s">
        <v>380</v>
      </c>
      <c r="D904" s="85"/>
      <c r="E904" s="85"/>
      <c r="F904" s="85"/>
      <c r="G904" s="406"/>
      <c r="H904" s="407"/>
      <c r="I904" s="85"/>
      <c r="J904" s="83" t="str">
        <f>IF(G904=$B$998,$A$998,IF(G904=$B$999,$A$999,IF(G904=$B$1000,$A$1000,IF(G904=$B$1001,$A$1001,IF(G904=$B$1002,$A$1002,"Not Calculated")))))</f>
        <v>Not Calculated</v>
      </c>
      <c r="K904" s="87"/>
    </row>
    <row r="905" spans="2:11" x14ac:dyDescent="0.2">
      <c r="B905" s="81"/>
      <c r="C905" s="85" t="s">
        <v>134</v>
      </c>
      <c r="D905" s="85"/>
      <c r="E905" s="85"/>
      <c r="F905" s="85"/>
      <c r="G905" s="85"/>
      <c r="H905" s="85"/>
      <c r="I905" s="85"/>
      <c r="J905" s="240">
        <f>'Baseline HP'!J22</f>
        <v>0</v>
      </c>
      <c r="K905" s="87"/>
    </row>
    <row r="906" spans="2:11" x14ac:dyDescent="0.2">
      <c r="B906" s="81"/>
      <c r="C906" s="85"/>
      <c r="D906" s="85"/>
      <c r="E906" s="85"/>
      <c r="F906" s="85"/>
      <c r="G906" s="85"/>
      <c r="H906" s="85"/>
      <c r="I906" s="85"/>
      <c r="J906" s="85"/>
      <c r="K906" s="87"/>
    </row>
    <row r="907" spans="2:11" ht="16" x14ac:dyDescent="0.2">
      <c r="B907" s="81"/>
      <c r="C907" s="211" t="s">
        <v>811</v>
      </c>
      <c r="D907" s="85"/>
      <c r="E907" s="85"/>
      <c r="F907" s="85"/>
      <c r="G907" s="85"/>
      <c r="H907" s="85"/>
      <c r="I907" s="85"/>
      <c r="J907" s="85"/>
      <c r="K907" s="87"/>
    </row>
    <row r="908" spans="2:11" x14ac:dyDescent="0.2">
      <c r="B908" s="81"/>
      <c r="C908" s="85" t="s">
        <v>380</v>
      </c>
      <c r="D908" s="85"/>
      <c r="E908" s="85"/>
      <c r="F908" s="85"/>
      <c r="G908" s="406"/>
      <c r="H908" s="407"/>
      <c r="I908" s="85"/>
      <c r="J908" s="83" t="str">
        <f>IF(G908=$B$998,$A$998,IF(G908=$B$999,$A$999,IF(G908=$B$1000,$A$1000,IF(G908=$B$1001,$A$1001,IF(G908=$B$1002,$A$1002,"Not Calculated")))))</f>
        <v>Not Calculated</v>
      </c>
      <c r="K908" s="87"/>
    </row>
    <row r="909" spans="2:11" x14ac:dyDescent="0.2">
      <c r="B909" s="81"/>
      <c r="C909" s="85" t="s">
        <v>134</v>
      </c>
      <c r="D909" s="85"/>
      <c r="E909" s="85"/>
      <c r="F909" s="85"/>
      <c r="G909" s="85"/>
      <c r="H909" s="85"/>
      <c r="I909" s="85"/>
      <c r="J909" s="240">
        <f>'Baseline HP'!J32</f>
        <v>0</v>
      </c>
      <c r="K909" s="87"/>
    </row>
    <row r="910" spans="2:11" x14ac:dyDescent="0.2">
      <c r="B910" s="81"/>
      <c r="C910" s="85"/>
      <c r="D910" s="85"/>
      <c r="E910" s="85"/>
      <c r="F910" s="85"/>
      <c r="G910" s="85"/>
      <c r="H910" s="85"/>
      <c r="I910" s="85"/>
      <c r="J910" s="85"/>
      <c r="K910" s="87"/>
    </row>
    <row r="911" spans="2:11" ht="16" x14ac:dyDescent="0.2">
      <c r="B911" s="81"/>
      <c r="C911" s="211" t="s">
        <v>645</v>
      </c>
      <c r="D911" s="85"/>
      <c r="E911" s="85"/>
      <c r="F911" s="85"/>
      <c r="G911" s="85"/>
      <c r="H911" s="85"/>
      <c r="I911" s="85"/>
      <c r="J911" s="85"/>
      <c r="K911" s="87"/>
    </row>
    <row r="912" spans="2:11" x14ac:dyDescent="0.2">
      <c r="B912" s="81"/>
      <c r="C912" s="85" t="s">
        <v>380</v>
      </c>
      <c r="D912" s="85"/>
      <c r="E912" s="85"/>
      <c r="F912" s="85"/>
      <c r="G912" s="406"/>
      <c r="H912" s="407"/>
      <c r="I912" s="85"/>
      <c r="J912" s="83" t="str">
        <f>IF(G912=$B$998,$A$998,IF(G912=$B$999,$A$999,IF(G912=$B$1000,$A$1000,IF(G912=$B$1001,$A$1001,IF(G912=$B$1002,$A$1002,"Not Calculated")))))</f>
        <v>Not Calculated</v>
      </c>
      <c r="K912" s="87"/>
    </row>
    <row r="913" spans="2:11" x14ac:dyDescent="0.2">
      <c r="B913" s="81"/>
      <c r="C913" s="85" t="s">
        <v>134</v>
      </c>
      <c r="D913" s="85"/>
      <c r="E913" s="85"/>
      <c r="F913" s="85"/>
      <c r="G913" s="85"/>
      <c r="H913" s="85"/>
      <c r="I913" s="85"/>
      <c r="J913" s="240">
        <f>'Baseline HP'!J46</f>
        <v>0</v>
      </c>
      <c r="K913" s="87"/>
    </row>
    <row r="914" spans="2:11" x14ac:dyDescent="0.2">
      <c r="B914" s="81"/>
      <c r="C914" s="85"/>
      <c r="D914" s="85"/>
      <c r="E914" s="85"/>
      <c r="F914" s="85"/>
      <c r="G914" s="85"/>
      <c r="H914" s="85"/>
      <c r="I914" s="85"/>
      <c r="J914" s="85"/>
      <c r="K914" s="87"/>
    </row>
    <row r="915" spans="2:11" ht="16" x14ac:dyDescent="0.2">
      <c r="B915" s="81"/>
      <c r="C915" s="211" t="s">
        <v>648</v>
      </c>
      <c r="D915" s="85"/>
      <c r="E915" s="85"/>
      <c r="F915" s="85"/>
      <c r="G915" s="85"/>
      <c r="H915" s="85"/>
      <c r="I915" s="85"/>
      <c r="J915" s="85"/>
      <c r="K915" s="87"/>
    </row>
    <row r="916" spans="2:11" ht="15" customHeight="1" x14ac:dyDescent="0.2">
      <c r="B916" s="81"/>
      <c r="C916" s="85" t="s">
        <v>380</v>
      </c>
      <c r="D916" s="85"/>
      <c r="E916" s="85"/>
      <c r="F916" s="85"/>
      <c r="G916" s="406"/>
      <c r="H916" s="407"/>
      <c r="I916" s="85"/>
      <c r="J916" s="83" t="str">
        <f>IF(G916=$B$998,$A$998,IF(G916=$B$999,$A$999,IF(G916=$B$1000,$A$1000,IF(G916=$B$1001,$A$1001,IF(G916=$B$1002,$A$1002,"Not Calculated")))))</f>
        <v>Not Calculated</v>
      </c>
      <c r="K916" s="87"/>
    </row>
    <row r="917" spans="2:11" x14ac:dyDescent="0.2">
      <c r="B917" s="81"/>
      <c r="C917" s="85" t="s">
        <v>134</v>
      </c>
      <c r="D917" s="85"/>
      <c r="E917" s="85"/>
      <c r="F917" s="85"/>
      <c r="G917" s="85"/>
      <c r="H917" s="85"/>
      <c r="I917" s="85"/>
      <c r="J917" s="240">
        <f>'Baseline HP'!J58</f>
        <v>0</v>
      </c>
      <c r="K917" s="87"/>
    </row>
    <row r="918" spans="2:11" x14ac:dyDescent="0.2">
      <c r="B918" s="81"/>
      <c r="C918" s="85"/>
      <c r="D918" s="85"/>
      <c r="E918" s="85"/>
      <c r="F918" s="85"/>
      <c r="G918" s="85"/>
      <c r="H918" s="85"/>
      <c r="I918" s="85"/>
      <c r="J918" s="85"/>
      <c r="K918" s="87"/>
    </row>
    <row r="919" spans="2:11" ht="16" x14ac:dyDescent="0.2">
      <c r="B919" s="81"/>
      <c r="C919" s="211" t="s">
        <v>647</v>
      </c>
      <c r="D919" s="85"/>
      <c r="E919" s="85"/>
      <c r="F919" s="85"/>
      <c r="G919" s="85"/>
      <c r="H919" s="85"/>
      <c r="I919" s="85"/>
      <c r="J919" s="85"/>
      <c r="K919" s="87"/>
    </row>
    <row r="920" spans="2:11" x14ac:dyDescent="0.2">
      <c r="B920" s="81"/>
      <c r="C920" s="85" t="s">
        <v>380</v>
      </c>
      <c r="D920" s="85"/>
      <c r="E920" s="85"/>
      <c r="F920" s="85"/>
      <c r="G920" s="406"/>
      <c r="H920" s="407"/>
      <c r="I920" s="85"/>
      <c r="J920" s="83" t="str">
        <f>IF(G920=$B$998,$A$998,IF(G920=$B$999,$A$999,IF(G920=$B$1000,$A$1000,IF(G920=$B$1001,$A$1001,IF(G920=$B$1002,$A$1002,"Not Calculated")))))</f>
        <v>Not Calculated</v>
      </c>
      <c r="K920" s="87"/>
    </row>
    <row r="921" spans="2:11" x14ac:dyDescent="0.2">
      <c r="B921" s="81"/>
      <c r="C921" s="85" t="s">
        <v>134</v>
      </c>
      <c r="D921" s="85"/>
      <c r="E921" s="85"/>
      <c r="F921" s="85"/>
      <c r="G921" s="85"/>
      <c r="H921" s="85"/>
      <c r="I921" s="85"/>
      <c r="J921" s="240">
        <f>'Baseline HP'!J68</f>
        <v>0</v>
      </c>
      <c r="K921" s="87"/>
    </row>
    <row r="922" spans="2:11" x14ac:dyDescent="0.2">
      <c r="B922" s="81"/>
      <c r="C922" s="85"/>
      <c r="D922" s="85"/>
      <c r="E922" s="85"/>
      <c r="F922" s="85"/>
      <c r="G922" s="85"/>
      <c r="H922" s="85"/>
      <c r="I922" s="85"/>
      <c r="J922" s="85"/>
      <c r="K922" s="87"/>
    </row>
    <row r="923" spans="2:11" ht="16" x14ac:dyDescent="0.2">
      <c r="B923" s="81"/>
      <c r="C923" s="211" t="s">
        <v>121</v>
      </c>
      <c r="D923" s="85"/>
      <c r="E923" s="85"/>
      <c r="F923" s="85"/>
      <c r="G923" s="85"/>
      <c r="H923" s="85"/>
      <c r="I923" s="85"/>
      <c r="J923" s="85"/>
      <c r="K923" s="87"/>
    </row>
    <row r="924" spans="2:11" x14ac:dyDescent="0.2">
      <c r="B924" s="81"/>
      <c r="C924" s="85" t="s">
        <v>380</v>
      </c>
      <c r="D924" s="85"/>
      <c r="E924" s="85"/>
      <c r="F924" s="85"/>
      <c r="G924" s="406"/>
      <c r="H924" s="407"/>
      <c r="I924" s="85"/>
      <c r="J924" s="83" t="str">
        <f>IF(G924=$B$998,$A$998,IF(G924=$B$999,$A$999,IF(G924=$B$1000,$A$1000,IF(G924=$B$1001,$A$1001,IF(G924=$B$1002,$A$1002,"Not Calculated")))))</f>
        <v>Not Calculated</v>
      </c>
      <c r="K924" s="87"/>
    </row>
    <row r="925" spans="2:11" x14ac:dyDescent="0.2">
      <c r="B925" s="81"/>
      <c r="C925" s="85" t="s">
        <v>134</v>
      </c>
      <c r="D925" s="85"/>
      <c r="E925" s="85"/>
      <c r="F925" s="85"/>
      <c r="G925" s="85"/>
      <c r="H925" s="85"/>
      <c r="I925" s="85"/>
      <c r="J925" s="240">
        <f>'Baseline HP'!J84</f>
        <v>0</v>
      </c>
      <c r="K925" s="87"/>
    </row>
    <row r="926" spans="2:11" x14ac:dyDescent="0.2">
      <c r="B926" s="81"/>
      <c r="C926" s="85"/>
      <c r="D926" s="85"/>
      <c r="E926" s="85"/>
      <c r="F926" s="85"/>
      <c r="G926" s="85"/>
      <c r="H926" s="85"/>
      <c r="I926" s="85"/>
      <c r="J926" s="85"/>
      <c r="K926" s="87"/>
    </row>
    <row r="927" spans="2:11" ht="16" x14ac:dyDescent="0.2">
      <c r="B927" s="81"/>
      <c r="C927" s="211" t="s">
        <v>652</v>
      </c>
      <c r="D927" s="85"/>
      <c r="E927" s="85"/>
      <c r="F927" s="85"/>
      <c r="G927" s="85"/>
      <c r="H927" s="85"/>
      <c r="I927" s="85"/>
      <c r="J927" s="85"/>
      <c r="K927" s="87"/>
    </row>
    <row r="928" spans="2:11" x14ac:dyDescent="0.2">
      <c r="B928" s="81"/>
      <c r="C928" s="85" t="s">
        <v>380</v>
      </c>
      <c r="D928" s="85"/>
      <c r="E928" s="85"/>
      <c r="F928" s="85"/>
      <c r="G928" s="406"/>
      <c r="H928" s="407"/>
      <c r="I928" s="85"/>
      <c r="J928" s="83" t="str">
        <f>IF(G928=$B$998,$A$998,IF(G928=$B$999,$A$999,IF(G928=$B$1000,$A$1000,IF(G928=$B$1001,$A$1001,IF(G928=$B$1002,$A$1002,"Not Calculated")))))</f>
        <v>Not Calculated</v>
      </c>
      <c r="K928" s="87"/>
    </row>
    <row r="929" spans="2:11" x14ac:dyDescent="0.2">
      <c r="B929" s="81"/>
      <c r="C929" s="85" t="s">
        <v>134</v>
      </c>
      <c r="D929" s="85"/>
      <c r="E929" s="85"/>
      <c r="F929" s="85"/>
      <c r="G929" s="85"/>
      <c r="H929" s="85"/>
      <c r="I929" s="85"/>
      <c r="J929" s="240">
        <f>'Baseline HP'!J94</f>
        <v>0</v>
      </c>
      <c r="K929" s="87"/>
    </row>
    <row r="930" spans="2:11" x14ac:dyDescent="0.2">
      <c r="B930" s="81"/>
      <c r="C930" s="85"/>
      <c r="D930" s="85"/>
      <c r="E930" s="85"/>
      <c r="F930" s="85"/>
      <c r="G930" s="85"/>
      <c r="H930" s="85"/>
      <c r="I930" s="85"/>
      <c r="J930" s="85"/>
      <c r="K930" s="87"/>
    </row>
    <row r="931" spans="2:11" ht="16" x14ac:dyDescent="0.2">
      <c r="B931" s="81"/>
      <c r="C931" s="211" t="s">
        <v>653</v>
      </c>
      <c r="D931" s="85"/>
      <c r="E931" s="85"/>
      <c r="F931" s="85"/>
      <c r="G931" s="85"/>
      <c r="H931" s="85"/>
      <c r="I931" s="85"/>
      <c r="J931" s="85"/>
      <c r="K931" s="87"/>
    </row>
    <row r="932" spans="2:11" x14ac:dyDescent="0.2">
      <c r="B932" s="81"/>
      <c r="C932" s="85" t="s">
        <v>380</v>
      </c>
      <c r="D932" s="85"/>
      <c r="E932" s="85"/>
      <c r="F932" s="85"/>
      <c r="G932" s="406"/>
      <c r="H932" s="407"/>
      <c r="I932" s="85"/>
      <c r="J932" s="83" t="str">
        <f>IF(G932=$B$998,$A$998,IF(G932=$B$999,$A$999,IF(G932=$B$1000,$A$1000,IF(G932=$B$1001,$A$1001,IF(G932=$B$1002,$A$1002,"Not Calculated")))))</f>
        <v>Not Calculated</v>
      </c>
      <c r="K932" s="87"/>
    </row>
    <row r="933" spans="2:11" x14ac:dyDescent="0.2">
      <c r="B933" s="81"/>
      <c r="C933" s="85" t="s">
        <v>134</v>
      </c>
      <c r="D933" s="85"/>
      <c r="E933" s="85"/>
      <c r="F933" s="85"/>
      <c r="G933" s="85"/>
      <c r="H933" s="85"/>
      <c r="I933" s="85"/>
      <c r="J933" s="240">
        <f>'Baseline HP'!J108</f>
        <v>0</v>
      </c>
      <c r="K933" s="87"/>
    </row>
    <row r="934" spans="2:11" x14ac:dyDescent="0.2">
      <c r="B934" s="81"/>
      <c r="C934" s="85"/>
      <c r="D934" s="85"/>
      <c r="E934" s="85"/>
      <c r="F934" s="85"/>
      <c r="G934" s="85"/>
      <c r="H934" s="85"/>
      <c r="I934" s="85"/>
      <c r="J934" s="85"/>
      <c r="K934" s="87"/>
    </row>
    <row r="935" spans="2:11" x14ac:dyDescent="0.2">
      <c r="B935" s="81"/>
      <c r="C935" s="85"/>
      <c r="D935" s="85"/>
      <c r="E935" s="85"/>
      <c r="F935" s="85"/>
      <c r="G935" s="85"/>
      <c r="H935" s="85"/>
      <c r="I935" s="85"/>
      <c r="J935" s="85"/>
      <c r="K935" s="87"/>
    </row>
    <row r="936" spans="2:11" ht="16" x14ac:dyDescent="0.2">
      <c r="B936" s="81"/>
      <c r="C936" s="212" t="s">
        <v>812</v>
      </c>
      <c r="D936" s="85"/>
      <c r="E936" s="85"/>
      <c r="F936" s="85"/>
      <c r="G936" s="85"/>
      <c r="H936" s="85"/>
      <c r="I936" s="85"/>
      <c r="J936" s="241" t="str">
        <f>IF(OR(J920="Not Calculated",J924="Not Calculated",J928="Not Calculated",J932="Not Calculated",J904="Not Calculated",J908="Not Calculated",J912="Not Calculated",J916="Not Calculated",J921="Not Calculated",J925="Not Calculated",J929="Not Calculated",J933="Not Calculated",J905="Not Calculated",J909="Not Calculated",J913="Not Calculated",J917="Not Calculated")=TRUE,"Not Calculated",((J904*J905)+(J908*J909)+(J912*J913)+(J916*J917)+(J920*J921)+(J924*J925)+(J928*J929)+(J932*J933))/(J904+J908+J912+J916+J920+J924+J928+J932))</f>
        <v>Not Calculated</v>
      </c>
      <c r="K936" s="87"/>
    </row>
    <row r="937" spans="2:11" ht="16" thickBot="1" x14ac:dyDescent="0.25">
      <c r="B937" s="213"/>
      <c r="C937" s="94"/>
      <c r="D937" s="94"/>
      <c r="E937" s="94"/>
      <c r="F937" s="94"/>
      <c r="G937" s="94"/>
      <c r="H937" s="94"/>
      <c r="I937" s="94"/>
      <c r="J937" s="94"/>
      <c r="K937" s="96"/>
    </row>
    <row r="938" spans="2:11" ht="16" thickBot="1" x14ac:dyDescent="0.25"/>
    <row r="939" spans="2:11" x14ac:dyDescent="0.2">
      <c r="B939" s="77"/>
      <c r="C939" s="78"/>
      <c r="D939" s="78"/>
      <c r="E939" s="78"/>
      <c r="F939" s="78"/>
      <c r="G939" s="78"/>
      <c r="H939" s="78"/>
      <c r="I939" s="78"/>
      <c r="J939" s="78"/>
      <c r="K939" s="80"/>
    </row>
    <row r="940" spans="2:11" ht="21" x14ac:dyDescent="0.25">
      <c r="B940" s="81"/>
      <c r="C940" s="85"/>
      <c r="D940" s="85"/>
      <c r="E940" s="85"/>
      <c r="F940" s="85"/>
      <c r="G940" s="210" t="s">
        <v>815</v>
      </c>
      <c r="H940" s="85"/>
      <c r="I940" s="85"/>
      <c r="J940" s="85"/>
      <c r="K940" s="87"/>
    </row>
    <row r="941" spans="2:11" ht="21" x14ac:dyDescent="0.25">
      <c r="B941" s="81"/>
      <c r="C941" s="85"/>
      <c r="D941" s="85"/>
      <c r="E941" s="85"/>
      <c r="F941" s="85"/>
      <c r="G941" s="210"/>
      <c r="H941" s="85"/>
      <c r="I941" s="85"/>
      <c r="J941" s="85"/>
      <c r="K941" s="87"/>
    </row>
    <row r="942" spans="2:11" ht="16" x14ac:dyDescent="0.2">
      <c r="B942" s="81"/>
      <c r="C942" s="212" t="s">
        <v>995</v>
      </c>
      <c r="D942" s="85"/>
      <c r="E942" s="85"/>
      <c r="F942" s="85"/>
      <c r="G942" s="85"/>
      <c r="H942" s="85"/>
      <c r="I942" s="85"/>
      <c r="J942" s="241" t="str">
        <f>IF(OR(J936="Not Calculated",J894="Not Calculated")=TRUE,"Not Calculated",AVERAGE(J936,J894))</f>
        <v>Not Calculated</v>
      </c>
      <c r="K942" s="87"/>
    </row>
    <row r="943" spans="2:11" ht="16" x14ac:dyDescent="0.2">
      <c r="B943" s="81"/>
      <c r="C943" s="212"/>
      <c r="D943" s="85" t="s">
        <v>814</v>
      </c>
      <c r="E943" s="85"/>
      <c r="F943" s="85"/>
      <c r="G943" s="85"/>
      <c r="H943" s="85"/>
      <c r="I943" s="85"/>
      <c r="J943" s="241"/>
      <c r="K943" s="87"/>
    </row>
    <row r="944" spans="2:11" ht="17" thickBot="1" x14ac:dyDescent="0.25">
      <c r="B944" s="213"/>
      <c r="C944" s="227"/>
      <c r="D944" s="94"/>
      <c r="E944" s="94"/>
      <c r="F944" s="94"/>
      <c r="G944" s="94"/>
      <c r="H944" s="94"/>
      <c r="I944" s="94"/>
      <c r="J944" s="228"/>
      <c r="K944" s="96"/>
    </row>
    <row r="945" spans="2:11" ht="16" thickBot="1" x14ac:dyDescent="0.25"/>
    <row r="946" spans="2:11" x14ac:dyDescent="0.2">
      <c r="B946" s="214"/>
      <c r="C946" s="215"/>
      <c r="D946" s="215"/>
      <c r="E946" s="215"/>
      <c r="F946" s="215"/>
      <c r="G946" s="215"/>
      <c r="H946" s="215"/>
      <c r="I946" s="215"/>
      <c r="J946" s="215"/>
      <c r="K946" s="216"/>
    </row>
    <row r="947" spans="2:11" ht="21" x14ac:dyDescent="0.25">
      <c r="B947" s="217"/>
      <c r="C947" s="218"/>
      <c r="D947" s="218"/>
      <c r="E947" s="218"/>
      <c r="F947" s="218"/>
      <c r="G947" s="219" t="s">
        <v>239</v>
      </c>
      <c r="H947" s="218"/>
      <c r="I947" s="218"/>
      <c r="J947" s="218"/>
      <c r="K947" s="220"/>
    </row>
    <row r="948" spans="2:11" x14ac:dyDescent="0.2">
      <c r="B948" s="217"/>
      <c r="C948" s="218"/>
      <c r="D948" s="218"/>
      <c r="E948" s="218"/>
      <c r="F948" s="218"/>
      <c r="G948" s="218"/>
      <c r="H948" s="218"/>
      <c r="I948" s="218"/>
      <c r="J948" s="218"/>
      <c r="K948" s="220"/>
    </row>
    <row r="949" spans="2:11" ht="16" x14ac:dyDescent="0.2">
      <c r="B949" s="217"/>
      <c r="C949" s="221" t="s">
        <v>393</v>
      </c>
      <c r="D949" s="218"/>
      <c r="E949" s="218"/>
      <c r="F949" s="218"/>
      <c r="G949" s="218"/>
      <c r="H949" s="218"/>
      <c r="I949" s="218"/>
      <c r="J949" s="242" t="str">
        <f>IF(OR(J817="Not Calculated",J942="Not Calculated")=TRUE,"Not Calculated",J817/J942)</f>
        <v>Not Calculated</v>
      </c>
      <c r="K949" s="220"/>
    </row>
    <row r="950" spans="2:11" x14ac:dyDescent="0.2">
      <c r="B950" s="217"/>
      <c r="C950" s="218"/>
      <c r="D950" s="218" t="s">
        <v>816</v>
      </c>
      <c r="E950" s="218"/>
      <c r="F950" s="218"/>
      <c r="G950" s="218"/>
      <c r="H950" s="218"/>
      <c r="I950" s="218"/>
      <c r="J950" s="218"/>
      <c r="K950" s="220"/>
    </row>
    <row r="951" spans="2:11" x14ac:dyDescent="0.2">
      <c r="B951" s="217"/>
      <c r="C951" s="218"/>
      <c r="D951" s="218"/>
      <c r="E951" s="218"/>
      <c r="F951" s="218"/>
      <c r="G951" s="218"/>
      <c r="H951" s="218"/>
      <c r="I951" s="218"/>
      <c r="J951" s="218"/>
      <c r="K951" s="220"/>
    </row>
    <row r="952" spans="2:11" ht="16" x14ac:dyDescent="0.2">
      <c r="B952" s="217"/>
      <c r="C952" s="221" t="s">
        <v>996</v>
      </c>
      <c r="D952" s="218"/>
      <c r="E952" s="218"/>
      <c r="F952" s="218"/>
      <c r="G952" s="218"/>
      <c r="H952" s="218"/>
      <c r="I952" s="218"/>
      <c r="J952" s="242" t="str">
        <f>IF(OR(J820="Not Calculated",J894="Not Calculated")=TRUE,"Not Calculated",J820/J894)</f>
        <v>Not Calculated</v>
      </c>
      <c r="K952" s="220"/>
    </row>
    <row r="953" spans="2:11" x14ac:dyDescent="0.2">
      <c r="B953" s="217"/>
      <c r="C953" s="218"/>
      <c r="D953" s="218" t="s">
        <v>817</v>
      </c>
      <c r="E953" s="218"/>
      <c r="F953" s="218"/>
      <c r="G953" s="218"/>
      <c r="H953" s="218"/>
      <c r="I953" s="218"/>
      <c r="J953" s="218"/>
      <c r="K953" s="220"/>
    </row>
    <row r="954" spans="2:11" x14ac:dyDescent="0.2">
      <c r="B954" s="217"/>
      <c r="C954" s="218"/>
      <c r="D954" s="218"/>
      <c r="E954" s="218"/>
      <c r="F954" s="218"/>
      <c r="G954" s="218"/>
      <c r="H954" s="218"/>
      <c r="I954" s="218"/>
      <c r="J954" s="218"/>
      <c r="K954" s="220"/>
    </row>
    <row r="955" spans="2:11" ht="16" x14ac:dyDescent="0.2">
      <c r="B955" s="217"/>
      <c r="C955" s="221" t="s">
        <v>997</v>
      </c>
      <c r="D955" s="218"/>
      <c r="E955" s="218"/>
      <c r="F955" s="218"/>
      <c r="G955" s="218"/>
      <c r="H955" s="218"/>
      <c r="I955" s="218"/>
      <c r="J955" s="242" t="str">
        <f>IF(OR(J936="Not Calculated",J823="Not Calculated")=TRUE,"Not Calculated",J823/J936)</f>
        <v>Not Calculated</v>
      </c>
      <c r="K955" s="220"/>
    </row>
    <row r="956" spans="2:11" x14ac:dyDescent="0.2">
      <c r="B956" s="217"/>
      <c r="C956" s="218"/>
      <c r="D956" s="218" t="s">
        <v>818</v>
      </c>
      <c r="E956" s="218"/>
      <c r="F956" s="218"/>
      <c r="G956" s="218"/>
      <c r="H956" s="218"/>
      <c r="I956" s="218"/>
      <c r="J956" s="218"/>
      <c r="K956" s="220"/>
    </row>
    <row r="957" spans="2:11" ht="16" thickBot="1" x14ac:dyDescent="0.25">
      <c r="B957" s="222"/>
      <c r="C957" s="223"/>
      <c r="D957" s="223"/>
      <c r="E957" s="223"/>
      <c r="F957" s="223"/>
      <c r="G957" s="223"/>
      <c r="H957" s="223"/>
      <c r="I957" s="223"/>
      <c r="J957" s="223"/>
      <c r="K957" s="224"/>
    </row>
    <row r="959" spans="2:11" ht="15" customHeight="1" x14ac:dyDescent="0.2">
      <c r="F959" s="405"/>
      <c r="G959" s="405"/>
      <c r="H959" s="405"/>
    </row>
    <row r="960" spans="2:11" x14ac:dyDescent="0.2">
      <c r="F960" s="405"/>
      <c r="G960" s="405"/>
      <c r="H960" s="405"/>
    </row>
    <row r="965" spans="1:3" ht="15" hidden="1" customHeight="1" x14ac:dyDescent="0.2">
      <c r="A965" s="12" t="s">
        <v>228</v>
      </c>
    </row>
    <row r="966" spans="1:3" ht="15" hidden="1" customHeight="1" x14ac:dyDescent="0.2">
      <c r="A966" s="12">
        <v>0</v>
      </c>
      <c r="B966" s="12" t="s">
        <v>250</v>
      </c>
      <c r="C966" s="12" t="s">
        <v>240</v>
      </c>
    </row>
    <row r="967" spans="1:3" ht="15" hidden="1" customHeight="1" x14ac:dyDescent="0.2">
      <c r="A967" s="12">
        <v>1</v>
      </c>
      <c r="B967" s="12" t="s">
        <v>251</v>
      </c>
      <c r="C967" s="12" t="s">
        <v>241</v>
      </c>
    </row>
    <row r="968" spans="1:3" ht="15" hidden="1" customHeight="1" x14ac:dyDescent="0.2">
      <c r="A968" s="12">
        <v>2</v>
      </c>
      <c r="B968" s="12" t="s">
        <v>252</v>
      </c>
      <c r="C968" s="12" t="s">
        <v>242</v>
      </c>
    </row>
    <row r="969" spans="1:3" ht="15" hidden="1" customHeight="1" x14ac:dyDescent="0.2">
      <c r="A969" s="12">
        <v>3</v>
      </c>
      <c r="B969" s="12" t="s">
        <v>253</v>
      </c>
      <c r="C969" s="12" t="s">
        <v>227</v>
      </c>
    </row>
    <row r="970" spans="1:3" ht="15" hidden="1" customHeight="1" x14ac:dyDescent="0.2">
      <c r="A970" s="12">
        <v>4</v>
      </c>
      <c r="B970" s="12" t="s">
        <v>254</v>
      </c>
      <c r="C970" s="12" t="s">
        <v>243</v>
      </c>
    </row>
    <row r="971" spans="1:3" ht="15" hidden="1" customHeight="1" x14ac:dyDescent="0.2"/>
    <row r="972" spans="1:3" ht="15" hidden="1" customHeight="1" x14ac:dyDescent="0.2">
      <c r="A972" s="12" t="s">
        <v>259</v>
      </c>
    </row>
    <row r="973" spans="1:3" ht="15" hidden="1" customHeight="1" x14ac:dyDescent="0.2">
      <c r="A973" s="12">
        <v>0</v>
      </c>
      <c r="B973" s="225" t="s">
        <v>870</v>
      </c>
    </row>
    <row r="974" spans="1:3" ht="15" hidden="1" customHeight="1" x14ac:dyDescent="0.2">
      <c r="A974" s="12">
        <v>1</v>
      </c>
      <c r="B974" s="12" t="s">
        <v>880</v>
      </c>
    </row>
    <row r="975" spans="1:3" ht="15" hidden="1" customHeight="1" x14ac:dyDescent="0.2">
      <c r="A975" s="12">
        <v>2</v>
      </c>
      <c r="B975" s="12" t="s">
        <v>872</v>
      </c>
    </row>
    <row r="976" spans="1:3" ht="15" hidden="1" customHeight="1" x14ac:dyDescent="0.2">
      <c r="A976" s="12">
        <v>3</v>
      </c>
      <c r="B976" s="12" t="s">
        <v>873</v>
      </c>
    </row>
    <row r="977" spans="1:2" ht="15" hidden="1" customHeight="1" x14ac:dyDescent="0.2">
      <c r="A977" s="12">
        <v>4</v>
      </c>
      <c r="B977" s="12" t="s">
        <v>874</v>
      </c>
    </row>
    <row r="978" spans="1:2" ht="15" hidden="1" customHeight="1" x14ac:dyDescent="0.2"/>
    <row r="979" spans="1:2" ht="15" hidden="1" customHeight="1" x14ac:dyDescent="0.2">
      <c r="A979" s="12" t="s">
        <v>294</v>
      </c>
    </row>
    <row r="980" spans="1:2" ht="15" hidden="1" customHeight="1" x14ac:dyDescent="0.2">
      <c r="A980" s="12">
        <v>0</v>
      </c>
      <c r="B980" s="225" t="s">
        <v>870</v>
      </c>
    </row>
    <row r="981" spans="1:2" ht="15" hidden="1" customHeight="1" x14ac:dyDescent="0.2">
      <c r="A981" s="12">
        <v>1</v>
      </c>
      <c r="B981" s="12" t="s">
        <v>875</v>
      </c>
    </row>
    <row r="982" spans="1:2" ht="15" hidden="1" customHeight="1" x14ac:dyDescent="0.2">
      <c r="A982" s="12">
        <v>2</v>
      </c>
      <c r="B982" s="12" t="s">
        <v>876</v>
      </c>
    </row>
    <row r="983" spans="1:2" ht="15" hidden="1" customHeight="1" x14ac:dyDescent="0.2">
      <c r="A983" s="12">
        <v>3</v>
      </c>
      <c r="B983" s="12" t="s">
        <v>877</v>
      </c>
    </row>
    <row r="984" spans="1:2" ht="15" hidden="1" customHeight="1" x14ac:dyDescent="0.2">
      <c r="A984" s="12">
        <v>4</v>
      </c>
      <c r="B984" s="12" t="s">
        <v>878</v>
      </c>
    </row>
    <row r="985" spans="1:2" ht="15" hidden="1" customHeight="1" x14ac:dyDescent="0.2"/>
    <row r="986" spans="1:2" ht="15" hidden="1" customHeight="1" x14ac:dyDescent="0.2">
      <c r="A986" s="12" t="s">
        <v>244</v>
      </c>
    </row>
    <row r="987" spans="1:2" ht="15" hidden="1" customHeight="1" x14ac:dyDescent="0.2">
      <c r="A987" s="12">
        <v>0</v>
      </c>
      <c r="B987" s="12" t="s">
        <v>245</v>
      </c>
    </row>
    <row r="988" spans="1:2" ht="15" hidden="1" customHeight="1" x14ac:dyDescent="0.2">
      <c r="A988" s="12">
        <v>1</v>
      </c>
      <c r="B988" s="12" t="s">
        <v>246</v>
      </c>
    </row>
    <row r="989" spans="1:2" ht="15" hidden="1" customHeight="1" x14ac:dyDescent="0.2">
      <c r="A989" s="12">
        <v>2</v>
      </c>
      <c r="B989" s="12" t="s">
        <v>247</v>
      </c>
    </row>
    <row r="990" spans="1:2" ht="15" hidden="1" customHeight="1" x14ac:dyDescent="0.2">
      <c r="A990" s="12">
        <v>3</v>
      </c>
      <c r="B990" s="12" t="s">
        <v>229</v>
      </c>
    </row>
    <row r="991" spans="1:2" ht="15" hidden="1" customHeight="1" x14ac:dyDescent="0.2">
      <c r="A991" s="12">
        <v>4</v>
      </c>
      <c r="B991" s="12" t="s">
        <v>248</v>
      </c>
    </row>
    <row r="992" spans="1:2" ht="15" hidden="1" customHeight="1" x14ac:dyDescent="0.2"/>
    <row r="993" spans="1:11" ht="15" hidden="1" customHeight="1" x14ac:dyDescent="0.2">
      <c r="A993" s="12" t="s">
        <v>381</v>
      </c>
    </row>
    <row r="994" spans="1:11" ht="15" hidden="1" customHeight="1" x14ac:dyDescent="0.2">
      <c r="A994" s="12">
        <v>0</v>
      </c>
      <c r="B994" s="12" t="s">
        <v>202</v>
      </c>
    </row>
    <row r="995" spans="1:11" ht="15" hidden="1" customHeight="1" x14ac:dyDescent="0.2">
      <c r="A995" s="12">
        <v>1</v>
      </c>
      <c r="B995" s="12" t="s">
        <v>190</v>
      </c>
    </row>
    <row r="996" spans="1:11" ht="15" hidden="1" customHeight="1" x14ac:dyDescent="0.2"/>
    <row r="997" spans="1:11" ht="15" hidden="1" customHeight="1" x14ac:dyDescent="0.2">
      <c r="A997" s="12" t="s">
        <v>249</v>
      </c>
    </row>
    <row r="998" spans="1:11" ht="15" hidden="1" customHeight="1" x14ac:dyDescent="0.2">
      <c r="A998" s="12">
        <v>0</v>
      </c>
      <c r="B998" s="12" t="s">
        <v>236</v>
      </c>
    </row>
    <row r="999" spans="1:11" ht="15" hidden="1" customHeight="1" x14ac:dyDescent="0.2">
      <c r="A999" s="12">
        <v>1</v>
      </c>
      <c r="B999" s="12" t="s">
        <v>237</v>
      </c>
    </row>
    <row r="1000" spans="1:11" ht="15" hidden="1" customHeight="1" x14ac:dyDescent="0.2">
      <c r="A1000" s="12">
        <v>2</v>
      </c>
      <c r="B1000" s="12" t="s">
        <v>235</v>
      </c>
    </row>
    <row r="1001" spans="1:11" ht="15" hidden="1" customHeight="1" x14ac:dyDescent="0.2">
      <c r="A1001" s="12">
        <v>3</v>
      </c>
      <c r="B1001" s="12" t="s">
        <v>238</v>
      </c>
    </row>
    <row r="1002" spans="1:11" ht="15" hidden="1" customHeight="1" x14ac:dyDescent="0.2">
      <c r="A1002" s="12">
        <v>4</v>
      </c>
      <c r="B1002" s="12" t="s">
        <v>234</v>
      </c>
    </row>
    <row r="1003" spans="1:11" ht="15" customHeight="1" x14ac:dyDescent="0.2">
      <c r="B1003" s="12" t="s">
        <v>685</v>
      </c>
    </row>
    <row r="1004" spans="1:11" ht="15" customHeight="1" x14ac:dyDescent="0.2">
      <c r="B1004" s="402"/>
      <c r="C1004" s="403"/>
      <c r="D1004" s="403"/>
      <c r="E1004" s="403"/>
      <c r="F1004" s="403"/>
      <c r="G1004" s="403"/>
      <c r="H1004" s="403"/>
      <c r="I1004" s="403"/>
      <c r="J1004" s="403"/>
      <c r="K1004" s="404"/>
    </row>
    <row r="1005" spans="1:11" ht="15" customHeight="1" x14ac:dyDescent="0.2">
      <c r="B1005" s="396"/>
      <c r="C1005" s="397"/>
      <c r="D1005" s="397"/>
      <c r="E1005" s="397"/>
      <c r="F1005" s="397"/>
      <c r="G1005" s="397"/>
      <c r="H1005" s="397"/>
      <c r="I1005" s="397"/>
      <c r="J1005" s="397"/>
      <c r="K1005" s="398"/>
    </row>
    <row r="1006" spans="1:11" ht="15" customHeight="1" x14ac:dyDescent="0.2">
      <c r="B1006" s="396"/>
      <c r="C1006" s="397"/>
      <c r="D1006" s="397"/>
      <c r="E1006" s="397"/>
      <c r="F1006" s="397"/>
      <c r="G1006" s="397"/>
      <c r="H1006" s="397"/>
      <c r="I1006" s="397"/>
      <c r="J1006" s="397"/>
      <c r="K1006" s="398"/>
    </row>
    <row r="1007" spans="1:11" ht="15" customHeight="1" x14ac:dyDescent="0.2">
      <c r="B1007" s="396"/>
      <c r="C1007" s="397"/>
      <c r="D1007" s="397"/>
      <c r="E1007" s="397"/>
      <c r="F1007" s="397"/>
      <c r="G1007" s="397"/>
      <c r="H1007" s="397"/>
      <c r="I1007" s="397"/>
      <c r="J1007" s="397"/>
      <c r="K1007" s="398"/>
    </row>
    <row r="1008" spans="1:11" ht="15" customHeight="1" x14ac:dyDescent="0.2">
      <c r="B1008" s="396"/>
      <c r="C1008" s="397"/>
      <c r="D1008" s="397"/>
      <c r="E1008" s="397"/>
      <c r="F1008" s="397"/>
      <c r="G1008" s="397"/>
      <c r="H1008" s="397"/>
      <c r="I1008" s="397"/>
      <c r="J1008" s="397"/>
      <c r="K1008" s="398"/>
    </row>
    <row r="1009" spans="2:11" ht="15" customHeight="1" x14ac:dyDescent="0.2">
      <c r="B1009" s="396"/>
      <c r="C1009" s="397"/>
      <c r="D1009" s="397"/>
      <c r="E1009" s="397"/>
      <c r="F1009" s="397"/>
      <c r="G1009" s="397"/>
      <c r="H1009" s="397"/>
      <c r="I1009" s="397"/>
      <c r="J1009" s="397"/>
      <c r="K1009" s="398"/>
    </row>
    <row r="1010" spans="2:11" x14ac:dyDescent="0.2">
      <c r="B1010" s="396"/>
      <c r="C1010" s="397"/>
      <c r="D1010" s="397"/>
      <c r="E1010" s="397"/>
      <c r="F1010" s="397"/>
      <c r="G1010" s="397"/>
      <c r="H1010" s="397"/>
      <c r="I1010" s="397"/>
      <c r="J1010" s="397"/>
      <c r="K1010" s="398"/>
    </row>
    <row r="1011" spans="2:11" ht="15" customHeight="1" x14ac:dyDescent="0.2">
      <c r="B1011" s="396"/>
      <c r="C1011" s="397"/>
      <c r="D1011" s="397"/>
      <c r="E1011" s="397"/>
      <c r="F1011" s="397"/>
      <c r="G1011" s="397"/>
      <c r="H1011" s="397"/>
      <c r="I1011" s="397"/>
      <c r="J1011" s="397"/>
      <c r="K1011" s="398"/>
    </row>
    <row r="1012" spans="2:11" ht="30" customHeight="1" x14ac:dyDescent="0.2">
      <c r="B1012" s="396"/>
      <c r="C1012" s="397"/>
      <c r="D1012" s="397"/>
      <c r="E1012" s="397"/>
      <c r="F1012" s="397"/>
      <c r="G1012" s="397"/>
      <c r="H1012" s="397"/>
      <c r="I1012" s="397"/>
      <c r="J1012" s="397"/>
      <c r="K1012" s="398"/>
    </row>
    <row r="1013" spans="2:11" ht="15" customHeight="1" x14ac:dyDescent="0.2">
      <c r="B1013" s="396"/>
      <c r="C1013" s="397"/>
      <c r="D1013" s="397"/>
      <c r="E1013" s="397"/>
      <c r="F1013" s="397"/>
      <c r="G1013" s="397"/>
      <c r="H1013" s="397"/>
      <c r="I1013" s="397"/>
      <c r="J1013" s="397"/>
      <c r="K1013" s="398"/>
    </row>
    <row r="1014" spans="2:11" ht="15" customHeight="1" x14ac:dyDescent="0.2">
      <c r="B1014" s="396"/>
      <c r="C1014" s="397"/>
      <c r="D1014" s="397"/>
      <c r="E1014" s="397"/>
      <c r="F1014" s="397"/>
      <c r="G1014" s="397"/>
      <c r="H1014" s="397"/>
      <c r="I1014" s="397"/>
      <c r="J1014" s="397"/>
      <c r="K1014" s="398"/>
    </row>
    <row r="1015" spans="2:11" ht="15" customHeight="1" x14ac:dyDescent="0.2">
      <c r="B1015" s="396"/>
      <c r="C1015" s="397"/>
      <c r="D1015" s="397"/>
      <c r="E1015" s="397"/>
      <c r="F1015" s="397"/>
      <c r="G1015" s="397"/>
      <c r="H1015" s="397"/>
      <c r="I1015" s="397"/>
      <c r="J1015" s="397"/>
      <c r="K1015" s="398"/>
    </row>
    <row r="1016" spans="2:11" x14ac:dyDescent="0.2">
      <c r="B1016" s="396"/>
      <c r="C1016" s="397"/>
      <c r="D1016" s="397"/>
      <c r="E1016" s="397"/>
      <c r="F1016" s="397"/>
      <c r="G1016" s="397"/>
      <c r="H1016" s="397"/>
      <c r="I1016" s="397"/>
      <c r="J1016" s="397"/>
      <c r="K1016" s="398"/>
    </row>
    <row r="1017" spans="2:11" ht="15" customHeight="1" x14ac:dyDescent="0.2">
      <c r="B1017" s="396"/>
      <c r="C1017" s="397"/>
      <c r="D1017" s="397"/>
      <c r="E1017" s="397"/>
      <c r="F1017" s="397"/>
      <c r="G1017" s="397"/>
      <c r="H1017" s="397"/>
      <c r="I1017" s="397"/>
      <c r="J1017" s="397"/>
      <c r="K1017" s="398"/>
    </row>
    <row r="1018" spans="2:11" ht="15" customHeight="1" x14ac:dyDescent="0.2">
      <c r="B1018" s="396"/>
      <c r="C1018" s="397"/>
      <c r="D1018" s="397"/>
      <c r="E1018" s="397"/>
      <c r="F1018" s="397"/>
      <c r="G1018" s="397"/>
      <c r="H1018" s="397"/>
      <c r="I1018" s="397"/>
      <c r="J1018" s="397"/>
      <c r="K1018" s="398"/>
    </row>
    <row r="1019" spans="2:11" ht="15" customHeight="1" x14ac:dyDescent="0.2">
      <c r="B1019" s="396"/>
      <c r="C1019" s="397"/>
      <c r="D1019" s="397"/>
      <c r="E1019" s="397"/>
      <c r="F1019" s="397"/>
      <c r="G1019" s="397"/>
      <c r="H1019" s="397"/>
      <c r="I1019" s="397"/>
      <c r="J1019" s="397"/>
      <c r="K1019" s="398"/>
    </row>
    <row r="1020" spans="2:11" ht="15" customHeight="1" x14ac:dyDescent="0.2">
      <c r="B1020" s="396"/>
      <c r="C1020" s="397"/>
      <c r="D1020" s="397"/>
      <c r="E1020" s="397"/>
      <c r="F1020" s="397"/>
      <c r="G1020" s="397"/>
      <c r="H1020" s="397"/>
      <c r="I1020" s="397"/>
      <c r="J1020" s="397"/>
      <c r="K1020" s="398"/>
    </row>
    <row r="1021" spans="2:11" ht="15" customHeight="1" x14ac:dyDescent="0.2">
      <c r="B1021" s="396"/>
      <c r="C1021" s="397"/>
      <c r="D1021" s="397"/>
      <c r="E1021" s="397"/>
      <c r="F1021" s="397"/>
      <c r="G1021" s="397"/>
      <c r="H1021" s="397"/>
      <c r="I1021" s="397"/>
      <c r="J1021" s="397"/>
      <c r="K1021" s="398"/>
    </row>
    <row r="1022" spans="2:11" ht="15" customHeight="1" x14ac:dyDescent="0.2">
      <c r="B1022" s="396"/>
      <c r="C1022" s="397"/>
      <c r="D1022" s="397"/>
      <c r="E1022" s="397"/>
      <c r="F1022" s="397"/>
      <c r="G1022" s="397"/>
      <c r="H1022" s="397"/>
      <c r="I1022" s="397"/>
      <c r="J1022" s="397"/>
      <c r="K1022" s="398"/>
    </row>
    <row r="1023" spans="2:11" ht="15" customHeight="1" x14ac:dyDescent="0.2">
      <c r="B1023" s="396"/>
      <c r="C1023" s="397"/>
      <c r="D1023" s="397"/>
      <c r="E1023" s="397"/>
      <c r="F1023" s="397"/>
      <c r="G1023" s="397"/>
      <c r="H1023" s="397"/>
      <c r="I1023" s="397"/>
      <c r="J1023" s="397"/>
      <c r="K1023" s="398"/>
    </row>
    <row r="1024" spans="2:11" ht="15" customHeight="1" x14ac:dyDescent="0.2">
      <c r="B1024" s="396"/>
      <c r="C1024" s="397"/>
      <c r="D1024" s="397"/>
      <c r="E1024" s="397"/>
      <c r="F1024" s="397"/>
      <c r="G1024" s="397"/>
      <c r="H1024" s="397"/>
      <c r="I1024" s="397"/>
      <c r="J1024" s="397"/>
      <c r="K1024" s="398"/>
    </row>
    <row r="1025" spans="2:11" ht="15" customHeight="1" x14ac:dyDescent="0.2">
      <c r="B1025" s="396"/>
      <c r="C1025" s="397"/>
      <c r="D1025" s="397"/>
      <c r="E1025" s="397"/>
      <c r="F1025" s="397"/>
      <c r="G1025" s="397"/>
      <c r="H1025" s="397"/>
      <c r="I1025" s="397"/>
      <c r="J1025" s="397"/>
      <c r="K1025" s="398"/>
    </row>
    <row r="1026" spans="2:11" ht="15" customHeight="1" x14ac:dyDescent="0.2">
      <c r="B1026" s="396"/>
      <c r="C1026" s="397"/>
      <c r="D1026" s="397"/>
      <c r="E1026" s="397"/>
      <c r="F1026" s="397"/>
      <c r="G1026" s="397"/>
      <c r="H1026" s="397"/>
      <c r="I1026" s="397"/>
      <c r="J1026" s="397"/>
      <c r="K1026" s="398"/>
    </row>
    <row r="1027" spans="2:11" ht="15" customHeight="1" x14ac:dyDescent="0.2">
      <c r="B1027" s="396"/>
      <c r="C1027" s="397"/>
      <c r="D1027" s="397"/>
      <c r="E1027" s="397"/>
      <c r="F1027" s="397"/>
      <c r="G1027" s="397"/>
      <c r="H1027" s="397"/>
      <c r="I1027" s="397"/>
      <c r="J1027" s="397"/>
      <c r="K1027" s="398"/>
    </row>
    <row r="1028" spans="2:11" ht="15" customHeight="1" x14ac:dyDescent="0.2">
      <c r="B1028" s="396"/>
      <c r="C1028" s="397"/>
      <c r="D1028" s="397"/>
      <c r="E1028" s="397"/>
      <c r="F1028" s="397"/>
      <c r="G1028" s="397"/>
      <c r="H1028" s="397"/>
      <c r="I1028" s="397"/>
      <c r="J1028" s="397"/>
      <c r="K1028" s="398"/>
    </row>
    <row r="1029" spans="2:11" ht="15" customHeight="1" x14ac:dyDescent="0.2">
      <c r="B1029" s="393"/>
      <c r="C1029" s="394"/>
      <c r="D1029" s="394"/>
      <c r="E1029" s="394"/>
      <c r="F1029" s="394"/>
      <c r="G1029" s="394"/>
      <c r="H1029" s="394"/>
      <c r="I1029" s="394"/>
      <c r="J1029" s="394"/>
      <c r="K1029" s="395"/>
    </row>
  </sheetData>
  <sheetProtection password="C7B0" sheet="1" objects="1" scenarios="1" formatCells="0" formatColumns="0" formatRows="0" selectLockedCells="1"/>
  <mergeCells count="152">
    <mergeCell ref="B1027:K1027"/>
    <mergeCell ref="B1028:K1028"/>
    <mergeCell ref="B1029:K1029"/>
    <mergeCell ref="B1021:K1021"/>
    <mergeCell ref="B1022:K1022"/>
    <mergeCell ref="B1023:K1023"/>
    <mergeCell ref="B1024:K1024"/>
    <mergeCell ref="B1025:K1025"/>
    <mergeCell ref="B1026:K1026"/>
    <mergeCell ref="B1015:K1015"/>
    <mergeCell ref="B1016:K1016"/>
    <mergeCell ref="B1017:K1017"/>
    <mergeCell ref="B1018:K1018"/>
    <mergeCell ref="B1019:K1019"/>
    <mergeCell ref="B1020:K1020"/>
    <mergeCell ref="B1009:K1009"/>
    <mergeCell ref="B1010:K1010"/>
    <mergeCell ref="B1011:K1011"/>
    <mergeCell ref="B1012:K1012"/>
    <mergeCell ref="B1013:K1013"/>
    <mergeCell ref="B1014:K1014"/>
    <mergeCell ref="F959:H960"/>
    <mergeCell ref="B1004:K1004"/>
    <mergeCell ref="B1005:K1005"/>
    <mergeCell ref="B1006:K1006"/>
    <mergeCell ref="B1007:K1007"/>
    <mergeCell ref="B1008:K1008"/>
    <mergeCell ref="G912:H912"/>
    <mergeCell ref="G916:H916"/>
    <mergeCell ref="G920:H920"/>
    <mergeCell ref="G924:H924"/>
    <mergeCell ref="G928:H928"/>
    <mergeCell ref="G932:H932"/>
    <mergeCell ref="G882:H882"/>
    <mergeCell ref="G886:H886"/>
    <mergeCell ref="G890:H890"/>
    <mergeCell ref="C900:J901"/>
    <mergeCell ref="G904:H904"/>
    <mergeCell ref="G908:H908"/>
    <mergeCell ref="G858:H858"/>
    <mergeCell ref="G862:H862"/>
    <mergeCell ref="G866:H866"/>
    <mergeCell ref="G870:H870"/>
    <mergeCell ref="G874:H874"/>
    <mergeCell ref="G878:H878"/>
    <mergeCell ref="G834:H834"/>
    <mergeCell ref="G838:H838"/>
    <mergeCell ref="G842:H842"/>
    <mergeCell ref="G846:H846"/>
    <mergeCell ref="G850:H850"/>
    <mergeCell ref="G854:H854"/>
    <mergeCell ref="G766:H766"/>
    <mergeCell ref="G767:H767"/>
    <mergeCell ref="G768:H768"/>
    <mergeCell ref="G769:H769"/>
    <mergeCell ref="G770:H770"/>
    <mergeCell ref="C830:J831"/>
    <mergeCell ref="G755:H755"/>
    <mergeCell ref="C759:J761"/>
    <mergeCell ref="G762:H762"/>
    <mergeCell ref="G763:H763"/>
    <mergeCell ref="G764:H764"/>
    <mergeCell ref="G765:H765"/>
    <mergeCell ref="G749:H749"/>
    <mergeCell ref="G750:H750"/>
    <mergeCell ref="G751:H751"/>
    <mergeCell ref="G752:H752"/>
    <mergeCell ref="G753:H753"/>
    <mergeCell ref="G754:H754"/>
    <mergeCell ref="G738:H738"/>
    <mergeCell ref="G739:H739"/>
    <mergeCell ref="G740:H740"/>
    <mergeCell ref="C744:J746"/>
    <mergeCell ref="G747:H747"/>
    <mergeCell ref="G748:H748"/>
    <mergeCell ref="G732:H732"/>
    <mergeCell ref="G733:H733"/>
    <mergeCell ref="G734:H734"/>
    <mergeCell ref="G735:H735"/>
    <mergeCell ref="G736:H736"/>
    <mergeCell ref="G737:H737"/>
    <mergeCell ref="G721:H721"/>
    <mergeCell ref="G722:H722"/>
    <mergeCell ref="G723:H723"/>
    <mergeCell ref="G724:H724"/>
    <mergeCell ref="G725:H725"/>
    <mergeCell ref="C729:J731"/>
    <mergeCell ref="C677:J677"/>
    <mergeCell ref="C714:J716"/>
    <mergeCell ref="G717:H717"/>
    <mergeCell ref="G718:H718"/>
    <mergeCell ref="G719:H719"/>
    <mergeCell ref="G720:H720"/>
    <mergeCell ref="C620:I621"/>
    <mergeCell ref="C633:J633"/>
    <mergeCell ref="C639:I640"/>
    <mergeCell ref="C641:I643"/>
    <mergeCell ref="C655:J655"/>
    <mergeCell ref="D664:I665"/>
    <mergeCell ref="C560:J560"/>
    <mergeCell ref="C566:I568"/>
    <mergeCell ref="C569:I571"/>
    <mergeCell ref="C583:J583"/>
    <mergeCell ref="C599:J599"/>
    <mergeCell ref="C613:J613"/>
    <mergeCell ref="C477:I478"/>
    <mergeCell ref="C486:J486"/>
    <mergeCell ref="C502:J502"/>
    <mergeCell ref="C518:J518"/>
    <mergeCell ref="C524:I525"/>
    <mergeCell ref="C535:J535"/>
    <mergeCell ref="C416:J416"/>
    <mergeCell ref="C420:I421"/>
    <mergeCell ref="C438:J438"/>
    <mergeCell ref="C444:I445"/>
    <mergeCell ref="C455:J455"/>
    <mergeCell ref="C471:J471"/>
    <mergeCell ref="C347:J347"/>
    <mergeCell ref="C365:J365"/>
    <mergeCell ref="C371:I372"/>
    <mergeCell ref="C385:J385"/>
    <mergeCell ref="C391:I392"/>
    <mergeCell ref="C402:J402"/>
    <mergeCell ref="C305:J305"/>
    <mergeCell ref="C311:I312"/>
    <mergeCell ref="C324:J324"/>
    <mergeCell ref="C330:I331"/>
    <mergeCell ref="C340:I341"/>
    <mergeCell ref="D343:I344"/>
    <mergeCell ref="C196:J196"/>
    <mergeCell ref="C216:J216"/>
    <mergeCell ref="C237:J237"/>
    <mergeCell ref="C257:J257"/>
    <mergeCell ref="C286:J286"/>
    <mergeCell ref="C292:I293"/>
    <mergeCell ref="C114:J114"/>
    <mergeCell ref="C120:J122"/>
    <mergeCell ref="C123:J124"/>
    <mergeCell ref="C129:J129"/>
    <mergeCell ref="C155:J155"/>
    <mergeCell ref="C176:J176"/>
    <mergeCell ref="B10:K10"/>
    <mergeCell ref="E15:J15"/>
    <mergeCell ref="C38:J38"/>
    <mergeCell ref="C57:J57"/>
    <mergeCell ref="C76:J76"/>
    <mergeCell ref="C95:J95"/>
    <mergeCell ref="G3:I3"/>
    <mergeCell ref="B6:K6"/>
    <mergeCell ref="B7:K7"/>
    <mergeCell ref="B8:K8"/>
    <mergeCell ref="B9:K9"/>
  </mergeCells>
  <dataValidations count="23">
    <dataValidation type="list" allowBlank="1" showInputMessage="1" showErrorMessage="1" sqref="E15:J15" xr:uid="{00000000-0002-0000-2000-000000000000}">
      <formula1>$C$966:$C$970</formula1>
    </dataValidation>
    <dataValidation type="list" allowBlank="1" showInputMessage="1" showErrorMessage="1" sqref="G834:H834 G890:H890 G886:H886 G882:H882 G878:H878 G874:H874 G870:H870 G866:H866 G862:H862 G858:H858 G854:H854 G850:H850 G846:H846 G842:H842 G838:H838 G904:H904 G932:H932 G928:H928 G924:H924 G920:H920 G916:H916 G912:H912 G908:H908" xr:uid="{00000000-0002-0000-2000-000001000000}">
      <formula1>$B$998:$B$1002</formula1>
    </dataValidation>
    <dataValidation type="list" allowBlank="1" showInputMessage="1" showErrorMessage="1" sqref="G717:H725 G762:H770 G732:H740 G747:H755" xr:uid="{00000000-0002-0000-2000-000002000000}">
      <formula1>$B$994:$B$995</formula1>
    </dataValidation>
    <dataValidation type="list" allowBlank="1" showInputMessage="1" showErrorMessage="1" sqref="J302 J362" xr:uid="{00000000-0002-0000-2000-000003000000}">
      <formula1>$B$980:$B$984</formula1>
    </dataValidation>
    <dataValidation type="list" allowBlank="1" showInputMessage="1" showErrorMessage="1" sqref="C123:J124" xr:uid="{00000000-0002-0000-2000-000004000000}">
      <formula1>$B$987:$B$991</formula1>
    </dataValidation>
    <dataValidation type="list" allowBlank="1" showInputMessage="1" showErrorMessage="1" sqref="J35 J213 J283 J652 J234 J54 J193 J173 J152 J126 J111 J92 J73 J254 J435 J452 J468 J499 J515 J532 J557 J580 J596 J674 J630" xr:uid="{00000000-0002-0000-2000-000005000000}">
      <formula1>$B$973:$B$977</formula1>
    </dataValidation>
    <dataValidation type="list" allowBlank="1" showInputMessage="1" showErrorMessage="1" sqref="J33" xr:uid="{00000000-0002-0000-2000-000006000000}">
      <formula1>$N$32:$N$37</formula1>
    </dataValidation>
    <dataValidation type="list" allowBlank="1" showInputMessage="1" showErrorMessage="1" sqref="J52" xr:uid="{00000000-0002-0000-2000-000007000000}">
      <formula1>$N$51:$N$56</formula1>
    </dataValidation>
    <dataValidation type="list" allowBlank="1" showInputMessage="1" showErrorMessage="1" sqref="J71" xr:uid="{00000000-0002-0000-2000-000008000000}">
      <formula1>$N$70:$N$75</formula1>
    </dataValidation>
    <dataValidation type="list" allowBlank="1" showInputMessage="1" showErrorMessage="1" sqref="J90" xr:uid="{00000000-0002-0000-2000-000009000000}">
      <formula1>$N$89:$N$94</formula1>
    </dataValidation>
    <dataValidation type="list" allowBlank="1" showInputMessage="1" showErrorMessage="1" sqref="J109" xr:uid="{00000000-0002-0000-2000-00000A000000}">
      <formula1>$N$108:$N$113</formula1>
    </dataValidation>
    <dataValidation type="list" allowBlank="1" showInputMessage="1" showErrorMessage="1" sqref="J150" xr:uid="{00000000-0002-0000-2000-00000B000000}">
      <formula1>$N$149:$N$154</formula1>
    </dataValidation>
    <dataValidation type="list" allowBlank="1" showInputMessage="1" showErrorMessage="1" sqref="J171" xr:uid="{00000000-0002-0000-2000-00000C000000}">
      <formula1>$N$170:$N$175</formula1>
    </dataValidation>
    <dataValidation type="list" allowBlank="1" showInputMessage="1" showErrorMessage="1" sqref="J191" xr:uid="{00000000-0002-0000-2000-00000D000000}">
      <formula1>$N$190:$N$195</formula1>
    </dataValidation>
    <dataValidation type="list" allowBlank="1" showInputMessage="1" showErrorMessage="1" sqref="J211" xr:uid="{00000000-0002-0000-2000-00000E000000}">
      <formula1>$N$210:$N$215</formula1>
    </dataValidation>
    <dataValidation type="list" allowBlank="1" showInputMessage="1" showErrorMessage="1" sqref="J232" xr:uid="{00000000-0002-0000-2000-00000F000000}">
      <formula1>$N$231:$N$236</formula1>
    </dataValidation>
    <dataValidation type="list" allowBlank="1" showInputMessage="1" showErrorMessage="1" sqref="J252" xr:uid="{00000000-0002-0000-2000-000010000000}">
      <formula1>$N$251:$N$256</formula1>
    </dataValidation>
    <dataValidation type="list" allowBlank="1" showInputMessage="1" showErrorMessage="1" sqref="J281" xr:uid="{00000000-0002-0000-2000-000011000000}">
      <formula1>$N$280:$N$285</formula1>
    </dataValidation>
    <dataValidation type="list" allowBlank="1" showInputMessage="1" showErrorMessage="1" sqref="J555" xr:uid="{00000000-0002-0000-2000-000012000000}">
      <formula1>$N$554:$N$559</formula1>
    </dataValidation>
    <dataValidation type="list" allowBlank="1" showInputMessage="1" showErrorMessage="1" sqref="J578" xr:uid="{00000000-0002-0000-2000-000013000000}">
      <formula1>$N$577:$N$582</formula1>
    </dataValidation>
    <dataValidation type="list" allowBlank="1" showInputMessage="1" showErrorMessage="1" sqref="J628" xr:uid="{00000000-0002-0000-2000-000014000000}">
      <formula1>$N$627:$N$632</formula1>
    </dataValidation>
    <dataValidation type="list" allowBlank="1" showInputMessage="1" showErrorMessage="1" sqref="J650" xr:uid="{00000000-0002-0000-2000-000015000000}">
      <formula1>$N$649:$N$654</formula1>
    </dataValidation>
    <dataValidation type="list" allowBlank="1" showInputMessage="1" showErrorMessage="1" sqref="J672" xr:uid="{00000000-0002-0000-2000-000016000000}">
      <formula1>$N$671:$N$676</formula1>
    </dataValidation>
  </dataValidations>
  <pageMargins left="0.7" right="0.7" top="0.75" bottom="0.75" header="0.3" footer="0.3"/>
  <pageSetup scale="70"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71"/>
  <dimension ref="A1:N1029"/>
  <sheetViews>
    <sheetView showGridLines="0" showRowColHeaders="0" zoomScale="85" zoomScaleNormal="85" workbookViewId="0">
      <selection activeCell="G3" sqref="G3:I3"/>
    </sheetView>
  </sheetViews>
  <sheetFormatPr baseColWidth="10" defaultColWidth="9.1640625" defaultRowHeight="15" x14ac:dyDescent="0.2"/>
  <cols>
    <col min="1" max="1" width="9.1640625" style="12"/>
    <col min="2" max="3" width="9.1640625" style="12" customWidth="1"/>
    <col min="4" max="4" width="9.1640625" style="12"/>
    <col min="5" max="5" width="9.1640625" style="12" customWidth="1"/>
    <col min="6" max="9" width="9.1640625" style="12"/>
    <col min="10" max="10" width="25.6640625" style="12" customWidth="1"/>
    <col min="11" max="12" width="9.1640625" style="12"/>
    <col min="13" max="13" width="9.1640625" style="12" customWidth="1"/>
    <col min="14" max="14" width="9.1640625" style="12" hidden="1" customWidth="1"/>
    <col min="15" max="16384" width="9.1640625" style="12"/>
  </cols>
  <sheetData>
    <row r="1" spans="2:13" x14ac:dyDescent="0.2">
      <c r="I1" s="29"/>
    </row>
    <row r="2" spans="2:13" ht="33" x14ac:dyDescent="0.2">
      <c r="G2" s="16" t="s">
        <v>1038</v>
      </c>
      <c r="I2" s="29"/>
    </row>
    <row r="3" spans="2:13" ht="23" x14ac:dyDescent="0.25">
      <c r="F3" s="306" t="s">
        <v>1042</v>
      </c>
      <c r="G3" s="479"/>
      <c r="H3" s="480"/>
      <c r="I3" s="481"/>
      <c r="L3" s="157"/>
      <c r="M3" s="157"/>
    </row>
    <row r="4" spans="2:13" x14ac:dyDescent="0.2">
      <c r="G4" s="98"/>
      <c r="I4" s="29"/>
      <c r="L4" s="158"/>
      <c r="M4" s="157"/>
    </row>
    <row r="5" spans="2:13" x14ac:dyDescent="0.2">
      <c r="B5" s="12" t="s">
        <v>1043</v>
      </c>
      <c r="G5" s="98"/>
      <c r="I5" s="29"/>
      <c r="L5" s="158"/>
      <c r="M5" s="157"/>
    </row>
    <row r="6" spans="2:13" ht="121.5" customHeight="1" x14ac:dyDescent="0.2">
      <c r="B6" s="476"/>
      <c r="C6" s="477"/>
      <c r="D6" s="477"/>
      <c r="E6" s="477"/>
      <c r="F6" s="477"/>
      <c r="G6" s="477"/>
      <c r="H6" s="477"/>
      <c r="I6" s="477"/>
      <c r="J6" s="477"/>
      <c r="K6" s="478"/>
      <c r="L6" s="158"/>
      <c r="M6" s="157"/>
    </row>
    <row r="7" spans="2:13" x14ac:dyDescent="0.2">
      <c r="B7" s="426"/>
      <c r="C7" s="426"/>
      <c r="D7" s="426"/>
      <c r="E7" s="426"/>
      <c r="F7" s="426"/>
      <c r="G7" s="426"/>
      <c r="H7" s="426"/>
      <c r="I7" s="426"/>
      <c r="J7" s="426"/>
      <c r="K7" s="426"/>
      <c r="L7" s="158"/>
    </row>
    <row r="8" spans="2:13" ht="75" customHeight="1" x14ac:dyDescent="0.2">
      <c r="B8" s="425" t="s">
        <v>664</v>
      </c>
      <c r="C8" s="341"/>
      <c r="D8" s="341"/>
      <c r="E8" s="341"/>
      <c r="F8" s="341"/>
      <c r="G8" s="341"/>
      <c r="H8" s="341"/>
      <c r="I8" s="341"/>
      <c r="J8" s="341"/>
      <c r="K8" s="341"/>
    </row>
    <row r="9" spans="2:13" ht="30" customHeight="1" x14ac:dyDescent="0.2">
      <c r="B9" s="445" t="s">
        <v>665</v>
      </c>
      <c r="C9" s="446"/>
      <c r="D9" s="446"/>
      <c r="E9" s="446"/>
      <c r="F9" s="446"/>
      <c r="G9" s="446"/>
      <c r="H9" s="446"/>
      <c r="I9" s="446"/>
      <c r="J9" s="446"/>
      <c r="K9" s="446"/>
    </row>
    <row r="10" spans="2:13" ht="121.5" customHeight="1" x14ac:dyDescent="0.2">
      <c r="B10" s="447"/>
      <c r="C10" s="448"/>
      <c r="D10" s="448"/>
      <c r="E10" s="448"/>
      <c r="F10" s="448"/>
      <c r="G10" s="448"/>
      <c r="H10" s="448"/>
      <c r="I10" s="448"/>
      <c r="J10" s="448"/>
      <c r="K10" s="449"/>
    </row>
    <row r="11" spans="2:13" ht="16" thickBot="1" x14ac:dyDescent="0.25"/>
    <row r="12" spans="2:13" x14ac:dyDescent="0.2">
      <c r="B12" s="159"/>
      <c r="C12" s="160"/>
      <c r="D12" s="160"/>
      <c r="E12" s="160"/>
      <c r="F12" s="160"/>
      <c r="G12" s="160"/>
      <c r="H12" s="160"/>
      <c r="I12" s="160"/>
      <c r="J12" s="160"/>
      <c r="K12" s="161"/>
    </row>
    <row r="13" spans="2:13" ht="21" x14ac:dyDescent="0.25">
      <c r="B13" s="162"/>
      <c r="C13" s="163"/>
      <c r="D13" s="163"/>
      <c r="E13" s="163"/>
      <c r="F13" s="163"/>
      <c r="G13" s="164" t="s">
        <v>226</v>
      </c>
      <c r="H13" s="163"/>
      <c r="I13" s="163"/>
      <c r="J13" s="163"/>
      <c r="K13" s="165"/>
    </row>
    <row r="14" spans="2:13" ht="21" x14ac:dyDescent="0.25">
      <c r="B14" s="162"/>
      <c r="C14" s="163"/>
      <c r="D14" s="163"/>
      <c r="E14" s="163"/>
      <c r="F14" s="163"/>
      <c r="G14" s="164"/>
      <c r="H14" s="163"/>
      <c r="I14" s="163"/>
      <c r="J14" s="163"/>
      <c r="K14" s="165"/>
    </row>
    <row r="15" spans="2:13" ht="26.25" customHeight="1" x14ac:dyDescent="0.2">
      <c r="B15" s="162"/>
      <c r="C15" s="163" t="s">
        <v>255</v>
      </c>
      <c r="D15" s="163"/>
      <c r="E15" s="412"/>
      <c r="F15" s="437"/>
      <c r="G15" s="437"/>
      <c r="H15" s="437"/>
      <c r="I15" s="437"/>
      <c r="J15" s="438"/>
      <c r="K15" s="165"/>
    </row>
    <row r="16" spans="2:13" x14ac:dyDescent="0.2">
      <c r="B16" s="162"/>
      <c r="C16" s="163"/>
      <c r="D16" s="163"/>
      <c r="E16" s="163"/>
      <c r="F16" s="163"/>
      <c r="G16" s="163"/>
      <c r="H16" s="163"/>
      <c r="I16" s="163"/>
      <c r="J16" s="163"/>
      <c r="K16" s="165"/>
    </row>
    <row r="17" spans="2:14" x14ac:dyDescent="0.2">
      <c r="B17" s="162"/>
      <c r="C17" s="166" t="s">
        <v>256</v>
      </c>
      <c r="D17" s="163"/>
      <c r="E17" s="167" t="str">
        <f>IF(E15=$C$966,$A$966,IF(E15=$C$967,$A$967,IF(E15=$C$968,$A$968,IF(E15=$C$969,$A$969,IF(E15=$C$970,$A$970,"Not Calculated")))))</f>
        <v>Not Calculated</v>
      </c>
      <c r="F17" s="163"/>
      <c r="G17" s="163"/>
      <c r="H17" s="163"/>
      <c r="I17" s="163"/>
      <c r="J17" s="163"/>
      <c r="K17" s="165"/>
    </row>
    <row r="18" spans="2:14" x14ac:dyDescent="0.2">
      <c r="B18" s="162"/>
      <c r="C18" s="163"/>
      <c r="D18" s="163"/>
      <c r="E18" s="167" t="str">
        <f>IF(E15=$C$966,$B$966,IF(E15=$C$967,$B$967,IF(E15=$C$968,$B$968,IF(E15=$C$969,$B$969,IF(E15=$C$970,$B$970,"Not Calculated")))))</f>
        <v>Not Calculated</v>
      </c>
      <c r="F18" s="163"/>
      <c r="G18" s="163"/>
      <c r="H18" s="163"/>
      <c r="I18" s="163"/>
      <c r="J18" s="163"/>
      <c r="K18" s="165"/>
    </row>
    <row r="19" spans="2:14" ht="16" thickBot="1" x14ac:dyDescent="0.25">
      <c r="B19" s="168"/>
      <c r="C19" s="169"/>
      <c r="D19" s="169"/>
      <c r="E19" s="169"/>
      <c r="F19" s="169"/>
      <c r="G19" s="169"/>
      <c r="H19" s="169"/>
      <c r="I19" s="169"/>
      <c r="J19" s="169"/>
      <c r="K19" s="170"/>
    </row>
    <row r="20" spans="2:14" ht="16" thickBot="1" x14ac:dyDescent="0.25"/>
    <row r="21" spans="2:14" x14ac:dyDescent="0.2">
      <c r="B21" s="33"/>
      <c r="C21" s="34"/>
      <c r="D21" s="34"/>
      <c r="E21" s="34"/>
      <c r="F21" s="34"/>
      <c r="G21" s="34"/>
      <c r="H21" s="34"/>
      <c r="I21" s="34"/>
      <c r="J21" s="34"/>
      <c r="K21" s="37"/>
    </row>
    <row r="22" spans="2:14" ht="21" x14ac:dyDescent="0.25">
      <c r="B22" s="38"/>
      <c r="C22" s="171"/>
      <c r="D22" s="40"/>
      <c r="E22" s="40"/>
      <c r="F22" s="40"/>
      <c r="G22" s="172" t="s">
        <v>26</v>
      </c>
      <c r="H22" s="40"/>
      <c r="I22" s="40"/>
      <c r="J22" s="40"/>
      <c r="K22" s="41"/>
    </row>
    <row r="23" spans="2:14" x14ac:dyDescent="0.2">
      <c r="B23" s="38"/>
      <c r="C23" s="40"/>
      <c r="D23" s="40"/>
      <c r="E23" s="40"/>
      <c r="F23" s="40"/>
      <c r="G23" s="40"/>
      <c r="H23" s="40"/>
      <c r="I23" s="40"/>
      <c r="J23" s="40"/>
      <c r="K23" s="41"/>
    </row>
    <row r="24" spans="2:14" ht="16" x14ac:dyDescent="0.2">
      <c r="B24" s="38"/>
      <c r="C24" s="45" t="s">
        <v>61</v>
      </c>
      <c r="D24" s="40"/>
      <c r="E24" s="40"/>
      <c r="F24" s="40"/>
      <c r="G24" s="40"/>
      <c r="H24" s="40"/>
      <c r="I24" s="40"/>
      <c r="J24" s="40"/>
      <c r="K24" s="41"/>
    </row>
    <row r="25" spans="2:14" x14ac:dyDescent="0.2">
      <c r="B25" s="38"/>
      <c r="C25" s="40" t="s">
        <v>434</v>
      </c>
      <c r="D25" s="40"/>
      <c r="E25" s="40"/>
      <c r="F25" s="40"/>
      <c r="G25" s="40"/>
      <c r="H25" s="40"/>
      <c r="I25" s="40"/>
      <c r="J25" s="252">
        <f>'Baseline Health'!G11</f>
        <v>0</v>
      </c>
      <c r="K25" s="41"/>
    </row>
    <row r="26" spans="2:14" x14ac:dyDescent="0.2">
      <c r="B26" s="38"/>
      <c r="C26" s="40" t="s">
        <v>288</v>
      </c>
      <c r="D26" s="40"/>
      <c r="E26" s="40"/>
      <c r="F26" s="40"/>
      <c r="G26" s="40"/>
      <c r="H26" s="40"/>
      <c r="I26" s="40"/>
      <c r="J26" s="264"/>
      <c r="K26" s="41"/>
    </row>
    <row r="27" spans="2:14" x14ac:dyDescent="0.2">
      <c r="B27" s="38"/>
      <c r="C27" s="40" t="s">
        <v>260</v>
      </c>
      <c r="D27" s="40"/>
      <c r="E27" s="40"/>
      <c r="F27" s="40"/>
      <c r="G27" s="40"/>
      <c r="H27" s="40"/>
      <c r="I27" s="40"/>
      <c r="J27" s="248" t="str">
        <f>IF(OR(J25=0,J25="Not Calculated")=TRUE,"Not Calculated",(IF(((J26+J25)/J25)&lt;=1,0,IF(((J26+J25)/J25)&lt;=1.05,1,IF(((J26+J25)/J25)&lt;=1.5, 2,IF(((J26+J25)/J25)&lt;=2,3,4))))))</f>
        <v>Not Calculated</v>
      </c>
      <c r="K27" s="41"/>
    </row>
    <row r="28" spans="2:14" ht="9.75" customHeight="1" x14ac:dyDescent="0.2">
      <c r="B28" s="38"/>
      <c r="C28" s="279" t="str">
        <f>"0:"</f>
        <v>0:</v>
      </c>
      <c r="D28" s="281" t="s">
        <v>918</v>
      </c>
      <c r="E28" s="40"/>
      <c r="F28" s="40"/>
      <c r="G28" s="40"/>
      <c r="H28" s="40"/>
      <c r="I28" s="40"/>
      <c r="J28" s="40"/>
      <c r="K28" s="41"/>
    </row>
    <row r="29" spans="2:14" ht="9.75" customHeight="1" x14ac:dyDescent="0.2">
      <c r="B29" s="38"/>
      <c r="C29" s="280" t="str">
        <f>"1:"</f>
        <v>1:</v>
      </c>
      <c r="D29" s="281" t="s">
        <v>919</v>
      </c>
      <c r="E29" s="40"/>
      <c r="F29" s="40"/>
      <c r="G29" s="40"/>
      <c r="H29" s="40"/>
      <c r="I29" s="40"/>
      <c r="J29" s="40"/>
      <c r="K29" s="41"/>
    </row>
    <row r="30" spans="2:14" ht="9.75" customHeight="1" x14ac:dyDescent="0.2">
      <c r="B30" s="38"/>
      <c r="C30" s="280" t="str">
        <f>"2:"</f>
        <v>2:</v>
      </c>
      <c r="D30" s="281" t="s">
        <v>920</v>
      </c>
      <c r="E30" s="40"/>
      <c r="F30" s="40"/>
      <c r="G30" s="40"/>
      <c r="H30" s="40"/>
      <c r="I30" s="40"/>
      <c r="J30" s="40"/>
      <c r="K30" s="41"/>
    </row>
    <row r="31" spans="2:14" ht="9.75" customHeight="1" x14ac:dyDescent="0.2">
      <c r="B31" s="38"/>
      <c r="C31" s="280" t="str">
        <f>"3:"</f>
        <v>3:</v>
      </c>
      <c r="D31" s="281" t="s">
        <v>921</v>
      </c>
      <c r="E31" s="40"/>
      <c r="F31" s="40"/>
      <c r="G31" s="40"/>
      <c r="H31" s="40"/>
      <c r="I31" s="40"/>
      <c r="J31" s="40"/>
      <c r="K31" s="41"/>
    </row>
    <row r="32" spans="2:14" ht="9.75" customHeight="1" x14ac:dyDescent="0.2">
      <c r="B32" s="38"/>
      <c r="C32" s="280" t="str">
        <f>"4:"</f>
        <v>4:</v>
      </c>
      <c r="D32" s="281" t="s">
        <v>922</v>
      </c>
      <c r="E32" s="40"/>
      <c r="F32" s="40"/>
      <c r="G32" s="40"/>
      <c r="H32" s="40"/>
      <c r="I32" s="40"/>
      <c r="J32" s="40"/>
      <c r="K32" s="41"/>
      <c r="N32" s="12" t="s">
        <v>661</v>
      </c>
    </row>
    <row r="33" spans="2:14" x14ac:dyDescent="0.2">
      <c r="B33" s="38"/>
      <c r="C33" s="174" t="s">
        <v>662</v>
      </c>
      <c r="D33" s="40"/>
      <c r="E33" s="40"/>
      <c r="F33" s="40"/>
      <c r="G33" s="40"/>
      <c r="H33" s="40"/>
      <c r="I33" s="40"/>
      <c r="J33" s="265" t="s">
        <v>661</v>
      </c>
      <c r="K33" s="41"/>
      <c r="N33" s="12" t="s">
        <v>894</v>
      </c>
    </row>
    <row r="34" spans="2:14" x14ac:dyDescent="0.2">
      <c r="B34" s="38"/>
      <c r="C34" s="174" t="s">
        <v>660</v>
      </c>
      <c r="D34" s="40"/>
      <c r="E34" s="40"/>
      <c r="F34" s="40"/>
      <c r="G34" s="40"/>
      <c r="H34" s="40"/>
      <c r="I34" s="40"/>
      <c r="J34" s="246" t="str">
        <f>IF(J33=N32,"N/A",IF(J33=N33,0,IF(J33=N34,1,IF(J33=N35,2,IF(J33=N36,3,IF(J33=N37,4,"N/A"))))))</f>
        <v>N/A</v>
      </c>
      <c r="K34" s="41"/>
      <c r="N34" s="12" t="s">
        <v>895</v>
      </c>
    </row>
    <row r="35" spans="2:14" x14ac:dyDescent="0.2">
      <c r="B35" s="38"/>
      <c r="C35" s="40" t="s">
        <v>257</v>
      </c>
      <c r="D35" s="40"/>
      <c r="E35" s="40"/>
      <c r="F35" s="40"/>
      <c r="G35" s="40"/>
      <c r="H35" s="40"/>
      <c r="I35" s="40"/>
      <c r="J35" s="266"/>
      <c r="K35" s="41"/>
      <c r="N35" s="12" t="s">
        <v>896</v>
      </c>
    </row>
    <row r="36" spans="2:14" x14ac:dyDescent="0.2">
      <c r="B36" s="38"/>
      <c r="C36" s="40" t="s">
        <v>261</v>
      </c>
      <c r="D36" s="40"/>
      <c r="E36" s="40"/>
      <c r="F36" s="40"/>
      <c r="G36" s="40"/>
      <c r="H36" s="40"/>
      <c r="I36" s="40"/>
      <c r="J36" s="245" t="str">
        <f>IF(J35=$B$973,$A$973,IF(J35=$B$974,$A$974,IF(J35=$B$975,$A$975,IF(J35=$B$976,$A$976,IF(J35=$B$977,$A$977,"Not Calculated")))))</f>
        <v>Not Calculated</v>
      </c>
      <c r="K36" s="41"/>
      <c r="N36" s="12" t="s">
        <v>897</v>
      </c>
    </row>
    <row r="37" spans="2:14" x14ac:dyDescent="0.2">
      <c r="B37" s="38"/>
      <c r="C37" s="40" t="s">
        <v>893</v>
      </c>
      <c r="D37" s="40"/>
      <c r="E37" s="40"/>
      <c r="F37" s="40"/>
      <c r="G37" s="40"/>
      <c r="H37" s="40"/>
      <c r="I37" s="40"/>
      <c r="J37" s="175"/>
      <c r="K37" s="41"/>
      <c r="N37" s="12" t="s">
        <v>898</v>
      </c>
    </row>
    <row r="38" spans="2:14" s="178" customFormat="1" x14ac:dyDescent="0.2">
      <c r="B38" s="176"/>
      <c r="C38" s="415"/>
      <c r="D38" s="400"/>
      <c r="E38" s="400"/>
      <c r="F38" s="400"/>
      <c r="G38" s="400"/>
      <c r="H38" s="400"/>
      <c r="I38" s="400"/>
      <c r="J38" s="401"/>
      <c r="K38" s="177"/>
    </row>
    <row r="39" spans="2:14" x14ac:dyDescent="0.2">
      <c r="B39" s="38"/>
      <c r="C39" s="40"/>
      <c r="D39" s="40"/>
      <c r="E39" s="40"/>
      <c r="F39" s="40"/>
      <c r="G39" s="40"/>
      <c r="H39" s="40"/>
      <c r="I39" s="40"/>
      <c r="J39" s="40"/>
      <c r="K39" s="41"/>
    </row>
    <row r="40" spans="2:14" x14ac:dyDescent="0.2">
      <c r="B40" s="38"/>
      <c r="C40" s="179" t="s">
        <v>258</v>
      </c>
      <c r="D40" s="40"/>
      <c r="E40" s="40"/>
      <c r="F40" s="40"/>
      <c r="G40" s="40"/>
      <c r="H40" s="40"/>
      <c r="I40" s="40"/>
      <c r="J40" s="245" t="str">
        <f>IF(J34="N/A",IF(OR(J27="Not Calculated",J36="Not Calculated")=TRUE,"Not Calculated",AVERAGE(J27,J36)),AVERAGE(J34,J36))</f>
        <v>Not Calculated</v>
      </c>
      <c r="K40" s="41"/>
    </row>
    <row r="41" spans="2:14" x14ac:dyDescent="0.2">
      <c r="B41" s="38"/>
      <c r="C41" s="179"/>
      <c r="D41" s="40"/>
      <c r="E41" s="40"/>
      <c r="F41" s="40"/>
      <c r="G41" s="40"/>
      <c r="H41" s="40"/>
      <c r="I41" s="40"/>
      <c r="J41" s="245"/>
      <c r="K41" s="41"/>
    </row>
    <row r="42" spans="2:14" x14ac:dyDescent="0.2">
      <c r="B42" s="38"/>
      <c r="C42" s="40"/>
      <c r="D42" s="40"/>
      <c r="E42" s="40"/>
      <c r="F42" s="40"/>
      <c r="G42" s="40"/>
      <c r="H42" s="40"/>
      <c r="I42" s="40"/>
      <c r="J42" s="40"/>
      <c r="K42" s="41"/>
    </row>
    <row r="43" spans="2:14" ht="16" x14ac:dyDescent="0.2">
      <c r="B43" s="38"/>
      <c r="C43" s="45" t="s">
        <v>51</v>
      </c>
      <c r="D43" s="40"/>
      <c r="E43" s="40"/>
      <c r="F43" s="40"/>
      <c r="G43" s="40"/>
      <c r="H43" s="40"/>
      <c r="I43" s="40"/>
      <c r="J43" s="40"/>
      <c r="K43" s="41"/>
    </row>
    <row r="44" spans="2:14" x14ac:dyDescent="0.2">
      <c r="B44" s="38"/>
      <c r="C44" s="40" t="s">
        <v>435</v>
      </c>
      <c r="D44" s="40"/>
      <c r="E44" s="40"/>
      <c r="F44" s="40"/>
      <c r="G44" s="40"/>
      <c r="H44" s="40"/>
      <c r="I44" s="40"/>
      <c r="J44" s="252">
        <f>'Baseline Health'!G17</f>
        <v>0</v>
      </c>
      <c r="K44" s="41"/>
    </row>
    <row r="45" spans="2:14" x14ac:dyDescent="0.2">
      <c r="B45" s="38"/>
      <c r="C45" s="40" t="s">
        <v>287</v>
      </c>
      <c r="D45" s="40"/>
      <c r="E45" s="40"/>
      <c r="F45" s="40"/>
      <c r="G45" s="40"/>
      <c r="H45" s="40"/>
      <c r="I45" s="40"/>
      <c r="J45" s="264"/>
      <c r="K45" s="41"/>
    </row>
    <row r="46" spans="2:14" x14ac:dyDescent="0.2">
      <c r="B46" s="38"/>
      <c r="C46" s="40" t="s">
        <v>260</v>
      </c>
      <c r="D46" s="40"/>
      <c r="E46" s="40"/>
      <c r="F46" s="40"/>
      <c r="G46" s="40"/>
      <c r="H46" s="40"/>
      <c r="I46" s="40"/>
      <c r="J46" s="248" t="str">
        <f>IF(OR(J44=0,J44="Not Calculated")=TRUE,"Not Calculated",(IF(((J45+J44)/J44)&lt;=1,0,IF(((J45+J44)/J44)&lt;=1.05,1,IF(((J45+J44)/J44)&lt;=1.5, 2,IF(((J45+J44)/J44)&lt;=2,3,4))))))</f>
        <v>Not Calculated</v>
      </c>
      <c r="K46" s="41"/>
    </row>
    <row r="47" spans="2:14" ht="9.75" customHeight="1" x14ac:dyDescent="0.2">
      <c r="B47" s="38"/>
      <c r="C47" s="279" t="str">
        <f>"0:"</f>
        <v>0:</v>
      </c>
      <c r="D47" s="281" t="s">
        <v>918</v>
      </c>
      <c r="E47" s="40"/>
      <c r="F47" s="40"/>
      <c r="G47" s="40"/>
      <c r="H47" s="40"/>
      <c r="I47" s="40"/>
      <c r="J47" s="40"/>
      <c r="K47" s="41"/>
    </row>
    <row r="48" spans="2:14" ht="9.75" customHeight="1" x14ac:dyDescent="0.2">
      <c r="B48" s="38"/>
      <c r="C48" s="280" t="str">
        <f>"1:"</f>
        <v>1:</v>
      </c>
      <c r="D48" s="281" t="s">
        <v>919</v>
      </c>
      <c r="E48" s="40"/>
      <c r="F48" s="40"/>
      <c r="G48" s="40"/>
      <c r="H48" s="40"/>
      <c r="I48" s="40"/>
      <c r="J48" s="40"/>
      <c r="K48" s="41"/>
    </row>
    <row r="49" spans="2:14" ht="9.75" customHeight="1" x14ac:dyDescent="0.2">
      <c r="B49" s="38"/>
      <c r="C49" s="280" t="str">
        <f>"2:"</f>
        <v>2:</v>
      </c>
      <c r="D49" s="281" t="s">
        <v>920</v>
      </c>
      <c r="E49" s="40"/>
      <c r="F49" s="40"/>
      <c r="G49" s="40"/>
      <c r="H49" s="40"/>
      <c r="I49" s="40"/>
      <c r="J49" s="40"/>
      <c r="K49" s="41"/>
    </row>
    <row r="50" spans="2:14" ht="9.75" customHeight="1" x14ac:dyDescent="0.2">
      <c r="B50" s="38"/>
      <c r="C50" s="280" t="str">
        <f>"3:"</f>
        <v>3:</v>
      </c>
      <c r="D50" s="281" t="s">
        <v>921</v>
      </c>
      <c r="E50" s="40"/>
      <c r="F50" s="40"/>
      <c r="G50" s="40"/>
      <c r="H50" s="40"/>
      <c r="I50" s="40"/>
      <c r="J50" s="40"/>
      <c r="K50" s="41"/>
    </row>
    <row r="51" spans="2:14" ht="9.75" customHeight="1" x14ac:dyDescent="0.2">
      <c r="B51" s="38"/>
      <c r="C51" s="280" t="str">
        <f>"4:"</f>
        <v>4:</v>
      </c>
      <c r="D51" s="281" t="s">
        <v>922</v>
      </c>
      <c r="E51" s="40"/>
      <c r="F51" s="40"/>
      <c r="G51" s="40"/>
      <c r="H51" s="40"/>
      <c r="I51" s="40"/>
      <c r="J51" s="40"/>
      <c r="K51" s="41"/>
      <c r="N51" s="12" t="s">
        <v>661</v>
      </c>
    </row>
    <row r="52" spans="2:14" x14ac:dyDescent="0.2">
      <c r="B52" s="38"/>
      <c r="C52" s="174" t="s">
        <v>662</v>
      </c>
      <c r="D52" s="40"/>
      <c r="E52" s="40"/>
      <c r="F52" s="40"/>
      <c r="G52" s="40"/>
      <c r="H52" s="40"/>
      <c r="I52" s="40"/>
      <c r="J52" s="265" t="s">
        <v>661</v>
      </c>
      <c r="K52" s="41"/>
      <c r="N52" s="12" t="s">
        <v>894</v>
      </c>
    </row>
    <row r="53" spans="2:14" x14ac:dyDescent="0.2">
      <c r="B53" s="38"/>
      <c r="C53" s="174" t="s">
        <v>660</v>
      </c>
      <c r="D53" s="40"/>
      <c r="E53" s="40"/>
      <c r="F53" s="40"/>
      <c r="G53" s="40"/>
      <c r="H53" s="40"/>
      <c r="I53" s="40"/>
      <c r="J53" s="246" t="str">
        <f>IF(J52=N51,"N/A",IF(J52=N52,0,IF(J52=N53,1,IF(J52=N54,2,IF(J52=N55,3,IF(J52=N56,4,"N/A"))))))</f>
        <v>N/A</v>
      </c>
      <c r="K53" s="41"/>
      <c r="N53" s="12" t="s">
        <v>895</v>
      </c>
    </row>
    <row r="54" spans="2:14" x14ac:dyDescent="0.2">
      <c r="B54" s="38"/>
      <c r="C54" s="40" t="s">
        <v>257</v>
      </c>
      <c r="D54" s="40"/>
      <c r="E54" s="40"/>
      <c r="F54" s="40"/>
      <c r="G54" s="40"/>
      <c r="H54" s="40"/>
      <c r="I54" s="40"/>
      <c r="J54" s="266"/>
      <c r="K54" s="41"/>
      <c r="N54" s="12" t="s">
        <v>896</v>
      </c>
    </row>
    <row r="55" spans="2:14" x14ac:dyDescent="0.2">
      <c r="B55" s="38"/>
      <c r="C55" s="40" t="s">
        <v>261</v>
      </c>
      <c r="D55" s="40"/>
      <c r="E55" s="40"/>
      <c r="F55" s="40"/>
      <c r="G55" s="40"/>
      <c r="H55" s="40"/>
      <c r="I55" s="40"/>
      <c r="J55" s="245" t="str">
        <f>IF(J54=$B$973,$A$973,IF(J54=$B$974,$A$974,IF(J54=$B$975,$A$975,IF(J54=$B$976,$A$976,IF(J54=$B$977,$A$977,"Not Calculated")))))</f>
        <v>Not Calculated</v>
      </c>
      <c r="K55" s="41"/>
      <c r="N55" s="12" t="s">
        <v>897</v>
      </c>
    </row>
    <row r="56" spans="2:14" x14ac:dyDescent="0.2">
      <c r="B56" s="38"/>
      <c r="C56" s="40" t="s">
        <v>893</v>
      </c>
      <c r="D56" s="40"/>
      <c r="E56" s="40"/>
      <c r="F56" s="40"/>
      <c r="G56" s="40"/>
      <c r="H56" s="40"/>
      <c r="I56" s="40"/>
      <c r="J56" s="175"/>
      <c r="K56" s="41"/>
      <c r="N56" s="12" t="s">
        <v>898</v>
      </c>
    </row>
    <row r="57" spans="2:14" s="178" customFormat="1" ht="15" customHeight="1" x14ac:dyDescent="0.2">
      <c r="B57" s="176"/>
      <c r="C57" s="415"/>
      <c r="D57" s="400"/>
      <c r="E57" s="400"/>
      <c r="F57" s="400"/>
      <c r="G57" s="400"/>
      <c r="H57" s="400"/>
      <c r="I57" s="400"/>
      <c r="J57" s="401"/>
      <c r="K57" s="177"/>
    </row>
    <row r="58" spans="2:14" x14ac:dyDescent="0.2">
      <c r="B58" s="38"/>
      <c r="C58" s="40"/>
      <c r="D58" s="40"/>
      <c r="E58" s="40"/>
      <c r="F58" s="40"/>
      <c r="G58" s="40"/>
      <c r="H58" s="40"/>
      <c r="I58" s="40"/>
      <c r="J58" s="40"/>
      <c r="K58" s="41"/>
    </row>
    <row r="59" spans="2:14" x14ac:dyDescent="0.2">
      <c r="B59" s="38"/>
      <c r="C59" s="179" t="s">
        <v>263</v>
      </c>
      <c r="D59" s="40"/>
      <c r="E59" s="40"/>
      <c r="F59" s="40"/>
      <c r="G59" s="40"/>
      <c r="H59" s="40"/>
      <c r="I59" s="40"/>
      <c r="J59" s="245" t="str">
        <f>IF(J53="N/A",IF(OR(J46="Not Calculated",J55="Not Calculated")=TRUE,"Not Calculated",AVERAGE(J46,J55)),AVERAGE(J53,J55))</f>
        <v>Not Calculated</v>
      </c>
      <c r="K59" s="41"/>
    </row>
    <row r="60" spans="2:14" x14ac:dyDescent="0.2">
      <c r="B60" s="38"/>
      <c r="C60" s="40"/>
      <c r="D60" s="40"/>
      <c r="E60" s="40"/>
      <c r="F60" s="40"/>
      <c r="G60" s="40"/>
      <c r="H60" s="40"/>
      <c r="I60" s="40"/>
      <c r="J60" s="40"/>
      <c r="K60" s="41"/>
    </row>
    <row r="61" spans="2:14" x14ac:dyDescent="0.2">
      <c r="B61" s="38"/>
      <c r="C61" s="40"/>
      <c r="D61" s="40"/>
      <c r="E61" s="40"/>
      <c r="F61" s="40"/>
      <c r="G61" s="40"/>
      <c r="H61" s="40"/>
      <c r="I61" s="40"/>
      <c r="J61" s="40"/>
      <c r="K61" s="41"/>
    </row>
    <row r="62" spans="2:14" ht="16" x14ac:dyDescent="0.2">
      <c r="B62" s="38"/>
      <c r="C62" s="45" t="s">
        <v>54</v>
      </c>
      <c r="D62" s="40"/>
      <c r="E62" s="40"/>
      <c r="F62" s="40"/>
      <c r="G62" s="40"/>
      <c r="H62" s="40"/>
      <c r="I62" s="40"/>
      <c r="J62" s="40"/>
      <c r="K62" s="41"/>
    </row>
    <row r="63" spans="2:14" x14ac:dyDescent="0.2">
      <c r="B63" s="38"/>
      <c r="C63" s="40" t="s">
        <v>436</v>
      </c>
      <c r="D63" s="40"/>
      <c r="E63" s="40"/>
      <c r="F63" s="40"/>
      <c r="G63" s="40"/>
      <c r="H63" s="40"/>
      <c r="I63" s="40"/>
      <c r="J63" s="252">
        <f>'Baseline Health'!G23</f>
        <v>0</v>
      </c>
      <c r="K63" s="41"/>
    </row>
    <row r="64" spans="2:14" x14ac:dyDescent="0.2">
      <c r="B64" s="38"/>
      <c r="C64" s="40" t="s">
        <v>289</v>
      </c>
      <c r="D64" s="40"/>
      <c r="E64" s="40"/>
      <c r="F64" s="40"/>
      <c r="G64" s="40"/>
      <c r="H64" s="40"/>
      <c r="I64" s="40"/>
      <c r="J64" s="264"/>
      <c r="K64" s="41"/>
    </row>
    <row r="65" spans="2:14" x14ac:dyDescent="0.2">
      <c r="B65" s="38"/>
      <c r="C65" s="40" t="s">
        <v>260</v>
      </c>
      <c r="D65" s="40"/>
      <c r="E65" s="40"/>
      <c r="F65" s="40"/>
      <c r="G65" s="40"/>
      <c r="H65" s="40"/>
      <c r="I65" s="40"/>
      <c r="J65" s="248" t="str">
        <f>IF(OR(J63=0,J63="Not Calculated")=TRUE,"Not Calculated",(IF(((J64+J63)/J63)&lt;=1,0,IF(((J64+J63)/J63)&lt;=1.05,1,IF(((J64+J63)/J63)&lt;=1.5, 2,IF(((J64+J63)/J63)&lt;=2,3,4))))))</f>
        <v>Not Calculated</v>
      </c>
      <c r="K65" s="41"/>
    </row>
    <row r="66" spans="2:14" ht="9.75" customHeight="1" x14ac:dyDescent="0.2">
      <c r="B66" s="38"/>
      <c r="C66" s="279" t="str">
        <f>"0:"</f>
        <v>0:</v>
      </c>
      <c r="D66" s="281" t="s">
        <v>918</v>
      </c>
      <c r="E66" s="40"/>
      <c r="F66" s="40"/>
      <c r="G66" s="40"/>
      <c r="H66" s="40"/>
      <c r="I66" s="40"/>
      <c r="J66" s="40"/>
      <c r="K66" s="41"/>
    </row>
    <row r="67" spans="2:14" ht="9.75" customHeight="1" x14ac:dyDescent="0.2">
      <c r="B67" s="38"/>
      <c r="C67" s="280" t="str">
        <f>"1:"</f>
        <v>1:</v>
      </c>
      <c r="D67" s="281" t="s">
        <v>919</v>
      </c>
      <c r="E67" s="40"/>
      <c r="F67" s="40"/>
      <c r="G67" s="40"/>
      <c r="H67" s="40"/>
      <c r="I67" s="40"/>
      <c r="J67" s="40"/>
      <c r="K67" s="41"/>
    </row>
    <row r="68" spans="2:14" ht="9.75" customHeight="1" x14ac:dyDescent="0.2">
      <c r="B68" s="38"/>
      <c r="C68" s="280" t="str">
        <f>"2:"</f>
        <v>2:</v>
      </c>
      <c r="D68" s="281" t="s">
        <v>920</v>
      </c>
      <c r="E68" s="40"/>
      <c r="F68" s="40"/>
      <c r="G68" s="40"/>
      <c r="H68" s="40"/>
      <c r="I68" s="40"/>
      <c r="J68" s="40"/>
      <c r="K68" s="41"/>
    </row>
    <row r="69" spans="2:14" ht="9.75" customHeight="1" x14ac:dyDescent="0.2">
      <c r="B69" s="38"/>
      <c r="C69" s="280" t="str">
        <f>"3:"</f>
        <v>3:</v>
      </c>
      <c r="D69" s="281" t="s">
        <v>921</v>
      </c>
      <c r="E69" s="40"/>
      <c r="F69" s="40"/>
      <c r="G69" s="40"/>
      <c r="H69" s="40"/>
      <c r="I69" s="40"/>
      <c r="J69" s="40"/>
      <c r="K69" s="41"/>
    </row>
    <row r="70" spans="2:14" ht="9.75" customHeight="1" x14ac:dyDescent="0.2">
      <c r="B70" s="38"/>
      <c r="C70" s="280" t="str">
        <f>"4:"</f>
        <v>4:</v>
      </c>
      <c r="D70" s="281" t="s">
        <v>922</v>
      </c>
      <c r="E70" s="40"/>
      <c r="F70" s="40"/>
      <c r="G70" s="40"/>
      <c r="H70" s="40"/>
      <c r="I70" s="40"/>
      <c r="J70" s="40"/>
      <c r="K70" s="41"/>
      <c r="N70" s="12" t="s">
        <v>661</v>
      </c>
    </row>
    <row r="71" spans="2:14" x14ac:dyDescent="0.2">
      <c r="B71" s="38"/>
      <c r="C71" s="174" t="s">
        <v>662</v>
      </c>
      <c r="D71" s="40"/>
      <c r="E71" s="40"/>
      <c r="F71" s="40"/>
      <c r="G71" s="40"/>
      <c r="H71" s="40"/>
      <c r="I71" s="40"/>
      <c r="J71" s="265" t="s">
        <v>661</v>
      </c>
      <c r="K71" s="41"/>
      <c r="N71" s="12" t="s">
        <v>894</v>
      </c>
    </row>
    <row r="72" spans="2:14" x14ac:dyDescent="0.2">
      <c r="B72" s="38"/>
      <c r="C72" s="174" t="s">
        <v>660</v>
      </c>
      <c r="D72" s="40"/>
      <c r="E72" s="40"/>
      <c r="F72" s="40"/>
      <c r="G72" s="40"/>
      <c r="H72" s="40"/>
      <c r="I72" s="40"/>
      <c r="J72" s="246" t="str">
        <f>IF(J71=N70,"N/A",IF(J71=N71,0,IF(J71=N72,1,IF(J71=N73,2,IF(J71=N74,3,IF(J71=N75,4,"N/A"))))))</f>
        <v>N/A</v>
      </c>
      <c r="K72" s="41"/>
      <c r="N72" s="12" t="s">
        <v>895</v>
      </c>
    </row>
    <row r="73" spans="2:14" x14ac:dyDescent="0.2">
      <c r="B73" s="38"/>
      <c r="C73" s="40" t="s">
        <v>257</v>
      </c>
      <c r="D73" s="40"/>
      <c r="E73" s="40"/>
      <c r="F73" s="40"/>
      <c r="G73" s="40"/>
      <c r="H73" s="40"/>
      <c r="I73" s="40"/>
      <c r="J73" s="266"/>
      <c r="K73" s="41"/>
      <c r="N73" s="12" t="s">
        <v>896</v>
      </c>
    </row>
    <row r="74" spans="2:14" x14ac:dyDescent="0.2">
      <c r="B74" s="38"/>
      <c r="C74" s="40" t="s">
        <v>261</v>
      </c>
      <c r="D74" s="40"/>
      <c r="E74" s="40"/>
      <c r="F74" s="40"/>
      <c r="G74" s="40"/>
      <c r="H74" s="40"/>
      <c r="I74" s="40"/>
      <c r="J74" s="245" t="str">
        <f>IF(J73=$B$973,$A$973,IF(J73=$B$974,$A$974,IF(J73=$B$975,$A$975,IF(J73=$B$976,$A$976,IF(J73=$B$977,$A$977,"Not Calculated")))))</f>
        <v>Not Calculated</v>
      </c>
      <c r="K74" s="41"/>
      <c r="N74" s="12" t="s">
        <v>897</v>
      </c>
    </row>
    <row r="75" spans="2:14" x14ac:dyDescent="0.2">
      <c r="B75" s="38"/>
      <c r="C75" s="40" t="s">
        <v>893</v>
      </c>
      <c r="D75" s="40"/>
      <c r="E75" s="40"/>
      <c r="F75" s="40"/>
      <c r="G75" s="40"/>
      <c r="H75" s="40"/>
      <c r="I75" s="40"/>
      <c r="J75" s="175"/>
      <c r="K75" s="41"/>
      <c r="N75" s="12" t="s">
        <v>898</v>
      </c>
    </row>
    <row r="76" spans="2:14" s="178" customFormat="1" x14ac:dyDescent="0.2">
      <c r="B76" s="176"/>
      <c r="C76" s="415"/>
      <c r="D76" s="400"/>
      <c r="E76" s="400"/>
      <c r="F76" s="400"/>
      <c r="G76" s="400"/>
      <c r="H76" s="400"/>
      <c r="I76" s="400"/>
      <c r="J76" s="401"/>
      <c r="K76" s="177"/>
    </row>
    <row r="77" spans="2:14" x14ac:dyDescent="0.2">
      <c r="B77" s="38"/>
      <c r="C77" s="40"/>
      <c r="D77" s="40"/>
      <c r="E77" s="40"/>
      <c r="F77" s="40"/>
      <c r="G77" s="40"/>
      <c r="H77" s="40"/>
      <c r="I77" s="40"/>
      <c r="J77" s="40"/>
      <c r="K77" s="41"/>
    </row>
    <row r="78" spans="2:14" x14ac:dyDescent="0.2">
      <c r="B78" s="38"/>
      <c r="C78" s="179" t="s">
        <v>264</v>
      </c>
      <c r="D78" s="40"/>
      <c r="E78" s="40"/>
      <c r="F78" s="40"/>
      <c r="G78" s="40"/>
      <c r="H78" s="40"/>
      <c r="I78" s="40"/>
      <c r="J78" s="245" t="str">
        <f>IF(J72="N/A",IF(OR(J65="Not Calculated",J74="Not Calculated")=TRUE,"Not Calculated",AVERAGE(J65,J74)),AVERAGE(J72,J74))</f>
        <v>Not Calculated</v>
      </c>
      <c r="K78" s="41"/>
    </row>
    <row r="79" spans="2:14" x14ac:dyDescent="0.2">
      <c r="B79" s="38"/>
      <c r="C79" s="40"/>
      <c r="D79" s="40"/>
      <c r="E79" s="40"/>
      <c r="F79" s="40"/>
      <c r="G79" s="40"/>
      <c r="H79" s="40"/>
      <c r="I79" s="40"/>
      <c r="J79" s="40"/>
      <c r="K79" s="41"/>
    </row>
    <row r="80" spans="2:14" x14ac:dyDescent="0.2">
      <c r="B80" s="38"/>
      <c r="C80" s="40"/>
      <c r="D80" s="40"/>
      <c r="E80" s="40"/>
      <c r="F80" s="40"/>
      <c r="G80" s="40"/>
      <c r="H80" s="40"/>
      <c r="I80" s="40"/>
      <c r="J80" s="40"/>
      <c r="K80" s="41"/>
    </row>
    <row r="81" spans="2:14" ht="16" x14ac:dyDescent="0.2">
      <c r="B81" s="38"/>
      <c r="C81" s="45" t="s">
        <v>57</v>
      </c>
      <c r="D81" s="40"/>
      <c r="E81" s="40"/>
      <c r="F81" s="40"/>
      <c r="G81" s="40"/>
      <c r="H81" s="40"/>
      <c r="I81" s="40"/>
      <c r="J81" s="40"/>
      <c r="K81" s="41"/>
    </row>
    <row r="82" spans="2:14" x14ac:dyDescent="0.2">
      <c r="B82" s="38"/>
      <c r="C82" s="40" t="s">
        <v>437</v>
      </c>
      <c r="D82" s="40"/>
      <c r="E82" s="40"/>
      <c r="F82" s="40"/>
      <c r="G82" s="40"/>
      <c r="H82" s="40"/>
      <c r="I82" s="40"/>
      <c r="J82" s="252">
        <f>'Baseline Health'!G29</f>
        <v>0</v>
      </c>
      <c r="K82" s="41"/>
    </row>
    <row r="83" spans="2:14" x14ac:dyDescent="0.2">
      <c r="B83" s="38"/>
      <c r="C83" s="40" t="s">
        <v>290</v>
      </c>
      <c r="D83" s="40"/>
      <c r="E83" s="40"/>
      <c r="F83" s="40"/>
      <c r="G83" s="40"/>
      <c r="H83" s="40"/>
      <c r="I83" s="40"/>
      <c r="J83" s="264"/>
      <c r="K83" s="41"/>
    </row>
    <row r="84" spans="2:14" x14ac:dyDescent="0.2">
      <c r="B84" s="38"/>
      <c r="C84" s="40" t="s">
        <v>260</v>
      </c>
      <c r="D84" s="40"/>
      <c r="E84" s="40"/>
      <c r="F84" s="40"/>
      <c r="G84" s="40"/>
      <c r="H84" s="40"/>
      <c r="I84" s="40"/>
      <c r="J84" s="248" t="str">
        <f>IF(OR(J82=0,J82="Not Calculated")=TRUE,"Not Calculated",(IF(((J83+J82)/J82)&lt;=1,0,IF(((J83+J82)/J82)&lt;=1.05,1,IF(((J83+J82)/J82)&lt;=1.5, 2,IF(((J83+J82)/J82)&lt;=2,3,4))))))</f>
        <v>Not Calculated</v>
      </c>
      <c r="K84" s="41"/>
    </row>
    <row r="85" spans="2:14" ht="9.75" customHeight="1" x14ac:dyDescent="0.2">
      <c r="B85" s="38"/>
      <c r="C85" s="279" t="str">
        <f>"0:"</f>
        <v>0:</v>
      </c>
      <c r="D85" s="281" t="s">
        <v>918</v>
      </c>
      <c r="E85" s="40"/>
      <c r="F85" s="40"/>
      <c r="G85" s="40"/>
      <c r="H85" s="40"/>
      <c r="I85" s="40"/>
      <c r="J85" s="40"/>
      <c r="K85" s="41"/>
    </row>
    <row r="86" spans="2:14" ht="9.75" customHeight="1" x14ac:dyDescent="0.2">
      <c r="B86" s="38"/>
      <c r="C86" s="280" t="str">
        <f>"1:"</f>
        <v>1:</v>
      </c>
      <c r="D86" s="281" t="s">
        <v>919</v>
      </c>
      <c r="E86" s="40"/>
      <c r="F86" s="40"/>
      <c r="G86" s="40"/>
      <c r="H86" s="40"/>
      <c r="I86" s="40"/>
      <c r="J86" s="40"/>
      <c r="K86" s="41"/>
    </row>
    <row r="87" spans="2:14" ht="9.75" customHeight="1" x14ac:dyDescent="0.2">
      <c r="B87" s="38"/>
      <c r="C87" s="280" t="str">
        <f>"2:"</f>
        <v>2:</v>
      </c>
      <c r="D87" s="281" t="s">
        <v>920</v>
      </c>
      <c r="E87" s="40"/>
      <c r="F87" s="40"/>
      <c r="G87" s="40"/>
      <c r="H87" s="40"/>
      <c r="I87" s="40"/>
      <c r="J87" s="40"/>
      <c r="K87" s="41"/>
    </row>
    <row r="88" spans="2:14" ht="9.75" customHeight="1" x14ac:dyDescent="0.2">
      <c r="B88" s="38"/>
      <c r="C88" s="280" t="str">
        <f>"3:"</f>
        <v>3:</v>
      </c>
      <c r="D88" s="281" t="s">
        <v>921</v>
      </c>
      <c r="E88" s="40"/>
      <c r="F88" s="40"/>
      <c r="G88" s="40"/>
      <c r="H88" s="40"/>
      <c r="I88" s="40"/>
      <c r="J88" s="40"/>
      <c r="K88" s="41"/>
    </row>
    <row r="89" spans="2:14" ht="9.75" customHeight="1" x14ac:dyDescent="0.2">
      <c r="B89" s="38"/>
      <c r="C89" s="280" t="str">
        <f>"4:"</f>
        <v>4:</v>
      </c>
      <c r="D89" s="281" t="s">
        <v>922</v>
      </c>
      <c r="E89" s="40"/>
      <c r="F89" s="40"/>
      <c r="G89" s="40"/>
      <c r="H89" s="40"/>
      <c r="I89" s="40"/>
      <c r="J89" s="40"/>
      <c r="K89" s="41"/>
      <c r="N89" s="12" t="s">
        <v>661</v>
      </c>
    </row>
    <row r="90" spans="2:14" x14ac:dyDescent="0.2">
      <c r="B90" s="38"/>
      <c r="C90" s="174" t="s">
        <v>662</v>
      </c>
      <c r="D90" s="40"/>
      <c r="E90" s="40"/>
      <c r="F90" s="40"/>
      <c r="G90" s="40"/>
      <c r="H90" s="40"/>
      <c r="I90" s="40"/>
      <c r="J90" s="265" t="s">
        <v>661</v>
      </c>
      <c r="K90" s="41"/>
      <c r="N90" s="12" t="s">
        <v>894</v>
      </c>
    </row>
    <row r="91" spans="2:14" x14ac:dyDescent="0.2">
      <c r="B91" s="38"/>
      <c r="C91" s="174" t="s">
        <v>660</v>
      </c>
      <c r="D91" s="40"/>
      <c r="E91" s="40"/>
      <c r="F91" s="40"/>
      <c r="G91" s="40"/>
      <c r="H91" s="40"/>
      <c r="I91" s="40"/>
      <c r="J91" s="246" t="str">
        <f>IF(J90=N89,"N/A",IF(J90=N90,0,IF(J90=N91,1,IF(J90=N92,2,IF(J90=N93,3,IF(J90=N94,4,"N/A"))))))</f>
        <v>N/A</v>
      </c>
      <c r="K91" s="41"/>
      <c r="N91" s="12" t="s">
        <v>895</v>
      </c>
    </row>
    <row r="92" spans="2:14" x14ac:dyDescent="0.2">
      <c r="B92" s="38"/>
      <c r="C92" s="40" t="s">
        <v>257</v>
      </c>
      <c r="D92" s="40"/>
      <c r="E92" s="40"/>
      <c r="F92" s="40"/>
      <c r="G92" s="40"/>
      <c r="H92" s="40"/>
      <c r="I92" s="40"/>
      <c r="J92" s="266"/>
      <c r="K92" s="41"/>
      <c r="N92" s="12" t="s">
        <v>896</v>
      </c>
    </row>
    <row r="93" spans="2:14" x14ac:dyDescent="0.2">
      <c r="B93" s="38"/>
      <c r="C93" s="40" t="s">
        <v>261</v>
      </c>
      <c r="D93" s="40"/>
      <c r="E93" s="40"/>
      <c r="F93" s="40"/>
      <c r="G93" s="40"/>
      <c r="H93" s="40"/>
      <c r="I93" s="40"/>
      <c r="J93" s="245" t="str">
        <f>IF(J92=$B$973,$A$973,IF(J92=$B$974,$A$974,IF(J92=$B$975,$A$975,IF(J92=$B$976,$A$976,IF(J92=$B$977,$A$977,"Not Calculated")))))</f>
        <v>Not Calculated</v>
      </c>
      <c r="K93" s="41"/>
      <c r="N93" s="12" t="s">
        <v>897</v>
      </c>
    </row>
    <row r="94" spans="2:14" x14ac:dyDescent="0.2">
      <c r="B94" s="38"/>
      <c r="C94" s="40" t="s">
        <v>893</v>
      </c>
      <c r="D94" s="40"/>
      <c r="E94" s="40"/>
      <c r="F94" s="40"/>
      <c r="G94" s="40"/>
      <c r="H94" s="40"/>
      <c r="I94" s="40"/>
      <c r="J94" s="175"/>
      <c r="K94" s="41"/>
      <c r="N94" s="12" t="s">
        <v>898</v>
      </c>
    </row>
    <row r="95" spans="2:14" s="178" customFormat="1" x14ac:dyDescent="0.2">
      <c r="B95" s="176"/>
      <c r="C95" s="415"/>
      <c r="D95" s="400"/>
      <c r="E95" s="400"/>
      <c r="F95" s="400"/>
      <c r="G95" s="400"/>
      <c r="H95" s="400"/>
      <c r="I95" s="400"/>
      <c r="J95" s="401"/>
      <c r="K95" s="177"/>
    </row>
    <row r="96" spans="2:14" x14ac:dyDescent="0.2">
      <c r="B96" s="38"/>
      <c r="C96" s="40"/>
      <c r="D96" s="40"/>
      <c r="E96" s="40"/>
      <c r="F96" s="40"/>
      <c r="G96" s="40"/>
      <c r="H96" s="40"/>
      <c r="I96" s="40"/>
      <c r="J96" s="40"/>
      <c r="K96" s="41"/>
    </row>
    <row r="97" spans="2:14" x14ac:dyDescent="0.2">
      <c r="B97" s="38"/>
      <c r="C97" s="179" t="s">
        <v>265</v>
      </c>
      <c r="D97" s="40"/>
      <c r="E97" s="40"/>
      <c r="F97" s="40"/>
      <c r="G97" s="40"/>
      <c r="H97" s="40"/>
      <c r="I97" s="40"/>
      <c r="J97" s="245" t="str">
        <f>IF(J91="N/A",IF(OR(J84="Not Calculated",J93="Not Calculated")=TRUE,"Not Calculated",AVERAGE(J84,J93)),AVERAGE(J91,J93))</f>
        <v>Not Calculated</v>
      </c>
      <c r="K97" s="41"/>
    </row>
    <row r="98" spans="2:14" x14ac:dyDescent="0.2">
      <c r="B98" s="38"/>
      <c r="C98" s="40"/>
      <c r="D98" s="40"/>
      <c r="E98" s="40"/>
      <c r="F98" s="40"/>
      <c r="G98" s="40"/>
      <c r="H98" s="40"/>
      <c r="I98" s="40"/>
      <c r="J98" s="40"/>
      <c r="K98" s="41"/>
    </row>
    <row r="99" spans="2:14" x14ac:dyDescent="0.2">
      <c r="B99" s="38"/>
      <c r="C99" s="40"/>
      <c r="D99" s="40"/>
      <c r="E99" s="40"/>
      <c r="F99" s="40"/>
      <c r="G99" s="40"/>
      <c r="H99" s="40"/>
      <c r="I99" s="40"/>
      <c r="J99" s="40"/>
      <c r="K99" s="41"/>
    </row>
    <row r="100" spans="2:14" ht="16" x14ac:dyDescent="0.2">
      <c r="B100" s="38"/>
      <c r="C100" s="45" t="s">
        <v>60</v>
      </c>
      <c r="D100" s="40"/>
      <c r="E100" s="40"/>
      <c r="F100" s="40"/>
      <c r="G100" s="40"/>
      <c r="H100" s="40"/>
      <c r="I100" s="40"/>
      <c r="J100" s="40"/>
      <c r="K100" s="41"/>
    </row>
    <row r="101" spans="2:14" x14ac:dyDescent="0.2">
      <c r="B101" s="38"/>
      <c r="C101" s="40" t="s">
        <v>438</v>
      </c>
      <c r="D101" s="40"/>
      <c r="E101" s="40"/>
      <c r="F101" s="40"/>
      <c r="G101" s="40"/>
      <c r="H101" s="40"/>
      <c r="I101" s="40"/>
      <c r="J101" s="252">
        <f>'Baseline Health'!G35</f>
        <v>0</v>
      </c>
      <c r="K101" s="41"/>
    </row>
    <row r="102" spans="2:14" x14ac:dyDescent="0.2">
      <c r="B102" s="38"/>
      <c r="C102" s="40" t="s">
        <v>291</v>
      </c>
      <c r="D102" s="40"/>
      <c r="E102" s="40"/>
      <c r="F102" s="40"/>
      <c r="G102" s="40"/>
      <c r="H102" s="40"/>
      <c r="I102" s="40"/>
      <c r="J102" s="264"/>
      <c r="K102" s="41"/>
    </row>
    <row r="103" spans="2:14" x14ac:dyDescent="0.2">
      <c r="B103" s="38"/>
      <c r="C103" s="40" t="s">
        <v>260</v>
      </c>
      <c r="D103" s="40"/>
      <c r="E103" s="40"/>
      <c r="F103" s="40"/>
      <c r="G103" s="40"/>
      <c r="H103" s="40"/>
      <c r="I103" s="40"/>
      <c r="J103" s="248" t="str">
        <f>IF(OR(J101=0,J101="Not Calculated")=TRUE,"Not Calculated",(IF(((J102+J101)/J101)&lt;=1,0,IF(((J102+J101)/J101)&lt;=1.05,1,IF(((J102+J101)/J101)&lt;=1.5, 2,IF(((J102+J101)/J101)&lt;=2,3,4))))))</f>
        <v>Not Calculated</v>
      </c>
      <c r="K103" s="41"/>
    </row>
    <row r="104" spans="2:14" ht="9.75" customHeight="1" x14ac:dyDescent="0.2">
      <c r="B104" s="38"/>
      <c r="C104" s="279" t="str">
        <f>"0:"</f>
        <v>0:</v>
      </c>
      <c r="D104" s="281" t="s">
        <v>918</v>
      </c>
      <c r="E104" s="40"/>
      <c r="F104" s="40"/>
      <c r="G104" s="40"/>
      <c r="H104" s="40"/>
      <c r="I104" s="40"/>
      <c r="J104" s="40"/>
      <c r="K104" s="41"/>
    </row>
    <row r="105" spans="2:14" ht="9.75" customHeight="1" x14ac:dyDescent="0.2">
      <c r="B105" s="38"/>
      <c r="C105" s="280" t="str">
        <f>"1:"</f>
        <v>1:</v>
      </c>
      <c r="D105" s="281" t="s">
        <v>919</v>
      </c>
      <c r="E105" s="40"/>
      <c r="F105" s="40"/>
      <c r="G105" s="40"/>
      <c r="H105" s="40"/>
      <c r="I105" s="40"/>
      <c r="J105" s="40"/>
      <c r="K105" s="41"/>
    </row>
    <row r="106" spans="2:14" ht="9.75" customHeight="1" x14ac:dyDescent="0.2">
      <c r="B106" s="38"/>
      <c r="C106" s="280" t="str">
        <f>"2:"</f>
        <v>2:</v>
      </c>
      <c r="D106" s="281" t="s">
        <v>920</v>
      </c>
      <c r="E106" s="40"/>
      <c r="F106" s="40"/>
      <c r="G106" s="40"/>
      <c r="H106" s="40"/>
      <c r="I106" s="40"/>
      <c r="J106" s="40"/>
      <c r="K106" s="41"/>
    </row>
    <row r="107" spans="2:14" ht="9.75" customHeight="1" x14ac:dyDescent="0.2">
      <c r="B107" s="38"/>
      <c r="C107" s="280" t="str">
        <f>"3:"</f>
        <v>3:</v>
      </c>
      <c r="D107" s="281" t="s">
        <v>921</v>
      </c>
      <c r="E107" s="40"/>
      <c r="F107" s="40"/>
      <c r="G107" s="40"/>
      <c r="H107" s="40"/>
      <c r="I107" s="40"/>
      <c r="J107" s="40"/>
      <c r="K107" s="41"/>
    </row>
    <row r="108" spans="2:14" ht="9.75" customHeight="1" x14ac:dyDescent="0.2">
      <c r="B108" s="38"/>
      <c r="C108" s="280" t="str">
        <f>"4:"</f>
        <v>4:</v>
      </c>
      <c r="D108" s="281" t="s">
        <v>922</v>
      </c>
      <c r="E108" s="40"/>
      <c r="F108" s="40"/>
      <c r="G108" s="40"/>
      <c r="H108" s="40"/>
      <c r="I108" s="40"/>
      <c r="J108" s="40"/>
      <c r="K108" s="41"/>
      <c r="N108" s="12" t="s">
        <v>661</v>
      </c>
    </row>
    <row r="109" spans="2:14" x14ac:dyDescent="0.2">
      <c r="B109" s="38"/>
      <c r="C109" s="174" t="s">
        <v>662</v>
      </c>
      <c r="D109" s="40"/>
      <c r="E109" s="40"/>
      <c r="F109" s="40"/>
      <c r="G109" s="40"/>
      <c r="H109" s="40"/>
      <c r="I109" s="40"/>
      <c r="J109" s="265" t="s">
        <v>661</v>
      </c>
      <c r="K109" s="41"/>
      <c r="N109" s="12" t="s">
        <v>894</v>
      </c>
    </row>
    <row r="110" spans="2:14" x14ac:dyDescent="0.2">
      <c r="B110" s="38"/>
      <c r="C110" s="174" t="s">
        <v>660</v>
      </c>
      <c r="D110" s="40"/>
      <c r="E110" s="40"/>
      <c r="F110" s="40"/>
      <c r="G110" s="40"/>
      <c r="H110" s="40"/>
      <c r="I110" s="40"/>
      <c r="J110" s="246" t="str">
        <f>IF(J109=N108,"N/A",IF(J109=N109,0,IF(J109=N110,1,IF(J109=N111,2,IF(J109=N112,3,IF(J109=N113,4,"N/A"))))))</f>
        <v>N/A</v>
      </c>
      <c r="K110" s="41"/>
      <c r="N110" s="12" t="s">
        <v>895</v>
      </c>
    </row>
    <row r="111" spans="2:14" x14ac:dyDescent="0.2">
      <c r="B111" s="38"/>
      <c r="C111" s="40" t="s">
        <v>257</v>
      </c>
      <c r="D111" s="40"/>
      <c r="E111" s="40"/>
      <c r="F111" s="40"/>
      <c r="G111" s="40"/>
      <c r="H111" s="40"/>
      <c r="I111" s="40"/>
      <c r="J111" s="266"/>
      <c r="K111" s="41"/>
      <c r="N111" s="12" t="s">
        <v>896</v>
      </c>
    </row>
    <row r="112" spans="2:14" x14ac:dyDescent="0.2">
      <c r="B112" s="38"/>
      <c r="C112" s="40" t="s">
        <v>261</v>
      </c>
      <c r="D112" s="40"/>
      <c r="E112" s="40"/>
      <c r="F112" s="40"/>
      <c r="G112" s="40"/>
      <c r="H112" s="40"/>
      <c r="I112" s="40"/>
      <c r="J112" s="245" t="str">
        <f>IF(J111=$B$973,$A$973,IF(J111=$B$974,$A$974,IF(J111=$B$975,$A$975,IF(J111=$B$976,$A$976,IF(J111=$B$977,$A$977,"Not Calculated")))))</f>
        <v>Not Calculated</v>
      </c>
      <c r="K112" s="41"/>
      <c r="N112" s="12" t="s">
        <v>897</v>
      </c>
    </row>
    <row r="113" spans="2:14" x14ac:dyDescent="0.2">
      <c r="B113" s="38"/>
      <c r="C113" s="40" t="s">
        <v>893</v>
      </c>
      <c r="D113" s="40"/>
      <c r="E113" s="40"/>
      <c r="F113" s="40"/>
      <c r="G113" s="40"/>
      <c r="H113" s="40"/>
      <c r="I113" s="40"/>
      <c r="J113" s="175"/>
      <c r="K113" s="41"/>
      <c r="N113" s="12" t="s">
        <v>898</v>
      </c>
    </row>
    <row r="114" spans="2:14" s="178" customFormat="1" x14ac:dyDescent="0.2">
      <c r="B114" s="176"/>
      <c r="C114" s="415"/>
      <c r="D114" s="400"/>
      <c r="E114" s="400"/>
      <c r="F114" s="400"/>
      <c r="G114" s="400"/>
      <c r="H114" s="400"/>
      <c r="I114" s="400"/>
      <c r="J114" s="401"/>
      <c r="K114" s="177"/>
    </row>
    <row r="115" spans="2:14" x14ac:dyDescent="0.2">
      <c r="B115" s="38"/>
      <c r="C115" s="40"/>
      <c r="D115" s="40"/>
      <c r="E115" s="40"/>
      <c r="F115" s="40"/>
      <c r="G115" s="40"/>
      <c r="H115" s="40"/>
      <c r="I115" s="40"/>
      <c r="J115" s="40"/>
      <c r="K115" s="41"/>
    </row>
    <row r="116" spans="2:14" x14ac:dyDescent="0.2">
      <c r="B116" s="38"/>
      <c r="C116" s="179" t="s">
        <v>266</v>
      </c>
      <c r="D116" s="40"/>
      <c r="E116" s="40"/>
      <c r="F116" s="40"/>
      <c r="G116" s="40"/>
      <c r="H116" s="40"/>
      <c r="I116" s="40"/>
      <c r="J116" s="245" t="str">
        <f>IF(J110="N/A",IF(OR(J103="Not Calculated",J112="Not Calculated")=TRUE,"Not Calculated",AVERAGE(J103,J112)),AVERAGE(J110,J112))</f>
        <v>Not Calculated</v>
      </c>
      <c r="K116" s="41"/>
    </row>
    <row r="117" spans="2:14" x14ac:dyDescent="0.2">
      <c r="B117" s="38"/>
      <c r="C117" s="40"/>
      <c r="D117" s="40"/>
      <c r="E117" s="40"/>
      <c r="F117" s="40"/>
      <c r="G117" s="40"/>
      <c r="H117" s="40"/>
      <c r="I117" s="40"/>
      <c r="J117" s="40"/>
      <c r="K117" s="41"/>
    </row>
    <row r="118" spans="2:14" x14ac:dyDescent="0.2">
      <c r="B118" s="38"/>
      <c r="C118" s="40"/>
      <c r="D118" s="40"/>
      <c r="E118" s="40"/>
      <c r="F118" s="40"/>
      <c r="G118" s="40"/>
      <c r="H118" s="40"/>
      <c r="I118" s="40"/>
      <c r="J118" s="40"/>
      <c r="K118" s="41"/>
    </row>
    <row r="119" spans="2:14" ht="16" x14ac:dyDescent="0.2">
      <c r="B119" s="38"/>
      <c r="C119" s="45" t="s">
        <v>262</v>
      </c>
      <c r="D119" s="40"/>
      <c r="E119" s="40"/>
      <c r="F119" s="40"/>
      <c r="G119" s="40"/>
      <c r="H119" s="40"/>
      <c r="I119" s="40"/>
      <c r="J119" s="40"/>
      <c r="K119" s="41"/>
    </row>
    <row r="120" spans="2:14" ht="15" customHeight="1" x14ac:dyDescent="0.2">
      <c r="B120" s="38"/>
      <c r="C120" s="422" t="s">
        <v>268</v>
      </c>
      <c r="D120" s="422"/>
      <c r="E120" s="422"/>
      <c r="F120" s="422"/>
      <c r="G120" s="422"/>
      <c r="H120" s="422"/>
      <c r="I120" s="422"/>
      <c r="J120" s="422"/>
      <c r="K120" s="41"/>
    </row>
    <row r="121" spans="2:14" x14ac:dyDescent="0.2">
      <c r="B121" s="38"/>
      <c r="C121" s="422"/>
      <c r="D121" s="422"/>
      <c r="E121" s="422"/>
      <c r="F121" s="422"/>
      <c r="G121" s="422"/>
      <c r="H121" s="422"/>
      <c r="I121" s="422"/>
      <c r="J121" s="422"/>
      <c r="K121" s="41"/>
    </row>
    <row r="122" spans="2:14" x14ac:dyDescent="0.2">
      <c r="B122" s="38"/>
      <c r="C122" s="423"/>
      <c r="D122" s="423"/>
      <c r="E122" s="423"/>
      <c r="F122" s="423"/>
      <c r="G122" s="423"/>
      <c r="H122" s="423"/>
      <c r="I122" s="423"/>
      <c r="J122" s="423"/>
      <c r="K122" s="41"/>
    </row>
    <row r="123" spans="2:14" ht="15" customHeight="1" x14ac:dyDescent="0.2">
      <c r="B123" s="38"/>
      <c r="C123" s="416"/>
      <c r="D123" s="417"/>
      <c r="E123" s="417"/>
      <c r="F123" s="417"/>
      <c r="G123" s="417"/>
      <c r="H123" s="417"/>
      <c r="I123" s="417"/>
      <c r="J123" s="418"/>
      <c r="K123" s="41"/>
    </row>
    <row r="124" spans="2:14" x14ac:dyDescent="0.2">
      <c r="B124" s="38"/>
      <c r="C124" s="419"/>
      <c r="D124" s="420"/>
      <c r="E124" s="420"/>
      <c r="F124" s="420"/>
      <c r="G124" s="420"/>
      <c r="H124" s="420"/>
      <c r="I124" s="420"/>
      <c r="J124" s="421"/>
      <c r="K124" s="41"/>
    </row>
    <row r="125" spans="2:14" ht="15" customHeight="1" x14ac:dyDescent="0.2">
      <c r="B125" s="38"/>
      <c r="C125" s="40" t="s">
        <v>260</v>
      </c>
      <c r="D125" s="40"/>
      <c r="E125" s="40"/>
      <c r="F125" s="40"/>
      <c r="G125" s="40"/>
      <c r="H125" s="40"/>
      <c r="I125" s="40"/>
      <c r="J125" s="247" t="str">
        <f>IF(C123=B987,A987,IF(C123=B988,A988,IF(C123=B989,A989,IF(C123=B990,A990,IF(C123=B991,A991,"Not Calculated")))))</f>
        <v>Not Calculated</v>
      </c>
      <c r="K125" s="41"/>
    </row>
    <row r="126" spans="2:14" ht="15" customHeight="1" x14ac:dyDescent="0.2">
      <c r="B126" s="38"/>
      <c r="C126" s="40" t="s">
        <v>257</v>
      </c>
      <c r="D126" s="40"/>
      <c r="E126" s="40"/>
      <c r="F126" s="40"/>
      <c r="G126" s="40"/>
      <c r="H126" s="40"/>
      <c r="I126" s="40"/>
      <c r="J126" s="266"/>
      <c r="K126" s="41"/>
    </row>
    <row r="127" spans="2:14" x14ac:dyDescent="0.2">
      <c r="B127" s="38"/>
      <c r="C127" s="40" t="s">
        <v>261</v>
      </c>
      <c r="D127" s="40"/>
      <c r="E127" s="40"/>
      <c r="F127" s="40"/>
      <c r="G127" s="40"/>
      <c r="H127" s="40"/>
      <c r="I127" s="40"/>
      <c r="J127" s="245" t="str">
        <f>IF(J126=$B$973,$A$973,IF(J126=$B$974,$A$974,IF(J126=$B$975,$A$975,IF(J126=$B$976,$A$976,IF(J126=$B$977,$A$977,"Not Calculated")))))</f>
        <v>Not Calculated</v>
      </c>
      <c r="K127" s="41"/>
    </row>
    <row r="128" spans="2:14" ht="15" customHeight="1" x14ac:dyDescent="0.2">
      <c r="B128" s="38"/>
      <c r="C128" s="40" t="s">
        <v>893</v>
      </c>
      <c r="D128" s="40"/>
      <c r="E128" s="40"/>
      <c r="F128" s="40"/>
      <c r="G128" s="40"/>
      <c r="H128" s="40"/>
      <c r="I128" s="40"/>
      <c r="J128" s="175"/>
      <c r="K128" s="41"/>
    </row>
    <row r="129" spans="2:11" s="178" customFormat="1" ht="15" customHeight="1" x14ac:dyDescent="0.2">
      <c r="B129" s="176"/>
      <c r="C129" s="415"/>
      <c r="D129" s="400"/>
      <c r="E129" s="400"/>
      <c r="F129" s="400"/>
      <c r="G129" s="400"/>
      <c r="H129" s="400"/>
      <c r="I129" s="400"/>
      <c r="J129" s="401"/>
      <c r="K129" s="177"/>
    </row>
    <row r="130" spans="2:11" x14ac:dyDescent="0.2">
      <c r="B130" s="38"/>
      <c r="C130" s="40"/>
      <c r="D130" s="40"/>
      <c r="E130" s="40"/>
      <c r="F130" s="40"/>
      <c r="G130" s="40"/>
      <c r="H130" s="40"/>
      <c r="I130" s="40"/>
      <c r="J130" s="40"/>
      <c r="K130" s="41"/>
    </row>
    <row r="131" spans="2:11" x14ac:dyDescent="0.2">
      <c r="B131" s="38"/>
      <c r="C131" s="179" t="s">
        <v>267</v>
      </c>
      <c r="D131" s="40"/>
      <c r="E131" s="40"/>
      <c r="F131" s="40"/>
      <c r="G131" s="40"/>
      <c r="H131" s="40"/>
      <c r="I131" s="40"/>
      <c r="J131" s="245" t="str">
        <f>IF(OR(J125="Not Calculated",J127="Not Calculated")=TRUE,"Not Calculated",AVERAGE(J125,J127))</f>
        <v>Not Calculated</v>
      </c>
      <c r="K131" s="41"/>
    </row>
    <row r="132" spans="2:11" x14ac:dyDescent="0.2">
      <c r="B132" s="38"/>
      <c r="C132" s="179"/>
      <c r="D132" s="40"/>
      <c r="E132" s="40"/>
      <c r="F132" s="40"/>
      <c r="G132" s="40"/>
      <c r="H132" s="40"/>
      <c r="I132" s="40"/>
      <c r="J132" s="245"/>
      <c r="K132" s="41"/>
    </row>
    <row r="133" spans="2:11" ht="18" x14ac:dyDescent="0.2">
      <c r="B133" s="38"/>
      <c r="C133" s="180" t="s">
        <v>269</v>
      </c>
      <c r="D133" s="40"/>
      <c r="E133" s="40"/>
      <c r="F133" s="40"/>
      <c r="G133" s="40"/>
      <c r="H133" s="40"/>
      <c r="I133" s="40"/>
      <c r="J133" s="244" t="str">
        <f>IF(OR(J40="Not Calculated",J59="Not Calculated",J78="Not Calculated",J97="Not Calculated",J116="Not Calculated",J131="Not Calculated",)=TRUE,"Not Calculated",AVERAGE(J40,J59,J78,J97,J116,J131))</f>
        <v>Not Calculated</v>
      </c>
      <c r="K133" s="41"/>
    </row>
    <row r="134" spans="2:11" ht="16" thickBot="1" x14ac:dyDescent="0.25">
      <c r="B134" s="46"/>
      <c r="C134" s="47"/>
      <c r="D134" s="47"/>
      <c r="E134" s="47"/>
      <c r="F134" s="47"/>
      <c r="G134" s="47"/>
      <c r="H134" s="47"/>
      <c r="I134" s="47"/>
      <c r="J134" s="47"/>
      <c r="K134" s="49"/>
    </row>
    <row r="135" spans="2:11" ht="16" thickBot="1" x14ac:dyDescent="0.25"/>
    <row r="136" spans="2:11" x14ac:dyDescent="0.2">
      <c r="B136" s="33"/>
      <c r="C136" s="34"/>
      <c r="D136" s="34"/>
      <c r="E136" s="34"/>
      <c r="F136" s="34"/>
      <c r="G136" s="34"/>
      <c r="H136" s="34"/>
      <c r="I136" s="34"/>
      <c r="J136" s="34"/>
      <c r="K136" s="37"/>
    </row>
    <row r="137" spans="2:11" ht="21" x14ac:dyDescent="0.25">
      <c r="B137" s="38"/>
      <c r="C137" s="171"/>
      <c r="D137" s="40"/>
      <c r="E137" s="40"/>
      <c r="F137" s="40"/>
      <c r="G137" s="172" t="s">
        <v>27</v>
      </c>
      <c r="H137" s="40"/>
      <c r="I137" s="40"/>
      <c r="J137" s="40"/>
      <c r="K137" s="41"/>
    </row>
    <row r="138" spans="2:11" x14ac:dyDescent="0.2">
      <c r="B138" s="38"/>
      <c r="C138" s="40"/>
      <c r="D138" s="40"/>
      <c r="E138" s="40"/>
      <c r="F138" s="40"/>
      <c r="G138" s="40"/>
      <c r="H138" s="40"/>
      <c r="I138" s="40"/>
      <c r="J138" s="40"/>
      <c r="K138" s="41"/>
    </row>
    <row r="139" spans="2:11" ht="16" x14ac:dyDescent="0.2">
      <c r="B139" s="38"/>
      <c r="C139" s="45" t="s">
        <v>72</v>
      </c>
      <c r="D139" s="40"/>
      <c r="E139" s="40"/>
      <c r="F139" s="40"/>
      <c r="G139" s="40"/>
      <c r="H139" s="40"/>
      <c r="I139" s="40"/>
      <c r="J139" s="40"/>
      <c r="K139" s="41"/>
    </row>
    <row r="140" spans="2:11" x14ac:dyDescent="0.2">
      <c r="B140" s="38"/>
      <c r="C140" s="40" t="s">
        <v>440</v>
      </c>
      <c r="D140" s="40"/>
      <c r="E140" s="40"/>
      <c r="F140" s="40"/>
      <c r="G140" s="40"/>
      <c r="H140" s="40"/>
      <c r="I140" s="40"/>
      <c r="J140" s="252">
        <f>'Baseline Health'!G45</f>
        <v>0</v>
      </c>
      <c r="K140" s="41"/>
    </row>
    <row r="141" spans="2:11" x14ac:dyDescent="0.2">
      <c r="B141" s="38"/>
      <c r="C141" s="40" t="s">
        <v>270</v>
      </c>
      <c r="D141" s="40"/>
      <c r="E141" s="40"/>
      <c r="F141" s="40"/>
      <c r="G141" s="40"/>
      <c r="H141" s="40"/>
      <c r="I141" s="40"/>
      <c r="J141" s="264"/>
      <c r="K141" s="41"/>
    </row>
    <row r="142" spans="2:11" x14ac:dyDescent="0.2">
      <c r="B142" s="38"/>
      <c r="C142" s="40" t="s">
        <v>439</v>
      </c>
      <c r="D142" s="40"/>
      <c r="E142" s="40"/>
      <c r="F142" s="40"/>
      <c r="G142" s="40"/>
      <c r="H142" s="40"/>
      <c r="I142" s="40"/>
      <c r="J142" s="251">
        <f>J83/20</f>
        <v>0</v>
      </c>
      <c r="K142" s="41"/>
    </row>
    <row r="143" spans="2:11" x14ac:dyDescent="0.2">
      <c r="B143" s="38"/>
      <c r="C143" s="40"/>
      <c r="D143" s="40" t="s">
        <v>351</v>
      </c>
      <c r="E143" s="40"/>
      <c r="F143" s="40"/>
      <c r="G143" s="40"/>
      <c r="H143" s="40"/>
      <c r="I143" s="40"/>
      <c r="J143" s="40"/>
      <c r="K143" s="41"/>
    </row>
    <row r="144" spans="2:11" x14ac:dyDescent="0.2">
      <c r="B144" s="38"/>
      <c r="C144" s="40" t="s">
        <v>260</v>
      </c>
      <c r="D144" s="40"/>
      <c r="E144" s="40"/>
      <c r="F144" s="40"/>
      <c r="G144" s="40"/>
      <c r="H144" s="40"/>
      <c r="I144" s="40"/>
      <c r="J144" s="245" t="str">
        <f>IF(OR(J140=0,J140="Not Calculated")=TRUE,"Not Calculated",IF((J140-J141)&lt;=0,4,IF(((J140+J142)/(J140-J141))&lt;=1,0,IF(((J140+J142)/(J140-J141))&lt;=1.05,1,IF(((J140+J142)/(J140-J141))&lt;=1.5, 2,IF(((J140+J142)/(J140-J141))&lt;=2,3,4))))))</f>
        <v>Not Calculated</v>
      </c>
      <c r="K144" s="41"/>
    </row>
    <row r="145" spans="2:14" ht="9.75" customHeight="1" x14ac:dyDescent="0.2">
      <c r="B145" s="38"/>
      <c r="C145" s="279" t="str">
        <f>"0:"</f>
        <v>0:</v>
      </c>
      <c r="D145" s="278" t="s">
        <v>918</v>
      </c>
      <c r="E145" s="40"/>
      <c r="F145" s="40"/>
      <c r="G145" s="40"/>
      <c r="H145" s="40"/>
      <c r="I145" s="40"/>
      <c r="J145" s="40"/>
      <c r="K145" s="41"/>
    </row>
    <row r="146" spans="2:14" ht="9.75" customHeight="1" x14ac:dyDescent="0.2">
      <c r="B146" s="38"/>
      <c r="C146" s="280" t="str">
        <f>"1:"</f>
        <v>1:</v>
      </c>
      <c r="D146" s="278" t="s">
        <v>923</v>
      </c>
      <c r="E146" s="40"/>
      <c r="F146" s="40"/>
      <c r="G146" s="40"/>
      <c r="H146" s="40"/>
      <c r="I146" s="40"/>
      <c r="J146" s="40"/>
      <c r="K146" s="41"/>
    </row>
    <row r="147" spans="2:14" ht="9.75" customHeight="1" x14ac:dyDescent="0.2">
      <c r="B147" s="38"/>
      <c r="C147" s="280" t="str">
        <f>"2:"</f>
        <v>2:</v>
      </c>
      <c r="D147" s="278" t="s">
        <v>924</v>
      </c>
      <c r="E147" s="40"/>
      <c r="F147" s="40"/>
      <c r="G147" s="40"/>
      <c r="H147" s="40"/>
      <c r="I147" s="40"/>
      <c r="J147" s="40"/>
      <c r="K147" s="41"/>
    </row>
    <row r="148" spans="2:14" ht="9.75" customHeight="1" x14ac:dyDescent="0.2">
      <c r="B148" s="38"/>
      <c r="C148" s="280" t="str">
        <f>"3:"</f>
        <v>3:</v>
      </c>
      <c r="D148" s="278" t="s">
        <v>925</v>
      </c>
      <c r="E148" s="40"/>
      <c r="F148" s="40"/>
      <c r="G148" s="40"/>
      <c r="H148" s="40"/>
      <c r="I148" s="40"/>
      <c r="J148" s="40"/>
      <c r="K148" s="41"/>
    </row>
    <row r="149" spans="2:14" ht="9.75" customHeight="1" x14ac:dyDescent="0.2">
      <c r="B149" s="38"/>
      <c r="C149" s="280" t="str">
        <f>"4:"</f>
        <v>4:</v>
      </c>
      <c r="D149" s="278" t="s">
        <v>926</v>
      </c>
      <c r="E149" s="40"/>
      <c r="F149" s="40"/>
      <c r="G149" s="40"/>
      <c r="H149" s="40"/>
      <c r="I149" s="40"/>
      <c r="J149" s="40"/>
      <c r="K149" s="41"/>
      <c r="N149" s="12" t="s">
        <v>661</v>
      </c>
    </row>
    <row r="150" spans="2:14" x14ac:dyDescent="0.2">
      <c r="B150" s="38"/>
      <c r="C150" s="174" t="s">
        <v>662</v>
      </c>
      <c r="D150" s="40"/>
      <c r="E150" s="40"/>
      <c r="F150" s="40"/>
      <c r="G150" s="40"/>
      <c r="H150" s="40"/>
      <c r="I150" s="40"/>
      <c r="J150" s="265" t="s">
        <v>661</v>
      </c>
      <c r="K150" s="41"/>
      <c r="N150" s="12" t="s">
        <v>894</v>
      </c>
    </row>
    <row r="151" spans="2:14" x14ac:dyDescent="0.2">
      <c r="B151" s="38"/>
      <c r="C151" s="174" t="s">
        <v>660</v>
      </c>
      <c r="D151" s="40"/>
      <c r="E151" s="40"/>
      <c r="F151" s="40"/>
      <c r="G151" s="40"/>
      <c r="H151" s="40"/>
      <c r="I151" s="40"/>
      <c r="J151" s="246" t="str">
        <f>IF(J150=N149,"N/A",IF(J150=N150,0,IF(J150=N151,1,IF(J150=N152,2,IF(J150=N153,3,IF(J150=N154,4,"N/A"))))))</f>
        <v>N/A</v>
      </c>
      <c r="K151" s="41"/>
      <c r="N151" s="12" t="s">
        <v>899</v>
      </c>
    </row>
    <row r="152" spans="2:14" x14ac:dyDescent="0.2">
      <c r="B152" s="38"/>
      <c r="C152" s="40" t="s">
        <v>257</v>
      </c>
      <c r="D152" s="40"/>
      <c r="E152" s="40"/>
      <c r="F152" s="40"/>
      <c r="G152" s="40"/>
      <c r="H152" s="40"/>
      <c r="I152" s="40"/>
      <c r="J152" s="266"/>
      <c r="K152" s="41"/>
      <c r="N152" s="12" t="s">
        <v>900</v>
      </c>
    </row>
    <row r="153" spans="2:14" x14ac:dyDescent="0.2">
      <c r="B153" s="38"/>
      <c r="C153" s="40" t="s">
        <v>261</v>
      </c>
      <c r="D153" s="40"/>
      <c r="E153" s="40"/>
      <c r="F153" s="40"/>
      <c r="G153" s="40"/>
      <c r="H153" s="40"/>
      <c r="I153" s="40"/>
      <c r="J153" s="245" t="str">
        <f>IF(J152=$B$973,$A$973,IF(J152=$B$974,$A$974,IF(J152=$B$975,$A$975,IF(J152=$B$976,$A$976,IF(J152=$B$977,$A$977,"Not Calculated")))))</f>
        <v>Not Calculated</v>
      </c>
      <c r="K153" s="41"/>
      <c r="N153" s="12" t="s">
        <v>901</v>
      </c>
    </row>
    <row r="154" spans="2:14" x14ac:dyDescent="0.2">
      <c r="B154" s="38"/>
      <c r="C154" s="40" t="s">
        <v>893</v>
      </c>
      <c r="D154" s="40"/>
      <c r="E154" s="40"/>
      <c r="F154" s="40"/>
      <c r="G154" s="40"/>
      <c r="H154" s="40"/>
      <c r="I154" s="40"/>
      <c r="J154" s="40"/>
      <c r="K154" s="41"/>
      <c r="N154" s="12" t="s">
        <v>902</v>
      </c>
    </row>
    <row r="155" spans="2:14" ht="15" customHeight="1" x14ac:dyDescent="0.2">
      <c r="B155" s="38"/>
      <c r="C155" s="399"/>
      <c r="D155" s="400"/>
      <c r="E155" s="400"/>
      <c r="F155" s="400"/>
      <c r="G155" s="400"/>
      <c r="H155" s="400"/>
      <c r="I155" s="400"/>
      <c r="J155" s="401"/>
      <c r="K155" s="41"/>
    </row>
    <row r="156" spans="2:14" x14ac:dyDescent="0.2">
      <c r="B156" s="38"/>
      <c r="C156" s="40"/>
      <c r="D156" s="40"/>
      <c r="E156" s="40"/>
      <c r="F156" s="40"/>
      <c r="G156" s="40"/>
      <c r="H156" s="40"/>
      <c r="I156" s="40"/>
      <c r="J156" s="40"/>
      <c r="K156" s="41"/>
    </row>
    <row r="157" spans="2:14" x14ac:dyDescent="0.2">
      <c r="B157" s="38"/>
      <c r="C157" s="179" t="s">
        <v>271</v>
      </c>
      <c r="D157" s="40"/>
      <c r="E157" s="40"/>
      <c r="F157" s="40"/>
      <c r="G157" s="40"/>
      <c r="H157" s="40"/>
      <c r="I157" s="40"/>
      <c r="J157" s="245" t="str">
        <f>IF(J151="N/A",IF(OR(J144="Not Calculated",J153="Not Calculated")=TRUE,"Not Calculated",AVERAGE(J144,J153)),AVERAGE(J151,J153))</f>
        <v>Not Calculated</v>
      </c>
      <c r="K157" s="41"/>
    </row>
    <row r="158" spans="2:14" x14ac:dyDescent="0.2">
      <c r="B158" s="38"/>
      <c r="C158" s="40"/>
      <c r="D158" s="40"/>
      <c r="E158" s="40"/>
      <c r="F158" s="40"/>
      <c r="G158" s="40"/>
      <c r="H158" s="40"/>
      <c r="I158" s="40"/>
      <c r="J158" s="40"/>
      <c r="K158" s="41"/>
    </row>
    <row r="159" spans="2:14" x14ac:dyDescent="0.2">
      <c r="B159" s="38"/>
      <c r="C159" s="40"/>
      <c r="D159" s="40"/>
      <c r="E159" s="40"/>
      <c r="F159" s="40"/>
      <c r="G159" s="40"/>
      <c r="H159" s="40"/>
      <c r="I159" s="40"/>
      <c r="J159" s="40"/>
      <c r="K159" s="41"/>
    </row>
    <row r="160" spans="2:14" ht="16" x14ac:dyDescent="0.2">
      <c r="B160" s="38"/>
      <c r="C160" s="45" t="s">
        <v>273</v>
      </c>
      <c r="D160" s="40"/>
      <c r="E160" s="40"/>
      <c r="F160" s="40"/>
      <c r="G160" s="40"/>
      <c r="H160" s="40"/>
      <c r="I160" s="40"/>
      <c r="J160" s="40"/>
      <c r="K160" s="41"/>
    </row>
    <row r="161" spans="2:14" x14ac:dyDescent="0.2">
      <c r="B161" s="38"/>
      <c r="C161" s="40" t="s">
        <v>441</v>
      </c>
      <c r="D161" s="40"/>
      <c r="E161" s="40"/>
      <c r="F161" s="40"/>
      <c r="G161" s="40"/>
      <c r="H161" s="40"/>
      <c r="I161" s="40"/>
      <c r="J161" s="252">
        <f>'Baseline Health'!G51</f>
        <v>0</v>
      </c>
      <c r="K161" s="41"/>
    </row>
    <row r="162" spans="2:14" x14ac:dyDescent="0.2">
      <c r="B162" s="38"/>
      <c r="C162" s="40" t="s">
        <v>280</v>
      </c>
      <c r="D162" s="40"/>
      <c r="E162" s="40"/>
      <c r="F162" s="40"/>
      <c r="G162" s="40"/>
      <c r="H162" s="40"/>
      <c r="I162" s="40"/>
      <c r="J162" s="264"/>
      <c r="K162" s="41"/>
    </row>
    <row r="163" spans="2:14" x14ac:dyDescent="0.2">
      <c r="B163" s="38"/>
      <c r="C163" s="40" t="s">
        <v>442</v>
      </c>
      <c r="D163" s="40"/>
      <c r="E163" s="40"/>
      <c r="F163" s="40"/>
      <c r="G163" s="40"/>
      <c r="H163" s="40"/>
      <c r="I163" s="40"/>
      <c r="J163" s="251">
        <f>(J64)/4.5</f>
        <v>0</v>
      </c>
      <c r="K163" s="41"/>
    </row>
    <row r="164" spans="2:14" x14ac:dyDescent="0.2">
      <c r="B164" s="38"/>
      <c r="C164" s="40"/>
      <c r="D164" s="40" t="s">
        <v>353</v>
      </c>
      <c r="E164" s="40"/>
      <c r="F164" s="40"/>
      <c r="G164" s="40"/>
      <c r="H164" s="40"/>
      <c r="I164" s="40"/>
      <c r="J164" s="40"/>
      <c r="K164" s="41"/>
    </row>
    <row r="165" spans="2:14" x14ac:dyDescent="0.2">
      <c r="B165" s="38"/>
      <c r="C165" s="40" t="s">
        <v>260</v>
      </c>
      <c r="D165" s="40"/>
      <c r="E165" s="40"/>
      <c r="F165" s="40"/>
      <c r="G165" s="40"/>
      <c r="H165" s="40"/>
      <c r="I165" s="40"/>
      <c r="J165" s="245" t="str">
        <f>IF(OR(J161=0,J161="Not Calculated")=TRUE,"Not Calculated",IF((J161-J162)&lt;=0,4,IF(((J161+J163)/(J161-J162))&lt;=1,0,IF(((J161+J163)/(J161-J162))&lt;=1.05,1,IF(((J161+J163)/(J161-J162))&lt;=1.5, 2,IF(((J161+J163)/(J161-J162))&lt;=2,3,4))))))</f>
        <v>Not Calculated</v>
      </c>
      <c r="K165" s="41"/>
    </row>
    <row r="166" spans="2:14" ht="9.75" customHeight="1" x14ac:dyDescent="0.2">
      <c r="B166" s="38"/>
      <c r="C166" s="279" t="str">
        <f>"0:"</f>
        <v>0:</v>
      </c>
      <c r="D166" s="278" t="s">
        <v>918</v>
      </c>
      <c r="E166" s="40"/>
      <c r="F166" s="40"/>
      <c r="G166" s="40"/>
      <c r="H166" s="40"/>
      <c r="I166" s="40"/>
      <c r="J166" s="40"/>
      <c r="K166" s="41"/>
    </row>
    <row r="167" spans="2:14" ht="9.75" customHeight="1" x14ac:dyDescent="0.2">
      <c r="B167" s="38"/>
      <c r="C167" s="280" t="str">
        <f>"1:"</f>
        <v>1:</v>
      </c>
      <c r="D167" s="278" t="s">
        <v>923</v>
      </c>
      <c r="E167" s="40"/>
      <c r="F167" s="40"/>
      <c r="G167" s="40"/>
      <c r="H167" s="40"/>
      <c r="I167" s="40"/>
      <c r="J167" s="40"/>
      <c r="K167" s="41"/>
    </row>
    <row r="168" spans="2:14" ht="9.75" customHeight="1" x14ac:dyDescent="0.2">
      <c r="B168" s="38"/>
      <c r="C168" s="280" t="str">
        <f>"2:"</f>
        <v>2:</v>
      </c>
      <c r="D168" s="278" t="s">
        <v>924</v>
      </c>
      <c r="E168" s="40"/>
      <c r="F168" s="40"/>
      <c r="G168" s="40"/>
      <c r="H168" s="40"/>
      <c r="I168" s="40"/>
      <c r="J168" s="40"/>
      <c r="K168" s="41"/>
    </row>
    <row r="169" spans="2:14" ht="9.75" customHeight="1" x14ac:dyDescent="0.2">
      <c r="B169" s="38"/>
      <c r="C169" s="280" t="str">
        <f>"3:"</f>
        <v>3:</v>
      </c>
      <c r="D169" s="278" t="s">
        <v>925</v>
      </c>
      <c r="E169" s="40"/>
      <c r="F169" s="40"/>
      <c r="G169" s="40"/>
      <c r="H169" s="40"/>
      <c r="I169" s="40"/>
      <c r="J169" s="40"/>
      <c r="K169" s="41"/>
    </row>
    <row r="170" spans="2:14" ht="9.75" customHeight="1" x14ac:dyDescent="0.2">
      <c r="B170" s="38"/>
      <c r="C170" s="280" t="str">
        <f>"4:"</f>
        <v>4:</v>
      </c>
      <c r="D170" s="278" t="s">
        <v>926</v>
      </c>
      <c r="E170" s="40"/>
      <c r="F170" s="40"/>
      <c r="G170" s="40"/>
      <c r="H170" s="40"/>
      <c r="I170" s="40"/>
      <c r="J170" s="40"/>
      <c r="K170" s="41"/>
      <c r="N170" s="12" t="s">
        <v>661</v>
      </c>
    </row>
    <row r="171" spans="2:14" x14ac:dyDescent="0.2">
      <c r="B171" s="38"/>
      <c r="C171" s="174" t="s">
        <v>662</v>
      </c>
      <c r="D171" s="40"/>
      <c r="E171" s="40"/>
      <c r="F171" s="40"/>
      <c r="G171" s="40"/>
      <c r="H171" s="40"/>
      <c r="I171" s="40"/>
      <c r="J171" s="265" t="s">
        <v>661</v>
      </c>
      <c r="K171" s="41"/>
      <c r="N171" s="12" t="s">
        <v>894</v>
      </c>
    </row>
    <row r="172" spans="2:14" x14ac:dyDescent="0.2">
      <c r="B172" s="38"/>
      <c r="C172" s="174" t="s">
        <v>660</v>
      </c>
      <c r="D172" s="40"/>
      <c r="E172" s="40"/>
      <c r="F172" s="40"/>
      <c r="G172" s="40"/>
      <c r="H172" s="40"/>
      <c r="I172" s="40"/>
      <c r="J172" s="246" t="str">
        <f>IF(J171=N170,"N/A",IF(J171=N171,0,IF(J171=N172,1,IF(J171=N173,2,IF(J171=N174,3,IF(J171=N175,4,"N/A"))))))</f>
        <v>N/A</v>
      </c>
      <c r="K172" s="41"/>
      <c r="N172" s="12" t="s">
        <v>899</v>
      </c>
    </row>
    <row r="173" spans="2:14" x14ac:dyDescent="0.2">
      <c r="B173" s="38"/>
      <c r="C173" s="40" t="s">
        <v>257</v>
      </c>
      <c r="D173" s="40"/>
      <c r="E173" s="40"/>
      <c r="F173" s="40"/>
      <c r="G173" s="40"/>
      <c r="H173" s="40"/>
      <c r="I173" s="40"/>
      <c r="J173" s="266"/>
      <c r="K173" s="41"/>
      <c r="N173" s="12" t="s">
        <v>900</v>
      </c>
    </row>
    <row r="174" spans="2:14" x14ac:dyDescent="0.2">
      <c r="B174" s="38"/>
      <c r="C174" s="40" t="s">
        <v>261</v>
      </c>
      <c r="D174" s="40"/>
      <c r="E174" s="40"/>
      <c r="F174" s="40"/>
      <c r="G174" s="40"/>
      <c r="H174" s="40"/>
      <c r="I174" s="40"/>
      <c r="J174" s="245" t="str">
        <f>IF(J173=$B$973,$A$973,IF(J173=$B$974,$A$974,IF(J173=$B$975,$A$975,IF(J173=$B$976,$A$976,IF(J173=$B$977,$A$977,"Not Calculated")))))</f>
        <v>Not Calculated</v>
      </c>
      <c r="K174" s="41"/>
      <c r="N174" s="12" t="s">
        <v>901</v>
      </c>
    </row>
    <row r="175" spans="2:14" x14ac:dyDescent="0.2">
      <c r="B175" s="38"/>
      <c r="C175" s="40" t="s">
        <v>893</v>
      </c>
      <c r="D175" s="40"/>
      <c r="E175" s="40"/>
      <c r="F175" s="40"/>
      <c r="G175" s="40"/>
      <c r="H175" s="40"/>
      <c r="I175" s="40"/>
      <c r="J175" s="40"/>
      <c r="K175" s="41"/>
      <c r="N175" s="12" t="s">
        <v>902</v>
      </c>
    </row>
    <row r="176" spans="2:14" ht="15" customHeight="1" x14ac:dyDescent="0.2">
      <c r="B176" s="38"/>
      <c r="C176" s="399"/>
      <c r="D176" s="400"/>
      <c r="E176" s="400"/>
      <c r="F176" s="400"/>
      <c r="G176" s="400"/>
      <c r="H176" s="400"/>
      <c r="I176" s="400"/>
      <c r="J176" s="401"/>
      <c r="K176" s="41"/>
    </row>
    <row r="177" spans="2:14" x14ac:dyDescent="0.2">
      <c r="B177" s="38"/>
      <c r="C177" s="40"/>
      <c r="D177" s="40"/>
      <c r="E177" s="40"/>
      <c r="F177" s="40"/>
      <c r="G177" s="40"/>
      <c r="H177" s="40"/>
      <c r="I177" s="40"/>
      <c r="J177" s="40"/>
      <c r="K177" s="41"/>
    </row>
    <row r="178" spans="2:14" x14ac:dyDescent="0.2">
      <c r="B178" s="38"/>
      <c r="C178" s="179" t="s">
        <v>274</v>
      </c>
      <c r="D178" s="40"/>
      <c r="E178" s="40"/>
      <c r="F178" s="40"/>
      <c r="G178" s="40"/>
      <c r="H178" s="40"/>
      <c r="I178" s="40"/>
      <c r="J178" s="245" t="str">
        <f>IF(J172="N/A",IF(OR(J165="Not Calculated",J174="Not Calculated")=TRUE,"Not Calculated",AVERAGE(J165,J174)),AVERAGE(J172,J174))</f>
        <v>Not Calculated</v>
      </c>
      <c r="K178" s="41"/>
    </row>
    <row r="179" spans="2:14" x14ac:dyDescent="0.2">
      <c r="B179" s="38"/>
      <c r="C179" s="40"/>
      <c r="D179" s="40"/>
      <c r="E179" s="40"/>
      <c r="F179" s="40"/>
      <c r="G179" s="40"/>
      <c r="H179" s="40"/>
      <c r="I179" s="40"/>
      <c r="J179" s="40"/>
      <c r="K179" s="41"/>
    </row>
    <row r="180" spans="2:14" x14ac:dyDescent="0.2">
      <c r="B180" s="38"/>
      <c r="C180" s="40"/>
      <c r="D180" s="40"/>
      <c r="E180" s="40"/>
      <c r="F180" s="40"/>
      <c r="G180" s="40"/>
      <c r="H180" s="40"/>
      <c r="I180" s="40"/>
      <c r="J180" s="40"/>
      <c r="K180" s="41"/>
    </row>
    <row r="181" spans="2:14" ht="16" x14ac:dyDescent="0.2">
      <c r="B181" s="38"/>
      <c r="C181" s="45" t="s">
        <v>74</v>
      </c>
      <c r="D181" s="40"/>
      <c r="E181" s="40"/>
      <c r="F181" s="40"/>
      <c r="G181" s="40"/>
      <c r="H181" s="40"/>
      <c r="I181" s="40"/>
      <c r="J181" s="40"/>
      <c r="K181" s="41"/>
    </row>
    <row r="182" spans="2:14" x14ac:dyDescent="0.2">
      <c r="B182" s="38"/>
      <c r="C182" s="40" t="s">
        <v>443</v>
      </c>
      <c r="D182" s="40"/>
      <c r="E182" s="40"/>
      <c r="F182" s="40"/>
      <c r="G182" s="40"/>
      <c r="H182" s="40"/>
      <c r="I182" s="40"/>
      <c r="J182" s="252">
        <f>'Baseline Health'!G59</f>
        <v>0</v>
      </c>
      <c r="K182" s="41"/>
    </row>
    <row r="183" spans="2:14" x14ac:dyDescent="0.2">
      <c r="B183" s="38"/>
      <c r="C183" s="40" t="s">
        <v>281</v>
      </c>
      <c r="D183" s="40"/>
      <c r="E183" s="40"/>
      <c r="F183" s="40"/>
      <c r="G183" s="40"/>
      <c r="H183" s="40"/>
      <c r="I183" s="40"/>
      <c r="J183" s="264"/>
      <c r="K183" s="41"/>
    </row>
    <row r="184" spans="2:14" x14ac:dyDescent="0.2">
      <c r="B184" s="38"/>
      <c r="C184" s="40" t="s">
        <v>354</v>
      </c>
      <c r="D184" s="40"/>
      <c r="E184" s="40"/>
      <c r="F184" s="40"/>
      <c r="G184" s="40"/>
      <c r="H184" s="40"/>
      <c r="I184" s="40"/>
      <c r="J184" s="264"/>
      <c r="K184" s="41"/>
    </row>
    <row r="185" spans="2:14" x14ac:dyDescent="0.2">
      <c r="B185" s="38"/>
      <c r="C185" s="40" t="s">
        <v>260</v>
      </c>
      <c r="D185" s="40"/>
      <c r="E185" s="40"/>
      <c r="F185" s="40"/>
      <c r="G185" s="40"/>
      <c r="H185" s="40"/>
      <c r="I185" s="40"/>
      <c r="J185" s="245" t="str">
        <f>IF(OR(J182=0,J182="Not Calculated")=TRUE,"Not Calculated",IF(J182-J183=0,4,IF(((J182+J184)/(J182-J183))&lt;=1,0,IF(((J182+J184)/(J182-J183))&lt;=1.05,1,IF(((J182+J184)/(J182-J183))&lt;=1.5, 2,IF(((J182+J184)/(J182-J183))&lt;=2,3,4))))))</f>
        <v>Not Calculated</v>
      </c>
      <c r="K185" s="41"/>
    </row>
    <row r="186" spans="2:14" ht="9.75" customHeight="1" x14ac:dyDescent="0.2">
      <c r="B186" s="38"/>
      <c r="C186" s="279" t="str">
        <f>"0:"</f>
        <v>0:</v>
      </c>
      <c r="D186" s="278" t="s">
        <v>918</v>
      </c>
      <c r="E186" s="40"/>
      <c r="F186" s="40"/>
      <c r="G186" s="40"/>
      <c r="H186" s="40"/>
      <c r="I186" s="40"/>
      <c r="J186" s="40"/>
      <c r="K186" s="41"/>
    </row>
    <row r="187" spans="2:14" ht="9.75" customHeight="1" x14ac:dyDescent="0.2">
      <c r="B187" s="38"/>
      <c r="C187" s="280" t="str">
        <f>"1:"</f>
        <v>1:</v>
      </c>
      <c r="D187" s="278" t="s">
        <v>923</v>
      </c>
      <c r="E187" s="40"/>
      <c r="F187" s="40"/>
      <c r="G187" s="40"/>
      <c r="H187" s="40"/>
      <c r="I187" s="40"/>
      <c r="J187" s="40"/>
      <c r="K187" s="41"/>
    </row>
    <row r="188" spans="2:14" ht="9.75" customHeight="1" x14ac:dyDescent="0.2">
      <c r="B188" s="38"/>
      <c r="C188" s="280" t="str">
        <f>"2:"</f>
        <v>2:</v>
      </c>
      <c r="D188" s="278" t="s">
        <v>924</v>
      </c>
      <c r="E188" s="40"/>
      <c r="F188" s="40"/>
      <c r="G188" s="40"/>
      <c r="H188" s="40"/>
      <c r="I188" s="40"/>
      <c r="J188" s="40"/>
      <c r="K188" s="41"/>
    </row>
    <row r="189" spans="2:14" ht="9.75" customHeight="1" x14ac:dyDescent="0.2">
      <c r="B189" s="38"/>
      <c r="C189" s="280" t="str">
        <f>"3:"</f>
        <v>3:</v>
      </c>
      <c r="D189" s="278" t="s">
        <v>925</v>
      </c>
      <c r="E189" s="40"/>
      <c r="F189" s="40"/>
      <c r="G189" s="40"/>
      <c r="H189" s="40"/>
      <c r="I189" s="40"/>
      <c r="J189" s="40"/>
      <c r="K189" s="41"/>
    </row>
    <row r="190" spans="2:14" ht="9.75" customHeight="1" x14ac:dyDescent="0.2">
      <c r="B190" s="38"/>
      <c r="C190" s="280" t="str">
        <f>"4:"</f>
        <v>4:</v>
      </c>
      <c r="D190" s="278" t="s">
        <v>926</v>
      </c>
      <c r="E190" s="40"/>
      <c r="F190" s="40"/>
      <c r="G190" s="40"/>
      <c r="H190" s="40"/>
      <c r="I190" s="40"/>
      <c r="J190" s="40"/>
      <c r="K190" s="41"/>
      <c r="N190" s="12" t="s">
        <v>661</v>
      </c>
    </row>
    <row r="191" spans="2:14" x14ac:dyDescent="0.2">
      <c r="B191" s="38"/>
      <c r="C191" s="174" t="s">
        <v>662</v>
      </c>
      <c r="D191" s="40"/>
      <c r="E191" s="40"/>
      <c r="F191" s="40"/>
      <c r="G191" s="40"/>
      <c r="H191" s="40"/>
      <c r="I191" s="40"/>
      <c r="J191" s="265" t="s">
        <v>661</v>
      </c>
      <c r="K191" s="41"/>
      <c r="N191" s="12" t="s">
        <v>894</v>
      </c>
    </row>
    <row r="192" spans="2:14" x14ac:dyDescent="0.2">
      <c r="B192" s="38"/>
      <c r="C192" s="174" t="s">
        <v>660</v>
      </c>
      <c r="D192" s="40"/>
      <c r="E192" s="40"/>
      <c r="F192" s="40"/>
      <c r="G192" s="40"/>
      <c r="H192" s="40"/>
      <c r="I192" s="40"/>
      <c r="J192" s="246" t="str">
        <f>IF(J191=N190,"N/A",IF(J191=N191,0,IF(J191=N192,1,IF(J191=N193,2,IF(J191=N194,3,IF(J191=N195,4,"N/A"))))))</f>
        <v>N/A</v>
      </c>
      <c r="K192" s="41"/>
      <c r="N192" s="12" t="s">
        <v>899</v>
      </c>
    </row>
    <row r="193" spans="2:14" x14ac:dyDescent="0.2">
      <c r="B193" s="38"/>
      <c r="C193" s="40" t="s">
        <v>257</v>
      </c>
      <c r="D193" s="40"/>
      <c r="E193" s="40"/>
      <c r="F193" s="40"/>
      <c r="G193" s="40"/>
      <c r="H193" s="40"/>
      <c r="I193" s="40"/>
      <c r="J193" s="266"/>
      <c r="K193" s="41"/>
      <c r="N193" s="12" t="s">
        <v>900</v>
      </c>
    </row>
    <row r="194" spans="2:14" x14ac:dyDescent="0.2">
      <c r="B194" s="38"/>
      <c r="C194" s="40" t="s">
        <v>261</v>
      </c>
      <c r="D194" s="40"/>
      <c r="E194" s="40"/>
      <c r="F194" s="40"/>
      <c r="G194" s="40"/>
      <c r="H194" s="40"/>
      <c r="I194" s="40"/>
      <c r="J194" s="245" t="str">
        <f>IF(J193=$B$973,$A$973,IF(J193=$B$974,$A$974,IF(J193=$B$975,$A$975,IF(J193=$B$976,$A$976,IF(J193=$B$977,$A$977,"Not Calculated")))))</f>
        <v>Not Calculated</v>
      </c>
      <c r="K194" s="41"/>
      <c r="N194" s="12" t="s">
        <v>901</v>
      </c>
    </row>
    <row r="195" spans="2:14" x14ac:dyDescent="0.2">
      <c r="B195" s="38"/>
      <c r="C195" s="40" t="s">
        <v>893</v>
      </c>
      <c r="D195" s="40"/>
      <c r="E195" s="40"/>
      <c r="F195" s="40"/>
      <c r="G195" s="40"/>
      <c r="H195" s="40"/>
      <c r="I195" s="40"/>
      <c r="J195" s="40"/>
      <c r="K195" s="41"/>
      <c r="N195" s="12" t="s">
        <v>902</v>
      </c>
    </row>
    <row r="196" spans="2:14" x14ac:dyDescent="0.2">
      <c r="B196" s="38"/>
      <c r="C196" s="399"/>
      <c r="D196" s="400"/>
      <c r="E196" s="400"/>
      <c r="F196" s="400"/>
      <c r="G196" s="400"/>
      <c r="H196" s="400"/>
      <c r="I196" s="400"/>
      <c r="J196" s="401"/>
      <c r="K196" s="41"/>
    </row>
    <row r="197" spans="2:14" x14ac:dyDescent="0.2">
      <c r="B197" s="38"/>
      <c r="C197" s="40"/>
      <c r="D197" s="40"/>
      <c r="E197" s="40"/>
      <c r="F197" s="40"/>
      <c r="G197" s="40"/>
      <c r="H197" s="40"/>
      <c r="I197" s="40"/>
      <c r="J197" s="40"/>
      <c r="K197" s="41"/>
    </row>
    <row r="198" spans="2:14" x14ac:dyDescent="0.2">
      <c r="B198" s="38"/>
      <c r="C198" s="179" t="s">
        <v>275</v>
      </c>
      <c r="D198" s="40"/>
      <c r="E198" s="40"/>
      <c r="F198" s="40"/>
      <c r="G198" s="40"/>
      <c r="H198" s="40"/>
      <c r="I198" s="40"/>
      <c r="J198" s="245" t="str">
        <f>IF(J192="N/A",IF(OR(J185="Not Calculated",J194="Not Calculated")=TRUE,"Not Calculated",AVERAGE(J185,J194)),AVERAGE(J192,J194))</f>
        <v>Not Calculated</v>
      </c>
      <c r="K198" s="41"/>
    </row>
    <row r="199" spans="2:14" x14ac:dyDescent="0.2">
      <c r="B199" s="38"/>
      <c r="C199" s="40"/>
      <c r="D199" s="40"/>
      <c r="E199" s="40"/>
      <c r="F199" s="40"/>
      <c r="G199" s="40"/>
      <c r="H199" s="40"/>
      <c r="I199" s="40"/>
      <c r="J199" s="40"/>
      <c r="K199" s="41"/>
    </row>
    <row r="200" spans="2:14" x14ac:dyDescent="0.2">
      <c r="B200" s="38"/>
      <c r="C200" s="40"/>
      <c r="D200" s="40"/>
      <c r="E200" s="40"/>
      <c r="F200" s="40"/>
      <c r="G200" s="40"/>
      <c r="H200" s="40"/>
      <c r="I200" s="40"/>
      <c r="J200" s="40"/>
      <c r="K200" s="41"/>
    </row>
    <row r="201" spans="2:14" ht="16" x14ac:dyDescent="0.2">
      <c r="B201" s="38"/>
      <c r="C201" s="45" t="s">
        <v>75</v>
      </c>
      <c r="D201" s="40"/>
      <c r="E201" s="40"/>
      <c r="F201" s="40"/>
      <c r="G201" s="40"/>
      <c r="H201" s="40"/>
      <c r="I201" s="40"/>
      <c r="J201" s="40"/>
      <c r="K201" s="41"/>
    </row>
    <row r="202" spans="2:14" x14ac:dyDescent="0.2">
      <c r="B202" s="38"/>
      <c r="C202" s="40" t="s">
        <v>444</v>
      </c>
      <c r="D202" s="40"/>
      <c r="E202" s="40"/>
      <c r="F202" s="40"/>
      <c r="G202" s="40"/>
      <c r="H202" s="40"/>
      <c r="I202" s="40"/>
      <c r="J202" s="252">
        <f>'Baseline Health'!G65</f>
        <v>0</v>
      </c>
      <c r="K202" s="41"/>
    </row>
    <row r="203" spans="2:14" x14ac:dyDescent="0.2">
      <c r="B203" s="38"/>
      <c r="C203" s="40" t="s">
        <v>282</v>
      </c>
      <c r="D203" s="40"/>
      <c r="E203" s="40"/>
      <c r="F203" s="40"/>
      <c r="G203" s="40"/>
      <c r="H203" s="40"/>
      <c r="I203" s="40"/>
      <c r="J203" s="264"/>
      <c r="K203" s="41"/>
    </row>
    <row r="204" spans="2:14" x14ac:dyDescent="0.2">
      <c r="B204" s="38"/>
      <c r="C204" s="40" t="s">
        <v>355</v>
      </c>
      <c r="D204" s="40"/>
      <c r="E204" s="40"/>
      <c r="F204" s="40"/>
      <c r="G204" s="40"/>
      <c r="H204" s="40"/>
      <c r="I204" s="40"/>
      <c r="J204" s="264"/>
      <c r="K204" s="41"/>
    </row>
    <row r="205" spans="2:14" x14ac:dyDescent="0.2">
      <c r="B205" s="38"/>
      <c r="C205" s="40" t="s">
        <v>260</v>
      </c>
      <c r="D205" s="40"/>
      <c r="E205" s="40"/>
      <c r="F205" s="40"/>
      <c r="G205" s="40"/>
      <c r="H205" s="40"/>
      <c r="I205" s="40"/>
      <c r="J205" s="245" t="str">
        <f>IF(OR(J202=0,J202="Not Calculated")=TRUE,"Not Calculated",IF(J202-J203=0,4,IF(((J202+J204)/(J202-J203))&lt;=1,0,IF(((J202+J204)/(J202-J203))&lt;=1.05,1,IF(((J202+J204)/(J202-J203))&lt;=1.5, 2,IF(((J202+J204)/(J202-J203))&lt;=2,3,4))))))</f>
        <v>Not Calculated</v>
      </c>
      <c r="K205" s="41"/>
    </row>
    <row r="206" spans="2:14" ht="9.75" customHeight="1" x14ac:dyDescent="0.2">
      <c r="B206" s="38"/>
      <c r="C206" s="279" t="str">
        <f>"0:"</f>
        <v>0:</v>
      </c>
      <c r="D206" s="278" t="s">
        <v>918</v>
      </c>
      <c r="E206" s="40"/>
      <c r="F206" s="40"/>
      <c r="G206" s="40"/>
      <c r="H206" s="40"/>
      <c r="I206" s="40"/>
      <c r="J206" s="40"/>
      <c r="K206" s="41"/>
    </row>
    <row r="207" spans="2:14" ht="9.75" customHeight="1" x14ac:dyDescent="0.2">
      <c r="B207" s="38"/>
      <c r="C207" s="280" t="str">
        <f>"1:"</f>
        <v>1:</v>
      </c>
      <c r="D207" s="278" t="s">
        <v>923</v>
      </c>
      <c r="E207" s="40"/>
      <c r="F207" s="40"/>
      <c r="G207" s="40"/>
      <c r="H207" s="40"/>
      <c r="I207" s="40"/>
      <c r="J207" s="40"/>
      <c r="K207" s="41"/>
    </row>
    <row r="208" spans="2:14" ht="9.75" customHeight="1" x14ac:dyDescent="0.2">
      <c r="B208" s="38"/>
      <c r="C208" s="280" t="str">
        <f>"2:"</f>
        <v>2:</v>
      </c>
      <c r="D208" s="278" t="s">
        <v>924</v>
      </c>
      <c r="E208" s="40"/>
      <c r="F208" s="40"/>
      <c r="G208" s="40"/>
      <c r="H208" s="40"/>
      <c r="I208" s="40"/>
      <c r="J208" s="40"/>
      <c r="K208" s="41"/>
    </row>
    <row r="209" spans="2:14" ht="9.75" customHeight="1" x14ac:dyDescent="0.2">
      <c r="B209" s="38"/>
      <c r="C209" s="280" t="str">
        <f>"3:"</f>
        <v>3:</v>
      </c>
      <c r="D209" s="278" t="s">
        <v>925</v>
      </c>
      <c r="E209" s="40"/>
      <c r="F209" s="40"/>
      <c r="G209" s="40"/>
      <c r="H209" s="40"/>
      <c r="I209" s="40"/>
      <c r="J209" s="40"/>
      <c r="K209" s="41"/>
    </row>
    <row r="210" spans="2:14" ht="9.75" customHeight="1" x14ac:dyDescent="0.2">
      <c r="B210" s="38"/>
      <c r="C210" s="280" t="str">
        <f>"4:"</f>
        <v>4:</v>
      </c>
      <c r="D210" s="278" t="s">
        <v>926</v>
      </c>
      <c r="E210" s="40"/>
      <c r="F210" s="40"/>
      <c r="G210" s="40"/>
      <c r="H210" s="40"/>
      <c r="I210" s="40"/>
      <c r="J210" s="40"/>
      <c r="K210" s="41"/>
      <c r="N210" s="12" t="s">
        <v>661</v>
      </c>
    </row>
    <row r="211" spans="2:14" x14ac:dyDescent="0.2">
      <c r="B211" s="38"/>
      <c r="C211" s="174" t="s">
        <v>662</v>
      </c>
      <c r="D211" s="40"/>
      <c r="E211" s="40"/>
      <c r="F211" s="40"/>
      <c r="G211" s="40"/>
      <c r="H211" s="40"/>
      <c r="I211" s="40"/>
      <c r="J211" s="265" t="s">
        <v>661</v>
      </c>
      <c r="K211" s="41"/>
      <c r="N211" s="12" t="s">
        <v>894</v>
      </c>
    </row>
    <row r="212" spans="2:14" x14ac:dyDescent="0.2">
      <c r="B212" s="38"/>
      <c r="C212" s="174" t="s">
        <v>660</v>
      </c>
      <c r="D212" s="40"/>
      <c r="E212" s="40"/>
      <c r="F212" s="40"/>
      <c r="G212" s="40"/>
      <c r="H212" s="40"/>
      <c r="I212" s="40"/>
      <c r="J212" s="246" t="str">
        <f>IF(J211=N210,"N/A",IF(J211=N211,0,IF(J211=N212,1,IF(J211=N213,2,IF(J211=N214,3,IF(J211=N215,4,"N/A"))))))</f>
        <v>N/A</v>
      </c>
      <c r="K212" s="41"/>
      <c r="N212" s="12" t="s">
        <v>899</v>
      </c>
    </row>
    <row r="213" spans="2:14" x14ac:dyDescent="0.2">
      <c r="B213" s="38"/>
      <c r="C213" s="40" t="s">
        <v>257</v>
      </c>
      <c r="D213" s="40"/>
      <c r="E213" s="40"/>
      <c r="F213" s="40"/>
      <c r="G213" s="40"/>
      <c r="H213" s="40"/>
      <c r="I213" s="40"/>
      <c r="J213" s="266"/>
      <c r="K213" s="41"/>
      <c r="N213" s="12" t="s">
        <v>900</v>
      </c>
    </row>
    <row r="214" spans="2:14" x14ac:dyDescent="0.2">
      <c r="B214" s="38"/>
      <c r="C214" s="40" t="s">
        <v>261</v>
      </c>
      <c r="D214" s="40"/>
      <c r="E214" s="40"/>
      <c r="F214" s="40"/>
      <c r="G214" s="40"/>
      <c r="H214" s="40"/>
      <c r="I214" s="40"/>
      <c r="J214" s="245" t="str">
        <f>IF(J213=$B$973,$A$973,IF(J213=$B$974,$A$974,IF(J213=$B$975,$A$975,IF(J213=$B$976,$A$976,IF(J213=$B$977,$A$977,"Not Calculated")))))</f>
        <v>Not Calculated</v>
      </c>
      <c r="K214" s="41"/>
      <c r="N214" s="12" t="s">
        <v>901</v>
      </c>
    </row>
    <row r="215" spans="2:14" x14ac:dyDescent="0.2">
      <c r="B215" s="38"/>
      <c r="C215" s="40" t="s">
        <v>893</v>
      </c>
      <c r="D215" s="40"/>
      <c r="E215" s="40"/>
      <c r="F215" s="40"/>
      <c r="G215" s="40"/>
      <c r="H215" s="40"/>
      <c r="I215" s="40"/>
      <c r="J215" s="40"/>
      <c r="K215" s="41"/>
      <c r="N215" s="12" t="s">
        <v>902</v>
      </c>
    </row>
    <row r="216" spans="2:14" ht="15" customHeight="1" x14ac:dyDescent="0.2">
      <c r="B216" s="38"/>
      <c r="C216" s="399"/>
      <c r="D216" s="400"/>
      <c r="E216" s="400"/>
      <c r="F216" s="400"/>
      <c r="G216" s="400"/>
      <c r="H216" s="400"/>
      <c r="I216" s="400"/>
      <c r="J216" s="401"/>
      <c r="K216" s="41"/>
    </row>
    <row r="217" spans="2:14" x14ac:dyDescent="0.2">
      <c r="B217" s="38"/>
      <c r="C217" s="40"/>
      <c r="D217" s="40"/>
      <c r="E217" s="40"/>
      <c r="F217" s="40"/>
      <c r="G217" s="40"/>
      <c r="H217" s="40"/>
      <c r="I217" s="40"/>
      <c r="J217" s="40"/>
      <c r="K217" s="41"/>
    </row>
    <row r="218" spans="2:14" x14ac:dyDescent="0.2">
      <c r="B218" s="38"/>
      <c r="C218" s="179" t="s">
        <v>276</v>
      </c>
      <c r="D218" s="40"/>
      <c r="E218" s="40"/>
      <c r="F218" s="40"/>
      <c r="G218" s="40"/>
      <c r="H218" s="40"/>
      <c r="I218" s="40"/>
      <c r="J218" s="245" t="str">
        <f>IF(J212="N/A",IF(OR(J205="Not Calculated",J214="Not Calculated")=TRUE,"Not Calculated",AVERAGE(J205,J214)),AVERAGE(J212,J214))</f>
        <v>Not Calculated</v>
      </c>
      <c r="K218" s="41"/>
    </row>
    <row r="219" spans="2:14" x14ac:dyDescent="0.2">
      <c r="B219" s="38"/>
      <c r="C219" s="40"/>
      <c r="D219" s="40"/>
      <c r="E219" s="40"/>
      <c r="F219" s="40"/>
      <c r="G219" s="40"/>
      <c r="H219" s="40"/>
      <c r="I219" s="40"/>
      <c r="J219" s="40"/>
      <c r="K219" s="41"/>
    </row>
    <row r="220" spans="2:14" x14ac:dyDescent="0.2">
      <c r="B220" s="38"/>
      <c r="C220" s="40"/>
      <c r="D220" s="40"/>
      <c r="E220" s="40"/>
      <c r="F220" s="40"/>
      <c r="G220" s="40"/>
      <c r="H220" s="40"/>
      <c r="I220" s="40"/>
      <c r="J220" s="40"/>
      <c r="K220" s="41"/>
    </row>
    <row r="221" spans="2:14" ht="16" x14ac:dyDescent="0.2">
      <c r="B221" s="38"/>
      <c r="C221" s="45" t="s">
        <v>76</v>
      </c>
      <c r="D221" s="40"/>
      <c r="E221" s="40"/>
      <c r="F221" s="40"/>
      <c r="G221" s="40"/>
      <c r="H221" s="40"/>
      <c r="I221" s="40"/>
      <c r="J221" s="40"/>
      <c r="K221" s="41"/>
    </row>
    <row r="222" spans="2:14" ht="15" customHeight="1" x14ac:dyDescent="0.2">
      <c r="B222" s="38"/>
      <c r="C222" s="40" t="s">
        <v>356</v>
      </c>
      <c r="D222" s="40"/>
      <c r="E222" s="40"/>
      <c r="F222" s="40"/>
      <c r="G222" s="40"/>
      <c r="H222" s="40"/>
      <c r="I222" s="40"/>
      <c r="J222" s="252">
        <f>'Baseline Health'!G71</f>
        <v>0</v>
      </c>
      <c r="K222" s="41"/>
    </row>
    <row r="223" spans="2:14" x14ac:dyDescent="0.2">
      <c r="B223" s="38"/>
      <c r="C223" s="40" t="s">
        <v>357</v>
      </c>
      <c r="D223" s="40"/>
      <c r="E223" s="40"/>
      <c r="F223" s="40"/>
      <c r="G223" s="40"/>
      <c r="H223" s="40"/>
      <c r="I223" s="40"/>
      <c r="J223" s="264"/>
      <c r="K223" s="41"/>
    </row>
    <row r="224" spans="2:14" x14ac:dyDescent="0.2">
      <c r="B224" s="38"/>
      <c r="C224" s="40" t="s">
        <v>445</v>
      </c>
      <c r="D224" s="40"/>
      <c r="E224" s="40"/>
      <c r="F224" s="40"/>
      <c r="G224" s="40"/>
      <c r="H224" s="40"/>
      <c r="I224" s="40"/>
      <c r="J224" s="251">
        <f>J102</f>
        <v>0</v>
      </c>
      <c r="K224" s="41"/>
    </row>
    <row r="225" spans="2:14" x14ac:dyDescent="0.2">
      <c r="B225" s="38"/>
      <c r="C225" s="40"/>
      <c r="D225" s="40" t="s">
        <v>446</v>
      </c>
      <c r="E225" s="40"/>
      <c r="F225" s="40"/>
      <c r="G225" s="40"/>
      <c r="H225" s="40"/>
      <c r="I225" s="40"/>
      <c r="J225" s="40"/>
      <c r="K225" s="41"/>
    </row>
    <row r="226" spans="2:14" x14ac:dyDescent="0.2">
      <c r="B226" s="38"/>
      <c r="C226" s="40" t="s">
        <v>260</v>
      </c>
      <c r="D226" s="40"/>
      <c r="E226" s="40"/>
      <c r="F226" s="40"/>
      <c r="G226" s="40"/>
      <c r="H226" s="40"/>
      <c r="I226" s="40"/>
      <c r="J226" s="245" t="str">
        <f>IF(OR(J222=0,J222="Not Calculated")=TRUE,"Not Calculated",IF(J222-J223=0,4,IF(((J222+J224)/(J222-J223))&lt;=1,0,IF(((J222+J224)/(J222-J223))&lt;=1.05,1,IF(((J222+J224)/(J222-J223))&lt;=1.5, 2,IF(((J222+J224)/(J222-J223))&lt;=2,3,4))))))</f>
        <v>Not Calculated</v>
      </c>
      <c r="K226" s="41"/>
    </row>
    <row r="227" spans="2:14" ht="9.75" customHeight="1" x14ac:dyDescent="0.2">
      <c r="B227" s="38"/>
      <c r="C227" s="279" t="str">
        <f>"0:"</f>
        <v>0:</v>
      </c>
      <c r="D227" s="278" t="s">
        <v>918</v>
      </c>
      <c r="E227" s="40"/>
      <c r="F227" s="40"/>
      <c r="G227" s="40"/>
      <c r="H227" s="40"/>
      <c r="I227" s="40"/>
      <c r="J227" s="40"/>
      <c r="K227" s="41"/>
    </row>
    <row r="228" spans="2:14" ht="9.75" customHeight="1" x14ac:dyDescent="0.2">
      <c r="B228" s="38"/>
      <c r="C228" s="280" t="str">
        <f>"1:"</f>
        <v>1:</v>
      </c>
      <c r="D228" s="278" t="s">
        <v>923</v>
      </c>
      <c r="E228" s="40"/>
      <c r="F228" s="40"/>
      <c r="G228" s="40"/>
      <c r="H228" s="40"/>
      <c r="I228" s="40"/>
      <c r="J228" s="40"/>
      <c r="K228" s="41"/>
    </row>
    <row r="229" spans="2:14" ht="9.75" customHeight="1" x14ac:dyDescent="0.2">
      <c r="B229" s="38"/>
      <c r="C229" s="280" t="str">
        <f>"2:"</f>
        <v>2:</v>
      </c>
      <c r="D229" s="278" t="s">
        <v>924</v>
      </c>
      <c r="E229" s="40"/>
      <c r="F229" s="40"/>
      <c r="G229" s="40"/>
      <c r="H229" s="40"/>
      <c r="I229" s="40"/>
      <c r="J229" s="40"/>
      <c r="K229" s="41"/>
    </row>
    <row r="230" spans="2:14" ht="9.75" customHeight="1" x14ac:dyDescent="0.2">
      <c r="B230" s="38"/>
      <c r="C230" s="280" t="str">
        <f>"3:"</f>
        <v>3:</v>
      </c>
      <c r="D230" s="278" t="s">
        <v>925</v>
      </c>
      <c r="E230" s="40"/>
      <c r="F230" s="40"/>
      <c r="G230" s="40"/>
      <c r="H230" s="40"/>
      <c r="I230" s="40"/>
      <c r="J230" s="40"/>
      <c r="K230" s="41"/>
    </row>
    <row r="231" spans="2:14" ht="9.75" customHeight="1" x14ac:dyDescent="0.2">
      <c r="B231" s="38"/>
      <c r="C231" s="280" t="str">
        <f>"4:"</f>
        <v>4:</v>
      </c>
      <c r="D231" s="278" t="s">
        <v>926</v>
      </c>
      <c r="E231" s="40"/>
      <c r="F231" s="40"/>
      <c r="G231" s="40"/>
      <c r="H231" s="40"/>
      <c r="I231" s="40"/>
      <c r="J231" s="40"/>
      <c r="K231" s="41"/>
      <c r="N231" s="12" t="s">
        <v>661</v>
      </c>
    </row>
    <row r="232" spans="2:14" x14ac:dyDescent="0.2">
      <c r="B232" s="38"/>
      <c r="C232" s="174" t="s">
        <v>662</v>
      </c>
      <c r="D232" s="40"/>
      <c r="E232" s="40"/>
      <c r="F232" s="40"/>
      <c r="G232" s="40"/>
      <c r="H232" s="40"/>
      <c r="I232" s="40"/>
      <c r="J232" s="265" t="s">
        <v>661</v>
      </c>
      <c r="K232" s="41"/>
      <c r="N232" s="12" t="s">
        <v>894</v>
      </c>
    </row>
    <row r="233" spans="2:14" x14ac:dyDescent="0.2">
      <c r="B233" s="38"/>
      <c r="C233" s="174" t="s">
        <v>660</v>
      </c>
      <c r="D233" s="40"/>
      <c r="E233" s="40"/>
      <c r="F233" s="40"/>
      <c r="G233" s="40"/>
      <c r="H233" s="40"/>
      <c r="I233" s="40"/>
      <c r="J233" s="246" t="str">
        <f>IF(J232=N231,"N/A",IF(J232=N232,0,IF(J232=N233,1,IF(J232=N234,2,IF(J232=N235,3,IF(J232=N236,4,"N/A"))))))</f>
        <v>N/A</v>
      </c>
      <c r="K233" s="41"/>
      <c r="N233" s="12" t="s">
        <v>899</v>
      </c>
    </row>
    <row r="234" spans="2:14" x14ac:dyDescent="0.2">
      <c r="B234" s="38"/>
      <c r="C234" s="40" t="s">
        <v>257</v>
      </c>
      <c r="D234" s="40"/>
      <c r="E234" s="40"/>
      <c r="F234" s="40"/>
      <c r="G234" s="40"/>
      <c r="H234" s="40"/>
      <c r="I234" s="40"/>
      <c r="J234" s="266"/>
      <c r="K234" s="41"/>
      <c r="N234" s="12" t="s">
        <v>900</v>
      </c>
    </row>
    <row r="235" spans="2:14" x14ac:dyDescent="0.2">
      <c r="B235" s="38"/>
      <c r="C235" s="40" t="s">
        <v>261</v>
      </c>
      <c r="D235" s="40"/>
      <c r="E235" s="40"/>
      <c r="F235" s="40"/>
      <c r="G235" s="40"/>
      <c r="H235" s="40"/>
      <c r="I235" s="40"/>
      <c r="J235" s="245" t="str">
        <f>IF(J234=$B$973,$A$973,IF(J234=$B$974,$A$974,IF(J234=$B$975,$A$975,IF(J234=$B$976,$A$976,IF(J234=$B$977,$A$977,"Not Calculated")))))</f>
        <v>Not Calculated</v>
      </c>
      <c r="K235" s="41"/>
      <c r="N235" s="12" t="s">
        <v>901</v>
      </c>
    </row>
    <row r="236" spans="2:14" x14ac:dyDescent="0.2">
      <c r="B236" s="38"/>
      <c r="C236" s="40" t="s">
        <v>893</v>
      </c>
      <c r="D236" s="40"/>
      <c r="E236" s="40"/>
      <c r="F236" s="40"/>
      <c r="G236" s="40"/>
      <c r="H236" s="40"/>
      <c r="I236" s="40"/>
      <c r="J236" s="40"/>
      <c r="K236" s="41"/>
      <c r="N236" s="12" t="s">
        <v>902</v>
      </c>
    </row>
    <row r="237" spans="2:14" ht="15" customHeight="1" x14ac:dyDescent="0.2">
      <c r="B237" s="38"/>
      <c r="C237" s="399"/>
      <c r="D237" s="400"/>
      <c r="E237" s="400"/>
      <c r="F237" s="400"/>
      <c r="G237" s="400"/>
      <c r="H237" s="400"/>
      <c r="I237" s="400"/>
      <c r="J237" s="401"/>
      <c r="K237" s="41"/>
    </row>
    <row r="238" spans="2:14" x14ac:dyDescent="0.2">
      <c r="B238" s="38"/>
      <c r="C238" s="40"/>
      <c r="D238" s="40"/>
      <c r="E238" s="40"/>
      <c r="F238" s="40"/>
      <c r="G238" s="40"/>
      <c r="H238" s="40"/>
      <c r="I238" s="40"/>
      <c r="J238" s="40"/>
      <c r="K238" s="41"/>
    </row>
    <row r="239" spans="2:14" x14ac:dyDescent="0.2">
      <c r="B239" s="38"/>
      <c r="C239" s="179" t="s">
        <v>277</v>
      </c>
      <c r="D239" s="40"/>
      <c r="E239" s="40"/>
      <c r="F239" s="40"/>
      <c r="G239" s="40"/>
      <c r="H239" s="40"/>
      <c r="I239" s="40"/>
      <c r="J239" s="245" t="str">
        <f>IF(J233="N/A",IF(OR(J226="Not Calculated",J235="Not Calculated")=TRUE,"Not Calculated",AVERAGE(J226,J235)),AVERAGE(J233,J235))</f>
        <v>Not Calculated</v>
      </c>
      <c r="K239" s="41"/>
    </row>
    <row r="240" spans="2:14" x14ac:dyDescent="0.2">
      <c r="B240" s="38"/>
      <c r="C240" s="40"/>
      <c r="D240" s="40"/>
      <c r="E240" s="40"/>
      <c r="F240" s="40"/>
      <c r="G240" s="40"/>
      <c r="H240" s="40"/>
      <c r="I240" s="40"/>
      <c r="J240" s="40"/>
      <c r="K240" s="41"/>
    </row>
    <row r="241" spans="2:14" x14ac:dyDescent="0.2">
      <c r="B241" s="38"/>
      <c r="C241" s="40"/>
      <c r="D241" s="40"/>
      <c r="E241" s="40"/>
      <c r="F241" s="40"/>
      <c r="G241" s="40"/>
      <c r="H241" s="40"/>
      <c r="I241" s="40"/>
      <c r="J241" s="40"/>
      <c r="K241" s="41"/>
    </row>
    <row r="242" spans="2:14" ht="16" x14ac:dyDescent="0.2">
      <c r="B242" s="38"/>
      <c r="C242" s="45" t="s">
        <v>278</v>
      </c>
      <c r="D242" s="40"/>
      <c r="E242" s="40"/>
      <c r="F242" s="40"/>
      <c r="G242" s="40"/>
      <c r="H242" s="40"/>
      <c r="I242" s="40"/>
      <c r="J242" s="40"/>
      <c r="K242" s="41"/>
    </row>
    <row r="243" spans="2:14" ht="15" customHeight="1" x14ac:dyDescent="0.2">
      <c r="B243" s="38"/>
      <c r="C243" s="40" t="s">
        <v>447</v>
      </c>
      <c r="D243" s="40"/>
      <c r="E243" s="40"/>
      <c r="F243" s="40"/>
      <c r="G243" s="40"/>
      <c r="H243" s="40"/>
      <c r="I243" s="40"/>
      <c r="J243" s="254">
        <f>'Baseline Health'!G77</f>
        <v>0</v>
      </c>
      <c r="K243" s="41"/>
    </row>
    <row r="244" spans="2:14" x14ac:dyDescent="0.2">
      <c r="B244" s="38"/>
      <c r="C244" s="40" t="s">
        <v>358</v>
      </c>
      <c r="D244" s="40"/>
      <c r="E244" s="40"/>
      <c r="F244" s="40"/>
      <c r="G244" s="40"/>
      <c r="H244" s="40"/>
      <c r="I244" s="40"/>
      <c r="J244" s="264"/>
      <c r="K244" s="41"/>
    </row>
    <row r="245" spans="2:14" x14ac:dyDescent="0.2">
      <c r="B245" s="38"/>
      <c r="C245" s="40" t="s">
        <v>360</v>
      </c>
      <c r="D245" s="291"/>
      <c r="E245" s="291"/>
      <c r="F245" s="291"/>
      <c r="G245" s="291"/>
      <c r="H245" s="291"/>
      <c r="I245" s="291"/>
      <c r="J245" s="264"/>
      <c r="K245" s="41"/>
    </row>
    <row r="246" spans="2:14" x14ac:dyDescent="0.2">
      <c r="B246" s="38"/>
      <c r="C246" s="40" t="s">
        <v>260</v>
      </c>
      <c r="D246" s="40"/>
      <c r="E246" s="40"/>
      <c r="F246" s="40"/>
      <c r="G246" s="40"/>
      <c r="H246" s="40"/>
      <c r="I246" s="40"/>
      <c r="J246" s="245" t="str">
        <f>IF(OR(J243=0,J243="Not Calculated")=TRUE,"Not Calculated",IF(J243-J244=0,4,(IF(((J243+J245)/(J243-J244))&lt;=1,0,IF(((J243+J245)/(J243-J244))&lt;=1.05,1,IF(((J243+J245)/(J243-J244))&lt;=1.5,2,IF(((J243+J245)/(J243-J244))&lt;=2,3,4)))))))</f>
        <v>Not Calculated</v>
      </c>
      <c r="K246" s="41"/>
    </row>
    <row r="247" spans="2:14" ht="9.75" customHeight="1" x14ac:dyDescent="0.2">
      <c r="B247" s="38"/>
      <c r="C247" s="279" t="str">
        <f>"0:"</f>
        <v>0:</v>
      </c>
      <c r="D247" s="278" t="s">
        <v>918</v>
      </c>
      <c r="E247" s="40"/>
      <c r="F247" s="40"/>
      <c r="G247" s="40"/>
      <c r="H247" s="40"/>
      <c r="I247" s="40"/>
      <c r="J247" s="40"/>
      <c r="K247" s="41"/>
    </row>
    <row r="248" spans="2:14" ht="9.75" customHeight="1" x14ac:dyDescent="0.2">
      <c r="B248" s="38"/>
      <c r="C248" s="280" t="str">
        <f>"1:"</f>
        <v>1:</v>
      </c>
      <c r="D248" s="278" t="s">
        <v>923</v>
      </c>
      <c r="E248" s="40"/>
      <c r="F248" s="40"/>
      <c r="G248" s="40"/>
      <c r="H248" s="40"/>
      <c r="I248" s="40"/>
      <c r="J248" s="40"/>
      <c r="K248" s="41"/>
    </row>
    <row r="249" spans="2:14" ht="9.75" customHeight="1" x14ac:dyDescent="0.2">
      <c r="B249" s="38"/>
      <c r="C249" s="280" t="str">
        <f>"2:"</f>
        <v>2:</v>
      </c>
      <c r="D249" s="278" t="s">
        <v>924</v>
      </c>
      <c r="E249" s="40"/>
      <c r="F249" s="40"/>
      <c r="G249" s="40"/>
      <c r="H249" s="40"/>
      <c r="I249" s="40"/>
      <c r="J249" s="40"/>
      <c r="K249" s="41"/>
    </row>
    <row r="250" spans="2:14" ht="9.75" customHeight="1" x14ac:dyDescent="0.2">
      <c r="B250" s="38"/>
      <c r="C250" s="280" t="str">
        <f>"3:"</f>
        <v>3:</v>
      </c>
      <c r="D250" s="278" t="s">
        <v>925</v>
      </c>
      <c r="E250" s="40"/>
      <c r="F250" s="40"/>
      <c r="G250" s="40"/>
      <c r="H250" s="40"/>
      <c r="I250" s="40"/>
      <c r="J250" s="40"/>
      <c r="K250" s="41"/>
    </row>
    <row r="251" spans="2:14" ht="9.75" customHeight="1" x14ac:dyDescent="0.2">
      <c r="B251" s="38"/>
      <c r="C251" s="280" t="str">
        <f>"4:"</f>
        <v>4:</v>
      </c>
      <c r="D251" s="278" t="s">
        <v>926</v>
      </c>
      <c r="E251" s="40"/>
      <c r="F251" s="40"/>
      <c r="G251" s="40"/>
      <c r="H251" s="40"/>
      <c r="I251" s="40"/>
      <c r="J251" s="40"/>
      <c r="K251" s="41"/>
      <c r="N251" s="12" t="s">
        <v>661</v>
      </c>
    </row>
    <row r="252" spans="2:14" x14ac:dyDescent="0.2">
      <c r="B252" s="38"/>
      <c r="C252" s="174" t="s">
        <v>662</v>
      </c>
      <c r="D252" s="40"/>
      <c r="E252" s="40"/>
      <c r="F252" s="40"/>
      <c r="G252" s="40"/>
      <c r="H252" s="40"/>
      <c r="I252" s="40"/>
      <c r="J252" s="265" t="s">
        <v>661</v>
      </c>
      <c r="K252" s="41"/>
      <c r="N252" s="12" t="s">
        <v>894</v>
      </c>
    </row>
    <row r="253" spans="2:14" x14ac:dyDescent="0.2">
      <c r="B253" s="38"/>
      <c r="C253" s="174" t="s">
        <v>660</v>
      </c>
      <c r="D253" s="40"/>
      <c r="E253" s="40"/>
      <c r="F253" s="40"/>
      <c r="G253" s="40"/>
      <c r="H253" s="40"/>
      <c r="I253" s="40"/>
      <c r="J253" s="246" t="str">
        <f>IF(J252=N251,"N/A",IF(J252=N252,0,IF(J252=N253,1,IF(J252=N254,2,IF(J252=N255,3,IF(J252=N256,4,"N/A"))))))</f>
        <v>N/A</v>
      </c>
      <c r="K253" s="41"/>
      <c r="N253" s="12" t="s">
        <v>899</v>
      </c>
    </row>
    <row r="254" spans="2:14" x14ac:dyDescent="0.2">
      <c r="B254" s="38"/>
      <c r="C254" s="40" t="s">
        <v>257</v>
      </c>
      <c r="D254" s="40"/>
      <c r="E254" s="40"/>
      <c r="F254" s="40"/>
      <c r="G254" s="40"/>
      <c r="H254" s="40"/>
      <c r="I254" s="40"/>
      <c r="J254" s="266"/>
      <c r="K254" s="41"/>
      <c r="N254" s="12" t="s">
        <v>900</v>
      </c>
    </row>
    <row r="255" spans="2:14" x14ac:dyDescent="0.2">
      <c r="B255" s="38"/>
      <c r="C255" s="40" t="s">
        <v>261</v>
      </c>
      <c r="D255" s="40"/>
      <c r="E255" s="40"/>
      <c r="F255" s="40"/>
      <c r="G255" s="40"/>
      <c r="H255" s="40"/>
      <c r="I255" s="40"/>
      <c r="J255" s="245" t="str">
        <f>IF(J254=$B$973,$A$973,IF(J254=$B$974,$A$974,IF(J254=$B$975,$A$975,IF(J254=$B$976,$A$976,IF(J254=$B$977,$A$977,"Not Calculated")))))</f>
        <v>Not Calculated</v>
      </c>
      <c r="K255" s="41"/>
      <c r="N255" s="12" t="s">
        <v>901</v>
      </c>
    </row>
    <row r="256" spans="2:14" x14ac:dyDescent="0.2">
      <c r="B256" s="38"/>
      <c r="C256" s="40" t="s">
        <v>893</v>
      </c>
      <c r="D256" s="40"/>
      <c r="E256" s="40"/>
      <c r="F256" s="40"/>
      <c r="G256" s="40"/>
      <c r="H256" s="40"/>
      <c r="I256" s="40"/>
      <c r="J256" s="40"/>
      <c r="K256" s="41"/>
      <c r="N256" s="12" t="s">
        <v>902</v>
      </c>
    </row>
    <row r="257" spans="2:11" x14ac:dyDescent="0.2">
      <c r="B257" s="38"/>
      <c r="C257" s="399"/>
      <c r="D257" s="400"/>
      <c r="E257" s="400"/>
      <c r="F257" s="400"/>
      <c r="G257" s="400"/>
      <c r="H257" s="400"/>
      <c r="I257" s="400"/>
      <c r="J257" s="401"/>
      <c r="K257" s="41"/>
    </row>
    <row r="258" spans="2:11" x14ac:dyDescent="0.2">
      <c r="B258" s="38"/>
      <c r="C258" s="40"/>
      <c r="D258" s="40"/>
      <c r="E258" s="40"/>
      <c r="F258" s="40"/>
      <c r="G258" s="40"/>
      <c r="H258" s="40"/>
      <c r="I258" s="40"/>
      <c r="J258" s="40"/>
      <c r="K258" s="41"/>
    </row>
    <row r="259" spans="2:11" x14ac:dyDescent="0.2">
      <c r="B259" s="38"/>
      <c r="C259" s="179" t="s">
        <v>279</v>
      </c>
      <c r="D259" s="40"/>
      <c r="E259" s="40"/>
      <c r="F259" s="40"/>
      <c r="G259" s="40"/>
      <c r="H259" s="40"/>
      <c r="I259" s="40"/>
      <c r="J259" s="245" t="str">
        <f>IF(J253="N/A",IF(OR(J246="Not Calculated",J255="Not Calculated")=TRUE,"Not Calculated",AVERAGE(J246,J255)),AVERAGE(J253,J255))</f>
        <v>Not Calculated</v>
      </c>
      <c r="K259" s="41"/>
    </row>
    <row r="260" spans="2:11" x14ac:dyDescent="0.2">
      <c r="B260" s="38"/>
      <c r="C260" s="40"/>
      <c r="D260" s="40"/>
      <c r="E260" s="40"/>
      <c r="F260" s="40"/>
      <c r="G260" s="40"/>
      <c r="H260" s="40"/>
      <c r="I260" s="40"/>
      <c r="J260" s="40"/>
      <c r="K260" s="41"/>
    </row>
    <row r="261" spans="2:11" ht="18" x14ac:dyDescent="0.2">
      <c r="B261" s="38"/>
      <c r="C261" s="180" t="s">
        <v>272</v>
      </c>
      <c r="D261" s="40"/>
      <c r="E261" s="40"/>
      <c r="F261" s="40"/>
      <c r="G261" s="40"/>
      <c r="H261" s="40"/>
      <c r="I261" s="40"/>
      <c r="J261" s="244" t="str">
        <f>IF(OR(J157="Not Calculated",J178="Not Calculated",J198="Not Calculated",J218="Not Calculated",J239="Not Calculated",J259="Not Calculated",)=TRUE,"Not Calculated",AVERAGE(J157,J178,J198,J218,J239,J259))</f>
        <v>Not Calculated</v>
      </c>
      <c r="K261" s="41"/>
    </row>
    <row r="262" spans="2:11" ht="16" thickBot="1" x14ac:dyDescent="0.25">
      <c r="B262" s="46"/>
      <c r="C262" s="47"/>
      <c r="D262" s="47"/>
      <c r="E262" s="47"/>
      <c r="F262" s="47"/>
      <c r="G262" s="47"/>
      <c r="H262" s="47"/>
      <c r="I262" s="47"/>
      <c r="J262" s="47"/>
      <c r="K262" s="49"/>
    </row>
    <row r="263" spans="2:11" ht="16" thickBot="1" x14ac:dyDescent="0.25"/>
    <row r="264" spans="2:11" x14ac:dyDescent="0.2">
      <c r="B264" s="33"/>
      <c r="C264" s="34"/>
      <c r="D264" s="34"/>
      <c r="E264" s="34"/>
      <c r="F264" s="34"/>
      <c r="G264" s="34"/>
      <c r="H264" s="34"/>
      <c r="I264" s="34"/>
      <c r="J264" s="34"/>
      <c r="K264" s="37"/>
    </row>
    <row r="265" spans="2:11" ht="21" x14ac:dyDescent="0.25">
      <c r="B265" s="38"/>
      <c r="C265" s="40"/>
      <c r="D265" s="40"/>
      <c r="E265" s="40"/>
      <c r="F265" s="40"/>
      <c r="G265" s="172" t="s">
        <v>864</v>
      </c>
      <c r="H265" s="40"/>
      <c r="I265" s="40"/>
      <c r="J265" s="40"/>
      <c r="K265" s="41"/>
    </row>
    <row r="266" spans="2:11" ht="15" customHeight="1" x14ac:dyDescent="0.2">
      <c r="B266" s="38"/>
      <c r="C266" s="40"/>
      <c r="D266" s="40"/>
      <c r="E266" s="40"/>
      <c r="F266" s="40"/>
      <c r="G266" s="40"/>
      <c r="H266" s="40"/>
      <c r="I266" s="40"/>
      <c r="J266" s="40"/>
      <c r="K266" s="41"/>
    </row>
    <row r="267" spans="2:11" ht="16" x14ac:dyDescent="0.2">
      <c r="B267" s="38"/>
      <c r="C267" s="45" t="s">
        <v>80</v>
      </c>
      <c r="D267" s="40"/>
      <c r="E267" s="40"/>
      <c r="F267" s="40"/>
      <c r="G267" s="40"/>
      <c r="H267" s="40"/>
      <c r="I267" s="40"/>
      <c r="J267" s="40"/>
      <c r="K267" s="41"/>
    </row>
    <row r="268" spans="2:11" x14ac:dyDescent="0.2">
      <c r="B268" s="38"/>
      <c r="C268" s="40" t="s">
        <v>283</v>
      </c>
      <c r="D268" s="40"/>
      <c r="E268" s="40"/>
      <c r="F268" s="40"/>
      <c r="G268" s="40"/>
      <c r="H268" s="40"/>
      <c r="I268" s="40"/>
      <c r="J268" s="250">
        <f>'Baseline Health'!G88</f>
        <v>0</v>
      </c>
      <c r="K268" s="41"/>
    </row>
    <row r="269" spans="2:11" x14ac:dyDescent="0.2">
      <c r="B269" s="38"/>
      <c r="C269" s="40" t="s">
        <v>284</v>
      </c>
      <c r="D269" s="40"/>
      <c r="E269" s="40"/>
      <c r="F269" s="40"/>
      <c r="G269" s="40"/>
      <c r="H269" s="40"/>
      <c r="I269" s="40"/>
      <c r="J269" s="264"/>
      <c r="K269" s="41"/>
    </row>
    <row r="270" spans="2:11" x14ac:dyDescent="0.2">
      <c r="B270" s="38"/>
      <c r="C270" s="40" t="s">
        <v>285</v>
      </c>
      <c r="D270" s="40"/>
      <c r="E270" s="40"/>
      <c r="F270" s="40"/>
      <c r="G270" s="40"/>
      <c r="H270" s="40"/>
      <c r="I270" s="40"/>
      <c r="J270" s="259">
        <f>'Baseline Health'!G93</f>
        <v>0</v>
      </c>
      <c r="K270" s="41"/>
    </row>
    <row r="271" spans="2:11" x14ac:dyDescent="0.2">
      <c r="B271" s="38"/>
      <c r="C271" s="40" t="s">
        <v>286</v>
      </c>
      <c r="D271" s="40"/>
      <c r="E271" s="40"/>
      <c r="F271" s="40"/>
      <c r="G271" s="40"/>
      <c r="H271" s="40"/>
      <c r="I271" s="40"/>
      <c r="J271" s="250">
        <f>J184</f>
        <v>0</v>
      </c>
      <c r="K271" s="41"/>
    </row>
    <row r="272" spans="2:11" x14ac:dyDescent="0.2">
      <c r="B272" s="38"/>
      <c r="C272" s="40"/>
      <c r="D272" s="40" t="s">
        <v>432</v>
      </c>
      <c r="E272" s="40"/>
      <c r="F272" s="40"/>
      <c r="G272" s="40"/>
      <c r="H272" s="40"/>
      <c r="I272" s="40"/>
      <c r="J272" s="40"/>
      <c r="K272" s="41"/>
    </row>
    <row r="273" spans="2:14" x14ac:dyDescent="0.2">
      <c r="B273" s="38"/>
      <c r="C273" s="40" t="s">
        <v>292</v>
      </c>
      <c r="D273" s="40"/>
      <c r="E273" s="40"/>
      <c r="F273" s="40"/>
      <c r="G273" s="40"/>
      <c r="H273" s="40"/>
      <c r="I273" s="40"/>
      <c r="J273" s="258" t="str">
        <f>'Baseline Health'!G97</f>
        <v>N/A</v>
      </c>
      <c r="K273" s="41"/>
    </row>
    <row r="274" spans="2:14" x14ac:dyDescent="0.2">
      <c r="B274" s="38"/>
      <c r="C274" s="40" t="s">
        <v>293</v>
      </c>
      <c r="D274" s="40"/>
      <c r="E274" s="40"/>
      <c r="F274" s="40"/>
      <c r="G274" s="40"/>
      <c r="H274" s="40"/>
      <c r="I274" s="40"/>
      <c r="J274" s="258" t="str">
        <f>IF(J273="N/A","N/A",IF(J268-J269=0,"No Nurses",((J270+J271)/(J268-J269))))</f>
        <v>N/A</v>
      </c>
      <c r="K274" s="41"/>
    </row>
    <row r="275" spans="2:14" x14ac:dyDescent="0.2">
      <c r="B275" s="38"/>
      <c r="C275" s="40" t="s">
        <v>260</v>
      </c>
      <c r="D275" s="40"/>
      <c r="E275" s="40"/>
      <c r="F275" s="40"/>
      <c r="G275" s="40"/>
      <c r="H275" s="40"/>
      <c r="I275" s="40"/>
      <c r="J275" s="245">
        <f>IF(J273=0,"Not Calculated",IF(J274="N/A",0,IF(J274="No Nurses",4,IF((J274/J273)&lt;=1,0,IF((J274/J273)&lt;=1.1,1,IF((J274/J273)&lt;=1=1.25,2,IF((J274/J273)&lt;=1.5,3,4)))))))</f>
        <v>0</v>
      </c>
      <c r="K275" s="41"/>
    </row>
    <row r="276" spans="2:14" ht="9.75" customHeight="1" x14ac:dyDescent="0.2">
      <c r="B276" s="38"/>
      <c r="C276" s="279" t="str">
        <f>"0:"</f>
        <v>0:</v>
      </c>
      <c r="D276" s="278" t="s">
        <v>927</v>
      </c>
      <c r="E276" s="40"/>
      <c r="F276" s="40"/>
      <c r="G276" s="40"/>
      <c r="H276" s="40"/>
      <c r="I276" s="40"/>
      <c r="J276" s="258"/>
      <c r="K276" s="41"/>
    </row>
    <row r="277" spans="2:14" ht="9.75" customHeight="1" x14ac:dyDescent="0.2">
      <c r="B277" s="38"/>
      <c r="C277" s="280" t="str">
        <f>"1:"</f>
        <v>1:</v>
      </c>
      <c r="D277" s="278" t="s">
        <v>928</v>
      </c>
      <c r="E277" s="40"/>
      <c r="F277" s="40"/>
      <c r="G277" s="40"/>
      <c r="H277" s="40"/>
      <c r="I277" s="40"/>
      <c r="J277" s="258"/>
      <c r="K277" s="41"/>
    </row>
    <row r="278" spans="2:14" ht="9.75" customHeight="1" x14ac:dyDescent="0.2">
      <c r="B278" s="38"/>
      <c r="C278" s="280" t="str">
        <f>"2:"</f>
        <v>2:</v>
      </c>
      <c r="D278" s="278" t="s">
        <v>929</v>
      </c>
      <c r="E278" s="40"/>
      <c r="F278" s="40"/>
      <c r="G278" s="40"/>
      <c r="H278" s="40"/>
      <c r="I278" s="40"/>
      <c r="J278" s="258"/>
      <c r="K278" s="41"/>
    </row>
    <row r="279" spans="2:14" ht="9.75" customHeight="1" x14ac:dyDescent="0.2">
      <c r="B279" s="38"/>
      <c r="C279" s="280" t="str">
        <f>"3:"</f>
        <v>3:</v>
      </c>
      <c r="D279" s="278" t="s">
        <v>930</v>
      </c>
      <c r="E279" s="40"/>
      <c r="F279" s="40"/>
      <c r="G279" s="40"/>
      <c r="H279" s="40"/>
      <c r="I279" s="40"/>
      <c r="J279" s="258"/>
      <c r="K279" s="41"/>
    </row>
    <row r="280" spans="2:14" ht="9.75" customHeight="1" x14ac:dyDescent="0.2">
      <c r="B280" s="38"/>
      <c r="C280" s="280" t="str">
        <f>"4:"</f>
        <v>4:</v>
      </c>
      <c r="D280" s="278" t="s">
        <v>931</v>
      </c>
      <c r="E280" s="40"/>
      <c r="F280" s="40"/>
      <c r="G280" s="40"/>
      <c r="H280" s="40"/>
      <c r="I280" s="40"/>
      <c r="J280" s="40"/>
      <c r="K280" s="41"/>
      <c r="N280" s="12" t="s">
        <v>661</v>
      </c>
    </row>
    <row r="281" spans="2:14" x14ac:dyDescent="0.2">
      <c r="B281" s="38"/>
      <c r="C281" s="174" t="s">
        <v>662</v>
      </c>
      <c r="D281" s="40"/>
      <c r="E281" s="40"/>
      <c r="F281" s="40"/>
      <c r="G281" s="40"/>
      <c r="H281" s="40"/>
      <c r="I281" s="40"/>
      <c r="J281" s="265" t="s">
        <v>661</v>
      </c>
      <c r="K281" s="41"/>
      <c r="N281" s="12" t="s">
        <v>903</v>
      </c>
    </row>
    <row r="282" spans="2:14" x14ac:dyDescent="0.2">
      <c r="B282" s="38"/>
      <c r="C282" s="174" t="s">
        <v>660</v>
      </c>
      <c r="D282" s="40"/>
      <c r="E282" s="40"/>
      <c r="F282" s="40"/>
      <c r="G282" s="40"/>
      <c r="H282" s="40"/>
      <c r="I282" s="40"/>
      <c r="J282" s="246" t="str">
        <f>IF(J281=N280,"N/A",IF(J281=N281,0,IF(J281=N282,1,IF(J281=N283,2,IF(J281=N284,3,IF(J281=N285,4,"N/A"))))))</f>
        <v>N/A</v>
      </c>
      <c r="K282" s="41"/>
      <c r="N282" s="12" t="s">
        <v>904</v>
      </c>
    </row>
    <row r="283" spans="2:14" x14ac:dyDescent="0.2">
      <c r="B283" s="38"/>
      <c r="C283" s="40" t="s">
        <v>257</v>
      </c>
      <c r="D283" s="40"/>
      <c r="E283" s="40"/>
      <c r="F283" s="40"/>
      <c r="G283" s="40"/>
      <c r="H283" s="40"/>
      <c r="I283" s="40"/>
      <c r="J283" s="266"/>
      <c r="K283" s="41"/>
      <c r="N283" s="12" t="s">
        <v>905</v>
      </c>
    </row>
    <row r="284" spans="2:14" x14ac:dyDescent="0.2">
      <c r="B284" s="38"/>
      <c r="C284" s="40" t="s">
        <v>261</v>
      </c>
      <c r="D284" s="40"/>
      <c r="E284" s="40"/>
      <c r="F284" s="40"/>
      <c r="G284" s="40"/>
      <c r="H284" s="40"/>
      <c r="I284" s="40"/>
      <c r="J284" s="248" t="str">
        <f>IF(J283=$B$973,$A$973,IF(J283=$B$974,$A$974,IF(J283=$B$975,$A$975,IF(J283=$B$976,$A$976,IF(J283=$B$977,$A$977,"Not Calculated")))))</f>
        <v>Not Calculated</v>
      </c>
      <c r="K284" s="41"/>
      <c r="N284" s="12" t="s">
        <v>906</v>
      </c>
    </row>
    <row r="285" spans="2:14" x14ac:dyDescent="0.2">
      <c r="B285" s="38"/>
      <c r="C285" s="40" t="s">
        <v>893</v>
      </c>
      <c r="D285" s="40"/>
      <c r="E285" s="40"/>
      <c r="F285" s="40"/>
      <c r="G285" s="40"/>
      <c r="H285" s="40"/>
      <c r="I285" s="40"/>
      <c r="J285" s="40"/>
      <c r="K285" s="41"/>
      <c r="N285" s="12" t="s">
        <v>907</v>
      </c>
    </row>
    <row r="286" spans="2:14" x14ac:dyDescent="0.2">
      <c r="B286" s="38"/>
      <c r="C286" s="399"/>
      <c r="D286" s="400"/>
      <c r="E286" s="400"/>
      <c r="F286" s="400"/>
      <c r="G286" s="400"/>
      <c r="H286" s="400"/>
      <c r="I286" s="400"/>
      <c r="J286" s="401"/>
      <c r="K286" s="41"/>
    </row>
    <row r="287" spans="2:14" x14ac:dyDescent="0.2">
      <c r="B287" s="38"/>
      <c r="C287" s="40"/>
      <c r="D287" s="40"/>
      <c r="E287" s="40"/>
      <c r="F287" s="40"/>
      <c r="G287" s="40"/>
      <c r="H287" s="40"/>
      <c r="I287" s="40"/>
      <c r="J287" s="40"/>
      <c r="K287" s="41"/>
    </row>
    <row r="288" spans="2:14" x14ac:dyDescent="0.2">
      <c r="B288" s="38"/>
      <c r="C288" s="179" t="s">
        <v>295</v>
      </c>
      <c r="D288" s="40"/>
      <c r="E288" s="40"/>
      <c r="F288" s="40"/>
      <c r="G288" s="40"/>
      <c r="H288" s="40"/>
      <c r="I288" s="40"/>
      <c r="J288" s="245" t="str">
        <f>IF(J282="N/A",IF(OR(J275="Not Calculated",J284="Not Calculated")=TRUE,"Not Calculated",AVERAGE(J275,J284)),AVERAGE(J282,J284))</f>
        <v>Not Calculated</v>
      </c>
      <c r="K288" s="41"/>
    </row>
    <row r="289" spans="2:11" x14ac:dyDescent="0.2">
      <c r="B289" s="38"/>
      <c r="C289" s="40"/>
      <c r="D289" s="40"/>
      <c r="E289" s="40"/>
      <c r="F289" s="40"/>
      <c r="G289" s="40"/>
      <c r="H289" s="40"/>
      <c r="I289" s="40"/>
      <c r="J289" s="245"/>
      <c r="K289" s="41"/>
    </row>
    <row r="290" spans="2:11" x14ac:dyDescent="0.2">
      <c r="B290" s="38"/>
      <c r="C290" s="40"/>
      <c r="D290" s="40"/>
      <c r="E290" s="40"/>
      <c r="F290" s="40"/>
      <c r="G290" s="40"/>
      <c r="H290" s="40"/>
      <c r="I290" s="40"/>
      <c r="J290" s="40"/>
      <c r="K290" s="41"/>
    </row>
    <row r="291" spans="2:11" ht="16" x14ac:dyDescent="0.2">
      <c r="B291" s="38"/>
      <c r="C291" s="45" t="s">
        <v>856</v>
      </c>
      <c r="D291" s="40"/>
      <c r="E291" s="40"/>
      <c r="F291" s="40"/>
      <c r="G291" s="40"/>
      <c r="H291" s="40"/>
      <c r="I291" s="40"/>
      <c r="J291" s="40"/>
      <c r="K291" s="41"/>
    </row>
    <row r="292" spans="2:11" ht="15" customHeight="1" x14ac:dyDescent="0.2">
      <c r="B292" s="38"/>
      <c r="C292" s="380" t="s">
        <v>855</v>
      </c>
      <c r="D292" s="380"/>
      <c r="E292" s="380"/>
      <c r="F292" s="380"/>
      <c r="G292" s="380"/>
      <c r="H292" s="380"/>
      <c r="I292" s="380"/>
      <c r="J292" s="40"/>
      <c r="K292" s="41"/>
    </row>
    <row r="293" spans="2:11" x14ac:dyDescent="0.2">
      <c r="B293" s="38"/>
      <c r="C293" s="380"/>
      <c r="D293" s="380"/>
      <c r="E293" s="380"/>
      <c r="F293" s="380"/>
      <c r="G293" s="380"/>
      <c r="H293" s="380"/>
      <c r="I293" s="380"/>
      <c r="J293" s="264"/>
      <c r="K293" s="41"/>
    </row>
    <row r="294" spans="2:11" x14ac:dyDescent="0.2">
      <c r="B294" s="38"/>
      <c r="C294" s="40" t="s">
        <v>853</v>
      </c>
      <c r="D294" s="291"/>
      <c r="E294" s="291"/>
      <c r="F294" s="291"/>
      <c r="G294" s="291"/>
      <c r="H294" s="291"/>
      <c r="I294" s="291"/>
      <c r="J294" s="255">
        <f>'Baseline Health'!$G$102</f>
        <v>0</v>
      </c>
      <c r="K294" s="41"/>
    </row>
    <row r="295" spans="2:11" x14ac:dyDescent="0.2">
      <c r="B295" s="38"/>
      <c r="C295" s="40" t="s">
        <v>842</v>
      </c>
      <c r="D295" s="40"/>
      <c r="E295" s="40"/>
      <c r="F295" s="40"/>
      <c r="G295" s="40"/>
      <c r="H295" s="40"/>
      <c r="I295" s="40"/>
      <c r="J295" s="244" t="str">
        <f>IF('Baseline Health'!$G$102=0,"Not Calculated",100*J293/'Baseline Health'!$G$102)</f>
        <v>Not Calculated</v>
      </c>
      <c r="K295" s="41"/>
    </row>
    <row r="296" spans="2:11" x14ac:dyDescent="0.2">
      <c r="B296" s="38"/>
      <c r="C296" s="40" t="s">
        <v>260</v>
      </c>
      <c r="D296" s="40"/>
      <c r="E296" s="40"/>
      <c r="F296" s="40"/>
      <c r="G296" s="40"/>
      <c r="H296" s="40"/>
      <c r="I296" s="40"/>
      <c r="J296" s="245">
        <f>IF(J295&lt;=0,0,IF(J295&lt;=1,1,IF(J295&lt;=5,2,IF(J295&lt;=10,3,4))))</f>
        <v>4</v>
      </c>
      <c r="K296" s="41"/>
    </row>
    <row r="297" spans="2:11" ht="9.75" customHeight="1" x14ac:dyDescent="0.2">
      <c r="B297" s="38"/>
      <c r="C297" s="279" t="str">
        <f>"0:"</f>
        <v>0:</v>
      </c>
      <c r="D297" s="278" t="s">
        <v>932</v>
      </c>
      <c r="E297" s="40"/>
      <c r="F297" s="40"/>
      <c r="G297" s="40"/>
      <c r="H297" s="40"/>
      <c r="I297" s="40"/>
      <c r="J297" s="244"/>
      <c r="K297" s="41"/>
    </row>
    <row r="298" spans="2:11" ht="9.75" customHeight="1" x14ac:dyDescent="0.2">
      <c r="B298" s="38"/>
      <c r="C298" s="280" t="str">
        <f>"1:"</f>
        <v>1:</v>
      </c>
      <c r="D298" s="278" t="s">
        <v>934</v>
      </c>
      <c r="E298" s="40"/>
      <c r="F298" s="40"/>
      <c r="G298" s="40"/>
      <c r="H298" s="40"/>
      <c r="I298" s="40"/>
      <c r="J298" s="244"/>
      <c r="K298" s="41"/>
    </row>
    <row r="299" spans="2:11" ht="9.75" customHeight="1" x14ac:dyDescent="0.2">
      <c r="B299" s="38"/>
      <c r="C299" s="280" t="str">
        <f>"2:"</f>
        <v>2:</v>
      </c>
      <c r="D299" s="278" t="s">
        <v>933</v>
      </c>
      <c r="E299" s="40"/>
      <c r="F299" s="40"/>
      <c r="G299" s="40"/>
      <c r="H299" s="40"/>
      <c r="I299" s="40"/>
      <c r="J299" s="244"/>
      <c r="K299" s="41"/>
    </row>
    <row r="300" spans="2:11" ht="9.75" customHeight="1" x14ac:dyDescent="0.2">
      <c r="B300" s="38"/>
      <c r="C300" s="280" t="str">
        <f>"3:"</f>
        <v>3:</v>
      </c>
      <c r="D300" s="278" t="s">
        <v>935</v>
      </c>
      <c r="E300" s="40"/>
      <c r="F300" s="40"/>
      <c r="G300" s="40"/>
      <c r="H300" s="40"/>
      <c r="I300" s="40"/>
      <c r="J300" s="244"/>
      <c r="K300" s="41"/>
    </row>
    <row r="301" spans="2:11" ht="9.75" customHeight="1" x14ac:dyDescent="0.2">
      <c r="B301" s="38"/>
      <c r="C301" s="280" t="str">
        <f>"4:"</f>
        <v>4:</v>
      </c>
      <c r="D301" s="278" t="s">
        <v>936</v>
      </c>
      <c r="E301" s="40"/>
      <c r="F301" s="40"/>
      <c r="G301" s="40"/>
      <c r="H301" s="40"/>
      <c r="I301" s="40"/>
      <c r="J301" s="40"/>
      <c r="K301" s="41"/>
    </row>
    <row r="302" spans="2:11" x14ac:dyDescent="0.2">
      <c r="B302" s="38"/>
      <c r="C302" s="40" t="s">
        <v>257</v>
      </c>
      <c r="D302" s="40"/>
      <c r="E302" s="40"/>
      <c r="F302" s="40"/>
      <c r="G302" s="40"/>
      <c r="H302" s="40"/>
      <c r="I302" s="40"/>
      <c r="J302" s="266"/>
      <c r="K302" s="41"/>
    </row>
    <row r="303" spans="2:11" x14ac:dyDescent="0.2">
      <c r="B303" s="38"/>
      <c r="C303" s="40" t="s">
        <v>261</v>
      </c>
      <c r="D303" s="40"/>
      <c r="E303" s="40"/>
      <c r="F303" s="40"/>
      <c r="G303" s="40"/>
      <c r="H303" s="40"/>
      <c r="I303" s="40"/>
      <c r="J303" s="245" t="str">
        <f>IF(J302=$B$980,$A$980,IF(J302=$B$981,$A$981,IF(J302=$B$982,$A$982,IF(J302=$B$983,$A$983,IF(J302=$B$984,$A$984,"Not Calculated")))))</f>
        <v>Not Calculated</v>
      </c>
      <c r="K303" s="41"/>
    </row>
    <row r="304" spans="2:11" x14ac:dyDescent="0.2">
      <c r="B304" s="38"/>
      <c r="C304" s="40" t="s">
        <v>893</v>
      </c>
      <c r="D304" s="40"/>
      <c r="E304" s="40"/>
      <c r="F304" s="40"/>
      <c r="G304" s="40"/>
      <c r="H304" s="40"/>
      <c r="I304" s="40"/>
      <c r="J304" s="40"/>
      <c r="K304" s="41"/>
    </row>
    <row r="305" spans="2:11" ht="15" customHeight="1" x14ac:dyDescent="0.2">
      <c r="B305" s="38"/>
      <c r="C305" s="399"/>
      <c r="D305" s="400"/>
      <c r="E305" s="400"/>
      <c r="F305" s="400"/>
      <c r="G305" s="400"/>
      <c r="H305" s="400"/>
      <c r="I305" s="400"/>
      <c r="J305" s="401"/>
      <c r="K305" s="41"/>
    </row>
    <row r="306" spans="2:11" x14ac:dyDescent="0.2">
      <c r="B306" s="38"/>
      <c r="C306" s="40"/>
      <c r="D306" s="40"/>
      <c r="E306" s="40"/>
      <c r="F306" s="40"/>
      <c r="G306" s="40"/>
      <c r="H306" s="40"/>
      <c r="I306" s="40"/>
      <c r="J306" s="40"/>
      <c r="K306" s="41"/>
    </row>
    <row r="307" spans="2:11" x14ac:dyDescent="0.2">
      <c r="B307" s="38"/>
      <c r="C307" s="179" t="s">
        <v>885</v>
      </c>
      <c r="D307" s="40"/>
      <c r="E307" s="40"/>
      <c r="F307" s="40"/>
      <c r="G307" s="40"/>
      <c r="H307" s="40"/>
      <c r="I307" s="40"/>
      <c r="J307" s="245" t="str">
        <f>IF(OR(J296="Not Calculated",J303="Not Calculated")=TRUE,"Not Calculated",AVERAGE(J296,J303))</f>
        <v>Not Calculated</v>
      </c>
      <c r="K307" s="41"/>
    </row>
    <row r="308" spans="2:11" x14ac:dyDescent="0.2">
      <c r="B308" s="38"/>
      <c r="C308" s="40"/>
      <c r="D308" s="40"/>
      <c r="E308" s="40"/>
      <c r="F308" s="40"/>
      <c r="G308" s="40"/>
      <c r="H308" s="40"/>
      <c r="I308" s="40"/>
      <c r="J308" s="40"/>
      <c r="K308" s="41"/>
    </row>
    <row r="309" spans="2:11" x14ac:dyDescent="0.2">
      <c r="B309" s="38"/>
      <c r="C309" s="40"/>
      <c r="D309" s="40"/>
      <c r="E309" s="40"/>
      <c r="F309" s="40"/>
      <c r="G309" s="40"/>
      <c r="H309" s="40"/>
      <c r="I309" s="40"/>
      <c r="J309" s="40"/>
      <c r="K309" s="41"/>
    </row>
    <row r="310" spans="2:11" ht="16" x14ac:dyDescent="0.2">
      <c r="B310" s="38"/>
      <c r="C310" s="45" t="s">
        <v>857</v>
      </c>
      <c r="D310" s="40"/>
      <c r="E310" s="40"/>
      <c r="F310" s="40"/>
      <c r="G310" s="40"/>
      <c r="H310" s="40"/>
      <c r="I310" s="40"/>
      <c r="J310" s="40"/>
      <c r="K310" s="41"/>
    </row>
    <row r="311" spans="2:11" x14ac:dyDescent="0.2">
      <c r="B311" s="38"/>
      <c r="C311" s="380" t="s">
        <v>843</v>
      </c>
      <c r="D311" s="380"/>
      <c r="E311" s="380"/>
      <c r="F311" s="380"/>
      <c r="G311" s="380"/>
      <c r="H311" s="380"/>
      <c r="I311" s="380"/>
      <c r="J311" s="40"/>
      <c r="K311" s="41"/>
    </row>
    <row r="312" spans="2:11" x14ac:dyDescent="0.2">
      <c r="B312" s="38"/>
      <c r="C312" s="380"/>
      <c r="D312" s="380"/>
      <c r="E312" s="380"/>
      <c r="F312" s="380"/>
      <c r="G312" s="380"/>
      <c r="H312" s="380"/>
      <c r="I312" s="380"/>
      <c r="J312" s="264"/>
      <c r="K312" s="41"/>
    </row>
    <row r="313" spans="2:11" x14ac:dyDescent="0.2">
      <c r="B313" s="38"/>
      <c r="C313" s="40" t="s">
        <v>853</v>
      </c>
      <c r="D313" s="291"/>
      <c r="E313" s="291"/>
      <c r="F313" s="291"/>
      <c r="G313" s="291"/>
      <c r="H313" s="291"/>
      <c r="I313" s="291"/>
      <c r="J313" s="255">
        <f>'Baseline Health'!$G$102</f>
        <v>0</v>
      </c>
      <c r="K313" s="41"/>
    </row>
    <row r="314" spans="2:11" x14ac:dyDescent="0.2">
      <c r="B314" s="38"/>
      <c r="C314" s="40" t="s">
        <v>842</v>
      </c>
      <c r="D314" s="40"/>
      <c r="E314" s="40"/>
      <c r="F314" s="40"/>
      <c r="G314" s="40"/>
      <c r="H314" s="40"/>
      <c r="I314" s="40"/>
      <c r="J314" s="244" t="str">
        <f>IF('Baseline Health'!$G$102=0,"Not Calculated",100*J312/'Baseline Health'!$G$102)</f>
        <v>Not Calculated</v>
      </c>
      <c r="K314" s="41"/>
    </row>
    <row r="315" spans="2:11" x14ac:dyDescent="0.2">
      <c r="B315" s="38"/>
      <c r="C315" s="40" t="s">
        <v>260</v>
      </c>
      <c r="D315" s="40"/>
      <c r="E315" s="40"/>
      <c r="F315" s="40"/>
      <c r="G315" s="40"/>
      <c r="H315" s="40"/>
      <c r="I315" s="40"/>
      <c r="J315" s="245">
        <f>IF(J314&lt;=0,0,IF(J314&lt;=1,1,IF(J314&lt;=5,2,IF(J314&lt;=10,3,4))))</f>
        <v>4</v>
      </c>
      <c r="K315" s="41"/>
    </row>
    <row r="316" spans="2:11" ht="9.75" customHeight="1" x14ac:dyDescent="0.2">
      <c r="B316" s="38"/>
      <c r="C316" s="279" t="str">
        <f>"0:"</f>
        <v>0:</v>
      </c>
      <c r="D316" s="278" t="s">
        <v>932</v>
      </c>
      <c r="E316" s="40"/>
      <c r="F316" s="40"/>
      <c r="G316" s="40"/>
      <c r="H316" s="40"/>
      <c r="I316" s="40"/>
      <c r="J316" s="244"/>
      <c r="K316" s="41"/>
    </row>
    <row r="317" spans="2:11" ht="9.75" customHeight="1" x14ac:dyDescent="0.2">
      <c r="B317" s="38"/>
      <c r="C317" s="280" t="str">
        <f>"1:"</f>
        <v>1:</v>
      </c>
      <c r="D317" s="278" t="s">
        <v>934</v>
      </c>
      <c r="E317" s="40"/>
      <c r="F317" s="40"/>
      <c r="G317" s="40"/>
      <c r="H317" s="40"/>
      <c r="I317" s="40"/>
      <c r="J317" s="244"/>
      <c r="K317" s="41"/>
    </row>
    <row r="318" spans="2:11" ht="9.75" customHeight="1" x14ac:dyDescent="0.2">
      <c r="B318" s="38"/>
      <c r="C318" s="280" t="str">
        <f>"2:"</f>
        <v>2:</v>
      </c>
      <c r="D318" s="278" t="s">
        <v>933</v>
      </c>
      <c r="E318" s="40"/>
      <c r="F318" s="40"/>
      <c r="G318" s="40"/>
      <c r="H318" s="40"/>
      <c r="I318" s="40"/>
      <c r="J318" s="244"/>
      <c r="K318" s="41"/>
    </row>
    <row r="319" spans="2:11" ht="9.75" customHeight="1" x14ac:dyDescent="0.2">
      <c r="B319" s="38"/>
      <c r="C319" s="280" t="str">
        <f>"3:"</f>
        <v>3:</v>
      </c>
      <c r="D319" s="278" t="s">
        <v>935</v>
      </c>
      <c r="E319" s="40"/>
      <c r="F319" s="40"/>
      <c r="G319" s="40"/>
      <c r="H319" s="40"/>
      <c r="I319" s="40"/>
      <c r="J319" s="244"/>
      <c r="K319" s="41"/>
    </row>
    <row r="320" spans="2:11" ht="9.75" customHeight="1" x14ac:dyDescent="0.2">
      <c r="B320" s="38"/>
      <c r="C320" s="280" t="str">
        <f>"4:"</f>
        <v>4:</v>
      </c>
      <c r="D320" s="278" t="s">
        <v>936</v>
      </c>
      <c r="E320" s="40"/>
      <c r="F320" s="40"/>
      <c r="G320" s="40"/>
      <c r="H320" s="40"/>
      <c r="I320" s="40"/>
      <c r="J320" s="40"/>
      <c r="K320" s="41"/>
    </row>
    <row r="321" spans="2:11" x14ac:dyDescent="0.2">
      <c r="B321" s="38"/>
      <c r="C321" s="40" t="s">
        <v>296</v>
      </c>
      <c r="D321" s="40"/>
      <c r="E321" s="40"/>
      <c r="F321" s="40"/>
      <c r="G321" s="40"/>
      <c r="H321" s="40"/>
      <c r="I321" s="40"/>
      <c r="J321" s="266"/>
      <c r="K321" s="41"/>
    </row>
    <row r="322" spans="2:11" x14ac:dyDescent="0.2">
      <c r="B322" s="38"/>
      <c r="C322" s="40" t="s">
        <v>261</v>
      </c>
      <c r="D322" s="40"/>
      <c r="E322" s="40"/>
      <c r="F322" s="40"/>
      <c r="G322" s="40"/>
      <c r="H322" s="40"/>
      <c r="I322" s="40"/>
      <c r="J322" s="245">
        <f>IF(J321&lt;=0,0,IF(J321&lt;=2,1,IF(J321&lt;=6,2,IF(J321&lt;=12,3,4))))</f>
        <v>0</v>
      </c>
      <c r="K322" s="41"/>
    </row>
    <row r="323" spans="2:11" x14ac:dyDescent="0.2">
      <c r="B323" s="38"/>
      <c r="C323" s="40" t="s">
        <v>893</v>
      </c>
      <c r="D323" s="40"/>
      <c r="E323" s="40"/>
      <c r="F323" s="40"/>
      <c r="G323" s="40"/>
      <c r="H323" s="40"/>
      <c r="I323" s="40"/>
      <c r="J323" s="40"/>
      <c r="K323" s="41"/>
    </row>
    <row r="324" spans="2:11" ht="15" customHeight="1" x14ac:dyDescent="0.2">
      <c r="B324" s="38"/>
      <c r="C324" s="399"/>
      <c r="D324" s="400"/>
      <c r="E324" s="400"/>
      <c r="F324" s="400"/>
      <c r="G324" s="400"/>
      <c r="H324" s="400"/>
      <c r="I324" s="400"/>
      <c r="J324" s="401"/>
      <c r="K324" s="41"/>
    </row>
    <row r="325" spans="2:11" x14ac:dyDescent="0.2">
      <c r="B325" s="38"/>
      <c r="C325" s="40"/>
      <c r="D325" s="40"/>
      <c r="E325" s="40"/>
      <c r="F325" s="40"/>
      <c r="G325" s="40"/>
      <c r="H325" s="40"/>
      <c r="I325" s="40"/>
      <c r="J325" s="40"/>
      <c r="K325" s="41"/>
    </row>
    <row r="326" spans="2:11" x14ac:dyDescent="0.2">
      <c r="B326" s="38"/>
      <c r="C326" s="179" t="s">
        <v>886</v>
      </c>
      <c r="D326" s="40"/>
      <c r="E326" s="40"/>
      <c r="F326" s="40"/>
      <c r="G326" s="40"/>
      <c r="H326" s="40"/>
      <c r="I326" s="40"/>
      <c r="J326" s="245">
        <f>IF(OR(J315="Not Calculated",J322="Not Calculated")=TRUE,"Not Calculated",AVERAGE(J315,J322))</f>
        <v>2</v>
      </c>
      <c r="K326" s="41"/>
    </row>
    <row r="327" spans="2:11" x14ac:dyDescent="0.2">
      <c r="B327" s="38"/>
      <c r="C327" s="40"/>
      <c r="D327" s="40"/>
      <c r="E327" s="40"/>
      <c r="F327" s="40"/>
      <c r="G327" s="40"/>
      <c r="H327" s="40"/>
      <c r="I327" s="40"/>
      <c r="J327" s="40"/>
      <c r="K327" s="41"/>
    </row>
    <row r="328" spans="2:11" x14ac:dyDescent="0.2">
      <c r="B328" s="38"/>
      <c r="C328" s="40"/>
      <c r="D328" s="40"/>
      <c r="E328" s="40"/>
      <c r="F328" s="40"/>
      <c r="G328" s="40"/>
      <c r="H328" s="40"/>
      <c r="I328" s="40"/>
      <c r="J328" s="40"/>
      <c r="K328" s="41"/>
    </row>
    <row r="329" spans="2:11" ht="16" x14ac:dyDescent="0.2">
      <c r="B329" s="38"/>
      <c r="C329" s="45" t="s">
        <v>858</v>
      </c>
      <c r="D329" s="40"/>
      <c r="E329" s="40"/>
      <c r="F329" s="40"/>
      <c r="G329" s="40"/>
      <c r="H329" s="40"/>
      <c r="I329" s="40"/>
      <c r="J329" s="40"/>
      <c r="K329" s="41"/>
    </row>
    <row r="330" spans="2:11" ht="15" customHeight="1" x14ac:dyDescent="0.2">
      <c r="B330" s="38"/>
      <c r="C330" s="380" t="s">
        <v>844</v>
      </c>
      <c r="D330" s="380"/>
      <c r="E330" s="380"/>
      <c r="F330" s="380"/>
      <c r="G330" s="380"/>
      <c r="H330" s="380"/>
      <c r="I330" s="380"/>
      <c r="J330" s="40"/>
      <c r="K330" s="41"/>
    </row>
    <row r="331" spans="2:11" x14ac:dyDescent="0.2">
      <c r="B331" s="38"/>
      <c r="C331" s="380"/>
      <c r="D331" s="380"/>
      <c r="E331" s="380"/>
      <c r="F331" s="380"/>
      <c r="G331" s="380"/>
      <c r="H331" s="380"/>
      <c r="I331" s="380"/>
      <c r="J331" s="264"/>
      <c r="K331" s="41"/>
    </row>
    <row r="332" spans="2:11" x14ac:dyDescent="0.2">
      <c r="B332" s="38"/>
      <c r="C332" s="40" t="s">
        <v>853</v>
      </c>
      <c r="D332" s="291"/>
      <c r="E332" s="291"/>
      <c r="F332" s="291"/>
      <c r="G332" s="291"/>
      <c r="H332" s="291"/>
      <c r="I332" s="291"/>
      <c r="J332" s="255">
        <f>'Baseline Health'!$G$102</f>
        <v>0</v>
      </c>
      <c r="K332" s="41"/>
    </row>
    <row r="333" spans="2:11" x14ac:dyDescent="0.2">
      <c r="B333" s="38"/>
      <c r="C333" s="40" t="s">
        <v>845</v>
      </c>
      <c r="D333" s="40"/>
      <c r="E333" s="40"/>
      <c r="F333" s="40"/>
      <c r="G333" s="40"/>
      <c r="H333" s="40"/>
      <c r="I333" s="40"/>
      <c r="J333" s="244" t="str">
        <f>IF('Baseline Health'!$G$102=0,"Not Calculated",100*J331/'Baseline Health'!$G$102)</f>
        <v>Not Calculated</v>
      </c>
      <c r="K333" s="41"/>
    </row>
    <row r="334" spans="2:11" x14ac:dyDescent="0.2">
      <c r="B334" s="38"/>
      <c r="C334" s="40" t="s">
        <v>260</v>
      </c>
      <c r="D334" s="40"/>
      <c r="E334" s="40"/>
      <c r="F334" s="40"/>
      <c r="G334" s="40"/>
      <c r="H334" s="40"/>
      <c r="I334" s="40"/>
      <c r="J334" s="245">
        <f>IF(J333&lt;=0,0,IF(J333&lt;=1,1,IF(J333&lt;=5,2,IF(J333&lt;=10,3,4))))</f>
        <v>4</v>
      </c>
      <c r="K334" s="41"/>
    </row>
    <row r="335" spans="2:11" ht="9.75" customHeight="1" x14ac:dyDescent="0.2">
      <c r="B335" s="38"/>
      <c r="C335" s="279" t="str">
        <f>"0:"</f>
        <v>0:</v>
      </c>
      <c r="D335" s="278" t="s">
        <v>932</v>
      </c>
      <c r="E335" s="40"/>
      <c r="F335" s="40"/>
      <c r="G335" s="40"/>
      <c r="H335" s="40"/>
      <c r="I335" s="40"/>
      <c r="J335" s="244"/>
      <c r="K335" s="41"/>
    </row>
    <row r="336" spans="2:11" ht="9.75" customHeight="1" x14ac:dyDescent="0.2">
      <c r="B336" s="38"/>
      <c r="C336" s="280" t="str">
        <f>"1:"</f>
        <v>1:</v>
      </c>
      <c r="D336" s="278" t="s">
        <v>934</v>
      </c>
      <c r="E336" s="40"/>
      <c r="F336" s="40"/>
      <c r="G336" s="40"/>
      <c r="H336" s="40"/>
      <c r="I336" s="40"/>
      <c r="J336" s="244"/>
      <c r="K336" s="41"/>
    </row>
    <row r="337" spans="2:11" ht="9.75" customHeight="1" x14ac:dyDescent="0.2">
      <c r="B337" s="38"/>
      <c r="C337" s="280" t="str">
        <f>"2:"</f>
        <v>2:</v>
      </c>
      <c r="D337" s="278" t="s">
        <v>933</v>
      </c>
      <c r="E337" s="40"/>
      <c r="F337" s="40"/>
      <c r="G337" s="40"/>
      <c r="H337" s="40"/>
      <c r="I337" s="40"/>
      <c r="J337" s="244"/>
      <c r="K337" s="41"/>
    </row>
    <row r="338" spans="2:11" ht="9.75" customHeight="1" x14ac:dyDescent="0.2">
      <c r="B338" s="38"/>
      <c r="C338" s="280" t="str">
        <f>"3:"</f>
        <v>3:</v>
      </c>
      <c r="D338" s="278" t="s">
        <v>935</v>
      </c>
      <c r="E338" s="40"/>
      <c r="F338" s="40"/>
      <c r="G338" s="40"/>
      <c r="H338" s="40"/>
      <c r="I338" s="40"/>
      <c r="J338" s="244"/>
      <c r="K338" s="41"/>
    </row>
    <row r="339" spans="2:11" ht="9.75" customHeight="1" x14ac:dyDescent="0.2">
      <c r="B339" s="38"/>
      <c r="C339" s="280" t="str">
        <f>"4:"</f>
        <v>4:</v>
      </c>
      <c r="D339" s="278" t="s">
        <v>936</v>
      </c>
      <c r="E339" s="40"/>
      <c r="F339" s="40"/>
      <c r="G339" s="40"/>
      <c r="H339" s="40"/>
      <c r="I339" s="40"/>
      <c r="J339" s="40"/>
      <c r="K339" s="41"/>
    </row>
    <row r="340" spans="2:11" x14ac:dyDescent="0.2">
      <c r="B340" s="38"/>
      <c r="C340" s="380" t="s">
        <v>84</v>
      </c>
      <c r="D340" s="380"/>
      <c r="E340" s="380"/>
      <c r="F340" s="380"/>
      <c r="G340" s="380"/>
      <c r="H340" s="380"/>
      <c r="I340" s="380"/>
      <c r="J340" s="245"/>
      <c r="K340" s="41"/>
    </row>
    <row r="341" spans="2:11" x14ac:dyDescent="0.2">
      <c r="B341" s="38"/>
      <c r="C341" s="380"/>
      <c r="D341" s="380"/>
      <c r="E341" s="380"/>
      <c r="F341" s="380"/>
      <c r="G341" s="380"/>
      <c r="H341" s="380"/>
      <c r="I341" s="380"/>
      <c r="J341" s="245">
        <f>'Baseline Health'!G108</f>
        <v>40</v>
      </c>
      <c r="K341" s="41"/>
    </row>
    <row r="342" spans="2:11" ht="15" customHeight="1" x14ac:dyDescent="0.2">
      <c r="B342" s="38"/>
      <c r="C342" s="40" t="s">
        <v>833</v>
      </c>
      <c r="D342" s="40"/>
      <c r="E342" s="40"/>
      <c r="F342" s="40"/>
      <c r="G342" s="40"/>
      <c r="H342" s="40"/>
      <c r="I342" s="40"/>
      <c r="J342" s="245">
        <f>IF(J341&gt;J321,0,J321-J341)</f>
        <v>0</v>
      </c>
      <c r="K342" s="41"/>
    </row>
    <row r="343" spans="2:11" x14ac:dyDescent="0.2">
      <c r="B343" s="38"/>
      <c r="C343" s="40"/>
      <c r="D343" s="380" t="s">
        <v>834</v>
      </c>
      <c r="E343" s="380"/>
      <c r="F343" s="380"/>
      <c r="G343" s="380"/>
      <c r="H343" s="380"/>
      <c r="I343" s="380"/>
      <c r="J343" s="40"/>
      <c r="K343" s="41"/>
    </row>
    <row r="344" spans="2:11" x14ac:dyDescent="0.2">
      <c r="B344" s="38"/>
      <c r="C344" s="40"/>
      <c r="D344" s="380"/>
      <c r="E344" s="380"/>
      <c r="F344" s="380"/>
      <c r="G344" s="380"/>
      <c r="H344" s="380"/>
      <c r="I344" s="380"/>
      <c r="J344" s="40"/>
      <c r="K344" s="41"/>
    </row>
    <row r="345" spans="2:11" x14ac:dyDescent="0.2">
      <c r="B345" s="38"/>
      <c r="C345" s="40" t="s">
        <v>261</v>
      </c>
      <c r="D345" s="40"/>
      <c r="E345" s="40"/>
      <c r="F345" s="40"/>
      <c r="G345" s="40"/>
      <c r="H345" s="40"/>
      <c r="I345" s="40"/>
      <c r="J345" s="245">
        <f>IF(J342&lt;=0,0,IF(J342&lt;=2,1,IF(J342&lt;=6,2,IF(J342&lt;=12,3,4))))</f>
        <v>0</v>
      </c>
      <c r="K345" s="41"/>
    </row>
    <row r="346" spans="2:11" x14ac:dyDescent="0.2">
      <c r="B346" s="38"/>
      <c r="C346" s="40" t="s">
        <v>893</v>
      </c>
      <c r="D346" s="40"/>
      <c r="E346" s="40"/>
      <c r="F346" s="40"/>
      <c r="G346" s="40"/>
      <c r="H346" s="40"/>
      <c r="I346" s="40"/>
      <c r="J346" s="40"/>
      <c r="K346" s="41"/>
    </row>
    <row r="347" spans="2:11" ht="15" customHeight="1" x14ac:dyDescent="0.2">
      <c r="B347" s="38"/>
      <c r="C347" s="399"/>
      <c r="D347" s="400"/>
      <c r="E347" s="400"/>
      <c r="F347" s="400"/>
      <c r="G347" s="400"/>
      <c r="H347" s="400"/>
      <c r="I347" s="400"/>
      <c r="J347" s="401"/>
      <c r="K347" s="41"/>
    </row>
    <row r="348" spans="2:11" x14ac:dyDescent="0.2">
      <c r="B348" s="38"/>
      <c r="C348" s="40"/>
      <c r="D348" s="40"/>
      <c r="E348" s="40"/>
      <c r="F348" s="40"/>
      <c r="G348" s="40"/>
      <c r="H348" s="40"/>
      <c r="I348" s="40"/>
      <c r="J348" s="40"/>
      <c r="K348" s="41"/>
    </row>
    <row r="349" spans="2:11" x14ac:dyDescent="0.2">
      <c r="B349" s="38"/>
      <c r="C349" s="179" t="s">
        <v>887</v>
      </c>
      <c r="D349" s="40"/>
      <c r="E349" s="40"/>
      <c r="F349" s="40"/>
      <c r="G349" s="40"/>
      <c r="H349" s="40"/>
      <c r="I349" s="40"/>
      <c r="J349" s="245">
        <f>IF(OR(J334="Not Calculated",J345="Not Calculated")=TRUE,"Not Calculated",AVERAGE(J334,J345))</f>
        <v>2</v>
      </c>
      <c r="K349" s="41"/>
    </row>
    <row r="350" spans="2:11" x14ac:dyDescent="0.2">
      <c r="B350" s="38"/>
      <c r="C350" s="40"/>
      <c r="D350" s="40"/>
      <c r="E350" s="40"/>
      <c r="F350" s="40"/>
      <c r="G350" s="40"/>
      <c r="H350" s="40"/>
      <c r="I350" s="40"/>
      <c r="J350" s="40"/>
      <c r="K350" s="41"/>
    </row>
    <row r="351" spans="2:11" x14ac:dyDescent="0.2">
      <c r="B351" s="38"/>
      <c r="C351" s="40"/>
      <c r="D351" s="40"/>
      <c r="E351" s="40"/>
      <c r="F351" s="40"/>
      <c r="G351" s="40"/>
      <c r="H351" s="40"/>
      <c r="I351" s="40"/>
      <c r="J351" s="40"/>
      <c r="K351" s="41"/>
    </row>
    <row r="352" spans="2:11" ht="15" customHeight="1" x14ac:dyDescent="0.2">
      <c r="B352" s="38"/>
      <c r="C352" s="45" t="s">
        <v>859</v>
      </c>
      <c r="D352" s="40"/>
      <c r="E352" s="40"/>
      <c r="F352" s="40"/>
      <c r="G352" s="40"/>
      <c r="H352" s="40"/>
      <c r="I352" s="40"/>
      <c r="J352" s="40"/>
      <c r="K352" s="41"/>
    </row>
    <row r="353" spans="2:11" x14ac:dyDescent="0.2">
      <c r="B353" s="38"/>
      <c r="C353" s="40" t="s">
        <v>846</v>
      </c>
      <c r="D353" s="40"/>
      <c r="E353" s="40"/>
      <c r="F353" s="40"/>
      <c r="G353" s="40"/>
      <c r="H353" s="40"/>
      <c r="I353" s="40"/>
      <c r="J353" s="264"/>
      <c r="K353" s="41"/>
    </row>
    <row r="354" spans="2:11" x14ac:dyDescent="0.2">
      <c r="B354" s="38"/>
      <c r="C354" s="40" t="s">
        <v>854</v>
      </c>
      <c r="D354" s="40"/>
      <c r="E354" s="40"/>
      <c r="F354" s="40"/>
      <c r="G354" s="40"/>
      <c r="H354" s="40"/>
      <c r="I354" s="40"/>
      <c r="J354" s="255">
        <f>'Baseline Health'!$G$59</f>
        <v>0</v>
      </c>
      <c r="K354" s="41"/>
    </row>
    <row r="355" spans="2:11" x14ac:dyDescent="0.2">
      <c r="B355" s="38"/>
      <c r="C355" s="40" t="s">
        <v>847</v>
      </c>
      <c r="D355" s="40"/>
      <c r="E355" s="40"/>
      <c r="F355" s="40"/>
      <c r="G355" s="40"/>
      <c r="H355" s="40"/>
      <c r="I355" s="40"/>
      <c r="J355" s="244">
        <f>IF(J353=0,0,IF('Baseline Health'!G$59=0,"Not Calculated",100*J353/'Baseline Health'!$G$59))</f>
        <v>0</v>
      </c>
      <c r="K355" s="41"/>
    </row>
    <row r="356" spans="2:11" x14ac:dyDescent="0.2">
      <c r="B356" s="38"/>
      <c r="C356" s="40" t="s">
        <v>260</v>
      </c>
      <c r="D356" s="40"/>
      <c r="E356" s="40"/>
      <c r="F356" s="40"/>
      <c r="G356" s="40"/>
      <c r="H356" s="40"/>
      <c r="I356" s="40"/>
      <c r="J356" s="245">
        <f>IF(J355&lt;=0,0,IF(J355&lt;=5,1,IF(J355&lt;=10,2,IF(J355&lt;=25,3,4))))</f>
        <v>0</v>
      </c>
      <c r="K356" s="41"/>
    </row>
    <row r="357" spans="2:11" ht="9.75" customHeight="1" x14ac:dyDescent="0.2">
      <c r="B357" s="38"/>
      <c r="C357" s="279" t="str">
        <f>"0:"</f>
        <v>0:</v>
      </c>
      <c r="D357" s="278" t="s">
        <v>932</v>
      </c>
      <c r="E357" s="40"/>
      <c r="F357" s="40"/>
      <c r="G357" s="40"/>
      <c r="H357" s="40"/>
      <c r="I357" s="40"/>
      <c r="J357" s="244"/>
      <c r="K357" s="41"/>
    </row>
    <row r="358" spans="2:11" ht="9.75" customHeight="1" x14ac:dyDescent="0.2">
      <c r="B358" s="38"/>
      <c r="C358" s="280" t="str">
        <f>"1:"</f>
        <v>1:</v>
      </c>
      <c r="D358" s="278" t="s">
        <v>933</v>
      </c>
      <c r="E358" s="40"/>
      <c r="F358" s="40"/>
      <c r="G358" s="40"/>
      <c r="H358" s="40"/>
      <c r="I358" s="40"/>
      <c r="J358" s="244"/>
      <c r="K358" s="41"/>
    </row>
    <row r="359" spans="2:11" ht="9.75" customHeight="1" x14ac:dyDescent="0.2">
      <c r="B359" s="38"/>
      <c r="C359" s="280" t="str">
        <f>"2:"</f>
        <v>2:</v>
      </c>
      <c r="D359" s="278" t="s">
        <v>935</v>
      </c>
      <c r="E359" s="40"/>
      <c r="F359" s="40"/>
      <c r="G359" s="40"/>
      <c r="H359" s="40"/>
      <c r="I359" s="40"/>
      <c r="J359" s="244"/>
      <c r="K359" s="41"/>
    </row>
    <row r="360" spans="2:11" ht="9.75" customHeight="1" x14ac:dyDescent="0.2">
      <c r="B360" s="38"/>
      <c r="C360" s="280" t="str">
        <f>"3:"</f>
        <v>3:</v>
      </c>
      <c r="D360" s="278" t="s">
        <v>937</v>
      </c>
      <c r="E360" s="40"/>
      <c r="F360" s="40"/>
      <c r="G360" s="40"/>
      <c r="H360" s="40"/>
      <c r="I360" s="40"/>
      <c r="J360" s="244"/>
      <c r="K360" s="41"/>
    </row>
    <row r="361" spans="2:11" ht="9.75" customHeight="1" x14ac:dyDescent="0.2">
      <c r="B361" s="38"/>
      <c r="C361" s="280" t="str">
        <f>"4:"</f>
        <v>4:</v>
      </c>
      <c r="D361" s="278" t="s">
        <v>938</v>
      </c>
      <c r="E361" s="40"/>
      <c r="F361" s="40"/>
      <c r="G361" s="40"/>
      <c r="H361" s="40"/>
      <c r="I361" s="40"/>
      <c r="J361" s="40"/>
      <c r="K361" s="41"/>
    </row>
    <row r="362" spans="2:11" x14ac:dyDescent="0.2">
      <c r="B362" s="38"/>
      <c r="C362" s="40" t="s">
        <v>257</v>
      </c>
      <c r="D362" s="40"/>
      <c r="E362" s="40"/>
      <c r="F362" s="40"/>
      <c r="G362" s="40"/>
      <c r="H362" s="40"/>
      <c r="I362" s="40"/>
      <c r="J362" s="266"/>
      <c r="K362" s="41"/>
    </row>
    <row r="363" spans="2:11" x14ac:dyDescent="0.2">
      <c r="B363" s="38"/>
      <c r="C363" s="40" t="s">
        <v>261</v>
      </c>
      <c r="D363" s="40"/>
      <c r="E363" s="40"/>
      <c r="F363" s="40"/>
      <c r="G363" s="40"/>
      <c r="H363" s="40"/>
      <c r="I363" s="40"/>
      <c r="J363" s="245" t="str">
        <f>IF(J362=$B$980,$A$980,IF(J362=$B$981,$A$981,IF(J362=$B$982,$A$982,IF(J362=$B$983,$A$983,IF(J362=$B$984,$A$984,"Not Calculated")))))</f>
        <v>Not Calculated</v>
      </c>
      <c r="K363" s="41"/>
    </row>
    <row r="364" spans="2:11" x14ac:dyDescent="0.2">
      <c r="B364" s="38"/>
      <c r="C364" s="40" t="s">
        <v>893</v>
      </c>
      <c r="D364" s="40"/>
      <c r="E364" s="40"/>
      <c r="F364" s="40"/>
      <c r="G364" s="40"/>
      <c r="H364" s="40"/>
      <c r="I364" s="40"/>
      <c r="J364" s="40"/>
      <c r="K364" s="41"/>
    </row>
    <row r="365" spans="2:11" ht="15" customHeight="1" x14ac:dyDescent="0.2">
      <c r="B365" s="38"/>
      <c r="C365" s="399"/>
      <c r="D365" s="400"/>
      <c r="E365" s="400"/>
      <c r="F365" s="400"/>
      <c r="G365" s="400"/>
      <c r="H365" s="400"/>
      <c r="I365" s="400"/>
      <c r="J365" s="401"/>
      <c r="K365" s="41"/>
    </row>
    <row r="366" spans="2:11" x14ac:dyDescent="0.2">
      <c r="B366" s="38"/>
      <c r="C366" s="40"/>
      <c r="D366" s="40"/>
      <c r="E366" s="40"/>
      <c r="F366" s="40"/>
      <c r="G366" s="40"/>
      <c r="H366" s="40"/>
      <c r="I366" s="40"/>
      <c r="J366" s="40"/>
      <c r="K366" s="41"/>
    </row>
    <row r="367" spans="2:11" x14ac:dyDescent="0.2">
      <c r="B367" s="38"/>
      <c r="C367" s="179" t="s">
        <v>888</v>
      </c>
      <c r="D367" s="40"/>
      <c r="E367" s="40"/>
      <c r="F367" s="40"/>
      <c r="G367" s="40"/>
      <c r="H367" s="40"/>
      <c r="I367" s="40"/>
      <c r="J367" s="245" t="str">
        <f>IF(OR(J356="Not Calculated",J363="Not Calculated")=TRUE,"Not Calculated",AVERAGE(J356,J363))</f>
        <v>Not Calculated</v>
      </c>
      <c r="K367" s="41"/>
    </row>
    <row r="368" spans="2:11" x14ac:dyDescent="0.2">
      <c r="B368" s="38"/>
      <c r="C368" s="40"/>
      <c r="D368" s="40"/>
      <c r="E368" s="40"/>
      <c r="F368" s="40"/>
      <c r="G368" s="40"/>
      <c r="H368" s="40"/>
      <c r="I368" s="40"/>
      <c r="J368" s="40"/>
      <c r="K368" s="41"/>
    </row>
    <row r="369" spans="2:11" x14ac:dyDescent="0.2">
      <c r="B369" s="38"/>
      <c r="C369" s="40"/>
      <c r="D369" s="40"/>
      <c r="E369" s="40"/>
      <c r="F369" s="40"/>
      <c r="G369" s="40"/>
      <c r="H369" s="40"/>
      <c r="I369" s="40"/>
      <c r="J369" s="40"/>
      <c r="K369" s="41"/>
    </row>
    <row r="370" spans="2:11" ht="16" x14ac:dyDescent="0.2">
      <c r="B370" s="38"/>
      <c r="C370" s="45" t="s">
        <v>863</v>
      </c>
      <c r="D370" s="40"/>
      <c r="E370" s="40"/>
      <c r="F370" s="40"/>
      <c r="G370" s="40"/>
      <c r="H370" s="40"/>
      <c r="I370" s="40"/>
      <c r="J370" s="40"/>
      <c r="K370" s="41"/>
    </row>
    <row r="371" spans="2:11" ht="15" customHeight="1" x14ac:dyDescent="0.2">
      <c r="B371" s="38"/>
      <c r="C371" s="380" t="s">
        <v>848</v>
      </c>
      <c r="D371" s="380"/>
      <c r="E371" s="380"/>
      <c r="F371" s="380"/>
      <c r="G371" s="380"/>
      <c r="H371" s="380"/>
      <c r="I371" s="380"/>
      <c r="J371" s="181"/>
      <c r="K371" s="41"/>
    </row>
    <row r="372" spans="2:11" x14ac:dyDescent="0.2">
      <c r="B372" s="38"/>
      <c r="C372" s="380"/>
      <c r="D372" s="380"/>
      <c r="E372" s="380"/>
      <c r="F372" s="380"/>
      <c r="G372" s="380"/>
      <c r="H372" s="380"/>
      <c r="I372" s="380"/>
      <c r="J372" s="264"/>
      <c r="K372" s="41"/>
    </row>
    <row r="373" spans="2:11" x14ac:dyDescent="0.2">
      <c r="B373" s="38"/>
      <c r="C373" s="40" t="s">
        <v>853</v>
      </c>
      <c r="D373" s="291"/>
      <c r="E373" s="291"/>
      <c r="F373" s="291"/>
      <c r="G373" s="291"/>
      <c r="H373" s="291"/>
      <c r="I373" s="291"/>
      <c r="J373" s="255">
        <f>'Baseline Health'!$G$102</f>
        <v>0</v>
      </c>
      <c r="K373" s="41"/>
    </row>
    <row r="374" spans="2:11" x14ac:dyDescent="0.2">
      <c r="B374" s="38"/>
      <c r="C374" s="40" t="s">
        <v>842</v>
      </c>
      <c r="D374" s="291"/>
      <c r="E374" s="291"/>
      <c r="F374" s="291"/>
      <c r="G374" s="291"/>
      <c r="H374" s="291"/>
      <c r="I374" s="291"/>
      <c r="J374" s="244" t="str">
        <f>IF('Baseline Health'!$G$102=0,"Not Calculated",100*J372/'Baseline Health'!$G$102)</f>
        <v>Not Calculated</v>
      </c>
      <c r="K374" s="41"/>
    </row>
    <row r="375" spans="2:11" x14ac:dyDescent="0.2">
      <c r="B375" s="38"/>
      <c r="C375" s="40" t="s">
        <v>260</v>
      </c>
      <c r="D375" s="40"/>
      <c r="E375" s="40"/>
      <c r="F375" s="40"/>
      <c r="G375" s="40"/>
      <c r="H375" s="40"/>
      <c r="I375" s="40"/>
      <c r="J375" s="251">
        <f>IF(J374&lt;=0,0,IF(J374&lt;=1,1,IF(J374&lt;=5,2,IF(J374&lt;=10,3,4))))</f>
        <v>4</v>
      </c>
      <c r="K375" s="41"/>
    </row>
    <row r="376" spans="2:11" ht="9.75" customHeight="1" x14ac:dyDescent="0.2">
      <c r="B376" s="38"/>
      <c r="C376" s="279" t="str">
        <f>"0:"</f>
        <v>0:</v>
      </c>
      <c r="D376" s="278" t="s">
        <v>932</v>
      </c>
      <c r="E376" s="291"/>
      <c r="F376" s="291"/>
      <c r="G376" s="291"/>
      <c r="H376" s="291"/>
      <c r="I376" s="291"/>
      <c r="J376" s="244"/>
      <c r="K376" s="41"/>
    </row>
    <row r="377" spans="2:11" ht="9.75" customHeight="1" x14ac:dyDescent="0.2">
      <c r="B377" s="38"/>
      <c r="C377" s="280" t="str">
        <f>"1:"</f>
        <v>1:</v>
      </c>
      <c r="D377" s="278" t="s">
        <v>934</v>
      </c>
      <c r="E377" s="291"/>
      <c r="F377" s="291"/>
      <c r="G377" s="291"/>
      <c r="H377" s="291"/>
      <c r="I377" s="291"/>
      <c r="J377" s="244"/>
      <c r="K377" s="41"/>
    </row>
    <row r="378" spans="2:11" ht="9.75" customHeight="1" x14ac:dyDescent="0.2">
      <c r="B378" s="38"/>
      <c r="C378" s="280" t="str">
        <f>"2:"</f>
        <v>2:</v>
      </c>
      <c r="D378" s="278" t="s">
        <v>933</v>
      </c>
      <c r="E378" s="291"/>
      <c r="F378" s="291"/>
      <c r="G378" s="291"/>
      <c r="H378" s="291"/>
      <c r="I378" s="291"/>
      <c r="J378" s="244"/>
      <c r="K378" s="41"/>
    </row>
    <row r="379" spans="2:11" ht="9.75" customHeight="1" x14ac:dyDescent="0.2">
      <c r="B379" s="38"/>
      <c r="C379" s="280" t="str">
        <f>"3:"</f>
        <v>3:</v>
      </c>
      <c r="D379" s="278" t="s">
        <v>935</v>
      </c>
      <c r="E379" s="291"/>
      <c r="F379" s="291"/>
      <c r="G379" s="291"/>
      <c r="H379" s="291"/>
      <c r="I379" s="291"/>
      <c r="J379" s="244"/>
      <c r="K379" s="41"/>
    </row>
    <row r="380" spans="2:11" ht="9.75" customHeight="1" x14ac:dyDescent="0.2">
      <c r="B380" s="38"/>
      <c r="C380" s="280" t="str">
        <f>"4:"</f>
        <v>4:</v>
      </c>
      <c r="D380" s="278" t="s">
        <v>936</v>
      </c>
      <c r="E380" s="40"/>
      <c r="F380" s="40"/>
      <c r="G380" s="40"/>
      <c r="H380" s="40"/>
      <c r="I380" s="40"/>
      <c r="J380" s="40"/>
      <c r="K380" s="41"/>
    </row>
    <row r="381" spans="2:11" x14ac:dyDescent="0.2">
      <c r="B381" s="38"/>
      <c r="C381" s="40" t="s">
        <v>85</v>
      </c>
      <c r="D381" s="40"/>
      <c r="E381" s="40"/>
      <c r="F381" s="40"/>
      <c r="G381" s="40"/>
      <c r="H381" s="40"/>
      <c r="I381" s="40"/>
      <c r="J381" s="252">
        <f>'Baseline Health'!G114</f>
        <v>7</v>
      </c>
      <c r="K381" s="41"/>
    </row>
    <row r="382" spans="2:11" x14ac:dyDescent="0.2">
      <c r="B382" s="38"/>
      <c r="C382" s="40" t="s">
        <v>297</v>
      </c>
      <c r="D382" s="40"/>
      <c r="E382" s="40"/>
      <c r="F382" s="40"/>
      <c r="G382" s="40"/>
      <c r="H382" s="40"/>
      <c r="I382" s="40"/>
      <c r="J382" s="266"/>
      <c r="K382" s="41"/>
    </row>
    <row r="383" spans="2:11" x14ac:dyDescent="0.2">
      <c r="B383" s="38"/>
      <c r="C383" s="40" t="s">
        <v>261</v>
      </c>
      <c r="D383" s="40"/>
      <c r="E383" s="40"/>
      <c r="F383" s="40"/>
      <c r="G383" s="40"/>
      <c r="H383" s="40"/>
      <c r="I383" s="40"/>
      <c r="J383" s="248">
        <f>IF((J382-J381)&lt;1,0,IF((J382-J381)&lt;3,1,IF((J382-J381)&lt;5,2,IF((J382-J381)&lt;7,3,4))))</f>
        <v>0</v>
      </c>
      <c r="K383" s="41"/>
    </row>
    <row r="384" spans="2:11" x14ac:dyDescent="0.2">
      <c r="B384" s="38"/>
      <c r="C384" s="40" t="s">
        <v>893</v>
      </c>
      <c r="D384" s="40"/>
      <c r="E384" s="40"/>
      <c r="F384" s="40"/>
      <c r="G384" s="40"/>
      <c r="H384" s="40"/>
      <c r="I384" s="40"/>
      <c r="J384" s="40"/>
      <c r="K384" s="41"/>
    </row>
    <row r="385" spans="2:11" x14ac:dyDescent="0.2">
      <c r="B385" s="38"/>
      <c r="C385" s="399"/>
      <c r="D385" s="400"/>
      <c r="E385" s="400"/>
      <c r="F385" s="400"/>
      <c r="G385" s="400"/>
      <c r="H385" s="400"/>
      <c r="I385" s="400"/>
      <c r="J385" s="401"/>
      <c r="K385" s="41"/>
    </row>
    <row r="386" spans="2:11" x14ac:dyDescent="0.2">
      <c r="B386" s="38"/>
      <c r="C386" s="40"/>
      <c r="D386" s="40"/>
      <c r="E386" s="40"/>
      <c r="F386" s="40"/>
      <c r="G386" s="40"/>
      <c r="H386" s="40"/>
      <c r="I386" s="40"/>
      <c r="J386" s="40"/>
      <c r="K386" s="41"/>
    </row>
    <row r="387" spans="2:11" x14ac:dyDescent="0.2">
      <c r="B387" s="38"/>
      <c r="C387" s="179" t="s">
        <v>889</v>
      </c>
      <c r="D387" s="40"/>
      <c r="E387" s="40"/>
      <c r="F387" s="40"/>
      <c r="G387" s="40"/>
      <c r="H387" s="40"/>
      <c r="I387" s="40"/>
      <c r="J387" s="245">
        <f>IF(OR(J375="Not Calculated",J383="Not Calculated")=TRUE,"Not Calculated",AVERAGE(J375,J383))</f>
        <v>2</v>
      </c>
      <c r="K387" s="41"/>
    </row>
    <row r="388" spans="2:11" x14ac:dyDescent="0.2">
      <c r="B388" s="38"/>
      <c r="C388" s="40"/>
      <c r="D388" s="40"/>
      <c r="E388" s="40"/>
      <c r="F388" s="40"/>
      <c r="G388" s="40"/>
      <c r="H388" s="40"/>
      <c r="I388" s="40"/>
      <c r="J388" s="40"/>
      <c r="K388" s="41"/>
    </row>
    <row r="389" spans="2:11" x14ac:dyDescent="0.2">
      <c r="B389" s="38"/>
      <c r="C389" s="40"/>
      <c r="D389" s="40"/>
      <c r="E389" s="40"/>
      <c r="F389" s="40"/>
      <c r="G389" s="40"/>
      <c r="H389" s="40"/>
      <c r="I389" s="40"/>
      <c r="J389" s="40"/>
      <c r="K389" s="41"/>
    </row>
    <row r="390" spans="2:11" ht="16" x14ac:dyDescent="0.2">
      <c r="B390" s="38"/>
      <c r="C390" s="45" t="s">
        <v>860</v>
      </c>
      <c r="D390" s="40"/>
      <c r="E390" s="40"/>
      <c r="F390" s="40"/>
      <c r="G390" s="40"/>
      <c r="H390" s="40"/>
      <c r="I390" s="40"/>
      <c r="J390" s="40"/>
      <c r="K390" s="41"/>
    </row>
    <row r="391" spans="2:11" x14ac:dyDescent="0.2">
      <c r="B391" s="38"/>
      <c r="C391" s="380" t="s">
        <v>849</v>
      </c>
      <c r="D391" s="380"/>
      <c r="E391" s="380"/>
      <c r="F391" s="380"/>
      <c r="G391" s="380"/>
      <c r="H391" s="380"/>
      <c r="I391" s="380"/>
      <c r="J391" s="181"/>
      <c r="K391" s="41"/>
    </row>
    <row r="392" spans="2:11" x14ac:dyDescent="0.2">
      <c r="B392" s="38"/>
      <c r="C392" s="380"/>
      <c r="D392" s="380"/>
      <c r="E392" s="380"/>
      <c r="F392" s="380"/>
      <c r="G392" s="380"/>
      <c r="H392" s="380"/>
      <c r="I392" s="380"/>
      <c r="J392" s="264"/>
      <c r="K392" s="41"/>
    </row>
    <row r="393" spans="2:11" x14ac:dyDescent="0.2">
      <c r="B393" s="38"/>
      <c r="C393" s="40" t="s">
        <v>853</v>
      </c>
      <c r="D393" s="291"/>
      <c r="E393" s="291"/>
      <c r="F393" s="291"/>
      <c r="G393" s="291"/>
      <c r="H393" s="291"/>
      <c r="I393" s="291"/>
      <c r="J393" s="255">
        <f>'Baseline Health'!$G$102</f>
        <v>0</v>
      </c>
      <c r="K393" s="41"/>
    </row>
    <row r="394" spans="2:11" ht="15" customHeight="1" x14ac:dyDescent="0.2">
      <c r="B394" s="38"/>
      <c r="C394" s="40" t="s">
        <v>850</v>
      </c>
      <c r="D394" s="291"/>
      <c r="E394" s="291"/>
      <c r="F394" s="291"/>
      <c r="G394" s="291"/>
      <c r="H394" s="291"/>
      <c r="I394" s="291"/>
      <c r="J394" s="244" t="str">
        <f>IF('Baseline Health'!$G$102=0,"Not Calculated",100*J392/'Baseline Health'!$G$102)</f>
        <v>Not Calculated</v>
      </c>
      <c r="K394" s="41"/>
    </row>
    <row r="395" spans="2:11" ht="15" customHeight="1" x14ac:dyDescent="0.2">
      <c r="B395" s="38"/>
      <c r="C395" s="40" t="s">
        <v>260</v>
      </c>
      <c r="D395" s="40"/>
      <c r="E395" s="40"/>
      <c r="F395" s="40"/>
      <c r="G395" s="40"/>
      <c r="H395" s="40"/>
      <c r="I395" s="40"/>
      <c r="J395" s="43">
        <f>IF(J394&lt;=0,0,IF(J394&lt;=1,1,IF(J394&lt;=5,2,IF(J394&lt;=10,3,4))))</f>
        <v>4</v>
      </c>
      <c r="K395" s="41"/>
    </row>
    <row r="396" spans="2:11" ht="9.75" customHeight="1" x14ac:dyDescent="0.2">
      <c r="B396" s="38"/>
      <c r="C396" s="279" t="str">
        <f>"0:"</f>
        <v>0:</v>
      </c>
      <c r="D396" s="278" t="s">
        <v>932</v>
      </c>
      <c r="E396" s="291"/>
      <c r="F396" s="291"/>
      <c r="G396" s="291"/>
      <c r="H396" s="291"/>
      <c r="I396" s="291"/>
      <c r="J396" s="244"/>
      <c r="K396" s="41"/>
    </row>
    <row r="397" spans="2:11" ht="9.75" customHeight="1" x14ac:dyDescent="0.2">
      <c r="B397" s="38"/>
      <c r="C397" s="280" t="str">
        <f>"1:"</f>
        <v>1:</v>
      </c>
      <c r="D397" s="278" t="s">
        <v>934</v>
      </c>
      <c r="E397" s="291"/>
      <c r="F397" s="291"/>
      <c r="G397" s="291"/>
      <c r="H397" s="291"/>
      <c r="I397" s="291"/>
      <c r="J397" s="244"/>
      <c r="K397" s="41"/>
    </row>
    <row r="398" spans="2:11" ht="9.75" customHeight="1" x14ac:dyDescent="0.2">
      <c r="B398" s="38"/>
      <c r="C398" s="280" t="str">
        <f>"2:"</f>
        <v>2:</v>
      </c>
      <c r="D398" s="278" t="s">
        <v>933</v>
      </c>
      <c r="E398" s="291"/>
      <c r="F398" s="291"/>
      <c r="G398" s="291"/>
      <c r="H398" s="291"/>
      <c r="I398" s="291"/>
      <c r="J398" s="244"/>
      <c r="K398" s="41"/>
    </row>
    <row r="399" spans="2:11" ht="9.75" customHeight="1" x14ac:dyDescent="0.2">
      <c r="B399" s="38"/>
      <c r="C399" s="280" t="str">
        <f>"3:"</f>
        <v>3:</v>
      </c>
      <c r="D399" s="278" t="s">
        <v>935</v>
      </c>
      <c r="E399" s="291"/>
      <c r="F399" s="291"/>
      <c r="G399" s="291"/>
      <c r="H399" s="291"/>
      <c r="I399" s="291"/>
      <c r="J399" s="244"/>
      <c r="K399" s="41"/>
    </row>
    <row r="400" spans="2:11" ht="9.75" customHeight="1" x14ac:dyDescent="0.2">
      <c r="B400" s="38"/>
      <c r="C400" s="280" t="str">
        <f>"4:"</f>
        <v>4:</v>
      </c>
      <c r="D400" s="278" t="s">
        <v>936</v>
      </c>
      <c r="E400" s="40"/>
      <c r="F400" s="40"/>
      <c r="G400" s="40"/>
      <c r="H400" s="40"/>
      <c r="I400" s="40"/>
      <c r="J400" s="40"/>
      <c r="K400" s="41"/>
    </row>
    <row r="401" spans="2:11" x14ac:dyDescent="0.2">
      <c r="B401" s="38"/>
      <c r="C401" s="40" t="s">
        <v>893</v>
      </c>
      <c r="D401" s="40"/>
      <c r="E401" s="40"/>
      <c r="F401" s="40"/>
      <c r="G401" s="40"/>
      <c r="H401" s="40"/>
      <c r="I401" s="40"/>
      <c r="J401" s="40"/>
      <c r="K401" s="41"/>
    </row>
    <row r="402" spans="2:11" ht="15" customHeight="1" x14ac:dyDescent="0.2">
      <c r="B402" s="38"/>
      <c r="C402" s="399"/>
      <c r="D402" s="400"/>
      <c r="E402" s="400"/>
      <c r="F402" s="400"/>
      <c r="G402" s="400"/>
      <c r="H402" s="400"/>
      <c r="I402" s="400"/>
      <c r="J402" s="401"/>
      <c r="K402" s="41"/>
    </row>
    <row r="403" spans="2:11" x14ac:dyDescent="0.2">
      <c r="B403" s="38"/>
      <c r="C403" s="40"/>
      <c r="D403" s="40"/>
      <c r="E403" s="40"/>
      <c r="F403" s="40"/>
      <c r="G403" s="40"/>
      <c r="H403" s="40"/>
      <c r="I403" s="40"/>
      <c r="J403" s="40"/>
      <c r="K403" s="41"/>
    </row>
    <row r="404" spans="2:11" x14ac:dyDescent="0.2">
      <c r="B404" s="38"/>
      <c r="C404" s="179" t="s">
        <v>890</v>
      </c>
      <c r="D404" s="40"/>
      <c r="E404" s="40"/>
      <c r="F404" s="40"/>
      <c r="G404" s="40"/>
      <c r="H404" s="40"/>
      <c r="I404" s="40"/>
      <c r="J404" s="245">
        <f>J395</f>
        <v>4</v>
      </c>
      <c r="K404" s="41"/>
    </row>
    <row r="405" spans="2:11" x14ac:dyDescent="0.2">
      <c r="B405" s="38"/>
      <c r="C405" s="40"/>
      <c r="D405" s="40"/>
      <c r="E405" s="40"/>
      <c r="F405" s="40"/>
      <c r="G405" s="40"/>
      <c r="H405" s="40"/>
      <c r="I405" s="40"/>
      <c r="J405" s="40"/>
      <c r="K405" s="41"/>
    </row>
    <row r="406" spans="2:11" x14ac:dyDescent="0.2">
      <c r="B406" s="38"/>
      <c r="C406" s="40"/>
      <c r="D406" s="40"/>
      <c r="E406" s="40"/>
      <c r="F406" s="40"/>
      <c r="G406" s="40"/>
      <c r="H406" s="40"/>
      <c r="I406" s="40"/>
      <c r="J406" s="40"/>
      <c r="K406" s="41"/>
    </row>
    <row r="407" spans="2:11" ht="16" x14ac:dyDescent="0.2">
      <c r="B407" s="38"/>
      <c r="C407" s="45" t="s">
        <v>861</v>
      </c>
      <c r="D407" s="40"/>
      <c r="E407" s="40"/>
      <c r="F407" s="40"/>
      <c r="G407" s="40"/>
      <c r="H407" s="40"/>
      <c r="I407" s="40"/>
      <c r="J407" s="40"/>
      <c r="K407" s="41"/>
    </row>
    <row r="408" spans="2:11" x14ac:dyDescent="0.2">
      <c r="B408" s="38"/>
      <c r="C408" s="40" t="s">
        <v>298</v>
      </c>
      <c r="D408" s="40"/>
      <c r="E408" s="40"/>
      <c r="F408" s="40"/>
      <c r="G408" s="40"/>
      <c r="H408" s="40"/>
      <c r="I408" s="40"/>
      <c r="J408" s="269"/>
      <c r="K408" s="41"/>
    </row>
    <row r="409" spans="2:11" x14ac:dyDescent="0.2">
      <c r="B409" s="38"/>
      <c r="C409" s="40" t="s">
        <v>260</v>
      </c>
      <c r="D409" s="40"/>
      <c r="E409" s="40"/>
      <c r="F409" s="40"/>
      <c r="G409" s="40"/>
      <c r="H409" s="40"/>
      <c r="I409" s="40"/>
      <c r="J409" s="253">
        <f>IF(J408&lt;=0,0,IF(J408&lt;=(J161*0.01),1,IF(J408&lt;=(J161*0.05),2,IF(J408&lt;=(J161*0.1),3,4))))</f>
        <v>0</v>
      </c>
      <c r="K409" s="41"/>
    </row>
    <row r="410" spans="2:11" ht="9.75" customHeight="1" x14ac:dyDescent="0.2">
      <c r="B410" s="38"/>
      <c r="C410" s="279" t="str">
        <f>"0:"</f>
        <v>0:</v>
      </c>
      <c r="D410" s="278" t="s">
        <v>939</v>
      </c>
      <c r="E410" s="40"/>
      <c r="F410" s="40"/>
      <c r="G410" s="40"/>
      <c r="H410" s="40"/>
      <c r="I410" s="40"/>
      <c r="J410" s="282"/>
      <c r="K410" s="41"/>
    </row>
    <row r="411" spans="2:11" ht="9.75" customHeight="1" x14ac:dyDescent="0.2">
      <c r="B411" s="38"/>
      <c r="C411" s="280" t="str">
        <f>"1:"</f>
        <v>1:</v>
      </c>
      <c r="D411" s="278" t="s">
        <v>940</v>
      </c>
      <c r="E411" s="40"/>
      <c r="F411" s="40"/>
      <c r="G411" s="40"/>
      <c r="H411" s="40"/>
      <c r="I411" s="40"/>
      <c r="J411" s="282"/>
      <c r="K411" s="41"/>
    </row>
    <row r="412" spans="2:11" ht="9.75" customHeight="1" x14ac:dyDescent="0.2">
      <c r="B412" s="38"/>
      <c r="C412" s="280" t="str">
        <f>"2:"</f>
        <v>2:</v>
      </c>
      <c r="D412" s="278" t="s">
        <v>941</v>
      </c>
      <c r="E412" s="40"/>
      <c r="F412" s="40"/>
      <c r="G412" s="40"/>
      <c r="H412" s="40"/>
      <c r="I412" s="40"/>
      <c r="J412" s="282"/>
      <c r="K412" s="41"/>
    </row>
    <row r="413" spans="2:11" ht="9.75" customHeight="1" x14ac:dyDescent="0.2">
      <c r="B413" s="38"/>
      <c r="C413" s="280" t="str">
        <f>"3:"</f>
        <v>3:</v>
      </c>
      <c r="D413" s="278" t="s">
        <v>942</v>
      </c>
      <c r="E413" s="40"/>
      <c r="F413" s="40"/>
      <c r="G413" s="40"/>
      <c r="H413" s="40"/>
      <c r="I413" s="40"/>
      <c r="J413" s="282"/>
      <c r="K413" s="41"/>
    </row>
    <row r="414" spans="2:11" ht="9.75" customHeight="1" x14ac:dyDescent="0.2">
      <c r="B414" s="38"/>
      <c r="C414" s="280" t="str">
        <f>"4:"</f>
        <v>4:</v>
      </c>
      <c r="D414" s="278" t="s">
        <v>943</v>
      </c>
      <c r="E414" s="40"/>
      <c r="F414" s="40"/>
      <c r="G414" s="40"/>
      <c r="H414" s="40"/>
      <c r="I414" s="40"/>
      <c r="J414" s="40"/>
      <c r="K414" s="41"/>
    </row>
    <row r="415" spans="2:11" x14ac:dyDescent="0.2">
      <c r="B415" s="38"/>
      <c r="C415" s="40" t="s">
        <v>893</v>
      </c>
      <c r="D415" s="40"/>
      <c r="E415" s="40"/>
      <c r="F415" s="40"/>
      <c r="G415" s="40"/>
      <c r="H415" s="40"/>
      <c r="I415" s="40"/>
      <c r="J415" s="40"/>
      <c r="K415" s="41"/>
    </row>
    <row r="416" spans="2:11" ht="15" customHeight="1" x14ac:dyDescent="0.2">
      <c r="B416" s="38"/>
      <c r="C416" s="399"/>
      <c r="D416" s="400"/>
      <c r="E416" s="400"/>
      <c r="F416" s="400"/>
      <c r="G416" s="400"/>
      <c r="H416" s="400"/>
      <c r="I416" s="400"/>
      <c r="J416" s="401"/>
      <c r="K416" s="41"/>
    </row>
    <row r="417" spans="2:11" x14ac:dyDescent="0.2">
      <c r="B417" s="38"/>
      <c r="C417" s="40"/>
      <c r="D417" s="40"/>
      <c r="E417" s="40"/>
      <c r="F417" s="40"/>
      <c r="G417" s="40"/>
      <c r="H417" s="40"/>
      <c r="I417" s="40"/>
      <c r="J417" s="40"/>
      <c r="K417" s="41"/>
    </row>
    <row r="418" spans="2:11" x14ac:dyDescent="0.2">
      <c r="B418" s="38"/>
      <c r="C418" s="179" t="s">
        <v>891</v>
      </c>
      <c r="D418" s="40"/>
      <c r="E418" s="40"/>
      <c r="F418" s="40"/>
      <c r="G418" s="40"/>
      <c r="H418" s="40"/>
      <c r="I418" s="40"/>
      <c r="J418" s="245">
        <f>J409</f>
        <v>0</v>
      </c>
      <c r="K418" s="41"/>
    </row>
    <row r="419" spans="2:11" x14ac:dyDescent="0.2">
      <c r="B419" s="38"/>
      <c r="C419" s="40"/>
      <c r="D419" s="40"/>
      <c r="E419" s="40"/>
      <c r="F419" s="40"/>
      <c r="G419" s="40"/>
      <c r="H419" s="40"/>
      <c r="I419" s="40"/>
      <c r="J419" s="40"/>
      <c r="K419" s="41"/>
    </row>
    <row r="420" spans="2:11" x14ac:dyDescent="0.2">
      <c r="B420" s="38"/>
      <c r="C420" s="410" t="s">
        <v>881</v>
      </c>
      <c r="D420" s="410"/>
      <c r="E420" s="410"/>
      <c r="F420" s="410"/>
      <c r="G420" s="410"/>
      <c r="H420" s="410"/>
      <c r="I420" s="410"/>
      <c r="J420" s="40"/>
      <c r="K420" s="41"/>
    </row>
    <row r="421" spans="2:11" x14ac:dyDescent="0.2">
      <c r="B421" s="38"/>
      <c r="C421" s="410"/>
      <c r="D421" s="410"/>
      <c r="E421" s="410"/>
      <c r="F421" s="410"/>
      <c r="G421" s="410"/>
      <c r="H421" s="410"/>
      <c r="I421" s="410"/>
      <c r="J421" s="244" t="str">
        <f>IF(OR(J288="Not Calculated",J307="Not Calculated",J326="Not Calculated",J349="Not Calculated",J367="Not Calculated",J387="Not Calculated",J404="Not Calculated",J418="Not Calculated")=TRUE,"Not Calculated",AVERAGE(J288,J307,J326,J349,J367,J387,J404,J418))</f>
        <v>Not Calculated</v>
      </c>
      <c r="K421" s="41"/>
    </row>
    <row r="422" spans="2:11" ht="16" thickBot="1" x14ac:dyDescent="0.25">
      <c r="B422" s="46"/>
      <c r="C422" s="47"/>
      <c r="D422" s="47"/>
      <c r="E422" s="47"/>
      <c r="F422" s="47"/>
      <c r="G422" s="47"/>
      <c r="H422" s="47"/>
      <c r="I422" s="47"/>
      <c r="J422" s="47"/>
      <c r="K422" s="49"/>
    </row>
    <row r="423" spans="2:11" ht="16" thickBot="1" x14ac:dyDescent="0.25"/>
    <row r="424" spans="2:11" x14ac:dyDescent="0.2">
      <c r="B424" s="33"/>
      <c r="C424" s="34"/>
      <c r="D424" s="34"/>
      <c r="E424" s="34"/>
      <c r="F424" s="34"/>
      <c r="G424" s="34"/>
      <c r="H424" s="34"/>
      <c r="I424" s="34"/>
      <c r="J424" s="34"/>
      <c r="K424" s="37"/>
    </row>
    <row r="425" spans="2:11" ht="21" x14ac:dyDescent="0.25">
      <c r="B425" s="38"/>
      <c r="C425" s="40"/>
      <c r="D425" s="40"/>
      <c r="E425" s="40"/>
      <c r="F425" s="40"/>
      <c r="G425" s="172" t="s">
        <v>230</v>
      </c>
      <c r="H425" s="40"/>
      <c r="I425" s="40"/>
      <c r="J425" s="40"/>
      <c r="K425" s="41"/>
    </row>
    <row r="426" spans="2:11" x14ac:dyDescent="0.2">
      <c r="B426" s="38"/>
      <c r="C426" s="40"/>
      <c r="D426" s="40"/>
      <c r="E426" s="40"/>
      <c r="F426" s="40"/>
      <c r="G426" s="40"/>
      <c r="H426" s="40"/>
      <c r="I426" s="40"/>
      <c r="J426" s="40"/>
      <c r="K426" s="41"/>
    </row>
    <row r="427" spans="2:11" ht="16" x14ac:dyDescent="0.2">
      <c r="B427" s="38"/>
      <c r="C427" s="45" t="s">
        <v>299</v>
      </c>
      <c r="D427" s="40"/>
      <c r="E427" s="40"/>
      <c r="F427" s="40"/>
      <c r="G427" s="40"/>
      <c r="H427" s="40"/>
      <c r="I427" s="40"/>
      <c r="J427" s="40"/>
      <c r="K427" s="41"/>
    </row>
    <row r="428" spans="2:11" x14ac:dyDescent="0.2">
      <c r="B428" s="38"/>
      <c r="C428" s="40" t="s">
        <v>300</v>
      </c>
      <c r="D428" s="40"/>
      <c r="E428" s="40"/>
      <c r="F428" s="40"/>
      <c r="G428" s="40"/>
      <c r="H428" s="40"/>
      <c r="I428" s="40"/>
      <c r="J428" s="270"/>
      <c r="K428" s="41"/>
    </row>
    <row r="429" spans="2:11" x14ac:dyDescent="0.2">
      <c r="B429" s="38"/>
      <c r="C429" s="40" t="s">
        <v>260</v>
      </c>
      <c r="D429" s="40"/>
      <c r="E429" s="40"/>
      <c r="F429" s="40"/>
      <c r="G429" s="40"/>
      <c r="H429" s="40"/>
      <c r="I429" s="40"/>
      <c r="J429" s="248">
        <f>IF(J428&lt;=0,0,IF(J428&lt;=1,1,IF(J428&lt;=5,2,IF(J428&lt;=10,3,4))))</f>
        <v>0</v>
      </c>
      <c r="K429" s="41"/>
    </row>
    <row r="430" spans="2:11" s="98" customFormat="1" ht="9.75" customHeight="1" x14ac:dyDescent="0.2">
      <c r="B430" s="288"/>
      <c r="C430" s="279" t="str">
        <f>"0:"</f>
        <v>0:</v>
      </c>
      <c r="D430" s="290" t="s">
        <v>944</v>
      </c>
      <c r="E430" s="245"/>
      <c r="F430" s="245"/>
      <c r="G430" s="245"/>
      <c r="H430" s="245"/>
      <c r="I430" s="245"/>
      <c r="J430" s="245"/>
      <c r="K430" s="289"/>
    </row>
    <row r="431" spans="2:11" s="98" customFormat="1" ht="9.75" customHeight="1" x14ac:dyDescent="0.2">
      <c r="B431" s="288"/>
      <c r="C431" s="280" t="str">
        <f>"1:"</f>
        <v>1:</v>
      </c>
      <c r="D431" s="290" t="s">
        <v>945</v>
      </c>
      <c r="E431" s="245"/>
      <c r="F431" s="245"/>
      <c r="G431" s="245"/>
      <c r="H431" s="245"/>
      <c r="I431" s="245"/>
      <c r="J431" s="245"/>
      <c r="K431" s="289"/>
    </row>
    <row r="432" spans="2:11" s="98" customFormat="1" ht="9.75" customHeight="1" x14ac:dyDescent="0.2">
      <c r="B432" s="288"/>
      <c r="C432" s="280" t="str">
        <f>"2:"</f>
        <v>2:</v>
      </c>
      <c r="D432" s="290" t="s">
        <v>946</v>
      </c>
      <c r="E432" s="245"/>
      <c r="F432" s="245"/>
      <c r="G432" s="245"/>
      <c r="H432" s="245"/>
      <c r="I432" s="245"/>
      <c r="J432" s="245"/>
      <c r="K432" s="289"/>
    </row>
    <row r="433" spans="2:11" s="98" customFormat="1" ht="9.75" customHeight="1" x14ac:dyDescent="0.2">
      <c r="B433" s="288"/>
      <c r="C433" s="280" t="str">
        <f>"3:"</f>
        <v>3:</v>
      </c>
      <c r="D433" s="290" t="s">
        <v>947</v>
      </c>
      <c r="E433" s="245"/>
      <c r="F433" s="245"/>
      <c r="G433" s="245"/>
      <c r="H433" s="245"/>
      <c r="I433" s="245"/>
      <c r="J433" s="245"/>
      <c r="K433" s="289"/>
    </row>
    <row r="434" spans="2:11" s="98" customFormat="1" ht="9.75" customHeight="1" x14ac:dyDescent="0.2">
      <c r="B434" s="288"/>
      <c r="C434" s="280" t="str">
        <f>"4:"</f>
        <v>4:</v>
      </c>
      <c r="D434" s="290" t="s">
        <v>948</v>
      </c>
      <c r="E434" s="245"/>
      <c r="F434" s="245"/>
      <c r="G434" s="245"/>
      <c r="H434" s="245"/>
      <c r="I434" s="245"/>
      <c r="J434" s="247"/>
      <c r="K434" s="289"/>
    </row>
    <row r="435" spans="2:11" x14ac:dyDescent="0.2">
      <c r="B435" s="38"/>
      <c r="C435" s="40" t="s">
        <v>257</v>
      </c>
      <c r="D435" s="40"/>
      <c r="E435" s="40"/>
      <c r="F435" s="40"/>
      <c r="G435" s="40"/>
      <c r="H435" s="40"/>
      <c r="I435" s="40"/>
      <c r="J435" s="266"/>
      <c r="K435" s="41"/>
    </row>
    <row r="436" spans="2:11" x14ac:dyDescent="0.2">
      <c r="B436" s="38"/>
      <c r="C436" s="40" t="s">
        <v>261</v>
      </c>
      <c r="D436" s="40"/>
      <c r="E436" s="40"/>
      <c r="F436" s="40"/>
      <c r="G436" s="40"/>
      <c r="H436" s="40"/>
      <c r="I436" s="40"/>
      <c r="J436" s="245" t="str">
        <f>IF(J435=$B$973,$A$973,IF(J435=$B$974,$A$974,IF(J435=$B$975,$A$975,IF(J435=$B$976,$A$976,IF(J435=$B$977,$A$977,"Not Calculated")))))</f>
        <v>Not Calculated</v>
      </c>
      <c r="K436" s="41"/>
    </row>
    <row r="437" spans="2:11" x14ac:dyDescent="0.2">
      <c r="B437" s="38"/>
      <c r="C437" s="40" t="s">
        <v>893</v>
      </c>
      <c r="D437" s="40"/>
      <c r="E437" s="40"/>
      <c r="F437" s="40"/>
      <c r="G437" s="40"/>
      <c r="H437" s="40"/>
      <c r="I437" s="40"/>
      <c r="J437" s="40"/>
      <c r="K437" s="41"/>
    </row>
    <row r="438" spans="2:11" x14ac:dyDescent="0.2">
      <c r="B438" s="38"/>
      <c r="C438" s="399"/>
      <c r="D438" s="400"/>
      <c r="E438" s="400"/>
      <c r="F438" s="400"/>
      <c r="G438" s="400"/>
      <c r="H438" s="400"/>
      <c r="I438" s="400"/>
      <c r="J438" s="401"/>
      <c r="K438" s="41"/>
    </row>
    <row r="439" spans="2:11" x14ac:dyDescent="0.2">
      <c r="B439" s="38"/>
      <c r="C439" s="40"/>
      <c r="D439" s="40"/>
      <c r="E439" s="40"/>
      <c r="F439" s="40"/>
      <c r="G439" s="40"/>
      <c r="H439" s="40"/>
      <c r="I439" s="40"/>
      <c r="J439" s="40"/>
      <c r="K439" s="41"/>
    </row>
    <row r="440" spans="2:11" x14ac:dyDescent="0.2">
      <c r="B440" s="38"/>
      <c r="C440" s="179" t="s">
        <v>301</v>
      </c>
      <c r="D440" s="40"/>
      <c r="E440" s="40"/>
      <c r="F440" s="40"/>
      <c r="G440" s="40"/>
      <c r="H440" s="40"/>
      <c r="I440" s="40"/>
      <c r="J440" s="245" t="str">
        <f>IF(OR(J429="Not Calculated",J436="Not Calculated")=TRUE,"Not Calculated",AVERAGE(J429,J436))</f>
        <v>Not Calculated</v>
      </c>
      <c r="K440" s="41"/>
    </row>
    <row r="441" spans="2:11" x14ac:dyDescent="0.2">
      <c r="B441" s="38"/>
      <c r="C441" s="40"/>
      <c r="D441" s="40"/>
      <c r="E441" s="40"/>
      <c r="F441" s="40"/>
      <c r="G441" s="40"/>
      <c r="H441" s="40"/>
      <c r="I441" s="40"/>
      <c r="J441" s="40"/>
      <c r="K441" s="41"/>
    </row>
    <row r="442" spans="2:11" x14ac:dyDescent="0.2">
      <c r="B442" s="38"/>
      <c r="C442" s="40"/>
      <c r="D442" s="40"/>
      <c r="E442" s="40"/>
      <c r="F442" s="40"/>
      <c r="G442" s="40"/>
      <c r="H442" s="40"/>
      <c r="I442" s="40"/>
      <c r="J442" s="40"/>
      <c r="K442" s="41"/>
    </row>
    <row r="443" spans="2:11" ht="16" x14ac:dyDescent="0.2">
      <c r="B443" s="38"/>
      <c r="C443" s="45" t="s">
        <v>303</v>
      </c>
      <c r="D443" s="40"/>
      <c r="E443" s="40"/>
      <c r="F443" s="40"/>
      <c r="G443" s="40"/>
      <c r="H443" s="40"/>
      <c r="I443" s="40"/>
      <c r="J443" s="40"/>
      <c r="K443" s="41"/>
    </row>
    <row r="444" spans="2:11" ht="15" customHeight="1" x14ac:dyDescent="0.2">
      <c r="B444" s="38"/>
      <c r="C444" s="380" t="s">
        <v>305</v>
      </c>
      <c r="D444" s="380"/>
      <c r="E444" s="380"/>
      <c r="F444" s="380"/>
      <c r="G444" s="380"/>
      <c r="H444" s="380"/>
      <c r="I444" s="380"/>
      <c r="J444" s="40"/>
      <c r="K444" s="41"/>
    </row>
    <row r="445" spans="2:11" x14ac:dyDescent="0.2">
      <c r="B445" s="38"/>
      <c r="C445" s="380"/>
      <c r="D445" s="380"/>
      <c r="E445" s="380"/>
      <c r="F445" s="380"/>
      <c r="G445" s="380"/>
      <c r="H445" s="380"/>
      <c r="I445" s="380"/>
      <c r="J445" s="270"/>
      <c r="K445" s="41"/>
    </row>
    <row r="446" spans="2:11" x14ac:dyDescent="0.2">
      <c r="B446" s="38"/>
      <c r="C446" s="40" t="s">
        <v>260</v>
      </c>
      <c r="D446" s="40"/>
      <c r="E446" s="40"/>
      <c r="F446" s="40"/>
      <c r="G446" s="40"/>
      <c r="H446" s="40"/>
      <c r="I446" s="40"/>
      <c r="J446" s="248">
        <f>IF(J445&lt;=0,0,IF(J445&lt;=1,1,IF(J445&lt;=5,2,IF(J445&lt;=10,3,4))))</f>
        <v>0</v>
      </c>
      <c r="K446" s="41"/>
    </row>
    <row r="447" spans="2:11" ht="9.75" customHeight="1" x14ac:dyDescent="0.2">
      <c r="B447" s="38"/>
      <c r="C447" s="279" t="str">
        <f>"0:"</f>
        <v>0:</v>
      </c>
      <c r="D447" s="278" t="s">
        <v>944</v>
      </c>
      <c r="E447" s="40"/>
      <c r="F447" s="40"/>
      <c r="G447" s="40"/>
      <c r="H447" s="40"/>
      <c r="I447" s="40"/>
      <c r="J447" s="245"/>
      <c r="K447" s="41"/>
    </row>
    <row r="448" spans="2:11" ht="9.75" customHeight="1" x14ac:dyDescent="0.2">
      <c r="B448" s="38"/>
      <c r="C448" s="280" t="str">
        <f>"1:"</f>
        <v>1:</v>
      </c>
      <c r="D448" s="278" t="s">
        <v>945</v>
      </c>
      <c r="E448" s="40"/>
      <c r="F448" s="40"/>
      <c r="G448" s="40"/>
      <c r="H448" s="40"/>
      <c r="I448" s="40"/>
      <c r="J448" s="245"/>
      <c r="K448" s="41"/>
    </row>
    <row r="449" spans="2:11" ht="9.75" customHeight="1" x14ac:dyDescent="0.2">
      <c r="B449" s="38"/>
      <c r="C449" s="280" t="str">
        <f>"2:"</f>
        <v>2:</v>
      </c>
      <c r="D449" s="278" t="s">
        <v>946</v>
      </c>
      <c r="E449" s="40"/>
      <c r="F449" s="40"/>
      <c r="G449" s="40"/>
      <c r="H449" s="40"/>
      <c r="I449" s="40"/>
      <c r="J449" s="245"/>
      <c r="K449" s="41"/>
    </row>
    <row r="450" spans="2:11" ht="9.75" customHeight="1" x14ac:dyDescent="0.2">
      <c r="B450" s="38"/>
      <c r="C450" s="280" t="str">
        <f>"3:"</f>
        <v>3:</v>
      </c>
      <c r="D450" s="278" t="s">
        <v>947</v>
      </c>
      <c r="E450" s="40"/>
      <c r="F450" s="40"/>
      <c r="G450" s="40"/>
      <c r="H450" s="40"/>
      <c r="I450" s="40"/>
      <c r="J450" s="245"/>
      <c r="K450" s="41"/>
    </row>
    <row r="451" spans="2:11" ht="9.75" customHeight="1" x14ac:dyDescent="0.2">
      <c r="B451" s="38"/>
      <c r="C451" s="280" t="str">
        <f>"4:"</f>
        <v>4:</v>
      </c>
      <c r="D451" s="278" t="s">
        <v>948</v>
      </c>
      <c r="E451" s="40"/>
      <c r="F451" s="40"/>
      <c r="G451" s="40"/>
      <c r="H451" s="40"/>
      <c r="I451" s="40"/>
      <c r="J451" s="247"/>
      <c r="K451" s="41"/>
    </row>
    <row r="452" spans="2:11" x14ac:dyDescent="0.2">
      <c r="B452" s="38"/>
      <c r="C452" s="40" t="s">
        <v>257</v>
      </c>
      <c r="D452" s="40"/>
      <c r="E452" s="40"/>
      <c r="F452" s="40"/>
      <c r="G452" s="40"/>
      <c r="H452" s="40"/>
      <c r="I452" s="40"/>
      <c r="J452" s="266"/>
      <c r="K452" s="41"/>
    </row>
    <row r="453" spans="2:11" x14ac:dyDescent="0.2">
      <c r="B453" s="38"/>
      <c r="C453" s="40" t="s">
        <v>261</v>
      </c>
      <c r="D453" s="40"/>
      <c r="E453" s="40"/>
      <c r="F453" s="40"/>
      <c r="G453" s="40"/>
      <c r="H453" s="40"/>
      <c r="I453" s="40"/>
      <c r="J453" s="245" t="str">
        <f>IF(J452=$B$973,$A$973,IF(J452=$B$974,$A$974,IF(J452=$B$975,$A$975,IF(J452=$B$976,$A$976,IF(J452=$B$977,$A$977,"Not Calculated")))))</f>
        <v>Not Calculated</v>
      </c>
      <c r="K453" s="41"/>
    </row>
    <row r="454" spans="2:11" x14ac:dyDescent="0.2">
      <c r="B454" s="38"/>
      <c r="C454" s="40" t="s">
        <v>893</v>
      </c>
      <c r="D454" s="40"/>
      <c r="E454" s="40"/>
      <c r="F454" s="40"/>
      <c r="G454" s="40"/>
      <c r="H454" s="40"/>
      <c r="I454" s="40"/>
      <c r="J454" s="40"/>
      <c r="K454" s="41"/>
    </row>
    <row r="455" spans="2:11" ht="15" customHeight="1" x14ac:dyDescent="0.2">
      <c r="B455" s="38"/>
      <c r="C455" s="399"/>
      <c r="D455" s="400"/>
      <c r="E455" s="400"/>
      <c r="F455" s="400"/>
      <c r="G455" s="400"/>
      <c r="H455" s="400"/>
      <c r="I455" s="400"/>
      <c r="J455" s="401"/>
      <c r="K455" s="41"/>
    </row>
    <row r="456" spans="2:11" x14ac:dyDescent="0.2">
      <c r="B456" s="38"/>
      <c r="C456" s="40"/>
      <c r="D456" s="40"/>
      <c r="E456" s="40"/>
      <c r="F456" s="40"/>
      <c r="G456" s="40"/>
      <c r="H456" s="40"/>
      <c r="I456" s="40"/>
      <c r="J456" s="40"/>
      <c r="K456" s="41"/>
    </row>
    <row r="457" spans="2:11" x14ac:dyDescent="0.2">
      <c r="B457" s="38"/>
      <c r="C457" s="179" t="s">
        <v>304</v>
      </c>
      <c r="D457" s="40"/>
      <c r="E457" s="40"/>
      <c r="F457" s="40"/>
      <c r="G457" s="40"/>
      <c r="H457" s="40"/>
      <c r="I457" s="40"/>
      <c r="J457" s="245" t="str">
        <f>IF(OR(J446="Not Calculated",J453="Not Calculated")=TRUE,"Not Calculated",AVERAGE(J446,J453))</f>
        <v>Not Calculated</v>
      </c>
      <c r="K457" s="41"/>
    </row>
    <row r="458" spans="2:11" x14ac:dyDescent="0.2">
      <c r="B458" s="38"/>
      <c r="C458" s="40"/>
      <c r="D458" s="40"/>
      <c r="E458" s="40"/>
      <c r="F458" s="40"/>
      <c r="G458" s="40"/>
      <c r="H458" s="40"/>
      <c r="I458" s="40"/>
      <c r="J458" s="40"/>
      <c r="K458" s="41"/>
    </row>
    <row r="459" spans="2:11" x14ac:dyDescent="0.2">
      <c r="B459" s="38"/>
      <c r="C459" s="40"/>
      <c r="D459" s="40"/>
      <c r="E459" s="40"/>
      <c r="F459" s="40"/>
      <c r="G459" s="40"/>
      <c r="H459" s="40"/>
      <c r="I459" s="40"/>
      <c r="J459" s="40"/>
      <c r="K459" s="41"/>
    </row>
    <row r="460" spans="2:11" ht="16" x14ac:dyDescent="0.2">
      <c r="B460" s="38"/>
      <c r="C460" s="45" t="s">
        <v>306</v>
      </c>
      <c r="D460" s="40"/>
      <c r="E460" s="40"/>
      <c r="F460" s="40"/>
      <c r="G460" s="40"/>
      <c r="H460" s="40"/>
      <c r="I460" s="40"/>
      <c r="J460" s="40"/>
      <c r="K460" s="41"/>
    </row>
    <row r="461" spans="2:11" x14ac:dyDescent="0.2">
      <c r="B461" s="38"/>
      <c r="C461" s="40" t="s">
        <v>949</v>
      </c>
      <c r="D461" s="40"/>
      <c r="E461" s="40"/>
      <c r="F461" s="40"/>
      <c r="G461" s="40"/>
      <c r="H461" s="40"/>
      <c r="I461" s="40"/>
      <c r="J461" s="270"/>
      <c r="K461" s="41"/>
    </row>
    <row r="462" spans="2:11" x14ac:dyDescent="0.2">
      <c r="B462" s="38"/>
      <c r="C462" s="40" t="s">
        <v>260</v>
      </c>
      <c r="D462" s="40"/>
      <c r="E462" s="40"/>
      <c r="F462" s="40"/>
      <c r="G462" s="40"/>
      <c r="H462" s="40"/>
      <c r="I462" s="40"/>
      <c r="J462" s="248">
        <f>IF(J461&lt;=0,0,IF(J461&lt;=1,1,IF(J461&lt;=5,2,IF(J461&lt;=10,3,4))))</f>
        <v>0</v>
      </c>
      <c r="K462" s="41"/>
    </row>
    <row r="463" spans="2:11" ht="9.75" customHeight="1" x14ac:dyDescent="0.2">
      <c r="B463" s="38"/>
      <c r="C463" s="279" t="str">
        <f>"0:"</f>
        <v>0:</v>
      </c>
      <c r="D463" s="290" t="s">
        <v>944</v>
      </c>
      <c r="E463" s="40"/>
      <c r="F463" s="40"/>
      <c r="G463" s="40"/>
      <c r="H463" s="40"/>
      <c r="I463" s="40"/>
      <c r="J463" s="245"/>
      <c r="K463" s="41"/>
    </row>
    <row r="464" spans="2:11" ht="9.75" customHeight="1" x14ac:dyDescent="0.2">
      <c r="B464" s="38"/>
      <c r="C464" s="280" t="str">
        <f>"1:"</f>
        <v>1:</v>
      </c>
      <c r="D464" s="290" t="s">
        <v>945</v>
      </c>
      <c r="E464" s="40"/>
      <c r="F464" s="40"/>
      <c r="G464" s="40"/>
      <c r="H464" s="40"/>
      <c r="I464" s="40"/>
      <c r="J464" s="245"/>
      <c r="K464" s="41"/>
    </row>
    <row r="465" spans="2:11" ht="9.75" customHeight="1" x14ac:dyDescent="0.2">
      <c r="B465" s="38"/>
      <c r="C465" s="280" t="str">
        <f>"2:"</f>
        <v>2:</v>
      </c>
      <c r="D465" s="290" t="s">
        <v>946</v>
      </c>
      <c r="E465" s="40"/>
      <c r="F465" s="40"/>
      <c r="G465" s="40"/>
      <c r="H465" s="40"/>
      <c r="I465" s="40"/>
      <c r="J465" s="245"/>
      <c r="K465" s="41"/>
    </row>
    <row r="466" spans="2:11" ht="9.75" customHeight="1" x14ac:dyDescent="0.2">
      <c r="B466" s="38"/>
      <c r="C466" s="280" t="str">
        <f>"3:"</f>
        <v>3:</v>
      </c>
      <c r="D466" s="290" t="s">
        <v>947</v>
      </c>
      <c r="E466" s="40"/>
      <c r="F466" s="40"/>
      <c r="G466" s="40"/>
      <c r="H466" s="40"/>
      <c r="I466" s="40"/>
      <c r="J466" s="245"/>
      <c r="K466" s="41"/>
    </row>
    <row r="467" spans="2:11" ht="9.75" customHeight="1" x14ac:dyDescent="0.2">
      <c r="B467" s="38"/>
      <c r="C467" s="280" t="str">
        <f>"4:"</f>
        <v>4:</v>
      </c>
      <c r="D467" s="290" t="s">
        <v>948</v>
      </c>
      <c r="E467" s="40"/>
      <c r="F467" s="40"/>
      <c r="G467" s="40"/>
      <c r="H467" s="40"/>
      <c r="I467" s="40"/>
      <c r="J467" s="247"/>
      <c r="K467" s="41"/>
    </row>
    <row r="468" spans="2:11" x14ac:dyDescent="0.2">
      <c r="B468" s="38"/>
      <c r="C468" s="40" t="s">
        <v>257</v>
      </c>
      <c r="D468" s="40"/>
      <c r="E468" s="40"/>
      <c r="F468" s="40"/>
      <c r="G468" s="40"/>
      <c r="H468" s="40"/>
      <c r="I468" s="40"/>
      <c r="J468" s="266"/>
      <c r="K468" s="41"/>
    </row>
    <row r="469" spans="2:11" ht="15" customHeight="1" x14ac:dyDescent="0.2">
      <c r="B469" s="38"/>
      <c r="C469" s="40" t="s">
        <v>261</v>
      </c>
      <c r="D469" s="40"/>
      <c r="E469" s="40"/>
      <c r="F469" s="40"/>
      <c r="G469" s="40"/>
      <c r="H469" s="40"/>
      <c r="I469" s="40"/>
      <c r="J469" s="245" t="str">
        <f>IF(J468=$B$973,$A$973,IF(J468=$B$974,$A$974,IF(J468=$B$975,$A$975,IF(J468=$B$976,$A$976,IF(J468=$B$977,$A$977,"Not Calculated")))))</f>
        <v>Not Calculated</v>
      </c>
      <c r="K469" s="41"/>
    </row>
    <row r="470" spans="2:11" x14ac:dyDescent="0.2">
      <c r="B470" s="38"/>
      <c r="C470" s="40" t="s">
        <v>893</v>
      </c>
      <c r="D470" s="40"/>
      <c r="E470" s="40"/>
      <c r="F470" s="40"/>
      <c r="G470" s="40"/>
      <c r="H470" s="40"/>
      <c r="I470" s="40"/>
      <c r="J470" s="40"/>
      <c r="K470" s="41"/>
    </row>
    <row r="471" spans="2:11" x14ac:dyDescent="0.2">
      <c r="B471" s="38"/>
      <c r="C471" s="399"/>
      <c r="D471" s="400"/>
      <c r="E471" s="400"/>
      <c r="F471" s="400"/>
      <c r="G471" s="400"/>
      <c r="H471" s="400"/>
      <c r="I471" s="400"/>
      <c r="J471" s="401"/>
      <c r="K471" s="41"/>
    </row>
    <row r="472" spans="2:11" x14ac:dyDescent="0.2">
      <c r="B472" s="38"/>
      <c r="C472" s="40"/>
      <c r="D472" s="40"/>
      <c r="E472" s="40"/>
      <c r="F472" s="40"/>
      <c r="G472" s="40"/>
      <c r="H472" s="40"/>
      <c r="I472" s="40"/>
      <c r="J472" s="40"/>
      <c r="K472" s="41"/>
    </row>
    <row r="473" spans="2:11" x14ac:dyDescent="0.2">
      <c r="B473" s="38"/>
      <c r="C473" s="179" t="s">
        <v>307</v>
      </c>
      <c r="D473" s="40"/>
      <c r="E473" s="40"/>
      <c r="F473" s="40"/>
      <c r="G473" s="40"/>
      <c r="H473" s="40"/>
      <c r="I473" s="40"/>
      <c r="J473" s="245" t="str">
        <f>IF(OR(J462="Not Calculated",J469="Not Calculated")=TRUE,"Not Calculated",AVERAGE(J462,J469))</f>
        <v>Not Calculated</v>
      </c>
      <c r="K473" s="41"/>
    </row>
    <row r="474" spans="2:11" x14ac:dyDescent="0.2">
      <c r="B474" s="38"/>
      <c r="C474" s="40"/>
      <c r="D474" s="40"/>
      <c r="E474" s="40"/>
      <c r="F474" s="40"/>
      <c r="G474" s="40"/>
      <c r="H474" s="40"/>
      <c r="I474" s="40"/>
      <c r="J474" s="40"/>
      <c r="K474" s="41"/>
    </row>
    <row r="475" spans="2:11" x14ac:dyDescent="0.2">
      <c r="B475" s="38"/>
      <c r="C475" s="40"/>
      <c r="D475" s="40"/>
      <c r="E475" s="40"/>
      <c r="F475" s="40"/>
      <c r="G475" s="40"/>
      <c r="H475" s="40"/>
      <c r="I475" s="40"/>
      <c r="J475" s="40"/>
      <c r="K475" s="41"/>
    </row>
    <row r="476" spans="2:11" ht="16" x14ac:dyDescent="0.2">
      <c r="B476" s="38"/>
      <c r="C476" s="45" t="s">
        <v>308</v>
      </c>
      <c r="D476" s="40"/>
      <c r="E476" s="40"/>
      <c r="F476" s="40"/>
      <c r="G476" s="40"/>
      <c r="H476" s="40"/>
      <c r="I476" s="40"/>
      <c r="J476" s="40"/>
      <c r="K476" s="41"/>
    </row>
    <row r="477" spans="2:11" ht="15" customHeight="1" x14ac:dyDescent="0.2">
      <c r="B477" s="38"/>
      <c r="C477" s="380" t="s">
        <v>310</v>
      </c>
      <c r="D477" s="380"/>
      <c r="E477" s="380"/>
      <c r="F477" s="380"/>
      <c r="G477" s="380"/>
      <c r="H477" s="380"/>
      <c r="I477" s="380"/>
      <c r="J477" s="40"/>
      <c r="K477" s="41"/>
    </row>
    <row r="478" spans="2:11" x14ac:dyDescent="0.2">
      <c r="B478" s="38"/>
      <c r="C478" s="380"/>
      <c r="D478" s="380"/>
      <c r="E478" s="380"/>
      <c r="F478" s="380"/>
      <c r="G478" s="380"/>
      <c r="H478" s="380"/>
      <c r="I478" s="380"/>
      <c r="J478" s="131"/>
      <c r="K478" s="41"/>
    </row>
    <row r="479" spans="2:11" x14ac:dyDescent="0.2">
      <c r="B479" s="38"/>
      <c r="C479" s="40" t="s">
        <v>261</v>
      </c>
      <c r="D479" s="40"/>
      <c r="E479" s="40"/>
      <c r="F479" s="40"/>
      <c r="G479" s="40"/>
      <c r="H479" s="40"/>
      <c r="I479" s="40"/>
      <c r="J479" s="245">
        <f>IF(J478&lt;=0,0,IF(J478&lt;=1,1,IF(J478&lt;=7,2,IF(J478&lt;=14,3,4))))</f>
        <v>0</v>
      </c>
      <c r="K479" s="41"/>
    </row>
    <row r="480" spans="2:11" s="51" customFormat="1" ht="9.75" customHeight="1" x14ac:dyDescent="0.2">
      <c r="B480" s="283"/>
      <c r="C480" s="279" t="str">
        <f>"0:"</f>
        <v>0:</v>
      </c>
      <c r="D480" s="284" t="s">
        <v>950</v>
      </c>
      <c r="E480" s="285"/>
      <c r="F480" s="285"/>
      <c r="G480" s="285"/>
      <c r="H480" s="285"/>
      <c r="I480" s="285"/>
      <c r="J480" s="43"/>
      <c r="K480" s="286"/>
    </row>
    <row r="481" spans="2:11" s="51" customFormat="1" ht="9.75" customHeight="1" x14ac:dyDescent="0.2">
      <c r="B481" s="283"/>
      <c r="C481" s="280" t="str">
        <f>"1:"</f>
        <v>1:</v>
      </c>
      <c r="D481" s="284" t="s">
        <v>951</v>
      </c>
      <c r="E481" s="285"/>
      <c r="F481" s="285"/>
      <c r="G481" s="285"/>
      <c r="H481" s="285"/>
      <c r="I481" s="285"/>
      <c r="J481" s="43"/>
      <c r="K481" s="286"/>
    </row>
    <row r="482" spans="2:11" s="51" customFormat="1" ht="9.75" customHeight="1" x14ac:dyDescent="0.2">
      <c r="B482" s="283"/>
      <c r="C482" s="280" t="str">
        <f>"2:"</f>
        <v>2:</v>
      </c>
      <c r="D482" s="284" t="s">
        <v>952</v>
      </c>
      <c r="E482" s="285"/>
      <c r="F482" s="285"/>
      <c r="G482" s="285"/>
      <c r="H482" s="285"/>
      <c r="I482" s="285"/>
      <c r="J482" s="43"/>
      <c r="K482" s="286"/>
    </row>
    <row r="483" spans="2:11" s="51" customFormat="1" ht="9.75" customHeight="1" x14ac:dyDescent="0.2">
      <c r="B483" s="283"/>
      <c r="C483" s="280" t="str">
        <f>"3:"</f>
        <v>3:</v>
      </c>
      <c r="D483" s="284" t="s">
        <v>953</v>
      </c>
      <c r="E483" s="285"/>
      <c r="F483" s="285"/>
      <c r="G483" s="285"/>
      <c r="H483" s="285"/>
      <c r="I483" s="285"/>
      <c r="J483" s="43"/>
      <c r="K483" s="286"/>
    </row>
    <row r="484" spans="2:11" s="51" customFormat="1" ht="9.75" customHeight="1" x14ac:dyDescent="0.2">
      <c r="B484" s="283"/>
      <c r="C484" s="280" t="str">
        <f>"4:"</f>
        <v>4:</v>
      </c>
      <c r="D484" s="284" t="s">
        <v>954</v>
      </c>
      <c r="E484" s="285"/>
      <c r="F484" s="285"/>
      <c r="G484" s="285"/>
      <c r="H484" s="285"/>
      <c r="I484" s="285"/>
      <c r="J484" s="43"/>
      <c r="K484" s="286"/>
    </row>
    <row r="485" spans="2:11" x14ac:dyDescent="0.2">
      <c r="B485" s="38"/>
      <c r="C485" s="40" t="s">
        <v>893</v>
      </c>
      <c r="D485" s="40"/>
      <c r="E485" s="40"/>
      <c r="F485" s="40"/>
      <c r="G485" s="40"/>
      <c r="H485" s="40"/>
      <c r="I485" s="40"/>
      <c r="J485" s="40"/>
      <c r="K485" s="41"/>
    </row>
    <row r="486" spans="2:11" x14ac:dyDescent="0.2">
      <c r="B486" s="38"/>
      <c r="C486" s="399"/>
      <c r="D486" s="400"/>
      <c r="E486" s="400"/>
      <c r="F486" s="400"/>
      <c r="G486" s="400"/>
      <c r="H486" s="400"/>
      <c r="I486" s="400"/>
      <c r="J486" s="401"/>
      <c r="K486" s="41"/>
    </row>
    <row r="487" spans="2:11" x14ac:dyDescent="0.2">
      <c r="B487" s="38"/>
      <c r="C487" s="40"/>
      <c r="D487" s="40"/>
      <c r="E487" s="40"/>
      <c r="F487" s="40"/>
      <c r="G487" s="40"/>
      <c r="H487" s="40"/>
      <c r="I487" s="40"/>
      <c r="J487" s="40"/>
      <c r="K487" s="41"/>
    </row>
    <row r="488" spans="2:11" x14ac:dyDescent="0.2">
      <c r="B488" s="38"/>
      <c r="C488" s="179" t="s">
        <v>309</v>
      </c>
      <c r="D488" s="40"/>
      <c r="E488" s="40"/>
      <c r="F488" s="40"/>
      <c r="G488" s="40"/>
      <c r="H488" s="40"/>
      <c r="I488" s="40"/>
      <c r="J488" s="245">
        <f>J479</f>
        <v>0</v>
      </c>
      <c r="K488" s="41"/>
    </row>
    <row r="489" spans="2:11" x14ac:dyDescent="0.2">
      <c r="B489" s="38"/>
      <c r="C489" s="40"/>
      <c r="D489" s="40"/>
      <c r="E489" s="40"/>
      <c r="F489" s="40"/>
      <c r="G489" s="40"/>
      <c r="H489" s="40"/>
      <c r="I489" s="40"/>
      <c r="J489" s="40"/>
      <c r="K489" s="41"/>
    </row>
    <row r="490" spans="2:11" x14ac:dyDescent="0.2">
      <c r="B490" s="38"/>
      <c r="C490" s="40"/>
      <c r="D490" s="40"/>
      <c r="E490" s="40"/>
      <c r="F490" s="40"/>
      <c r="G490" s="40"/>
      <c r="H490" s="40"/>
      <c r="I490" s="40"/>
      <c r="J490" s="40"/>
      <c r="K490" s="41"/>
    </row>
    <row r="491" spans="2:11" ht="16" x14ac:dyDescent="0.2">
      <c r="B491" s="38"/>
      <c r="C491" s="45" t="s">
        <v>311</v>
      </c>
      <c r="D491" s="40"/>
      <c r="E491" s="40"/>
      <c r="F491" s="40"/>
      <c r="G491" s="40"/>
      <c r="H491" s="40"/>
      <c r="I491" s="40"/>
      <c r="J491" s="40"/>
      <c r="K491" s="41"/>
    </row>
    <row r="492" spans="2:11" x14ac:dyDescent="0.2">
      <c r="B492" s="38"/>
      <c r="C492" s="40" t="s">
        <v>312</v>
      </c>
      <c r="D492" s="40"/>
      <c r="E492" s="40"/>
      <c r="F492" s="40"/>
      <c r="G492" s="40"/>
      <c r="H492" s="40"/>
      <c r="I492" s="40"/>
      <c r="J492" s="270"/>
      <c r="K492" s="41"/>
    </row>
    <row r="493" spans="2:11" x14ac:dyDescent="0.2">
      <c r="B493" s="38"/>
      <c r="C493" s="40" t="s">
        <v>260</v>
      </c>
      <c r="D493" s="40"/>
      <c r="E493" s="40"/>
      <c r="F493" s="40"/>
      <c r="G493" s="40"/>
      <c r="H493" s="40"/>
      <c r="I493" s="40"/>
      <c r="J493" s="248">
        <f>IF(J492&lt;=0,0,IF(J492&lt;=1,1,IF(J492&lt;=5,2,IF(J492&lt;=10,3,4))))</f>
        <v>0</v>
      </c>
      <c r="K493" s="41"/>
    </row>
    <row r="494" spans="2:11" ht="9.75" customHeight="1" x14ac:dyDescent="0.2">
      <c r="B494" s="38"/>
      <c r="C494" s="279" t="str">
        <f>"0:"</f>
        <v>0:</v>
      </c>
      <c r="D494" s="290" t="s">
        <v>955</v>
      </c>
      <c r="E494" s="40"/>
      <c r="F494" s="40"/>
      <c r="G494" s="40"/>
      <c r="H494" s="40"/>
      <c r="I494" s="40"/>
      <c r="J494" s="245"/>
      <c r="K494" s="41"/>
    </row>
    <row r="495" spans="2:11" ht="9.75" customHeight="1" x14ac:dyDescent="0.2">
      <c r="B495" s="38"/>
      <c r="C495" s="280" t="str">
        <f>"1:"</f>
        <v>1:</v>
      </c>
      <c r="D495" s="290" t="s">
        <v>956</v>
      </c>
      <c r="E495" s="40"/>
      <c r="F495" s="40"/>
      <c r="G495" s="40"/>
      <c r="H495" s="40"/>
      <c r="I495" s="40"/>
      <c r="J495" s="245"/>
      <c r="K495" s="41"/>
    </row>
    <row r="496" spans="2:11" ht="9.75" customHeight="1" x14ac:dyDescent="0.2">
      <c r="B496" s="38"/>
      <c r="C496" s="280" t="str">
        <f>"2:"</f>
        <v>2:</v>
      </c>
      <c r="D496" s="290" t="s">
        <v>957</v>
      </c>
      <c r="E496" s="40"/>
      <c r="F496" s="40"/>
      <c r="G496" s="40"/>
      <c r="H496" s="40"/>
      <c r="I496" s="40"/>
      <c r="J496" s="245"/>
      <c r="K496" s="41"/>
    </row>
    <row r="497" spans="2:11" ht="9.75" customHeight="1" x14ac:dyDescent="0.2">
      <c r="B497" s="38"/>
      <c r="C497" s="280" t="str">
        <f>"3:"</f>
        <v>3:</v>
      </c>
      <c r="D497" s="290" t="s">
        <v>958</v>
      </c>
      <c r="E497" s="40"/>
      <c r="F497" s="40"/>
      <c r="G497" s="40"/>
      <c r="H497" s="40"/>
      <c r="I497" s="40"/>
      <c r="J497" s="245"/>
      <c r="K497" s="41"/>
    </row>
    <row r="498" spans="2:11" ht="9.75" customHeight="1" x14ac:dyDescent="0.2">
      <c r="B498" s="38"/>
      <c r="C498" s="280" t="str">
        <f>"4:"</f>
        <v>4:</v>
      </c>
      <c r="D498" s="290" t="s">
        <v>959</v>
      </c>
      <c r="E498" s="40"/>
      <c r="F498" s="40"/>
      <c r="G498" s="40"/>
      <c r="H498" s="40"/>
      <c r="I498" s="40"/>
      <c r="J498" s="247"/>
      <c r="K498" s="41"/>
    </row>
    <row r="499" spans="2:11" x14ac:dyDescent="0.2">
      <c r="B499" s="38"/>
      <c r="C499" s="40" t="s">
        <v>313</v>
      </c>
      <c r="D499" s="40"/>
      <c r="E499" s="40"/>
      <c r="F499" s="40"/>
      <c r="G499" s="40"/>
      <c r="H499" s="40"/>
      <c r="I499" s="40"/>
      <c r="J499" s="266"/>
      <c r="K499" s="41"/>
    </row>
    <row r="500" spans="2:11" x14ac:dyDescent="0.2">
      <c r="B500" s="38"/>
      <c r="C500" s="40" t="s">
        <v>261</v>
      </c>
      <c r="D500" s="40"/>
      <c r="E500" s="40"/>
      <c r="F500" s="40"/>
      <c r="G500" s="40"/>
      <c r="H500" s="40"/>
      <c r="I500" s="40"/>
      <c r="J500" s="245" t="str">
        <f>IF(J499=$B$973,$A$973,IF(J499=$B$974,$A$974,IF(J499=$B$975,$A$975,IF(J499=$B$976,$A$976,IF(J499=$B$977,$A$977,"Not Calculated")))))</f>
        <v>Not Calculated</v>
      </c>
      <c r="K500" s="41"/>
    </row>
    <row r="501" spans="2:11" x14ac:dyDescent="0.2">
      <c r="B501" s="38"/>
      <c r="C501" s="40" t="s">
        <v>893</v>
      </c>
      <c r="D501" s="40"/>
      <c r="E501" s="40"/>
      <c r="F501" s="40"/>
      <c r="G501" s="40"/>
      <c r="H501" s="40"/>
      <c r="I501" s="40"/>
      <c r="J501" s="40"/>
      <c r="K501" s="41"/>
    </row>
    <row r="502" spans="2:11" x14ac:dyDescent="0.2">
      <c r="B502" s="38"/>
      <c r="C502" s="399"/>
      <c r="D502" s="400"/>
      <c r="E502" s="400"/>
      <c r="F502" s="400"/>
      <c r="G502" s="400"/>
      <c r="H502" s="400"/>
      <c r="I502" s="400"/>
      <c r="J502" s="401"/>
      <c r="K502" s="41"/>
    </row>
    <row r="503" spans="2:11" x14ac:dyDescent="0.2">
      <c r="B503" s="38"/>
      <c r="C503" s="40"/>
      <c r="D503" s="40"/>
      <c r="E503" s="40"/>
      <c r="F503" s="40"/>
      <c r="G503" s="40"/>
      <c r="H503" s="40"/>
      <c r="I503" s="40"/>
      <c r="J503" s="40"/>
      <c r="K503" s="41"/>
    </row>
    <row r="504" spans="2:11" x14ac:dyDescent="0.2">
      <c r="B504" s="38"/>
      <c r="C504" s="179" t="s">
        <v>321</v>
      </c>
      <c r="D504" s="40"/>
      <c r="E504" s="40"/>
      <c r="F504" s="40"/>
      <c r="G504" s="40"/>
      <c r="H504" s="40"/>
      <c r="I504" s="40"/>
      <c r="J504" s="245" t="str">
        <f>IF(OR(J493="Not Calculated",J500="Not Calculated")=TRUE,"Not Calculated",AVERAGE(J493,J500))</f>
        <v>Not Calculated</v>
      </c>
      <c r="K504" s="41"/>
    </row>
    <row r="505" spans="2:11" x14ac:dyDescent="0.2">
      <c r="B505" s="38"/>
      <c r="C505" s="40"/>
      <c r="D505" s="40"/>
      <c r="E505" s="40"/>
      <c r="F505" s="40"/>
      <c r="G505" s="40"/>
      <c r="H505" s="40"/>
      <c r="I505" s="40"/>
      <c r="J505" s="40"/>
      <c r="K505" s="41"/>
    </row>
    <row r="506" spans="2:11" x14ac:dyDescent="0.2">
      <c r="B506" s="38"/>
      <c r="C506" s="40"/>
      <c r="D506" s="40"/>
      <c r="E506" s="40"/>
      <c r="F506" s="40"/>
      <c r="G506" s="40"/>
      <c r="H506" s="40"/>
      <c r="I506" s="40"/>
      <c r="J506" s="40"/>
      <c r="K506" s="41"/>
    </row>
    <row r="507" spans="2:11" ht="16" x14ac:dyDescent="0.2">
      <c r="B507" s="38"/>
      <c r="C507" s="45" t="s">
        <v>314</v>
      </c>
      <c r="D507" s="40"/>
      <c r="E507" s="40"/>
      <c r="F507" s="40"/>
      <c r="G507" s="40"/>
      <c r="H507" s="40"/>
      <c r="I507" s="40"/>
      <c r="J507" s="40"/>
      <c r="K507" s="41"/>
    </row>
    <row r="508" spans="2:11" x14ac:dyDescent="0.2">
      <c r="B508" s="38"/>
      <c r="C508" s="40" t="s">
        <v>316</v>
      </c>
      <c r="D508" s="40"/>
      <c r="E508" s="40"/>
      <c r="F508" s="40"/>
      <c r="G508" s="40"/>
      <c r="H508" s="40"/>
      <c r="I508" s="40"/>
      <c r="J508" s="269"/>
      <c r="K508" s="41"/>
    </row>
    <row r="509" spans="2:11" x14ac:dyDescent="0.2">
      <c r="B509" s="38"/>
      <c r="C509" s="40" t="s">
        <v>260</v>
      </c>
      <c r="D509" s="40"/>
      <c r="E509" s="40"/>
      <c r="F509" s="40"/>
      <c r="G509" s="40"/>
      <c r="H509" s="40"/>
      <c r="I509" s="40"/>
      <c r="J509" s="248">
        <f>IF(J508&lt;=0,0,IF(J508&lt;=1000,1,IF(J508&lt;=5000,2,IF(J508&lt;=25000,3,4))))</f>
        <v>0</v>
      </c>
      <c r="K509" s="41"/>
    </row>
    <row r="510" spans="2:11" s="51" customFormat="1" ht="9.75" customHeight="1" x14ac:dyDescent="0.2">
      <c r="B510" s="283"/>
      <c r="C510" s="279" t="str">
        <f>"0:"</f>
        <v>0:</v>
      </c>
      <c r="D510" s="284" t="s">
        <v>960</v>
      </c>
      <c r="E510" s="285"/>
      <c r="F510" s="285"/>
      <c r="G510" s="285"/>
      <c r="H510" s="285"/>
      <c r="I510" s="285"/>
      <c r="J510" s="43"/>
      <c r="K510" s="286"/>
    </row>
    <row r="511" spans="2:11" s="51" customFormat="1" ht="9.75" customHeight="1" x14ac:dyDescent="0.2">
      <c r="B511" s="283"/>
      <c r="C511" s="280" t="str">
        <f>"1:"</f>
        <v>1:</v>
      </c>
      <c r="D511" s="284" t="s">
        <v>961</v>
      </c>
      <c r="E511" s="285"/>
      <c r="F511" s="285"/>
      <c r="G511" s="285"/>
      <c r="H511" s="285"/>
      <c r="I511" s="285"/>
      <c r="J511" s="43"/>
      <c r="K511" s="286"/>
    </row>
    <row r="512" spans="2:11" s="51" customFormat="1" ht="9.75" customHeight="1" x14ac:dyDescent="0.2">
      <c r="B512" s="283"/>
      <c r="C512" s="280" t="str">
        <f>"2:"</f>
        <v>2:</v>
      </c>
      <c r="D512" s="284" t="s">
        <v>962</v>
      </c>
      <c r="E512" s="285"/>
      <c r="F512" s="285"/>
      <c r="G512" s="285"/>
      <c r="H512" s="285"/>
      <c r="I512" s="285"/>
      <c r="J512" s="43"/>
      <c r="K512" s="286"/>
    </row>
    <row r="513" spans="2:11" s="51" customFormat="1" ht="9.75" customHeight="1" x14ac:dyDescent="0.2">
      <c r="B513" s="283"/>
      <c r="C513" s="280" t="str">
        <f>"3:"</f>
        <v>3:</v>
      </c>
      <c r="D513" s="284" t="s">
        <v>963</v>
      </c>
      <c r="E513" s="285"/>
      <c r="F513" s="285"/>
      <c r="G513" s="285"/>
      <c r="H513" s="285"/>
      <c r="I513" s="285"/>
      <c r="J513" s="43"/>
      <c r="K513" s="286"/>
    </row>
    <row r="514" spans="2:11" s="51" customFormat="1" ht="9.75" customHeight="1" x14ac:dyDescent="0.2">
      <c r="B514" s="283"/>
      <c r="C514" s="280" t="str">
        <f>"4:"</f>
        <v>4:</v>
      </c>
      <c r="D514" s="284" t="s">
        <v>964</v>
      </c>
      <c r="E514" s="285"/>
      <c r="F514" s="285"/>
      <c r="G514" s="285"/>
      <c r="H514" s="285"/>
      <c r="I514" s="285"/>
      <c r="J514" s="287"/>
      <c r="K514" s="286"/>
    </row>
    <row r="515" spans="2:11" x14ac:dyDescent="0.2">
      <c r="B515" s="38"/>
      <c r="C515" s="40" t="s">
        <v>315</v>
      </c>
      <c r="D515" s="40"/>
      <c r="E515" s="40"/>
      <c r="F515" s="40"/>
      <c r="G515" s="40"/>
      <c r="H515" s="40"/>
      <c r="I515" s="40"/>
      <c r="J515" s="266"/>
      <c r="K515" s="41"/>
    </row>
    <row r="516" spans="2:11" x14ac:dyDescent="0.2">
      <c r="B516" s="38"/>
      <c r="C516" s="40" t="s">
        <v>261</v>
      </c>
      <c r="D516" s="40"/>
      <c r="E516" s="40"/>
      <c r="F516" s="40"/>
      <c r="G516" s="40"/>
      <c r="H516" s="40"/>
      <c r="I516" s="40"/>
      <c r="J516" s="245" t="str">
        <f>IF(J515=$B$973,$A$973,IF(J515=$B$974,$A$974,IF(J515=$B$975,$A$975,IF(J515=$B$976,$A$976,IF(J515=$B$977,$A$977,"Not Calculated")))))</f>
        <v>Not Calculated</v>
      </c>
      <c r="K516" s="41"/>
    </row>
    <row r="517" spans="2:11" x14ac:dyDescent="0.2">
      <c r="B517" s="38"/>
      <c r="C517" s="40" t="s">
        <v>893</v>
      </c>
      <c r="D517" s="40"/>
      <c r="E517" s="40"/>
      <c r="F517" s="40"/>
      <c r="G517" s="40"/>
      <c r="H517" s="40"/>
      <c r="I517" s="40"/>
      <c r="J517" s="40"/>
      <c r="K517" s="41"/>
    </row>
    <row r="518" spans="2:11" ht="15" customHeight="1" x14ac:dyDescent="0.2">
      <c r="B518" s="38"/>
      <c r="C518" s="399"/>
      <c r="D518" s="400"/>
      <c r="E518" s="400"/>
      <c r="F518" s="400"/>
      <c r="G518" s="400"/>
      <c r="H518" s="400"/>
      <c r="I518" s="400"/>
      <c r="J518" s="401"/>
      <c r="K518" s="41"/>
    </row>
    <row r="519" spans="2:11" x14ac:dyDescent="0.2">
      <c r="B519" s="38"/>
      <c r="C519" s="40"/>
      <c r="D519" s="40"/>
      <c r="E519" s="40"/>
      <c r="F519" s="40"/>
      <c r="G519" s="40"/>
      <c r="H519" s="40"/>
      <c r="I519" s="40"/>
      <c r="J519" s="40"/>
      <c r="K519" s="41"/>
    </row>
    <row r="520" spans="2:11" x14ac:dyDescent="0.2">
      <c r="B520" s="38"/>
      <c r="C520" s="179" t="s">
        <v>320</v>
      </c>
      <c r="D520" s="40"/>
      <c r="E520" s="40"/>
      <c r="F520" s="40"/>
      <c r="G520" s="40"/>
      <c r="H520" s="40"/>
      <c r="I520" s="40"/>
      <c r="J520" s="245" t="str">
        <f>IF(OR(J509="Not Calculated",J516="Not Calculated")=TRUE,"Not Calculated",AVERAGE(J509,J516))</f>
        <v>Not Calculated</v>
      </c>
      <c r="K520" s="41"/>
    </row>
    <row r="521" spans="2:11" x14ac:dyDescent="0.2">
      <c r="B521" s="38"/>
      <c r="C521" s="40"/>
      <c r="D521" s="40"/>
      <c r="E521" s="40"/>
      <c r="F521" s="40"/>
      <c r="G521" s="40"/>
      <c r="H521" s="40"/>
      <c r="I521" s="40"/>
      <c r="J521" s="40"/>
      <c r="K521" s="41"/>
    </row>
    <row r="522" spans="2:11" x14ac:dyDescent="0.2">
      <c r="B522" s="38"/>
      <c r="C522" s="40"/>
      <c r="D522" s="40"/>
      <c r="E522" s="40"/>
      <c r="F522" s="40"/>
      <c r="G522" s="40"/>
      <c r="H522" s="40"/>
      <c r="I522" s="40"/>
      <c r="J522" s="40"/>
      <c r="K522" s="41"/>
    </row>
    <row r="523" spans="2:11" ht="16" x14ac:dyDescent="0.2">
      <c r="B523" s="38"/>
      <c r="C523" s="45" t="s">
        <v>317</v>
      </c>
      <c r="D523" s="40"/>
      <c r="E523" s="40"/>
      <c r="F523" s="40"/>
      <c r="G523" s="40"/>
      <c r="H523" s="40"/>
      <c r="I523" s="40"/>
      <c r="J523" s="40"/>
      <c r="K523" s="41"/>
    </row>
    <row r="524" spans="2:11" ht="15" customHeight="1" x14ac:dyDescent="0.2">
      <c r="B524" s="38"/>
      <c r="C524" s="380" t="s">
        <v>318</v>
      </c>
      <c r="D524" s="380"/>
      <c r="E524" s="380"/>
      <c r="F524" s="380"/>
      <c r="G524" s="380"/>
      <c r="H524" s="380"/>
      <c r="I524" s="380"/>
      <c r="J524" s="40"/>
      <c r="K524" s="41"/>
    </row>
    <row r="525" spans="2:11" x14ac:dyDescent="0.2">
      <c r="B525" s="38"/>
      <c r="C525" s="380"/>
      <c r="D525" s="380"/>
      <c r="E525" s="380"/>
      <c r="F525" s="380"/>
      <c r="G525" s="380"/>
      <c r="H525" s="380"/>
      <c r="I525" s="380"/>
      <c r="J525" s="274"/>
      <c r="K525" s="41"/>
    </row>
    <row r="526" spans="2:11" x14ac:dyDescent="0.2">
      <c r="B526" s="38"/>
      <c r="C526" s="40" t="s">
        <v>260</v>
      </c>
      <c r="D526" s="40"/>
      <c r="E526" s="40"/>
      <c r="F526" s="40"/>
      <c r="G526" s="40"/>
      <c r="H526" s="40"/>
      <c r="I526" s="40"/>
      <c r="J526" s="248">
        <f>IF(J525&lt;=0,0,IF(J525&lt;=1,1,IF(J525&lt;=5,2,IF(J525&lt;=10,3,4))))</f>
        <v>0</v>
      </c>
      <c r="K526" s="41"/>
    </row>
    <row r="527" spans="2:11" s="51" customFormat="1" ht="9.75" customHeight="1" x14ac:dyDescent="0.2">
      <c r="B527" s="283"/>
      <c r="C527" s="279" t="str">
        <f>"0:"</f>
        <v>0:</v>
      </c>
      <c r="D527" s="284" t="s">
        <v>965</v>
      </c>
      <c r="E527" s="285"/>
      <c r="F527" s="285"/>
      <c r="G527" s="285"/>
      <c r="H527" s="285"/>
      <c r="I527" s="285"/>
      <c r="J527" s="43"/>
      <c r="K527" s="286"/>
    </row>
    <row r="528" spans="2:11" s="51" customFormat="1" ht="9.75" customHeight="1" x14ac:dyDescent="0.2">
      <c r="B528" s="283"/>
      <c r="C528" s="280" t="str">
        <f>"1:"</f>
        <v>1:</v>
      </c>
      <c r="D528" s="284" t="s">
        <v>966</v>
      </c>
      <c r="E528" s="285"/>
      <c r="F528" s="285"/>
      <c r="G528" s="285"/>
      <c r="H528" s="285"/>
      <c r="I528" s="285"/>
      <c r="J528" s="43"/>
      <c r="K528" s="286"/>
    </row>
    <row r="529" spans="2:11" s="51" customFormat="1" ht="9.75" customHeight="1" x14ac:dyDescent="0.2">
      <c r="B529" s="283"/>
      <c r="C529" s="280" t="str">
        <f>"2:"</f>
        <v>2:</v>
      </c>
      <c r="D529" s="284" t="s">
        <v>967</v>
      </c>
      <c r="E529" s="285"/>
      <c r="F529" s="285"/>
      <c r="G529" s="285"/>
      <c r="H529" s="285"/>
      <c r="I529" s="285"/>
      <c r="J529" s="43"/>
      <c r="K529" s="286"/>
    </row>
    <row r="530" spans="2:11" s="51" customFormat="1" ht="9.75" customHeight="1" x14ac:dyDescent="0.2">
      <c r="B530" s="283"/>
      <c r="C530" s="280" t="str">
        <f>"3:"</f>
        <v>3:</v>
      </c>
      <c r="D530" s="284" t="s">
        <v>968</v>
      </c>
      <c r="E530" s="285"/>
      <c r="F530" s="285"/>
      <c r="G530" s="285"/>
      <c r="H530" s="285"/>
      <c r="I530" s="285"/>
      <c r="J530" s="43"/>
      <c r="K530" s="286"/>
    </row>
    <row r="531" spans="2:11" s="51" customFormat="1" ht="9.75" customHeight="1" x14ac:dyDescent="0.2">
      <c r="B531" s="283"/>
      <c r="C531" s="280" t="str">
        <f>"4:"</f>
        <v>4:</v>
      </c>
      <c r="D531" s="284" t="s">
        <v>969</v>
      </c>
      <c r="E531" s="285"/>
      <c r="F531" s="285"/>
      <c r="G531" s="285"/>
      <c r="H531" s="285"/>
      <c r="I531" s="285"/>
      <c r="J531" s="287"/>
      <c r="K531" s="286"/>
    </row>
    <row r="532" spans="2:11" x14ac:dyDescent="0.2">
      <c r="B532" s="38"/>
      <c r="C532" s="40" t="s">
        <v>257</v>
      </c>
      <c r="D532" s="40"/>
      <c r="E532" s="40"/>
      <c r="F532" s="40"/>
      <c r="G532" s="40"/>
      <c r="H532" s="40"/>
      <c r="I532" s="40"/>
      <c r="J532" s="266"/>
      <c r="K532" s="41"/>
    </row>
    <row r="533" spans="2:11" x14ac:dyDescent="0.2">
      <c r="B533" s="38"/>
      <c r="C533" s="40" t="s">
        <v>261</v>
      </c>
      <c r="D533" s="40"/>
      <c r="E533" s="40"/>
      <c r="F533" s="40"/>
      <c r="G533" s="40"/>
      <c r="H533" s="40"/>
      <c r="I533" s="40"/>
      <c r="J533" s="245" t="str">
        <f>IF(J532=$B$973,$A$973,IF(J532=$B$974,$A$974,IF(J532=$B$975,$A$975,IF(J532=$B$976,$A$976,IF(J532=$B$977,$A$977,"Not Calculated")))))</f>
        <v>Not Calculated</v>
      </c>
      <c r="K533" s="41"/>
    </row>
    <row r="534" spans="2:11" x14ac:dyDescent="0.2">
      <c r="B534" s="38"/>
      <c r="C534" s="40" t="s">
        <v>893</v>
      </c>
      <c r="D534" s="40"/>
      <c r="E534" s="40"/>
      <c r="F534" s="40"/>
      <c r="G534" s="40"/>
      <c r="H534" s="40"/>
      <c r="I534" s="40"/>
      <c r="J534" s="40"/>
      <c r="K534" s="41"/>
    </row>
    <row r="535" spans="2:11" ht="15" customHeight="1" x14ac:dyDescent="0.2">
      <c r="B535" s="38"/>
      <c r="C535" s="399"/>
      <c r="D535" s="400"/>
      <c r="E535" s="400"/>
      <c r="F535" s="400"/>
      <c r="G535" s="400"/>
      <c r="H535" s="400"/>
      <c r="I535" s="400"/>
      <c r="J535" s="401"/>
      <c r="K535" s="41"/>
    </row>
    <row r="536" spans="2:11" x14ac:dyDescent="0.2">
      <c r="B536" s="38"/>
      <c r="C536" s="40"/>
      <c r="D536" s="40"/>
      <c r="E536" s="40"/>
      <c r="F536" s="40"/>
      <c r="G536" s="40"/>
      <c r="H536" s="40"/>
      <c r="I536" s="40"/>
      <c r="J536" s="40"/>
      <c r="K536" s="41"/>
    </row>
    <row r="537" spans="2:11" x14ac:dyDescent="0.2">
      <c r="B537" s="38"/>
      <c r="C537" s="179" t="s">
        <v>319</v>
      </c>
      <c r="D537" s="40"/>
      <c r="E537" s="40"/>
      <c r="F537" s="40"/>
      <c r="G537" s="40"/>
      <c r="H537" s="40"/>
      <c r="I537" s="40"/>
      <c r="J537" s="245" t="str">
        <f>IF(OR(J526="Not Calculated",J533="Not Calculated")=TRUE,"Not Calculated",AVERAGE(J526,J533))</f>
        <v>Not Calculated</v>
      </c>
      <c r="K537" s="41"/>
    </row>
    <row r="538" spans="2:11" x14ac:dyDescent="0.2">
      <c r="B538" s="38"/>
      <c r="C538" s="40"/>
      <c r="D538" s="40"/>
      <c r="E538" s="40"/>
      <c r="F538" s="40"/>
      <c r="G538" s="40"/>
      <c r="H538" s="40"/>
      <c r="I538" s="40"/>
      <c r="J538" s="40"/>
      <c r="K538" s="41"/>
    </row>
    <row r="539" spans="2:11" ht="18" x14ac:dyDescent="0.2">
      <c r="B539" s="38"/>
      <c r="C539" s="180" t="s">
        <v>302</v>
      </c>
      <c r="D539" s="40"/>
      <c r="E539" s="40"/>
      <c r="F539" s="40"/>
      <c r="G539" s="40"/>
      <c r="H539" s="40"/>
      <c r="I539" s="40"/>
      <c r="J539" s="244" t="str">
        <f>IF(OR(J440="Not Calculated",J457="Not Calculated",J473="Not Calculated",J488="Not Calculated",J504="Not Calculated",J520="Not Calculated",J537="Not Calculated")=TRUE,"Not Calculated",AVERAGE(J440,J457,J473,J488,J504,J520,J537))</f>
        <v>Not Calculated</v>
      </c>
      <c r="K539" s="41"/>
    </row>
    <row r="540" spans="2:11" ht="16" thickBot="1" x14ac:dyDescent="0.25">
      <c r="B540" s="46"/>
      <c r="C540" s="47"/>
      <c r="D540" s="47"/>
      <c r="E540" s="47"/>
      <c r="F540" s="47"/>
      <c r="G540" s="47"/>
      <c r="H540" s="47"/>
      <c r="I540" s="47"/>
      <c r="J540" s="47"/>
      <c r="K540" s="49"/>
    </row>
    <row r="541" spans="2:11" ht="16" thickBot="1" x14ac:dyDescent="0.25"/>
    <row r="542" spans="2:11" x14ac:dyDescent="0.2">
      <c r="B542" s="33"/>
      <c r="C542" s="34"/>
      <c r="D542" s="34"/>
      <c r="E542" s="34"/>
      <c r="F542" s="34"/>
      <c r="G542" s="34"/>
      <c r="H542" s="34"/>
      <c r="I542" s="34"/>
      <c r="J542" s="34"/>
      <c r="K542" s="37"/>
    </row>
    <row r="543" spans="2:11" ht="21" x14ac:dyDescent="0.25">
      <c r="B543" s="38"/>
      <c r="C543" s="40"/>
      <c r="D543" s="40"/>
      <c r="E543" s="40"/>
      <c r="F543" s="40"/>
      <c r="G543" s="172" t="s">
        <v>29</v>
      </c>
      <c r="H543" s="40"/>
      <c r="I543" s="40"/>
      <c r="J543" s="40"/>
      <c r="K543" s="41"/>
    </row>
    <row r="544" spans="2:11" ht="15" customHeight="1" x14ac:dyDescent="0.2">
      <c r="B544" s="38"/>
      <c r="C544" s="40"/>
      <c r="D544" s="40"/>
      <c r="E544" s="40"/>
      <c r="F544" s="40"/>
      <c r="G544" s="40"/>
      <c r="H544" s="40"/>
      <c r="I544" s="40"/>
      <c r="J544" s="40"/>
      <c r="K544" s="41"/>
    </row>
    <row r="545" spans="2:14" ht="16" x14ac:dyDescent="0.2">
      <c r="B545" s="38"/>
      <c r="C545" s="45" t="s">
        <v>88</v>
      </c>
      <c r="D545" s="40"/>
      <c r="E545" s="40"/>
      <c r="F545" s="40"/>
      <c r="G545" s="40"/>
      <c r="H545" s="40"/>
      <c r="I545" s="40"/>
      <c r="J545" s="40"/>
      <c r="K545" s="41"/>
    </row>
    <row r="546" spans="2:14" x14ac:dyDescent="0.2">
      <c r="B546" s="38"/>
      <c r="C546" s="40" t="s">
        <v>448</v>
      </c>
      <c r="D546" s="40"/>
      <c r="E546" s="40"/>
      <c r="F546" s="40"/>
      <c r="G546" s="40"/>
      <c r="H546" s="40"/>
      <c r="I546" s="40"/>
      <c r="J546" s="251">
        <f>'Baseline Health'!G123</f>
        <v>0</v>
      </c>
      <c r="K546" s="41"/>
    </row>
    <row r="547" spans="2:14" x14ac:dyDescent="0.2">
      <c r="B547" s="38"/>
      <c r="C547" s="40" t="s">
        <v>322</v>
      </c>
      <c r="D547" s="40"/>
      <c r="E547" s="40"/>
      <c r="F547" s="40"/>
      <c r="G547" s="40"/>
      <c r="H547" s="40"/>
      <c r="I547" s="40"/>
      <c r="J547" s="264"/>
      <c r="K547" s="41"/>
    </row>
    <row r="548" spans="2:14" x14ac:dyDescent="0.2">
      <c r="B548" s="38"/>
      <c r="C548" s="40" t="s">
        <v>428</v>
      </c>
      <c r="D548" s="40"/>
      <c r="E548" s="40"/>
      <c r="F548" s="40"/>
      <c r="G548" s="40"/>
      <c r="H548" s="40"/>
      <c r="I548" s="40"/>
      <c r="J548" s="264"/>
      <c r="K548" s="41"/>
    </row>
    <row r="549" spans="2:14" x14ac:dyDescent="0.2">
      <c r="B549" s="38"/>
      <c r="C549" s="40" t="s">
        <v>260</v>
      </c>
      <c r="D549" s="40"/>
      <c r="E549" s="40"/>
      <c r="F549" s="40"/>
      <c r="G549" s="40"/>
      <c r="H549" s="40"/>
      <c r="I549" s="40"/>
      <c r="J549" s="245" t="str">
        <f>IF(OR(J546=0,J546="Not Calculated")=TRUE,"Not Calculated",IF(J546-J547=0,4,(IF(((J546+J548)/(J546-J547))&lt;=1,0,IF(((J546+J548)/(J546-J547))&lt;=1.05,1,IF(((J546+J548)/(J546-J547))&lt;=1.5, 2,IF(((J546+J548)/(J546-J547))&lt;=2,3,4)))))))</f>
        <v>Not Calculated</v>
      </c>
      <c r="K549" s="41"/>
    </row>
    <row r="550" spans="2:14" ht="9.75" customHeight="1" x14ac:dyDescent="0.2">
      <c r="B550" s="38"/>
      <c r="C550" s="279" t="str">
        <f>"0:"</f>
        <v>0:</v>
      </c>
      <c r="D550" s="278" t="s">
        <v>918</v>
      </c>
      <c r="E550" s="40"/>
      <c r="F550" s="40"/>
      <c r="G550" s="40"/>
      <c r="H550" s="40"/>
      <c r="I550" s="40"/>
      <c r="J550" s="251"/>
      <c r="K550" s="41"/>
    </row>
    <row r="551" spans="2:14" ht="9.75" customHeight="1" x14ac:dyDescent="0.2">
      <c r="B551" s="38"/>
      <c r="C551" s="280" t="str">
        <f>"1:"</f>
        <v>1:</v>
      </c>
      <c r="D551" s="278" t="s">
        <v>923</v>
      </c>
      <c r="E551" s="40"/>
      <c r="F551" s="40"/>
      <c r="G551" s="40"/>
      <c r="H551" s="40"/>
      <c r="I551" s="40"/>
      <c r="J551" s="251"/>
      <c r="K551" s="41"/>
    </row>
    <row r="552" spans="2:14" ht="9.75" customHeight="1" x14ac:dyDescent="0.2">
      <c r="B552" s="38"/>
      <c r="C552" s="280" t="str">
        <f>"2:"</f>
        <v>2:</v>
      </c>
      <c r="D552" s="278" t="s">
        <v>924</v>
      </c>
      <c r="E552" s="40"/>
      <c r="F552" s="40"/>
      <c r="G552" s="40"/>
      <c r="H552" s="40"/>
      <c r="I552" s="40"/>
      <c r="J552" s="251"/>
      <c r="K552" s="41"/>
    </row>
    <row r="553" spans="2:14" ht="9.75" customHeight="1" x14ac:dyDescent="0.2">
      <c r="B553" s="38"/>
      <c r="C553" s="280" t="str">
        <f>"3:"</f>
        <v>3:</v>
      </c>
      <c r="D553" s="278" t="s">
        <v>925</v>
      </c>
      <c r="E553" s="40"/>
      <c r="F553" s="40"/>
      <c r="G553" s="40"/>
      <c r="H553" s="40"/>
      <c r="I553" s="40"/>
      <c r="J553" s="251"/>
      <c r="K553" s="41"/>
    </row>
    <row r="554" spans="2:14" ht="9.75" customHeight="1" x14ac:dyDescent="0.2">
      <c r="B554" s="38"/>
      <c r="C554" s="280" t="str">
        <f>"4:"</f>
        <v>4:</v>
      </c>
      <c r="D554" s="278" t="s">
        <v>926</v>
      </c>
      <c r="E554" s="40"/>
      <c r="F554" s="40"/>
      <c r="G554" s="40"/>
      <c r="H554" s="40"/>
      <c r="I554" s="40"/>
      <c r="J554" s="40"/>
      <c r="K554" s="41"/>
      <c r="N554" s="12" t="s">
        <v>661</v>
      </c>
    </row>
    <row r="555" spans="2:14" x14ac:dyDescent="0.2">
      <c r="B555" s="38"/>
      <c r="C555" s="174" t="s">
        <v>662</v>
      </c>
      <c r="D555" s="40"/>
      <c r="E555" s="40"/>
      <c r="F555" s="40"/>
      <c r="G555" s="40"/>
      <c r="H555" s="40"/>
      <c r="I555" s="40"/>
      <c r="J555" s="265" t="s">
        <v>661</v>
      </c>
      <c r="K555" s="41"/>
      <c r="N555" s="12" t="s">
        <v>894</v>
      </c>
    </row>
    <row r="556" spans="2:14" x14ac:dyDescent="0.2">
      <c r="B556" s="38"/>
      <c r="C556" s="174" t="s">
        <v>660</v>
      </c>
      <c r="D556" s="40"/>
      <c r="E556" s="40"/>
      <c r="F556" s="40"/>
      <c r="G556" s="40"/>
      <c r="H556" s="40"/>
      <c r="I556" s="40"/>
      <c r="J556" s="247" t="str">
        <f>IF(J555=N554,"N/A",IF(J555=N555,0,IF(J555=N556,1,IF(J555=N557,2,IF(J555=N558,3,IF(J555=N559,4,"N/A"))))))</f>
        <v>N/A</v>
      </c>
      <c r="K556" s="41"/>
      <c r="N556" s="12" t="s">
        <v>899</v>
      </c>
    </row>
    <row r="557" spans="2:14" x14ac:dyDescent="0.2">
      <c r="B557" s="38"/>
      <c r="C557" s="40" t="s">
        <v>257</v>
      </c>
      <c r="D557" s="40"/>
      <c r="E557" s="40"/>
      <c r="F557" s="40"/>
      <c r="G557" s="40"/>
      <c r="H557" s="40"/>
      <c r="I557" s="40"/>
      <c r="J557" s="266"/>
      <c r="K557" s="41"/>
      <c r="N557" s="12" t="s">
        <v>900</v>
      </c>
    </row>
    <row r="558" spans="2:14" x14ac:dyDescent="0.2">
      <c r="B558" s="38"/>
      <c r="C558" s="40" t="s">
        <v>261</v>
      </c>
      <c r="D558" s="40"/>
      <c r="E558" s="40"/>
      <c r="F558" s="40"/>
      <c r="G558" s="40"/>
      <c r="H558" s="40"/>
      <c r="I558" s="40"/>
      <c r="J558" s="245" t="str">
        <f>IF(J557=$B$973,$A$973,IF(J557=$B$974,$A$974,IF(J557=$B$975,$A$975,IF(J557=$B$976,$A$976,IF(J557=$B$977,$A$977,"Not Calculated")))))</f>
        <v>Not Calculated</v>
      </c>
      <c r="K558" s="41"/>
      <c r="N558" s="12" t="s">
        <v>901</v>
      </c>
    </row>
    <row r="559" spans="2:14" x14ac:dyDescent="0.2">
      <c r="B559" s="38"/>
      <c r="C559" s="40" t="s">
        <v>893</v>
      </c>
      <c r="D559" s="40"/>
      <c r="E559" s="40"/>
      <c r="F559" s="40"/>
      <c r="G559" s="40"/>
      <c r="H559" s="40"/>
      <c r="I559" s="40"/>
      <c r="J559" s="40"/>
      <c r="K559" s="41"/>
      <c r="N559" s="12" t="s">
        <v>902</v>
      </c>
    </row>
    <row r="560" spans="2:14" ht="15" customHeight="1" x14ac:dyDescent="0.2">
      <c r="B560" s="38"/>
      <c r="C560" s="399"/>
      <c r="D560" s="400"/>
      <c r="E560" s="400"/>
      <c r="F560" s="400"/>
      <c r="G560" s="400"/>
      <c r="H560" s="400"/>
      <c r="I560" s="400"/>
      <c r="J560" s="401"/>
      <c r="K560" s="41"/>
    </row>
    <row r="561" spans="2:11" x14ac:dyDescent="0.2">
      <c r="B561" s="38"/>
      <c r="C561" s="40"/>
      <c r="D561" s="40"/>
      <c r="E561" s="40"/>
      <c r="F561" s="40"/>
      <c r="G561" s="40"/>
      <c r="H561" s="40"/>
      <c r="I561" s="40"/>
      <c r="J561" s="40"/>
      <c r="K561" s="41"/>
    </row>
    <row r="562" spans="2:11" x14ac:dyDescent="0.2">
      <c r="B562" s="38"/>
      <c r="C562" s="179" t="s">
        <v>323</v>
      </c>
      <c r="D562" s="40"/>
      <c r="E562" s="40"/>
      <c r="F562" s="40"/>
      <c r="G562" s="40"/>
      <c r="H562" s="40"/>
      <c r="I562" s="40"/>
      <c r="J562" s="245" t="str">
        <f>IF(J556="N/A",IF(OR(J549="Not Calculated",J558="Not Calculated")=TRUE,"Not Calculated",AVERAGE(J549,J558)),AVERAGE(J556,J558))</f>
        <v>Not Calculated</v>
      </c>
      <c r="K562" s="41"/>
    </row>
    <row r="563" spans="2:11" x14ac:dyDescent="0.2">
      <c r="B563" s="38"/>
      <c r="C563" s="40"/>
      <c r="D563" s="40"/>
      <c r="E563" s="40"/>
      <c r="F563" s="40"/>
      <c r="G563" s="40"/>
      <c r="H563" s="40"/>
      <c r="I563" s="40"/>
      <c r="J563" s="40"/>
      <c r="K563" s="41"/>
    </row>
    <row r="564" spans="2:11" x14ac:dyDescent="0.2">
      <c r="B564" s="38"/>
      <c r="C564" s="40"/>
      <c r="D564" s="40"/>
      <c r="E564" s="40"/>
      <c r="F564" s="40"/>
      <c r="G564" s="40"/>
      <c r="H564" s="40"/>
      <c r="I564" s="40"/>
      <c r="J564" s="40"/>
      <c r="K564" s="41"/>
    </row>
    <row r="565" spans="2:11" ht="16" x14ac:dyDescent="0.2">
      <c r="B565" s="38"/>
      <c r="C565" s="45" t="s">
        <v>89</v>
      </c>
      <c r="D565" s="40"/>
      <c r="E565" s="40"/>
      <c r="F565" s="40"/>
      <c r="G565" s="40"/>
      <c r="H565" s="40"/>
      <c r="I565" s="40"/>
      <c r="J565" s="40"/>
      <c r="K565" s="41"/>
    </row>
    <row r="566" spans="2:11" ht="15" customHeight="1" x14ac:dyDescent="0.2">
      <c r="B566" s="38"/>
      <c r="C566" s="380" t="s">
        <v>333</v>
      </c>
      <c r="D566" s="380"/>
      <c r="E566" s="380"/>
      <c r="F566" s="380"/>
      <c r="G566" s="380"/>
      <c r="H566" s="380"/>
      <c r="I566" s="380"/>
      <c r="J566" s="40"/>
      <c r="K566" s="41"/>
    </row>
    <row r="567" spans="2:11" x14ac:dyDescent="0.2">
      <c r="B567" s="38"/>
      <c r="C567" s="380"/>
      <c r="D567" s="380"/>
      <c r="E567" s="380"/>
      <c r="F567" s="380"/>
      <c r="G567" s="380"/>
      <c r="H567" s="380"/>
      <c r="I567" s="380"/>
      <c r="J567" s="40"/>
      <c r="K567" s="41"/>
    </row>
    <row r="568" spans="2:11" x14ac:dyDescent="0.2">
      <c r="B568" s="38"/>
      <c r="C568" s="380"/>
      <c r="D568" s="380"/>
      <c r="E568" s="380"/>
      <c r="F568" s="380"/>
      <c r="G568" s="380"/>
      <c r="H568" s="380"/>
      <c r="I568" s="380"/>
      <c r="J568" s="251">
        <f>'Baseline Health'!G132</f>
        <v>0</v>
      </c>
      <c r="K568" s="41"/>
    </row>
    <row r="569" spans="2:11" ht="15" customHeight="1" x14ac:dyDescent="0.2">
      <c r="B569" s="38"/>
      <c r="C569" s="380" t="s">
        <v>334</v>
      </c>
      <c r="D569" s="380"/>
      <c r="E569" s="380"/>
      <c r="F569" s="380"/>
      <c r="G569" s="380"/>
      <c r="H569" s="380"/>
      <c r="I569" s="380"/>
      <c r="J569" s="245"/>
      <c r="K569" s="41"/>
    </row>
    <row r="570" spans="2:11" x14ac:dyDescent="0.2">
      <c r="B570" s="38"/>
      <c r="C570" s="380"/>
      <c r="D570" s="380"/>
      <c r="E570" s="380"/>
      <c r="F570" s="380"/>
      <c r="G570" s="380"/>
      <c r="H570" s="380"/>
      <c r="I570" s="380"/>
      <c r="J570" s="245"/>
      <c r="K570" s="41"/>
    </row>
    <row r="571" spans="2:11" x14ac:dyDescent="0.2">
      <c r="B571" s="38"/>
      <c r="C571" s="380"/>
      <c r="D571" s="380"/>
      <c r="E571" s="380"/>
      <c r="F571" s="380"/>
      <c r="G571" s="380"/>
      <c r="H571" s="380"/>
      <c r="I571" s="380"/>
      <c r="J571" s="264"/>
      <c r="K571" s="41"/>
    </row>
    <row r="572" spans="2:11" x14ac:dyDescent="0.2">
      <c r="B572" s="38"/>
      <c r="C572" s="40" t="s">
        <v>260</v>
      </c>
      <c r="D572" s="40"/>
      <c r="E572" s="40"/>
      <c r="F572" s="40"/>
      <c r="G572" s="40"/>
      <c r="H572" s="40"/>
      <c r="I572" s="40"/>
      <c r="J572" s="245" t="str">
        <f>IF(OR(J568=0,J568="Not Calculated")=TRUE,"Not Calculated",IF(((J568+J571)/J568)&lt;=1,0,IF(((J568+J571)/J568)&lt;=1.05,1,IF(((J568+J571)/J568)&lt;=1.5, 2,IF(((J568+J571)/J568)&lt;=2,3,4)))))</f>
        <v>Not Calculated</v>
      </c>
      <c r="K572" s="41"/>
    </row>
    <row r="573" spans="2:11" ht="9.75" customHeight="1" x14ac:dyDescent="0.2">
      <c r="B573" s="38"/>
      <c r="C573" s="279" t="str">
        <f>"0:"</f>
        <v>0:</v>
      </c>
      <c r="D573" s="281" t="s">
        <v>918</v>
      </c>
      <c r="E573" s="291"/>
      <c r="F573" s="291"/>
      <c r="G573" s="291"/>
      <c r="H573" s="291"/>
      <c r="I573" s="291"/>
      <c r="J573" s="251"/>
      <c r="K573" s="41"/>
    </row>
    <row r="574" spans="2:11" ht="9.75" customHeight="1" x14ac:dyDescent="0.2">
      <c r="B574" s="38"/>
      <c r="C574" s="280" t="str">
        <f>"1:"</f>
        <v>1:</v>
      </c>
      <c r="D574" s="281" t="s">
        <v>919</v>
      </c>
      <c r="E574" s="291"/>
      <c r="F574" s="291"/>
      <c r="G574" s="291"/>
      <c r="H574" s="291"/>
      <c r="I574" s="291"/>
      <c r="J574" s="251"/>
      <c r="K574" s="41"/>
    </row>
    <row r="575" spans="2:11" ht="9.75" customHeight="1" x14ac:dyDescent="0.2">
      <c r="B575" s="38"/>
      <c r="C575" s="280" t="str">
        <f>"2:"</f>
        <v>2:</v>
      </c>
      <c r="D575" s="281" t="s">
        <v>920</v>
      </c>
      <c r="E575" s="291"/>
      <c r="F575" s="291"/>
      <c r="G575" s="291"/>
      <c r="H575" s="291"/>
      <c r="I575" s="291"/>
      <c r="J575" s="251"/>
      <c r="K575" s="41"/>
    </row>
    <row r="576" spans="2:11" ht="9.75" customHeight="1" x14ac:dyDescent="0.2">
      <c r="B576" s="38"/>
      <c r="C576" s="280" t="str">
        <f>"3:"</f>
        <v>3:</v>
      </c>
      <c r="D576" s="281" t="s">
        <v>921</v>
      </c>
      <c r="E576" s="291"/>
      <c r="F576" s="291"/>
      <c r="G576" s="291"/>
      <c r="H576" s="291"/>
      <c r="I576" s="291"/>
      <c r="J576" s="251"/>
      <c r="K576" s="41"/>
    </row>
    <row r="577" spans="2:14" ht="9.75" customHeight="1" x14ac:dyDescent="0.2">
      <c r="B577" s="38"/>
      <c r="C577" s="280" t="str">
        <f>"4:"</f>
        <v>4:</v>
      </c>
      <c r="D577" s="281" t="s">
        <v>922</v>
      </c>
      <c r="E577" s="40"/>
      <c r="F577" s="40"/>
      <c r="G577" s="40"/>
      <c r="H577" s="40"/>
      <c r="I577" s="40"/>
      <c r="J577" s="40"/>
      <c r="K577" s="41"/>
      <c r="N577" s="12" t="s">
        <v>661</v>
      </c>
    </row>
    <row r="578" spans="2:14" ht="15" customHeight="1" x14ac:dyDescent="0.2">
      <c r="B578" s="38"/>
      <c r="C578" s="174" t="s">
        <v>662</v>
      </c>
      <c r="D578" s="40"/>
      <c r="E578" s="40"/>
      <c r="F578" s="40"/>
      <c r="G578" s="40"/>
      <c r="H578" s="40"/>
      <c r="I578" s="40"/>
      <c r="J578" s="265" t="s">
        <v>661</v>
      </c>
      <c r="K578" s="41"/>
      <c r="N578" s="12" t="s">
        <v>894</v>
      </c>
    </row>
    <row r="579" spans="2:14" ht="15" customHeight="1" x14ac:dyDescent="0.2">
      <c r="B579" s="38"/>
      <c r="C579" s="174" t="s">
        <v>660</v>
      </c>
      <c r="D579" s="40"/>
      <c r="E579" s="40"/>
      <c r="F579" s="40"/>
      <c r="G579" s="40"/>
      <c r="H579" s="40"/>
      <c r="I579" s="40"/>
      <c r="J579" s="247" t="str">
        <f>IF(J578=N577,"N/A",IF(J578=N578,0,IF(J578=N579,1,IF(J578=N580,2,IF(J578=N581,3,IF(J578=N582,4,"N/A"))))))</f>
        <v>N/A</v>
      </c>
      <c r="K579" s="41"/>
      <c r="N579" s="12" t="s">
        <v>895</v>
      </c>
    </row>
    <row r="580" spans="2:14" x14ac:dyDescent="0.2">
      <c r="B580" s="38"/>
      <c r="C580" s="40" t="s">
        <v>257</v>
      </c>
      <c r="D580" s="40"/>
      <c r="E580" s="40"/>
      <c r="F580" s="40"/>
      <c r="G580" s="40"/>
      <c r="H580" s="40"/>
      <c r="I580" s="40"/>
      <c r="J580" s="266"/>
      <c r="K580" s="41"/>
      <c r="N580" s="12" t="s">
        <v>896</v>
      </c>
    </row>
    <row r="581" spans="2:14" x14ac:dyDescent="0.2">
      <c r="B581" s="38"/>
      <c r="C581" s="40" t="s">
        <v>261</v>
      </c>
      <c r="D581" s="40"/>
      <c r="E581" s="40"/>
      <c r="F581" s="40"/>
      <c r="G581" s="40"/>
      <c r="H581" s="40"/>
      <c r="I581" s="40"/>
      <c r="J581" s="245" t="str">
        <f>IF(J580=$B$973,$A$973,IF(J580=$B$974,$A$974,IF(J580=$B$975,$A$975,IF(J580=$B$976,$A$976,IF(J580=$B$977,$A$977,"Not Calculated")))))</f>
        <v>Not Calculated</v>
      </c>
      <c r="K581" s="41"/>
      <c r="N581" s="12" t="s">
        <v>897</v>
      </c>
    </row>
    <row r="582" spans="2:14" x14ac:dyDescent="0.2">
      <c r="B582" s="38"/>
      <c r="C582" s="40" t="s">
        <v>893</v>
      </c>
      <c r="D582" s="40"/>
      <c r="E582" s="40"/>
      <c r="F582" s="40"/>
      <c r="G582" s="40"/>
      <c r="H582" s="40"/>
      <c r="I582" s="40"/>
      <c r="J582" s="40"/>
      <c r="K582" s="41"/>
      <c r="N582" s="12" t="s">
        <v>898</v>
      </c>
    </row>
    <row r="583" spans="2:14" ht="15" customHeight="1" x14ac:dyDescent="0.2">
      <c r="B583" s="38"/>
      <c r="C583" s="399"/>
      <c r="D583" s="400"/>
      <c r="E583" s="400"/>
      <c r="F583" s="400"/>
      <c r="G583" s="400"/>
      <c r="H583" s="400"/>
      <c r="I583" s="400"/>
      <c r="J583" s="401"/>
      <c r="K583" s="41"/>
    </row>
    <row r="584" spans="2:14" x14ac:dyDescent="0.2">
      <c r="B584" s="38"/>
      <c r="C584" s="40"/>
      <c r="D584" s="40"/>
      <c r="E584" s="40"/>
      <c r="F584" s="40"/>
      <c r="G584" s="40"/>
      <c r="H584" s="40"/>
      <c r="I584" s="40"/>
      <c r="J584" s="40"/>
      <c r="K584" s="41"/>
    </row>
    <row r="585" spans="2:14" x14ac:dyDescent="0.2">
      <c r="B585" s="38"/>
      <c r="C585" s="179" t="s">
        <v>324</v>
      </c>
      <c r="D585" s="40"/>
      <c r="E585" s="40"/>
      <c r="F585" s="40"/>
      <c r="G585" s="40"/>
      <c r="H585" s="40"/>
      <c r="I585" s="40"/>
      <c r="J585" s="245" t="str">
        <f>IF(J579="N/A",IF(OR(J572="Not Calculated",J581="Not Calculated")=TRUE,"Not Calculated",AVERAGE(J572,J581)),AVERAGE(J579,J581))</f>
        <v>Not Calculated</v>
      </c>
      <c r="K585" s="41"/>
    </row>
    <row r="586" spans="2:14" x14ac:dyDescent="0.2">
      <c r="B586" s="38"/>
      <c r="C586" s="40"/>
      <c r="D586" s="40"/>
      <c r="E586" s="40"/>
      <c r="F586" s="40"/>
      <c r="G586" s="40"/>
      <c r="H586" s="40"/>
      <c r="I586" s="40"/>
      <c r="J586" s="40"/>
      <c r="K586" s="41"/>
    </row>
    <row r="587" spans="2:14" x14ac:dyDescent="0.2">
      <c r="B587" s="38"/>
      <c r="C587" s="40"/>
      <c r="D587" s="40"/>
      <c r="E587" s="40"/>
      <c r="F587" s="40"/>
      <c r="G587" s="40"/>
      <c r="H587" s="40"/>
      <c r="I587" s="40"/>
      <c r="J587" s="40"/>
      <c r="K587" s="41"/>
    </row>
    <row r="588" spans="2:14" ht="16" x14ac:dyDescent="0.2">
      <c r="B588" s="38"/>
      <c r="C588" s="45" t="s">
        <v>115</v>
      </c>
      <c r="D588" s="40"/>
      <c r="E588" s="40"/>
      <c r="F588" s="40"/>
      <c r="G588" s="40"/>
      <c r="H588" s="40"/>
      <c r="I588" s="40"/>
      <c r="J588" s="40"/>
      <c r="K588" s="41"/>
    </row>
    <row r="589" spans="2:14" x14ac:dyDescent="0.2">
      <c r="B589" s="38"/>
      <c r="C589" s="40" t="s">
        <v>335</v>
      </c>
      <c r="D589" s="40"/>
      <c r="E589" s="40"/>
      <c r="F589" s="40"/>
      <c r="G589" s="40"/>
      <c r="H589" s="40"/>
      <c r="I589" s="40"/>
      <c r="J589" s="264"/>
      <c r="K589" s="41"/>
    </row>
    <row r="590" spans="2:14" x14ac:dyDescent="0.2">
      <c r="B590" s="38"/>
      <c r="C590" s="40" t="s">
        <v>260</v>
      </c>
      <c r="D590" s="40"/>
      <c r="E590" s="40"/>
      <c r="F590" s="40"/>
      <c r="G590" s="40"/>
      <c r="H590" s="40"/>
      <c r="I590" s="40"/>
      <c r="J590" s="255">
        <f>IF(J589&lt;=0,0,IF(J589&lt;=1000,1,IF(J589&lt;=5000,2,IF(J589&lt;=25000,3,4))))</f>
        <v>0</v>
      </c>
      <c r="K590" s="41"/>
    </row>
    <row r="591" spans="2:14" ht="9.75" customHeight="1" x14ac:dyDescent="0.2">
      <c r="B591" s="38"/>
      <c r="C591" s="279" t="str">
        <f>"0:"</f>
        <v>0:</v>
      </c>
      <c r="D591" s="284" t="s">
        <v>970</v>
      </c>
      <c r="E591" s="40"/>
      <c r="F591" s="40"/>
      <c r="G591" s="40"/>
      <c r="H591" s="40"/>
      <c r="I591" s="40"/>
      <c r="J591" s="251"/>
      <c r="K591" s="41"/>
    </row>
    <row r="592" spans="2:14" ht="9.75" customHeight="1" x14ac:dyDescent="0.2">
      <c r="B592" s="38"/>
      <c r="C592" s="280" t="str">
        <f>"1:"</f>
        <v>1:</v>
      </c>
      <c r="D592" s="284" t="s">
        <v>961</v>
      </c>
      <c r="E592" s="40"/>
      <c r="F592" s="40"/>
      <c r="G592" s="40"/>
      <c r="H592" s="40"/>
      <c r="I592" s="40"/>
      <c r="J592" s="251"/>
      <c r="K592" s="41"/>
    </row>
    <row r="593" spans="2:11" ht="9.75" customHeight="1" x14ac:dyDescent="0.2">
      <c r="B593" s="38"/>
      <c r="C593" s="280" t="str">
        <f>"2:"</f>
        <v>2:</v>
      </c>
      <c r="D593" s="284" t="s">
        <v>971</v>
      </c>
      <c r="E593" s="40"/>
      <c r="F593" s="40"/>
      <c r="G593" s="40"/>
      <c r="H593" s="40"/>
      <c r="I593" s="40"/>
      <c r="J593" s="251"/>
      <c r="K593" s="41"/>
    </row>
    <row r="594" spans="2:11" ht="9.75" customHeight="1" x14ac:dyDescent="0.2">
      <c r="B594" s="38"/>
      <c r="C594" s="280" t="str">
        <f>"3:"</f>
        <v>3:</v>
      </c>
      <c r="D594" s="284" t="s">
        <v>963</v>
      </c>
      <c r="E594" s="40"/>
      <c r="F594" s="40"/>
      <c r="G594" s="40"/>
      <c r="H594" s="40"/>
      <c r="I594" s="40"/>
      <c r="J594" s="251"/>
      <c r="K594" s="41"/>
    </row>
    <row r="595" spans="2:11" ht="9.75" customHeight="1" x14ac:dyDescent="0.2">
      <c r="B595" s="38"/>
      <c r="C595" s="280" t="str">
        <f>"4:"</f>
        <v>4:</v>
      </c>
      <c r="D595" s="284" t="s">
        <v>964</v>
      </c>
      <c r="E595" s="40"/>
      <c r="F595" s="40"/>
      <c r="G595" s="40"/>
      <c r="H595" s="40"/>
      <c r="I595" s="40"/>
      <c r="J595" s="40"/>
      <c r="K595" s="41"/>
    </row>
    <row r="596" spans="2:11" ht="15" customHeight="1" x14ac:dyDescent="0.2">
      <c r="B596" s="38"/>
      <c r="C596" s="40" t="s">
        <v>257</v>
      </c>
      <c r="D596" s="40"/>
      <c r="E596" s="40"/>
      <c r="F596" s="40"/>
      <c r="G596" s="40"/>
      <c r="H596" s="40"/>
      <c r="I596" s="40"/>
      <c r="J596" s="266"/>
      <c r="K596" s="41"/>
    </row>
    <row r="597" spans="2:11" ht="15" customHeight="1" x14ac:dyDescent="0.2">
      <c r="B597" s="38"/>
      <c r="C597" s="40" t="s">
        <v>261</v>
      </c>
      <c r="D597" s="40"/>
      <c r="E597" s="40"/>
      <c r="F597" s="40"/>
      <c r="G597" s="40"/>
      <c r="H597" s="40"/>
      <c r="I597" s="40"/>
      <c r="J597" s="245" t="str">
        <f>IF(J596=$B$973,$A$973,IF(J596=$B$974,$A$974,IF(J596=$B$975,$A$975,IF(J596=$B$976,$A$976,IF(J596=$B$977,$A$977,"Not Calculated")))))</f>
        <v>Not Calculated</v>
      </c>
      <c r="K597" s="41"/>
    </row>
    <row r="598" spans="2:11" x14ac:dyDescent="0.2">
      <c r="B598" s="38"/>
      <c r="C598" s="40" t="s">
        <v>893</v>
      </c>
      <c r="D598" s="40"/>
      <c r="E598" s="40"/>
      <c r="F598" s="40"/>
      <c r="G598" s="40"/>
      <c r="H598" s="40"/>
      <c r="I598" s="40"/>
      <c r="J598" s="40"/>
      <c r="K598" s="41"/>
    </row>
    <row r="599" spans="2:11" ht="15" customHeight="1" x14ac:dyDescent="0.2">
      <c r="B599" s="38"/>
      <c r="C599" s="399"/>
      <c r="D599" s="400"/>
      <c r="E599" s="400"/>
      <c r="F599" s="400"/>
      <c r="G599" s="400"/>
      <c r="H599" s="400"/>
      <c r="I599" s="400"/>
      <c r="J599" s="401"/>
      <c r="K599" s="41"/>
    </row>
    <row r="600" spans="2:11" x14ac:dyDescent="0.2">
      <c r="B600" s="38"/>
      <c r="C600" s="40"/>
      <c r="D600" s="40"/>
      <c r="E600" s="40"/>
      <c r="F600" s="40"/>
      <c r="G600" s="40"/>
      <c r="H600" s="40"/>
      <c r="I600" s="40"/>
      <c r="J600" s="40"/>
      <c r="K600" s="41"/>
    </row>
    <row r="601" spans="2:11" x14ac:dyDescent="0.2">
      <c r="B601" s="38"/>
      <c r="C601" s="179" t="s">
        <v>325</v>
      </c>
      <c r="D601" s="40"/>
      <c r="E601" s="40"/>
      <c r="F601" s="40"/>
      <c r="G601" s="40"/>
      <c r="H601" s="40"/>
      <c r="I601" s="40"/>
      <c r="J601" s="245">
        <f>IF(J590="Not Calculated","Not Calculated",AVERAGE(J590,J597))</f>
        <v>0</v>
      </c>
      <c r="K601" s="41"/>
    </row>
    <row r="602" spans="2:11" x14ac:dyDescent="0.2">
      <c r="B602" s="38"/>
      <c r="C602" s="40"/>
      <c r="D602" s="40"/>
      <c r="E602" s="40"/>
      <c r="F602" s="40"/>
      <c r="G602" s="40"/>
      <c r="H602" s="40"/>
      <c r="I602" s="40"/>
      <c r="J602" s="40"/>
      <c r="K602" s="41"/>
    </row>
    <row r="603" spans="2:11" x14ac:dyDescent="0.2">
      <c r="B603" s="38"/>
      <c r="C603" s="40"/>
      <c r="D603" s="40"/>
      <c r="E603" s="40"/>
      <c r="F603" s="40"/>
      <c r="G603" s="40"/>
      <c r="H603" s="40"/>
      <c r="I603" s="40"/>
      <c r="J603" s="40"/>
      <c r="K603" s="41"/>
    </row>
    <row r="604" spans="2:11" ht="16" x14ac:dyDescent="0.2">
      <c r="B604" s="38"/>
      <c r="C604" s="45" t="s">
        <v>326</v>
      </c>
      <c r="D604" s="40"/>
      <c r="E604" s="40"/>
      <c r="F604" s="40"/>
      <c r="G604" s="40"/>
      <c r="H604" s="40"/>
      <c r="I604" s="40"/>
      <c r="J604" s="40"/>
      <c r="K604" s="41"/>
    </row>
    <row r="605" spans="2:11" x14ac:dyDescent="0.2">
      <c r="B605" s="38"/>
      <c r="C605" s="40" t="s">
        <v>336</v>
      </c>
      <c r="D605" s="40"/>
      <c r="E605" s="40"/>
      <c r="F605" s="40"/>
      <c r="G605" s="40"/>
      <c r="H605" s="40"/>
      <c r="I605" s="40"/>
      <c r="J605" s="271"/>
      <c r="K605" s="41"/>
    </row>
    <row r="606" spans="2:11" x14ac:dyDescent="0.2">
      <c r="B606" s="38"/>
      <c r="C606" s="40" t="s">
        <v>260</v>
      </c>
      <c r="D606" s="40"/>
      <c r="E606" s="40"/>
      <c r="F606" s="40"/>
      <c r="G606" s="40"/>
      <c r="H606" s="40"/>
      <c r="I606" s="40"/>
      <c r="J606" s="248">
        <f>IF(J605&lt;=0,0,IF(J605&lt;=10,1,IF(J605&lt;=25,2,IF(J605&lt;=50,3,4))))</f>
        <v>0</v>
      </c>
      <c r="K606" s="41"/>
    </row>
    <row r="607" spans="2:11" ht="9.75" customHeight="1" x14ac:dyDescent="0.2">
      <c r="B607" s="38"/>
      <c r="C607" s="279" t="str">
        <f>"0:"</f>
        <v>0:</v>
      </c>
      <c r="D607" s="290" t="s">
        <v>944</v>
      </c>
      <c r="E607" s="40"/>
      <c r="F607" s="40"/>
      <c r="G607" s="40"/>
      <c r="H607" s="40"/>
      <c r="I607" s="40"/>
      <c r="J607" s="244"/>
      <c r="K607" s="41"/>
    </row>
    <row r="608" spans="2:11" ht="9.75" customHeight="1" x14ac:dyDescent="0.2">
      <c r="B608" s="38"/>
      <c r="C608" s="280" t="str">
        <f>"1:"</f>
        <v>1:</v>
      </c>
      <c r="D608" s="290" t="s">
        <v>947</v>
      </c>
      <c r="E608" s="40"/>
      <c r="F608" s="40"/>
      <c r="G608" s="40"/>
      <c r="H608" s="40"/>
      <c r="I608" s="40"/>
      <c r="J608" s="244"/>
      <c r="K608" s="41"/>
    </row>
    <row r="609" spans="2:11" ht="9.75" customHeight="1" x14ac:dyDescent="0.2">
      <c r="B609" s="38"/>
      <c r="C609" s="280" t="str">
        <f>"2:"</f>
        <v>2:</v>
      </c>
      <c r="D609" s="290" t="s">
        <v>972</v>
      </c>
      <c r="E609" s="40"/>
      <c r="F609" s="40"/>
      <c r="G609" s="40"/>
      <c r="H609" s="40"/>
      <c r="I609" s="40"/>
      <c r="J609" s="244"/>
      <c r="K609" s="41"/>
    </row>
    <row r="610" spans="2:11" ht="9.75" customHeight="1" x14ac:dyDescent="0.2">
      <c r="B610" s="38"/>
      <c r="C610" s="280" t="str">
        <f>"3:"</f>
        <v>3:</v>
      </c>
      <c r="D610" s="290" t="s">
        <v>973</v>
      </c>
      <c r="E610" s="40"/>
      <c r="F610" s="40"/>
      <c r="G610" s="40"/>
      <c r="H610" s="40"/>
      <c r="I610" s="40"/>
      <c r="J610" s="244"/>
      <c r="K610" s="41"/>
    </row>
    <row r="611" spans="2:11" ht="9.75" customHeight="1" x14ac:dyDescent="0.2">
      <c r="B611" s="38"/>
      <c r="C611" s="280" t="str">
        <f>"4:"</f>
        <v>4:</v>
      </c>
      <c r="D611" s="290" t="s">
        <v>974</v>
      </c>
      <c r="E611" s="40"/>
      <c r="F611" s="40"/>
      <c r="G611" s="40"/>
      <c r="H611" s="40"/>
      <c r="I611" s="40"/>
      <c r="J611" s="40"/>
      <c r="K611" s="41"/>
    </row>
    <row r="612" spans="2:11" x14ac:dyDescent="0.2">
      <c r="B612" s="38"/>
      <c r="C612" s="40" t="s">
        <v>893</v>
      </c>
      <c r="D612" s="40"/>
      <c r="E612" s="40"/>
      <c r="F612" s="40"/>
      <c r="G612" s="40"/>
      <c r="H612" s="40"/>
      <c r="I612" s="40"/>
      <c r="J612" s="40"/>
      <c r="K612" s="41"/>
    </row>
    <row r="613" spans="2:11" ht="15" customHeight="1" x14ac:dyDescent="0.2">
      <c r="B613" s="38"/>
      <c r="C613" s="399"/>
      <c r="D613" s="400"/>
      <c r="E613" s="400"/>
      <c r="F613" s="400"/>
      <c r="G613" s="400"/>
      <c r="H613" s="400"/>
      <c r="I613" s="400"/>
      <c r="J613" s="401"/>
      <c r="K613" s="41"/>
    </row>
    <row r="614" spans="2:11" x14ac:dyDescent="0.2">
      <c r="B614" s="38"/>
      <c r="C614" s="40"/>
      <c r="D614" s="40"/>
      <c r="E614" s="40"/>
      <c r="F614" s="40"/>
      <c r="G614" s="40"/>
      <c r="H614" s="40"/>
      <c r="I614" s="40"/>
      <c r="J614" s="40"/>
      <c r="K614" s="41"/>
    </row>
    <row r="615" spans="2:11" x14ac:dyDescent="0.2">
      <c r="B615" s="38"/>
      <c r="C615" s="179" t="s">
        <v>327</v>
      </c>
      <c r="D615" s="40"/>
      <c r="E615" s="40"/>
      <c r="F615" s="40"/>
      <c r="G615" s="40"/>
      <c r="H615" s="40"/>
      <c r="I615" s="40"/>
      <c r="J615" s="245">
        <f>J606</f>
        <v>0</v>
      </c>
      <c r="K615" s="41"/>
    </row>
    <row r="616" spans="2:11" x14ac:dyDescent="0.2">
      <c r="B616" s="38"/>
      <c r="C616" s="40"/>
      <c r="D616" s="40"/>
      <c r="E616" s="40"/>
      <c r="F616" s="40"/>
      <c r="G616" s="40"/>
      <c r="H616" s="40"/>
      <c r="I616" s="40"/>
      <c r="J616" s="40"/>
      <c r="K616" s="41"/>
    </row>
    <row r="617" spans="2:11" x14ac:dyDescent="0.2">
      <c r="B617" s="38"/>
      <c r="C617" s="40"/>
      <c r="D617" s="40"/>
      <c r="E617" s="40"/>
      <c r="F617" s="40"/>
      <c r="G617" s="40"/>
      <c r="H617" s="40"/>
      <c r="I617" s="40"/>
      <c r="J617" s="40"/>
      <c r="K617" s="41"/>
    </row>
    <row r="618" spans="2:11" ht="16" x14ac:dyDescent="0.2">
      <c r="B618" s="38"/>
      <c r="C618" s="45" t="s">
        <v>92</v>
      </c>
      <c r="D618" s="40"/>
      <c r="E618" s="40"/>
      <c r="F618" s="40"/>
      <c r="G618" s="40"/>
      <c r="H618" s="40"/>
      <c r="I618" s="40"/>
      <c r="J618" s="40"/>
      <c r="K618" s="41"/>
    </row>
    <row r="619" spans="2:11" x14ac:dyDescent="0.2">
      <c r="B619" s="38"/>
      <c r="C619" s="40" t="s">
        <v>337</v>
      </c>
      <c r="D619" s="40"/>
      <c r="E619" s="40"/>
      <c r="F619" s="40"/>
      <c r="G619" s="40"/>
      <c r="H619" s="40"/>
      <c r="I619" s="40"/>
      <c r="J619" s="251">
        <f>'Baseline Health'!G137</f>
        <v>1</v>
      </c>
      <c r="K619" s="41"/>
    </row>
    <row r="620" spans="2:11" ht="15" customHeight="1" x14ac:dyDescent="0.2">
      <c r="B620" s="38"/>
      <c r="C620" s="380" t="s">
        <v>338</v>
      </c>
      <c r="D620" s="380"/>
      <c r="E620" s="380"/>
      <c r="F620" s="380"/>
      <c r="G620" s="380"/>
      <c r="H620" s="380"/>
      <c r="I620" s="380"/>
      <c r="J620" s="251"/>
      <c r="K620" s="41"/>
    </row>
    <row r="621" spans="2:11" x14ac:dyDescent="0.2">
      <c r="B621" s="38"/>
      <c r="C621" s="380"/>
      <c r="D621" s="380"/>
      <c r="E621" s="380"/>
      <c r="F621" s="380"/>
      <c r="G621" s="380"/>
      <c r="H621" s="380"/>
      <c r="I621" s="380"/>
      <c r="J621" s="264"/>
      <c r="K621" s="41"/>
    </row>
    <row r="622" spans="2:11" x14ac:dyDescent="0.2">
      <c r="B622" s="38"/>
      <c r="C622" s="40" t="s">
        <v>260</v>
      </c>
      <c r="D622" s="40"/>
      <c r="E622" s="40"/>
      <c r="F622" s="40"/>
      <c r="G622" s="40"/>
      <c r="H622" s="40"/>
      <c r="I622" s="40"/>
      <c r="J622" s="245">
        <f>IF(OR(J619=0,J619="Not Calculated")=TRUE,"Not Calculated",IF(((J619+J621)/J619)&lt;=1,0,IF(((J619+J621)/J619)&lt;=1.05,1,IF(((J619+J621)/J619)&lt;=1.5, 2,IF(((J619+J621)/J619)&lt;=2,3,4)))))</f>
        <v>0</v>
      </c>
      <c r="K622" s="41"/>
    </row>
    <row r="623" spans="2:11" ht="9.75" customHeight="1" x14ac:dyDescent="0.2">
      <c r="B623" s="38"/>
      <c r="C623" s="279" t="str">
        <f>"0:"</f>
        <v>0:</v>
      </c>
      <c r="D623" s="281" t="s">
        <v>918</v>
      </c>
      <c r="E623" s="291"/>
      <c r="F623" s="291"/>
      <c r="G623" s="291"/>
      <c r="H623" s="291"/>
      <c r="I623" s="291"/>
      <c r="J623" s="251"/>
      <c r="K623" s="41"/>
    </row>
    <row r="624" spans="2:11" ht="9.75" customHeight="1" x14ac:dyDescent="0.2">
      <c r="B624" s="38"/>
      <c r="C624" s="280" t="str">
        <f>"1:"</f>
        <v>1:</v>
      </c>
      <c r="D624" s="281" t="s">
        <v>919</v>
      </c>
      <c r="E624" s="291"/>
      <c r="F624" s="291"/>
      <c r="G624" s="291"/>
      <c r="H624" s="291"/>
      <c r="I624" s="291"/>
      <c r="J624" s="251"/>
      <c r="K624" s="41"/>
    </row>
    <row r="625" spans="2:14" ht="9.75" customHeight="1" x14ac:dyDescent="0.2">
      <c r="B625" s="38"/>
      <c r="C625" s="280" t="str">
        <f>"2:"</f>
        <v>2:</v>
      </c>
      <c r="D625" s="281" t="s">
        <v>920</v>
      </c>
      <c r="E625" s="291"/>
      <c r="F625" s="291"/>
      <c r="G625" s="291"/>
      <c r="H625" s="291"/>
      <c r="I625" s="291"/>
      <c r="J625" s="251"/>
      <c r="K625" s="41"/>
    </row>
    <row r="626" spans="2:14" ht="9.75" customHeight="1" x14ac:dyDescent="0.2">
      <c r="B626" s="38"/>
      <c r="C626" s="280" t="str">
        <f>"3:"</f>
        <v>3:</v>
      </c>
      <c r="D626" s="281" t="s">
        <v>921</v>
      </c>
      <c r="E626" s="291"/>
      <c r="F626" s="291"/>
      <c r="G626" s="291"/>
      <c r="H626" s="291"/>
      <c r="I626" s="291"/>
      <c r="J626" s="251"/>
      <c r="K626" s="41"/>
    </row>
    <row r="627" spans="2:14" ht="9.75" customHeight="1" x14ac:dyDescent="0.2">
      <c r="B627" s="38"/>
      <c r="C627" s="280" t="str">
        <f>"4:"</f>
        <v>4:</v>
      </c>
      <c r="D627" s="281" t="s">
        <v>922</v>
      </c>
      <c r="E627" s="40"/>
      <c r="F627" s="40"/>
      <c r="G627" s="40"/>
      <c r="H627" s="40"/>
      <c r="I627" s="40"/>
      <c r="J627" s="40"/>
      <c r="K627" s="41"/>
      <c r="N627" s="12" t="s">
        <v>661</v>
      </c>
    </row>
    <row r="628" spans="2:14" x14ac:dyDescent="0.2">
      <c r="B628" s="38"/>
      <c r="C628" s="174" t="s">
        <v>662</v>
      </c>
      <c r="D628" s="40"/>
      <c r="E628" s="40"/>
      <c r="F628" s="40"/>
      <c r="G628" s="40"/>
      <c r="H628" s="40"/>
      <c r="I628" s="40"/>
      <c r="J628" s="265" t="s">
        <v>661</v>
      </c>
      <c r="K628" s="41"/>
      <c r="N628" s="12" t="s">
        <v>894</v>
      </c>
    </row>
    <row r="629" spans="2:14" x14ac:dyDescent="0.2">
      <c r="B629" s="38"/>
      <c r="C629" s="174" t="s">
        <v>660</v>
      </c>
      <c r="D629" s="40"/>
      <c r="E629" s="40"/>
      <c r="F629" s="40"/>
      <c r="G629" s="40"/>
      <c r="H629" s="40"/>
      <c r="I629" s="40"/>
      <c r="J629" s="247" t="str">
        <f>IF(J628=N627,"N/A",IF(J628=N628,0,IF(J628=N629,1,IF(J628=N630,2,IF(J628=N631,3,IF(J628=N632,4,"N/A"))))))</f>
        <v>N/A</v>
      </c>
      <c r="K629" s="41"/>
      <c r="N629" s="12" t="s">
        <v>895</v>
      </c>
    </row>
    <row r="630" spans="2:14" x14ac:dyDescent="0.2">
      <c r="B630" s="38"/>
      <c r="C630" s="40" t="s">
        <v>257</v>
      </c>
      <c r="D630" s="40"/>
      <c r="E630" s="40"/>
      <c r="F630" s="40"/>
      <c r="G630" s="40"/>
      <c r="H630" s="40"/>
      <c r="I630" s="40"/>
      <c r="J630" s="266"/>
      <c r="K630" s="41"/>
      <c r="N630" s="12" t="s">
        <v>896</v>
      </c>
    </row>
    <row r="631" spans="2:14" x14ac:dyDescent="0.2">
      <c r="B631" s="38"/>
      <c r="C631" s="40" t="s">
        <v>261</v>
      </c>
      <c r="D631" s="40"/>
      <c r="E631" s="40"/>
      <c r="F631" s="40"/>
      <c r="G631" s="40"/>
      <c r="H631" s="40"/>
      <c r="I631" s="40"/>
      <c r="J631" s="245" t="str">
        <f>IF(J630=$B$973,$A$973,IF(J630=$B$974,$A$974,IF(J630=$B$975,$A$975,IF(J630=$B$976,$A$976,IF(J630=$B$977,$A$977,"Not Calculated")))))</f>
        <v>Not Calculated</v>
      </c>
      <c r="K631" s="41"/>
      <c r="N631" s="12" t="s">
        <v>897</v>
      </c>
    </row>
    <row r="632" spans="2:14" x14ac:dyDescent="0.2">
      <c r="B632" s="38"/>
      <c r="C632" s="40" t="s">
        <v>893</v>
      </c>
      <c r="D632" s="40"/>
      <c r="E632" s="40"/>
      <c r="F632" s="40"/>
      <c r="G632" s="40"/>
      <c r="H632" s="40"/>
      <c r="I632" s="40"/>
      <c r="J632" s="40"/>
      <c r="K632" s="41"/>
      <c r="N632" s="12" t="s">
        <v>898</v>
      </c>
    </row>
    <row r="633" spans="2:14" ht="15" customHeight="1" x14ac:dyDescent="0.2">
      <c r="B633" s="38"/>
      <c r="C633" s="399"/>
      <c r="D633" s="400"/>
      <c r="E633" s="400"/>
      <c r="F633" s="400"/>
      <c r="G633" s="400"/>
      <c r="H633" s="400"/>
      <c r="I633" s="400"/>
      <c r="J633" s="401"/>
      <c r="K633" s="41"/>
    </row>
    <row r="634" spans="2:14" x14ac:dyDescent="0.2">
      <c r="B634" s="38"/>
      <c r="C634" s="40"/>
      <c r="D634" s="40"/>
      <c r="E634" s="40"/>
      <c r="F634" s="40"/>
      <c r="G634" s="40"/>
      <c r="H634" s="40"/>
      <c r="I634" s="40"/>
      <c r="J634" s="40"/>
      <c r="K634" s="41"/>
    </row>
    <row r="635" spans="2:14" x14ac:dyDescent="0.2">
      <c r="B635" s="38"/>
      <c r="C635" s="179" t="s">
        <v>328</v>
      </c>
      <c r="D635" s="40"/>
      <c r="E635" s="40"/>
      <c r="F635" s="40"/>
      <c r="G635" s="40"/>
      <c r="H635" s="40"/>
      <c r="I635" s="40"/>
      <c r="J635" s="245" t="str">
        <f>IF(J629="N/A",IF(OR(J622="Not Calculated",J631="Not Calculated")=TRUE,"Not Calculated",AVERAGE(J622,J631)),AVERAGE(J629,J631))</f>
        <v>Not Calculated</v>
      </c>
      <c r="K635" s="41"/>
    </row>
    <row r="636" spans="2:14" x14ac:dyDescent="0.2">
      <c r="B636" s="38"/>
      <c r="C636" s="40"/>
      <c r="D636" s="40"/>
      <c r="E636" s="40"/>
      <c r="F636" s="40"/>
      <c r="G636" s="40"/>
      <c r="H636" s="40"/>
      <c r="I636" s="40"/>
      <c r="J636" s="40"/>
      <c r="K636" s="41"/>
    </row>
    <row r="637" spans="2:14" x14ac:dyDescent="0.2">
      <c r="B637" s="38"/>
      <c r="C637" s="40"/>
      <c r="D637" s="40"/>
      <c r="E637" s="40"/>
      <c r="F637" s="40"/>
      <c r="G637" s="40"/>
      <c r="H637" s="40"/>
      <c r="I637" s="40"/>
      <c r="J637" s="40"/>
      <c r="K637" s="41"/>
    </row>
    <row r="638" spans="2:14" ht="16" x14ac:dyDescent="0.2">
      <c r="B638" s="38"/>
      <c r="C638" s="45" t="s">
        <v>329</v>
      </c>
      <c r="D638" s="40"/>
      <c r="E638" s="40"/>
      <c r="F638" s="40"/>
      <c r="G638" s="40"/>
      <c r="H638" s="40"/>
      <c r="I638" s="40"/>
      <c r="J638" s="40"/>
      <c r="K638" s="41"/>
    </row>
    <row r="639" spans="2:14" ht="15" customHeight="1" x14ac:dyDescent="0.2">
      <c r="B639" s="38"/>
      <c r="C639" s="380" t="s">
        <v>339</v>
      </c>
      <c r="D639" s="380"/>
      <c r="E639" s="380"/>
      <c r="F639" s="380"/>
      <c r="G639" s="380"/>
      <c r="H639" s="380"/>
      <c r="I639" s="380"/>
      <c r="J639" s="40"/>
      <c r="K639" s="41"/>
    </row>
    <row r="640" spans="2:14" x14ac:dyDescent="0.2">
      <c r="B640" s="38"/>
      <c r="C640" s="380"/>
      <c r="D640" s="380"/>
      <c r="E640" s="380"/>
      <c r="F640" s="380"/>
      <c r="G640" s="380"/>
      <c r="H640" s="380"/>
      <c r="I640" s="380"/>
      <c r="J640" s="250">
        <f>'Baseline Health'!G145</f>
        <v>0</v>
      </c>
      <c r="K640" s="41"/>
    </row>
    <row r="641" spans="2:14" ht="15" customHeight="1" x14ac:dyDescent="0.2">
      <c r="B641" s="38"/>
      <c r="C641" s="380" t="s">
        <v>340</v>
      </c>
      <c r="D641" s="380"/>
      <c r="E641" s="380"/>
      <c r="F641" s="380"/>
      <c r="G641" s="380"/>
      <c r="H641" s="380"/>
      <c r="I641" s="380"/>
      <c r="J641" s="245"/>
      <c r="K641" s="41"/>
    </row>
    <row r="642" spans="2:14" x14ac:dyDescent="0.2">
      <c r="B642" s="38"/>
      <c r="C642" s="380"/>
      <c r="D642" s="380"/>
      <c r="E642" s="380"/>
      <c r="F642" s="380"/>
      <c r="G642" s="380"/>
      <c r="H642" s="380"/>
      <c r="I642" s="380"/>
      <c r="J642" s="245"/>
      <c r="K642" s="41"/>
    </row>
    <row r="643" spans="2:14" x14ac:dyDescent="0.2">
      <c r="B643" s="38"/>
      <c r="C643" s="380"/>
      <c r="D643" s="380"/>
      <c r="E643" s="380"/>
      <c r="F643" s="380"/>
      <c r="G643" s="380"/>
      <c r="H643" s="380"/>
      <c r="I643" s="380"/>
      <c r="J643" s="272"/>
      <c r="K643" s="41"/>
    </row>
    <row r="644" spans="2:14" x14ac:dyDescent="0.2">
      <c r="B644" s="38"/>
      <c r="C644" s="40" t="s">
        <v>260</v>
      </c>
      <c r="D644" s="40"/>
      <c r="E644" s="40"/>
      <c r="F644" s="40"/>
      <c r="G644" s="40"/>
      <c r="H644" s="40"/>
      <c r="I644" s="40"/>
      <c r="J644" s="245" t="str">
        <f>IF(OR(J640=0,J640="Not Calculated")=TRUE,"Not Calculated",IF(((J640+J643)/J640)&lt;=1,0,IF(((J640+J643)/J640)&lt;=1.05,1,IF(((J640+J643)/J640)&lt;=1.5, 2,IF(((J640+J643)/J640)&lt;=2,3,4)))))</f>
        <v>Not Calculated</v>
      </c>
      <c r="K644" s="41"/>
    </row>
    <row r="645" spans="2:14" ht="9.75" customHeight="1" x14ac:dyDescent="0.2">
      <c r="B645" s="38"/>
      <c r="C645" s="279" t="str">
        <f>"0:"</f>
        <v>0:</v>
      </c>
      <c r="D645" s="281" t="s">
        <v>918</v>
      </c>
      <c r="E645" s="291"/>
      <c r="F645" s="291"/>
      <c r="G645" s="291"/>
      <c r="H645" s="291"/>
      <c r="I645" s="291"/>
      <c r="J645" s="250"/>
      <c r="K645" s="41"/>
    </row>
    <row r="646" spans="2:14" ht="9.75" customHeight="1" x14ac:dyDescent="0.2">
      <c r="B646" s="38"/>
      <c r="C646" s="280" t="str">
        <f>"1:"</f>
        <v>1:</v>
      </c>
      <c r="D646" s="281" t="s">
        <v>919</v>
      </c>
      <c r="E646" s="291"/>
      <c r="F646" s="291"/>
      <c r="G646" s="291"/>
      <c r="H646" s="291"/>
      <c r="I646" s="291"/>
      <c r="J646" s="250"/>
      <c r="K646" s="41"/>
    </row>
    <row r="647" spans="2:14" ht="9.75" customHeight="1" x14ac:dyDescent="0.2">
      <c r="B647" s="38"/>
      <c r="C647" s="280" t="str">
        <f>"2:"</f>
        <v>2:</v>
      </c>
      <c r="D647" s="281" t="s">
        <v>920</v>
      </c>
      <c r="E647" s="291"/>
      <c r="F647" s="291"/>
      <c r="G647" s="291"/>
      <c r="H647" s="291"/>
      <c r="I647" s="291"/>
      <c r="J647" s="250"/>
      <c r="K647" s="41"/>
    </row>
    <row r="648" spans="2:14" ht="9.75" customHeight="1" x14ac:dyDescent="0.2">
      <c r="B648" s="38"/>
      <c r="C648" s="280" t="str">
        <f>"3:"</f>
        <v>3:</v>
      </c>
      <c r="D648" s="281" t="s">
        <v>921</v>
      </c>
      <c r="E648" s="291"/>
      <c r="F648" s="291"/>
      <c r="G648" s="291"/>
      <c r="H648" s="291"/>
      <c r="I648" s="291"/>
      <c r="J648" s="250"/>
      <c r="K648" s="41"/>
    </row>
    <row r="649" spans="2:14" ht="9.75" customHeight="1" x14ac:dyDescent="0.2">
      <c r="B649" s="38"/>
      <c r="C649" s="280" t="str">
        <f>"4:"</f>
        <v>4:</v>
      </c>
      <c r="D649" s="281" t="s">
        <v>922</v>
      </c>
      <c r="E649" s="40"/>
      <c r="F649" s="40"/>
      <c r="G649" s="40"/>
      <c r="H649" s="40"/>
      <c r="I649" s="40"/>
      <c r="J649" s="40"/>
      <c r="K649" s="41"/>
      <c r="N649" s="12" t="s">
        <v>661</v>
      </c>
    </row>
    <row r="650" spans="2:14" x14ac:dyDescent="0.2">
      <c r="B650" s="38"/>
      <c r="C650" s="174" t="s">
        <v>662</v>
      </c>
      <c r="D650" s="40"/>
      <c r="E650" s="40"/>
      <c r="F650" s="40"/>
      <c r="G650" s="40"/>
      <c r="H650" s="40"/>
      <c r="I650" s="40"/>
      <c r="J650" s="265" t="s">
        <v>661</v>
      </c>
      <c r="K650" s="41"/>
      <c r="N650" s="12" t="s">
        <v>894</v>
      </c>
    </row>
    <row r="651" spans="2:14" x14ac:dyDescent="0.2">
      <c r="B651" s="38"/>
      <c r="C651" s="174" t="s">
        <v>660</v>
      </c>
      <c r="D651" s="40"/>
      <c r="E651" s="40"/>
      <c r="F651" s="40"/>
      <c r="G651" s="40"/>
      <c r="H651" s="40"/>
      <c r="I651" s="40"/>
      <c r="J651" s="247" t="str">
        <f>IF(J650=N649,"N/A",IF(J650=N650,0,IF(J650=N651,1,IF(J650=N652,2,IF(J650=N653,3,IF(J650=N654,4,"N/A"))))))</f>
        <v>N/A</v>
      </c>
      <c r="K651" s="41"/>
      <c r="N651" s="12" t="s">
        <v>895</v>
      </c>
    </row>
    <row r="652" spans="2:14" ht="15" customHeight="1" x14ac:dyDescent="0.2">
      <c r="B652" s="38"/>
      <c r="C652" s="40" t="s">
        <v>257</v>
      </c>
      <c r="D652" s="40"/>
      <c r="E652" s="40"/>
      <c r="F652" s="40"/>
      <c r="G652" s="40"/>
      <c r="H652" s="40"/>
      <c r="I652" s="40"/>
      <c r="J652" s="266"/>
      <c r="K652" s="41"/>
      <c r="N652" s="12" t="s">
        <v>896</v>
      </c>
    </row>
    <row r="653" spans="2:14" x14ac:dyDescent="0.2">
      <c r="B653" s="38"/>
      <c r="C653" s="40" t="s">
        <v>261</v>
      </c>
      <c r="D653" s="40"/>
      <c r="E653" s="40"/>
      <c r="F653" s="40"/>
      <c r="G653" s="40"/>
      <c r="H653" s="40"/>
      <c r="I653" s="40"/>
      <c r="J653" s="245" t="str">
        <f>IF(J652=$B$973,$A$973,IF(J652=$B$974,$A$974,IF(J652=$B$975,$A$975,IF(J652=$B$976,$A$976,IF(J652=$B$977,$A$977,"Not Calculated")))))</f>
        <v>Not Calculated</v>
      </c>
      <c r="K653" s="41"/>
      <c r="N653" s="12" t="s">
        <v>897</v>
      </c>
    </row>
    <row r="654" spans="2:14" x14ac:dyDescent="0.2">
      <c r="B654" s="38"/>
      <c r="C654" s="40" t="s">
        <v>893</v>
      </c>
      <c r="D654" s="40"/>
      <c r="E654" s="40"/>
      <c r="F654" s="40"/>
      <c r="G654" s="40"/>
      <c r="H654" s="40"/>
      <c r="I654" s="40"/>
      <c r="J654" s="40"/>
      <c r="K654" s="41"/>
      <c r="N654" s="12" t="s">
        <v>898</v>
      </c>
    </row>
    <row r="655" spans="2:14" x14ac:dyDescent="0.2">
      <c r="B655" s="38"/>
      <c r="C655" s="399"/>
      <c r="D655" s="400"/>
      <c r="E655" s="400"/>
      <c r="F655" s="400"/>
      <c r="G655" s="400"/>
      <c r="H655" s="400"/>
      <c r="I655" s="400"/>
      <c r="J655" s="401"/>
      <c r="K655" s="41"/>
    </row>
    <row r="656" spans="2:14" x14ac:dyDescent="0.2">
      <c r="B656" s="38"/>
      <c r="C656" s="40"/>
      <c r="D656" s="40"/>
      <c r="E656" s="40"/>
      <c r="F656" s="40"/>
      <c r="G656" s="40"/>
      <c r="H656" s="40"/>
      <c r="I656" s="40"/>
      <c r="J656" s="40"/>
      <c r="K656" s="41"/>
    </row>
    <row r="657" spans="2:14" x14ac:dyDescent="0.2">
      <c r="B657" s="38"/>
      <c r="C657" s="179" t="s">
        <v>330</v>
      </c>
      <c r="D657" s="40"/>
      <c r="E657" s="40"/>
      <c r="F657" s="40"/>
      <c r="G657" s="40"/>
      <c r="H657" s="40"/>
      <c r="I657" s="40"/>
      <c r="J657" s="245" t="str">
        <f>IF(J651="N/A",IF(OR(J644="Not Calculated",J653="Not Calculated")=TRUE,"Not Calculated",AVERAGE(J644,J653)),AVERAGE(J651,J653))</f>
        <v>Not Calculated</v>
      </c>
      <c r="K657" s="41"/>
    </row>
    <row r="658" spans="2:14" x14ac:dyDescent="0.2">
      <c r="B658" s="38"/>
      <c r="C658" s="40"/>
      <c r="D658" s="40"/>
      <c r="E658" s="40"/>
      <c r="F658" s="40"/>
      <c r="G658" s="40"/>
      <c r="H658" s="40"/>
      <c r="I658" s="40"/>
      <c r="J658" s="40"/>
      <c r="K658" s="41"/>
    </row>
    <row r="659" spans="2:14" x14ac:dyDescent="0.2">
      <c r="B659" s="38"/>
      <c r="C659" s="40"/>
      <c r="D659" s="40"/>
      <c r="E659" s="40"/>
      <c r="F659" s="40"/>
      <c r="G659" s="40"/>
      <c r="H659" s="40"/>
      <c r="I659" s="40"/>
      <c r="J659" s="40"/>
      <c r="K659" s="41"/>
    </row>
    <row r="660" spans="2:14" ht="16" x14ac:dyDescent="0.2">
      <c r="B660" s="38"/>
      <c r="C660" s="45" t="s">
        <v>97</v>
      </c>
      <c r="D660" s="40"/>
      <c r="E660" s="40"/>
      <c r="F660" s="40"/>
      <c r="G660" s="40"/>
      <c r="H660" s="40"/>
      <c r="I660" s="40"/>
      <c r="J660" s="40"/>
      <c r="K660" s="41"/>
    </row>
    <row r="661" spans="2:14" x14ac:dyDescent="0.2">
      <c r="B661" s="38"/>
      <c r="C661" s="40" t="s">
        <v>449</v>
      </c>
      <c r="D661" s="40"/>
      <c r="E661" s="40"/>
      <c r="F661" s="40"/>
      <c r="G661" s="40"/>
      <c r="H661" s="40"/>
      <c r="I661" s="40"/>
      <c r="J661" s="263">
        <f>'Baseline Health'!G150</f>
        <v>0</v>
      </c>
      <c r="K661" s="41"/>
    </row>
    <row r="662" spans="2:14" x14ac:dyDescent="0.2">
      <c r="B662" s="38"/>
      <c r="C662" s="40" t="s">
        <v>341</v>
      </c>
      <c r="D662" s="40"/>
      <c r="E662" s="40"/>
      <c r="F662" s="40"/>
      <c r="G662" s="40"/>
      <c r="H662" s="40"/>
      <c r="I662" s="40"/>
      <c r="J662" s="273"/>
      <c r="K662" s="41"/>
    </row>
    <row r="663" spans="2:14" x14ac:dyDescent="0.2">
      <c r="B663" s="38"/>
      <c r="C663" s="40" t="s">
        <v>450</v>
      </c>
      <c r="D663" s="40"/>
      <c r="E663" s="40"/>
      <c r="F663" s="40"/>
      <c r="G663" s="40"/>
      <c r="H663" s="40"/>
      <c r="I663" s="40"/>
      <c r="J663" s="263">
        <f>J26</f>
        <v>0</v>
      </c>
      <c r="K663" s="41"/>
    </row>
    <row r="664" spans="2:14" ht="15" customHeight="1" x14ac:dyDescent="0.2">
      <c r="B664" s="38"/>
      <c r="C664" s="291"/>
      <c r="D664" s="380" t="s">
        <v>342</v>
      </c>
      <c r="E664" s="380"/>
      <c r="F664" s="380"/>
      <c r="G664" s="380"/>
      <c r="H664" s="380"/>
      <c r="I664" s="380"/>
      <c r="J664" s="245"/>
      <c r="K664" s="41"/>
    </row>
    <row r="665" spans="2:14" x14ac:dyDescent="0.2">
      <c r="B665" s="38"/>
      <c r="C665" s="291"/>
      <c r="D665" s="380"/>
      <c r="E665" s="380"/>
      <c r="F665" s="380"/>
      <c r="G665" s="380"/>
      <c r="H665" s="380"/>
      <c r="I665" s="380"/>
      <c r="J665" s="245"/>
      <c r="K665" s="41"/>
    </row>
    <row r="666" spans="2:14" x14ac:dyDescent="0.2">
      <c r="B666" s="38"/>
      <c r="C666" s="40" t="s">
        <v>260</v>
      </c>
      <c r="D666" s="40"/>
      <c r="E666" s="40"/>
      <c r="F666" s="40"/>
      <c r="G666" s="40"/>
      <c r="H666" s="40"/>
      <c r="I666" s="40"/>
      <c r="J666" s="245" t="str">
        <f>IF(OR(J661=0,J661="Not Calculated")=TRUE,"Not Calculated",IF(((J661+J663)/(J661-J662))&lt;=1,0,IF(((J661+J663)/(J661-J662))&lt;=1.1,1,IF(((J661+J663)/(J661-J662))&lt;=1.5, 2,IF(((J661+J663)/(J661-J662))&lt;=2,3,4)))))</f>
        <v>Not Calculated</v>
      </c>
      <c r="K666" s="41"/>
    </row>
    <row r="667" spans="2:14" ht="9.75" customHeight="1" x14ac:dyDescent="0.2">
      <c r="B667" s="38"/>
      <c r="C667" s="279" t="str">
        <f>"0:"</f>
        <v>0:</v>
      </c>
      <c r="D667" s="278" t="s">
        <v>918</v>
      </c>
      <c r="E667" s="291"/>
      <c r="F667" s="291"/>
      <c r="G667" s="291"/>
      <c r="H667" s="291"/>
      <c r="I667" s="291"/>
      <c r="J667" s="245"/>
      <c r="K667" s="41"/>
    </row>
    <row r="668" spans="2:14" ht="9.75" customHeight="1" x14ac:dyDescent="0.2">
      <c r="B668" s="38"/>
      <c r="C668" s="280" t="str">
        <f>"1:"</f>
        <v>1:</v>
      </c>
      <c r="D668" s="278" t="s">
        <v>923</v>
      </c>
      <c r="E668" s="291"/>
      <c r="F668" s="291"/>
      <c r="G668" s="291"/>
      <c r="H668" s="291"/>
      <c r="I668" s="291"/>
      <c r="J668" s="245"/>
      <c r="K668" s="41"/>
    </row>
    <row r="669" spans="2:14" ht="9.75" customHeight="1" x14ac:dyDescent="0.2">
      <c r="B669" s="38"/>
      <c r="C669" s="280" t="str">
        <f>"2:"</f>
        <v>2:</v>
      </c>
      <c r="D669" s="278" t="s">
        <v>924</v>
      </c>
      <c r="E669" s="291"/>
      <c r="F669" s="291"/>
      <c r="G669" s="291"/>
      <c r="H669" s="291"/>
      <c r="I669" s="291"/>
      <c r="J669" s="245"/>
      <c r="K669" s="41"/>
    </row>
    <row r="670" spans="2:14" ht="9.75" customHeight="1" x14ac:dyDescent="0.2">
      <c r="B670" s="38"/>
      <c r="C670" s="280" t="str">
        <f>"3:"</f>
        <v>3:</v>
      </c>
      <c r="D670" s="278" t="s">
        <v>925</v>
      </c>
      <c r="E670" s="291"/>
      <c r="F670" s="291"/>
      <c r="G670" s="291"/>
      <c r="H670" s="291"/>
      <c r="I670" s="291"/>
      <c r="J670" s="245"/>
      <c r="K670" s="41"/>
    </row>
    <row r="671" spans="2:14" ht="9.75" customHeight="1" x14ac:dyDescent="0.2">
      <c r="B671" s="38"/>
      <c r="C671" s="280" t="str">
        <f>"4:"</f>
        <v>4:</v>
      </c>
      <c r="D671" s="278" t="s">
        <v>926</v>
      </c>
      <c r="E671" s="40"/>
      <c r="F671" s="40"/>
      <c r="G671" s="40"/>
      <c r="H671" s="40"/>
      <c r="I671" s="40"/>
      <c r="J671" s="40"/>
      <c r="K671" s="41"/>
      <c r="N671" s="12" t="s">
        <v>661</v>
      </c>
    </row>
    <row r="672" spans="2:14" ht="15" customHeight="1" x14ac:dyDescent="0.2">
      <c r="B672" s="38"/>
      <c r="C672" s="174" t="s">
        <v>662</v>
      </c>
      <c r="D672" s="40"/>
      <c r="E672" s="40"/>
      <c r="F672" s="40"/>
      <c r="G672" s="40"/>
      <c r="H672" s="40"/>
      <c r="I672" s="40"/>
      <c r="J672" s="265" t="s">
        <v>661</v>
      </c>
      <c r="K672" s="41"/>
      <c r="N672" s="12" t="s">
        <v>894</v>
      </c>
    </row>
    <row r="673" spans="2:14" ht="15" customHeight="1" x14ac:dyDescent="0.2">
      <c r="B673" s="38"/>
      <c r="C673" s="174" t="s">
        <v>660</v>
      </c>
      <c r="D673" s="40"/>
      <c r="E673" s="40"/>
      <c r="F673" s="40"/>
      <c r="G673" s="40"/>
      <c r="H673" s="40"/>
      <c r="I673" s="40"/>
      <c r="J673" s="246" t="str">
        <f>IF(J672=N671,"N/A",IF(J672=N672,0,IF(J672=N673,1,IF(J672=N674,2,IF(J672=N675,3,IF(J672=N676,4,"N/A"))))))</f>
        <v>N/A</v>
      </c>
      <c r="K673" s="41"/>
      <c r="N673" s="12" t="s">
        <v>908</v>
      </c>
    </row>
    <row r="674" spans="2:14" ht="15" customHeight="1" x14ac:dyDescent="0.2">
      <c r="B674" s="38"/>
      <c r="C674" s="40" t="s">
        <v>257</v>
      </c>
      <c r="D674" s="40"/>
      <c r="E674" s="40"/>
      <c r="F674" s="40"/>
      <c r="G674" s="40"/>
      <c r="H674" s="40"/>
      <c r="I674" s="40"/>
      <c r="J674" s="266"/>
      <c r="K674" s="41"/>
      <c r="N674" s="12" t="s">
        <v>900</v>
      </c>
    </row>
    <row r="675" spans="2:14" x14ac:dyDescent="0.2">
      <c r="B675" s="38"/>
      <c r="C675" s="40" t="s">
        <v>261</v>
      </c>
      <c r="D675" s="40"/>
      <c r="E675" s="40"/>
      <c r="F675" s="40"/>
      <c r="G675" s="40"/>
      <c r="H675" s="40"/>
      <c r="I675" s="40"/>
      <c r="J675" s="245" t="str">
        <f>IF(J674=$B$973,$A$973,IF(J674=$B$974,$A$974,IF(J674=$B$975,$A$975,IF(J674=$B$976,$A$976,IF(J674=$B$977,$A$977,"Not Calculated")))))</f>
        <v>Not Calculated</v>
      </c>
      <c r="K675" s="41"/>
      <c r="N675" s="12" t="s">
        <v>901</v>
      </c>
    </row>
    <row r="676" spans="2:14" ht="15" customHeight="1" x14ac:dyDescent="0.2">
      <c r="B676" s="38"/>
      <c r="C676" s="40" t="s">
        <v>893</v>
      </c>
      <c r="D676" s="40"/>
      <c r="E676" s="40"/>
      <c r="F676" s="40"/>
      <c r="G676" s="40"/>
      <c r="H676" s="40"/>
      <c r="I676" s="40"/>
      <c r="J676" s="40"/>
      <c r="K676" s="41"/>
      <c r="N676" s="12" t="s">
        <v>909</v>
      </c>
    </row>
    <row r="677" spans="2:14" ht="15" customHeight="1" x14ac:dyDescent="0.2">
      <c r="B677" s="38"/>
      <c r="C677" s="399"/>
      <c r="D677" s="400"/>
      <c r="E677" s="400"/>
      <c r="F677" s="400"/>
      <c r="G677" s="400"/>
      <c r="H677" s="400"/>
      <c r="I677" s="400"/>
      <c r="J677" s="401"/>
      <c r="K677" s="41"/>
    </row>
    <row r="678" spans="2:14" x14ac:dyDescent="0.2">
      <c r="B678" s="38"/>
      <c r="C678" s="40"/>
      <c r="D678" s="40"/>
      <c r="E678" s="40"/>
      <c r="F678" s="40"/>
      <c r="G678" s="40"/>
      <c r="H678" s="40"/>
      <c r="I678" s="40"/>
      <c r="J678" s="40"/>
      <c r="K678" s="41"/>
    </row>
    <row r="679" spans="2:14" x14ac:dyDescent="0.2">
      <c r="B679" s="38"/>
      <c r="C679" s="179" t="s">
        <v>331</v>
      </c>
      <c r="D679" s="40"/>
      <c r="E679" s="40"/>
      <c r="F679" s="40"/>
      <c r="G679" s="40"/>
      <c r="H679" s="40"/>
      <c r="I679" s="40"/>
      <c r="J679" s="245" t="str">
        <f>IF(J673="N/A",IF(OR(J666="Not Calculated",J675="Not Calculated")=TRUE,"Not Calculated",AVERAGE(J666,J675)),AVERAGE(J673,J675))</f>
        <v>Not Calculated</v>
      </c>
      <c r="K679" s="41"/>
    </row>
    <row r="680" spans="2:14" x14ac:dyDescent="0.2">
      <c r="B680" s="38"/>
      <c r="C680" s="40"/>
      <c r="D680" s="40"/>
      <c r="E680" s="40"/>
      <c r="F680" s="40"/>
      <c r="G680" s="40"/>
      <c r="H680" s="40"/>
      <c r="I680" s="40"/>
      <c r="J680" s="40"/>
      <c r="K680" s="41"/>
    </row>
    <row r="681" spans="2:14" ht="18" x14ac:dyDescent="0.2">
      <c r="B681" s="38"/>
      <c r="C681" s="180" t="s">
        <v>332</v>
      </c>
      <c r="D681" s="40"/>
      <c r="E681" s="40"/>
      <c r="F681" s="40"/>
      <c r="G681" s="40"/>
      <c r="H681" s="40"/>
      <c r="I681" s="40"/>
      <c r="J681" s="244" t="str">
        <f>IF(OR(J562="Not Calculated",J585="Not Calculated",J601="Not Calculated",J615="Not Calculated",J635="Not Calculated",J657="Not Calculated",J679="Not Calculated")=TRUE,"Not Calculated",AVERAGE(J562,J585,J601,J615,J635,J657,J679))</f>
        <v>Not Calculated</v>
      </c>
      <c r="K681" s="41"/>
    </row>
    <row r="682" spans="2:14" ht="16" thickBot="1" x14ac:dyDescent="0.25">
      <c r="B682" s="46"/>
      <c r="C682" s="47"/>
      <c r="D682" s="47"/>
      <c r="E682" s="47"/>
      <c r="F682" s="47"/>
      <c r="G682" s="47"/>
      <c r="H682" s="47"/>
      <c r="I682" s="47"/>
      <c r="J682" s="47"/>
      <c r="K682" s="49"/>
    </row>
    <row r="683" spans="2:14" ht="16" thickBot="1" x14ac:dyDescent="0.25"/>
    <row r="684" spans="2:14" x14ac:dyDescent="0.2">
      <c r="B684" s="33"/>
      <c r="C684" s="34"/>
      <c r="D684" s="34"/>
      <c r="E684" s="34"/>
      <c r="F684" s="34"/>
      <c r="G684" s="34"/>
      <c r="H684" s="34"/>
      <c r="I684" s="34"/>
      <c r="J684" s="34"/>
      <c r="K684" s="37"/>
    </row>
    <row r="685" spans="2:14" ht="21" x14ac:dyDescent="0.25">
      <c r="B685" s="38"/>
      <c r="C685" s="40"/>
      <c r="D685" s="40"/>
      <c r="E685" s="40"/>
      <c r="F685" s="40"/>
      <c r="G685" s="172" t="s">
        <v>346</v>
      </c>
      <c r="H685" s="40"/>
      <c r="I685" s="40"/>
      <c r="J685" s="40"/>
      <c r="K685" s="41"/>
    </row>
    <row r="686" spans="2:14" x14ac:dyDescent="0.2">
      <c r="B686" s="38"/>
      <c r="C686" s="40"/>
      <c r="D686" s="40"/>
      <c r="E686" s="40"/>
      <c r="F686" s="40"/>
      <c r="G686" s="40"/>
      <c r="H686" s="40"/>
      <c r="I686" s="40"/>
      <c r="J686" s="40"/>
      <c r="K686" s="41"/>
    </row>
    <row r="687" spans="2:14" ht="16" x14ac:dyDescent="0.2">
      <c r="B687" s="38"/>
      <c r="C687" s="182" t="s">
        <v>986</v>
      </c>
      <c r="D687" s="40"/>
      <c r="E687" s="40"/>
      <c r="F687" s="40"/>
      <c r="G687" s="40"/>
      <c r="H687" s="40"/>
      <c r="I687" s="40"/>
      <c r="J687" s="257" t="str">
        <f>IF(OR($J$133="Not Calculated",$J$261="Not Calculated",$J$421="Not Calculated",$J$539="Not Calculated",$J$681="Not Calculated")=TRUE,"Not Calculated",AVERAGE($J$133,$J$261,$J$421,$J$539,$J$681))</f>
        <v>Not Calculated</v>
      </c>
      <c r="K687" s="41"/>
    </row>
    <row r="688" spans="2:14" x14ac:dyDescent="0.2">
      <c r="B688" s="38"/>
      <c r="C688" s="40"/>
      <c r="D688" s="40" t="s">
        <v>343</v>
      </c>
      <c r="E688" s="40"/>
      <c r="F688" s="40"/>
      <c r="G688" s="40"/>
      <c r="H688" s="40"/>
      <c r="I688" s="40"/>
      <c r="J688" s="40"/>
      <c r="K688" s="41"/>
    </row>
    <row r="689" spans="2:11" ht="15" customHeight="1" x14ac:dyDescent="0.2">
      <c r="B689" s="38"/>
      <c r="C689" s="40"/>
      <c r="D689" s="40"/>
      <c r="E689" s="40"/>
      <c r="F689" s="40"/>
      <c r="G689" s="40"/>
      <c r="H689" s="40"/>
      <c r="I689" s="40"/>
      <c r="J689" s="40"/>
      <c r="K689" s="41"/>
    </row>
    <row r="690" spans="2:11" ht="16" x14ac:dyDescent="0.2">
      <c r="B690" s="38"/>
      <c r="C690" s="182" t="s">
        <v>987</v>
      </c>
      <c r="D690" s="40"/>
      <c r="E690" s="40"/>
      <c r="F690" s="40"/>
      <c r="G690" s="40"/>
      <c r="H690" s="40"/>
      <c r="I690" s="40"/>
      <c r="J690" s="257" t="str">
        <f>IF(OR($J$133="Not Calculated",$J$261="Not Calculated",$J$539="Not Calculated",$J$681="Not Calculated")=TRUE,"Not Calculated",AVERAGE($J$133,$J$261,$J$539,$J$681))</f>
        <v>Not Calculated</v>
      </c>
      <c r="K690" s="41"/>
    </row>
    <row r="691" spans="2:11" ht="15" customHeight="1" x14ac:dyDescent="0.2">
      <c r="B691" s="38"/>
      <c r="C691" s="40"/>
      <c r="D691" s="40" t="s">
        <v>344</v>
      </c>
      <c r="E691" s="40"/>
      <c r="F691" s="40"/>
      <c r="G691" s="40"/>
      <c r="H691" s="40"/>
      <c r="I691" s="40"/>
      <c r="J691" s="40"/>
      <c r="K691" s="41"/>
    </row>
    <row r="692" spans="2:11" x14ac:dyDescent="0.2">
      <c r="B692" s="38"/>
      <c r="C692" s="40"/>
      <c r="D692" s="40"/>
      <c r="E692" s="40"/>
      <c r="F692" s="40"/>
      <c r="G692" s="40"/>
      <c r="H692" s="40"/>
      <c r="I692" s="40"/>
      <c r="J692" s="40"/>
      <c r="K692" s="41"/>
    </row>
    <row r="693" spans="2:11" ht="16" x14ac:dyDescent="0.2">
      <c r="B693" s="38"/>
      <c r="C693" s="182" t="s">
        <v>988</v>
      </c>
      <c r="D693" s="40"/>
      <c r="E693" s="40"/>
      <c r="F693" s="40"/>
      <c r="G693" s="40"/>
      <c r="H693" s="40"/>
      <c r="I693" s="40"/>
      <c r="J693" s="257" t="str">
        <f>IF(OR($J$133="Not Calculated",$J$261="Not Calculated",$J$421="Not Calculated")=TRUE,"Not Calculated",AVERAGE($J$133,$J$261,$J$421))</f>
        <v>Not Calculated</v>
      </c>
      <c r="K693" s="41"/>
    </row>
    <row r="694" spans="2:11" x14ac:dyDescent="0.2">
      <c r="B694" s="38"/>
      <c r="C694" s="40"/>
      <c r="D694" s="40" t="s">
        <v>345</v>
      </c>
      <c r="E694" s="40"/>
      <c r="F694" s="40"/>
      <c r="G694" s="40"/>
      <c r="H694" s="40"/>
      <c r="I694" s="40"/>
      <c r="J694" s="40"/>
      <c r="K694" s="41"/>
    </row>
    <row r="695" spans="2:11" ht="16" thickBot="1" x14ac:dyDescent="0.25">
      <c r="B695" s="46"/>
      <c r="C695" s="47"/>
      <c r="D695" s="47"/>
      <c r="E695" s="47"/>
      <c r="F695" s="47"/>
      <c r="G695" s="47"/>
      <c r="H695" s="47"/>
      <c r="I695" s="47"/>
      <c r="J695" s="47"/>
      <c r="K695" s="49"/>
    </row>
    <row r="696" spans="2:11" ht="16" thickBot="1" x14ac:dyDescent="0.25"/>
    <row r="697" spans="2:11" x14ac:dyDescent="0.2">
      <c r="B697" s="183"/>
      <c r="C697" s="184"/>
      <c r="D697" s="184"/>
      <c r="E697" s="184"/>
      <c r="F697" s="184"/>
      <c r="G697" s="184"/>
      <c r="H697" s="184"/>
      <c r="I697" s="184"/>
      <c r="J697" s="184"/>
      <c r="K697" s="185"/>
    </row>
    <row r="698" spans="2:11" ht="21" x14ac:dyDescent="0.25">
      <c r="B698" s="186"/>
      <c r="C698" s="187"/>
      <c r="D698" s="187"/>
      <c r="E698" s="187"/>
      <c r="F698" s="187"/>
      <c r="G698" s="188" t="s">
        <v>231</v>
      </c>
      <c r="H698" s="187"/>
      <c r="I698" s="187"/>
      <c r="J698" s="187"/>
      <c r="K698" s="189"/>
    </row>
    <row r="699" spans="2:11" x14ac:dyDescent="0.2">
      <c r="B699" s="186"/>
      <c r="C699" s="187"/>
      <c r="D699" s="187"/>
      <c r="E699" s="187"/>
      <c r="F699" s="187"/>
      <c r="G699" s="187"/>
      <c r="H699" s="187"/>
      <c r="I699" s="187"/>
      <c r="J699" s="187"/>
      <c r="K699" s="189"/>
    </row>
    <row r="700" spans="2:11" ht="16" x14ac:dyDescent="0.2">
      <c r="B700" s="186"/>
      <c r="C700" s="190" t="s">
        <v>989</v>
      </c>
      <c r="D700" s="187"/>
      <c r="E700" s="187"/>
      <c r="F700" s="187"/>
      <c r="G700" s="187"/>
      <c r="H700" s="187"/>
      <c r="I700" s="187"/>
      <c r="J700" s="256" t="str">
        <f>IF(OR(J687="Not Calculated",$E$17="Not Calculated")=TRUE,"Not Calculated",(J687*$E$17*100/16))</f>
        <v>Not Calculated</v>
      </c>
      <c r="K700" s="189"/>
    </row>
    <row r="701" spans="2:11" x14ac:dyDescent="0.2">
      <c r="B701" s="186"/>
      <c r="C701" s="187"/>
      <c r="D701" s="187" t="s">
        <v>377</v>
      </c>
      <c r="E701" s="187"/>
      <c r="F701" s="187"/>
      <c r="G701" s="187"/>
      <c r="H701" s="187"/>
      <c r="I701" s="187"/>
      <c r="J701" s="187"/>
      <c r="K701" s="189"/>
    </row>
    <row r="702" spans="2:11" x14ac:dyDescent="0.2">
      <c r="B702" s="186"/>
      <c r="C702" s="187"/>
      <c r="D702" s="187"/>
      <c r="E702" s="187"/>
      <c r="F702" s="187"/>
      <c r="G702" s="187"/>
      <c r="H702" s="187"/>
      <c r="I702" s="187"/>
      <c r="J702" s="187"/>
      <c r="K702" s="189"/>
    </row>
    <row r="703" spans="2:11" ht="16" x14ac:dyDescent="0.2">
      <c r="B703" s="186"/>
      <c r="C703" s="190" t="s">
        <v>990</v>
      </c>
      <c r="D703" s="187"/>
      <c r="E703" s="187"/>
      <c r="F703" s="187"/>
      <c r="G703" s="187"/>
      <c r="H703" s="187"/>
      <c r="I703" s="187"/>
      <c r="J703" s="256" t="str">
        <f>IF(OR(J690="Not Calculated",$E$17="Not Calculated")=TRUE,"Not Calculated",(J690*$E$17*100/16))</f>
        <v>Not Calculated</v>
      </c>
      <c r="K703" s="189"/>
    </row>
    <row r="704" spans="2:11" x14ac:dyDescent="0.2">
      <c r="B704" s="186"/>
      <c r="C704" s="187"/>
      <c r="D704" s="187" t="s">
        <v>378</v>
      </c>
      <c r="E704" s="187"/>
      <c r="F704" s="187"/>
      <c r="G704" s="187"/>
      <c r="H704" s="187"/>
      <c r="I704" s="187"/>
      <c r="J704" s="187"/>
      <c r="K704" s="189"/>
    </row>
    <row r="705" spans="2:11" x14ac:dyDescent="0.2">
      <c r="B705" s="186"/>
      <c r="C705" s="187"/>
      <c r="D705" s="187"/>
      <c r="E705" s="187"/>
      <c r="F705" s="187"/>
      <c r="G705" s="187"/>
      <c r="H705" s="187"/>
      <c r="I705" s="187"/>
      <c r="J705" s="187"/>
      <c r="K705" s="189"/>
    </row>
    <row r="706" spans="2:11" ht="16" x14ac:dyDescent="0.2">
      <c r="B706" s="186"/>
      <c r="C706" s="190" t="s">
        <v>991</v>
      </c>
      <c r="D706" s="187"/>
      <c r="E706" s="187"/>
      <c r="F706" s="187"/>
      <c r="G706" s="187"/>
      <c r="H706" s="187"/>
      <c r="I706" s="187"/>
      <c r="J706" s="256" t="str">
        <f>IF(OR(J693="Not Calculated",$E$17="Not Calculated")=TRUE,"Not Calculated",(J693*$E$17*100/16))</f>
        <v>Not Calculated</v>
      </c>
      <c r="K706" s="189"/>
    </row>
    <row r="707" spans="2:11" x14ac:dyDescent="0.2">
      <c r="B707" s="186"/>
      <c r="C707" s="187"/>
      <c r="D707" s="187" t="s">
        <v>379</v>
      </c>
      <c r="E707" s="187"/>
      <c r="F707" s="187"/>
      <c r="G707" s="187"/>
      <c r="H707" s="187"/>
      <c r="I707" s="187"/>
      <c r="J707" s="187"/>
      <c r="K707" s="189"/>
    </row>
    <row r="708" spans="2:11" ht="16" thickBot="1" x14ac:dyDescent="0.25">
      <c r="B708" s="191"/>
      <c r="C708" s="192"/>
      <c r="D708" s="192"/>
      <c r="E708" s="192"/>
      <c r="F708" s="192"/>
      <c r="G708" s="192"/>
      <c r="H708" s="192"/>
      <c r="I708" s="192"/>
      <c r="J708" s="192"/>
      <c r="K708" s="193"/>
    </row>
    <row r="709" spans="2:11" ht="16" thickBot="1" x14ac:dyDescent="0.25"/>
    <row r="710" spans="2:11" x14ac:dyDescent="0.2">
      <c r="B710" s="53"/>
      <c r="C710" s="54"/>
      <c r="D710" s="54"/>
      <c r="E710" s="54"/>
      <c r="F710" s="54"/>
      <c r="G710" s="54"/>
      <c r="H710" s="54"/>
      <c r="I710" s="54"/>
      <c r="J710" s="54"/>
      <c r="K710" s="56"/>
    </row>
    <row r="711" spans="2:11" ht="21" x14ac:dyDescent="0.25">
      <c r="B711" s="57"/>
      <c r="C711" s="59"/>
      <c r="D711" s="59"/>
      <c r="E711" s="59"/>
      <c r="F711" s="59"/>
      <c r="G711" s="194" t="s">
        <v>232</v>
      </c>
      <c r="H711" s="59"/>
      <c r="I711" s="59"/>
      <c r="J711" s="59"/>
      <c r="K711" s="61"/>
    </row>
    <row r="712" spans="2:11" x14ac:dyDescent="0.2">
      <c r="B712" s="57"/>
      <c r="C712" s="59"/>
      <c r="D712" s="59"/>
      <c r="E712" s="59"/>
      <c r="F712" s="59"/>
      <c r="G712" s="59"/>
      <c r="H712" s="59"/>
      <c r="I712" s="59"/>
      <c r="J712" s="59"/>
      <c r="K712" s="61"/>
    </row>
    <row r="713" spans="2:11" ht="16" x14ac:dyDescent="0.2">
      <c r="B713" s="57"/>
      <c r="C713" s="195" t="s">
        <v>363</v>
      </c>
      <c r="D713" s="59"/>
      <c r="E713" s="59"/>
      <c r="F713" s="59"/>
      <c r="G713" s="59"/>
      <c r="H713" s="59"/>
      <c r="I713" s="59"/>
      <c r="J713" s="59"/>
      <c r="K713" s="61"/>
    </row>
    <row r="714" spans="2:11" ht="15" customHeight="1" x14ac:dyDescent="0.2">
      <c r="B714" s="57"/>
      <c r="C714" s="411" t="s">
        <v>364</v>
      </c>
      <c r="D714" s="411"/>
      <c r="E714" s="411"/>
      <c r="F714" s="411"/>
      <c r="G714" s="411"/>
      <c r="H714" s="411"/>
      <c r="I714" s="411"/>
      <c r="J714" s="411"/>
      <c r="K714" s="61"/>
    </row>
    <row r="715" spans="2:11" x14ac:dyDescent="0.2">
      <c r="B715" s="57"/>
      <c r="C715" s="411"/>
      <c r="D715" s="411"/>
      <c r="E715" s="411"/>
      <c r="F715" s="411"/>
      <c r="G715" s="411"/>
      <c r="H715" s="411"/>
      <c r="I715" s="411"/>
      <c r="J715" s="411"/>
      <c r="K715" s="61"/>
    </row>
    <row r="716" spans="2:11" x14ac:dyDescent="0.2">
      <c r="B716" s="57"/>
      <c r="C716" s="411"/>
      <c r="D716" s="411"/>
      <c r="E716" s="411"/>
      <c r="F716" s="411"/>
      <c r="G716" s="411"/>
      <c r="H716" s="411"/>
      <c r="I716" s="411"/>
      <c r="J716" s="411"/>
      <c r="K716" s="61"/>
    </row>
    <row r="717" spans="2:11" x14ac:dyDescent="0.2">
      <c r="B717" s="57"/>
      <c r="C717" s="196" t="s">
        <v>30</v>
      </c>
      <c r="D717" s="59"/>
      <c r="E717" s="59"/>
      <c r="F717" s="59"/>
      <c r="G717" s="431"/>
      <c r="H717" s="431"/>
      <c r="I717" s="59"/>
      <c r="J717" s="260" t="str">
        <f>IF(G717=$B$994,$A$994,IF(G717=$B$995,$A$995,"Not Calculated"))</f>
        <v>Not Calculated</v>
      </c>
      <c r="K717" s="61"/>
    </row>
    <row r="718" spans="2:11" x14ac:dyDescent="0.2">
      <c r="B718" s="57"/>
      <c r="C718" s="196" t="s">
        <v>32</v>
      </c>
      <c r="D718" s="59"/>
      <c r="E718" s="59"/>
      <c r="F718" s="59"/>
      <c r="G718" s="431"/>
      <c r="H718" s="431"/>
      <c r="I718" s="59"/>
      <c r="J718" s="260" t="str">
        <f t="shared" ref="J718:J725" si="0">IF(G718=$B$994,$A$994,IF(G718=$B$995,$A$995,"Not Calculated"))</f>
        <v>Not Calculated</v>
      </c>
      <c r="K718" s="61"/>
    </row>
    <row r="719" spans="2:11" x14ac:dyDescent="0.2">
      <c r="B719" s="57"/>
      <c r="C719" s="196" t="s">
        <v>34</v>
      </c>
      <c r="D719" s="59"/>
      <c r="E719" s="59"/>
      <c r="F719" s="59"/>
      <c r="G719" s="431"/>
      <c r="H719" s="431"/>
      <c r="I719" s="59"/>
      <c r="J719" s="260" t="str">
        <f t="shared" si="0"/>
        <v>Not Calculated</v>
      </c>
      <c r="K719" s="61"/>
    </row>
    <row r="720" spans="2:11" x14ac:dyDescent="0.2">
      <c r="B720" s="57"/>
      <c r="C720" s="196" t="s">
        <v>35</v>
      </c>
      <c r="D720" s="59"/>
      <c r="E720" s="59"/>
      <c r="F720" s="59"/>
      <c r="G720" s="431"/>
      <c r="H720" s="431"/>
      <c r="I720" s="59"/>
      <c r="J720" s="260" t="str">
        <f t="shared" si="0"/>
        <v>Not Calculated</v>
      </c>
      <c r="K720" s="61"/>
    </row>
    <row r="721" spans="2:11" x14ac:dyDescent="0.2">
      <c r="B721" s="57"/>
      <c r="C721" s="196" t="s">
        <v>37</v>
      </c>
      <c r="D721" s="59"/>
      <c r="E721" s="59"/>
      <c r="F721" s="59"/>
      <c r="G721" s="431"/>
      <c r="H721" s="431"/>
      <c r="I721" s="59"/>
      <c r="J721" s="260" t="str">
        <f t="shared" si="0"/>
        <v>Not Calculated</v>
      </c>
      <c r="K721" s="61"/>
    </row>
    <row r="722" spans="2:11" x14ac:dyDescent="0.2">
      <c r="B722" s="57"/>
      <c r="C722" s="196" t="s">
        <v>38</v>
      </c>
      <c r="D722" s="59"/>
      <c r="E722" s="59"/>
      <c r="F722" s="59"/>
      <c r="G722" s="431"/>
      <c r="H722" s="431"/>
      <c r="I722" s="59"/>
      <c r="J722" s="260" t="str">
        <f t="shared" si="0"/>
        <v>Not Calculated</v>
      </c>
      <c r="K722" s="61"/>
    </row>
    <row r="723" spans="2:11" x14ac:dyDescent="0.2">
      <c r="B723" s="57"/>
      <c r="C723" s="196" t="s">
        <v>40</v>
      </c>
      <c r="D723" s="59"/>
      <c r="E723" s="59"/>
      <c r="F723" s="59"/>
      <c r="G723" s="431"/>
      <c r="H723" s="431"/>
      <c r="I723" s="59"/>
      <c r="J723" s="260" t="str">
        <f t="shared" si="0"/>
        <v>Not Calculated</v>
      </c>
      <c r="K723" s="61"/>
    </row>
    <row r="724" spans="2:11" x14ac:dyDescent="0.2">
      <c r="B724" s="57"/>
      <c r="C724" s="196" t="s">
        <v>41</v>
      </c>
      <c r="D724" s="59"/>
      <c r="E724" s="59"/>
      <c r="F724" s="59"/>
      <c r="G724" s="431"/>
      <c r="H724" s="431"/>
      <c r="I724" s="59"/>
      <c r="J724" s="260" t="str">
        <f t="shared" si="0"/>
        <v>Not Calculated</v>
      </c>
      <c r="K724" s="61"/>
    </row>
    <row r="725" spans="2:11" x14ac:dyDescent="0.2">
      <c r="B725" s="57"/>
      <c r="C725" s="196" t="s">
        <v>43</v>
      </c>
      <c r="D725" s="59"/>
      <c r="E725" s="59"/>
      <c r="F725" s="59"/>
      <c r="G725" s="431"/>
      <c r="H725" s="431"/>
      <c r="I725" s="59"/>
      <c r="J725" s="260" t="str">
        <f t="shared" si="0"/>
        <v>Not Calculated</v>
      </c>
      <c r="K725" s="61"/>
    </row>
    <row r="726" spans="2:11" x14ac:dyDescent="0.2">
      <c r="B726" s="57"/>
      <c r="C726" s="59"/>
      <c r="D726" s="59"/>
      <c r="E726" s="59"/>
      <c r="F726" s="59"/>
      <c r="G726" s="59"/>
      <c r="H726" s="59"/>
      <c r="I726" s="59"/>
      <c r="J726" s="59"/>
      <c r="K726" s="61"/>
    </row>
    <row r="727" spans="2:11" x14ac:dyDescent="0.2">
      <c r="B727" s="57"/>
      <c r="C727" s="59"/>
      <c r="D727" s="59"/>
      <c r="E727" s="59"/>
      <c r="F727" s="59"/>
      <c r="G727" s="59"/>
      <c r="H727" s="59"/>
      <c r="I727" s="59"/>
      <c r="J727" s="59"/>
      <c r="K727" s="61"/>
    </row>
    <row r="728" spans="2:11" ht="16" x14ac:dyDescent="0.2">
      <c r="B728" s="57"/>
      <c r="C728" s="195" t="s">
        <v>115</v>
      </c>
      <c r="D728" s="59"/>
      <c r="E728" s="59"/>
      <c r="F728" s="59"/>
      <c r="G728" s="59"/>
      <c r="H728" s="59"/>
      <c r="I728" s="59"/>
      <c r="J728" s="59"/>
      <c r="K728" s="61"/>
    </row>
    <row r="729" spans="2:11" ht="15" customHeight="1" x14ac:dyDescent="0.2">
      <c r="B729" s="57"/>
      <c r="C729" s="411" t="s">
        <v>365</v>
      </c>
      <c r="D729" s="411"/>
      <c r="E729" s="411"/>
      <c r="F729" s="411"/>
      <c r="G729" s="411"/>
      <c r="H729" s="411"/>
      <c r="I729" s="411"/>
      <c r="J729" s="411"/>
      <c r="K729" s="61"/>
    </row>
    <row r="730" spans="2:11" x14ac:dyDescent="0.2">
      <c r="B730" s="57"/>
      <c r="C730" s="411"/>
      <c r="D730" s="411"/>
      <c r="E730" s="411"/>
      <c r="F730" s="411"/>
      <c r="G730" s="411"/>
      <c r="H730" s="411"/>
      <c r="I730" s="411"/>
      <c r="J730" s="411"/>
      <c r="K730" s="61"/>
    </row>
    <row r="731" spans="2:11" x14ac:dyDescent="0.2">
      <c r="B731" s="57"/>
      <c r="C731" s="411"/>
      <c r="D731" s="411"/>
      <c r="E731" s="411"/>
      <c r="F731" s="411"/>
      <c r="G731" s="411"/>
      <c r="H731" s="411"/>
      <c r="I731" s="411"/>
      <c r="J731" s="411"/>
      <c r="K731" s="61"/>
    </row>
    <row r="732" spans="2:11" x14ac:dyDescent="0.2">
      <c r="B732" s="57"/>
      <c r="C732" s="196" t="s">
        <v>30</v>
      </c>
      <c r="D732" s="59"/>
      <c r="E732" s="59"/>
      <c r="F732" s="59"/>
      <c r="G732" s="431"/>
      <c r="H732" s="431"/>
      <c r="I732" s="59"/>
      <c r="J732" s="260" t="str">
        <f>IF(G732=$B$994,$A$994,IF(G732=$B$995,$A$995,"Not Calculated"))</f>
        <v>Not Calculated</v>
      </c>
      <c r="K732" s="61"/>
    </row>
    <row r="733" spans="2:11" x14ac:dyDescent="0.2">
      <c r="B733" s="57"/>
      <c r="C733" s="196" t="s">
        <v>32</v>
      </c>
      <c r="D733" s="59"/>
      <c r="E733" s="59"/>
      <c r="F733" s="59"/>
      <c r="G733" s="431"/>
      <c r="H733" s="431"/>
      <c r="I733" s="59"/>
      <c r="J733" s="260" t="str">
        <f t="shared" ref="J733:J740" si="1">IF(G733=$B$994,$A$994,IF(G733=$B$995,$A$995,"Not Calculated"))</f>
        <v>Not Calculated</v>
      </c>
      <c r="K733" s="61"/>
    </row>
    <row r="734" spans="2:11" ht="15" customHeight="1" x14ac:dyDescent="0.2">
      <c r="B734" s="57"/>
      <c r="C734" s="196" t="s">
        <v>34</v>
      </c>
      <c r="D734" s="59"/>
      <c r="E734" s="59"/>
      <c r="F734" s="59"/>
      <c r="G734" s="431"/>
      <c r="H734" s="431"/>
      <c r="I734" s="59"/>
      <c r="J734" s="260" t="str">
        <f t="shared" si="1"/>
        <v>Not Calculated</v>
      </c>
      <c r="K734" s="61"/>
    </row>
    <row r="735" spans="2:11" x14ac:dyDescent="0.2">
      <c r="B735" s="57"/>
      <c r="C735" s="196" t="s">
        <v>35</v>
      </c>
      <c r="D735" s="59"/>
      <c r="E735" s="59"/>
      <c r="F735" s="59"/>
      <c r="G735" s="431"/>
      <c r="H735" s="431"/>
      <c r="I735" s="59"/>
      <c r="J735" s="260" t="str">
        <f t="shared" si="1"/>
        <v>Not Calculated</v>
      </c>
      <c r="K735" s="61"/>
    </row>
    <row r="736" spans="2:11" x14ac:dyDescent="0.2">
      <c r="B736" s="57"/>
      <c r="C736" s="196" t="s">
        <v>37</v>
      </c>
      <c r="D736" s="59"/>
      <c r="E736" s="59"/>
      <c r="F736" s="59"/>
      <c r="G736" s="431"/>
      <c r="H736" s="431"/>
      <c r="I736" s="59"/>
      <c r="J736" s="260" t="str">
        <f t="shared" si="1"/>
        <v>Not Calculated</v>
      </c>
      <c r="K736" s="61"/>
    </row>
    <row r="737" spans="2:11" x14ac:dyDescent="0.2">
      <c r="B737" s="57"/>
      <c r="C737" s="196" t="s">
        <v>38</v>
      </c>
      <c r="D737" s="59"/>
      <c r="E737" s="59"/>
      <c r="F737" s="59"/>
      <c r="G737" s="431"/>
      <c r="H737" s="431"/>
      <c r="I737" s="59"/>
      <c r="J737" s="260" t="str">
        <f t="shared" si="1"/>
        <v>Not Calculated</v>
      </c>
      <c r="K737" s="61"/>
    </row>
    <row r="738" spans="2:11" x14ac:dyDescent="0.2">
      <c r="B738" s="57"/>
      <c r="C738" s="196" t="s">
        <v>40</v>
      </c>
      <c r="D738" s="59"/>
      <c r="E738" s="59"/>
      <c r="F738" s="59"/>
      <c r="G738" s="431"/>
      <c r="H738" s="431"/>
      <c r="I738" s="59"/>
      <c r="J738" s="260" t="str">
        <f t="shared" si="1"/>
        <v>Not Calculated</v>
      </c>
      <c r="K738" s="61"/>
    </row>
    <row r="739" spans="2:11" x14ac:dyDescent="0.2">
      <c r="B739" s="57"/>
      <c r="C739" s="196" t="s">
        <v>41</v>
      </c>
      <c r="D739" s="59"/>
      <c r="E739" s="59"/>
      <c r="F739" s="59"/>
      <c r="G739" s="431"/>
      <c r="H739" s="431"/>
      <c r="I739" s="59"/>
      <c r="J739" s="260" t="str">
        <f t="shared" si="1"/>
        <v>Not Calculated</v>
      </c>
      <c r="K739" s="61"/>
    </row>
    <row r="740" spans="2:11" x14ac:dyDescent="0.2">
      <c r="B740" s="57"/>
      <c r="C740" s="196" t="s">
        <v>43</v>
      </c>
      <c r="D740" s="59"/>
      <c r="E740" s="59"/>
      <c r="F740" s="59"/>
      <c r="G740" s="431"/>
      <c r="H740" s="431"/>
      <c r="I740" s="59"/>
      <c r="J740" s="260" t="str">
        <f t="shared" si="1"/>
        <v>Not Calculated</v>
      </c>
      <c r="K740" s="61"/>
    </row>
    <row r="741" spans="2:11" x14ac:dyDescent="0.2">
      <c r="B741" s="57"/>
      <c r="C741" s="59"/>
      <c r="D741" s="59"/>
      <c r="E741" s="59"/>
      <c r="F741" s="59"/>
      <c r="G741" s="59"/>
      <c r="H741" s="59"/>
      <c r="I741" s="59"/>
      <c r="J741" s="59"/>
      <c r="K741" s="61"/>
    </row>
    <row r="742" spans="2:11" x14ac:dyDescent="0.2">
      <c r="B742" s="57"/>
      <c r="C742" s="59"/>
      <c r="D742" s="59"/>
      <c r="E742" s="59"/>
      <c r="F742" s="59"/>
      <c r="G742" s="59"/>
      <c r="H742" s="59"/>
      <c r="I742" s="59"/>
      <c r="J742" s="59"/>
      <c r="K742" s="61"/>
    </row>
    <row r="743" spans="2:11" ht="16" x14ac:dyDescent="0.2">
      <c r="B743" s="57"/>
      <c r="C743" s="195" t="s">
        <v>366</v>
      </c>
      <c r="D743" s="59"/>
      <c r="E743" s="59"/>
      <c r="F743" s="59"/>
      <c r="G743" s="59"/>
      <c r="H743" s="59"/>
      <c r="I743" s="59"/>
      <c r="J743" s="59"/>
      <c r="K743" s="61"/>
    </row>
    <row r="744" spans="2:11" ht="15" customHeight="1" x14ac:dyDescent="0.2">
      <c r="B744" s="57"/>
      <c r="C744" s="411" t="s">
        <v>367</v>
      </c>
      <c r="D744" s="411"/>
      <c r="E744" s="411"/>
      <c r="F744" s="411"/>
      <c r="G744" s="411"/>
      <c r="H744" s="411"/>
      <c r="I744" s="411"/>
      <c r="J744" s="411"/>
      <c r="K744" s="61"/>
    </row>
    <row r="745" spans="2:11" x14ac:dyDescent="0.2">
      <c r="B745" s="57"/>
      <c r="C745" s="411"/>
      <c r="D745" s="411"/>
      <c r="E745" s="411"/>
      <c r="F745" s="411"/>
      <c r="G745" s="411"/>
      <c r="H745" s="411"/>
      <c r="I745" s="411"/>
      <c r="J745" s="411"/>
      <c r="K745" s="61"/>
    </row>
    <row r="746" spans="2:11" x14ac:dyDescent="0.2">
      <c r="B746" s="57"/>
      <c r="C746" s="411"/>
      <c r="D746" s="411"/>
      <c r="E746" s="411"/>
      <c r="F746" s="411"/>
      <c r="G746" s="411"/>
      <c r="H746" s="411"/>
      <c r="I746" s="411"/>
      <c r="J746" s="411"/>
      <c r="K746" s="61"/>
    </row>
    <row r="747" spans="2:11" x14ac:dyDescent="0.2">
      <c r="B747" s="57"/>
      <c r="C747" s="196" t="s">
        <v>30</v>
      </c>
      <c r="D747" s="59"/>
      <c r="E747" s="59"/>
      <c r="F747" s="59"/>
      <c r="G747" s="431"/>
      <c r="H747" s="431"/>
      <c r="I747" s="59"/>
      <c r="J747" s="260" t="str">
        <f>IF(G747=$B$994,$A$994,IF(G747=$B$995,$A$995,"Not Calculated"))</f>
        <v>Not Calculated</v>
      </c>
      <c r="K747" s="61"/>
    </row>
    <row r="748" spans="2:11" x14ac:dyDescent="0.2">
      <c r="B748" s="57"/>
      <c r="C748" s="196" t="s">
        <v>32</v>
      </c>
      <c r="D748" s="59"/>
      <c r="E748" s="59"/>
      <c r="F748" s="59"/>
      <c r="G748" s="431"/>
      <c r="H748" s="431"/>
      <c r="I748" s="59"/>
      <c r="J748" s="260" t="str">
        <f t="shared" ref="J748:J755" si="2">IF(G748=$B$994,$A$994,IF(G748=$B$995,$A$995,"Not Calculated"))</f>
        <v>Not Calculated</v>
      </c>
      <c r="K748" s="61"/>
    </row>
    <row r="749" spans="2:11" ht="15" customHeight="1" x14ac:dyDescent="0.2">
      <c r="B749" s="57"/>
      <c r="C749" s="196" t="s">
        <v>34</v>
      </c>
      <c r="D749" s="59"/>
      <c r="E749" s="59"/>
      <c r="F749" s="59"/>
      <c r="G749" s="431"/>
      <c r="H749" s="431"/>
      <c r="I749" s="59"/>
      <c r="J749" s="260" t="str">
        <f t="shared" si="2"/>
        <v>Not Calculated</v>
      </c>
      <c r="K749" s="61"/>
    </row>
    <row r="750" spans="2:11" x14ac:dyDescent="0.2">
      <c r="B750" s="57"/>
      <c r="C750" s="196" t="s">
        <v>35</v>
      </c>
      <c r="D750" s="59"/>
      <c r="E750" s="59"/>
      <c r="F750" s="59"/>
      <c r="G750" s="431"/>
      <c r="H750" s="431"/>
      <c r="I750" s="59"/>
      <c r="J750" s="260" t="str">
        <f t="shared" si="2"/>
        <v>Not Calculated</v>
      </c>
      <c r="K750" s="61"/>
    </row>
    <row r="751" spans="2:11" x14ac:dyDescent="0.2">
      <c r="B751" s="57"/>
      <c r="C751" s="196" t="s">
        <v>37</v>
      </c>
      <c r="D751" s="59"/>
      <c r="E751" s="59"/>
      <c r="F751" s="59"/>
      <c r="G751" s="431"/>
      <c r="H751" s="431"/>
      <c r="I751" s="59"/>
      <c r="J751" s="260" t="str">
        <f t="shared" si="2"/>
        <v>Not Calculated</v>
      </c>
      <c r="K751" s="61"/>
    </row>
    <row r="752" spans="2:11" x14ac:dyDescent="0.2">
      <c r="B752" s="57"/>
      <c r="C752" s="196" t="s">
        <v>38</v>
      </c>
      <c r="D752" s="59"/>
      <c r="E752" s="59"/>
      <c r="F752" s="59"/>
      <c r="G752" s="431"/>
      <c r="H752" s="431"/>
      <c r="I752" s="59"/>
      <c r="J752" s="260" t="str">
        <f t="shared" si="2"/>
        <v>Not Calculated</v>
      </c>
      <c r="K752" s="61"/>
    </row>
    <row r="753" spans="2:11" x14ac:dyDescent="0.2">
      <c r="B753" s="57"/>
      <c r="C753" s="196" t="s">
        <v>40</v>
      </c>
      <c r="D753" s="59"/>
      <c r="E753" s="59"/>
      <c r="F753" s="59"/>
      <c r="G753" s="431"/>
      <c r="H753" s="431"/>
      <c r="I753" s="59"/>
      <c r="J753" s="260" t="str">
        <f t="shared" si="2"/>
        <v>Not Calculated</v>
      </c>
      <c r="K753" s="61"/>
    </row>
    <row r="754" spans="2:11" x14ac:dyDescent="0.2">
      <c r="B754" s="57"/>
      <c r="C754" s="196" t="s">
        <v>41</v>
      </c>
      <c r="D754" s="59"/>
      <c r="E754" s="59"/>
      <c r="F754" s="59"/>
      <c r="G754" s="431"/>
      <c r="H754" s="431"/>
      <c r="I754" s="59"/>
      <c r="J754" s="260" t="str">
        <f t="shared" si="2"/>
        <v>Not Calculated</v>
      </c>
      <c r="K754" s="61"/>
    </row>
    <row r="755" spans="2:11" x14ac:dyDescent="0.2">
      <c r="B755" s="57"/>
      <c r="C755" s="196" t="s">
        <v>43</v>
      </c>
      <c r="D755" s="59"/>
      <c r="E755" s="59"/>
      <c r="F755" s="59"/>
      <c r="G755" s="431"/>
      <c r="H755" s="431"/>
      <c r="I755" s="59"/>
      <c r="J755" s="260" t="str">
        <f t="shared" si="2"/>
        <v>Not Calculated</v>
      </c>
      <c r="K755" s="61"/>
    </row>
    <row r="756" spans="2:11" x14ac:dyDescent="0.2">
      <c r="B756" s="57"/>
      <c r="C756" s="59"/>
      <c r="D756" s="59"/>
      <c r="E756" s="59"/>
      <c r="F756" s="59"/>
      <c r="G756" s="59"/>
      <c r="H756" s="59"/>
      <c r="I756" s="59"/>
      <c r="J756" s="59"/>
      <c r="K756" s="61"/>
    </row>
    <row r="757" spans="2:11" x14ac:dyDescent="0.2">
      <c r="B757" s="57"/>
      <c r="C757" s="59"/>
      <c r="D757" s="59"/>
      <c r="E757" s="59"/>
      <c r="F757" s="59"/>
      <c r="G757" s="59"/>
      <c r="H757" s="59"/>
      <c r="I757" s="59"/>
      <c r="J757" s="59"/>
      <c r="K757" s="61"/>
    </row>
    <row r="758" spans="2:11" ht="16" x14ac:dyDescent="0.2">
      <c r="B758" s="57"/>
      <c r="C758" s="195" t="s">
        <v>368</v>
      </c>
      <c r="D758" s="59"/>
      <c r="E758" s="59"/>
      <c r="F758" s="59"/>
      <c r="G758" s="59"/>
      <c r="H758" s="59"/>
      <c r="I758" s="59"/>
      <c r="J758" s="59"/>
      <c r="K758" s="61"/>
    </row>
    <row r="759" spans="2:11" ht="15" customHeight="1" x14ac:dyDescent="0.2">
      <c r="B759" s="57"/>
      <c r="C759" s="411" t="s">
        <v>369</v>
      </c>
      <c r="D759" s="411"/>
      <c r="E759" s="411"/>
      <c r="F759" s="411"/>
      <c r="G759" s="411"/>
      <c r="H759" s="411"/>
      <c r="I759" s="411"/>
      <c r="J759" s="411"/>
      <c r="K759" s="61"/>
    </row>
    <row r="760" spans="2:11" x14ac:dyDescent="0.2">
      <c r="B760" s="57"/>
      <c r="C760" s="411"/>
      <c r="D760" s="411"/>
      <c r="E760" s="411"/>
      <c r="F760" s="411"/>
      <c r="G760" s="411"/>
      <c r="H760" s="411"/>
      <c r="I760" s="411"/>
      <c r="J760" s="411"/>
      <c r="K760" s="61"/>
    </row>
    <row r="761" spans="2:11" x14ac:dyDescent="0.2">
      <c r="B761" s="57"/>
      <c r="C761" s="411"/>
      <c r="D761" s="411"/>
      <c r="E761" s="411"/>
      <c r="F761" s="411"/>
      <c r="G761" s="411"/>
      <c r="H761" s="411"/>
      <c r="I761" s="411"/>
      <c r="J761" s="411"/>
      <c r="K761" s="61"/>
    </row>
    <row r="762" spans="2:11" x14ac:dyDescent="0.2">
      <c r="B762" s="57"/>
      <c r="C762" s="196" t="s">
        <v>30</v>
      </c>
      <c r="D762" s="59"/>
      <c r="E762" s="59"/>
      <c r="F762" s="59"/>
      <c r="G762" s="431"/>
      <c r="H762" s="431"/>
      <c r="I762" s="59"/>
      <c r="J762" s="260" t="str">
        <f>IF(G762=$B$994,$A$994,IF(G762=$B$995,$A$995,"Not Calculated"))</f>
        <v>Not Calculated</v>
      </c>
      <c r="K762" s="61"/>
    </row>
    <row r="763" spans="2:11" x14ac:dyDescent="0.2">
      <c r="B763" s="57"/>
      <c r="C763" s="196" t="s">
        <v>32</v>
      </c>
      <c r="D763" s="59"/>
      <c r="E763" s="59"/>
      <c r="F763" s="59"/>
      <c r="G763" s="431"/>
      <c r="H763" s="431"/>
      <c r="I763" s="59"/>
      <c r="J763" s="260" t="str">
        <f t="shared" ref="J763:J770" si="3">IF(G763=$B$994,$A$994,IF(G763=$B$995,$A$995,"Not Calculated"))</f>
        <v>Not Calculated</v>
      </c>
      <c r="K763" s="61"/>
    </row>
    <row r="764" spans="2:11" ht="15" customHeight="1" x14ac:dyDescent="0.2">
      <c r="B764" s="57"/>
      <c r="C764" s="196" t="s">
        <v>34</v>
      </c>
      <c r="D764" s="59"/>
      <c r="E764" s="59"/>
      <c r="F764" s="59"/>
      <c r="G764" s="431"/>
      <c r="H764" s="431"/>
      <c r="I764" s="59"/>
      <c r="J764" s="260" t="str">
        <f t="shared" si="3"/>
        <v>Not Calculated</v>
      </c>
      <c r="K764" s="61"/>
    </row>
    <row r="765" spans="2:11" x14ac:dyDescent="0.2">
      <c r="B765" s="57"/>
      <c r="C765" s="196" t="s">
        <v>35</v>
      </c>
      <c r="D765" s="59"/>
      <c r="E765" s="59"/>
      <c r="F765" s="59"/>
      <c r="G765" s="431"/>
      <c r="H765" s="431"/>
      <c r="I765" s="59"/>
      <c r="J765" s="260" t="str">
        <f t="shared" si="3"/>
        <v>Not Calculated</v>
      </c>
      <c r="K765" s="61"/>
    </row>
    <row r="766" spans="2:11" x14ac:dyDescent="0.2">
      <c r="B766" s="57"/>
      <c r="C766" s="196" t="s">
        <v>37</v>
      </c>
      <c r="D766" s="59"/>
      <c r="E766" s="59"/>
      <c r="F766" s="59"/>
      <c r="G766" s="431"/>
      <c r="H766" s="431"/>
      <c r="I766" s="59"/>
      <c r="J766" s="260" t="str">
        <f t="shared" si="3"/>
        <v>Not Calculated</v>
      </c>
      <c r="K766" s="61"/>
    </row>
    <row r="767" spans="2:11" x14ac:dyDescent="0.2">
      <c r="B767" s="57"/>
      <c r="C767" s="196" t="s">
        <v>38</v>
      </c>
      <c r="D767" s="59"/>
      <c r="E767" s="59"/>
      <c r="F767" s="59"/>
      <c r="G767" s="431"/>
      <c r="H767" s="431"/>
      <c r="I767" s="59"/>
      <c r="J767" s="260" t="str">
        <f t="shared" si="3"/>
        <v>Not Calculated</v>
      </c>
      <c r="K767" s="61"/>
    </row>
    <row r="768" spans="2:11" x14ac:dyDescent="0.2">
      <c r="B768" s="57"/>
      <c r="C768" s="196" t="s">
        <v>40</v>
      </c>
      <c r="D768" s="59"/>
      <c r="E768" s="59"/>
      <c r="F768" s="59"/>
      <c r="G768" s="431"/>
      <c r="H768" s="431"/>
      <c r="I768" s="59"/>
      <c r="J768" s="260" t="str">
        <f t="shared" si="3"/>
        <v>Not Calculated</v>
      </c>
      <c r="K768" s="61"/>
    </row>
    <row r="769" spans="2:11" x14ac:dyDescent="0.2">
      <c r="B769" s="57"/>
      <c r="C769" s="196" t="s">
        <v>41</v>
      </c>
      <c r="D769" s="59"/>
      <c r="E769" s="59"/>
      <c r="F769" s="59"/>
      <c r="G769" s="431"/>
      <c r="H769" s="431"/>
      <c r="I769" s="59"/>
      <c r="J769" s="260" t="str">
        <f t="shared" si="3"/>
        <v>Not Calculated</v>
      </c>
      <c r="K769" s="61"/>
    </row>
    <row r="770" spans="2:11" x14ac:dyDescent="0.2">
      <c r="B770" s="57"/>
      <c r="C770" s="196" t="s">
        <v>43</v>
      </c>
      <c r="D770" s="59"/>
      <c r="E770" s="59"/>
      <c r="F770" s="59"/>
      <c r="G770" s="431"/>
      <c r="H770" s="431"/>
      <c r="I770" s="59"/>
      <c r="J770" s="260" t="str">
        <f t="shared" si="3"/>
        <v>Not Calculated</v>
      </c>
      <c r="K770" s="61"/>
    </row>
    <row r="771" spans="2:11" x14ac:dyDescent="0.2">
      <c r="B771" s="57"/>
      <c r="C771" s="59"/>
      <c r="D771" s="59"/>
      <c r="E771" s="59"/>
      <c r="F771" s="59"/>
      <c r="G771" s="59"/>
      <c r="H771" s="59"/>
      <c r="I771" s="59"/>
      <c r="J771" s="59"/>
      <c r="K771" s="61"/>
    </row>
    <row r="772" spans="2:11" x14ac:dyDescent="0.2">
      <c r="B772" s="57"/>
      <c r="C772" s="59"/>
      <c r="D772" s="59"/>
      <c r="E772" s="59"/>
      <c r="F772" s="59"/>
      <c r="G772" s="59"/>
      <c r="H772" s="59"/>
      <c r="I772" s="59"/>
      <c r="J772" s="59"/>
      <c r="K772" s="61"/>
    </row>
    <row r="773" spans="2:11" ht="16" x14ac:dyDescent="0.2">
      <c r="B773" s="57"/>
      <c r="C773" s="197" t="s">
        <v>30</v>
      </c>
      <c r="D773" s="59"/>
      <c r="E773" s="59"/>
      <c r="F773" s="59"/>
      <c r="G773" s="59"/>
      <c r="H773" s="59"/>
      <c r="I773" s="59"/>
      <c r="J773" s="59"/>
      <c r="K773" s="61"/>
    </row>
    <row r="774" spans="2:11" x14ac:dyDescent="0.2">
      <c r="B774" s="57"/>
      <c r="C774" s="59"/>
      <c r="D774" s="59" t="s">
        <v>370</v>
      </c>
      <c r="E774" s="59"/>
      <c r="F774" s="59"/>
      <c r="G774" s="59"/>
      <c r="H774" s="59"/>
      <c r="I774" s="59"/>
      <c r="J774" s="60">
        <f>'Baseline At-Risk Pops'!H8</f>
        <v>0</v>
      </c>
      <c r="K774" s="61"/>
    </row>
    <row r="775" spans="2:11" x14ac:dyDescent="0.2">
      <c r="B775" s="57"/>
      <c r="C775" s="59"/>
      <c r="D775" s="59" t="s">
        <v>371</v>
      </c>
      <c r="E775" s="59"/>
      <c r="F775" s="59"/>
      <c r="G775" s="59"/>
      <c r="H775" s="59"/>
      <c r="I775" s="59"/>
      <c r="J775" s="60">
        <f>SUM(J717,J732,J747,J762)</f>
        <v>0</v>
      </c>
      <c r="K775" s="61"/>
    </row>
    <row r="776" spans="2:11" x14ac:dyDescent="0.2">
      <c r="B776" s="57"/>
      <c r="C776" s="59"/>
      <c r="D776" s="196" t="s">
        <v>372</v>
      </c>
      <c r="E776" s="59"/>
      <c r="F776" s="59"/>
      <c r="G776" s="59"/>
      <c r="H776" s="59"/>
      <c r="I776" s="59"/>
      <c r="J776" s="60">
        <f>AVERAGE(J774,J775)</f>
        <v>0</v>
      </c>
      <c r="K776" s="61"/>
    </row>
    <row r="777" spans="2:11" ht="16" x14ac:dyDescent="0.2">
      <c r="B777" s="57"/>
      <c r="C777" s="197" t="s">
        <v>32</v>
      </c>
      <c r="D777" s="59"/>
      <c r="E777" s="59"/>
      <c r="F777" s="59"/>
      <c r="G777" s="59"/>
      <c r="H777" s="59"/>
      <c r="I777" s="59"/>
      <c r="J777" s="60"/>
      <c r="K777" s="61"/>
    </row>
    <row r="778" spans="2:11" x14ac:dyDescent="0.2">
      <c r="B778" s="57"/>
      <c r="C778" s="59"/>
      <c r="D778" s="59" t="s">
        <v>370</v>
      </c>
      <c r="E778" s="59"/>
      <c r="F778" s="59"/>
      <c r="G778" s="59"/>
      <c r="H778" s="59"/>
      <c r="I778" s="59"/>
      <c r="J778" s="60">
        <f>'Baseline At-Risk Pops'!H14</f>
        <v>0</v>
      </c>
      <c r="K778" s="61"/>
    </row>
    <row r="779" spans="2:11" ht="15" customHeight="1" x14ac:dyDescent="0.2">
      <c r="B779" s="57"/>
      <c r="C779" s="59"/>
      <c r="D779" s="59" t="s">
        <v>371</v>
      </c>
      <c r="E779" s="59"/>
      <c r="F779" s="59"/>
      <c r="G779" s="59"/>
      <c r="H779" s="59"/>
      <c r="I779" s="59"/>
      <c r="J779" s="60">
        <f>SUM(J718,J733,J748,J763)</f>
        <v>0</v>
      </c>
      <c r="K779" s="61"/>
    </row>
    <row r="780" spans="2:11" x14ac:dyDescent="0.2">
      <c r="B780" s="57"/>
      <c r="C780" s="59"/>
      <c r="D780" s="196" t="s">
        <v>372</v>
      </c>
      <c r="E780" s="59"/>
      <c r="F780" s="59"/>
      <c r="G780" s="59"/>
      <c r="H780" s="59"/>
      <c r="I780" s="59"/>
      <c r="J780" s="60">
        <f>AVERAGE(J778,J779)</f>
        <v>0</v>
      </c>
      <c r="K780" s="61"/>
    </row>
    <row r="781" spans="2:11" ht="16" x14ac:dyDescent="0.2">
      <c r="B781" s="57"/>
      <c r="C781" s="197" t="s">
        <v>34</v>
      </c>
      <c r="D781" s="59"/>
      <c r="E781" s="59"/>
      <c r="F781" s="59"/>
      <c r="G781" s="59"/>
      <c r="H781" s="59"/>
      <c r="I781" s="59"/>
      <c r="J781" s="60"/>
      <c r="K781" s="61"/>
    </row>
    <row r="782" spans="2:11" ht="16" x14ac:dyDescent="0.2">
      <c r="B782" s="57"/>
      <c r="C782" s="197"/>
      <c r="D782" s="59" t="s">
        <v>370</v>
      </c>
      <c r="E782" s="59"/>
      <c r="F782" s="59"/>
      <c r="G782" s="59"/>
      <c r="H782" s="59"/>
      <c r="I782" s="59"/>
      <c r="J782" s="60">
        <f>'Baseline At-Risk Pops'!H21</f>
        <v>0</v>
      </c>
      <c r="K782" s="61"/>
    </row>
    <row r="783" spans="2:11" x14ac:dyDescent="0.2">
      <c r="B783" s="57"/>
      <c r="C783" s="59"/>
      <c r="D783" s="59" t="s">
        <v>371</v>
      </c>
      <c r="E783" s="59"/>
      <c r="F783" s="59"/>
      <c r="G783" s="59"/>
      <c r="H783" s="59"/>
      <c r="I783" s="59"/>
      <c r="J783" s="60">
        <f>SUM(J719,J734,J749,J764)</f>
        <v>0</v>
      </c>
      <c r="K783" s="61"/>
    </row>
    <row r="784" spans="2:11" x14ac:dyDescent="0.2">
      <c r="B784" s="57"/>
      <c r="C784" s="59"/>
      <c r="D784" s="196" t="s">
        <v>372</v>
      </c>
      <c r="E784" s="59"/>
      <c r="F784" s="59"/>
      <c r="G784" s="59"/>
      <c r="H784" s="59"/>
      <c r="I784" s="59"/>
      <c r="J784" s="60">
        <f>AVERAGE(J782,J783)</f>
        <v>0</v>
      </c>
      <c r="K784" s="61"/>
    </row>
    <row r="785" spans="2:11" ht="16" x14ac:dyDescent="0.2">
      <c r="B785" s="57"/>
      <c r="C785" s="197" t="s">
        <v>35</v>
      </c>
      <c r="D785" s="59"/>
      <c r="E785" s="59"/>
      <c r="F785" s="59"/>
      <c r="G785" s="59"/>
      <c r="H785" s="59"/>
      <c r="I785" s="59"/>
      <c r="J785" s="60"/>
      <c r="K785" s="61"/>
    </row>
    <row r="786" spans="2:11" x14ac:dyDescent="0.2">
      <c r="B786" s="57"/>
      <c r="C786" s="59"/>
      <c r="D786" s="59" t="s">
        <v>370</v>
      </c>
      <c r="E786" s="59"/>
      <c r="F786" s="59"/>
      <c r="G786" s="59"/>
      <c r="H786" s="59"/>
      <c r="I786" s="59"/>
      <c r="J786" s="60">
        <f>'Baseline At-Risk Pops'!H27</f>
        <v>0</v>
      </c>
      <c r="K786" s="61"/>
    </row>
    <row r="787" spans="2:11" x14ac:dyDescent="0.2">
      <c r="B787" s="57"/>
      <c r="C787" s="59"/>
      <c r="D787" s="59" t="s">
        <v>371</v>
      </c>
      <c r="E787" s="59"/>
      <c r="F787" s="59"/>
      <c r="G787" s="59"/>
      <c r="H787" s="59"/>
      <c r="I787" s="59"/>
      <c r="J787" s="60">
        <f>SUM(J720,J735,J750,J765)</f>
        <v>0</v>
      </c>
      <c r="K787" s="61"/>
    </row>
    <row r="788" spans="2:11" x14ac:dyDescent="0.2">
      <c r="B788" s="57"/>
      <c r="C788" s="59"/>
      <c r="D788" s="196" t="s">
        <v>372</v>
      </c>
      <c r="E788" s="59"/>
      <c r="F788" s="59"/>
      <c r="G788" s="59"/>
      <c r="H788" s="59"/>
      <c r="I788" s="59"/>
      <c r="J788" s="60">
        <f>AVERAGE(J786,J787)</f>
        <v>0</v>
      </c>
      <c r="K788" s="61"/>
    </row>
    <row r="789" spans="2:11" ht="16" x14ac:dyDescent="0.2">
      <c r="B789" s="57"/>
      <c r="C789" s="197" t="s">
        <v>37</v>
      </c>
      <c r="D789" s="59"/>
      <c r="E789" s="59"/>
      <c r="F789" s="59"/>
      <c r="G789" s="59"/>
      <c r="H789" s="59"/>
      <c r="I789" s="59"/>
      <c r="J789" s="60"/>
      <c r="K789" s="61"/>
    </row>
    <row r="790" spans="2:11" x14ac:dyDescent="0.2">
      <c r="B790" s="57"/>
      <c r="C790" s="59"/>
      <c r="D790" s="59" t="s">
        <v>370</v>
      </c>
      <c r="E790" s="59"/>
      <c r="F790" s="59"/>
      <c r="G790" s="59"/>
      <c r="H790" s="59"/>
      <c r="I790" s="59"/>
      <c r="J790" s="60">
        <f>'Baseline At-Risk Pops'!H34</f>
        <v>0</v>
      </c>
      <c r="K790" s="61"/>
    </row>
    <row r="791" spans="2:11" x14ac:dyDescent="0.2">
      <c r="B791" s="57"/>
      <c r="C791" s="59"/>
      <c r="D791" s="59" t="s">
        <v>371</v>
      </c>
      <c r="E791" s="59"/>
      <c r="F791" s="59"/>
      <c r="G791" s="59"/>
      <c r="H791" s="59"/>
      <c r="I791" s="59"/>
      <c r="J791" s="60">
        <f>SUM(J721,J736,J751,J766)</f>
        <v>0</v>
      </c>
      <c r="K791" s="61"/>
    </row>
    <row r="792" spans="2:11" x14ac:dyDescent="0.2">
      <c r="B792" s="57"/>
      <c r="C792" s="59"/>
      <c r="D792" s="196" t="s">
        <v>372</v>
      </c>
      <c r="E792" s="59"/>
      <c r="F792" s="59"/>
      <c r="G792" s="59"/>
      <c r="H792" s="59"/>
      <c r="I792" s="59"/>
      <c r="J792" s="60">
        <f>AVERAGE(J790,J791)</f>
        <v>0</v>
      </c>
      <c r="K792" s="61"/>
    </row>
    <row r="793" spans="2:11" ht="16" x14ac:dyDescent="0.2">
      <c r="B793" s="57"/>
      <c r="C793" s="197" t="s">
        <v>38</v>
      </c>
      <c r="D793" s="59"/>
      <c r="E793" s="59"/>
      <c r="F793" s="59"/>
      <c r="G793" s="59"/>
      <c r="H793" s="59"/>
      <c r="I793" s="59"/>
      <c r="J793" s="60"/>
      <c r="K793" s="61"/>
    </row>
    <row r="794" spans="2:11" x14ac:dyDescent="0.2">
      <c r="B794" s="57"/>
      <c r="C794" s="59"/>
      <c r="D794" s="59" t="s">
        <v>370</v>
      </c>
      <c r="E794" s="59"/>
      <c r="F794" s="59"/>
      <c r="G794" s="59"/>
      <c r="H794" s="59"/>
      <c r="I794" s="59"/>
      <c r="J794" s="60">
        <f>'Baseline At-Risk Pops'!H40</f>
        <v>0</v>
      </c>
      <c r="K794" s="61"/>
    </row>
    <row r="795" spans="2:11" x14ac:dyDescent="0.2">
      <c r="B795" s="57"/>
      <c r="C795" s="59"/>
      <c r="D795" s="59" t="s">
        <v>371</v>
      </c>
      <c r="E795" s="59"/>
      <c r="F795" s="59"/>
      <c r="G795" s="59"/>
      <c r="H795" s="59"/>
      <c r="I795" s="59"/>
      <c r="J795" s="60">
        <f>SUM(J722,J737,J752,J767)</f>
        <v>0</v>
      </c>
      <c r="K795" s="61"/>
    </row>
    <row r="796" spans="2:11" x14ac:dyDescent="0.2">
      <c r="B796" s="57"/>
      <c r="C796" s="59"/>
      <c r="D796" s="196" t="s">
        <v>372</v>
      </c>
      <c r="E796" s="59"/>
      <c r="F796" s="59"/>
      <c r="G796" s="59"/>
      <c r="H796" s="59"/>
      <c r="I796" s="59"/>
      <c r="J796" s="60">
        <f>AVERAGE(J794,J795)</f>
        <v>0</v>
      </c>
      <c r="K796" s="61"/>
    </row>
    <row r="797" spans="2:11" ht="16" x14ac:dyDescent="0.2">
      <c r="B797" s="57"/>
      <c r="C797" s="197" t="s">
        <v>40</v>
      </c>
      <c r="D797" s="59"/>
      <c r="E797" s="59"/>
      <c r="F797" s="59"/>
      <c r="G797" s="59"/>
      <c r="H797" s="59"/>
      <c r="I797" s="59"/>
      <c r="J797" s="60"/>
      <c r="K797" s="61"/>
    </row>
    <row r="798" spans="2:11" x14ac:dyDescent="0.2">
      <c r="B798" s="57"/>
      <c r="C798" s="59"/>
      <c r="D798" s="59" t="s">
        <v>370</v>
      </c>
      <c r="E798" s="59"/>
      <c r="F798" s="59"/>
      <c r="G798" s="59"/>
      <c r="H798" s="59"/>
      <c r="I798" s="59"/>
      <c r="J798" s="60">
        <f>'Baseline At-Risk Pops'!H46</f>
        <v>0</v>
      </c>
      <c r="K798" s="61"/>
    </row>
    <row r="799" spans="2:11" x14ac:dyDescent="0.2">
      <c r="B799" s="57"/>
      <c r="C799" s="59"/>
      <c r="D799" s="59" t="s">
        <v>371</v>
      </c>
      <c r="E799" s="59"/>
      <c r="F799" s="59"/>
      <c r="G799" s="59"/>
      <c r="H799" s="59"/>
      <c r="I799" s="59"/>
      <c r="J799" s="60">
        <f>SUM(J723,J738,J753,J768)</f>
        <v>0</v>
      </c>
      <c r="K799" s="61"/>
    </row>
    <row r="800" spans="2:11" x14ac:dyDescent="0.2">
      <c r="B800" s="57"/>
      <c r="C800" s="59"/>
      <c r="D800" s="196" t="s">
        <v>372</v>
      </c>
      <c r="E800" s="59"/>
      <c r="F800" s="59"/>
      <c r="G800" s="59"/>
      <c r="H800" s="59"/>
      <c r="I800" s="59"/>
      <c r="J800" s="60">
        <f>AVERAGE(J798,J799)</f>
        <v>0</v>
      </c>
      <c r="K800" s="61"/>
    </row>
    <row r="801" spans="2:11" ht="16" x14ac:dyDescent="0.2">
      <c r="B801" s="57"/>
      <c r="C801" s="197" t="s">
        <v>41</v>
      </c>
      <c r="D801" s="59"/>
      <c r="E801" s="59"/>
      <c r="F801" s="59"/>
      <c r="G801" s="59"/>
      <c r="H801" s="59"/>
      <c r="I801" s="59"/>
      <c r="J801" s="60"/>
      <c r="K801" s="61"/>
    </row>
    <row r="802" spans="2:11" ht="16" x14ac:dyDescent="0.2">
      <c r="B802" s="57"/>
      <c r="C802" s="197"/>
      <c r="D802" s="59" t="s">
        <v>370</v>
      </c>
      <c r="E802" s="59"/>
      <c r="F802" s="59"/>
      <c r="G802" s="59"/>
      <c r="H802" s="59"/>
      <c r="I802" s="59"/>
      <c r="J802" s="60">
        <f>'Baseline At-Risk Pops'!H52</f>
        <v>0</v>
      </c>
      <c r="K802" s="61"/>
    </row>
    <row r="803" spans="2:11" x14ac:dyDescent="0.2">
      <c r="B803" s="57"/>
      <c r="C803" s="59"/>
      <c r="D803" s="59" t="s">
        <v>371</v>
      </c>
      <c r="E803" s="59"/>
      <c r="F803" s="59"/>
      <c r="G803" s="59"/>
      <c r="H803" s="59"/>
      <c r="I803" s="59"/>
      <c r="J803" s="60">
        <f>SUM(J724,J739,J754,J769)</f>
        <v>0</v>
      </c>
      <c r="K803" s="61"/>
    </row>
    <row r="804" spans="2:11" x14ac:dyDescent="0.2">
      <c r="B804" s="57"/>
      <c r="C804" s="59"/>
      <c r="D804" s="196" t="s">
        <v>372</v>
      </c>
      <c r="E804" s="59"/>
      <c r="F804" s="59"/>
      <c r="G804" s="59"/>
      <c r="H804" s="59"/>
      <c r="I804" s="59"/>
      <c r="J804" s="60">
        <f>AVERAGE(J802,J803)</f>
        <v>0</v>
      </c>
      <c r="K804" s="61"/>
    </row>
    <row r="805" spans="2:11" ht="16" x14ac:dyDescent="0.2">
      <c r="B805" s="57"/>
      <c r="C805" s="197" t="s">
        <v>43</v>
      </c>
      <c r="D805" s="59"/>
      <c r="E805" s="59"/>
      <c r="F805" s="59"/>
      <c r="G805" s="59"/>
      <c r="H805" s="59"/>
      <c r="I805" s="59"/>
      <c r="J805" s="60"/>
      <c r="K805" s="61"/>
    </row>
    <row r="806" spans="2:11" x14ac:dyDescent="0.2">
      <c r="B806" s="57"/>
      <c r="C806" s="59"/>
      <c r="D806" s="59" t="s">
        <v>370</v>
      </c>
      <c r="E806" s="59"/>
      <c r="F806" s="59"/>
      <c r="G806" s="59"/>
      <c r="H806" s="59"/>
      <c r="I806" s="59"/>
      <c r="J806" s="60">
        <f>'Baseline At-Risk Pops'!H58</f>
        <v>0</v>
      </c>
      <c r="K806" s="61"/>
    </row>
    <row r="807" spans="2:11" x14ac:dyDescent="0.2">
      <c r="B807" s="57"/>
      <c r="C807" s="59"/>
      <c r="D807" s="59" t="s">
        <v>371</v>
      </c>
      <c r="E807" s="59"/>
      <c r="F807" s="59"/>
      <c r="G807" s="59"/>
      <c r="H807" s="59"/>
      <c r="I807" s="59"/>
      <c r="J807" s="60">
        <f>SUM(J725,J740,J755,J770)</f>
        <v>0</v>
      </c>
      <c r="K807" s="61"/>
    </row>
    <row r="808" spans="2:11" x14ac:dyDescent="0.2">
      <c r="B808" s="57"/>
      <c r="C808" s="59"/>
      <c r="D808" s="196" t="s">
        <v>372</v>
      </c>
      <c r="E808" s="59"/>
      <c r="F808" s="59"/>
      <c r="G808" s="59"/>
      <c r="H808" s="59"/>
      <c r="I808" s="59"/>
      <c r="J808" s="60">
        <f>AVERAGE(J806,J807)</f>
        <v>0</v>
      </c>
      <c r="K808" s="61"/>
    </row>
    <row r="809" spans="2:11" x14ac:dyDescent="0.2">
      <c r="B809" s="57"/>
      <c r="C809" s="59"/>
      <c r="D809" s="59"/>
      <c r="E809" s="59"/>
      <c r="F809" s="59"/>
      <c r="G809" s="59"/>
      <c r="H809" s="59"/>
      <c r="I809" s="59"/>
      <c r="J809" s="59"/>
      <c r="K809" s="61"/>
    </row>
    <row r="810" spans="2:11" x14ac:dyDescent="0.2">
      <c r="B810" s="57"/>
      <c r="C810" s="59"/>
      <c r="D810" s="59"/>
      <c r="E810" s="59"/>
      <c r="F810" s="59"/>
      <c r="G810" s="59"/>
      <c r="H810" s="59"/>
      <c r="I810" s="59"/>
      <c r="J810" s="59"/>
      <c r="K810" s="61"/>
    </row>
    <row r="811" spans="2:11" ht="16" x14ac:dyDescent="0.2">
      <c r="B811" s="57"/>
      <c r="C811" s="198" t="s">
        <v>373</v>
      </c>
      <c r="D811" s="59"/>
      <c r="E811" s="59"/>
      <c r="F811" s="59"/>
      <c r="G811" s="59"/>
      <c r="H811" s="59"/>
      <c r="I811" s="59"/>
      <c r="J811" s="261">
        <f>AVERAGE(J776,J780,J784,J788,J792,J796,J800,J804,J808)</f>
        <v>0</v>
      </c>
      <c r="K811" s="61"/>
    </row>
    <row r="812" spans="2:11" ht="16" thickBot="1" x14ac:dyDescent="0.25">
      <c r="B812" s="73"/>
      <c r="C812" s="74"/>
      <c r="D812" s="74"/>
      <c r="E812" s="74"/>
      <c r="F812" s="74"/>
      <c r="G812" s="74"/>
      <c r="H812" s="74"/>
      <c r="I812" s="74"/>
      <c r="J812" s="74"/>
      <c r="K812" s="76"/>
    </row>
    <row r="813" spans="2:11" ht="16" thickBot="1" x14ac:dyDescent="0.25"/>
    <row r="814" spans="2:11" x14ac:dyDescent="0.2">
      <c r="B814" s="199"/>
      <c r="C814" s="200"/>
      <c r="D814" s="200"/>
      <c r="E814" s="200"/>
      <c r="F814" s="200"/>
      <c r="G814" s="200"/>
      <c r="H814" s="200"/>
      <c r="I814" s="200"/>
      <c r="J814" s="200"/>
      <c r="K814" s="201"/>
    </row>
    <row r="815" spans="2:11" ht="21" x14ac:dyDescent="0.25">
      <c r="B815" s="202"/>
      <c r="C815" s="203"/>
      <c r="D815" s="203"/>
      <c r="E815" s="203"/>
      <c r="F815" s="203"/>
      <c r="G815" s="204" t="s">
        <v>233</v>
      </c>
      <c r="H815" s="203"/>
      <c r="I815" s="203"/>
      <c r="J815" s="203"/>
      <c r="K815" s="205"/>
    </row>
    <row r="816" spans="2:11" x14ac:dyDescent="0.2">
      <c r="B816" s="202"/>
      <c r="C816" s="203"/>
      <c r="D816" s="203"/>
      <c r="E816" s="203"/>
      <c r="F816" s="203"/>
      <c r="G816" s="203"/>
      <c r="H816" s="203"/>
      <c r="I816" s="203"/>
      <c r="J816" s="203"/>
      <c r="K816" s="205"/>
    </row>
    <row r="817" spans="2:11" ht="16" x14ac:dyDescent="0.2">
      <c r="B817" s="202"/>
      <c r="C817" s="206" t="s">
        <v>992</v>
      </c>
      <c r="D817" s="203"/>
      <c r="E817" s="203"/>
      <c r="F817" s="203"/>
      <c r="G817" s="203"/>
      <c r="H817" s="203"/>
      <c r="I817" s="203"/>
      <c r="J817" s="262" t="str">
        <f>IF(J700="Not Calculated","Not Calculated",J700*(($J$811/4)+1))</f>
        <v>Not Calculated</v>
      </c>
      <c r="K817" s="205"/>
    </row>
    <row r="818" spans="2:11" x14ac:dyDescent="0.2">
      <c r="B818" s="202"/>
      <c r="C818" s="203"/>
      <c r="D818" s="203" t="s">
        <v>374</v>
      </c>
      <c r="E818" s="203"/>
      <c r="F818" s="203"/>
      <c r="G818" s="203"/>
      <c r="H818" s="203"/>
      <c r="I818" s="203"/>
      <c r="J818" s="203"/>
      <c r="K818" s="205"/>
    </row>
    <row r="819" spans="2:11" x14ac:dyDescent="0.2">
      <c r="B819" s="202"/>
      <c r="C819" s="203"/>
      <c r="D819" s="203"/>
      <c r="E819" s="203"/>
      <c r="F819" s="203"/>
      <c r="G819" s="203"/>
      <c r="H819" s="203"/>
      <c r="I819" s="203"/>
      <c r="J819" s="203"/>
      <c r="K819" s="205"/>
    </row>
    <row r="820" spans="2:11" ht="16" x14ac:dyDescent="0.2">
      <c r="B820" s="202"/>
      <c r="C820" s="206" t="s">
        <v>993</v>
      </c>
      <c r="D820" s="203"/>
      <c r="E820" s="203"/>
      <c r="F820" s="203"/>
      <c r="G820" s="203"/>
      <c r="H820" s="203"/>
      <c r="I820" s="203"/>
      <c r="J820" s="262" t="str">
        <f>IF(J703="Not Calculated","Not Calculated",J703*(($J$811/4)+1))</f>
        <v>Not Calculated</v>
      </c>
      <c r="K820" s="205"/>
    </row>
    <row r="821" spans="2:11" x14ac:dyDescent="0.2">
      <c r="B821" s="202"/>
      <c r="C821" s="203"/>
      <c r="D821" s="203" t="s">
        <v>375</v>
      </c>
      <c r="E821" s="203"/>
      <c r="F821" s="203"/>
      <c r="G821" s="203"/>
      <c r="H821" s="203"/>
      <c r="I821" s="203"/>
      <c r="J821" s="203"/>
      <c r="K821" s="205"/>
    </row>
    <row r="822" spans="2:11" x14ac:dyDescent="0.2">
      <c r="B822" s="202"/>
      <c r="C822" s="203"/>
      <c r="D822" s="203"/>
      <c r="E822" s="203"/>
      <c r="F822" s="203"/>
      <c r="G822" s="203"/>
      <c r="H822" s="203"/>
      <c r="I822" s="203"/>
      <c r="J822" s="203"/>
      <c r="K822" s="205"/>
    </row>
    <row r="823" spans="2:11" ht="16" x14ac:dyDescent="0.2">
      <c r="B823" s="202"/>
      <c r="C823" s="206" t="s">
        <v>994</v>
      </c>
      <c r="D823" s="203"/>
      <c r="E823" s="203"/>
      <c r="F823" s="203"/>
      <c r="G823" s="203"/>
      <c r="H823" s="203"/>
      <c r="I823" s="203"/>
      <c r="J823" s="262" t="str">
        <f>IF(J706="Not Calculated","Not Calculated",J706*(($J$811/4)+1))</f>
        <v>Not Calculated</v>
      </c>
      <c r="K823" s="205"/>
    </row>
    <row r="824" spans="2:11" x14ac:dyDescent="0.2">
      <c r="B824" s="202"/>
      <c r="C824" s="203"/>
      <c r="D824" s="203" t="s">
        <v>376</v>
      </c>
      <c r="E824" s="203"/>
      <c r="F824" s="203"/>
      <c r="G824" s="203"/>
      <c r="H824" s="203"/>
      <c r="I824" s="203"/>
      <c r="J824" s="203"/>
      <c r="K824" s="205"/>
    </row>
    <row r="825" spans="2:11" ht="16" thickBot="1" x14ac:dyDescent="0.25">
      <c r="B825" s="207"/>
      <c r="C825" s="208"/>
      <c r="D825" s="208"/>
      <c r="E825" s="208"/>
      <c r="F825" s="208"/>
      <c r="G825" s="208"/>
      <c r="H825" s="208"/>
      <c r="I825" s="208"/>
      <c r="J825" s="208"/>
      <c r="K825" s="209"/>
    </row>
    <row r="826" spans="2:11" ht="16" thickBot="1" x14ac:dyDescent="0.25"/>
    <row r="827" spans="2:11" x14ac:dyDescent="0.2">
      <c r="B827" s="77"/>
      <c r="C827" s="78"/>
      <c r="D827" s="78"/>
      <c r="E827" s="78"/>
      <c r="F827" s="78"/>
      <c r="G827" s="78"/>
      <c r="H827" s="78"/>
      <c r="I827" s="78"/>
      <c r="J827" s="78"/>
      <c r="K827" s="80"/>
    </row>
    <row r="828" spans="2:11" ht="21" x14ac:dyDescent="0.25">
      <c r="B828" s="81"/>
      <c r="C828" s="85"/>
      <c r="D828" s="85"/>
      <c r="E828" s="85"/>
      <c r="F828" s="85"/>
      <c r="G828" s="210" t="s">
        <v>806</v>
      </c>
      <c r="H828" s="85"/>
      <c r="I828" s="85"/>
      <c r="J828" s="85"/>
      <c r="K828" s="87"/>
    </row>
    <row r="829" spans="2:11" x14ac:dyDescent="0.2">
      <c r="B829" s="81"/>
      <c r="C829" s="85"/>
      <c r="D829" s="85"/>
      <c r="E829" s="85"/>
      <c r="F829" s="85"/>
      <c r="G829" s="85"/>
      <c r="H829" s="85"/>
      <c r="I829" s="85"/>
      <c r="J829" s="85"/>
      <c r="K829" s="87"/>
    </row>
    <row r="830" spans="2:11" ht="15" customHeight="1" x14ac:dyDescent="0.2">
      <c r="B830" s="81"/>
      <c r="C830" s="424" t="s">
        <v>808</v>
      </c>
      <c r="D830" s="424"/>
      <c r="E830" s="424"/>
      <c r="F830" s="424"/>
      <c r="G830" s="424"/>
      <c r="H830" s="424"/>
      <c r="I830" s="424"/>
      <c r="J830" s="424"/>
      <c r="K830" s="87"/>
    </row>
    <row r="831" spans="2:11" x14ac:dyDescent="0.2">
      <c r="B831" s="81"/>
      <c r="C831" s="424"/>
      <c r="D831" s="424"/>
      <c r="E831" s="424"/>
      <c r="F831" s="424"/>
      <c r="G831" s="424"/>
      <c r="H831" s="424"/>
      <c r="I831" s="424"/>
      <c r="J831" s="424"/>
      <c r="K831" s="87"/>
    </row>
    <row r="832" spans="2:11" x14ac:dyDescent="0.2">
      <c r="B832" s="81"/>
      <c r="C832" s="85"/>
      <c r="D832" s="85"/>
      <c r="E832" s="85"/>
      <c r="F832" s="85"/>
      <c r="G832" s="85"/>
      <c r="H832" s="85"/>
      <c r="I832" s="85"/>
      <c r="J832" s="85"/>
      <c r="K832" s="87"/>
    </row>
    <row r="833" spans="2:11" ht="16" x14ac:dyDescent="0.2">
      <c r="B833" s="81"/>
      <c r="C833" s="211" t="s">
        <v>654</v>
      </c>
      <c r="D833" s="85"/>
      <c r="E833" s="85"/>
      <c r="F833" s="85"/>
      <c r="G833" s="85"/>
      <c r="H833" s="85"/>
      <c r="I833" s="85"/>
      <c r="J833" s="85"/>
      <c r="K833" s="87"/>
    </row>
    <row r="834" spans="2:11" x14ac:dyDescent="0.2">
      <c r="B834" s="81"/>
      <c r="C834" s="85" t="s">
        <v>380</v>
      </c>
      <c r="D834" s="85"/>
      <c r="E834" s="85"/>
      <c r="F834" s="85"/>
      <c r="G834" s="406"/>
      <c r="H834" s="407"/>
      <c r="I834" s="85"/>
      <c r="J834" s="83" t="str">
        <f>IF(G834=$B$998,$A$998,IF(G834=$B$999,$A$999,IF(G834=$B$1000,$A$1000,IF(G834=$B$1001,$A$1001,IF(G834=$B$1002,$A$1002,"Not Calculated")))))</f>
        <v>Not Calculated</v>
      </c>
      <c r="K834" s="87"/>
    </row>
    <row r="835" spans="2:11" x14ac:dyDescent="0.2">
      <c r="B835" s="81"/>
      <c r="C835" s="85" t="s">
        <v>134</v>
      </c>
      <c r="D835" s="85"/>
      <c r="E835" s="85"/>
      <c r="F835" s="85"/>
      <c r="G835" s="85"/>
      <c r="H835" s="85"/>
      <c r="I835" s="85"/>
      <c r="J835" s="240">
        <f>'Baseline PHP'!J16</f>
        <v>0</v>
      </c>
      <c r="K835" s="87"/>
    </row>
    <row r="836" spans="2:11" x14ac:dyDescent="0.2">
      <c r="B836" s="81"/>
      <c r="C836" s="85"/>
      <c r="D836" s="85"/>
      <c r="E836" s="85"/>
      <c r="F836" s="85"/>
      <c r="G836" s="85"/>
      <c r="H836" s="85"/>
      <c r="I836" s="85"/>
      <c r="J836" s="85"/>
      <c r="K836" s="87"/>
    </row>
    <row r="837" spans="2:11" ht="16" x14ac:dyDescent="0.2">
      <c r="B837" s="81"/>
      <c r="C837" s="211" t="s">
        <v>655</v>
      </c>
      <c r="D837" s="85"/>
      <c r="E837" s="85"/>
      <c r="F837" s="85"/>
      <c r="G837" s="85"/>
      <c r="H837" s="85"/>
      <c r="I837" s="85"/>
      <c r="J837" s="85"/>
      <c r="K837" s="87"/>
    </row>
    <row r="838" spans="2:11" x14ac:dyDescent="0.2">
      <c r="B838" s="81"/>
      <c r="C838" s="85" t="s">
        <v>380</v>
      </c>
      <c r="D838" s="85"/>
      <c r="E838" s="85"/>
      <c r="F838" s="85"/>
      <c r="G838" s="406"/>
      <c r="H838" s="407"/>
      <c r="I838" s="85"/>
      <c r="J838" s="83" t="str">
        <f>IF(G838=$B$998,$A$998,IF(G838=$B$999,$A$999,IF(G838=$B$1000,$A$1000,IF(G838=$B$1001,$A$1001,IF(G838=$B$1002,$A$1002,"Not Calculated")))))</f>
        <v>Not Calculated</v>
      </c>
      <c r="K838" s="87"/>
    </row>
    <row r="839" spans="2:11" x14ac:dyDescent="0.2">
      <c r="B839" s="81"/>
      <c r="C839" s="85" t="s">
        <v>134</v>
      </c>
      <c r="D839" s="85"/>
      <c r="E839" s="85"/>
      <c r="F839" s="85"/>
      <c r="G839" s="85"/>
      <c r="H839" s="85"/>
      <c r="I839" s="85"/>
      <c r="J839" s="240">
        <f>'Baseline PHP'!J28</f>
        <v>0</v>
      </c>
      <c r="K839" s="87"/>
    </row>
    <row r="840" spans="2:11" x14ac:dyDescent="0.2">
      <c r="B840" s="81"/>
      <c r="C840" s="85"/>
      <c r="D840" s="85"/>
      <c r="E840" s="85"/>
      <c r="F840" s="85"/>
      <c r="G840" s="85"/>
      <c r="H840" s="85"/>
      <c r="I840" s="85"/>
      <c r="J840" s="85"/>
      <c r="K840" s="87"/>
    </row>
    <row r="841" spans="2:11" ht="16" x14ac:dyDescent="0.2">
      <c r="B841" s="81"/>
      <c r="C841" s="211" t="s">
        <v>645</v>
      </c>
      <c r="D841" s="85"/>
      <c r="E841" s="85"/>
      <c r="F841" s="85"/>
      <c r="G841" s="85"/>
      <c r="H841" s="85"/>
      <c r="I841" s="85"/>
      <c r="J841" s="85"/>
      <c r="K841" s="87"/>
    </row>
    <row r="842" spans="2:11" x14ac:dyDescent="0.2">
      <c r="B842" s="81"/>
      <c r="C842" s="85" t="s">
        <v>380</v>
      </c>
      <c r="D842" s="85"/>
      <c r="E842" s="85"/>
      <c r="F842" s="85"/>
      <c r="G842" s="406"/>
      <c r="H842" s="407"/>
      <c r="I842" s="85"/>
      <c r="J842" s="83" t="str">
        <f>IF(G842=$B$998,$A$998,IF(G842=$B$999,$A$999,IF(G842=$B$1000,$A$1000,IF(G842=$B$1001,$A$1001,IF(G842=$B$1002,$A$1002,"Not Calculated")))))</f>
        <v>Not Calculated</v>
      </c>
      <c r="K842" s="87"/>
    </row>
    <row r="843" spans="2:11" x14ac:dyDescent="0.2">
      <c r="B843" s="81"/>
      <c r="C843" s="85" t="s">
        <v>134</v>
      </c>
      <c r="D843" s="85"/>
      <c r="E843" s="85"/>
      <c r="F843" s="85"/>
      <c r="G843" s="85"/>
      <c r="H843" s="85"/>
      <c r="I843" s="85"/>
      <c r="J843" s="240">
        <f>'Baseline PHP'!J44</f>
        <v>0</v>
      </c>
      <c r="K843" s="87"/>
    </row>
    <row r="844" spans="2:11" x14ac:dyDescent="0.2">
      <c r="B844" s="81"/>
      <c r="C844" s="85"/>
      <c r="D844" s="85"/>
      <c r="E844" s="85"/>
      <c r="F844" s="85"/>
      <c r="G844" s="85"/>
      <c r="H844" s="85"/>
      <c r="I844" s="85"/>
      <c r="J844" s="85"/>
      <c r="K844" s="87"/>
    </row>
    <row r="845" spans="2:11" ht="16" x14ac:dyDescent="0.2">
      <c r="B845" s="81"/>
      <c r="C845" s="211" t="s">
        <v>646</v>
      </c>
      <c r="D845" s="85"/>
      <c r="E845" s="85"/>
      <c r="F845" s="85"/>
      <c r="G845" s="85"/>
      <c r="H845" s="85"/>
      <c r="I845" s="85"/>
      <c r="J845" s="85"/>
      <c r="K845" s="87"/>
    </row>
    <row r="846" spans="2:11" x14ac:dyDescent="0.2">
      <c r="B846" s="81"/>
      <c r="C846" s="85" t="s">
        <v>380</v>
      </c>
      <c r="D846" s="85"/>
      <c r="E846" s="85"/>
      <c r="F846" s="85"/>
      <c r="G846" s="406"/>
      <c r="H846" s="407"/>
      <c r="I846" s="85"/>
      <c r="J846" s="83" t="str">
        <f>IF(G846=$B$998,$A$998,IF(G846=$B$999,$A$999,IF(G846=$B$1000,$A$1000,IF(G846=$B$1001,$A$1001,IF(G846=$B$1002,$A$1002,"Not Calculated")))))</f>
        <v>Not Calculated</v>
      </c>
      <c r="K846" s="87"/>
    </row>
    <row r="847" spans="2:11" x14ac:dyDescent="0.2">
      <c r="B847" s="81"/>
      <c r="C847" s="85" t="s">
        <v>134</v>
      </c>
      <c r="D847" s="85"/>
      <c r="E847" s="85"/>
      <c r="F847" s="85"/>
      <c r="G847" s="85"/>
      <c r="H847" s="85"/>
      <c r="I847" s="85"/>
      <c r="J847" s="240">
        <f>'Baseline PHP'!J60</f>
        <v>0</v>
      </c>
      <c r="K847" s="87"/>
    </row>
    <row r="848" spans="2:11" x14ac:dyDescent="0.2">
      <c r="B848" s="81"/>
      <c r="C848" s="85"/>
      <c r="D848" s="85"/>
      <c r="E848" s="85"/>
      <c r="F848" s="85"/>
      <c r="G848" s="85"/>
      <c r="H848" s="85"/>
      <c r="I848" s="85"/>
      <c r="J848" s="85"/>
      <c r="K848" s="87"/>
    </row>
    <row r="849" spans="2:11" ht="16" x14ac:dyDescent="0.2">
      <c r="B849" s="81"/>
      <c r="C849" s="211" t="s">
        <v>648</v>
      </c>
      <c r="D849" s="85"/>
      <c r="E849" s="85"/>
      <c r="F849" s="85"/>
      <c r="G849" s="85"/>
      <c r="H849" s="85"/>
      <c r="I849" s="85"/>
      <c r="J849" s="85"/>
      <c r="K849" s="87"/>
    </row>
    <row r="850" spans="2:11" ht="15" customHeight="1" x14ac:dyDescent="0.2">
      <c r="B850" s="81"/>
      <c r="C850" s="85" t="s">
        <v>380</v>
      </c>
      <c r="D850" s="85"/>
      <c r="E850" s="85"/>
      <c r="F850" s="85"/>
      <c r="G850" s="406"/>
      <c r="H850" s="407"/>
      <c r="I850" s="85"/>
      <c r="J850" s="83" t="str">
        <f>IF(G850=$B$998,$A$998,IF(G850=$B$999,$A$999,IF(G850=$B$1000,$A$1000,IF(G850=$B$1001,$A$1001,IF(G850=$B$1002,$A$1002,"Not Calculated")))))</f>
        <v>Not Calculated</v>
      </c>
      <c r="K850" s="87"/>
    </row>
    <row r="851" spans="2:11" x14ac:dyDescent="0.2">
      <c r="B851" s="81"/>
      <c r="C851" s="85" t="s">
        <v>134</v>
      </c>
      <c r="D851" s="85"/>
      <c r="E851" s="85"/>
      <c r="F851" s="85"/>
      <c r="G851" s="85"/>
      <c r="H851" s="85"/>
      <c r="I851" s="85"/>
      <c r="J851" s="240">
        <f>'Baseline PHP'!J76</f>
        <v>0</v>
      </c>
      <c r="K851" s="87"/>
    </row>
    <row r="852" spans="2:11" x14ac:dyDescent="0.2">
      <c r="B852" s="81"/>
      <c r="C852" s="85"/>
      <c r="D852" s="85"/>
      <c r="E852" s="85"/>
      <c r="F852" s="85"/>
      <c r="G852" s="85"/>
      <c r="H852" s="85"/>
      <c r="I852" s="85"/>
      <c r="J852" s="85"/>
      <c r="K852" s="87"/>
    </row>
    <row r="853" spans="2:11" ht="16" x14ac:dyDescent="0.2">
      <c r="B853" s="81"/>
      <c r="C853" s="211" t="s">
        <v>647</v>
      </c>
      <c r="D853" s="85"/>
      <c r="E853" s="85"/>
      <c r="F853" s="85"/>
      <c r="G853" s="85"/>
      <c r="H853" s="85"/>
      <c r="I853" s="85"/>
      <c r="J853" s="85"/>
      <c r="K853" s="87"/>
    </row>
    <row r="854" spans="2:11" x14ac:dyDescent="0.2">
      <c r="B854" s="81"/>
      <c r="C854" s="85" t="s">
        <v>380</v>
      </c>
      <c r="D854" s="85"/>
      <c r="E854" s="85"/>
      <c r="F854" s="85"/>
      <c r="G854" s="406"/>
      <c r="H854" s="407"/>
      <c r="I854" s="85"/>
      <c r="J854" s="83" t="str">
        <f>IF(G854=$B$998,$A$998,IF(G854=$B$999,$A$999,IF(G854=$B$1000,$A$1000,IF(G854=$B$1001,$A$1001,IF(G854=$B$1002,$A$1002,"Not Calculated")))))</f>
        <v>Not Calculated</v>
      </c>
      <c r="K854" s="87"/>
    </row>
    <row r="855" spans="2:11" x14ac:dyDescent="0.2">
      <c r="B855" s="81"/>
      <c r="C855" s="85" t="s">
        <v>134</v>
      </c>
      <c r="D855" s="85"/>
      <c r="E855" s="85"/>
      <c r="F855" s="85"/>
      <c r="G855" s="85"/>
      <c r="H855" s="85"/>
      <c r="I855" s="85"/>
      <c r="J855" s="240">
        <f>'Baseline PHP'!J88</f>
        <v>0</v>
      </c>
      <c r="K855" s="87"/>
    </row>
    <row r="856" spans="2:11" x14ac:dyDescent="0.2">
      <c r="B856" s="81"/>
      <c r="C856" s="85"/>
      <c r="D856" s="85"/>
      <c r="E856" s="85"/>
      <c r="F856" s="85"/>
      <c r="G856" s="85"/>
      <c r="H856" s="85"/>
      <c r="I856" s="85"/>
      <c r="J856" s="85"/>
      <c r="K856" s="87"/>
    </row>
    <row r="857" spans="2:11" ht="16" x14ac:dyDescent="0.2">
      <c r="B857" s="81"/>
      <c r="C857" s="211" t="s">
        <v>115</v>
      </c>
      <c r="D857" s="85"/>
      <c r="E857" s="85"/>
      <c r="F857" s="85"/>
      <c r="G857" s="85"/>
      <c r="H857" s="85"/>
      <c r="I857" s="85"/>
      <c r="J857" s="85"/>
      <c r="K857" s="87"/>
    </row>
    <row r="858" spans="2:11" x14ac:dyDescent="0.2">
      <c r="B858" s="81"/>
      <c r="C858" s="85" t="s">
        <v>380</v>
      </c>
      <c r="D858" s="85"/>
      <c r="E858" s="85"/>
      <c r="F858" s="85"/>
      <c r="G858" s="406"/>
      <c r="H858" s="407"/>
      <c r="I858" s="85"/>
      <c r="J858" s="83" t="str">
        <f>IF(G858=$B$998,$A$998,IF(G858=$B$999,$A$999,IF(G858=$B$1000,$A$1000,IF(G858=$B$1001,$A$1001,IF(G858=$B$1002,$A$1002,"Not Calculated")))))</f>
        <v>Not Calculated</v>
      </c>
      <c r="K858" s="87"/>
    </row>
    <row r="859" spans="2:11" x14ac:dyDescent="0.2">
      <c r="B859" s="81"/>
      <c r="C859" s="85" t="s">
        <v>134</v>
      </c>
      <c r="D859" s="85"/>
      <c r="E859" s="85"/>
      <c r="F859" s="85"/>
      <c r="G859" s="85"/>
      <c r="H859" s="85"/>
      <c r="I859" s="85"/>
      <c r="J859" s="240">
        <f>'Baseline PHP'!J102</f>
        <v>0</v>
      </c>
      <c r="K859" s="87"/>
    </row>
    <row r="860" spans="2:11" x14ac:dyDescent="0.2">
      <c r="B860" s="81"/>
      <c r="C860" s="85"/>
      <c r="D860" s="85"/>
      <c r="E860" s="85"/>
      <c r="F860" s="85"/>
      <c r="G860" s="85"/>
      <c r="H860" s="85"/>
      <c r="I860" s="85"/>
      <c r="J860" s="85"/>
      <c r="K860" s="87"/>
    </row>
    <row r="861" spans="2:11" ht="16" x14ac:dyDescent="0.2">
      <c r="B861" s="81"/>
      <c r="C861" s="211" t="s">
        <v>649</v>
      </c>
      <c r="D861" s="85"/>
      <c r="E861" s="85"/>
      <c r="F861" s="85"/>
      <c r="G861" s="85"/>
      <c r="H861" s="85"/>
      <c r="I861" s="85"/>
      <c r="J861" s="85"/>
      <c r="K861" s="87"/>
    </row>
    <row r="862" spans="2:11" x14ac:dyDescent="0.2">
      <c r="B862" s="81"/>
      <c r="C862" s="85" t="s">
        <v>380</v>
      </c>
      <c r="D862" s="85"/>
      <c r="E862" s="85"/>
      <c r="F862" s="85"/>
      <c r="G862" s="406"/>
      <c r="H862" s="407"/>
      <c r="I862" s="85"/>
      <c r="J862" s="83" t="str">
        <f>IF(G862=$B$998,$A$998,IF(G862=$B$999,$A$999,IF(G862=$B$1000,$A$1000,IF(G862=$B$1001,$A$1001,IF(G862=$B$1002,$A$1002,"Not Calculated")))))</f>
        <v>Not Calculated</v>
      </c>
      <c r="K862" s="87"/>
    </row>
    <row r="863" spans="2:11" x14ac:dyDescent="0.2">
      <c r="B863" s="81"/>
      <c r="C863" s="85" t="s">
        <v>134</v>
      </c>
      <c r="D863" s="85"/>
      <c r="E863" s="85"/>
      <c r="F863" s="85"/>
      <c r="G863" s="85"/>
      <c r="H863" s="85"/>
      <c r="I863" s="85"/>
      <c r="J863" s="240">
        <f>'Baseline PHP'!J118</f>
        <v>0</v>
      </c>
      <c r="K863" s="87"/>
    </row>
    <row r="864" spans="2:11" x14ac:dyDescent="0.2">
      <c r="B864" s="81"/>
      <c r="C864" s="85"/>
      <c r="D864" s="85"/>
      <c r="E864" s="85"/>
      <c r="F864" s="85"/>
      <c r="G864" s="85"/>
      <c r="H864" s="85"/>
      <c r="I864" s="85"/>
      <c r="J864" s="85"/>
      <c r="K864" s="87"/>
    </row>
    <row r="865" spans="2:11" ht="16" x14ac:dyDescent="0.2">
      <c r="B865" s="81"/>
      <c r="C865" s="211" t="s">
        <v>656</v>
      </c>
      <c r="D865" s="85"/>
      <c r="E865" s="85"/>
      <c r="F865" s="85"/>
      <c r="G865" s="85"/>
      <c r="H865" s="85"/>
      <c r="I865" s="85"/>
      <c r="J865" s="85"/>
      <c r="K865" s="87"/>
    </row>
    <row r="866" spans="2:11" x14ac:dyDescent="0.2">
      <c r="B866" s="81"/>
      <c r="C866" s="85" t="s">
        <v>380</v>
      </c>
      <c r="D866" s="85"/>
      <c r="E866" s="85"/>
      <c r="F866" s="85"/>
      <c r="G866" s="406"/>
      <c r="H866" s="407"/>
      <c r="I866" s="85"/>
      <c r="J866" s="83" t="str">
        <f>IF(G866=$B$998,$A$998,IF(G866=$B$999,$A$999,IF(G866=$B$1000,$A$1000,IF(G866=$B$1001,$A$1001,IF(G866=$B$1002,$A$1002,"Not Calculated")))))</f>
        <v>Not Calculated</v>
      </c>
      <c r="K866" s="87"/>
    </row>
    <row r="867" spans="2:11" x14ac:dyDescent="0.2">
      <c r="B867" s="81"/>
      <c r="C867" s="85" t="s">
        <v>134</v>
      </c>
      <c r="D867" s="85"/>
      <c r="E867" s="85"/>
      <c r="F867" s="85"/>
      <c r="G867" s="85"/>
      <c r="H867" s="85"/>
      <c r="I867" s="85"/>
      <c r="J867" s="240">
        <f>'Baseline PHP'!J136</f>
        <v>0</v>
      </c>
      <c r="K867" s="87"/>
    </row>
    <row r="868" spans="2:11" x14ac:dyDescent="0.2">
      <c r="B868" s="81"/>
      <c r="C868" s="85"/>
      <c r="D868" s="85"/>
      <c r="E868" s="85"/>
      <c r="F868" s="85"/>
      <c r="G868" s="85"/>
      <c r="H868" s="85"/>
      <c r="I868" s="85"/>
      <c r="J868" s="85"/>
      <c r="K868" s="87"/>
    </row>
    <row r="869" spans="2:11" ht="16" x14ac:dyDescent="0.2">
      <c r="B869" s="81"/>
      <c r="C869" s="211" t="s">
        <v>121</v>
      </c>
      <c r="D869" s="85"/>
      <c r="E869" s="85"/>
      <c r="F869" s="85"/>
      <c r="G869" s="85"/>
      <c r="H869" s="85"/>
      <c r="I869" s="85"/>
      <c r="J869" s="85"/>
      <c r="K869" s="87"/>
    </row>
    <row r="870" spans="2:11" x14ac:dyDescent="0.2">
      <c r="B870" s="81"/>
      <c r="C870" s="85" t="s">
        <v>380</v>
      </c>
      <c r="D870" s="85"/>
      <c r="E870" s="85"/>
      <c r="F870" s="85"/>
      <c r="G870" s="406"/>
      <c r="H870" s="407"/>
      <c r="I870" s="85"/>
      <c r="J870" s="83" t="str">
        <f>IF(G870=$B$998,$A$998,IF(G870=$B$999,$A$999,IF(G870=$B$1000,$A$1000,IF(G870=$B$1001,$A$1001,IF(G870=$B$1002,$A$1002,"Not Calculated")))))</f>
        <v>Not Calculated</v>
      </c>
      <c r="K870" s="87"/>
    </row>
    <row r="871" spans="2:11" x14ac:dyDescent="0.2">
      <c r="B871" s="81"/>
      <c r="C871" s="85" t="s">
        <v>134</v>
      </c>
      <c r="D871" s="85"/>
      <c r="E871" s="85"/>
      <c r="F871" s="85"/>
      <c r="G871" s="85"/>
      <c r="H871" s="85"/>
      <c r="I871" s="85"/>
      <c r="J871" s="240">
        <f>'Baseline PHP'!J150</f>
        <v>0</v>
      </c>
      <c r="K871" s="87"/>
    </row>
    <row r="872" spans="2:11" x14ac:dyDescent="0.2">
      <c r="B872" s="81"/>
      <c r="C872" s="85"/>
      <c r="D872" s="85"/>
      <c r="E872" s="85"/>
      <c r="F872" s="85"/>
      <c r="G872" s="85"/>
      <c r="H872" s="85"/>
      <c r="I872" s="85"/>
      <c r="J872" s="85"/>
      <c r="K872" s="87"/>
    </row>
    <row r="873" spans="2:11" ht="16" x14ac:dyDescent="0.2">
      <c r="B873" s="81"/>
      <c r="C873" s="211" t="s">
        <v>657</v>
      </c>
      <c r="D873" s="85"/>
      <c r="E873" s="85"/>
      <c r="F873" s="85"/>
      <c r="G873" s="85"/>
      <c r="H873" s="85"/>
      <c r="I873" s="85"/>
      <c r="J873" s="85"/>
      <c r="K873" s="87"/>
    </row>
    <row r="874" spans="2:11" x14ac:dyDescent="0.2">
      <c r="B874" s="81"/>
      <c r="C874" s="85" t="s">
        <v>380</v>
      </c>
      <c r="D874" s="85"/>
      <c r="E874" s="85"/>
      <c r="F874" s="85"/>
      <c r="G874" s="406"/>
      <c r="H874" s="407"/>
      <c r="I874" s="85"/>
      <c r="J874" s="83" t="str">
        <f>IF(G874=$B$998,$A$998,IF(G874=$B$999,$A$999,IF(G874=$B$1000,$A$1000,IF(G874=$B$1001,$A$1001,IF(G874=$B$1002,$A$1002,"Not Calculated")))))</f>
        <v>Not Calculated</v>
      </c>
      <c r="K874" s="87"/>
    </row>
    <row r="875" spans="2:11" x14ac:dyDescent="0.2">
      <c r="B875" s="81"/>
      <c r="C875" s="85" t="s">
        <v>134</v>
      </c>
      <c r="D875" s="85"/>
      <c r="E875" s="85"/>
      <c r="F875" s="85"/>
      <c r="G875" s="85"/>
      <c r="H875" s="85"/>
      <c r="I875" s="85"/>
      <c r="J875" s="240">
        <f>'Baseline PHP'!J164</f>
        <v>0</v>
      </c>
      <c r="K875" s="87"/>
    </row>
    <row r="876" spans="2:11" x14ac:dyDescent="0.2">
      <c r="B876" s="81"/>
      <c r="C876" s="85"/>
      <c r="D876" s="85"/>
      <c r="E876" s="85"/>
      <c r="F876" s="85"/>
      <c r="G876" s="85"/>
      <c r="H876" s="85"/>
      <c r="I876" s="85"/>
      <c r="J876" s="85"/>
      <c r="K876" s="87"/>
    </row>
    <row r="877" spans="2:11" ht="16" x14ac:dyDescent="0.2">
      <c r="B877" s="81"/>
      <c r="C877" s="211" t="s">
        <v>650</v>
      </c>
      <c r="D877" s="85"/>
      <c r="E877" s="85"/>
      <c r="F877" s="85"/>
      <c r="G877" s="85"/>
      <c r="H877" s="85"/>
      <c r="I877" s="85"/>
      <c r="J877" s="85"/>
      <c r="K877" s="87"/>
    </row>
    <row r="878" spans="2:11" x14ac:dyDescent="0.2">
      <c r="B878" s="81"/>
      <c r="C878" s="85" t="s">
        <v>380</v>
      </c>
      <c r="D878" s="85"/>
      <c r="E878" s="85"/>
      <c r="F878" s="85"/>
      <c r="G878" s="406"/>
      <c r="H878" s="407"/>
      <c r="I878" s="85"/>
      <c r="J878" s="83" t="str">
        <f>IF(G878=$B$998,$A$998,IF(G878=$B$999,$A$999,IF(G878=$B$1000,$A$1000,IF(G878=$B$1001,$A$1001,IF(G878=$B$1002,$A$1002,"Not Calculated")))))</f>
        <v>Not Calculated</v>
      </c>
      <c r="K878" s="87"/>
    </row>
    <row r="879" spans="2:11" x14ac:dyDescent="0.2">
      <c r="B879" s="81"/>
      <c r="C879" s="85" t="s">
        <v>134</v>
      </c>
      <c r="D879" s="85"/>
      <c r="E879" s="85"/>
      <c r="F879" s="85"/>
      <c r="G879" s="85"/>
      <c r="H879" s="85"/>
      <c r="I879" s="85"/>
      <c r="J879" s="240">
        <f>'Baseline PHP'!J180</f>
        <v>0</v>
      </c>
      <c r="K879" s="87"/>
    </row>
    <row r="880" spans="2:11" x14ac:dyDescent="0.2">
      <c r="B880" s="81"/>
      <c r="C880" s="85"/>
      <c r="D880" s="85"/>
      <c r="E880" s="85"/>
      <c r="F880" s="85"/>
      <c r="G880" s="85"/>
      <c r="H880" s="85"/>
      <c r="I880" s="85"/>
      <c r="J880" s="85"/>
      <c r="K880" s="87"/>
    </row>
    <row r="881" spans="2:11" ht="16" x14ac:dyDescent="0.2">
      <c r="B881" s="81"/>
      <c r="C881" s="211" t="s">
        <v>651</v>
      </c>
      <c r="D881" s="85"/>
      <c r="E881" s="85"/>
      <c r="F881" s="85"/>
      <c r="G881" s="85"/>
      <c r="H881" s="85"/>
      <c r="I881" s="85"/>
      <c r="J881" s="85"/>
      <c r="K881" s="87"/>
    </row>
    <row r="882" spans="2:11" x14ac:dyDescent="0.2">
      <c r="B882" s="81"/>
      <c r="C882" s="85" t="s">
        <v>380</v>
      </c>
      <c r="D882" s="85"/>
      <c r="E882" s="85"/>
      <c r="F882" s="85"/>
      <c r="G882" s="406"/>
      <c r="H882" s="407"/>
      <c r="I882" s="85"/>
      <c r="J882" s="83" t="str">
        <f>IF(G882=$B$998,$A$998,IF(G882=$B$999,$A$999,IF(G882=$B$1000,$A$1000,IF(G882=$B$1001,$A$1001,IF(G882=$B$1002,$A$1002,"Not Calculated")))))</f>
        <v>Not Calculated</v>
      </c>
      <c r="K882" s="87"/>
    </row>
    <row r="883" spans="2:11" x14ac:dyDescent="0.2">
      <c r="B883" s="81"/>
      <c r="C883" s="85" t="s">
        <v>134</v>
      </c>
      <c r="D883" s="85"/>
      <c r="E883" s="85"/>
      <c r="F883" s="85"/>
      <c r="G883" s="85"/>
      <c r="H883" s="85"/>
      <c r="I883" s="85"/>
      <c r="J883" s="240">
        <f>'Baseline PHP'!J194</f>
        <v>0</v>
      </c>
      <c r="K883" s="87"/>
    </row>
    <row r="884" spans="2:11" x14ac:dyDescent="0.2">
      <c r="B884" s="81"/>
      <c r="C884" s="85"/>
      <c r="D884" s="85"/>
      <c r="E884" s="85"/>
      <c r="F884" s="85"/>
      <c r="G884" s="85"/>
      <c r="H884" s="85"/>
      <c r="I884" s="85"/>
      <c r="J884" s="85"/>
      <c r="K884" s="87"/>
    </row>
    <row r="885" spans="2:11" ht="16" x14ac:dyDescent="0.2">
      <c r="B885" s="81"/>
      <c r="C885" s="211" t="s">
        <v>652</v>
      </c>
      <c r="D885" s="85"/>
      <c r="E885" s="85"/>
      <c r="F885" s="85"/>
      <c r="G885" s="85"/>
      <c r="H885" s="85"/>
      <c r="I885" s="85"/>
      <c r="J885" s="85"/>
      <c r="K885" s="87"/>
    </row>
    <row r="886" spans="2:11" x14ac:dyDescent="0.2">
      <c r="B886" s="81"/>
      <c r="C886" s="85" t="s">
        <v>380</v>
      </c>
      <c r="D886" s="85"/>
      <c r="E886" s="85"/>
      <c r="F886" s="85"/>
      <c r="G886" s="406"/>
      <c r="H886" s="407"/>
      <c r="I886" s="85"/>
      <c r="J886" s="83" t="str">
        <f>IF(G886=$B$998,$A$998,IF(G886=$B$999,$A$999,IF(G886=$B$1000,$A$1000,IF(G886=$B$1001,$A$1001,IF(G886=$B$1002,$A$1002,"Not Calculated")))))</f>
        <v>Not Calculated</v>
      </c>
      <c r="K886" s="87"/>
    </row>
    <row r="887" spans="2:11" x14ac:dyDescent="0.2">
      <c r="B887" s="81"/>
      <c r="C887" s="85" t="s">
        <v>134</v>
      </c>
      <c r="D887" s="85"/>
      <c r="E887" s="85"/>
      <c r="F887" s="85"/>
      <c r="G887" s="85"/>
      <c r="H887" s="85"/>
      <c r="I887" s="85"/>
      <c r="J887" s="240">
        <f>'Baseline PHP'!J208</f>
        <v>0</v>
      </c>
      <c r="K887" s="87"/>
    </row>
    <row r="888" spans="2:11" x14ac:dyDescent="0.2">
      <c r="B888" s="81"/>
      <c r="C888" s="85"/>
      <c r="D888" s="85"/>
      <c r="E888" s="85"/>
      <c r="F888" s="85"/>
      <c r="G888" s="85"/>
      <c r="H888" s="85"/>
      <c r="I888" s="85"/>
      <c r="J888" s="85"/>
      <c r="K888" s="87"/>
    </row>
    <row r="889" spans="2:11" ht="16" x14ac:dyDescent="0.2">
      <c r="B889" s="81"/>
      <c r="C889" s="211" t="s">
        <v>653</v>
      </c>
      <c r="D889" s="85"/>
      <c r="E889" s="85"/>
      <c r="F889" s="85"/>
      <c r="G889" s="85"/>
      <c r="H889" s="85"/>
      <c r="I889" s="85"/>
      <c r="J889" s="85"/>
      <c r="K889" s="87"/>
    </row>
    <row r="890" spans="2:11" x14ac:dyDescent="0.2">
      <c r="B890" s="81"/>
      <c r="C890" s="85" t="s">
        <v>380</v>
      </c>
      <c r="D890" s="85"/>
      <c r="E890" s="85"/>
      <c r="F890" s="85"/>
      <c r="G890" s="406"/>
      <c r="H890" s="407"/>
      <c r="I890" s="85"/>
      <c r="J890" s="83" t="str">
        <f>IF(G890=$B$998,$A$998,IF(G890=$B$999,$A$999,IF(G890=$B$1000,$A$1000,IF(G890=$B$1001,$A$1001,IF(G890=$B$1002,$A$1002,"Not Calculated")))))</f>
        <v>Not Calculated</v>
      </c>
      <c r="K890" s="87"/>
    </row>
    <row r="891" spans="2:11" x14ac:dyDescent="0.2">
      <c r="B891" s="81"/>
      <c r="C891" s="85" t="s">
        <v>134</v>
      </c>
      <c r="D891" s="85"/>
      <c r="E891" s="85"/>
      <c r="F891" s="85"/>
      <c r="G891" s="85"/>
      <c r="H891" s="85"/>
      <c r="I891" s="85"/>
      <c r="J891" s="240">
        <f>'Baseline PHP'!J222</f>
        <v>0</v>
      </c>
      <c r="K891" s="87"/>
    </row>
    <row r="892" spans="2:11" x14ac:dyDescent="0.2">
      <c r="B892" s="81"/>
      <c r="C892" s="85"/>
      <c r="D892" s="85"/>
      <c r="E892" s="85"/>
      <c r="F892" s="85"/>
      <c r="G892" s="85"/>
      <c r="H892" s="85"/>
      <c r="I892" s="85"/>
      <c r="J892" s="85"/>
      <c r="K892" s="87"/>
    </row>
    <row r="893" spans="2:11" x14ac:dyDescent="0.2">
      <c r="B893" s="81"/>
      <c r="C893" s="85"/>
      <c r="D893" s="85"/>
      <c r="E893" s="85"/>
      <c r="F893" s="85"/>
      <c r="G893" s="85"/>
      <c r="H893" s="85"/>
      <c r="I893" s="85"/>
      <c r="J893" s="85"/>
      <c r="K893" s="87"/>
    </row>
    <row r="894" spans="2:11" ht="16" x14ac:dyDescent="0.2">
      <c r="B894" s="81"/>
      <c r="C894" s="212" t="s">
        <v>813</v>
      </c>
      <c r="D894" s="85"/>
      <c r="E894" s="85"/>
      <c r="F894" s="85"/>
      <c r="G894" s="85"/>
      <c r="H894" s="85"/>
      <c r="I894" s="85"/>
      <c r="J894" s="241" t="str">
        <f>IF(OR(J854="Not Calculated",J858="Not Calculated",J862="Not Calculated",J866="Not Calculated",J870="Not Calculated",J874="Not Calculated",J878="Not Calculated",J882="Not Calculated",J886="Not Calculated",J890="Not Calculated",J834="Not Calculated",J838="Not Calculated",J842="Not Calculated",J846="Not Calculated",J850="Not Calculated",J855="Not Calculated",J859="Not Calculated",J863="Not Calculated",J867="Not Calculated",J871="Not Calculated",J875="Not Calculated",J879="Not Calculated",J883="Not Calculated",J887="Not Calculated",J891="Not Calculated",J835="Not Calculated",J839="Not Calculated",J843="Not Calculated",J847="Not Calculated",J851="Not Calculated")=TRUE,"Not Calculated",((J834*J835)+(J838*J839)+(J842*J843)+(J846*J847)+(J850*J851)+(J854*J855)+(J858*J859)+(J862*J863)+(J866*J867)+(J870*J871)+(J874*J875)+(J878*J879)+(J882*J883)+(J886*J887)+(J890*J891))/(J834+J838+J842+J846+J850+J854+J858+J862+J866+J870+J874+J878+J882+J886+J890))</f>
        <v>Not Calculated</v>
      </c>
      <c r="K894" s="87"/>
    </row>
    <row r="895" spans="2:11" ht="16" thickBot="1" x14ac:dyDescent="0.25">
      <c r="B895" s="213"/>
      <c r="C895" s="94"/>
      <c r="D895" s="94"/>
      <c r="E895" s="94"/>
      <c r="F895" s="94"/>
      <c r="G895" s="94"/>
      <c r="H895" s="94"/>
      <c r="I895" s="94"/>
      <c r="J895" s="94"/>
      <c r="K895" s="96"/>
    </row>
    <row r="896" spans="2:11" ht="16" thickBot="1" x14ac:dyDescent="0.25"/>
    <row r="897" spans="2:11" x14ac:dyDescent="0.2">
      <c r="B897" s="77"/>
      <c r="C897" s="78"/>
      <c r="D897" s="78"/>
      <c r="E897" s="78"/>
      <c r="F897" s="78"/>
      <c r="G897" s="78"/>
      <c r="H897" s="78"/>
      <c r="I897" s="78"/>
      <c r="J897" s="78"/>
      <c r="K897" s="80"/>
    </row>
    <row r="898" spans="2:11" ht="21" x14ac:dyDescent="0.25">
      <c r="B898" s="81"/>
      <c r="C898" s="85"/>
      <c r="D898" s="85"/>
      <c r="E898" s="85"/>
      <c r="F898" s="85"/>
      <c r="G898" s="210" t="s">
        <v>807</v>
      </c>
      <c r="H898" s="85"/>
      <c r="I898" s="85"/>
      <c r="J898" s="85"/>
      <c r="K898" s="87"/>
    </row>
    <row r="899" spans="2:11" x14ac:dyDescent="0.2">
      <c r="B899" s="81"/>
      <c r="C899" s="85"/>
      <c r="D899" s="85"/>
      <c r="E899" s="85"/>
      <c r="F899" s="85"/>
      <c r="G899" s="85"/>
      <c r="H899" s="85"/>
      <c r="I899" s="85"/>
      <c r="J899" s="85"/>
      <c r="K899" s="87"/>
    </row>
    <row r="900" spans="2:11" ht="15" customHeight="1" x14ac:dyDescent="0.2">
      <c r="B900" s="81"/>
      <c r="C900" s="424" t="s">
        <v>809</v>
      </c>
      <c r="D900" s="424"/>
      <c r="E900" s="424"/>
      <c r="F900" s="424"/>
      <c r="G900" s="424"/>
      <c r="H900" s="424"/>
      <c r="I900" s="424"/>
      <c r="J900" s="424"/>
      <c r="K900" s="87"/>
    </row>
    <row r="901" spans="2:11" x14ac:dyDescent="0.2">
      <c r="B901" s="81"/>
      <c r="C901" s="424"/>
      <c r="D901" s="424"/>
      <c r="E901" s="424"/>
      <c r="F901" s="424"/>
      <c r="G901" s="424"/>
      <c r="H901" s="424"/>
      <c r="I901" s="424"/>
      <c r="J901" s="424"/>
      <c r="K901" s="87"/>
    </row>
    <row r="902" spans="2:11" x14ac:dyDescent="0.2">
      <c r="B902" s="81"/>
      <c r="C902" s="85"/>
      <c r="D902" s="85"/>
      <c r="E902" s="85"/>
      <c r="F902" s="85"/>
      <c r="G902" s="85"/>
      <c r="H902" s="85"/>
      <c r="I902" s="85"/>
      <c r="J902" s="85"/>
      <c r="K902" s="87"/>
    </row>
    <row r="903" spans="2:11" ht="16" x14ac:dyDescent="0.2">
      <c r="B903" s="81"/>
      <c r="C903" s="211" t="s">
        <v>810</v>
      </c>
      <c r="D903" s="85"/>
      <c r="E903" s="85"/>
      <c r="F903" s="85"/>
      <c r="G903" s="85"/>
      <c r="H903" s="85"/>
      <c r="I903" s="85"/>
      <c r="J903" s="85"/>
      <c r="K903" s="87"/>
    </row>
    <row r="904" spans="2:11" x14ac:dyDescent="0.2">
      <c r="B904" s="81"/>
      <c r="C904" s="85" t="s">
        <v>380</v>
      </c>
      <c r="D904" s="85"/>
      <c r="E904" s="85"/>
      <c r="F904" s="85"/>
      <c r="G904" s="406"/>
      <c r="H904" s="407"/>
      <c r="I904" s="85"/>
      <c r="J904" s="83" t="str">
        <f>IF(G904=$B$998,$A$998,IF(G904=$B$999,$A$999,IF(G904=$B$1000,$A$1000,IF(G904=$B$1001,$A$1001,IF(G904=$B$1002,$A$1002,"Not Calculated")))))</f>
        <v>Not Calculated</v>
      </c>
      <c r="K904" s="87"/>
    </row>
    <row r="905" spans="2:11" x14ac:dyDescent="0.2">
      <c r="B905" s="81"/>
      <c r="C905" s="85" t="s">
        <v>134</v>
      </c>
      <c r="D905" s="85"/>
      <c r="E905" s="85"/>
      <c r="F905" s="85"/>
      <c r="G905" s="85"/>
      <c r="H905" s="85"/>
      <c r="I905" s="85"/>
      <c r="J905" s="240">
        <f>'Baseline HP'!J22</f>
        <v>0</v>
      </c>
      <c r="K905" s="87"/>
    </row>
    <row r="906" spans="2:11" x14ac:dyDescent="0.2">
      <c r="B906" s="81"/>
      <c r="C906" s="85"/>
      <c r="D906" s="85"/>
      <c r="E906" s="85"/>
      <c r="F906" s="85"/>
      <c r="G906" s="85"/>
      <c r="H906" s="85"/>
      <c r="I906" s="85"/>
      <c r="J906" s="85"/>
      <c r="K906" s="87"/>
    </row>
    <row r="907" spans="2:11" ht="16" x14ac:dyDescent="0.2">
      <c r="B907" s="81"/>
      <c r="C907" s="211" t="s">
        <v>811</v>
      </c>
      <c r="D907" s="85"/>
      <c r="E907" s="85"/>
      <c r="F907" s="85"/>
      <c r="G907" s="85"/>
      <c r="H907" s="85"/>
      <c r="I907" s="85"/>
      <c r="J907" s="85"/>
      <c r="K907" s="87"/>
    </row>
    <row r="908" spans="2:11" x14ac:dyDescent="0.2">
      <c r="B908" s="81"/>
      <c r="C908" s="85" t="s">
        <v>380</v>
      </c>
      <c r="D908" s="85"/>
      <c r="E908" s="85"/>
      <c r="F908" s="85"/>
      <c r="G908" s="406"/>
      <c r="H908" s="407"/>
      <c r="I908" s="85"/>
      <c r="J908" s="83" t="str">
        <f>IF(G908=$B$998,$A$998,IF(G908=$B$999,$A$999,IF(G908=$B$1000,$A$1000,IF(G908=$B$1001,$A$1001,IF(G908=$B$1002,$A$1002,"Not Calculated")))))</f>
        <v>Not Calculated</v>
      </c>
      <c r="K908" s="87"/>
    </row>
    <row r="909" spans="2:11" x14ac:dyDescent="0.2">
      <c r="B909" s="81"/>
      <c r="C909" s="85" t="s">
        <v>134</v>
      </c>
      <c r="D909" s="85"/>
      <c r="E909" s="85"/>
      <c r="F909" s="85"/>
      <c r="G909" s="85"/>
      <c r="H909" s="85"/>
      <c r="I909" s="85"/>
      <c r="J909" s="240">
        <f>'Baseline HP'!J32</f>
        <v>0</v>
      </c>
      <c r="K909" s="87"/>
    </row>
    <row r="910" spans="2:11" x14ac:dyDescent="0.2">
      <c r="B910" s="81"/>
      <c r="C910" s="85"/>
      <c r="D910" s="85"/>
      <c r="E910" s="85"/>
      <c r="F910" s="85"/>
      <c r="G910" s="85"/>
      <c r="H910" s="85"/>
      <c r="I910" s="85"/>
      <c r="J910" s="85"/>
      <c r="K910" s="87"/>
    </row>
    <row r="911" spans="2:11" ht="16" x14ac:dyDescent="0.2">
      <c r="B911" s="81"/>
      <c r="C911" s="211" t="s">
        <v>645</v>
      </c>
      <c r="D911" s="85"/>
      <c r="E911" s="85"/>
      <c r="F911" s="85"/>
      <c r="G911" s="85"/>
      <c r="H911" s="85"/>
      <c r="I911" s="85"/>
      <c r="J911" s="85"/>
      <c r="K911" s="87"/>
    </row>
    <row r="912" spans="2:11" x14ac:dyDescent="0.2">
      <c r="B912" s="81"/>
      <c r="C912" s="85" t="s">
        <v>380</v>
      </c>
      <c r="D912" s="85"/>
      <c r="E912" s="85"/>
      <c r="F912" s="85"/>
      <c r="G912" s="406"/>
      <c r="H912" s="407"/>
      <c r="I912" s="85"/>
      <c r="J912" s="83" t="str">
        <f>IF(G912=$B$998,$A$998,IF(G912=$B$999,$A$999,IF(G912=$B$1000,$A$1000,IF(G912=$B$1001,$A$1001,IF(G912=$B$1002,$A$1002,"Not Calculated")))))</f>
        <v>Not Calculated</v>
      </c>
      <c r="K912" s="87"/>
    </row>
    <row r="913" spans="2:11" x14ac:dyDescent="0.2">
      <c r="B913" s="81"/>
      <c r="C913" s="85" t="s">
        <v>134</v>
      </c>
      <c r="D913" s="85"/>
      <c r="E913" s="85"/>
      <c r="F913" s="85"/>
      <c r="G913" s="85"/>
      <c r="H913" s="85"/>
      <c r="I913" s="85"/>
      <c r="J913" s="240">
        <f>'Baseline HP'!J46</f>
        <v>0</v>
      </c>
      <c r="K913" s="87"/>
    </row>
    <row r="914" spans="2:11" x14ac:dyDescent="0.2">
      <c r="B914" s="81"/>
      <c r="C914" s="85"/>
      <c r="D914" s="85"/>
      <c r="E914" s="85"/>
      <c r="F914" s="85"/>
      <c r="G914" s="85"/>
      <c r="H914" s="85"/>
      <c r="I914" s="85"/>
      <c r="J914" s="85"/>
      <c r="K914" s="87"/>
    </row>
    <row r="915" spans="2:11" ht="16" x14ac:dyDescent="0.2">
      <c r="B915" s="81"/>
      <c r="C915" s="211" t="s">
        <v>648</v>
      </c>
      <c r="D915" s="85"/>
      <c r="E915" s="85"/>
      <c r="F915" s="85"/>
      <c r="G915" s="85"/>
      <c r="H915" s="85"/>
      <c r="I915" s="85"/>
      <c r="J915" s="85"/>
      <c r="K915" s="87"/>
    </row>
    <row r="916" spans="2:11" ht="15" customHeight="1" x14ac:dyDescent="0.2">
      <c r="B916" s="81"/>
      <c r="C916" s="85" t="s">
        <v>380</v>
      </c>
      <c r="D916" s="85"/>
      <c r="E916" s="85"/>
      <c r="F916" s="85"/>
      <c r="G916" s="406"/>
      <c r="H916" s="407"/>
      <c r="I916" s="85"/>
      <c r="J916" s="83" t="str">
        <f>IF(G916=$B$998,$A$998,IF(G916=$B$999,$A$999,IF(G916=$B$1000,$A$1000,IF(G916=$B$1001,$A$1001,IF(G916=$B$1002,$A$1002,"Not Calculated")))))</f>
        <v>Not Calculated</v>
      </c>
      <c r="K916" s="87"/>
    </row>
    <row r="917" spans="2:11" x14ac:dyDescent="0.2">
      <c r="B917" s="81"/>
      <c r="C917" s="85" t="s">
        <v>134</v>
      </c>
      <c r="D917" s="85"/>
      <c r="E917" s="85"/>
      <c r="F917" s="85"/>
      <c r="G917" s="85"/>
      <c r="H917" s="85"/>
      <c r="I917" s="85"/>
      <c r="J917" s="240">
        <f>'Baseline HP'!J58</f>
        <v>0</v>
      </c>
      <c r="K917" s="87"/>
    </row>
    <row r="918" spans="2:11" x14ac:dyDescent="0.2">
      <c r="B918" s="81"/>
      <c r="C918" s="85"/>
      <c r="D918" s="85"/>
      <c r="E918" s="85"/>
      <c r="F918" s="85"/>
      <c r="G918" s="85"/>
      <c r="H918" s="85"/>
      <c r="I918" s="85"/>
      <c r="J918" s="85"/>
      <c r="K918" s="87"/>
    </row>
    <row r="919" spans="2:11" ht="16" x14ac:dyDescent="0.2">
      <c r="B919" s="81"/>
      <c r="C919" s="211" t="s">
        <v>647</v>
      </c>
      <c r="D919" s="85"/>
      <c r="E919" s="85"/>
      <c r="F919" s="85"/>
      <c r="G919" s="85"/>
      <c r="H919" s="85"/>
      <c r="I919" s="85"/>
      <c r="J919" s="85"/>
      <c r="K919" s="87"/>
    </row>
    <row r="920" spans="2:11" x14ac:dyDescent="0.2">
      <c r="B920" s="81"/>
      <c r="C920" s="85" t="s">
        <v>380</v>
      </c>
      <c r="D920" s="85"/>
      <c r="E920" s="85"/>
      <c r="F920" s="85"/>
      <c r="G920" s="406"/>
      <c r="H920" s="407"/>
      <c r="I920" s="85"/>
      <c r="J920" s="83" t="str">
        <f>IF(G920=$B$998,$A$998,IF(G920=$B$999,$A$999,IF(G920=$B$1000,$A$1000,IF(G920=$B$1001,$A$1001,IF(G920=$B$1002,$A$1002,"Not Calculated")))))</f>
        <v>Not Calculated</v>
      </c>
      <c r="K920" s="87"/>
    </row>
    <row r="921" spans="2:11" x14ac:dyDescent="0.2">
      <c r="B921" s="81"/>
      <c r="C921" s="85" t="s">
        <v>134</v>
      </c>
      <c r="D921" s="85"/>
      <c r="E921" s="85"/>
      <c r="F921" s="85"/>
      <c r="G921" s="85"/>
      <c r="H921" s="85"/>
      <c r="I921" s="85"/>
      <c r="J921" s="240">
        <f>'Baseline HP'!J68</f>
        <v>0</v>
      </c>
      <c r="K921" s="87"/>
    </row>
    <row r="922" spans="2:11" x14ac:dyDescent="0.2">
      <c r="B922" s="81"/>
      <c r="C922" s="85"/>
      <c r="D922" s="85"/>
      <c r="E922" s="85"/>
      <c r="F922" s="85"/>
      <c r="G922" s="85"/>
      <c r="H922" s="85"/>
      <c r="I922" s="85"/>
      <c r="J922" s="85"/>
      <c r="K922" s="87"/>
    </row>
    <row r="923" spans="2:11" ht="16" x14ac:dyDescent="0.2">
      <c r="B923" s="81"/>
      <c r="C923" s="211" t="s">
        <v>121</v>
      </c>
      <c r="D923" s="85"/>
      <c r="E923" s="85"/>
      <c r="F923" s="85"/>
      <c r="G923" s="85"/>
      <c r="H923" s="85"/>
      <c r="I923" s="85"/>
      <c r="J923" s="85"/>
      <c r="K923" s="87"/>
    </row>
    <row r="924" spans="2:11" x14ac:dyDescent="0.2">
      <c r="B924" s="81"/>
      <c r="C924" s="85" t="s">
        <v>380</v>
      </c>
      <c r="D924" s="85"/>
      <c r="E924" s="85"/>
      <c r="F924" s="85"/>
      <c r="G924" s="406"/>
      <c r="H924" s="407"/>
      <c r="I924" s="85"/>
      <c r="J924" s="83" t="str">
        <f>IF(G924=$B$998,$A$998,IF(G924=$B$999,$A$999,IF(G924=$B$1000,$A$1000,IF(G924=$B$1001,$A$1001,IF(G924=$B$1002,$A$1002,"Not Calculated")))))</f>
        <v>Not Calculated</v>
      </c>
      <c r="K924" s="87"/>
    </row>
    <row r="925" spans="2:11" x14ac:dyDescent="0.2">
      <c r="B925" s="81"/>
      <c r="C925" s="85" t="s">
        <v>134</v>
      </c>
      <c r="D925" s="85"/>
      <c r="E925" s="85"/>
      <c r="F925" s="85"/>
      <c r="G925" s="85"/>
      <c r="H925" s="85"/>
      <c r="I925" s="85"/>
      <c r="J925" s="240">
        <f>'Baseline HP'!J84</f>
        <v>0</v>
      </c>
      <c r="K925" s="87"/>
    </row>
    <row r="926" spans="2:11" x14ac:dyDescent="0.2">
      <c r="B926" s="81"/>
      <c r="C926" s="85"/>
      <c r="D926" s="85"/>
      <c r="E926" s="85"/>
      <c r="F926" s="85"/>
      <c r="G926" s="85"/>
      <c r="H926" s="85"/>
      <c r="I926" s="85"/>
      <c r="J926" s="85"/>
      <c r="K926" s="87"/>
    </row>
    <row r="927" spans="2:11" ht="16" x14ac:dyDescent="0.2">
      <c r="B927" s="81"/>
      <c r="C927" s="211" t="s">
        <v>652</v>
      </c>
      <c r="D927" s="85"/>
      <c r="E927" s="85"/>
      <c r="F927" s="85"/>
      <c r="G927" s="85"/>
      <c r="H927" s="85"/>
      <c r="I927" s="85"/>
      <c r="J927" s="85"/>
      <c r="K927" s="87"/>
    </row>
    <row r="928" spans="2:11" x14ac:dyDescent="0.2">
      <c r="B928" s="81"/>
      <c r="C928" s="85" t="s">
        <v>380</v>
      </c>
      <c r="D928" s="85"/>
      <c r="E928" s="85"/>
      <c r="F928" s="85"/>
      <c r="G928" s="406"/>
      <c r="H928" s="407"/>
      <c r="I928" s="85"/>
      <c r="J928" s="83" t="str">
        <f>IF(G928=$B$998,$A$998,IF(G928=$B$999,$A$999,IF(G928=$B$1000,$A$1000,IF(G928=$B$1001,$A$1001,IF(G928=$B$1002,$A$1002,"Not Calculated")))))</f>
        <v>Not Calculated</v>
      </c>
      <c r="K928" s="87"/>
    </row>
    <row r="929" spans="2:11" x14ac:dyDescent="0.2">
      <c r="B929" s="81"/>
      <c r="C929" s="85" t="s">
        <v>134</v>
      </c>
      <c r="D929" s="85"/>
      <c r="E929" s="85"/>
      <c r="F929" s="85"/>
      <c r="G929" s="85"/>
      <c r="H929" s="85"/>
      <c r="I929" s="85"/>
      <c r="J929" s="240">
        <f>'Baseline HP'!J94</f>
        <v>0</v>
      </c>
      <c r="K929" s="87"/>
    </row>
    <row r="930" spans="2:11" x14ac:dyDescent="0.2">
      <c r="B930" s="81"/>
      <c r="C930" s="85"/>
      <c r="D930" s="85"/>
      <c r="E930" s="85"/>
      <c r="F930" s="85"/>
      <c r="G930" s="85"/>
      <c r="H930" s="85"/>
      <c r="I930" s="85"/>
      <c r="J930" s="85"/>
      <c r="K930" s="87"/>
    </row>
    <row r="931" spans="2:11" ht="16" x14ac:dyDescent="0.2">
      <c r="B931" s="81"/>
      <c r="C931" s="211" t="s">
        <v>653</v>
      </c>
      <c r="D931" s="85"/>
      <c r="E931" s="85"/>
      <c r="F931" s="85"/>
      <c r="G931" s="85"/>
      <c r="H931" s="85"/>
      <c r="I931" s="85"/>
      <c r="J931" s="85"/>
      <c r="K931" s="87"/>
    </row>
    <row r="932" spans="2:11" x14ac:dyDescent="0.2">
      <c r="B932" s="81"/>
      <c r="C932" s="85" t="s">
        <v>380</v>
      </c>
      <c r="D932" s="85"/>
      <c r="E932" s="85"/>
      <c r="F932" s="85"/>
      <c r="G932" s="406"/>
      <c r="H932" s="407"/>
      <c r="I932" s="85"/>
      <c r="J932" s="83" t="str">
        <f>IF(G932=$B$998,$A$998,IF(G932=$B$999,$A$999,IF(G932=$B$1000,$A$1000,IF(G932=$B$1001,$A$1001,IF(G932=$B$1002,$A$1002,"Not Calculated")))))</f>
        <v>Not Calculated</v>
      </c>
      <c r="K932" s="87"/>
    </row>
    <row r="933" spans="2:11" x14ac:dyDescent="0.2">
      <c r="B933" s="81"/>
      <c r="C933" s="85" t="s">
        <v>134</v>
      </c>
      <c r="D933" s="85"/>
      <c r="E933" s="85"/>
      <c r="F933" s="85"/>
      <c r="G933" s="85"/>
      <c r="H933" s="85"/>
      <c r="I933" s="85"/>
      <c r="J933" s="240">
        <f>'Baseline HP'!J108</f>
        <v>0</v>
      </c>
      <c r="K933" s="87"/>
    </row>
    <row r="934" spans="2:11" x14ac:dyDescent="0.2">
      <c r="B934" s="81"/>
      <c r="C934" s="85"/>
      <c r="D934" s="85"/>
      <c r="E934" s="85"/>
      <c r="F934" s="85"/>
      <c r="G934" s="85"/>
      <c r="H934" s="85"/>
      <c r="I934" s="85"/>
      <c r="J934" s="85"/>
      <c r="K934" s="87"/>
    </row>
    <row r="935" spans="2:11" x14ac:dyDescent="0.2">
      <c r="B935" s="81"/>
      <c r="C935" s="85"/>
      <c r="D935" s="85"/>
      <c r="E935" s="85"/>
      <c r="F935" s="85"/>
      <c r="G935" s="85"/>
      <c r="H935" s="85"/>
      <c r="I935" s="85"/>
      <c r="J935" s="85"/>
      <c r="K935" s="87"/>
    </row>
    <row r="936" spans="2:11" ht="16" x14ac:dyDescent="0.2">
      <c r="B936" s="81"/>
      <c r="C936" s="212" t="s">
        <v>812</v>
      </c>
      <c r="D936" s="85"/>
      <c r="E936" s="85"/>
      <c r="F936" s="85"/>
      <c r="G936" s="85"/>
      <c r="H936" s="85"/>
      <c r="I936" s="85"/>
      <c r="J936" s="241" t="str">
        <f>IF(OR(J920="Not Calculated",J924="Not Calculated",J928="Not Calculated",J932="Not Calculated",J904="Not Calculated",J908="Not Calculated",J912="Not Calculated",J916="Not Calculated",J921="Not Calculated",J925="Not Calculated",J929="Not Calculated",J933="Not Calculated",J905="Not Calculated",J909="Not Calculated",J913="Not Calculated",J917="Not Calculated")=TRUE,"Not Calculated",((J904*J905)+(J908*J909)+(J912*J913)+(J916*J917)+(J920*J921)+(J924*J925)+(J928*J929)+(J932*J933))/(J904+J908+J912+J916+J920+J924+J928+J932))</f>
        <v>Not Calculated</v>
      </c>
      <c r="K936" s="87"/>
    </row>
    <row r="937" spans="2:11" ht="16" thickBot="1" x14ac:dyDescent="0.25">
      <c r="B937" s="213"/>
      <c r="C937" s="94"/>
      <c r="D937" s="94"/>
      <c r="E937" s="94"/>
      <c r="F937" s="94"/>
      <c r="G937" s="94"/>
      <c r="H937" s="94"/>
      <c r="I937" s="94"/>
      <c r="J937" s="94"/>
      <c r="K937" s="96"/>
    </row>
    <row r="938" spans="2:11" ht="16" thickBot="1" x14ac:dyDescent="0.25"/>
    <row r="939" spans="2:11" x14ac:dyDescent="0.2">
      <c r="B939" s="77"/>
      <c r="C939" s="78"/>
      <c r="D939" s="78"/>
      <c r="E939" s="78"/>
      <c r="F939" s="78"/>
      <c r="G939" s="78"/>
      <c r="H939" s="78"/>
      <c r="I939" s="78"/>
      <c r="J939" s="78"/>
      <c r="K939" s="80"/>
    </row>
    <row r="940" spans="2:11" ht="21" x14ac:dyDescent="0.25">
      <c r="B940" s="81"/>
      <c r="C940" s="85"/>
      <c r="D940" s="85"/>
      <c r="E940" s="85"/>
      <c r="F940" s="85"/>
      <c r="G940" s="210" t="s">
        <v>815</v>
      </c>
      <c r="H940" s="85"/>
      <c r="I940" s="85"/>
      <c r="J940" s="85"/>
      <c r="K940" s="87"/>
    </row>
    <row r="941" spans="2:11" ht="21" x14ac:dyDescent="0.25">
      <c r="B941" s="81"/>
      <c r="C941" s="85"/>
      <c r="D941" s="85"/>
      <c r="E941" s="85"/>
      <c r="F941" s="85"/>
      <c r="G941" s="210"/>
      <c r="H941" s="85"/>
      <c r="I941" s="85"/>
      <c r="J941" s="85"/>
      <c r="K941" s="87"/>
    </row>
    <row r="942" spans="2:11" ht="16" x14ac:dyDescent="0.2">
      <c r="B942" s="81"/>
      <c r="C942" s="212" t="s">
        <v>995</v>
      </c>
      <c r="D942" s="85"/>
      <c r="E942" s="85"/>
      <c r="F942" s="85"/>
      <c r="G942" s="85"/>
      <c r="H942" s="85"/>
      <c r="I942" s="85"/>
      <c r="J942" s="241" t="str">
        <f>IF(OR(J936="Not Calculated",J894="Not Calculated")=TRUE,"Not Calculated",AVERAGE(J936,J894))</f>
        <v>Not Calculated</v>
      </c>
      <c r="K942" s="87"/>
    </row>
    <row r="943" spans="2:11" ht="16" x14ac:dyDescent="0.2">
      <c r="B943" s="81"/>
      <c r="C943" s="212"/>
      <c r="D943" s="85" t="s">
        <v>814</v>
      </c>
      <c r="E943" s="85"/>
      <c r="F943" s="85"/>
      <c r="G943" s="85"/>
      <c r="H943" s="85"/>
      <c r="I943" s="85"/>
      <c r="J943" s="241"/>
      <c r="K943" s="87"/>
    </row>
    <row r="944" spans="2:11" ht="17" thickBot="1" x14ac:dyDescent="0.25">
      <c r="B944" s="213"/>
      <c r="C944" s="227"/>
      <c r="D944" s="94"/>
      <c r="E944" s="94"/>
      <c r="F944" s="94"/>
      <c r="G944" s="94"/>
      <c r="H944" s="94"/>
      <c r="I944" s="94"/>
      <c r="J944" s="228"/>
      <c r="K944" s="96"/>
    </row>
    <row r="945" spans="2:11" ht="16" thickBot="1" x14ac:dyDescent="0.25"/>
    <row r="946" spans="2:11" x14ac:dyDescent="0.2">
      <c r="B946" s="214"/>
      <c r="C946" s="215"/>
      <c r="D946" s="215"/>
      <c r="E946" s="215"/>
      <c r="F946" s="215"/>
      <c r="G946" s="215"/>
      <c r="H946" s="215"/>
      <c r="I946" s="215"/>
      <c r="J946" s="215"/>
      <c r="K946" s="216"/>
    </row>
    <row r="947" spans="2:11" ht="21" x14ac:dyDescent="0.25">
      <c r="B947" s="217"/>
      <c r="C947" s="218"/>
      <c r="D947" s="218"/>
      <c r="E947" s="218"/>
      <c r="F947" s="218"/>
      <c r="G947" s="219" t="s">
        <v>239</v>
      </c>
      <c r="H947" s="218"/>
      <c r="I947" s="218"/>
      <c r="J947" s="218"/>
      <c r="K947" s="220"/>
    </row>
    <row r="948" spans="2:11" x14ac:dyDescent="0.2">
      <c r="B948" s="217"/>
      <c r="C948" s="218"/>
      <c r="D948" s="218"/>
      <c r="E948" s="218"/>
      <c r="F948" s="218"/>
      <c r="G948" s="218"/>
      <c r="H948" s="218"/>
      <c r="I948" s="218"/>
      <c r="J948" s="218"/>
      <c r="K948" s="220"/>
    </row>
    <row r="949" spans="2:11" ht="16" x14ac:dyDescent="0.2">
      <c r="B949" s="217"/>
      <c r="C949" s="221" t="s">
        <v>393</v>
      </c>
      <c r="D949" s="218"/>
      <c r="E949" s="218"/>
      <c r="F949" s="218"/>
      <c r="G949" s="218"/>
      <c r="H949" s="218"/>
      <c r="I949" s="218"/>
      <c r="J949" s="242" t="str">
        <f>IF(OR(J817="Not Calculated",J942="Not Calculated")=TRUE,"Not Calculated",J817/J942)</f>
        <v>Not Calculated</v>
      </c>
      <c r="K949" s="220"/>
    </row>
    <row r="950" spans="2:11" x14ac:dyDescent="0.2">
      <c r="B950" s="217"/>
      <c r="C950" s="218"/>
      <c r="D950" s="218" t="s">
        <v>816</v>
      </c>
      <c r="E950" s="218"/>
      <c r="F950" s="218"/>
      <c r="G950" s="218"/>
      <c r="H950" s="218"/>
      <c r="I950" s="218"/>
      <c r="J950" s="218"/>
      <c r="K950" s="220"/>
    </row>
    <row r="951" spans="2:11" x14ac:dyDescent="0.2">
      <c r="B951" s="217"/>
      <c r="C951" s="218"/>
      <c r="D951" s="218"/>
      <c r="E951" s="218"/>
      <c r="F951" s="218"/>
      <c r="G951" s="218"/>
      <c r="H951" s="218"/>
      <c r="I951" s="218"/>
      <c r="J951" s="218"/>
      <c r="K951" s="220"/>
    </row>
    <row r="952" spans="2:11" ht="16" x14ac:dyDescent="0.2">
      <c r="B952" s="217"/>
      <c r="C952" s="221" t="s">
        <v>996</v>
      </c>
      <c r="D952" s="218"/>
      <c r="E952" s="218"/>
      <c r="F952" s="218"/>
      <c r="G952" s="218"/>
      <c r="H952" s="218"/>
      <c r="I952" s="218"/>
      <c r="J952" s="242" t="str">
        <f>IF(OR(J820="Not Calculated",J894="Not Calculated")=TRUE,"Not Calculated",J820/J894)</f>
        <v>Not Calculated</v>
      </c>
      <c r="K952" s="220"/>
    </row>
    <row r="953" spans="2:11" x14ac:dyDescent="0.2">
      <c r="B953" s="217"/>
      <c r="C953" s="218"/>
      <c r="D953" s="218" t="s">
        <v>817</v>
      </c>
      <c r="E953" s="218"/>
      <c r="F953" s="218"/>
      <c r="G953" s="218"/>
      <c r="H953" s="218"/>
      <c r="I953" s="218"/>
      <c r="J953" s="218"/>
      <c r="K953" s="220"/>
    </row>
    <row r="954" spans="2:11" x14ac:dyDescent="0.2">
      <c r="B954" s="217"/>
      <c r="C954" s="218"/>
      <c r="D954" s="218"/>
      <c r="E954" s="218"/>
      <c r="F954" s="218"/>
      <c r="G954" s="218"/>
      <c r="H954" s="218"/>
      <c r="I954" s="218"/>
      <c r="J954" s="218"/>
      <c r="K954" s="220"/>
    </row>
    <row r="955" spans="2:11" ht="16" x14ac:dyDescent="0.2">
      <c r="B955" s="217"/>
      <c r="C955" s="221" t="s">
        <v>997</v>
      </c>
      <c r="D955" s="218"/>
      <c r="E955" s="218"/>
      <c r="F955" s="218"/>
      <c r="G955" s="218"/>
      <c r="H955" s="218"/>
      <c r="I955" s="218"/>
      <c r="J955" s="242" t="str">
        <f>IF(OR(J936="Not Calculated",J823="Not Calculated")=TRUE,"Not Calculated",J823/J936)</f>
        <v>Not Calculated</v>
      </c>
      <c r="K955" s="220"/>
    </row>
    <row r="956" spans="2:11" x14ac:dyDescent="0.2">
      <c r="B956" s="217"/>
      <c r="C956" s="218"/>
      <c r="D956" s="218" t="s">
        <v>818</v>
      </c>
      <c r="E956" s="218"/>
      <c r="F956" s="218"/>
      <c r="G956" s="218"/>
      <c r="H956" s="218"/>
      <c r="I956" s="218"/>
      <c r="J956" s="218"/>
      <c r="K956" s="220"/>
    </row>
    <row r="957" spans="2:11" ht="16" thickBot="1" x14ac:dyDescent="0.25">
      <c r="B957" s="222"/>
      <c r="C957" s="223"/>
      <c r="D957" s="223"/>
      <c r="E957" s="223"/>
      <c r="F957" s="223"/>
      <c r="G957" s="223"/>
      <c r="H957" s="223"/>
      <c r="I957" s="223"/>
      <c r="J957" s="223"/>
      <c r="K957" s="224"/>
    </row>
    <row r="959" spans="2:11" ht="15" customHeight="1" x14ac:dyDescent="0.2">
      <c r="F959" s="405"/>
      <c r="G959" s="405"/>
      <c r="H959" s="405"/>
    </row>
    <row r="960" spans="2:11" x14ac:dyDescent="0.2">
      <c r="F960" s="405"/>
      <c r="G960" s="405"/>
      <c r="H960" s="405"/>
    </row>
    <row r="965" spans="1:3" ht="15" hidden="1" customHeight="1" x14ac:dyDescent="0.2">
      <c r="A965" s="12" t="s">
        <v>228</v>
      </c>
    </row>
    <row r="966" spans="1:3" ht="15" hidden="1" customHeight="1" x14ac:dyDescent="0.2">
      <c r="A966" s="12">
        <v>0</v>
      </c>
      <c r="B966" s="12" t="s">
        <v>250</v>
      </c>
      <c r="C966" s="12" t="s">
        <v>240</v>
      </c>
    </row>
    <row r="967" spans="1:3" ht="15" hidden="1" customHeight="1" x14ac:dyDescent="0.2">
      <c r="A967" s="12">
        <v>1</v>
      </c>
      <c r="B967" s="12" t="s">
        <v>251</v>
      </c>
      <c r="C967" s="12" t="s">
        <v>241</v>
      </c>
    </row>
    <row r="968" spans="1:3" ht="15" hidden="1" customHeight="1" x14ac:dyDescent="0.2">
      <c r="A968" s="12">
        <v>2</v>
      </c>
      <c r="B968" s="12" t="s">
        <v>252</v>
      </c>
      <c r="C968" s="12" t="s">
        <v>242</v>
      </c>
    </row>
    <row r="969" spans="1:3" ht="15" hidden="1" customHeight="1" x14ac:dyDescent="0.2">
      <c r="A969" s="12">
        <v>3</v>
      </c>
      <c r="B969" s="12" t="s">
        <v>253</v>
      </c>
      <c r="C969" s="12" t="s">
        <v>227</v>
      </c>
    </row>
    <row r="970" spans="1:3" ht="15" hidden="1" customHeight="1" x14ac:dyDescent="0.2">
      <c r="A970" s="12">
        <v>4</v>
      </c>
      <c r="B970" s="12" t="s">
        <v>254</v>
      </c>
      <c r="C970" s="12" t="s">
        <v>243</v>
      </c>
    </row>
    <row r="971" spans="1:3" ht="15" hidden="1" customHeight="1" x14ac:dyDescent="0.2"/>
    <row r="972" spans="1:3" ht="15" hidden="1" customHeight="1" x14ac:dyDescent="0.2">
      <c r="A972" s="12" t="s">
        <v>259</v>
      </c>
    </row>
    <row r="973" spans="1:3" ht="15" hidden="1" customHeight="1" x14ac:dyDescent="0.2">
      <c r="A973" s="12">
        <v>0</v>
      </c>
      <c r="B973" s="225" t="s">
        <v>870</v>
      </c>
    </row>
    <row r="974" spans="1:3" ht="15" hidden="1" customHeight="1" x14ac:dyDescent="0.2">
      <c r="A974" s="12">
        <v>1</v>
      </c>
      <c r="B974" s="12" t="s">
        <v>880</v>
      </c>
    </row>
    <row r="975" spans="1:3" ht="15" hidden="1" customHeight="1" x14ac:dyDescent="0.2">
      <c r="A975" s="12">
        <v>2</v>
      </c>
      <c r="B975" s="12" t="s">
        <v>872</v>
      </c>
    </row>
    <row r="976" spans="1:3" ht="15" hidden="1" customHeight="1" x14ac:dyDescent="0.2">
      <c r="A976" s="12">
        <v>3</v>
      </c>
      <c r="B976" s="12" t="s">
        <v>873</v>
      </c>
    </row>
    <row r="977" spans="1:2" ht="15" hidden="1" customHeight="1" x14ac:dyDescent="0.2">
      <c r="A977" s="12">
        <v>4</v>
      </c>
      <c r="B977" s="12" t="s">
        <v>874</v>
      </c>
    </row>
    <row r="978" spans="1:2" ht="15" hidden="1" customHeight="1" x14ac:dyDescent="0.2"/>
    <row r="979" spans="1:2" ht="15" hidden="1" customHeight="1" x14ac:dyDescent="0.2">
      <c r="A979" s="12" t="s">
        <v>294</v>
      </c>
    </row>
    <row r="980" spans="1:2" ht="15" hidden="1" customHeight="1" x14ac:dyDescent="0.2">
      <c r="A980" s="12">
        <v>0</v>
      </c>
      <c r="B980" s="225" t="s">
        <v>870</v>
      </c>
    </row>
    <row r="981" spans="1:2" ht="15" hidden="1" customHeight="1" x14ac:dyDescent="0.2">
      <c r="A981" s="12">
        <v>1</v>
      </c>
      <c r="B981" s="12" t="s">
        <v>875</v>
      </c>
    </row>
    <row r="982" spans="1:2" ht="15" hidden="1" customHeight="1" x14ac:dyDescent="0.2">
      <c r="A982" s="12">
        <v>2</v>
      </c>
      <c r="B982" s="12" t="s">
        <v>876</v>
      </c>
    </row>
    <row r="983" spans="1:2" ht="15" hidden="1" customHeight="1" x14ac:dyDescent="0.2">
      <c r="A983" s="12">
        <v>3</v>
      </c>
      <c r="B983" s="12" t="s">
        <v>877</v>
      </c>
    </row>
    <row r="984" spans="1:2" ht="15" hidden="1" customHeight="1" x14ac:dyDescent="0.2">
      <c r="A984" s="12">
        <v>4</v>
      </c>
      <c r="B984" s="12" t="s">
        <v>878</v>
      </c>
    </row>
    <row r="985" spans="1:2" ht="15" hidden="1" customHeight="1" x14ac:dyDescent="0.2"/>
    <row r="986" spans="1:2" ht="15" hidden="1" customHeight="1" x14ac:dyDescent="0.2">
      <c r="A986" s="12" t="s">
        <v>244</v>
      </c>
    </row>
    <row r="987" spans="1:2" ht="15" hidden="1" customHeight="1" x14ac:dyDescent="0.2">
      <c r="A987" s="12">
        <v>0</v>
      </c>
      <c r="B987" s="12" t="s">
        <v>245</v>
      </c>
    </row>
    <row r="988" spans="1:2" ht="15" hidden="1" customHeight="1" x14ac:dyDescent="0.2">
      <c r="A988" s="12">
        <v>1</v>
      </c>
      <c r="B988" s="12" t="s">
        <v>246</v>
      </c>
    </row>
    <row r="989" spans="1:2" ht="15" hidden="1" customHeight="1" x14ac:dyDescent="0.2">
      <c r="A989" s="12">
        <v>2</v>
      </c>
      <c r="B989" s="12" t="s">
        <v>247</v>
      </c>
    </row>
    <row r="990" spans="1:2" ht="15" hidden="1" customHeight="1" x14ac:dyDescent="0.2">
      <c r="A990" s="12">
        <v>3</v>
      </c>
      <c r="B990" s="12" t="s">
        <v>229</v>
      </c>
    </row>
    <row r="991" spans="1:2" ht="15" hidden="1" customHeight="1" x14ac:dyDescent="0.2">
      <c r="A991" s="12">
        <v>4</v>
      </c>
      <c r="B991" s="12" t="s">
        <v>248</v>
      </c>
    </row>
    <row r="992" spans="1:2" ht="15" hidden="1" customHeight="1" x14ac:dyDescent="0.2"/>
    <row r="993" spans="1:11" ht="15" hidden="1" customHeight="1" x14ac:dyDescent="0.2">
      <c r="A993" s="12" t="s">
        <v>381</v>
      </c>
    </row>
    <row r="994" spans="1:11" ht="15" hidden="1" customHeight="1" x14ac:dyDescent="0.2">
      <c r="A994" s="12">
        <v>0</v>
      </c>
      <c r="B994" s="12" t="s">
        <v>202</v>
      </c>
    </row>
    <row r="995" spans="1:11" ht="15" hidden="1" customHeight="1" x14ac:dyDescent="0.2">
      <c r="A995" s="12">
        <v>1</v>
      </c>
      <c r="B995" s="12" t="s">
        <v>190</v>
      </c>
    </row>
    <row r="996" spans="1:11" ht="15" hidden="1" customHeight="1" x14ac:dyDescent="0.2"/>
    <row r="997" spans="1:11" ht="15" hidden="1" customHeight="1" x14ac:dyDescent="0.2">
      <c r="A997" s="12" t="s">
        <v>249</v>
      </c>
    </row>
    <row r="998" spans="1:11" ht="15" hidden="1" customHeight="1" x14ac:dyDescent="0.2">
      <c r="A998" s="12">
        <v>0</v>
      </c>
      <c r="B998" s="12" t="s">
        <v>236</v>
      </c>
    </row>
    <row r="999" spans="1:11" ht="15" hidden="1" customHeight="1" x14ac:dyDescent="0.2">
      <c r="A999" s="12">
        <v>1</v>
      </c>
      <c r="B999" s="12" t="s">
        <v>237</v>
      </c>
    </row>
    <row r="1000" spans="1:11" ht="15" hidden="1" customHeight="1" x14ac:dyDescent="0.2">
      <c r="A1000" s="12">
        <v>2</v>
      </c>
      <c r="B1000" s="12" t="s">
        <v>235</v>
      </c>
    </row>
    <row r="1001" spans="1:11" ht="15" hidden="1" customHeight="1" x14ac:dyDescent="0.2">
      <c r="A1001" s="12">
        <v>3</v>
      </c>
      <c r="B1001" s="12" t="s">
        <v>238</v>
      </c>
    </row>
    <row r="1002" spans="1:11" ht="15" hidden="1" customHeight="1" x14ac:dyDescent="0.2">
      <c r="A1002" s="12">
        <v>4</v>
      </c>
      <c r="B1002" s="12" t="s">
        <v>234</v>
      </c>
    </row>
    <row r="1003" spans="1:11" ht="15" customHeight="1" x14ac:dyDescent="0.2">
      <c r="B1003" s="12" t="s">
        <v>685</v>
      </c>
    </row>
    <row r="1004" spans="1:11" ht="15" customHeight="1" x14ac:dyDescent="0.2">
      <c r="B1004" s="402"/>
      <c r="C1004" s="403"/>
      <c r="D1004" s="403"/>
      <c r="E1004" s="403"/>
      <c r="F1004" s="403"/>
      <c r="G1004" s="403"/>
      <c r="H1004" s="403"/>
      <c r="I1004" s="403"/>
      <c r="J1004" s="403"/>
      <c r="K1004" s="404"/>
    </row>
    <row r="1005" spans="1:11" ht="15" customHeight="1" x14ac:dyDescent="0.2">
      <c r="B1005" s="396"/>
      <c r="C1005" s="397"/>
      <c r="D1005" s="397"/>
      <c r="E1005" s="397"/>
      <c r="F1005" s="397"/>
      <c r="G1005" s="397"/>
      <c r="H1005" s="397"/>
      <c r="I1005" s="397"/>
      <c r="J1005" s="397"/>
      <c r="K1005" s="398"/>
    </row>
    <row r="1006" spans="1:11" ht="15" customHeight="1" x14ac:dyDescent="0.2">
      <c r="B1006" s="396"/>
      <c r="C1006" s="397"/>
      <c r="D1006" s="397"/>
      <c r="E1006" s="397"/>
      <c r="F1006" s="397"/>
      <c r="G1006" s="397"/>
      <c r="H1006" s="397"/>
      <c r="I1006" s="397"/>
      <c r="J1006" s="397"/>
      <c r="K1006" s="398"/>
    </row>
    <row r="1007" spans="1:11" ht="15" customHeight="1" x14ac:dyDescent="0.2">
      <c r="B1007" s="396"/>
      <c r="C1007" s="397"/>
      <c r="D1007" s="397"/>
      <c r="E1007" s="397"/>
      <c r="F1007" s="397"/>
      <c r="G1007" s="397"/>
      <c r="H1007" s="397"/>
      <c r="I1007" s="397"/>
      <c r="J1007" s="397"/>
      <c r="K1007" s="398"/>
    </row>
    <row r="1008" spans="1:11" ht="15" customHeight="1" x14ac:dyDescent="0.2">
      <c r="B1008" s="396"/>
      <c r="C1008" s="397"/>
      <c r="D1008" s="397"/>
      <c r="E1008" s="397"/>
      <c r="F1008" s="397"/>
      <c r="G1008" s="397"/>
      <c r="H1008" s="397"/>
      <c r="I1008" s="397"/>
      <c r="J1008" s="397"/>
      <c r="K1008" s="398"/>
    </row>
    <row r="1009" spans="2:11" ht="15" customHeight="1" x14ac:dyDescent="0.2">
      <c r="B1009" s="396"/>
      <c r="C1009" s="397"/>
      <c r="D1009" s="397"/>
      <c r="E1009" s="397"/>
      <c r="F1009" s="397"/>
      <c r="G1009" s="397"/>
      <c r="H1009" s="397"/>
      <c r="I1009" s="397"/>
      <c r="J1009" s="397"/>
      <c r="K1009" s="398"/>
    </row>
    <row r="1010" spans="2:11" x14ac:dyDescent="0.2">
      <c r="B1010" s="396"/>
      <c r="C1010" s="397"/>
      <c r="D1010" s="397"/>
      <c r="E1010" s="397"/>
      <c r="F1010" s="397"/>
      <c r="G1010" s="397"/>
      <c r="H1010" s="397"/>
      <c r="I1010" s="397"/>
      <c r="J1010" s="397"/>
      <c r="K1010" s="398"/>
    </row>
    <row r="1011" spans="2:11" ht="15" customHeight="1" x14ac:dyDescent="0.2">
      <c r="B1011" s="396"/>
      <c r="C1011" s="397"/>
      <c r="D1011" s="397"/>
      <c r="E1011" s="397"/>
      <c r="F1011" s="397"/>
      <c r="G1011" s="397"/>
      <c r="H1011" s="397"/>
      <c r="I1011" s="397"/>
      <c r="J1011" s="397"/>
      <c r="K1011" s="398"/>
    </row>
    <row r="1012" spans="2:11" ht="30" customHeight="1" x14ac:dyDescent="0.2">
      <c r="B1012" s="396"/>
      <c r="C1012" s="397"/>
      <c r="D1012" s="397"/>
      <c r="E1012" s="397"/>
      <c r="F1012" s="397"/>
      <c r="G1012" s="397"/>
      <c r="H1012" s="397"/>
      <c r="I1012" s="397"/>
      <c r="J1012" s="397"/>
      <c r="K1012" s="398"/>
    </row>
    <row r="1013" spans="2:11" ht="15" customHeight="1" x14ac:dyDescent="0.2">
      <c r="B1013" s="396"/>
      <c r="C1013" s="397"/>
      <c r="D1013" s="397"/>
      <c r="E1013" s="397"/>
      <c r="F1013" s="397"/>
      <c r="G1013" s="397"/>
      <c r="H1013" s="397"/>
      <c r="I1013" s="397"/>
      <c r="J1013" s="397"/>
      <c r="K1013" s="398"/>
    </row>
    <row r="1014" spans="2:11" ht="15" customHeight="1" x14ac:dyDescent="0.2">
      <c r="B1014" s="396"/>
      <c r="C1014" s="397"/>
      <c r="D1014" s="397"/>
      <c r="E1014" s="397"/>
      <c r="F1014" s="397"/>
      <c r="G1014" s="397"/>
      <c r="H1014" s="397"/>
      <c r="I1014" s="397"/>
      <c r="J1014" s="397"/>
      <c r="K1014" s="398"/>
    </row>
    <row r="1015" spans="2:11" ht="15" customHeight="1" x14ac:dyDescent="0.2">
      <c r="B1015" s="396"/>
      <c r="C1015" s="397"/>
      <c r="D1015" s="397"/>
      <c r="E1015" s="397"/>
      <c r="F1015" s="397"/>
      <c r="G1015" s="397"/>
      <c r="H1015" s="397"/>
      <c r="I1015" s="397"/>
      <c r="J1015" s="397"/>
      <c r="K1015" s="398"/>
    </row>
    <row r="1016" spans="2:11" x14ac:dyDescent="0.2">
      <c r="B1016" s="396"/>
      <c r="C1016" s="397"/>
      <c r="D1016" s="397"/>
      <c r="E1016" s="397"/>
      <c r="F1016" s="397"/>
      <c r="G1016" s="397"/>
      <c r="H1016" s="397"/>
      <c r="I1016" s="397"/>
      <c r="J1016" s="397"/>
      <c r="K1016" s="398"/>
    </row>
    <row r="1017" spans="2:11" ht="15" customHeight="1" x14ac:dyDescent="0.2">
      <c r="B1017" s="396"/>
      <c r="C1017" s="397"/>
      <c r="D1017" s="397"/>
      <c r="E1017" s="397"/>
      <c r="F1017" s="397"/>
      <c r="G1017" s="397"/>
      <c r="H1017" s="397"/>
      <c r="I1017" s="397"/>
      <c r="J1017" s="397"/>
      <c r="K1017" s="398"/>
    </row>
    <row r="1018" spans="2:11" ht="15" customHeight="1" x14ac:dyDescent="0.2">
      <c r="B1018" s="396"/>
      <c r="C1018" s="397"/>
      <c r="D1018" s="397"/>
      <c r="E1018" s="397"/>
      <c r="F1018" s="397"/>
      <c r="G1018" s="397"/>
      <c r="H1018" s="397"/>
      <c r="I1018" s="397"/>
      <c r="J1018" s="397"/>
      <c r="K1018" s="398"/>
    </row>
    <row r="1019" spans="2:11" ht="15" customHeight="1" x14ac:dyDescent="0.2">
      <c r="B1019" s="396"/>
      <c r="C1019" s="397"/>
      <c r="D1019" s="397"/>
      <c r="E1019" s="397"/>
      <c r="F1019" s="397"/>
      <c r="G1019" s="397"/>
      <c r="H1019" s="397"/>
      <c r="I1019" s="397"/>
      <c r="J1019" s="397"/>
      <c r="K1019" s="398"/>
    </row>
    <row r="1020" spans="2:11" ht="15" customHeight="1" x14ac:dyDescent="0.2">
      <c r="B1020" s="396"/>
      <c r="C1020" s="397"/>
      <c r="D1020" s="397"/>
      <c r="E1020" s="397"/>
      <c r="F1020" s="397"/>
      <c r="G1020" s="397"/>
      <c r="H1020" s="397"/>
      <c r="I1020" s="397"/>
      <c r="J1020" s="397"/>
      <c r="K1020" s="398"/>
    </row>
    <row r="1021" spans="2:11" ht="15" customHeight="1" x14ac:dyDescent="0.2">
      <c r="B1021" s="396"/>
      <c r="C1021" s="397"/>
      <c r="D1021" s="397"/>
      <c r="E1021" s="397"/>
      <c r="F1021" s="397"/>
      <c r="G1021" s="397"/>
      <c r="H1021" s="397"/>
      <c r="I1021" s="397"/>
      <c r="J1021" s="397"/>
      <c r="K1021" s="398"/>
    </row>
    <row r="1022" spans="2:11" ht="15" customHeight="1" x14ac:dyDescent="0.2">
      <c r="B1022" s="396"/>
      <c r="C1022" s="397"/>
      <c r="D1022" s="397"/>
      <c r="E1022" s="397"/>
      <c r="F1022" s="397"/>
      <c r="G1022" s="397"/>
      <c r="H1022" s="397"/>
      <c r="I1022" s="397"/>
      <c r="J1022" s="397"/>
      <c r="K1022" s="398"/>
    </row>
    <row r="1023" spans="2:11" ht="15" customHeight="1" x14ac:dyDescent="0.2">
      <c r="B1023" s="396"/>
      <c r="C1023" s="397"/>
      <c r="D1023" s="397"/>
      <c r="E1023" s="397"/>
      <c r="F1023" s="397"/>
      <c r="G1023" s="397"/>
      <c r="H1023" s="397"/>
      <c r="I1023" s="397"/>
      <c r="J1023" s="397"/>
      <c r="K1023" s="398"/>
    </row>
    <row r="1024" spans="2:11" ht="15" customHeight="1" x14ac:dyDescent="0.2">
      <c r="B1024" s="396"/>
      <c r="C1024" s="397"/>
      <c r="D1024" s="397"/>
      <c r="E1024" s="397"/>
      <c r="F1024" s="397"/>
      <c r="G1024" s="397"/>
      <c r="H1024" s="397"/>
      <c r="I1024" s="397"/>
      <c r="J1024" s="397"/>
      <c r="K1024" s="398"/>
    </row>
    <row r="1025" spans="2:11" ht="15" customHeight="1" x14ac:dyDescent="0.2">
      <c r="B1025" s="396"/>
      <c r="C1025" s="397"/>
      <c r="D1025" s="397"/>
      <c r="E1025" s="397"/>
      <c r="F1025" s="397"/>
      <c r="G1025" s="397"/>
      <c r="H1025" s="397"/>
      <c r="I1025" s="397"/>
      <c r="J1025" s="397"/>
      <c r="K1025" s="398"/>
    </row>
    <row r="1026" spans="2:11" ht="15" customHeight="1" x14ac:dyDescent="0.2">
      <c r="B1026" s="396"/>
      <c r="C1026" s="397"/>
      <c r="D1026" s="397"/>
      <c r="E1026" s="397"/>
      <c r="F1026" s="397"/>
      <c r="G1026" s="397"/>
      <c r="H1026" s="397"/>
      <c r="I1026" s="397"/>
      <c r="J1026" s="397"/>
      <c r="K1026" s="398"/>
    </row>
    <row r="1027" spans="2:11" ht="15" customHeight="1" x14ac:dyDescent="0.2">
      <c r="B1027" s="396"/>
      <c r="C1027" s="397"/>
      <c r="D1027" s="397"/>
      <c r="E1027" s="397"/>
      <c r="F1027" s="397"/>
      <c r="G1027" s="397"/>
      <c r="H1027" s="397"/>
      <c r="I1027" s="397"/>
      <c r="J1027" s="397"/>
      <c r="K1027" s="398"/>
    </row>
    <row r="1028" spans="2:11" ht="15" customHeight="1" x14ac:dyDescent="0.2">
      <c r="B1028" s="396"/>
      <c r="C1028" s="397"/>
      <c r="D1028" s="397"/>
      <c r="E1028" s="397"/>
      <c r="F1028" s="397"/>
      <c r="G1028" s="397"/>
      <c r="H1028" s="397"/>
      <c r="I1028" s="397"/>
      <c r="J1028" s="397"/>
      <c r="K1028" s="398"/>
    </row>
    <row r="1029" spans="2:11" ht="15" customHeight="1" x14ac:dyDescent="0.2">
      <c r="B1029" s="393"/>
      <c r="C1029" s="394"/>
      <c r="D1029" s="394"/>
      <c r="E1029" s="394"/>
      <c r="F1029" s="394"/>
      <c r="G1029" s="394"/>
      <c r="H1029" s="394"/>
      <c r="I1029" s="394"/>
      <c r="J1029" s="394"/>
      <c r="K1029" s="395"/>
    </row>
  </sheetData>
  <sheetProtection password="C7B0" sheet="1" objects="1" scenarios="1" formatCells="0" formatColumns="0" formatRows="0" selectLockedCells="1"/>
  <mergeCells count="152">
    <mergeCell ref="B1027:K1027"/>
    <mergeCell ref="B1028:K1028"/>
    <mergeCell ref="B1029:K1029"/>
    <mergeCell ref="B1021:K1021"/>
    <mergeCell ref="B1022:K1022"/>
    <mergeCell ref="B1023:K1023"/>
    <mergeCell ref="B1024:K1024"/>
    <mergeCell ref="B1025:K1025"/>
    <mergeCell ref="B1026:K1026"/>
    <mergeCell ref="B1015:K1015"/>
    <mergeCell ref="B1016:K1016"/>
    <mergeCell ref="B1017:K1017"/>
    <mergeCell ref="B1018:K1018"/>
    <mergeCell ref="B1019:K1019"/>
    <mergeCell ref="B1020:K1020"/>
    <mergeCell ref="B1009:K1009"/>
    <mergeCell ref="B1010:K1010"/>
    <mergeCell ref="B1011:K1011"/>
    <mergeCell ref="B1012:K1012"/>
    <mergeCell ref="B1013:K1013"/>
    <mergeCell ref="B1014:K1014"/>
    <mergeCell ref="F959:H960"/>
    <mergeCell ref="B1004:K1004"/>
    <mergeCell ref="B1005:K1005"/>
    <mergeCell ref="B1006:K1006"/>
    <mergeCell ref="B1007:K1007"/>
    <mergeCell ref="B1008:K1008"/>
    <mergeCell ref="G912:H912"/>
    <mergeCell ref="G916:H916"/>
    <mergeCell ref="G920:H920"/>
    <mergeCell ref="G924:H924"/>
    <mergeCell ref="G928:H928"/>
    <mergeCell ref="G932:H932"/>
    <mergeCell ref="G882:H882"/>
    <mergeCell ref="G886:H886"/>
    <mergeCell ref="G890:H890"/>
    <mergeCell ref="C900:J901"/>
    <mergeCell ref="G904:H904"/>
    <mergeCell ref="G908:H908"/>
    <mergeCell ref="G858:H858"/>
    <mergeCell ref="G862:H862"/>
    <mergeCell ref="G866:H866"/>
    <mergeCell ref="G870:H870"/>
    <mergeCell ref="G874:H874"/>
    <mergeCell ref="G878:H878"/>
    <mergeCell ref="G834:H834"/>
    <mergeCell ref="G838:H838"/>
    <mergeCell ref="G842:H842"/>
    <mergeCell ref="G846:H846"/>
    <mergeCell ref="G850:H850"/>
    <mergeCell ref="G854:H854"/>
    <mergeCell ref="G766:H766"/>
    <mergeCell ref="G767:H767"/>
    <mergeCell ref="G768:H768"/>
    <mergeCell ref="G769:H769"/>
    <mergeCell ref="G770:H770"/>
    <mergeCell ref="C830:J831"/>
    <mergeCell ref="G755:H755"/>
    <mergeCell ref="C759:J761"/>
    <mergeCell ref="G762:H762"/>
    <mergeCell ref="G763:H763"/>
    <mergeCell ref="G764:H764"/>
    <mergeCell ref="G765:H765"/>
    <mergeCell ref="G749:H749"/>
    <mergeCell ref="G750:H750"/>
    <mergeCell ref="G751:H751"/>
    <mergeCell ref="G752:H752"/>
    <mergeCell ref="G753:H753"/>
    <mergeCell ref="G754:H754"/>
    <mergeCell ref="G738:H738"/>
    <mergeCell ref="G739:H739"/>
    <mergeCell ref="G740:H740"/>
    <mergeCell ref="C744:J746"/>
    <mergeCell ref="G747:H747"/>
    <mergeCell ref="G748:H748"/>
    <mergeCell ref="G732:H732"/>
    <mergeCell ref="G733:H733"/>
    <mergeCell ref="G734:H734"/>
    <mergeCell ref="G735:H735"/>
    <mergeCell ref="G736:H736"/>
    <mergeCell ref="G737:H737"/>
    <mergeCell ref="G721:H721"/>
    <mergeCell ref="G722:H722"/>
    <mergeCell ref="G723:H723"/>
    <mergeCell ref="G724:H724"/>
    <mergeCell ref="G725:H725"/>
    <mergeCell ref="C729:J731"/>
    <mergeCell ref="C677:J677"/>
    <mergeCell ref="C714:J716"/>
    <mergeCell ref="G717:H717"/>
    <mergeCell ref="G718:H718"/>
    <mergeCell ref="G719:H719"/>
    <mergeCell ref="G720:H720"/>
    <mergeCell ref="C620:I621"/>
    <mergeCell ref="C633:J633"/>
    <mergeCell ref="C639:I640"/>
    <mergeCell ref="C641:I643"/>
    <mergeCell ref="C655:J655"/>
    <mergeCell ref="D664:I665"/>
    <mergeCell ref="C560:J560"/>
    <mergeCell ref="C566:I568"/>
    <mergeCell ref="C569:I571"/>
    <mergeCell ref="C583:J583"/>
    <mergeCell ref="C599:J599"/>
    <mergeCell ref="C613:J613"/>
    <mergeCell ref="C477:I478"/>
    <mergeCell ref="C486:J486"/>
    <mergeCell ref="C502:J502"/>
    <mergeCell ref="C518:J518"/>
    <mergeCell ref="C524:I525"/>
    <mergeCell ref="C535:J535"/>
    <mergeCell ref="C416:J416"/>
    <mergeCell ref="C420:I421"/>
    <mergeCell ref="C438:J438"/>
    <mergeCell ref="C444:I445"/>
    <mergeCell ref="C455:J455"/>
    <mergeCell ref="C471:J471"/>
    <mergeCell ref="C347:J347"/>
    <mergeCell ref="C365:J365"/>
    <mergeCell ref="C371:I372"/>
    <mergeCell ref="C385:J385"/>
    <mergeCell ref="C391:I392"/>
    <mergeCell ref="C402:J402"/>
    <mergeCell ref="C305:J305"/>
    <mergeCell ref="C311:I312"/>
    <mergeCell ref="C324:J324"/>
    <mergeCell ref="C330:I331"/>
    <mergeCell ref="C340:I341"/>
    <mergeCell ref="D343:I344"/>
    <mergeCell ref="C196:J196"/>
    <mergeCell ref="C216:J216"/>
    <mergeCell ref="C237:J237"/>
    <mergeCell ref="C257:J257"/>
    <mergeCell ref="C286:J286"/>
    <mergeCell ref="C292:I293"/>
    <mergeCell ref="C114:J114"/>
    <mergeCell ref="C120:J122"/>
    <mergeCell ref="C123:J124"/>
    <mergeCell ref="C129:J129"/>
    <mergeCell ref="C155:J155"/>
    <mergeCell ref="C176:J176"/>
    <mergeCell ref="B10:K10"/>
    <mergeCell ref="E15:J15"/>
    <mergeCell ref="C38:J38"/>
    <mergeCell ref="C57:J57"/>
    <mergeCell ref="C76:J76"/>
    <mergeCell ref="C95:J95"/>
    <mergeCell ref="G3:I3"/>
    <mergeCell ref="B6:K6"/>
    <mergeCell ref="B7:K7"/>
    <mergeCell ref="B8:K8"/>
    <mergeCell ref="B9:K9"/>
  </mergeCells>
  <dataValidations count="23">
    <dataValidation type="list" allowBlank="1" showInputMessage="1" showErrorMessage="1" sqref="J672" xr:uid="{00000000-0002-0000-2100-000000000000}">
      <formula1>$N$671:$N$676</formula1>
    </dataValidation>
    <dataValidation type="list" allowBlank="1" showInputMessage="1" showErrorMessage="1" sqref="J650" xr:uid="{00000000-0002-0000-2100-000001000000}">
      <formula1>$N$649:$N$654</formula1>
    </dataValidation>
    <dataValidation type="list" allowBlank="1" showInputMessage="1" showErrorMessage="1" sqref="J628" xr:uid="{00000000-0002-0000-2100-000002000000}">
      <formula1>$N$627:$N$632</formula1>
    </dataValidation>
    <dataValidation type="list" allowBlank="1" showInputMessage="1" showErrorMessage="1" sqref="J578" xr:uid="{00000000-0002-0000-2100-000003000000}">
      <formula1>$N$577:$N$582</formula1>
    </dataValidation>
    <dataValidation type="list" allowBlank="1" showInputMessage="1" showErrorMessage="1" sqref="J555" xr:uid="{00000000-0002-0000-2100-000004000000}">
      <formula1>$N$554:$N$559</formula1>
    </dataValidation>
    <dataValidation type="list" allowBlank="1" showInputMessage="1" showErrorMessage="1" sqref="J281" xr:uid="{00000000-0002-0000-2100-000005000000}">
      <formula1>$N$280:$N$285</formula1>
    </dataValidation>
    <dataValidation type="list" allowBlank="1" showInputMessage="1" showErrorMessage="1" sqref="J252" xr:uid="{00000000-0002-0000-2100-000006000000}">
      <formula1>$N$251:$N$256</formula1>
    </dataValidation>
    <dataValidation type="list" allowBlank="1" showInputMessage="1" showErrorMessage="1" sqref="J232" xr:uid="{00000000-0002-0000-2100-000007000000}">
      <formula1>$N$231:$N$236</formula1>
    </dataValidation>
    <dataValidation type="list" allowBlank="1" showInputMessage="1" showErrorMessage="1" sqref="J211" xr:uid="{00000000-0002-0000-2100-000008000000}">
      <formula1>$N$210:$N$215</formula1>
    </dataValidation>
    <dataValidation type="list" allowBlank="1" showInputMessage="1" showErrorMessage="1" sqref="J191" xr:uid="{00000000-0002-0000-2100-000009000000}">
      <formula1>$N$190:$N$195</formula1>
    </dataValidation>
    <dataValidation type="list" allowBlank="1" showInputMessage="1" showErrorMessage="1" sqref="J171" xr:uid="{00000000-0002-0000-2100-00000A000000}">
      <formula1>$N$170:$N$175</formula1>
    </dataValidation>
    <dataValidation type="list" allowBlank="1" showInputMessage="1" showErrorMessage="1" sqref="J150" xr:uid="{00000000-0002-0000-2100-00000B000000}">
      <formula1>$N$149:$N$154</formula1>
    </dataValidation>
    <dataValidation type="list" allowBlank="1" showInputMessage="1" showErrorMessage="1" sqref="J109" xr:uid="{00000000-0002-0000-2100-00000C000000}">
      <formula1>$N$108:$N$113</formula1>
    </dataValidation>
    <dataValidation type="list" allowBlank="1" showInputMessage="1" showErrorMessage="1" sqref="J90" xr:uid="{00000000-0002-0000-2100-00000D000000}">
      <formula1>$N$89:$N$94</formula1>
    </dataValidation>
    <dataValidation type="list" allowBlank="1" showInputMessage="1" showErrorMessage="1" sqref="J71" xr:uid="{00000000-0002-0000-2100-00000E000000}">
      <formula1>$N$70:$N$75</formula1>
    </dataValidation>
    <dataValidation type="list" allowBlank="1" showInputMessage="1" showErrorMessage="1" sqref="J52" xr:uid="{00000000-0002-0000-2100-00000F000000}">
      <formula1>$N$51:$N$56</formula1>
    </dataValidation>
    <dataValidation type="list" allowBlank="1" showInputMessage="1" showErrorMessage="1" sqref="J33" xr:uid="{00000000-0002-0000-2100-000010000000}">
      <formula1>$N$32:$N$37</formula1>
    </dataValidation>
    <dataValidation type="list" allowBlank="1" showInputMessage="1" showErrorMessage="1" sqref="J35 J213 J283 J652 J234 J54 J193 J173 J152 J126 J111 J92 J73 J254 J435 J452 J468 J499 J515 J532 J557 J580 J596 J674 J630" xr:uid="{00000000-0002-0000-2100-000011000000}">
      <formula1>$B$973:$B$977</formula1>
    </dataValidation>
    <dataValidation type="list" allowBlank="1" showInputMessage="1" showErrorMessage="1" sqref="C123:J124" xr:uid="{00000000-0002-0000-2100-000012000000}">
      <formula1>$B$987:$B$991</formula1>
    </dataValidation>
    <dataValidation type="list" allowBlank="1" showInputMessage="1" showErrorMessage="1" sqref="J302 J362" xr:uid="{00000000-0002-0000-2100-000013000000}">
      <formula1>$B$980:$B$984</formula1>
    </dataValidation>
    <dataValidation type="list" allowBlank="1" showInputMessage="1" showErrorMessage="1" sqref="G717:H725 G762:H770 G732:H740 G747:H755" xr:uid="{00000000-0002-0000-2100-000014000000}">
      <formula1>$B$994:$B$995</formula1>
    </dataValidation>
    <dataValidation type="list" allowBlank="1" showInputMessage="1" showErrorMessage="1" sqref="G834:H834 G890:H890 G886:H886 G882:H882 G878:H878 G874:H874 G870:H870 G866:H866 G862:H862 G858:H858 G854:H854 G850:H850 G846:H846 G842:H842 G838:H838 G904:H904 G932:H932 G928:H928 G924:H924 G920:H920 G916:H916 G912:H912 G908:H908" xr:uid="{00000000-0002-0000-2100-000015000000}">
      <formula1>$B$998:$B$1002</formula1>
    </dataValidation>
    <dataValidation type="list" allowBlank="1" showInputMessage="1" showErrorMessage="1" sqref="E15:J15" xr:uid="{00000000-0002-0000-2100-000016000000}">
      <formula1>$C$966:$C$970</formula1>
    </dataValidation>
  </dataValidations>
  <pageMargins left="0.7" right="0.7" top="0.75" bottom="0.75" header="0.3" footer="0.3"/>
  <pageSetup scale="70"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72"/>
  <dimension ref="A1:N1029"/>
  <sheetViews>
    <sheetView showGridLines="0" showRowColHeaders="0" zoomScale="85" zoomScaleNormal="85" workbookViewId="0">
      <selection activeCell="G3" sqref="G3:I3"/>
    </sheetView>
  </sheetViews>
  <sheetFormatPr baseColWidth="10" defaultColWidth="9.1640625" defaultRowHeight="15" x14ac:dyDescent="0.2"/>
  <cols>
    <col min="1" max="1" width="9.1640625" style="12"/>
    <col min="2" max="3" width="9.1640625" style="12" customWidth="1"/>
    <col min="4" max="4" width="9.1640625" style="12"/>
    <col min="5" max="5" width="9.1640625" style="12" customWidth="1"/>
    <col min="6" max="9" width="9.1640625" style="12"/>
    <col min="10" max="10" width="25.6640625" style="12" customWidth="1"/>
    <col min="11" max="12" width="9.1640625" style="12"/>
    <col min="13" max="13" width="9.1640625" style="12" customWidth="1"/>
    <col min="14" max="14" width="9.1640625" style="12" hidden="1" customWidth="1"/>
    <col min="15" max="16384" width="9.1640625" style="12"/>
  </cols>
  <sheetData>
    <row r="1" spans="2:13" x14ac:dyDescent="0.2">
      <c r="I1" s="29"/>
    </row>
    <row r="2" spans="2:13" ht="33" x14ac:dyDescent="0.2">
      <c r="G2" s="16" t="s">
        <v>1038</v>
      </c>
      <c r="I2" s="29"/>
    </row>
    <row r="3" spans="2:13" ht="23" x14ac:dyDescent="0.25">
      <c r="F3" s="306" t="s">
        <v>1042</v>
      </c>
      <c r="G3" s="479"/>
      <c r="H3" s="480"/>
      <c r="I3" s="481"/>
      <c r="L3" s="157"/>
      <c r="M3" s="157"/>
    </row>
    <row r="4" spans="2:13" x14ac:dyDescent="0.2">
      <c r="G4" s="98"/>
      <c r="I4" s="29"/>
      <c r="L4" s="158"/>
      <c r="M4" s="157"/>
    </row>
    <row r="5" spans="2:13" x14ac:dyDescent="0.2">
      <c r="B5" s="12" t="s">
        <v>1043</v>
      </c>
      <c r="G5" s="98"/>
      <c r="I5" s="29"/>
      <c r="L5" s="158"/>
      <c r="M5" s="157"/>
    </row>
    <row r="6" spans="2:13" ht="121.5" customHeight="1" x14ac:dyDescent="0.2">
      <c r="B6" s="476"/>
      <c r="C6" s="477"/>
      <c r="D6" s="477"/>
      <c r="E6" s="477"/>
      <c r="F6" s="477"/>
      <c r="G6" s="477"/>
      <c r="H6" s="477"/>
      <c r="I6" s="477"/>
      <c r="J6" s="477"/>
      <c r="K6" s="478"/>
      <c r="L6" s="158"/>
      <c r="M6" s="157"/>
    </row>
    <row r="7" spans="2:13" x14ac:dyDescent="0.2">
      <c r="B7" s="426"/>
      <c r="C7" s="426"/>
      <c r="D7" s="426"/>
      <c r="E7" s="426"/>
      <c r="F7" s="426"/>
      <c r="G7" s="426"/>
      <c r="H7" s="426"/>
      <c r="I7" s="426"/>
      <c r="J7" s="426"/>
      <c r="K7" s="426"/>
      <c r="L7" s="158"/>
    </row>
    <row r="8" spans="2:13" ht="75" customHeight="1" x14ac:dyDescent="0.2">
      <c r="B8" s="425" t="s">
        <v>664</v>
      </c>
      <c r="C8" s="341"/>
      <c r="D8" s="341"/>
      <c r="E8" s="341"/>
      <c r="F8" s="341"/>
      <c r="G8" s="341"/>
      <c r="H8" s="341"/>
      <c r="I8" s="341"/>
      <c r="J8" s="341"/>
      <c r="K8" s="341"/>
    </row>
    <row r="9" spans="2:13" ht="30" customHeight="1" x14ac:dyDescent="0.2">
      <c r="B9" s="445" t="s">
        <v>665</v>
      </c>
      <c r="C9" s="446"/>
      <c r="D9" s="446"/>
      <c r="E9" s="446"/>
      <c r="F9" s="446"/>
      <c r="G9" s="446"/>
      <c r="H9" s="446"/>
      <c r="I9" s="446"/>
      <c r="J9" s="446"/>
      <c r="K9" s="446"/>
    </row>
    <row r="10" spans="2:13" ht="121.5" customHeight="1" x14ac:dyDescent="0.2">
      <c r="B10" s="447"/>
      <c r="C10" s="448"/>
      <c r="D10" s="448"/>
      <c r="E10" s="448"/>
      <c r="F10" s="448"/>
      <c r="G10" s="448"/>
      <c r="H10" s="448"/>
      <c r="I10" s="448"/>
      <c r="J10" s="448"/>
      <c r="K10" s="449"/>
    </row>
    <row r="11" spans="2:13" ht="16" thickBot="1" x14ac:dyDescent="0.25"/>
    <row r="12" spans="2:13" x14ac:dyDescent="0.2">
      <c r="B12" s="159"/>
      <c r="C12" s="160"/>
      <c r="D12" s="160"/>
      <c r="E12" s="160"/>
      <c r="F12" s="160"/>
      <c r="G12" s="160"/>
      <c r="H12" s="160"/>
      <c r="I12" s="160"/>
      <c r="J12" s="160"/>
      <c r="K12" s="161"/>
    </row>
    <row r="13" spans="2:13" ht="21" x14ac:dyDescent="0.25">
      <c r="B13" s="162"/>
      <c r="C13" s="163"/>
      <c r="D13" s="163"/>
      <c r="E13" s="163"/>
      <c r="F13" s="163"/>
      <c r="G13" s="164" t="s">
        <v>226</v>
      </c>
      <c r="H13" s="163"/>
      <c r="I13" s="163"/>
      <c r="J13" s="163"/>
      <c r="K13" s="165"/>
    </row>
    <row r="14" spans="2:13" ht="21" x14ac:dyDescent="0.25">
      <c r="B14" s="162"/>
      <c r="C14" s="163"/>
      <c r="D14" s="163"/>
      <c r="E14" s="163"/>
      <c r="F14" s="163"/>
      <c r="G14" s="164"/>
      <c r="H14" s="163"/>
      <c r="I14" s="163"/>
      <c r="J14" s="163"/>
      <c r="K14" s="165"/>
    </row>
    <row r="15" spans="2:13" ht="26.25" customHeight="1" x14ac:dyDescent="0.2">
      <c r="B15" s="162"/>
      <c r="C15" s="163" t="s">
        <v>255</v>
      </c>
      <c r="D15" s="163"/>
      <c r="E15" s="412"/>
      <c r="F15" s="437"/>
      <c r="G15" s="437"/>
      <c r="H15" s="437"/>
      <c r="I15" s="437"/>
      <c r="J15" s="438"/>
      <c r="K15" s="165"/>
    </row>
    <row r="16" spans="2:13" x14ac:dyDescent="0.2">
      <c r="B16" s="162"/>
      <c r="C16" s="163"/>
      <c r="D16" s="163"/>
      <c r="E16" s="163"/>
      <c r="F16" s="163"/>
      <c r="G16" s="163"/>
      <c r="H16" s="163"/>
      <c r="I16" s="163"/>
      <c r="J16" s="163"/>
      <c r="K16" s="165"/>
    </row>
    <row r="17" spans="2:14" x14ac:dyDescent="0.2">
      <c r="B17" s="162"/>
      <c r="C17" s="166" t="s">
        <v>256</v>
      </c>
      <c r="D17" s="163"/>
      <c r="E17" s="167" t="str">
        <f>IF(E15=$C$966,$A$966,IF(E15=$C$967,$A$967,IF(E15=$C$968,$A$968,IF(E15=$C$969,$A$969,IF(E15=$C$970,$A$970,"Not Calculated")))))</f>
        <v>Not Calculated</v>
      </c>
      <c r="F17" s="163"/>
      <c r="G17" s="163"/>
      <c r="H17" s="163"/>
      <c r="I17" s="163"/>
      <c r="J17" s="163"/>
      <c r="K17" s="165"/>
    </row>
    <row r="18" spans="2:14" x14ac:dyDescent="0.2">
      <c r="B18" s="162"/>
      <c r="C18" s="163"/>
      <c r="D18" s="163"/>
      <c r="E18" s="167" t="str">
        <f>IF(E15=$C$966,$B$966,IF(E15=$C$967,$B$967,IF(E15=$C$968,$B$968,IF(E15=$C$969,$B$969,IF(E15=$C$970,$B$970,"Not Calculated")))))</f>
        <v>Not Calculated</v>
      </c>
      <c r="F18" s="163"/>
      <c r="G18" s="163"/>
      <c r="H18" s="163"/>
      <c r="I18" s="163"/>
      <c r="J18" s="163"/>
      <c r="K18" s="165"/>
    </row>
    <row r="19" spans="2:14" ht="16" thickBot="1" x14ac:dyDescent="0.25">
      <c r="B19" s="168"/>
      <c r="C19" s="169"/>
      <c r="D19" s="169"/>
      <c r="E19" s="169"/>
      <c r="F19" s="169"/>
      <c r="G19" s="169"/>
      <c r="H19" s="169"/>
      <c r="I19" s="169"/>
      <c r="J19" s="169"/>
      <c r="K19" s="170"/>
    </row>
    <row r="20" spans="2:14" ht="16" thickBot="1" x14ac:dyDescent="0.25"/>
    <row r="21" spans="2:14" x14ac:dyDescent="0.2">
      <c r="B21" s="33"/>
      <c r="C21" s="34"/>
      <c r="D21" s="34"/>
      <c r="E21" s="34"/>
      <c r="F21" s="34"/>
      <c r="G21" s="34"/>
      <c r="H21" s="34"/>
      <c r="I21" s="34"/>
      <c r="J21" s="34"/>
      <c r="K21" s="37"/>
    </row>
    <row r="22" spans="2:14" ht="21" x14ac:dyDescent="0.25">
      <c r="B22" s="38"/>
      <c r="C22" s="171"/>
      <c r="D22" s="40"/>
      <c r="E22" s="40"/>
      <c r="F22" s="40"/>
      <c r="G22" s="172" t="s">
        <v>26</v>
      </c>
      <c r="H22" s="40"/>
      <c r="I22" s="40"/>
      <c r="J22" s="40"/>
      <c r="K22" s="41"/>
    </row>
    <row r="23" spans="2:14" x14ac:dyDescent="0.2">
      <c r="B23" s="38"/>
      <c r="C23" s="40"/>
      <c r="D23" s="40"/>
      <c r="E23" s="40"/>
      <c r="F23" s="40"/>
      <c r="G23" s="40"/>
      <c r="H23" s="40"/>
      <c r="I23" s="40"/>
      <c r="J23" s="40"/>
      <c r="K23" s="41"/>
    </row>
    <row r="24" spans="2:14" ht="16" x14ac:dyDescent="0.2">
      <c r="B24" s="38"/>
      <c r="C24" s="45" t="s">
        <v>61</v>
      </c>
      <c r="D24" s="40"/>
      <c r="E24" s="40"/>
      <c r="F24" s="40"/>
      <c r="G24" s="40"/>
      <c r="H24" s="40"/>
      <c r="I24" s="40"/>
      <c r="J24" s="40"/>
      <c r="K24" s="41"/>
    </row>
    <row r="25" spans="2:14" x14ac:dyDescent="0.2">
      <c r="B25" s="38"/>
      <c r="C25" s="40" t="s">
        <v>434</v>
      </c>
      <c r="D25" s="40"/>
      <c r="E25" s="40"/>
      <c r="F25" s="40"/>
      <c r="G25" s="40"/>
      <c r="H25" s="40"/>
      <c r="I25" s="40"/>
      <c r="J25" s="252">
        <f>'Baseline Health'!G11</f>
        <v>0</v>
      </c>
      <c r="K25" s="41"/>
    </row>
    <row r="26" spans="2:14" x14ac:dyDescent="0.2">
      <c r="B26" s="38"/>
      <c r="C26" s="40" t="s">
        <v>288</v>
      </c>
      <c r="D26" s="40"/>
      <c r="E26" s="40"/>
      <c r="F26" s="40"/>
      <c r="G26" s="40"/>
      <c r="H26" s="40"/>
      <c r="I26" s="40"/>
      <c r="J26" s="264"/>
      <c r="K26" s="41"/>
    </row>
    <row r="27" spans="2:14" x14ac:dyDescent="0.2">
      <c r="B27" s="38"/>
      <c r="C27" s="40" t="s">
        <v>260</v>
      </c>
      <c r="D27" s="40"/>
      <c r="E27" s="40"/>
      <c r="F27" s="40"/>
      <c r="G27" s="40"/>
      <c r="H27" s="40"/>
      <c r="I27" s="40"/>
      <c r="J27" s="248" t="str">
        <f>IF(OR(J25=0,J25="Not Calculated")=TRUE,"Not Calculated",(IF(((J26+J25)/J25)&lt;=1,0,IF(((J26+J25)/J25)&lt;=1.05,1,IF(((J26+J25)/J25)&lt;=1.5, 2,IF(((J26+J25)/J25)&lt;=2,3,4))))))</f>
        <v>Not Calculated</v>
      </c>
      <c r="K27" s="41"/>
    </row>
    <row r="28" spans="2:14" ht="9.75" customHeight="1" x14ac:dyDescent="0.2">
      <c r="B28" s="38"/>
      <c r="C28" s="279" t="str">
        <f>"0:"</f>
        <v>0:</v>
      </c>
      <c r="D28" s="281" t="s">
        <v>918</v>
      </c>
      <c r="E28" s="40"/>
      <c r="F28" s="40"/>
      <c r="G28" s="40"/>
      <c r="H28" s="40"/>
      <c r="I28" s="40"/>
      <c r="J28" s="40"/>
      <c r="K28" s="41"/>
    </row>
    <row r="29" spans="2:14" ht="9.75" customHeight="1" x14ac:dyDescent="0.2">
      <c r="B29" s="38"/>
      <c r="C29" s="280" t="str">
        <f>"1:"</f>
        <v>1:</v>
      </c>
      <c r="D29" s="281" t="s">
        <v>919</v>
      </c>
      <c r="E29" s="40"/>
      <c r="F29" s="40"/>
      <c r="G29" s="40"/>
      <c r="H29" s="40"/>
      <c r="I29" s="40"/>
      <c r="J29" s="40"/>
      <c r="K29" s="41"/>
    </row>
    <row r="30" spans="2:14" ht="9.75" customHeight="1" x14ac:dyDescent="0.2">
      <c r="B30" s="38"/>
      <c r="C30" s="280" t="str">
        <f>"2:"</f>
        <v>2:</v>
      </c>
      <c r="D30" s="281" t="s">
        <v>920</v>
      </c>
      <c r="E30" s="40"/>
      <c r="F30" s="40"/>
      <c r="G30" s="40"/>
      <c r="H30" s="40"/>
      <c r="I30" s="40"/>
      <c r="J30" s="40"/>
      <c r="K30" s="41"/>
    </row>
    <row r="31" spans="2:14" ht="9.75" customHeight="1" x14ac:dyDescent="0.2">
      <c r="B31" s="38"/>
      <c r="C31" s="280" t="str">
        <f>"3:"</f>
        <v>3:</v>
      </c>
      <c r="D31" s="281" t="s">
        <v>921</v>
      </c>
      <c r="E31" s="40"/>
      <c r="F31" s="40"/>
      <c r="G31" s="40"/>
      <c r="H31" s="40"/>
      <c r="I31" s="40"/>
      <c r="J31" s="40"/>
      <c r="K31" s="41"/>
    </row>
    <row r="32" spans="2:14" ht="9.75" customHeight="1" x14ac:dyDescent="0.2">
      <c r="B32" s="38"/>
      <c r="C32" s="280" t="str">
        <f>"4:"</f>
        <v>4:</v>
      </c>
      <c r="D32" s="281" t="s">
        <v>922</v>
      </c>
      <c r="E32" s="40"/>
      <c r="F32" s="40"/>
      <c r="G32" s="40"/>
      <c r="H32" s="40"/>
      <c r="I32" s="40"/>
      <c r="J32" s="40"/>
      <c r="K32" s="41"/>
      <c r="N32" s="12" t="s">
        <v>661</v>
      </c>
    </row>
    <row r="33" spans="2:14" x14ac:dyDescent="0.2">
      <c r="B33" s="38"/>
      <c r="C33" s="174" t="s">
        <v>662</v>
      </c>
      <c r="D33" s="40"/>
      <c r="E33" s="40"/>
      <c r="F33" s="40"/>
      <c r="G33" s="40"/>
      <c r="H33" s="40"/>
      <c r="I33" s="40"/>
      <c r="J33" s="265" t="s">
        <v>661</v>
      </c>
      <c r="K33" s="41"/>
      <c r="N33" s="12" t="s">
        <v>894</v>
      </c>
    </row>
    <row r="34" spans="2:14" x14ac:dyDescent="0.2">
      <c r="B34" s="38"/>
      <c r="C34" s="174" t="s">
        <v>660</v>
      </c>
      <c r="D34" s="40"/>
      <c r="E34" s="40"/>
      <c r="F34" s="40"/>
      <c r="G34" s="40"/>
      <c r="H34" s="40"/>
      <c r="I34" s="40"/>
      <c r="J34" s="246" t="str">
        <f>IF(J33=N32,"N/A",IF(J33=N33,0,IF(J33=N34,1,IF(J33=N35,2,IF(J33=N36,3,IF(J33=N37,4,"N/A"))))))</f>
        <v>N/A</v>
      </c>
      <c r="K34" s="41"/>
      <c r="N34" s="12" t="s">
        <v>895</v>
      </c>
    </row>
    <row r="35" spans="2:14" x14ac:dyDescent="0.2">
      <c r="B35" s="38"/>
      <c r="C35" s="40" t="s">
        <v>257</v>
      </c>
      <c r="D35" s="40"/>
      <c r="E35" s="40"/>
      <c r="F35" s="40"/>
      <c r="G35" s="40"/>
      <c r="H35" s="40"/>
      <c r="I35" s="40"/>
      <c r="J35" s="266"/>
      <c r="K35" s="41"/>
      <c r="N35" s="12" t="s">
        <v>896</v>
      </c>
    </row>
    <row r="36" spans="2:14" x14ac:dyDescent="0.2">
      <c r="B36" s="38"/>
      <c r="C36" s="40" t="s">
        <v>261</v>
      </c>
      <c r="D36" s="40"/>
      <c r="E36" s="40"/>
      <c r="F36" s="40"/>
      <c r="G36" s="40"/>
      <c r="H36" s="40"/>
      <c r="I36" s="40"/>
      <c r="J36" s="245" t="str">
        <f>IF(J35=$B$973,$A$973,IF(J35=$B$974,$A$974,IF(J35=$B$975,$A$975,IF(J35=$B$976,$A$976,IF(J35=$B$977,$A$977,"Not Calculated")))))</f>
        <v>Not Calculated</v>
      </c>
      <c r="K36" s="41"/>
      <c r="N36" s="12" t="s">
        <v>897</v>
      </c>
    </row>
    <row r="37" spans="2:14" x14ac:dyDescent="0.2">
      <c r="B37" s="38"/>
      <c r="C37" s="40" t="s">
        <v>893</v>
      </c>
      <c r="D37" s="40"/>
      <c r="E37" s="40"/>
      <c r="F37" s="40"/>
      <c r="G37" s="40"/>
      <c r="H37" s="40"/>
      <c r="I37" s="40"/>
      <c r="J37" s="175"/>
      <c r="K37" s="41"/>
      <c r="N37" s="12" t="s">
        <v>898</v>
      </c>
    </row>
    <row r="38" spans="2:14" s="178" customFormat="1" x14ac:dyDescent="0.2">
      <c r="B38" s="176"/>
      <c r="C38" s="415"/>
      <c r="D38" s="400"/>
      <c r="E38" s="400"/>
      <c r="F38" s="400"/>
      <c r="G38" s="400"/>
      <c r="H38" s="400"/>
      <c r="I38" s="400"/>
      <c r="J38" s="401"/>
      <c r="K38" s="177"/>
    </row>
    <row r="39" spans="2:14" x14ac:dyDescent="0.2">
      <c r="B39" s="38"/>
      <c r="C39" s="40"/>
      <c r="D39" s="40"/>
      <c r="E39" s="40"/>
      <c r="F39" s="40"/>
      <c r="G39" s="40"/>
      <c r="H39" s="40"/>
      <c r="I39" s="40"/>
      <c r="J39" s="40"/>
      <c r="K39" s="41"/>
    </row>
    <row r="40" spans="2:14" x14ac:dyDescent="0.2">
      <c r="B40" s="38"/>
      <c r="C40" s="179" t="s">
        <v>258</v>
      </c>
      <c r="D40" s="40"/>
      <c r="E40" s="40"/>
      <c r="F40" s="40"/>
      <c r="G40" s="40"/>
      <c r="H40" s="40"/>
      <c r="I40" s="40"/>
      <c r="J40" s="245" t="str">
        <f>IF(J34="N/A",IF(OR(J27="Not Calculated",J36="Not Calculated")=TRUE,"Not Calculated",AVERAGE(J27,J36)),AVERAGE(J34,J36))</f>
        <v>Not Calculated</v>
      </c>
      <c r="K40" s="41"/>
    </row>
    <row r="41" spans="2:14" x14ac:dyDescent="0.2">
      <c r="B41" s="38"/>
      <c r="C41" s="179"/>
      <c r="D41" s="40"/>
      <c r="E41" s="40"/>
      <c r="F41" s="40"/>
      <c r="G41" s="40"/>
      <c r="H41" s="40"/>
      <c r="I41" s="40"/>
      <c r="J41" s="245"/>
      <c r="K41" s="41"/>
    </row>
    <row r="42" spans="2:14" x14ac:dyDescent="0.2">
      <c r="B42" s="38"/>
      <c r="C42" s="40"/>
      <c r="D42" s="40"/>
      <c r="E42" s="40"/>
      <c r="F42" s="40"/>
      <c r="G42" s="40"/>
      <c r="H42" s="40"/>
      <c r="I42" s="40"/>
      <c r="J42" s="40"/>
      <c r="K42" s="41"/>
    </row>
    <row r="43" spans="2:14" ht="16" x14ac:dyDescent="0.2">
      <c r="B43" s="38"/>
      <c r="C43" s="45" t="s">
        <v>51</v>
      </c>
      <c r="D43" s="40"/>
      <c r="E43" s="40"/>
      <c r="F43" s="40"/>
      <c r="G43" s="40"/>
      <c r="H43" s="40"/>
      <c r="I43" s="40"/>
      <c r="J43" s="40"/>
      <c r="K43" s="41"/>
    </row>
    <row r="44" spans="2:14" x14ac:dyDescent="0.2">
      <c r="B44" s="38"/>
      <c r="C44" s="40" t="s">
        <v>435</v>
      </c>
      <c r="D44" s="40"/>
      <c r="E44" s="40"/>
      <c r="F44" s="40"/>
      <c r="G44" s="40"/>
      <c r="H44" s="40"/>
      <c r="I44" s="40"/>
      <c r="J44" s="252">
        <f>'Baseline Health'!G17</f>
        <v>0</v>
      </c>
      <c r="K44" s="41"/>
    </row>
    <row r="45" spans="2:14" x14ac:dyDescent="0.2">
      <c r="B45" s="38"/>
      <c r="C45" s="40" t="s">
        <v>287</v>
      </c>
      <c r="D45" s="40"/>
      <c r="E45" s="40"/>
      <c r="F45" s="40"/>
      <c r="G45" s="40"/>
      <c r="H45" s="40"/>
      <c r="I45" s="40"/>
      <c r="J45" s="264"/>
      <c r="K45" s="41"/>
    </row>
    <row r="46" spans="2:14" x14ac:dyDescent="0.2">
      <c r="B46" s="38"/>
      <c r="C46" s="40" t="s">
        <v>260</v>
      </c>
      <c r="D46" s="40"/>
      <c r="E46" s="40"/>
      <c r="F46" s="40"/>
      <c r="G46" s="40"/>
      <c r="H46" s="40"/>
      <c r="I46" s="40"/>
      <c r="J46" s="248" t="str">
        <f>IF(OR(J44=0,J44="Not Calculated")=TRUE,"Not Calculated",(IF(((J45+J44)/J44)&lt;=1,0,IF(((J45+J44)/J44)&lt;=1.05,1,IF(((J45+J44)/J44)&lt;=1.5, 2,IF(((J45+J44)/J44)&lt;=2,3,4))))))</f>
        <v>Not Calculated</v>
      </c>
      <c r="K46" s="41"/>
    </row>
    <row r="47" spans="2:14" ht="9.75" customHeight="1" x14ac:dyDescent="0.2">
      <c r="B47" s="38"/>
      <c r="C47" s="279" t="str">
        <f>"0:"</f>
        <v>0:</v>
      </c>
      <c r="D47" s="281" t="s">
        <v>918</v>
      </c>
      <c r="E47" s="40"/>
      <c r="F47" s="40"/>
      <c r="G47" s="40"/>
      <c r="H47" s="40"/>
      <c r="I47" s="40"/>
      <c r="J47" s="40"/>
      <c r="K47" s="41"/>
    </row>
    <row r="48" spans="2:14" ht="9.75" customHeight="1" x14ac:dyDescent="0.2">
      <c r="B48" s="38"/>
      <c r="C48" s="280" t="str">
        <f>"1:"</f>
        <v>1:</v>
      </c>
      <c r="D48" s="281" t="s">
        <v>919</v>
      </c>
      <c r="E48" s="40"/>
      <c r="F48" s="40"/>
      <c r="G48" s="40"/>
      <c r="H48" s="40"/>
      <c r="I48" s="40"/>
      <c r="J48" s="40"/>
      <c r="K48" s="41"/>
    </row>
    <row r="49" spans="2:14" ht="9.75" customHeight="1" x14ac:dyDescent="0.2">
      <c r="B49" s="38"/>
      <c r="C49" s="280" t="str">
        <f>"2:"</f>
        <v>2:</v>
      </c>
      <c r="D49" s="281" t="s">
        <v>920</v>
      </c>
      <c r="E49" s="40"/>
      <c r="F49" s="40"/>
      <c r="G49" s="40"/>
      <c r="H49" s="40"/>
      <c r="I49" s="40"/>
      <c r="J49" s="40"/>
      <c r="K49" s="41"/>
    </row>
    <row r="50" spans="2:14" ht="9.75" customHeight="1" x14ac:dyDescent="0.2">
      <c r="B50" s="38"/>
      <c r="C50" s="280" t="str">
        <f>"3:"</f>
        <v>3:</v>
      </c>
      <c r="D50" s="281" t="s">
        <v>921</v>
      </c>
      <c r="E50" s="40"/>
      <c r="F50" s="40"/>
      <c r="G50" s="40"/>
      <c r="H50" s="40"/>
      <c r="I50" s="40"/>
      <c r="J50" s="40"/>
      <c r="K50" s="41"/>
    </row>
    <row r="51" spans="2:14" ht="9.75" customHeight="1" x14ac:dyDescent="0.2">
      <c r="B51" s="38"/>
      <c r="C51" s="280" t="str">
        <f>"4:"</f>
        <v>4:</v>
      </c>
      <c r="D51" s="281" t="s">
        <v>922</v>
      </c>
      <c r="E51" s="40"/>
      <c r="F51" s="40"/>
      <c r="G51" s="40"/>
      <c r="H51" s="40"/>
      <c r="I51" s="40"/>
      <c r="J51" s="40"/>
      <c r="K51" s="41"/>
      <c r="N51" s="12" t="s">
        <v>661</v>
      </c>
    </row>
    <row r="52" spans="2:14" x14ac:dyDescent="0.2">
      <c r="B52" s="38"/>
      <c r="C52" s="174" t="s">
        <v>662</v>
      </c>
      <c r="D52" s="40"/>
      <c r="E52" s="40"/>
      <c r="F52" s="40"/>
      <c r="G52" s="40"/>
      <c r="H52" s="40"/>
      <c r="I52" s="40"/>
      <c r="J52" s="265" t="s">
        <v>661</v>
      </c>
      <c r="K52" s="41"/>
      <c r="N52" s="12" t="s">
        <v>894</v>
      </c>
    </row>
    <row r="53" spans="2:14" x14ac:dyDescent="0.2">
      <c r="B53" s="38"/>
      <c r="C53" s="174" t="s">
        <v>660</v>
      </c>
      <c r="D53" s="40"/>
      <c r="E53" s="40"/>
      <c r="F53" s="40"/>
      <c r="G53" s="40"/>
      <c r="H53" s="40"/>
      <c r="I53" s="40"/>
      <c r="J53" s="246" t="str">
        <f>IF(J52=N51,"N/A",IF(J52=N52,0,IF(J52=N53,1,IF(J52=N54,2,IF(J52=N55,3,IF(J52=N56,4,"N/A"))))))</f>
        <v>N/A</v>
      </c>
      <c r="K53" s="41"/>
      <c r="N53" s="12" t="s">
        <v>895</v>
      </c>
    </row>
    <row r="54" spans="2:14" x14ac:dyDescent="0.2">
      <c r="B54" s="38"/>
      <c r="C54" s="40" t="s">
        <v>257</v>
      </c>
      <c r="D54" s="40"/>
      <c r="E54" s="40"/>
      <c r="F54" s="40"/>
      <c r="G54" s="40"/>
      <c r="H54" s="40"/>
      <c r="I54" s="40"/>
      <c r="J54" s="266"/>
      <c r="K54" s="41"/>
      <c r="N54" s="12" t="s">
        <v>896</v>
      </c>
    </row>
    <row r="55" spans="2:14" x14ac:dyDescent="0.2">
      <c r="B55" s="38"/>
      <c r="C55" s="40" t="s">
        <v>261</v>
      </c>
      <c r="D55" s="40"/>
      <c r="E55" s="40"/>
      <c r="F55" s="40"/>
      <c r="G55" s="40"/>
      <c r="H55" s="40"/>
      <c r="I55" s="40"/>
      <c r="J55" s="245" t="str">
        <f>IF(J54=$B$973,$A$973,IF(J54=$B$974,$A$974,IF(J54=$B$975,$A$975,IF(J54=$B$976,$A$976,IF(J54=$B$977,$A$977,"Not Calculated")))))</f>
        <v>Not Calculated</v>
      </c>
      <c r="K55" s="41"/>
      <c r="N55" s="12" t="s">
        <v>897</v>
      </c>
    </row>
    <row r="56" spans="2:14" x14ac:dyDescent="0.2">
      <c r="B56" s="38"/>
      <c r="C56" s="40" t="s">
        <v>893</v>
      </c>
      <c r="D56" s="40"/>
      <c r="E56" s="40"/>
      <c r="F56" s="40"/>
      <c r="G56" s="40"/>
      <c r="H56" s="40"/>
      <c r="I56" s="40"/>
      <c r="J56" s="175"/>
      <c r="K56" s="41"/>
      <c r="N56" s="12" t="s">
        <v>898</v>
      </c>
    </row>
    <row r="57" spans="2:14" s="178" customFormat="1" ht="15" customHeight="1" x14ac:dyDescent="0.2">
      <c r="B57" s="176"/>
      <c r="C57" s="415"/>
      <c r="D57" s="400"/>
      <c r="E57" s="400"/>
      <c r="F57" s="400"/>
      <c r="G57" s="400"/>
      <c r="H57" s="400"/>
      <c r="I57" s="400"/>
      <c r="J57" s="401"/>
      <c r="K57" s="177"/>
    </row>
    <row r="58" spans="2:14" x14ac:dyDescent="0.2">
      <c r="B58" s="38"/>
      <c r="C58" s="40"/>
      <c r="D58" s="40"/>
      <c r="E58" s="40"/>
      <c r="F58" s="40"/>
      <c r="G58" s="40"/>
      <c r="H58" s="40"/>
      <c r="I58" s="40"/>
      <c r="J58" s="40"/>
      <c r="K58" s="41"/>
    </row>
    <row r="59" spans="2:14" x14ac:dyDescent="0.2">
      <c r="B59" s="38"/>
      <c r="C59" s="179" t="s">
        <v>263</v>
      </c>
      <c r="D59" s="40"/>
      <c r="E59" s="40"/>
      <c r="F59" s="40"/>
      <c r="G59" s="40"/>
      <c r="H59" s="40"/>
      <c r="I59" s="40"/>
      <c r="J59" s="245" t="str">
        <f>IF(J53="N/A",IF(OR(J46="Not Calculated",J55="Not Calculated")=TRUE,"Not Calculated",AVERAGE(J46,J55)),AVERAGE(J53,J55))</f>
        <v>Not Calculated</v>
      </c>
      <c r="K59" s="41"/>
    </row>
    <row r="60" spans="2:14" x14ac:dyDescent="0.2">
      <c r="B60" s="38"/>
      <c r="C60" s="40"/>
      <c r="D60" s="40"/>
      <c r="E60" s="40"/>
      <c r="F60" s="40"/>
      <c r="G60" s="40"/>
      <c r="H60" s="40"/>
      <c r="I60" s="40"/>
      <c r="J60" s="40"/>
      <c r="K60" s="41"/>
    </row>
    <row r="61" spans="2:14" x14ac:dyDescent="0.2">
      <c r="B61" s="38"/>
      <c r="C61" s="40"/>
      <c r="D61" s="40"/>
      <c r="E61" s="40"/>
      <c r="F61" s="40"/>
      <c r="G61" s="40"/>
      <c r="H61" s="40"/>
      <c r="I61" s="40"/>
      <c r="J61" s="40"/>
      <c r="K61" s="41"/>
    </row>
    <row r="62" spans="2:14" ht="16" x14ac:dyDescent="0.2">
      <c r="B62" s="38"/>
      <c r="C62" s="45" t="s">
        <v>54</v>
      </c>
      <c r="D62" s="40"/>
      <c r="E62" s="40"/>
      <c r="F62" s="40"/>
      <c r="G62" s="40"/>
      <c r="H62" s="40"/>
      <c r="I62" s="40"/>
      <c r="J62" s="40"/>
      <c r="K62" s="41"/>
    </row>
    <row r="63" spans="2:14" x14ac:dyDescent="0.2">
      <c r="B63" s="38"/>
      <c r="C63" s="40" t="s">
        <v>436</v>
      </c>
      <c r="D63" s="40"/>
      <c r="E63" s="40"/>
      <c r="F63" s="40"/>
      <c r="G63" s="40"/>
      <c r="H63" s="40"/>
      <c r="I63" s="40"/>
      <c r="J63" s="252">
        <f>'Baseline Health'!G23</f>
        <v>0</v>
      </c>
      <c r="K63" s="41"/>
    </row>
    <row r="64" spans="2:14" x14ac:dyDescent="0.2">
      <c r="B64" s="38"/>
      <c r="C64" s="40" t="s">
        <v>289</v>
      </c>
      <c r="D64" s="40"/>
      <c r="E64" s="40"/>
      <c r="F64" s="40"/>
      <c r="G64" s="40"/>
      <c r="H64" s="40"/>
      <c r="I64" s="40"/>
      <c r="J64" s="264"/>
      <c r="K64" s="41"/>
    </row>
    <row r="65" spans="2:14" x14ac:dyDescent="0.2">
      <c r="B65" s="38"/>
      <c r="C65" s="40" t="s">
        <v>260</v>
      </c>
      <c r="D65" s="40"/>
      <c r="E65" s="40"/>
      <c r="F65" s="40"/>
      <c r="G65" s="40"/>
      <c r="H65" s="40"/>
      <c r="I65" s="40"/>
      <c r="J65" s="248" t="str">
        <f>IF(OR(J63=0,J63="Not Calculated")=TRUE,"Not Calculated",(IF(((J64+J63)/J63)&lt;=1,0,IF(((J64+J63)/J63)&lt;=1.05,1,IF(((J64+J63)/J63)&lt;=1.5, 2,IF(((J64+J63)/J63)&lt;=2,3,4))))))</f>
        <v>Not Calculated</v>
      </c>
      <c r="K65" s="41"/>
    </row>
    <row r="66" spans="2:14" ht="9.75" customHeight="1" x14ac:dyDescent="0.2">
      <c r="B66" s="38"/>
      <c r="C66" s="279" t="str">
        <f>"0:"</f>
        <v>0:</v>
      </c>
      <c r="D66" s="281" t="s">
        <v>918</v>
      </c>
      <c r="E66" s="40"/>
      <c r="F66" s="40"/>
      <c r="G66" s="40"/>
      <c r="H66" s="40"/>
      <c r="I66" s="40"/>
      <c r="J66" s="40"/>
      <c r="K66" s="41"/>
    </row>
    <row r="67" spans="2:14" ht="9.75" customHeight="1" x14ac:dyDescent="0.2">
      <c r="B67" s="38"/>
      <c r="C67" s="280" t="str">
        <f>"1:"</f>
        <v>1:</v>
      </c>
      <c r="D67" s="281" t="s">
        <v>919</v>
      </c>
      <c r="E67" s="40"/>
      <c r="F67" s="40"/>
      <c r="G67" s="40"/>
      <c r="H67" s="40"/>
      <c r="I67" s="40"/>
      <c r="J67" s="40"/>
      <c r="K67" s="41"/>
    </row>
    <row r="68" spans="2:14" ht="9.75" customHeight="1" x14ac:dyDescent="0.2">
      <c r="B68" s="38"/>
      <c r="C68" s="280" t="str">
        <f>"2:"</f>
        <v>2:</v>
      </c>
      <c r="D68" s="281" t="s">
        <v>920</v>
      </c>
      <c r="E68" s="40"/>
      <c r="F68" s="40"/>
      <c r="G68" s="40"/>
      <c r="H68" s="40"/>
      <c r="I68" s="40"/>
      <c r="J68" s="40"/>
      <c r="K68" s="41"/>
    </row>
    <row r="69" spans="2:14" ht="9.75" customHeight="1" x14ac:dyDescent="0.2">
      <c r="B69" s="38"/>
      <c r="C69" s="280" t="str">
        <f>"3:"</f>
        <v>3:</v>
      </c>
      <c r="D69" s="281" t="s">
        <v>921</v>
      </c>
      <c r="E69" s="40"/>
      <c r="F69" s="40"/>
      <c r="G69" s="40"/>
      <c r="H69" s="40"/>
      <c r="I69" s="40"/>
      <c r="J69" s="40"/>
      <c r="K69" s="41"/>
    </row>
    <row r="70" spans="2:14" ht="9.75" customHeight="1" x14ac:dyDescent="0.2">
      <c r="B70" s="38"/>
      <c r="C70" s="280" t="str">
        <f>"4:"</f>
        <v>4:</v>
      </c>
      <c r="D70" s="281" t="s">
        <v>922</v>
      </c>
      <c r="E70" s="40"/>
      <c r="F70" s="40"/>
      <c r="G70" s="40"/>
      <c r="H70" s="40"/>
      <c r="I70" s="40"/>
      <c r="J70" s="40"/>
      <c r="K70" s="41"/>
      <c r="N70" s="12" t="s">
        <v>661</v>
      </c>
    </row>
    <row r="71" spans="2:14" x14ac:dyDescent="0.2">
      <c r="B71" s="38"/>
      <c r="C71" s="174" t="s">
        <v>662</v>
      </c>
      <c r="D71" s="40"/>
      <c r="E71" s="40"/>
      <c r="F71" s="40"/>
      <c r="G71" s="40"/>
      <c r="H71" s="40"/>
      <c r="I71" s="40"/>
      <c r="J71" s="265" t="s">
        <v>661</v>
      </c>
      <c r="K71" s="41"/>
      <c r="N71" s="12" t="s">
        <v>894</v>
      </c>
    </row>
    <row r="72" spans="2:14" x14ac:dyDescent="0.2">
      <c r="B72" s="38"/>
      <c r="C72" s="174" t="s">
        <v>660</v>
      </c>
      <c r="D72" s="40"/>
      <c r="E72" s="40"/>
      <c r="F72" s="40"/>
      <c r="G72" s="40"/>
      <c r="H72" s="40"/>
      <c r="I72" s="40"/>
      <c r="J72" s="246" t="str">
        <f>IF(J71=N70,"N/A",IF(J71=N71,0,IF(J71=N72,1,IF(J71=N73,2,IF(J71=N74,3,IF(J71=N75,4,"N/A"))))))</f>
        <v>N/A</v>
      </c>
      <c r="K72" s="41"/>
      <c r="N72" s="12" t="s">
        <v>895</v>
      </c>
    </row>
    <row r="73" spans="2:14" x14ac:dyDescent="0.2">
      <c r="B73" s="38"/>
      <c r="C73" s="40" t="s">
        <v>257</v>
      </c>
      <c r="D73" s="40"/>
      <c r="E73" s="40"/>
      <c r="F73" s="40"/>
      <c r="G73" s="40"/>
      <c r="H73" s="40"/>
      <c r="I73" s="40"/>
      <c r="J73" s="266"/>
      <c r="K73" s="41"/>
      <c r="N73" s="12" t="s">
        <v>896</v>
      </c>
    </row>
    <row r="74" spans="2:14" x14ac:dyDescent="0.2">
      <c r="B74" s="38"/>
      <c r="C74" s="40" t="s">
        <v>261</v>
      </c>
      <c r="D74" s="40"/>
      <c r="E74" s="40"/>
      <c r="F74" s="40"/>
      <c r="G74" s="40"/>
      <c r="H74" s="40"/>
      <c r="I74" s="40"/>
      <c r="J74" s="245" t="str">
        <f>IF(J73=$B$973,$A$973,IF(J73=$B$974,$A$974,IF(J73=$B$975,$A$975,IF(J73=$B$976,$A$976,IF(J73=$B$977,$A$977,"Not Calculated")))))</f>
        <v>Not Calculated</v>
      </c>
      <c r="K74" s="41"/>
      <c r="N74" s="12" t="s">
        <v>897</v>
      </c>
    </row>
    <row r="75" spans="2:14" x14ac:dyDescent="0.2">
      <c r="B75" s="38"/>
      <c r="C75" s="40" t="s">
        <v>893</v>
      </c>
      <c r="D75" s="40"/>
      <c r="E75" s="40"/>
      <c r="F75" s="40"/>
      <c r="G75" s="40"/>
      <c r="H75" s="40"/>
      <c r="I75" s="40"/>
      <c r="J75" s="175"/>
      <c r="K75" s="41"/>
      <c r="N75" s="12" t="s">
        <v>898</v>
      </c>
    </row>
    <row r="76" spans="2:14" s="178" customFormat="1" x14ac:dyDescent="0.2">
      <c r="B76" s="176"/>
      <c r="C76" s="415"/>
      <c r="D76" s="400"/>
      <c r="E76" s="400"/>
      <c r="F76" s="400"/>
      <c r="G76" s="400"/>
      <c r="H76" s="400"/>
      <c r="I76" s="400"/>
      <c r="J76" s="401"/>
      <c r="K76" s="177"/>
    </row>
    <row r="77" spans="2:14" x14ac:dyDescent="0.2">
      <c r="B77" s="38"/>
      <c r="C77" s="40"/>
      <c r="D77" s="40"/>
      <c r="E77" s="40"/>
      <c r="F77" s="40"/>
      <c r="G77" s="40"/>
      <c r="H77" s="40"/>
      <c r="I77" s="40"/>
      <c r="J77" s="40"/>
      <c r="K77" s="41"/>
    </row>
    <row r="78" spans="2:14" x14ac:dyDescent="0.2">
      <c r="B78" s="38"/>
      <c r="C78" s="179" t="s">
        <v>264</v>
      </c>
      <c r="D78" s="40"/>
      <c r="E78" s="40"/>
      <c r="F78" s="40"/>
      <c r="G78" s="40"/>
      <c r="H78" s="40"/>
      <c r="I78" s="40"/>
      <c r="J78" s="245" t="str">
        <f>IF(J72="N/A",IF(OR(J65="Not Calculated",J74="Not Calculated")=TRUE,"Not Calculated",AVERAGE(J65,J74)),AVERAGE(J72,J74))</f>
        <v>Not Calculated</v>
      </c>
      <c r="K78" s="41"/>
    </row>
    <row r="79" spans="2:14" x14ac:dyDescent="0.2">
      <c r="B79" s="38"/>
      <c r="C79" s="40"/>
      <c r="D79" s="40"/>
      <c r="E79" s="40"/>
      <c r="F79" s="40"/>
      <c r="G79" s="40"/>
      <c r="H79" s="40"/>
      <c r="I79" s="40"/>
      <c r="J79" s="40"/>
      <c r="K79" s="41"/>
    </row>
    <row r="80" spans="2:14" x14ac:dyDescent="0.2">
      <c r="B80" s="38"/>
      <c r="C80" s="40"/>
      <c r="D80" s="40"/>
      <c r="E80" s="40"/>
      <c r="F80" s="40"/>
      <c r="G80" s="40"/>
      <c r="H80" s="40"/>
      <c r="I80" s="40"/>
      <c r="J80" s="40"/>
      <c r="K80" s="41"/>
    </row>
    <row r="81" spans="2:14" ht="16" x14ac:dyDescent="0.2">
      <c r="B81" s="38"/>
      <c r="C81" s="45" t="s">
        <v>57</v>
      </c>
      <c r="D81" s="40"/>
      <c r="E81" s="40"/>
      <c r="F81" s="40"/>
      <c r="G81" s="40"/>
      <c r="H81" s="40"/>
      <c r="I81" s="40"/>
      <c r="J81" s="40"/>
      <c r="K81" s="41"/>
    </row>
    <row r="82" spans="2:14" x14ac:dyDescent="0.2">
      <c r="B82" s="38"/>
      <c r="C82" s="40" t="s">
        <v>437</v>
      </c>
      <c r="D82" s="40"/>
      <c r="E82" s="40"/>
      <c r="F82" s="40"/>
      <c r="G82" s="40"/>
      <c r="H82" s="40"/>
      <c r="I82" s="40"/>
      <c r="J82" s="252">
        <f>'Baseline Health'!G29</f>
        <v>0</v>
      </c>
      <c r="K82" s="41"/>
    </row>
    <row r="83" spans="2:14" x14ac:dyDescent="0.2">
      <c r="B83" s="38"/>
      <c r="C83" s="40" t="s">
        <v>290</v>
      </c>
      <c r="D83" s="40"/>
      <c r="E83" s="40"/>
      <c r="F83" s="40"/>
      <c r="G83" s="40"/>
      <c r="H83" s="40"/>
      <c r="I83" s="40"/>
      <c r="J83" s="264"/>
      <c r="K83" s="41"/>
    </row>
    <row r="84" spans="2:14" x14ac:dyDescent="0.2">
      <c r="B84" s="38"/>
      <c r="C84" s="40" t="s">
        <v>260</v>
      </c>
      <c r="D84" s="40"/>
      <c r="E84" s="40"/>
      <c r="F84" s="40"/>
      <c r="G84" s="40"/>
      <c r="H84" s="40"/>
      <c r="I84" s="40"/>
      <c r="J84" s="248" t="str">
        <f>IF(OR(J82=0,J82="Not Calculated")=TRUE,"Not Calculated",(IF(((J83+J82)/J82)&lt;=1,0,IF(((J83+J82)/J82)&lt;=1.05,1,IF(((J83+J82)/J82)&lt;=1.5, 2,IF(((J83+J82)/J82)&lt;=2,3,4))))))</f>
        <v>Not Calculated</v>
      </c>
      <c r="K84" s="41"/>
    </row>
    <row r="85" spans="2:14" ht="9.75" customHeight="1" x14ac:dyDescent="0.2">
      <c r="B85" s="38"/>
      <c r="C85" s="279" t="str">
        <f>"0:"</f>
        <v>0:</v>
      </c>
      <c r="D85" s="281" t="s">
        <v>918</v>
      </c>
      <c r="E85" s="40"/>
      <c r="F85" s="40"/>
      <c r="G85" s="40"/>
      <c r="H85" s="40"/>
      <c r="I85" s="40"/>
      <c r="J85" s="40"/>
      <c r="K85" s="41"/>
    </row>
    <row r="86" spans="2:14" ht="9.75" customHeight="1" x14ac:dyDescent="0.2">
      <c r="B86" s="38"/>
      <c r="C86" s="280" t="str">
        <f>"1:"</f>
        <v>1:</v>
      </c>
      <c r="D86" s="281" t="s">
        <v>919</v>
      </c>
      <c r="E86" s="40"/>
      <c r="F86" s="40"/>
      <c r="G86" s="40"/>
      <c r="H86" s="40"/>
      <c r="I86" s="40"/>
      <c r="J86" s="40"/>
      <c r="K86" s="41"/>
    </row>
    <row r="87" spans="2:14" ht="9.75" customHeight="1" x14ac:dyDescent="0.2">
      <c r="B87" s="38"/>
      <c r="C87" s="280" t="str">
        <f>"2:"</f>
        <v>2:</v>
      </c>
      <c r="D87" s="281" t="s">
        <v>920</v>
      </c>
      <c r="E87" s="40"/>
      <c r="F87" s="40"/>
      <c r="G87" s="40"/>
      <c r="H87" s="40"/>
      <c r="I87" s="40"/>
      <c r="J87" s="40"/>
      <c r="K87" s="41"/>
    </row>
    <row r="88" spans="2:14" ht="9.75" customHeight="1" x14ac:dyDescent="0.2">
      <c r="B88" s="38"/>
      <c r="C88" s="280" t="str">
        <f>"3:"</f>
        <v>3:</v>
      </c>
      <c r="D88" s="281" t="s">
        <v>921</v>
      </c>
      <c r="E88" s="40"/>
      <c r="F88" s="40"/>
      <c r="G88" s="40"/>
      <c r="H88" s="40"/>
      <c r="I88" s="40"/>
      <c r="J88" s="40"/>
      <c r="K88" s="41"/>
    </row>
    <row r="89" spans="2:14" ht="9.75" customHeight="1" x14ac:dyDescent="0.2">
      <c r="B89" s="38"/>
      <c r="C89" s="280" t="str">
        <f>"4:"</f>
        <v>4:</v>
      </c>
      <c r="D89" s="281" t="s">
        <v>922</v>
      </c>
      <c r="E89" s="40"/>
      <c r="F89" s="40"/>
      <c r="G89" s="40"/>
      <c r="H89" s="40"/>
      <c r="I89" s="40"/>
      <c r="J89" s="40"/>
      <c r="K89" s="41"/>
      <c r="N89" s="12" t="s">
        <v>661</v>
      </c>
    </row>
    <row r="90" spans="2:14" x14ac:dyDescent="0.2">
      <c r="B90" s="38"/>
      <c r="C90" s="174" t="s">
        <v>662</v>
      </c>
      <c r="D90" s="40"/>
      <c r="E90" s="40"/>
      <c r="F90" s="40"/>
      <c r="G90" s="40"/>
      <c r="H90" s="40"/>
      <c r="I90" s="40"/>
      <c r="J90" s="265" t="s">
        <v>661</v>
      </c>
      <c r="K90" s="41"/>
      <c r="N90" s="12" t="s">
        <v>894</v>
      </c>
    </row>
    <row r="91" spans="2:14" x14ac:dyDescent="0.2">
      <c r="B91" s="38"/>
      <c r="C91" s="174" t="s">
        <v>660</v>
      </c>
      <c r="D91" s="40"/>
      <c r="E91" s="40"/>
      <c r="F91" s="40"/>
      <c r="G91" s="40"/>
      <c r="H91" s="40"/>
      <c r="I91" s="40"/>
      <c r="J91" s="246" t="str">
        <f>IF(J90=N89,"N/A",IF(J90=N90,0,IF(J90=N91,1,IF(J90=N92,2,IF(J90=N93,3,IF(J90=N94,4,"N/A"))))))</f>
        <v>N/A</v>
      </c>
      <c r="K91" s="41"/>
      <c r="N91" s="12" t="s">
        <v>895</v>
      </c>
    </row>
    <row r="92" spans="2:14" x14ac:dyDescent="0.2">
      <c r="B92" s="38"/>
      <c r="C92" s="40" t="s">
        <v>257</v>
      </c>
      <c r="D92" s="40"/>
      <c r="E92" s="40"/>
      <c r="F92" s="40"/>
      <c r="G92" s="40"/>
      <c r="H92" s="40"/>
      <c r="I92" s="40"/>
      <c r="J92" s="266"/>
      <c r="K92" s="41"/>
      <c r="N92" s="12" t="s">
        <v>896</v>
      </c>
    </row>
    <row r="93" spans="2:14" x14ac:dyDescent="0.2">
      <c r="B93" s="38"/>
      <c r="C93" s="40" t="s">
        <v>261</v>
      </c>
      <c r="D93" s="40"/>
      <c r="E93" s="40"/>
      <c r="F93" s="40"/>
      <c r="G93" s="40"/>
      <c r="H93" s="40"/>
      <c r="I93" s="40"/>
      <c r="J93" s="245" t="str">
        <f>IF(J92=$B$973,$A$973,IF(J92=$B$974,$A$974,IF(J92=$B$975,$A$975,IF(J92=$B$976,$A$976,IF(J92=$B$977,$A$977,"Not Calculated")))))</f>
        <v>Not Calculated</v>
      </c>
      <c r="K93" s="41"/>
      <c r="N93" s="12" t="s">
        <v>897</v>
      </c>
    </row>
    <row r="94" spans="2:14" x14ac:dyDescent="0.2">
      <c r="B94" s="38"/>
      <c r="C94" s="40" t="s">
        <v>893</v>
      </c>
      <c r="D94" s="40"/>
      <c r="E94" s="40"/>
      <c r="F94" s="40"/>
      <c r="G94" s="40"/>
      <c r="H94" s="40"/>
      <c r="I94" s="40"/>
      <c r="J94" s="175"/>
      <c r="K94" s="41"/>
      <c r="N94" s="12" t="s">
        <v>898</v>
      </c>
    </row>
    <row r="95" spans="2:14" s="178" customFormat="1" x14ac:dyDescent="0.2">
      <c r="B95" s="176"/>
      <c r="C95" s="415"/>
      <c r="D95" s="400"/>
      <c r="E95" s="400"/>
      <c r="F95" s="400"/>
      <c r="G95" s="400"/>
      <c r="H95" s="400"/>
      <c r="I95" s="400"/>
      <c r="J95" s="401"/>
      <c r="K95" s="177"/>
    </row>
    <row r="96" spans="2:14" x14ac:dyDescent="0.2">
      <c r="B96" s="38"/>
      <c r="C96" s="40"/>
      <c r="D96" s="40"/>
      <c r="E96" s="40"/>
      <c r="F96" s="40"/>
      <c r="G96" s="40"/>
      <c r="H96" s="40"/>
      <c r="I96" s="40"/>
      <c r="J96" s="40"/>
      <c r="K96" s="41"/>
    </row>
    <row r="97" spans="2:14" x14ac:dyDescent="0.2">
      <c r="B97" s="38"/>
      <c r="C97" s="179" t="s">
        <v>265</v>
      </c>
      <c r="D97" s="40"/>
      <c r="E97" s="40"/>
      <c r="F97" s="40"/>
      <c r="G97" s="40"/>
      <c r="H97" s="40"/>
      <c r="I97" s="40"/>
      <c r="J97" s="245" t="str">
        <f>IF(J91="N/A",IF(OR(J84="Not Calculated",J93="Not Calculated")=TRUE,"Not Calculated",AVERAGE(J84,J93)),AVERAGE(J91,J93))</f>
        <v>Not Calculated</v>
      </c>
      <c r="K97" s="41"/>
    </row>
    <row r="98" spans="2:14" x14ac:dyDescent="0.2">
      <c r="B98" s="38"/>
      <c r="C98" s="40"/>
      <c r="D98" s="40"/>
      <c r="E98" s="40"/>
      <c r="F98" s="40"/>
      <c r="G98" s="40"/>
      <c r="H98" s="40"/>
      <c r="I98" s="40"/>
      <c r="J98" s="40"/>
      <c r="K98" s="41"/>
    </row>
    <row r="99" spans="2:14" x14ac:dyDescent="0.2">
      <c r="B99" s="38"/>
      <c r="C99" s="40"/>
      <c r="D99" s="40"/>
      <c r="E99" s="40"/>
      <c r="F99" s="40"/>
      <c r="G99" s="40"/>
      <c r="H99" s="40"/>
      <c r="I99" s="40"/>
      <c r="J99" s="40"/>
      <c r="K99" s="41"/>
    </row>
    <row r="100" spans="2:14" ht="16" x14ac:dyDescent="0.2">
      <c r="B100" s="38"/>
      <c r="C100" s="45" t="s">
        <v>60</v>
      </c>
      <c r="D100" s="40"/>
      <c r="E100" s="40"/>
      <c r="F100" s="40"/>
      <c r="G100" s="40"/>
      <c r="H100" s="40"/>
      <c r="I100" s="40"/>
      <c r="J100" s="40"/>
      <c r="K100" s="41"/>
    </row>
    <row r="101" spans="2:14" x14ac:dyDescent="0.2">
      <c r="B101" s="38"/>
      <c r="C101" s="40" t="s">
        <v>438</v>
      </c>
      <c r="D101" s="40"/>
      <c r="E101" s="40"/>
      <c r="F101" s="40"/>
      <c r="G101" s="40"/>
      <c r="H101" s="40"/>
      <c r="I101" s="40"/>
      <c r="J101" s="252">
        <f>'Baseline Health'!G35</f>
        <v>0</v>
      </c>
      <c r="K101" s="41"/>
    </row>
    <row r="102" spans="2:14" x14ac:dyDescent="0.2">
      <c r="B102" s="38"/>
      <c r="C102" s="40" t="s">
        <v>291</v>
      </c>
      <c r="D102" s="40"/>
      <c r="E102" s="40"/>
      <c r="F102" s="40"/>
      <c r="G102" s="40"/>
      <c r="H102" s="40"/>
      <c r="I102" s="40"/>
      <c r="J102" s="264"/>
      <c r="K102" s="41"/>
    </row>
    <row r="103" spans="2:14" x14ac:dyDescent="0.2">
      <c r="B103" s="38"/>
      <c r="C103" s="40" t="s">
        <v>260</v>
      </c>
      <c r="D103" s="40"/>
      <c r="E103" s="40"/>
      <c r="F103" s="40"/>
      <c r="G103" s="40"/>
      <c r="H103" s="40"/>
      <c r="I103" s="40"/>
      <c r="J103" s="248" t="str">
        <f>IF(OR(J101=0,J101="Not Calculated")=TRUE,"Not Calculated",(IF(((J102+J101)/J101)&lt;=1,0,IF(((J102+J101)/J101)&lt;=1.05,1,IF(((J102+J101)/J101)&lt;=1.5, 2,IF(((J102+J101)/J101)&lt;=2,3,4))))))</f>
        <v>Not Calculated</v>
      </c>
      <c r="K103" s="41"/>
    </row>
    <row r="104" spans="2:14" ht="9.75" customHeight="1" x14ac:dyDescent="0.2">
      <c r="B104" s="38"/>
      <c r="C104" s="279" t="str">
        <f>"0:"</f>
        <v>0:</v>
      </c>
      <c r="D104" s="281" t="s">
        <v>918</v>
      </c>
      <c r="E104" s="40"/>
      <c r="F104" s="40"/>
      <c r="G104" s="40"/>
      <c r="H104" s="40"/>
      <c r="I104" s="40"/>
      <c r="J104" s="40"/>
      <c r="K104" s="41"/>
    </row>
    <row r="105" spans="2:14" ht="9.75" customHeight="1" x14ac:dyDescent="0.2">
      <c r="B105" s="38"/>
      <c r="C105" s="280" t="str">
        <f>"1:"</f>
        <v>1:</v>
      </c>
      <c r="D105" s="281" t="s">
        <v>919</v>
      </c>
      <c r="E105" s="40"/>
      <c r="F105" s="40"/>
      <c r="G105" s="40"/>
      <c r="H105" s="40"/>
      <c r="I105" s="40"/>
      <c r="J105" s="40"/>
      <c r="K105" s="41"/>
    </row>
    <row r="106" spans="2:14" ht="9.75" customHeight="1" x14ac:dyDescent="0.2">
      <c r="B106" s="38"/>
      <c r="C106" s="280" t="str">
        <f>"2:"</f>
        <v>2:</v>
      </c>
      <c r="D106" s="281" t="s">
        <v>920</v>
      </c>
      <c r="E106" s="40"/>
      <c r="F106" s="40"/>
      <c r="G106" s="40"/>
      <c r="H106" s="40"/>
      <c r="I106" s="40"/>
      <c r="J106" s="40"/>
      <c r="K106" s="41"/>
    </row>
    <row r="107" spans="2:14" ht="9.75" customHeight="1" x14ac:dyDescent="0.2">
      <c r="B107" s="38"/>
      <c r="C107" s="280" t="str">
        <f>"3:"</f>
        <v>3:</v>
      </c>
      <c r="D107" s="281" t="s">
        <v>921</v>
      </c>
      <c r="E107" s="40"/>
      <c r="F107" s="40"/>
      <c r="G107" s="40"/>
      <c r="H107" s="40"/>
      <c r="I107" s="40"/>
      <c r="J107" s="40"/>
      <c r="K107" s="41"/>
    </row>
    <row r="108" spans="2:14" ht="9.75" customHeight="1" x14ac:dyDescent="0.2">
      <c r="B108" s="38"/>
      <c r="C108" s="280" t="str">
        <f>"4:"</f>
        <v>4:</v>
      </c>
      <c r="D108" s="281" t="s">
        <v>922</v>
      </c>
      <c r="E108" s="40"/>
      <c r="F108" s="40"/>
      <c r="G108" s="40"/>
      <c r="H108" s="40"/>
      <c r="I108" s="40"/>
      <c r="J108" s="40"/>
      <c r="K108" s="41"/>
      <c r="N108" s="12" t="s">
        <v>661</v>
      </c>
    </row>
    <row r="109" spans="2:14" x14ac:dyDescent="0.2">
      <c r="B109" s="38"/>
      <c r="C109" s="174" t="s">
        <v>662</v>
      </c>
      <c r="D109" s="40"/>
      <c r="E109" s="40"/>
      <c r="F109" s="40"/>
      <c r="G109" s="40"/>
      <c r="H109" s="40"/>
      <c r="I109" s="40"/>
      <c r="J109" s="265" t="s">
        <v>661</v>
      </c>
      <c r="K109" s="41"/>
      <c r="N109" s="12" t="s">
        <v>894</v>
      </c>
    </row>
    <row r="110" spans="2:14" x14ac:dyDescent="0.2">
      <c r="B110" s="38"/>
      <c r="C110" s="174" t="s">
        <v>660</v>
      </c>
      <c r="D110" s="40"/>
      <c r="E110" s="40"/>
      <c r="F110" s="40"/>
      <c r="G110" s="40"/>
      <c r="H110" s="40"/>
      <c r="I110" s="40"/>
      <c r="J110" s="246" t="str">
        <f>IF(J109=N108,"N/A",IF(J109=N109,0,IF(J109=N110,1,IF(J109=N111,2,IF(J109=N112,3,IF(J109=N113,4,"N/A"))))))</f>
        <v>N/A</v>
      </c>
      <c r="K110" s="41"/>
      <c r="N110" s="12" t="s">
        <v>895</v>
      </c>
    </row>
    <row r="111" spans="2:14" x14ac:dyDescent="0.2">
      <c r="B111" s="38"/>
      <c r="C111" s="40" t="s">
        <v>257</v>
      </c>
      <c r="D111" s="40"/>
      <c r="E111" s="40"/>
      <c r="F111" s="40"/>
      <c r="G111" s="40"/>
      <c r="H111" s="40"/>
      <c r="I111" s="40"/>
      <c r="J111" s="266"/>
      <c r="K111" s="41"/>
      <c r="N111" s="12" t="s">
        <v>896</v>
      </c>
    </row>
    <row r="112" spans="2:14" x14ac:dyDescent="0.2">
      <c r="B112" s="38"/>
      <c r="C112" s="40" t="s">
        <v>261</v>
      </c>
      <c r="D112" s="40"/>
      <c r="E112" s="40"/>
      <c r="F112" s="40"/>
      <c r="G112" s="40"/>
      <c r="H112" s="40"/>
      <c r="I112" s="40"/>
      <c r="J112" s="245" t="str">
        <f>IF(J111=$B$973,$A$973,IF(J111=$B$974,$A$974,IF(J111=$B$975,$A$975,IF(J111=$B$976,$A$976,IF(J111=$B$977,$A$977,"Not Calculated")))))</f>
        <v>Not Calculated</v>
      </c>
      <c r="K112" s="41"/>
      <c r="N112" s="12" t="s">
        <v>897</v>
      </c>
    </row>
    <row r="113" spans="2:14" x14ac:dyDescent="0.2">
      <c r="B113" s="38"/>
      <c r="C113" s="40" t="s">
        <v>893</v>
      </c>
      <c r="D113" s="40"/>
      <c r="E113" s="40"/>
      <c r="F113" s="40"/>
      <c r="G113" s="40"/>
      <c r="H113" s="40"/>
      <c r="I113" s="40"/>
      <c r="J113" s="175"/>
      <c r="K113" s="41"/>
      <c r="N113" s="12" t="s">
        <v>898</v>
      </c>
    </row>
    <row r="114" spans="2:14" s="178" customFormat="1" x14ac:dyDescent="0.2">
      <c r="B114" s="176"/>
      <c r="C114" s="415"/>
      <c r="D114" s="400"/>
      <c r="E114" s="400"/>
      <c r="F114" s="400"/>
      <c r="G114" s="400"/>
      <c r="H114" s="400"/>
      <c r="I114" s="400"/>
      <c r="J114" s="401"/>
      <c r="K114" s="177"/>
    </row>
    <row r="115" spans="2:14" x14ac:dyDescent="0.2">
      <c r="B115" s="38"/>
      <c r="C115" s="40"/>
      <c r="D115" s="40"/>
      <c r="E115" s="40"/>
      <c r="F115" s="40"/>
      <c r="G115" s="40"/>
      <c r="H115" s="40"/>
      <c r="I115" s="40"/>
      <c r="J115" s="40"/>
      <c r="K115" s="41"/>
    </row>
    <row r="116" spans="2:14" x14ac:dyDescent="0.2">
      <c r="B116" s="38"/>
      <c r="C116" s="179" t="s">
        <v>266</v>
      </c>
      <c r="D116" s="40"/>
      <c r="E116" s="40"/>
      <c r="F116" s="40"/>
      <c r="G116" s="40"/>
      <c r="H116" s="40"/>
      <c r="I116" s="40"/>
      <c r="J116" s="245" t="str">
        <f>IF(J110="N/A",IF(OR(J103="Not Calculated",J112="Not Calculated")=TRUE,"Not Calculated",AVERAGE(J103,J112)),AVERAGE(J110,J112))</f>
        <v>Not Calculated</v>
      </c>
      <c r="K116" s="41"/>
    </row>
    <row r="117" spans="2:14" x14ac:dyDescent="0.2">
      <c r="B117" s="38"/>
      <c r="C117" s="40"/>
      <c r="D117" s="40"/>
      <c r="E117" s="40"/>
      <c r="F117" s="40"/>
      <c r="G117" s="40"/>
      <c r="H117" s="40"/>
      <c r="I117" s="40"/>
      <c r="J117" s="40"/>
      <c r="K117" s="41"/>
    </row>
    <row r="118" spans="2:14" x14ac:dyDescent="0.2">
      <c r="B118" s="38"/>
      <c r="C118" s="40"/>
      <c r="D118" s="40"/>
      <c r="E118" s="40"/>
      <c r="F118" s="40"/>
      <c r="G118" s="40"/>
      <c r="H118" s="40"/>
      <c r="I118" s="40"/>
      <c r="J118" s="40"/>
      <c r="K118" s="41"/>
    </row>
    <row r="119" spans="2:14" ht="16" x14ac:dyDescent="0.2">
      <c r="B119" s="38"/>
      <c r="C119" s="45" t="s">
        <v>262</v>
      </c>
      <c r="D119" s="40"/>
      <c r="E119" s="40"/>
      <c r="F119" s="40"/>
      <c r="G119" s="40"/>
      <c r="H119" s="40"/>
      <c r="I119" s="40"/>
      <c r="J119" s="40"/>
      <c r="K119" s="41"/>
    </row>
    <row r="120" spans="2:14" ht="15" customHeight="1" x14ac:dyDescent="0.2">
      <c r="B120" s="38"/>
      <c r="C120" s="422" t="s">
        <v>268</v>
      </c>
      <c r="D120" s="422"/>
      <c r="E120" s="422"/>
      <c r="F120" s="422"/>
      <c r="G120" s="422"/>
      <c r="H120" s="422"/>
      <c r="I120" s="422"/>
      <c r="J120" s="422"/>
      <c r="K120" s="41"/>
    </row>
    <row r="121" spans="2:14" x14ac:dyDescent="0.2">
      <c r="B121" s="38"/>
      <c r="C121" s="422"/>
      <c r="D121" s="422"/>
      <c r="E121" s="422"/>
      <c r="F121" s="422"/>
      <c r="G121" s="422"/>
      <c r="H121" s="422"/>
      <c r="I121" s="422"/>
      <c r="J121" s="422"/>
      <c r="K121" s="41"/>
    </row>
    <row r="122" spans="2:14" x14ac:dyDescent="0.2">
      <c r="B122" s="38"/>
      <c r="C122" s="423"/>
      <c r="D122" s="423"/>
      <c r="E122" s="423"/>
      <c r="F122" s="423"/>
      <c r="G122" s="423"/>
      <c r="H122" s="423"/>
      <c r="I122" s="423"/>
      <c r="J122" s="423"/>
      <c r="K122" s="41"/>
    </row>
    <row r="123" spans="2:14" ht="15" customHeight="1" x14ac:dyDescent="0.2">
      <c r="B123" s="38"/>
      <c r="C123" s="416"/>
      <c r="D123" s="417"/>
      <c r="E123" s="417"/>
      <c r="F123" s="417"/>
      <c r="G123" s="417"/>
      <c r="H123" s="417"/>
      <c r="I123" s="417"/>
      <c r="J123" s="418"/>
      <c r="K123" s="41"/>
    </row>
    <row r="124" spans="2:14" x14ac:dyDescent="0.2">
      <c r="B124" s="38"/>
      <c r="C124" s="419"/>
      <c r="D124" s="420"/>
      <c r="E124" s="420"/>
      <c r="F124" s="420"/>
      <c r="G124" s="420"/>
      <c r="H124" s="420"/>
      <c r="I124" s="420"/>
      <c r="J124" s="421"/>
      <c r="K124" s="41"/>
    </row>
    <row r="125" spans="2:14" ht="15" customHeight="1" x14ac:dyDescent="0.2">
      <c r="B125" s="38"/>
      <c r="C125" s="40" t="s">
        <v>260</v>
      </c>
      <c r="D125" s="40"/>
      <c r="E125" s="40"/>
      <c r="F125" s="40"/>
      <c r="G125" s="40"/>
      <c r="H125" s="40"/>
      <c r="I125" s="40"/>
      <c r="J125" s="247" t="str">
        <f>IF(C123=B987,A987,IF(C123=B988,A988,IF(C123=B989,A989,IF(C123=B990,A990,IF(C123=B991,A991,"Not Calculated")))))</f>
        <v>Not Calculated</v>
      </c>
      <c r="K125" s="41"/>
    </row>
    <row r="126" spans="2:14" ht="15" customHeight="1" x14ac:dyDescent="0.2">
      <c r="B126" s="38"/>
      <c r="C126" s="40" t="s">
        <v>257</v>
      </c>
      <c r="D126" s="40"/>
      <c r="E126" s="40"/>
      <c r="F126" s="40"/>
      <c r="G126" s="40"/>
      <c r="H126" s="40"/>
      <c r="I126" s="40"/>
      <c r="J126" s="266"/>
      <c r="K126" s="41"/>
    </row>
    <row r="127" spans="2:14" x14ac:dyDescent="0.2">
      <c r="B127" s="38"/>
      <c r="C127" s="40" t="s">
        <v>261</v>
      </c>
      <c r="D127" s="40"/>
      <c r="E127" s="40"/>
      <c r="F127" s="40"/>
      <c r="G127" s="40"/>
      <c r="H127" s="40"/>
      <c r="I127" s="40"/>
      <c r="J127" s="245" t="str">
        <f>IF(J126=$B$973,$A$973,IF(J126=$B$974,$A$974,IF(J126=$B$975,$A$975,IF(J126=$B$976,$A$976,IF(J126=$B$977,$A$977,"Not Calculated")))))</f>
        <v>Not Calculated</v>
      </c>
      <c r="K127" s="41"/>
    </row>
    <row r="128" spans="2:14" ht="15" customHeight="1" x14ac:dyDescent="0.2">
      <c r="B128" s="38"/>
      <c r="C128" s="40" t="s">
        <v>893</v>
      </c>
      <c r="D128" s="40"/>
      <c r="E128" s="40"/>
      <c r="F128" s="40"/>
      <c r="G128" s="40"/>
      <c r="H128" s="40"/>
      <c r="I128" s="40"/>
      <c r="J128" s="175"/>
      <c r="K128" s="41"/>
    </row>
    <row r="129" spans="2:11" s="178" customFormat="1" ht="15" customHeight="1" x14ac:dyDescent="0.2">
      <c r="B129" s="176"/>
      <c r="C129" s="415"/>
      <c r="D129" s="400"/>
      <c r="E129" s="400"/>
      <c r="F129" s="400"/>
      <c r="G129" s="400"/>
      <c r="H129" s="400"/>
      <c r="I129" s="400"/>
      <c r="J129" s="401"/>
      <c r="K129" s="177"/>
    </row>
    <row r="130" spans="2:11" x14ac:dyDescent="0.2">
      <c r="B130" s="38"/>
      <c r="C130" s="40"/>
      <c r="D130" s="40"/>
      <c r="E130" s="40"/>
      <c r="F130" s="40"/>
      <c r="G130" s="40"/>
      <c r="H130" s="40"/>
      <c r="I130" s="40"/>
      <c r="J130" s="40"/>
      <c r="K130" s="41"/>
    </row>
    <row r="131" spans="2:11" x14ac:dyDescent="0.2">
      <c r="B131" s="38"/>
      <c r="C131" s="179" t="s">
        <v>267</v>
      </c>
      <c r="D131" s="40"/>
      <c r="E131" s="40"/>
      <c r="F131" s="40"/>
      <c r="G131" s="40"/>
      <c r="H131" s="40"/>
      <c r="I131" s="40"/>
      <c r="J131" s="245" t="str">
        <f>IF(OR(J125="Not Calculated",J127="Not Calculated")=TRUE,"Not Calculated",AVERAGE(J125,J127))</f>
        <v>Not Calculated</v>
      </c>
      <c r="K131" s="41"/>
    </row>
    <row r="132" spans="2:11" x14ac:dyDescent="0.2">
      <c r="B132" s="38"/>
      <c r="C132" s="179"/>
      <c r="D132" s="40"/>
      <c r="E132" s="40"/>
      <c r="F132" s="40"/>
      <c r="G132" s="40"/>
      <c r="H132" s="40"/>
      <c r="I132" s="40"/>
      <c r="J132" s="245"/>
      <c r="K132" s="41"/>
    </row>
    <row r="133" spans="2:11" ht="18" x14ac:dyDescent="0.2">
      <c r="B133" s="38"/>
      <c r="C133" s="180" t="s">
        <v>269</v>
      </c>
      <c r="D133" s="40"/>
      <c r="E133" s="40"/>
      <c r="F133" s="40"/>
      <c r="G133" s="40"/>
      <c r="H133" s="40"/>
      <c r="I133" s="40"/>
      <c r="J133" s="244" t="str">
        <f>IF(OR(J40="Not Calculated",J59="Not Calculated",J78="Not Calculated",J97="Not Calculated",J116="Not Calculated",J131="Not Calculated",)=TRUE,"Not Calculated",AVERAGE(J40,J59,J78,J97,J116,J131))</f>
        <v>Not Calculated</v>
      </c>
      <c r="K133" s="41"/>
    </row>
    <row r="134" spans="2:11" ht="16" thickBot="1" x14ac:dyDescent="0.25">
      <c r="B134" s="46"/>
      <c r="C134" s="47"/>
      <c r="D134" s="47"/>
      <c r="E134" s="47"/>
      <c r="F134" s="47"/>
      <c r="G134" s="47"/>
      <c r="H134" s="47"/>
      <c r="I134" s="47"/>
      <c r="J134" s="47"/>
      <c r="K134" s="49"/>
    </row>
    <row r="135" spans="2:11" ht="16" thickBot="1" x14ac:dyDescent="0.25"/>
    <row r="136" spans="2:11" x14ac:dyDescent="0.2">
      <c r="B136" s="33"/>
      <c r="C136" s="34"/>
      <c r="D136" s="34"/>
      <c r="E136" s="34"/>
      <c r="F136" s="34"/>
      <c r="G136" s="34"/>
      <c r="H136" s="34"/>
      <c r="I136" s="34"/>
      <c r="J136" s="34"/>
      <c r="K136" s="37"/>
    </row>
    <row r="137" spans="2:11" ht="21" x14ac:dyDescent="0.25">
      <c r="B137" s="38"/>
      <c r="C137" s="171"/>
      <c r="D137" s="40"/>
      <c r="E137" s="40"/>
      <c r="F137" s="40"/>
      <c r="G137" s="172" t="s">
        <v>27</v>
      </c>
      <c r="H137" s="40"/>
      <c r="I137" s="40"/>
      <c r="J137" s="40"/>
      <c r="K137" s="41"/>
    </row>
    <row r="138" spans="2:11" x14ac:dyDescent="0.2">
      <c r="B138" s="38"/>
      <c r="C138" s="40"/>
      <c r="D138" s="40"/>
      <c r="E138" s="40"/>
      <c r="F138" s="40"/>
      <c r="G138" s="40"/>
      <c r="H138" s="40"/>
      <c r="I138" s="40"/>
      <c r="J138" s="40"/>
      <c r="K138" s="41"/>
    </row>
    <row r="139" spans="2:11" ht="16" x14ac:dyDescent="0.2">
      <c r="B139" s="38"/>
      <c r="C139" s="45" t="s">
        <v>72</v>
      </c>
      <c r="D139" s="40"/>
      <c r="E139" s="40"/>
      <c r="F139" s="40"/>
      <c r="G139" s="40"/>
      <c r="H139" s="40"/>
      <c r="I139" s="40"/>
      <c r="J139" s="40"/>
      <c r="K139" s="41"/>
    </row>
    <row r="140" spans="2:11" x14ac:dyDescent="0.2">
      <c r="B140" s="38"/>
      <c r="C140" s="40" t="s">
        <v>440</v>
      </c>
      <c r="D140" s="40"/>
      <c r="E140" s="40"/>
      <c r="F140" s="40"/>
      <c r="G140" s="40"/>
      <c r="H140" s="40"/>
      <c r="I140" s="40"/>
      <c r="J140" s="252">
        <f>'Baseline Health'!G45</f>
        <v>0</v>
      </c>
      <c r="K140" s="41"/>
    </row>
    <row r="141" spans="2:11" x14ac:dyDescent="0.2">
      <c r="B141" s="38"/>
      <c r="C141" s="40" t="s">
        <v>270</v>
      </c>
      <c r="D141" s="40"/>
      <c r="E141" s="40"/>
      <c r="F141" s="40"/>
      <c r="G141" s="40"/>
      <c r="H141" s="40"/>
      <c r="I141" s="40"/>
      <c r="J141" s="264"/>
      <c r="K141" s="41"/>
    </row>
    <row r="142" spans="2:11" x14ac:dyDescent="0.2">
      <c r="B142" s="38"/>
      <c r="C142" s="40" t="s">
        <v>439</v>
      </c>
      <c r="D142" s="40"/>
      <c r="E142" s="40"/>
      <c r="F142" s="40"/>
      <c r="G142" s="40"/>
      <c r="H142" s="40"/>
      <c r="I142" s="40"/>
      <c r="J142" s="251">
        <f>J83/20</f>
        <v>0</v>
      </c>
      <c r="K142" s="41"/>
    </row>
    <row r="143" spans="2:11" x14ac:dyDescent="0.2">
      <c r="B143" s="38"/>
      <c r="C143" s="40"/>
      <c r="D143" s="40" t="s">
        <v>351</v>
      </c>
      <c r="E143" s="40"/>
      <c r="F143" s="40"/>
      <c r="G143" s="40"/>
      <c r="H143" s="40"/>
      <c r="I143" s="40"/>
      <c r="J143" s="40"/>
      <c r="K143" s="41"/>
    </row>
    <row r="144" spans="2:11" x14ac:dyDescent="0.2">
      <c r="B144" s="38"/>
      <c r="C144" s="40" t="s">
        <v>260</v>
      </c>
      <c r="D144" s="40"/>
      <c r="E144" s="40"/>
      <c r="F144" s="40"/>
      <c r="G144" s="40"/>
      <c r="H144" s="40"/>
      <c r="I144" s="40"/>
      <c r="J144" s="245" t="str">
        <f>IF(OR(J140=0,J140="Not Calculated")=TRUE,"Not Calculated",IF((J140-J141)&lt;=0,4,IF(((J140+J142)/(J140-J141))&lt;=1,0,IF(((J140+J142)/(J140-J141))&lt;=1.05,1,IF(((J140+J142)/(J140-J141))&lt;=1.5, 2,IF(((J140+J142)/(J140-J141))&lt;=2,3,4))))))</f>
        <v>Not Calculated</v>
      </c>
      <c r="K144" s="41"/>
    </row>
    <row r="145" spans="2:14" ht="9.75" customHeight="1" x14ac:dyDescent="0.2">
      <c r="B145" s="38"/>
      <c r="C145" s="279" t="str">
        <f>"0:"</f>
        <v>0:</v>
      </c>
      <c r="D145" s="278" t="s">
        <v>918</v>
      </c>
      <c r="E145" s="40"/>
      <c r="F145" s="40"/>
      <c r="G145" s="40"/>
      <c r="H145" s="40"/>
      <c r="I145" s="40"/>
      <c r="J145" s="40"/>
      <c r="K145" s="41"/>
    </row>
    <row r="146" spans="2:14" ht="9.75" customHeight="1" x14ac:dyDescent="0.2">
      <c r="B146" s="38"/>
      <c r="C146" s="280" t="str">
        <f>"1:"</f>
        <v>1:</v>
      </c>
      <c r="D146" s="278" t="s">
        <v>923</v>
      </c>
      <c r="E146" s="40"/>
      <c r="F146" s="40"/>
      <c r="G146" s="40"/>
      <c r="H146" s="40"/>
      <c r="I146" s="40"/>
      <c r="J146" s="40"/>
      <c r="K146" s="41"/>
    </row>
    <row r="147" spans="2:14" ht="9.75" customHeight="1" x14ac:dyDescent="0.2">
      <c r="B147" s="38"/>
      <c r="C147" s="280" t="str">
        <f>"2:"</f>
        <v>2:</v>
      </c>
      <c r="D147" s="278" t="s">
        <v>924</v>
      </c>
      <c r="E147" s="40"/>
      <c r="F147" s="40"/>
      <c r="G147" s="40"/>
      <c r="H147" s="40"/>
      <c r="I147" s="40"/>
      <c r="J147" s="40"/>
      <c r="K147" s="41"/>
    </row>
    <row r="148" spans="2:14" ht="9.75" customHeight="1" x14ac:dyDescent="0.2">
      <c r="B148" s="38"/>
      <c r="C148" s="280" t="str">
        <f>"3:"</f>
        <v>3:</v>
      </c>
      <c r="D148" s="278" t="s">
        <v>925</v>
      </c>
      <c r="E148" s="40"/>
      <c r="F148" s="40"/>
      <c r="G148" s="40"/>
      <c r="H148" s="40"/>
      <c r="I148" s="40"/>
      <c r="J148" s="40"/>
      <c r="K148" s="41"/>
    </row>
    <row r="149" spans="2:14" ht="9.75" customHeight="1" x14ac:dyDescent="0.2">
      <c r="B149" s="38"/>
      <c r="C149" s="280" t="str">
        <f>"4:"</f>
        <v>4:</v>
      </c>
      <c r="D149" s="278" t="s">
        <v>926</v>
      </c>
      <c r="E149" s="40"/>
      <c r="F149" s="40"/>
      <c r="G149" s="40"/>
      <c r="H149" s="40"/>
      <c r="I149" s="40"/>
      <c r="J149" s="40"/>
      <c r="K149" s="41"/>
      <c r="N149" s="12" t="s">
        <v>661</v>
      </c>
    </row>
    <row r="150" spans="2:14" x14ac:dyDescent="0.2">
      <c r="B150" s="38"/>
      <c r="C150" s="174" t="s">
        <v>662</v>
      </c>
      <c r="D150" s="40"/>
      <c r="E150" s="40"/>
      <c r="F150" s="40"/>
      <c r="G150" s="40"/>
      <c r="H150" s="40"/>
      <c r="I150" s="40"/>
      <c r="J150" s="265" t="s">
        <v>661</v>
      </c>
      <c r="K150" s="41"/>
      <c r="N150" s="12" t="s">
        <v>894</v>
      </c>
    </row>
    <row r="151" spans="2:14" x14ac:dyDescent="0.2">
      <c r="B151" s="38"/>
      <c r="C151" s="174" t="s">
        <v>660</v>
      </c>
      <c r="D151" s="40"/>
      <c r="E151" s="40"/>
      <c r="F151" s="40"/>
      <c r="G151" s="40"/>
      <c r="H151" s="40"/>
      <c r="I151" s="40"/>
      <c r="J151" s="246" t="str">
        <f>IF(J150=N149,"N/A",IF(J150=N150,0,IF(J150=N151,1,IF(J150=N152,2,IF(J150=N153,3,IF(J150=N154,4,"N/A"))))))</f>
        <v>N/A</v>
      </c>
      <c r="K151" s="41"/>
      <c r="N151" s="12" t="s">
        <v>899</v>
      </c>
    </row>
    <row r="152" spans="2:14" x14ac:dyDescent="0.2">
      <c r="B152" s="38"/>
      <c r="C152" s="40" t="s">
        <v>257</v>
      </c>
      <c r="D152" s="40"/>
      <c r="E152" s="40"/>
      <c r="F152" s="40"/>
      <c r="G152" s="40"/>
      <c r="H152" s="40"/>
      <c r="I152" s="40"/>
      <c r="J152" s="266"/>
      <c r="K152" s="41"/>
      <c r="N152" s="12" t="s">
        <v>900</v>
      </c>
    </row>
    <row r="153" spans="2:14" x14ac:dyDescent="0.2">
      <c r="B153" s="38"/>
      <c r="C153" s="40" t="s">
        <v>261</v>
      </c>
      <c r="D153" s="40"/>
      <c r="E153" s="40"/>
      <c r="F153" s="40"/>
      <c r="G153" s="40"/>
      <c r="H153" s="40"/>
      <c r="I153" s="40"/>
      <c r="J153" s="245" t="str">
        <f>IF(J152=$B$973,$A$973,IF(J152=$B$974,$A$974,IF(J152=$B$975,$A$975,IF(J152=$B$976,$A$976,IF(J152=$B$977,$A$977,"Not Calculated")))))</f>
        <v>Not Calculated</v>
      </c>
      <c r="K153" s="41"/>
      <c r="N153" s="12" t="s">
        <v>901</v>
      </c>
    </row>
    <row r="154" spans="2:14" x14ac:dyDescent="0.2">
      <c r="B154" s="38"/>
      <c r="C154" s="40" t="s">
        <v>893</v>
      </c>
      <c r="D154" s="40"/>
      <c r="E154" s="40"/>
      <c r="F154" s="40"/>
      <c r="G154" s="40"/>
      <c r="H154" s="40"/>
      <c r="I154" s="40"/>
      <c r="J154" s="40"/>
      <c r="K154" s="41"/>
      <c r="N154" s="12" t="s">
        <v>902</v>
      </c>
    </row>
    <row r="155" spans="2:14" ht="15" customHeight="1" x14ac:dyDescent="0.2">
      <c r="B155" s="38"/>
      <c r="C155" s="399"/>
      <c r="D155" s="400"/>
      <c r="E155" s="400"/>
      <c r="F155" s="400"/>
      <c r="G155" s="400"/>
      <c r="H155" s="400"/>
      <c r="I155" s="400"/>
      <c r="J155" s="401"/>
      <c r="K155" s="41"/>
    </row>
    <row r="156" spans="2:14" x14ac:dyDescent="0.2">
      <c r="B156" s="38"/>
      <c r="C156" s="40"/>
      <c r="D156" s="40"/>
      <c r="E156" s="40"/>
      <c r="F156" s="40"/>
      <c r="G156" s="40"/>
      <c r="H156" s="40"/>
      <c r="I156" s="40"/>
      <c r="J156" s="40"/>
      <c r="K156" s="41"/>
    </row>
    <row r="157" spans="2:14" x14ac:dyDescent="0.2">
      <c r="B157" s="38"/>
      <c r="C157" s="179" t="s">
        <v>271</v>
      </c>
      <c r="D157" s="40"/>
      <c r="E157" s="40"/>
      <c r="F157" s="40"/>
      <c r="G157" s="40"/>
      <c r="H157" s="40"/>
      <c r="I157" s="40"/>
      <c r="J157" s="245" t="str">
        <f>IF(J151="N/A",IF(OR(J144="Not Calculated",J153="Not Calculated")=TRUE,"Not Calculated",AVERAGE(J144,J153)),AVERAGE(J151,J153))</f>
        <v>Not Calculated</v>
      </c>
      <c r="K157" s="41"/>
    </row>
    <row r="158" spans="2:14" x14ac:dyDescent="0.2">
      <c r="B158" s="38"/>
      <c r="C158" s="40"/>
      <c r="D158" s="40"/>
      <c r="E158" s="40"/>
      <c r="F158" s="40"/>
      <c r="G158" s="40"/>
      <c r="H158" s="40"/>
      <c r="I158" s="40"/>
      <c r="J158" s="40"/>
      <c r="K158" s="41"/>
    </row>
    <row r="159" spans="2:14" x14ac:dyDescent="0.2">
      <c r="B159" s="38"/>
      <c r="C159" s="40"/>
      <c r="D159" s="40"/>
      <c r="E159" s="40"/>
      <c r="F159" s="40"/>
      <c r="G159" s="40"/>
      <c r="H159" s="40"/>
      <c r="I159" s="40"/>
      <c r="J159" s="40"/>
      <c r="K159" s="41"/>
    </row>
    <row r="160" spans="2:14" ht="16" x14ac:dyDescent="0.2">
      <c r="B160" s="38"/>
      <c r="C160" s="45" t="s">
        <v>273</v>
      </c>
      <c r="D160" s="40"/>
      <c r="E160" s="40"/>
      <c r="F160" s="40"/>
      <c r="G160" s="40"/>
      <c r="H160" s="40"/>
      <c r="I160" s="40"/>
      <c r="J160" s="40"/>
      <c r="K160" s="41"/>
    </row>
    <row r="161" spans="2:14" x14ac:dyDescent="0.2">
      <c r="B161" s="38"/>
      <c r="C161" s="40" t="s">
        <v>441</v>
      </c>
      <c r="D161" s="40"/>
      <c r="E161" s="40"/>
      <c r="F161" s="40"/>
      <c r="G161" s="40"/>
      <c r="H161" s="40"/>
      <c r="I161" s="40"/>
      <c r="J161" s="252">
        <f>'Baseline Health'!G51</f>
        <v>0</v>
      </c>
      <c r="K161" s="41"/>
    </row>
    <row r="162" spans="2:14" x14ac:dyDescent="0.2">
      <c r="B162" s="38"/>
      <c r="C162" s="40" t="s">
        <v>280</v>
      </c>
      <c r="D162" s="40"/>
      <c r="E162" s="40"/>
      <c r="F162" s="40"/>
      <c r="G162" s="40"/>
      <c r="H162" s="40"/>
      <c r="I162" s="40"/>
      <c r="J162" s="264"/>
      <c r="K162" s="41"/>
    </row>
    <row r="163" spans="2:14" x14ac:dyDescent="0.2">
      <c r="B163" s="38"/>
      <c r="C163" s="40" t="s">
        <v>442</v>
      </c>
      <c r="D163" s="40"/>
      <c r="E163" s="40"/>
      <c r="F163" s="40"/>
      <c r="G163" s="40"/>
      <c r="H163" s="40"/>
      <c r="I163" s="40"/>
      <c r="J163" s="251">
        <f>(J64)/4.5</f>
        <v>0</v>
      </c>
      <c r="K163" s="41"/>
    </row>
    <row r="164" spans="2:14" x14ac:dyDescent="0.2">
      <c r="B164" s="38"/>
      <c r="C164" s="40"/>
      <c r="D164" s="40" t="s">
        <v>353</v>
      </c>
      <c r="E164" s="40"/>
      <c r="F164" s="40"/>
      <c r="G164" s="40"/>
      <c r="H164" s="40"/>
      <c r="I164" s="40"/>
      <c r="J164" s="40"/>
      <c r="K164" s="41"/>
    </row>
    <row r="165" spans="2:14" x14ac:dyDescent="0.2">
      <c r="B165" s="38"/>
      <c r="C165" s="40" t="s">
        <v>260</v>
      </c>
      <c r="D165" s="40"/>
      <c r="E165" s="40"/>
      <c r="F165" s="40"/>
      <c r="G165" s="40"/>
      <c r="H165" s="40"/>
      <c r="I165" s="40"/>
      <c r="J165" s="245" t="str">
        <f>IF(OR(J161=0,J161="Not Calculated")=TRUE,"Not Calculated",IF((J161-J162)&lt;=0,4,IF(((J161+J163)/(J161-J162))&lt;=1,0,IF(((J161+J163)/(J161-J162))&lt;=1.05,1,IF(((J161+J163)/(J161-J162))&lt;=1.5, 2,IF(((J161+J163)/(J161-J162))&lt;=2,3,4))))))</f>
        <v>Not Calculated</v>
      </c>
      <c r="K165" s="41"/>
    </row>
    <row r="166" spans="2:14" ht="9.75" customHeight="1" x14ac:dyDescent="0.2">
      <c r="B166" s="38"/>
      <c r="C166" s="279" t="str">
        <f>"0:"</f>
        <v>0:</v>
      </c>
      <c r="D166" s="278" t="s">
        <v>918</v>
      </c>
      <c r="E166" s="40"/>
      <c r="F166" s="40"/>
      <c r="G166" s="40"/>
      <c r="H166" s="40"/>
      <c r="I166" s="40"/>
      <c r="J166" s="40"/>
      <c r="K166" s="41"/>
    </row>
    <row r="167" spans="2:14" ht="9.75" customHeight="1" x14ac:dyDescent="0.2">
      <c r="B167" s="38"/>
      <c r="C167" s="280" t="str">
        <f>"1:"</f>
        <v>1:</v>
      </c>
      <c r="D167" s="278" t="s">
        <v>923</v>
      </c>
      <c r="E167" s="40"/>
      <c r="F167" s="40"/>
      <c r="G167" s="40"/>
      <c r="H167" s="40"/>
      <c r="I167" s="40"/>
      <c r="J167" s="40"/>
      <c r="K167" s="41"/>
    </row>
    <row r="168" spans="2:14" ht="9.75" customHeight="1" x14ac:dyDescent="0.2">
      <c r="B168" s="38"/>
      <c r="C168" s="280" t="str">
        <f>"2:"</f>
        <v>2:</v>
      </c>
      <c r="D168" s="278" t="s">
        <v>924</v>
      </c>
      <c r="E168" s="40"/>
      <c r="F168" s="40"/>
      <c r="G168" s="40"/>
      <c r="H168" s="40"/>
      <c r="I168" s="40"/>
      <c r="J168" s="40"/>
      <c r="K168" s="41"/>
    </row>
    <row r="169" spans="2:14" ht="9.75" customHeight="1" x14ac:dyDescent="0.2">
      <c r="B169" s="38"/>
      <c r="C169" s="280" t="str">
        <f>"3:"</f>
        <v>3:</v>
      </c>
      <c r="D169" s="278" t="s">
        <v>925</v>
      </c>
      <c r="E169" s="40"/>
      <c r="F169" s="40"/>
      <c r="G169" s="40"/>
      <c r="H169" s="40"/>
      <c r="I169" s="40"/>
      <c r="J169" s="40"/>
      <c r="K169" s="41"/>
    </row>
    <row r="170" spans="2:14" ht="9.75" customHeight="1" x14ac:dyDescent="0.2">
      <c r="B170" s="38"/>
      <c r="C170" s="280" t="str">
        <f>"4:"</f>
        <v>4:</v>
      </c>
      <c r="D170" s="278" t="s">
        <v>926</v>
      </c>
      <c r="E170" s="40"/>
      <c r="F170" s="40"/>
      <c r="G170" s="40"/>
      <c r="H170" s="40"/>
      <c r="I170" s="40"/>
      <c r="J170" s="40"/>
      <c r="K170" s="41"/>
      <c r="N170" s="12" t="s">
        <v>661</v>
      </c>
    </row>
    <row r="171" spans="2:14" x14ac:dyDescent="0.2">
      <c r="B171" s="38"/>
      <c r="C171" s="174" t="s">
        <v>662</v>
      </c>
      <c r="D171" s="40"/>
      <c r="E171" s="40"/>
      <c r="F171" s="40"/>
      <c r="G171" s="40"/>
      <c r="H171" s="40"/>
      <c r="I171" s="40"/>
      <c r="J171" s="265" t="s">
        <v>661</v>
      </c>
      <c r="K171" s="41"/>
      <c r="N171" s="12" t="s">
        <v>894</v>
      </c>
    </row>
    <row r="172" spans="2:14" x14ac:dyDescent="0.2">
      <c r="B172" s="38"/>
      <c r="C172" s="174" t="s">
        <v>660</v>
      </c>
      <c r="D172" s="40"/>
      <c r="E172" s="40"/>
      <c r="F172" s="40"/>
      <c r="G172" s="40"/>
      <c r="H172" s="40"/>
      <c r="I172" s="40"/>
      <c r="J172" s="246" t="str">
        <f>IF(J171=N170,"N/A",IF(J171=N171,0,IF(J171=N172,1,IF(J171=N173,2,IF(J171=N174,3,IF(J171=N175,4,"N/A"))))))</f>
        <v>N/A</v>
      </c>
      <c r="K172" s="41"/>
      <c r="N172" s="12" t="s">
        <v>899</v>
      </c>
    </row>
    <row r="173" spans="2:14" x14ac:dyDescent="0.2">
      <c r="B173" s="38"/>
      <c r="C173" s="40" t="s">
        <v>257</v>
      </c>
      <c r="D173" s="40"/>
      <c r="E173" s="40"/>
      <c r="F173" s="40"/>
      <c r="G173" s="40"/>
      <c r="H173" s="40"/>
      <c r="I173" s="40"/>
      <c r="J173" s="266"/>
      <c r="K173" s="41"/>
      <c r="N173" s="12" t="s">
        <v>900</v>
      </c>
    </row>
    <row r="174" spans="2:14" x14ac:dyDescent="0.2">
      <c r="B174" s="38"/>
      <c r="C174" s="40" t="s">
        <v>261</v>
      </c>
      <c r="D174" s="40"/>
      <c r="E174" s="40"/>
      <c r="F174" s="40"/>
      <c r="G174" s="40"/>
      <c r="H174" s="40"/>
      <c r="I174" s="40"/>
      <c r="J174" s="245" t="str">
        <f>IF(J173=$B$973,$A$973,IF(J173=$B$974,$A$974,IF(J173=$B$975,$A$975,IF(J173=$B$976,$A$976,IF(J173=$B$977,$A$977,"Not Calculated")))))</f>
        <v>Not Calculated</v>
      </c>
      <c r="K174" s="41"/>
      <c r="N174" s="12" t="s">
        <v>901</v>
      </c>
    </row>
    <row r="175" spans="2:14" x14ac:dyDescent="0.2">
      <c r="B175" s="38"/>
      <c r="C175" s="40" t="s">
        <v>893</v>
      </c>
      <c r="D175" s="40"/>
      <c r="E175" s="40"/>
      <c r="F175" s="40"/>
      <c r="G175" s="40"/>
      <c r="H175" s="40"/>
      <c r="I175" s="40"/>
      <c r="J175" s="40"/>
      <c r="K175" s="41"/>
      <c r="N175" s="12" t="s">
        <v>902</v>
      </c>
    </row>
    <row r="176" spans="2:14" ht="15" customHeight="1" x14ac:dyDescent="0.2">
      <c r="B176" s="38"/>
      <c r="C176" s="399"/>
      <c r="D176" s="400"/>
      <c r="E176" s="400"/>
      <c r="F176" s="400"/>
      <c r="G176" s="400"/>
      <c r="H176" s="400"/>
      <c r="I176" s="400"/>
      <c r="J176" s="401"/>
      <c r="K176" s="41"/>
    </row>
    <row r="177" spans="2:14" x14ac:dyDescent="0.2">
      <c r="B177" s="38"/>
      <c r="C177" s="40"/>
      <c r="D177" s="40"/>
      <c r="E177" s="40"/>
      <c r="F177" s="40"/>
      <c r="G177" s="40"/>
      <c r="H177" s="40"/>
      <c r="I177" s="40"/>
      <c r="J177" s="40"/>
      <c r="K177" s="41"/>
    </row>
    <row r="178" spans="2:14" x14ac:dyDescent="0.2">
      <c r="B178" s="38"/>
      <c r="C178" s="179" t="s">
        <v>274</v>
      </c>
      <c r="D178" s="40"/>
      <c r="E178" s="40"/>
      <c r="F178" s="40"/>
      <c r="G178" s="40"/>
      <c r="H178" s="40"/>
      <c r="I178" s="40"/>
      <c r="J178" s="245" t="str">
        <f>IF(J172="N/A",IF(OR(J165="Not Calculated",J174="Not Calculated")=TRUE,"Not Calculated",AVERAGE(J165,J174)),AVERAGE(J172,J174))</f>
        <v>Not Calculated</v>
      </c>
      <c r="K178" s="41"/>
    </row>
    <row r="179" spans="2:14" x14ac:dyDescent="0.2">
      <c r="B179" s="38"/>
      <c r="C179" s="40"/>
      <c r="D179" s="40"/>
      <c r="E179" s="40"/>
      <c r="F179" s="40"/>
      <c r="G179" s="40"/>
      <c r="H179" s="40"/>
      <c r="I179" s="40"/>
      <c r="J179" s="40"/>
      <c r="K179" s="41"/>
    </row>
    <row r="180" spans="2:14" x14ac:dyDescent="0.2">
      <c r="B180" s="38"/>
      <c r="C180" s="40"/>
      <c r="D180" s="40"/>
      <c r="E180" s="40"/>
      <c r="F180" s="40"/>
      <c r="G180" s="40"/>
      <c r="H180" s="40"/>
      <c r="I180" s="40"/>
      <c r="J180" s="40"/>
      <c r="K180" s="41"/>
    </row>
    <row r="181" spans="2:14" ht="16" x14ac:dyDescent="0.2">
      <c r="B181" s="38"/>
      <c r="C181" s="45" t="s">
        <v>74</v>
      </c>
      <c r="D181" s="40"/>
      <c r="E181" s="40"/>
      <c r="F181" s="40"/>
      <c r="G181" s="40"/>
      <c r="H181" s="40"/>
      <c r="I181" s="40"/>
      <c r="J181" s="40"/>
      <c r="K181" s="41"/>
    </row>
    <row r="182" spans="2:14" x14ac:dyDescent="0.2">
      <c r="B182" s="38"/>
      <c r="C182" s="40" t="s">
        <v>443</v>
      </c>
      <c r="D182" s="40"/>
      <c r="E182" s="40"/>
      <c r="F182" s="40"/>
      <c r="G182" s="40"/>
      <c r="H182" s="40"/>
      <c r="I182" s="40"/>
      <c r="J182" s="252">
        <f>'Baseline Health'!G59</f>
        <v>0</v>
      </c>
      <c r="K182" s="41"/>
    </row>
    <row r="183" spans="2:14" x14ac:dyDescent="0.2">
      <c r="B183" s="38"/>
      <c r="C183" s="40" t="s">
        <v>281</v>
      </c>
      <c r="D183" s="40"/>
      <c r="E183" s="40"/>
      <c r="F183" s="40"/>
      <c r="G183" s="40"/>
      <c r="H183" s="40"/>
      <c r="I183" s="40"/>
      <c r="J183" s="264"/>
      <c r="K183" s="41"/>
    </row>
    <row r="184" spans="2:14" x14ac:dyDescent="0.2">
      <c r="B184" s="38"/>
      <c r="C184" s="40" t="s">
        <v>354</v>
      </c>
      <c r="D184" s="40"/>
      <c r="E184" s="40"/>
      <c r="F184" s="40"/>
      <c r="G184" s="40"/>
      <c r="H184" s="40"/>
      <c r="I184" s="40"/>
      <c r="J184" s="264"/>
      <c r="K184" s="41"/>
    </row>
    <row r="185" spans="2:14" x14ac:dyDescent="0.2">
      <c r="B185" s="38"/>
      <c r="C185" s="40" t="s">
        <v>260</v>
      </c>
      <c r="D185" s="40"/>
      <c r="E185" s="40"/>
      <c r="F185" s="40"/>
      <c r="G185" s="40"/>
      <c r="H185" s="40"/>
      <c r="I185" s="40"/>
      <c r="J185" s="245" t="str">
        <f>IF(OR(J182=0,J182="Not Calculated")=TRUE,"Not Calculated",IF(J182-J183=0,4,IF(((J182+J184)/(J182-J183))&lt;=1,0,IF(((J182+J184)/(J182-J183))&lt;=1.05,1,IF(((J182+J184)/(J182-J183))&lt;=1.5, 2,IF(((J182+J184)/(J182-J183))&lt;=2,3,4))))))</f>
        <v>Not Calculated</v>
      </c>
      <c r="K185" s="41"/>
    </row>
    <row r="186" spans="2:14" ht="9.75" customHeight="1" x14ac:dyDescent="0.2">
      <c r="B186" s="38"/>
      <c r="C186" s="279" t="str">
        <f>"0:"</f>
        <v>0:</v>
      </c>
      <c r="D186" s="278" t="s">
        <v>918</v>
      </c>
      <c r="E186" s="40"/>
      <c r="F186" s="40"/>
      <c r="G186" s="40"/>
      <c r="H186" s="40"/>
      <c r="I186" s="40"/>
      <c r="J186" s="40"/>
      <c r="K186" s="41"/>
    </row>
    <row r="187" spans="2:14" ht="9.75" customHeight="1" x14ac:dyDescent="0.2">
      <c r="B187" s="38"/>
      <c r="C187" s="280" t="str">
        <f>"1:"</f>
        <v>1:</v>
      </c>
      <c r="D187" s="278" t="s">
        <v>923</v>
      </c>
      <c r="E187" s="40"/>
      <c r="F187" s="40"/>
      <c r="G187" s="40"/>
      <c r="H187" s="40"/>
      <c r="I187" s="40"/>
      <c r="J187" s="40"/>
      <c r="K187" s="41"/>
    </row>
    <row r="188" spans="2:14" ht="9.75" customHeight="1" x14ac:dyDescent="0.2">
      <c r="B188" s="38"/>
      <c r="C188" s="280" t="str">
        <f>"2:"</f>
        <v>2:</v>
      </c>
      <c r="D188" s="278" t="s">
        <v>924</v>
      </c>
      <c r="E188" s="40"/>
      <c r="F188" s="40"/>
      <c r="G188" s="40"/>
      <c r="H188" s="40"/>
      <c r="I188" s="40"/>
      <c r="J188" s="40"/>
      <c r="K188" s="41"/>
    </row>
    <row r="189" spans="2:14" ht="9.75" customHeight="1" x14ac:dyDescent="0.2">
      <c r="B189" s="38"/>
      <c r="C189" s="280" t="str">
        <f>"3:"</f>
        <v>3:</v>
      </c>
      <c r="D189" s="278" t="s">
        <v>925</v>
      </c>
      <c r="E189" s="40"/>
      <c r="F189" s="40"/>
      <c r="G189" s="40"/>
      <c r="H189" s="40"/>
      <c r="I189" s="40"/>
      <c r="J189" s="40"/>
      <c r="K189" s="41"/>
    </row>
    <row r="190" spans="2:14" ht="9.75" customHeight="1" x14ac:dyDescent="0.2">
      <c r="B190" s="38"/>
      <c r="C190" s="280" t="str">
        <f>"4:"</f>
        <v>4:</v>
      </c>
      <c r="D190" s="278" t="s">
        <v>926</v>
      </c>
      <c r="E190" s="40"/>
      <c r="F190" s="40"/>
      <c r="G190" s="40"/>
      <c r="H190" s="40"/>
      <c r="I190" s="40"/>
      <c r="J190" s="40"/>
      <c r="K190" s="41"/>
      <c r="N190" s="12" t="s">
        <v>661</v>
      </c>
    </row>
    <row r="191" spans="2:14" x14ac:dyDescent="0.2">
      <c r="B191" s="38"/>
      <c r="C191" s="174" t="s">
        <v>662</v>
      </c>
      <c r="D191" s="40"/>
      <c r="E191" s="40"/>
      <c r="F191" s="40"/>
      <c r="G191" s="40"/>
      <c r="H191" s="40"/>
      <c r="I191" s="40"/>
      <c r="J191" s="265" t="s">
        <v>661</v>
      </c>
      <c r="K191" s="41"/>
      <c r="N191" s="12" t="s">
        <v>894</v>
      </c>
    </row>
    <row r="192" spans="2:14" x14ac:dyDescent="0.2">
      <c r="B192" s="38"/>
      <c r="C192" s="174" t="s">
        <v>660</v>
      </c>
      <c r="D192" s="40"/>
      <c r="E192" s="40"/>
      <c r="F192" s="40"/>
      <c r="G192" s="40"/>
      <c r="H192" s="40"/>
      <c r="I192" s="40"/>
      <c r="J192" s="246" t="str">
        <f>IF(J191=N190,"N/A",IF(J191=N191,0,IF(J191=N192,1,IF(J191=N193,2,IF(J191=N194,3,IF(J191=N195,4,"N/A"))))))</f>
        <v>N/A</v>
      </c>
      <c r="K192" s="41"/>
      <c r="N192" s="12" t="s">
        <v>899</v>
      </c>
    </row>
    <row r="193" spans="2:14" x14ac:dyDescent="0.2">
      <c r="B193" s="38"/>
      <c r="C193" s="40" t="s">
        <v>257</v>
      </c>
      <c r="D193" s="40"/>
      <c r="E193" s="40"/>
      <c r="F193" s="40"/>
      <c r="G193" s="40"/>
      <c r="H193" s="40"/>
      <c r="I193" s="40"/>
      <c r="J193" s="266"/>
      <c r="K193" s="41"/>
      <c r="N193" s="12" t="s">
        <v>900</v>
      </c>
    </row>
    <row r="194" spans="2:14" x14ac:dyDescent="0.2">
      <c r="B194" s="38"/>
      <c r="C194" s="40" t="s">
        <v>261</v>
      </c>
      <c r="D194" s="40"/>
      <c r="E194" s="40"/>
      <c r="F194" s="40"/>
      <c r="G194" s="40"/>
      <c r="H194" s="40"/>
      <c r="I194" s="40"/>
      <c r="J194" s="245" t="str">
        <f>IF(J193=$B$973,$A$973,IF(J193=$B$974,$A$974,IF(J193=$B$975,$A$975,IF(J193=$B$976,$A$976,IF(J193=$B$977,$A$977,"Not Calculated")))))</f>
        <v>Not Calculated</v>
      </c>
      <c r="K194" s="41"/>
      <c r="N194" s="12" t="s">
        <v>901</v>
      </c>
    </row>
    <row r="195" spans="2:14" x14ac:dyDescent="0.2">
      <c r="B195" s="38"/>
      <c r="C195" s="40" t="s">
        <v>893</v>
      </c>
      <c r="D195" s="40"/>
      <c r="E195" s="40"/>
      <c r="F195" s="40"/>
      <c r="G195" s="40"/>
      <c r="H195" s="40"/>
      <c r="I195" s="40"/>
      <c r="J195" s="40"/>
      <c r="K195" s="41"/>
      <c r="N195" s="12" t="s">
        <v>902</v>
      </c>
    </row>
    <row r="196" spans="2:14" x14ac:dyDescent="0.2">
      <c r="B196" s="38"/>
      <c r="C196" s="399"/>
      <c r="D196" s="400"/>
      <c r="E196" s="400"/>
      <c r="F196" s="400"/>
      <c r="G196" s="400"/>
      <c r="H196" s="400"/>
      <c r="I196" s="400"/>
      <c r="J196" s="401"/>
      <c r="K196" s="41"/>
    </row>
    <row r="197" spans="2:14" x14ac:dyDescent="0.2">
      <c r="B197" s="38"/>
      <c r="C197" s="40"/>
      <c r="D197" s="40"/>
      <c r="E197" s="40"/>
      <c r="F197" s="40"/>
      <c r="G197" s="40"/>
      <c r="H197" s="40"/>
      <c r="I197" s="40"/>
      <c r="J197" s="40"/>
      <c r="K197" s="41"/>
    </row>
    <row r="198" spans="2:14" x14ac:dyDescent="0.2">
      <c r="B198" s="38"/>
      <c r="C198" s="179" t="s">
        <v>275</v>
      </c>
      <c r="D198" s="40"/>
      <c r="E198" s="40"/>
      <c r="F198" s="40"/>
      <c r="G198" s="40"/>
      <c r="H198" s="40"/>
      <c r="I198" s="40"/>
      <c r="J198" s="245" t="str">
        <f>IF(J192="N/A",IF(OR(J185="Not Calculated",J194="Not Calculated")=TRUE,"Not Calculated",AVERAGE(J185,J194)),AVERAGE(J192,J194))</f>
        <v>Not Calculated</v>
      </c>
      <c r="K198" s="41"/>
    </row>
    <row r="199" spans="2:14" x14ac:dyDescent="0.2">
      <c r="B199" s="38"/>
      <c r="C199" s="40"/>
      <c r="D199" s="40"/>
      <c r="E199" s="40"/>
      <c r="F199" s="40"/>
      <c r="G199" s="40"/>
      <c r="H199" s="40"/>
      <c r="I199" s="40"/>
      <c r="J199" s="40"/>
      <c r="K199" s="41"/>
    </row>
    <row r="200" spans="2:14" x14ac:dyDescent="0.2">
      <c r="B200" s="38"/>
      <c r="C200" s="40"/>
      <c r="D200" s="40"/>
      <c r="E200" s="40"/>
      <c r="F200" s="40"/>
      <c r="G200" s="40"/>
      <c r="H200" s="40"/>
      <c r="I200" s="40"/>
      <c r="J200" s="40"/>
      <c r="K200" s="41"/>
    </row>
    <row r="201" spans="2:14" ht="16" x14ac:dyDescent="0.2">
      <c r="B201" s="38"/>
      <c r="C201" s="45" t="s">
        <v>75</v>
      </c>
      <c r="D201" s="40"/>
      <c r="E201" s="40"/>
      <c r="F201" s="40"/>
      <c r="G201" s="40"/>
      <c r="H201" s="40"/>
      <c r="I201" s="40"/>
      <c r="J201" s="40"/>
      <c r="K201" s="41"/>
    </row>
    <row r="202" spans="2:14" x14ac:dyDescent="0.2">
      <c r="B202" s="38"/>
      <c r="C202" s="40" t="s">
        <v>444</v>
      </c>
      <c r="D202" s="40"/>
      <c r="E202" s="40"/>
      <c r="F202" s="40"/>
      <c r="G202" s="40"/>
      <c r="H202" s="40"/>
      <c r="I202" s="40"/>
      <c r="J202" s="252">
        <f>'Baseline Health'!G65</f>
        <v>0</v>
      </c>
      <c r="K202" s="41"/>
    </row>
    <row r="203" spans="2:14" x14ac:dyDescent="0.2">
      <c r="B203" s="38"/>
      <c r="C203" s="40" t="s">
        <v>282</v>
      </c>
      <c r="D203" s="40"/>
      <c r="E203" s="40"/>
      <c r="F203" s="40"/>
      <c r="G203" s="40"/>
      <c r="H203" s="40"/>
      <c r="I203" s="40"/>
      <c r="J203" s="264"/>
      <c r="K203" s="41"/>
    </row>
    <row r="204" spans="2:14" x14ac:dyDescent="0.2">
      <c r="B204" s="38"/>
      <c r="C204" s="40" t="s">
        <v>355</v>
      </c>
      <c r="D204" s="40"/>
      <c r="E204" s="40"/>
      <c r="F204" s="40"/>
      <c r="G204" s="40"/>
      <c r="H204" s="40"/>
      <c r="I204" s="40"/>
      <c r="J204" s="264"/>
      <c r="K204" s="41"/>
    </row>
    <row r="205" spans="2:14" x14ac:dyDescent="0.2">
      <c r="B205" s="38"/>
      <c r="C205" s="40" t="s">
        <v>260</v>
      </c>
      <c r="D205" s="40"/>
      <c r="E205" s="40"/>
      <c r="F205" s="40"/>
      <c r="G205" s="40"/>
      <c r="H205" s="40"/>
      <c r="I205" s="40"/>
      <c r="J205" s="245" t="str">
        <f>IF(OR(J202=0,J202="Not Calculated")=TRUE,"Not Calculated",IF(J202-J203=0,4,IF(((J202+J204)/(J202-J203))&lt;=1,0,IF(((J202+J204)/(J202-J203))&lt;=1.05,1,IF(((J202+J204)/(J202-J203))&lt;=1.5, 2,IF(((J202+J204)/(J202-J203))&lt;=2,3,4))))))</f>
        <v>Not Calculated</v>
      </c>
      <c r="K205" s="41"/>
    </row>
    <row r="206" spans="2:14" ht="9.75" customHeight="1" x14ac:dyDescent="0.2">
      <c r="B206" s="38"/>
      <c r="C206" s="279" t="str">
        <f>"0:"</f>
        <v>0:</v>
      </c>
      <c r="D206" s="278" t="s">
        <v>918</v>
      </c>
      <c r="E206" s="40"/>
      <c r="F206" s="40"/>
      <c r="G206" s="40"/>
      <c r="H206" s="40"/>
      <c r="I206" s="40"/>
      <c r="J206" s="40"/>
      <c r="K206" s="41"/>
    </row>
    <row r="207" spans="2:14" ht="9.75" customHeight="1" x14ac:dyDescent="0.2">
      <c r="B207" s="38"/>
      <c r="C207" s="280" t="str">
        <f>"1:"</f>
        <v>1:</v>
      </c>
      <c r="D207" s="278" t="s">
        <v>923</v>
      </c>
      <c r="E207" s="40"/>
      <c r="F207" s="40"/>
      <c r="G207" s="40"/>
      <c r="H207" s="40"/>
      <c r="I207" s="40"/>
      <c r="J207" s="40"/>
      <c r="K207" s="41"/>
    </row>
    <row r="208" spans="2:14" ht="9.75" customHeight="1" x14ac:dyDescent="0.2">
      <c r="B208" s="38"/>
      <c r="C208" s="280" t="str">
        <f>"2:"</f>
        <v>2:</v>
      </c>
      <c r="D208" s="278" t="s">
        <v>924</v>
      </c>
      <c r="E208" s="40"/>
      <c r="F208" s="40"/>
      <c r="G208" s="40"/>
      <c r="H208" s="40"/>
      <c r="I208" s="40"/>
      <c r="J208" s="40"/>
      <c r="K208" s="41"/>
    </row>
    <row r="209" spans="2:14" ht="9.75" customHeight="1" x14ac:dyDescent="0.2">
      <c r="B209" s="38"/>
      <c r="C209" s="280" t="str">
        <f>"3:"</f>
        <v>3:</v>
      </c>
      <c r="D209" s="278" t="s">
        <v>925</v>
      </c>
      <c r="E209" s="40"/>
      <c r="F209" s="40"/>
      <c r="G209" s="40"/>
      <c r="H209" s="40"/>
      <c r="I209" s="40"/>
      <c r="J209" s="40"/>
      <c r="K209" s="41"/>
    </row>
    <row r="210" spans="2:14" ht="9.75" customHeight="1" x14ac:dyDescent="0.2">
      <c r="B210" s="38"/>
      <c r="C210" s="280" t="str">
        <f>"4:"</f>
        <v>4:</v>
      </c>
      <c r="D210" s="278" t="s">
        <v>926</v>
      </c>
      <c r="E210" s="40"/>
      <c r="F210" s="40"/>
      <c r="G210" s="40"/>
      <c r="H210" s="40"/>
      <c r="I210" s="40"/>
      <c r="J210" s="40"/>
      <c r="K210" s="41"/>
      <c r="N210" s="12" t="s">
        <v>661</v>
      </c>
    </row>
    <row r="211" spans="2:14" x14ac:dyDescent="0.2">
      <c r="B211" s="38"/>
      <c r="C211" s="174" t="s">
        <v>662</v>
      </c>
      <c r="D211" s="40"/>
      <c r="E211" s="40"/>
      <c r="F211" s="40"/>
      <c r="G211" s="40"/>
      <c r="H211" s="40"/>
      <c r="I211" s="40"/>
      <c r="J211" s="265" t="s">
        <v>661</v>
      </c>
      <c r="K211" s="41"/>
      <c r="N211" s="12" t="s">
        <v>894</v>
      </c>
    </row>
    <row r="212" spans="2:14" x14ac:dyDescent="0.2">
      <c r="B212" s="38"/>
      <c r="C212" s="174" t="s">
        <v>660</v>
      </c>
      <c r="D212" s="40"/>
      <c r="E212" s="40"/>
      <c r="F212" s="40"/>
      <c r="G212" s="40"/>
      <c r="H212" s="40"/>
      <c r="I212" s="40"/>
      <c r="J212" s="246" t="str">
        <f>IF(J211=N210,"N/A",IF(J211=N211,0,IF(J211=N212,1,IF(J211=N213,2,IF(J211=N214,3,IF(J211=N215,4,"N/A"))))))</f>
        <v>N/A</v>
      </c>
      <c r="K212" s="41"/>
      <c r="N212" s="12" t="s">
        <v>899</v>
      </c>
    </row>
    <row r="213" spans="2:14" x14ac:dyDescent="0.2">
      <c r="B213" s="38"/>
      <c r="C213" s="40" t="s">
        <v>257</v>
      </c>
      <c r="D213" s="40"/>
      <c r="E213" s="40"/>
      <c r="F213" s="40"/>
      <c r="G213" s="40"/>
      <c r="H213" s="40"/>
      <c r="I213" s="40"/>
      <c r="J213" s="266"/>
      <c r="K213" s="41"/>
      <c r="N213" s="12" t="s">
        <v>900</v>
      </c>
    </row>
    <row r="214" spans="2:14" x14ac:dyDescent="0.2">
      <c r="B214" s="38"/>
      <c r="C214" s="40" t="s">
        <v>261</v>
      </c>
      <c r="D214" s="40"/>
      <c r="E214" s="40"/>
      <c r="F214" s="40"/>
      <c r="G214" s="40"/>
      <c r="H214" s="40"/>
      <c r="I214" s="40"/>
      <c r="J214" s="245" t="str">
        <f>IF(J213=$B$973,$A$973,IF(J213=$B$974,$A$974,IF(J213=$B$975,$A$975,IF(J213=$B$976,$A$976,IF(J213=$B$977,$A$977,"Not Calculated")))))</f>
        <v>Not Calculated</v>
      </c>
      <c r="K214" s="41"/>
      <c r="N214" s="12" t="s">
        <v>901</v>
      </c>
    </row>
    <row r="215" spans="2:14" x14ac:dyDescent="0.2">
      <c r="B215" s="38"/>
      <c r="C215" s="40" t="s">
        <v>893</v>
      </c>
      <c r="D215" s="40"/>
      <c r="E215" s="40"/>
      <c r="F215" s="40"/>
      <c r="G215" s="40"/>
      <c r="H215" s="40"/>
      <c r="I215" s="40"/>
      <c r="J215" s="40"/>
      <c r="K215" s="41"/>
      <c r="N215" s="12" t="s">
        <v>902</v>
      </c>
    </row>
    <row r="216" spans="2:14" ht="15" customHeight="1" x14ac:dyDescent="0.2">
      <c r="B216" s="38"/>
      <c r="C216" s="399"/>
      <c r="D216" s="400"/>
      <c r="E216" s="400"/>
      <c r="F216" s="400"/>
      <c r="G216" s="400"/>
      <c r="H216" s="400"/>
      <c r="I216" s="400"/>
      <c r="J216" s="401"/>
      <c r="K216" s="41"/>
    </row>
    <row r="217" spans="2:14" x14ac:dyDescent="0.2">
      <c r="B217" s="38"/>
      <c r="C217" s="40"/>
      <c r="D217" s="40"/>
      <c r="E217" s="40"/>
      <c r="F217" s="40"/>
      <c r="G217" s="40"/>
      <c r="H217" s="40"/>
      <c r="I217" s="40"/>
      <c r="J217" s="40"/>
      <c r="K217" s="41"/>
    </row>
    <row r="218" spans="2:14" x14ac:dyDescent="0.2">
      <c r="B218" s="38"/>
      <c r="C218" s="179" t="s">
        <v>276</v>
      </c>
      <c r="D218" s="40"/>
      <c r="E218" s="40"/>
      <c r="F218" s="40"/>
      <c r="G218" s="40"/>
      <c r="H218" s="40"/>
      <c r="I218" s="40"/>
      <c r="J218" s="245" t="str">
        <f>IF(J212="N/A",IF(OR(J205="Not Calculated",J214="Not Calculated")=TRUE,"Not Calculated",AVERAGE(J205,J214)),AVERAGE(J212,J214))</f>
        <v>Not Calculated</v>
      </c>
      <c r="K218" s="41"/>
    </row>
    <row r="219" spans="2:14" x14ac:dyDescent="0.2">
      <c r="B219" s="38"/>
      <c r="C219" s="40"/>
      <c r="D219" s="40"/>
      <c r="E219" s="40"/>
      <c r="F219" s="40"/>
      <c r="G219" s="40"/>
      <c r="H219" s="40"/>
      <c r="I219" s="40"/>
      <c r="J219" s="40"/>
      <c r="K219" s="41"/>
    </row>
    <row r="220" spans="2:14" x14ac:dyDescent="0.2">
      <c r="B220" s="38"/>
      <c r="C220" s="40"/>
      <c r="D220" s="40"/>
      <c r="E220" s="40"/>
      <c r="F220" s="40"/>
      <c r="G220" s="40"/>
      <c r="H220" s="40"/>
      <c r="I220" s="40"/>
      <c r="J220" s="40"/>
      <c r="K220" s="41"/>
    </row>
    <row r="221" spans="2:14" ht="16" x14ac:dyDescent="0.2">
      <c r="B221" s="38"/>
      <c r="C221" s="45" t="s">
        <v>76</v>
      </c>
      <c r="D221" s="40"/>
      <c r="E221" s="40"/>
      <c r="F221" s="40"/>
      <c r="G221" s="40"/>
      <c r="H221" s="40"/>
      <c r="I221" s="40"/>
      <c r="J221" s="40"/>
      <c r="K221" s="41"/>
    </row>
    <row r="222" spans="2:14" ht="15" customHeight="1" x14ac:dyDescent="0.2">
      <c r="B222" s="38"/>
      <c r="C222" s="40" t="s">
        <v>356</v>
      </c>
      <c r="D222" s="40"/>
      <c r="E222" s="40"/>
      <c r="F222" s="40"/>
      <c r="G222" s="40"/>
      <c r="H222" s="40"/>
      <c r="I222" s="40"/>
      <c r="J222" s="252">
        <f>'Baseline Health'!G71</f>
        <v>0</v>
      </c>
      <c r="K222" s="41"/>
    </row>
    <row r="223" spans="2:14" x14ac:dyDescent="0.2">
      <c r="B223" s="38"/>
      <c r="C223" s="40" t="s">
        <v>357</v>
      </c>
      <c r="D223" s="40"/>
      <c r="E223" s="40"/>
      <c r="F223" s="40"/>
      <c r="G223" s="40"/>
      <c r="H223" s="40"/>
      <c r="I223" s="40"/>
      <c r="J223" s="264"/>
      <c r="K223" s="41"/>
    </row>
    <row r="224" spans="2:14" x14ac:dyDescent="0.2">
      <c r="B224" s="38"/>
      <c r="C224" s="40" t="s">
        <v>445</v>
      </c>
      <c r="D224" s="40"/>
      <c r="E224" s="40"/>
      <c r="F224" s="40"/>
      <c r="G224" s="40"/>
      <c r="H224" s="40"/>
      <c r="I224" s="40"/>
      <c r="J224" s="251">
        <f>J102</f>
        <v>0</v>
      </c>
      <c r="K224" s="41"/>
    </row>
    <row r="225" spans="2:14" x14ac:dyDescent="0.2">
      <c r="B225" s="38"/>
      <c r="C225" s="40"/>
      <c r="D225" s="40" t="s">
        <v>446</v>
      </c>
      <c r="E225" s="40"/>
      <c r="F225" s="40"/>
      <c r="G225" s="40"/>
      <c r="H225" s="40"/>
      <c r="I225" s="40"/>
      <c r="J225" s="40"/>
      <c r="K225" s="41"/>
    </row>
    <row r="226" spans="2:14" x14ac:dyDescent="0.2">
      <c r="B226" s="38"/>
      <c r="C226" s="40" t="s">
        <v>260</v>
      </c>
      <c r="D226" s="40"/>
      <c r="E226" s="40"/>
      <c r="F226" s="40"/>
      <c r="G226" s="40"/>
      <c r="H226" s="40"/>
      <c r="I226" s="40"/>
      <c r="J226" s="245" t="str">
        <f>IF(OR(J222=0,J222="Not Calculated")=TRUE,"Not Calculated",IF(J222-J223=0,4,IF(((J222+J224)/(J222-J223))&lt;=1,0,IF(((J222+J224)/(J222-J223))&lt;=1.05,1,IF(((J222+J224)/(J222-J223))&lt;=1.5, 2,IF(((J222+J224)/(J222-J223))&lt;=2,3,4))))))</f>
        <v>Not Calculated</v>
      </c>
      <c r="K226" s="41"/>
    </row>
    <row r="227" spans="2:14" ht="9.75" customHeight="1" x14ac:dyDescent="0.2">
      <c r="B227" s="38"/>
      <c r="C227" s="279" t="str">
        <f>"0:"</f>
        <v>0:</v>
      </c>
      <c r="D227" s="278" t="s">
        <v>918</v>
      </c>
      <c r="E227" s="40"/>
      <c r="F227" s="40"/>
      <c r="G227" s="40"/>
      <c r="H227" s="40"/>
      <c r="I227" s="40"/>
      <c r="J227" s="40"/>
      <c r="K227" s="41"/>
    </row>
    <row r="228" spans="2:14" ht="9.75" customHeight="1" x14ac:dyDescent="0.2">
      <c r="B228" s="38"/>
      <c r="C228" s="280" t="str">
        <f>"1:"</f>
        <v>1:</v>
      </c>
      <c r="D228" s="278" t="s">
        <v>923</v>
      </c>
      <c r="E228" s="40"/>
      <c r="F228" s="40"/>
      <c r="G228" s="40"/>
      <c r="H228" s="40"/>
      <c r="I228" s="40"/>
      <c r="J228" s="40"/>
      <c r="K228" s="41"/>
    </row>
    <row r="229" spans="2:14" ht="9.75" customHeight="1" x14ac:dyDescent="0.2">
      <c r="B229" s="38"/>
      <c r="C229" s="280" t="str">
        <f>"2:"</f>
        <v>2:</v>
      </c>
      <c r="D229" s="278" t="s">
        <v>924</v>
      </c>
      <c r="E229" s="40"/>
      <c r="F229" s="40"/>
      <c r="G229" s="40"/>
      <c r="H229" s="40"/>
      <c r="I229" s="40"/>
      <c r="J229" s="40"/>
      <c r="K229" s="41"/>
    </row>
    <row r="230" spans="2:14" ht="9.75" customHeight="1" x14ac:dyDescent="0.2">
      <c r="B230" s="38"/>
      <c r="C230" s="280" t="str">
        <f>"3:"</f>
        <v>3:</v>
      </c>
      <c r="D230" s="278" t="s">
        <v>925</v>
      </c>
      <c r="E230" s="40"/>
      <c r="F230" s="40"/>
      <c r="G230" s="40"/>
      <c r="H230" s="40"/>
      <c r="I230" s="40"/>
      <c r="J230" s="40"/>
      <c r="K230" s="41"/>
    </row>
    <row r="231" spans="2:14" ht="9.75" customHeight="1" x14ac:dyDescent="0.2">
      <c r="B231" s="38"/>
      <c r="C231" s="280" t="str">
        <f>"4:"</f>
        <v>4:</v>
      </c>
      <c r="D231" s="278" t="s">
        <v>926</v>
      </c>
      <c r="E231" s="40"/>
      <c r="F231" s="40"/>
      <c r="G231" s="40"/>
      <c r="H231" s="40"/>
      <c r="I231" s="40"/>
      <c r="J231" s="40"/>
      <c r="K231" s="41"/>
      <c r="N231" s="12" t="s">
        <v>661</v>
      </c>
    </row>
    <row r="232" spans="2:14" x14ac:dyDescent="0.2">
      <c r="B232" s="38"/>
      <c r="C232" s="174" t="s">
        <v>662</v>
      </c>
      <c r="D232" s="40"/>
      <c r="E232" s="40"/>
      <c r="F232" s="40"/>
      <c r="G232" s="40"/>
      <c r="H232" s="40"/>
      <c r="I232" s="40"/>
      <c r="J232" s="265" t="s">
        <v>661</v>
      </c>
      <c r="K232" s="41"/>
      <c r="N232" s="12" t="s">
        <v>894</v>
      </c>
    </row>
    <row r="233" spans="2:14" x14ac:dyDescent="0.2">
      <c r="B233" s="38"/>
      <c r="C233" s="174" t="s">
        <v>660</v>
      </c>
      <c r="D233" s="40"/>
      <c r="E233" s="40"/>
      <c r="F233" s="40"/>
      <c r="G233" s="40"/>
      <c r="H233" s="40"/>
      <c r="I233" s="40"/>
      <c r="J233" s="246" t="str">
        <f>IF(J232=N231,"N/A",IF(J232=N232,0,IF(J232=N233,1,IF(J232=N234,2,IF(J232=N235,3,IF(J232=N236,4,"N/A"))))))</f>
        <v>N/A</v>
      </c>
      <c r="K233" s="41"/>
      <c r="N233" s="12" t="s">
        <v>899</v>
      </c>
    </row>
    <row r="234" spans="2:14" x14ac:dyDescent="0.2">
      <c r="B234" s="38"/>
      <c r="C234" s="40" t="s">
        <v>257</v>
      </c>
      <c r="D234" s="40"/>
      <c r="E234" s="40"/>
      <c r="F234" s="40"/>
      <c r="G234" s="40"/>
      <c r="H234" s="40"/>
      <c r="I234" s="40"/>
      <c r="J234" s="266"/>
      <c r="K234" s="41"/>
      <c r="N234" s="12" t="s">
        <v>900</v>
      </c>
    </row>
    <row r="235" spans="2:14" x14ac:dyDescent="0.2">
      <c r="B235" s="38"/>
      <c r="C235" s="40" t="s">
        <v>261</v>
      </c>
      <c r="D235" s="40"/>
      <c r="E235" s="40"/>
      <c r="F235" s="40"/>
      <c r="G235" s="40"/>
      <c r="H235" s="40"/>
      <c r="I235" s="40"/>
      <c r="J235" s="245" t="str">
        <f>IF(J234=$B$973,$A$973,IF(J234=$B$974,$A$974,IF(J234=$B$975,$A$975,IF(J234=$B$976,$A$976,IF(J234=$B$977,$A$977,"Not Calculated")))))</f>
        <v>Not Calculated</v>
      </c>
      <c r="K235" s="41"/>
      <c r="N235" s="12" t="s">
        <v>901</v>
      </c>
    </row>
    <row r="236" spans="2:14" x14ac:dyDescent="0.2">
      <c r="B236" s="38"/>
      <c r="C236" s="40" t="s">
        <v>893</v>
      </c>
      <c r="D236" s="40"/>
      <c r="E236" s="40"/>
      <c r="F236" s="40"/>
      <c r="G236" s="40"/>
      <c r="H236" s="40"/>
      <c r="I236" s="40"/>
      <c r="J236" s="40"/>
      <c r="K236" s="41"/>
      <c r="N236" s="12" t="s">
        <v>902</v>
      </c>
    </row>
    <row r="237" spans="2:14" ht="15" customHeight="1" x14ac:dyDescent="0.2">
      <c r="B237" s="38"/>
      <c r="C237" s="399"/>
      <c r="D237" s="400"/>
      <c r="E237" s="400"/>
      <c r="F237" s="400"/>
      <c r="G237" s="400"/>
      <c r="H237" s="400"/>
      <c r="I237" s="400"/>
      <c r="J237" s="401"/>
      <c r="K237" s="41"/>
    </row>
    <row r="238" spans="2:14" x14ac:dyDescent="0.2">
      <c r="B238" s="38"/>
      <c r="C238" s="40"/>
      <c r="D238" s="40"/>
      <c r="E238" s="40"/>
      <c r="F238" s="40"/>
      <c r="G238" s="40"/>
      <c r="H238" s="40"/>
      <c r="I238" s="40"/>
      <c r="J238" s="40"/>
      <c r="K238" s="41"/>
    </row>
    <row r="239" spans="2:14" x14ac:dyDescent="0.2">
      <c r="B239" s="38"/>
      <c r="C239" s="179" t="s">
        <v>277</v>
      </c>
      <c r="D239" s="40"/>
      <c r="E239" s="40"/>
      <c r="F239" s="40"/>
      <c r="G239" s="40"/>
      <c r="H239" s="40"/>
      <c r="I239" s="40"/>
      <c r="J239" s="245" t="str">
        <f>IF(J233="N/A",IF(OR(J226="Not Calculated",J235="Not Calculated")=TRUE,"Not Calculated",AVERAGE(J226,J235)),AVERAGE(J233,J235))</f>
        <v>Not Calculated</v>
      </c>
      <c r="K239" s="41"/>
    </row>
    <row r="240" spans="2:14" x14ac:dyDescent="0.2">
      <c r="B240" s="38"/>
      <c r="C240" s="40"/>
      <c r="D240" s="40"/>
      <c r="E240" s="40"/>
      <c r="F240" s="40"/>
      <c r="G240" s="40"/>
      <c r="H240" s="40"/>
      <c r="I240" s="40"/>
      <c r="J240" s="40"/>
      <c r="K240" s="41"/>
    </row>
    <row r="241" spans="2:14" x14ac:dyDescent="0.2">
      <c r="B241" s="38"/>
      <c r="C241" s="40"/>
      <c r="D241" s="40"/>
      <c r="E241" s="40"/>
      <c r="F241" s="40"/>
      <c r="G241" s="40"/>
      <c r="H241" s="40"/>
      <c r="I241" s="40"/>
      <c r="J241" s="40"/>
      <c r="K241" s="41"/>
    </row>
    <row r="242" spans="2:14" ht="16" x14ac:dyDescent="0.2">
      <c r="B242" s="38"/>
      <c r="C242" s="45" t="s">
        <v>278</v>
      </c>
      <c r="D242" s="40"/>
      <c r="E242" s="40"/>
      <c r="F242" s="40"/>
      <c r="G242" s="40"/>
      <c r="H242" s="40"/>
      <c r="I242" s="40"/>
      <c r="J242" s="40"/>
      <c r="K242" s="41"/>
    </row>
    <row r="243" spans="2:14" ht="15" customHeight="1" x14ac:dyDescent="0.2">
      <c r="B243" s="38"/>
      <c r="C243" s="40" t="s">
        <v>447</v>
      </c>
      <c r="D243" s="40"/>
      <c r="E243" s="40"/>
      <c r="F243" s="40"/>
      <c r="G243" s="40"/>
      <c r="H243" s="40"/>
      <c r="I243" s="40"/>
      <c r="J243" s="254">
        <f>'Baseline Health'!G77</f>
        <v>0</v>
      </c>
      <c r="K243" s="41"/>
    </row>
    <row r="244" spans="2:14" x14ac:dyDescent="0.2">
      <c r="B244" s="38"/>
      <c r="C244" s="40" t="s">
        <v>358</v>
      </c>
      <c r="D244" s="40"/>
      <c r="E244" s="40"/>
      <c r="F244" s="40"/>
      <c r="G244" s="40"/>
      <c r="H244" s="40"/>
      <c r="I244" s="40"/>
      <c r="J244" s="264"/>
      <c r="K244" s="41"/>
    </row>
    <row r="245" spans="2:14" x14ac:dyDescent="0.2">
      <c r="B245" s="38"/>
      <c r="C245" s="40" t="s">
        <v>360</v>
      </c>
      <c r="D245" s="291"/>
      <c r="E245" s="291"/>
      <c r="F245" s="291"/>
      <c r="G245" s="291"/>
      <c r="H245" s="291"/>
      <c r="I245" s="291"/>
      <c r="J245" s="264"/>
      <c r="K245" s="41"/>
    </row>
    <row r="246" spans="2:14" x14ac:dyDescent="0.2">
      <c r="B246" s="38"/>
      <c r="C246" s="40" t="s">
        <v>260</v>
      </c>
      <c r="D246" s="40"/>
      <c r="E246" s="40"/>
      <c r="F246" s="40"/>
      <c r="G246" s="40"/>
      <c r="H246" s="40"/>
      <c r="I246" s="40"/>
      <c r="J246" s="245" t="str">
        <f>IF(OR(J243=0,J243="Not Calculated")=TRUE,"Not Calculated",IF(J243-J244=0,4,(IF(((J243+J245)/(J243-J244))&lt;=1,0,IF(((J243+J245)/(J243-J244))&lt;=1.05,1,IF(((J243+J245)/(J243-J244))&lt;=1.5,2,IF(((J243+J245)/(J243-J244))&lt;=2,3,4)))))))</f>
        <v>Not Calculated</v>
      </c>
      <c r="K246" s="41"/>
    </row>
    <row r="247" spans="2:14" ht="9.75" customHeight="1" x14ac:dyDescent="0.2">
      <c r="B247" s="38"/>
      <c r="C247" s="279" t="str">
        <f>"0:"</f>
        <v>0:</v>
      </c>
      <c r="D247" s="278" t="s">
        <v>918</v>
      </c>
      <c r="E247" s="40"/>
      <c r="F247" s="40"/>
      <c r="G247" s="40"/>
      <c r="H247" s="40"/>
      <c r="I247" s="40"/>
      <c r="J247" s="40"/>
      <c r="K247" s="41"/>
    </row>
    <row r="248" spans="2:14" ht="9.75" customHeight="1" x14ac:dyDescent="0.2">
      <c r="B248" s="38"/>
      <c r="C248" s="280" t="str">
        <f>"1:"</f>
        <v>1:</v>
      </c>
      <c r="D248" s="278" t="s">
        <v>923</v>
      </c>
      <c r="E248" s="40"/>
      <c r="F248" s="40"/>
      <c r="G248" s="40"/>
      <c r="H248" s="40"/>
      <c r="I248" s="40"/>
      <c r="J248" s="40"/>
      <c r="K248" s="41"/>
    </row>
    <row r="249" spans="2:14" ht="9.75" customHeight="1" x14ac:dyDescent="0.2">
      <c r="B249" s="38"/>
      <c r="C249" s="280" t="str">
        <f>"2:"</f>
        <v>2:</v>
      </c>
      <c r="D249" s="278" t="s">
        <v>924</v>
      </c>
      <c r="E249" s="40"/>
      <c r="F249" s="40"/>
      <c r="G249" s="40"/>
      <c r="H249" s="40"/>
      <c r="I249" s="40"/>
      <c r="J249" s="40"/>
      <c r="K249" s="41"/>
    </row>
    <row r="250" spans="2:14" ht="9.75" customHeight="1" x14ac:dyDescent="0.2">
      <c r="B250" s="38"/>
      <c r="C250" s="280" t="str">
        <f>"3:"</f>
        <v>3:</v>
      </c>
      <c r="D250" s="278" t="s">
        <v>925</v>
      </c>
      <c r="E250" s="40"/>
      <c r="F250" s="40"/>
      <c r="G250" s="40"/>
      <c r="H250" s="40"/>
      <c r="I250" s="40"/>
      <c r="J250" s="40"/>
      <c r="K250" s="41"/>
    </row>
    <row r="251" spans="2:14" ht="9.75" customHeight="1" x14ac:dyDescent="0.2">
      <c r="B251" s="38"/>
      <c r="C251" s="280" t="str">
        <f>"4:"</f>
        <v>4:</v>
      </c>
      <c r="D251" s="278" t="s">
        <v>926</v>
      </c>
      <c r="E251" s="40"/>
      <c r="F251" s="40"/>
      <c r="G251" s="40"/>
      <c r="H251" s="40"/>
      <c r="I251" s="40"/>
      <c r="J251" s="40"/>
      <c r="K251" s="41"/>
      <c r="N251" s="12" t="s">
        <v>661</v>
      </c>
    </row>
    <row r="252" spans="2:14" x14ac:dyDescent="0.2">
      <c r="B252" s="38"/>
      <c r="C252" s="174" t="s">
        <v>662</v>
      </c>
      <c r="D252" s="40"/>
      <c r="E252" s="40"/>
      <c r="F252" s="40"/>
      <c r="G252" s="40"/>
      <c r="H252" s="40"/>
      <c r="I252" s="40"/>
      <c r="J252" s="265" t="s">
        <v>661</v>
      </c>
      <c r="K252" s="41"/>
      <c r="N252" s="12" t="s">
        <v>894</v>
      </c>
    </row>
    <row r="253" spans="2:14" x14ac:dyDescent="0.2">
      <c r="B253" s="38"/>
      <c r="C253" s="174" t="s">
        <v>660</v>
      </c>
      <c r="D253" s="40"/>
      <c r="E253" s="40"/>
      <c r="F253" s="40"/>
      <c r="G253" s="40"/>
      <c r="H253" s="40"/>
      <c r="I253" s="40"/>
      <c r="J253" s="246" t="str">
        <f>IF(J252=N251,"N/A",IF(J252=N252,0,IF(J252=N253,1,IF(J252=N254,2,IF(J252=N255,3,IF(J252=N256,4,"N/A"))))))</f>
        <v>N/A</v>
      </c>
      <c r="K253" s="41"/>
      <c r="N253" s="12" t="s">
        <v>899</v>
      </c>
    </row>
    <row r="254" spans="2:14" x14ac:dyDescent="0.2">
      <c r="B254" s="38"/>
      <c r="C254" s="40" t="s">
        <v>257</v>
      </c>
      <c r="D254" s="40"/>
      <c r="E254" s="40"/>
      <c r="F254" s="40"/>
      <c r="G254" s="40"/>
      <c r="H254" s="40"/>
      <c r="I254" s="40"/>
      <c r="J254" s="266"/>
      <c r="K254" s="41"/>
      <c r="N254" s="12" t="s">
        <v>900</v>
      </c>
    </row>
    <row r="255" spans="2:14" x14ac:dyDescent="0.2">
      <c r="B255" s="38"/>
      <c r="C255" s="40" t="s">
        <v>261</v>
      </c>
      <c r="D255" s="40"/>
      <c r="E255" s="40"/>
      <c r="F255" s="40"/>
      <c r="G255" s="40"/>
      <c r="H255" s="40"/>
      <c r="I255" s="40"/>
      <c r="J255" s="245" t="str">
        <f>IF(J254=$B$973,$A$973,IF(J254=$B$974,$A$974,IF(J254=$B$975,$A$975,IF(J254=$B$976,$A$976,IF(J254=$B$977,$A$977,"Not Calculated")))))</f>
        <v>Not Calculated</v>
      </c>
      <c r="K255" s="41"/>
      <c r="N255" s="12" t="s">
        <v>901</v>
      </c>
    </row>
    <row r="256" spans="2:14" x14ac:dyDescent="0.2">
      <c r="B256" s="38"/>
      <c r="C256" s="40" t="s">
        <v>893</v>
      </c>
      <c r="D256" s="40"/>
      <c r="E256" s="40"/>
      <c r="F256" s="40"/>
      <c r="G256" s="40"/>
      <c r="H256" s="40"/>
      <c r="I256" s="40"/>
      <c r="J256" s="40"/>
      <c r="K256" s="41"/>
      <c r="N256" s="12" t="s">
        <v>902</v>
      </c>
    </row>
    <row r="257" spans="2:11" x14ac:dyDescent="0.2">
      <c r="B257" s="38"/>
      <c r="C257" s="399"/>
      <c r="D257" s="400"/>
      <c r="E257" s="400"/>
      <c r="F257" s="400"/>
      <c r="G257" s="400"/>
      <c r="H257" s="400"/>
      <c r="I257" s="400"/>
      <c r="J257" s="401"/>
      <c r="K257" s="41"/>
    </row>
    <row r="258" spans="2:11" x14ac:dyDescent="0.2">
      <c r="B258" s="38"/>
      <c r="C258" s="40"/>
      <c r="D258" s="40"/>
      <c r="E258" s="40"/>
      <c r="F258" s="40"/>
      <c r="G258" s="40"/>
      <c r="H258" s="40"/>
      <c r="I258" s="40"/>
      <c r="J258" s="40"/>
      <c r="K258" s="41"/>
    </row>
    <row r="259" spans="2:11" x14ac:dyDescent="0.2">
      <c r="B259" s="38"/>
      <c r="C259" s="179" t="s">
        <v>279</v>
      </c>
      <c r="D259" s="40"/>
      <c r="E259" s="40"/>
      <c r="F259" s="40"/>
      <c r="G259" s="40"/>
      <c r="H259" s="40"/>
      <c r="I259" s="40"/>
      <c r="J259" s="245" t="str">
        <f>IF(J253="N/A",IF(OR(J246="Not Calculated",J255="Not Calculated")=TRUE,"Not Calculated",AVERAGE(J246,J255)),AVERAGE(J253,J255))</f>
        <v>Not Calculated</v>
      </c>
      <c r="K259" s="41"/>
    </row>
    <row r="260" spans="2:11" x14ac:dyDescent="0.2">
      <c r="B260" s="38"/>
      <c r="C260" s="40"/>
      <c r="D260" s="40"/>
      <c r="E260" s="40"/>
      <c r="F260" s="40"/>
      <c r="G260" s="40"/>
      <c r="H260" s="40"/>
      <c r="I260" s="40"/>
      <c r="J260" s="40"/>
      <c r="K260" s="41"/>
    </row>
    <row r="261" spans="2:11" ht="18" x14ac:dyDescent="0.2">
      <c r="B261" s="38"/>
      <c r="C261" s="180" t="s">
        <v>272</v>
      </c>
      <c r="D261" s="40"/>
      <c r="E261" s="40"/>
      <c r="F261" s="40"/>
      <c r="G261" s="40"/>
      <c r="H261" s="40"/>
      <c r="I261" s="40"/>
      <c r="J261" s="244" t="str">
        <f>IF(OR(J157="Not Calculated",J178="Not Calculated",J198="Not Calculated",J218="Not Calculated",J239="Not Calculated",J259="Not Calculated",)=TRUE,"Not Calculated",AVERAGE(J157,J178,J198,J218,J239,J259))</f>
        <v>Not Calculated</v>
      </c>
      <c r="K261" s="41"/>
    </row>
    <row r="262" spans="2:11" ht="16" thickBot="1" x14ac:dyDescent="0.25">
      <c r="B262" s="46"/>
      <c r="C262" s="47"/>
      <c r="D262" s="47"/>
      <c r="E262" s="47"/>
      <c r="F262" s="47"/>
      <c r="G262" s="47"/>
      <c r="H262" s="47"/>
      <c r="I262" s="47"/>
      <c r="J262" s="47"/>
      <c r="K262" s="49"/>
    </row>
    <row r="263" spans="2:11" ht="16" thickBot="1" x14ac:dyDescent="0.25"/>
    <row r="264" spans="2:11" x14ac:dyDescent="0.2">
      <c r="B264" s="33"/>
      <c r="C264" s="34"/>
      <c r="D264" s="34"/>
      <c r="E264" s="34"/>
      <c r="F264" s="34"/>
      <c r="G264" s="34"/>
      <c r="H264" s="34"/>
      <c r="I264" s="34"/>
      <c r="J264" s="34"/>
      <c r="K264" s="37"/>
    </row>
    <row r="265" spans="2:11" ht="21" x14ac:dyDescent="0.25">
      <c r="B265" s="38"/>
      <c r="C265" s="40"/>
      <c r="D265" s="40"/>
      <c r="E265" s="40"/>
      <c r="F265" s="40"/>
      <c r="G265" s="172" t="s">
        <v>864</v>
      </c>
      <c r="H265" s="40"/>
      <c r="I265" s="40"/>
      <c r="J265" s="40"/>
      <c r="K265" s="41"/>
    </row>
    <row r="266" spans="2:11" ht="15" customHeight="1" x14ac:dyDescent="0.2">
      <c r="B266" s="38"/>
      <c r="C266" s="40"/>
      <c r="D266" s="40"/>
      <c r="E266" s="40"/>
      <c r="F266" s="40"/>
      <c r="G266" s="40"/>
      <c r="H266" s="40"/>
      <c r="I266" s="40"/>
      <c r="J266" s="40"/>
      <c r="K266" s="41"/>
    </row>
    <row r="267" spans="2:11" ht="16" x14ac:dyDescent="0.2">
      <c r="B267" s="38"/>
      <c r="C267" s="45" t="s">
        <v>80</v>
      </c>
      <c r="D267" s="40"/>
      <c r="E267" s="40"/>
      <c r="F267" s="40"/>
      <c r="G267" s="40"/>
      <c r="H267" s="40"/>
      <c r="I267" s="40"/>
      <c r="J267" s="40"/>
      <c r="K267" s="41"/>
    </row>
    <row r="268" spans="2:11" x14ac:dyDescent="0.2">
      <c r="B268" s="38"/>
      <c r="C268" s="40" t="s">
        <v>283</v>
      </c>
      <c r="D268" s="40"/>
      <c r="E268" s="40"/>
      <c r="F268" s="40"/>
      <c r="G268" s="40"/>
      <c r="H268" s="40"/>
      <c r="I268" s="40"/>
      <c r="J268" s="250">
        <f>'Baseline Health'!G88</f>
        <v>0</v>
      </c>
      <c r="K268" s="41"/>
    </row>
    <row r="269" spans="2:11" x14ac:dyDescent="0.2">
      <c r="B269" s="38"/>
      <c r="C269" s="40" t="s">
        <v>284</v>
      </c>
      <c r="D269" s="40"/>
      <c r="E269" s="40"/>
      <c r="F269" s="40"/>
      <c r="G269" s="40"/>
      <c r="H269" s="40"/>
      <c r="I269" s="40"/>
      <c r="J269" s="264"/>
      <c r="K269" s="41"/>
    </row>
    <row r="270" spans="2:11" x14ac:dyDescent="0.2">
      <c r="B270" s="38"/>
      <c r="C270" s="40" t="s">
        <v>285</v>
      </c>
      <c r="D270" s="40"/>
      <c r="E270" s="40"/>
      <c r="F270" s="40"/>
      <c r="G270" s="40"/>
      <c r="H270" s="40"/>
      <c r="I270" s="40"/>
      <c r="J270" s="259">
        <f>'Baseline Health'!G93</f>
        <v>0</v>
      </c>
      <c r="K270" s="41"/>
    </row>
    <row r="271" spans="2:11" x14ac:dyDescent="0.2">
      <c r="B271" s="38"/>
      <c r="C271" s="40" t="s">
        <v>286</v>
      </c>
      <c r="D271" s="40"/>
      <c r="E271" s="40"/>
      <c r="F271" s="40"/>
      <c r="G271" s="40"/>
      <c r="H271" s="40"/>
      <c r="I271" s="40"/>
      <c r="J271" s="250">
        <f>J184</f>
        <v>0</v>
      </c>
      <c r="K271" s="41"/>
    </row>
    <row r="272" spans="2:11" x14ac:dyDescent="0.2">
      <c r="B272" s="38"/>
      <c r="C272" s="40"/>
      <c r="D272" s="40" t="s">
        <v>432</v>
      </c>
      <c r="E272" s="40"/>
      <c r="F272" s="40"/>
      <c r="G272" s="40"/>
      <c r="H272" s="40"/>
      <c r="I272" s="40"/>
      <c r="J272" s="40"/>
      <c r="K272" s="41"/>
    </row>
    <row r="273" spans="2:14" x14ac:dyDescent="0.2">
      <c r="B273" s="38"/>
      <c r="C273" s="40" t="s">
        <v>292</v>
      </c>
      <c r="D273" s="40"/>
      <c r="E273" s="40"/>
      <c r="F273" s="40"/>
      <c r="G273" s="40"/>
      <c r="H273" s="40"/>
      <c r="I273" s="40"/>
      <c r="J273" s="258" t="str">
        <f>'Baseline Health'!G97</f>
        <v>N/A</v>
      </c>
      <c r="K273" s="41"/>
    </row>
    <row r="274" spans="2:14" x14ac:dyDescent="0.2">
      <c r="B274" s="38"/>
      <c r="C274" s="40" t="s">
        <v>293</v>
      </c>
      <c r="D274" s="40"/>
      <c r="E274" s="40"/>
      <c r="F274" s="40"/>
      <c r="G274" s="40"/>
      <c r="H274" s="40"/>
      <c r="I274" s="40"/>
      <c r="J274" s="258" t="str">
        <f>IF(J273="N/A","N/A",IF(J268-J269=0,"No Nurses",((J270+J271)/(J268-J269))))</f>
        <v>N/A</v>
      </c>
      <c r="K274" s="41"/>
    </row>
    <row r="275" spans="2:14" x14ac:dyDescent="0.2">
      <c r="B275" s="38"/>
      <c r="C275" s="40" t="s">
        <v>260</v>
      </c>
      <c r="D275" s="40"/>
      <c r="E275" s="40"/>
      <c r="F275" s="40"/>
      <c r="G275" s="40"/>
      <c r="H275" s="40"/>
      <c r="I275" s="40"/>
      <c r="J275" s="245">
        <f>IF(J273=0,"Not Calculated",IF(J274="N/A",0,IF(J274="No Nurses",4,IF((J274/J273)&lt;=1,0,IF((J274/J273)&lt;=1.1,1,IF((J274/J273)&lt;=1=1.25,2,IF((J274/J273)&lt;=1.5,3,4)))))))</f>
        <v>0</v>
      </c>
      <c r="K275" s="41"/>
    </row>
    <row r="276" spans="2:14" ht="9.75" customHeight="1" x14ac:dyDescent="0.2">
      <c r="B276" s="38"/>
      <c r="C276" s="279" t="str">
        <f>"0:"</f>
        <v>0:</v>
      </c>
      <c r="D276" s="278" t="s">
        <v>927</v>
      </c>
      <c r="E276" s="40"/>
      <c r="F276" s="40"/>
      <c r="G276" s="40"/>
      <c r="H276" s="40"/>
      <c r="I276" s="40"/>
      <c r="J276" s="258"/>
      <c r="K276" s="41"/>
    </row>
    <row r="277" spans="2:14" ht="9.75" customHeight="1" x14ac:dyDescent="0.2">
      <c r="B277" s="38"/>
      <c r="C277" s="280" t="str">
        <f>"1:"</f>
        <v>1:</v>
      </c>
      <c r="D277" s="278" t="s">
        <v>928</v>
      </c>
      <c r="E277" s="40"/>
      <c r="F277" s="40"/>
      <c r="G277" s="40"/>
      <c r="H277" s="40"/>
      <c r="I277" s="40"/>
      <c r="J277" s="258"/>
      <c r="K277" s="41"/>
    </row>
    <row r="278" spans="2:14" ht="9.75" customHeight="1" x14ac:dyDescent="0.2">
      <c r="B278" s="38"/>
      <c r="C278" s="280" t="str">
        <f>"2:"</f>
        <v>2:</v>
      </c>
      <c r="D278" s="278" t="s">
        <v>929</v>
      </c>
      <c r="E278" s="40"/>
      <c r="F278" s="40"/>
      <c r="G278" s="40"/>
      <c r="H278" s="40"/>
      <c r="I278" s="40"/>
      <c r="J278" s="258"/>
      <c r="K278" s="41"/>
    </row>
    <row r="279" spans="2:14" ht="9.75" customHeight="1" x14ac:dyDescent="0.2">
      <c r="B279" s="38"/>
      <c r="C279" s="280" t="str">
        <f>"3:"</f>
        <v>3:</v>
      </c>
      <c r="D279" s="278" t="s">
        <v>930</v>
      </c>
      <c r="E279" s="40"/>
      <c r="F279" s="40"/>
      <c r="G279" s="40"/>
      <c r="H279" s="40"/>
      <c r="I279" s="40"/>
      <c r="J279" s="258"/>
      <c r="K279" s="41"/>
    </row>
    <row r="280" spans="2:14" ht="9.75" customHeight="1" x14ac:dyDescent="0.2">
      <c r="B280" s="38"/>
      <c r="C280" s="280" t="str">
        <f>"4:"</f>
        <v>4:</v>
      </c>
      <c r="D280" s="278" t="s">
        <v>931</v>
      </c>
      <c r="E280" s="40"/>
      <c r="F280" s="40"/>
      <c r="G280" s="40"/>
      <c r="H280" s="40"/>
      <c r="I280" s="40"/>
      <c r="J280" s="40"/>
      <c r="K280" s="41"/>
      <c r="N280" s="12" t="s">
        <v>661</v>
      </c>
    </row>
    <row r="281" spans="2:14" x14ac:dyDescent="0.2">
      <c r="B281" s="38"/>
      <c r="C281" s="174" t="s">
        <v>662</v>
      </c>
      <c r="D281" s="40"/>
      <c r="E281" s="40"/>
      <c r="F281" s="40"/>
      <c r="G281" s="40"/>
      <c r="H281" s="40"/>
      <c r="I281" s="40"/>
      <c r="J281" s="265" t="s">
        <v>661</v>
      </c>
      <c r="K281" s="41"/>
      <c r="N281" s="12" t="s">
        <v>903</v>
      </c>
    </row>
    <row r="282" spans="2:14" x14ac:dyDescent="0.2">
      <c r="B282" s="38"/>
      <c r="C282" s="174" t="s">
        <v>660</v>
      </c>
      <c r="D282" s="40"/>
      <c r="E282" s="40"/>
      <c r="F282" s="40"/>
      <c r="G282" s="40"/>
      <c r="H282" s="40"/>
      <c r="I282" s="40"/>
      <c r="J282" s="246" t="str">
        <f>IF(J281=N280,"N/A",IF(J281=N281,0,IF(J281=N282,1,IF(J281=N283,2,IF(J281=N284,3,IF(J281=N285,4,"N/A"))))))</f>
        <v>N/A</v>
      </c>
      <c r="K282" s="41"/>
      <c r="N282" s="12" t="s">
        <v>904</v>
      </c>
    </row>
    <row r="283" spans="2:14" x14ac:dyDescent="0.2">
      <c r="B283" s="38"/>
      <c r="C283" s="40" t="s">
        <v>257</v>
      </c>
      <c r="D283" s="40"/>
      <c r="E283" s="40"/>
      <c r="F283" s="40"/>
      <c r="G283" s="40"/>
      <c r="H283" s="40"/>
      <c r="I283" s="40"/>
      <c r="J283" s="266"/>
      <c r="K283" s="41"/>
      <c r="N283" s="12" t="s">
        <v>905</v>
      </c>
    </row>
    <row r="284" spans="2:14" x14ac:dyDescent="0.2">
      <c r="B284" s="38"/>
      <c r="C284" s="40" t="s">
        <v>261</v>
      </c>
      <c r="D284" s="40"/>
      <c r="E284" s="40"/>
      <c r="F284" s="40"/>
      <c r="G284" s="40"/>
      <c r="H284" s="40"/>
      <c r="I284" s="40"/>
      <c r="J284" s="248" t="str">
        <f>IF(J283=$B$973,$A$973,IF(J283=$B$974,$A$974,IF(J283=$B$975,$A$975,IF(J283=$B$976,$A$976,IF(J283=$B$977,$A$977,"Not Calculated")))))</f>
        <v>Not Calculated</v>
      </c>
      <c r="K284" s="41"/>
      <c r="N284" s="12" t="s">
        <v>906</v>
      </c>
    </row>
    <row r="285" spans="2:14" x14ac:dyDescent="0.2">
      <c r="B285" s="38"/>
      <c r="C285" s="40" t="s">
        <v>893</v>
      </c>
      <c r="D285" s="40"/>
      <c r="E285" s="40"/>
      <c r="F285" s="40"/>
      <c r="G285" s="40"/>
      <c r="H285" s="40"/>
      <c r="I285" s="40"/>
      <c r="J285" s="40"/>
      <c r="K285" s="41"/>
      <c r="N285" s="12" t="s">
        <v>907</v>
      </c>
    </row>
    <row r="286" spans="2:14" x14ac:dyDescent="0.2">
      <c r="B286" s="38"/>
      <c r="C286" s="399"/>
      <c r="D286" s="400"/>
      <c r="E286" s="400"/>
      <c r="F286" s="400"/>
      <c r="G286" s="400"/>
      <c r="H286" s="400"/>
      <c r="I286" s="400"/>
      <c r="J286" s="401"/>
      <c r="K286" s="41"/>
    </row>
    <row r="287" spans="2:14" x14ac:dyDescent="0.2">
      <c r="B287" s="38"/>
      <c r="C287" s="40"/>
      <c r="D287" s="40"/>
      <c r="E287" s="40"/>
      <c r="F287" s="40"/>
      <c r="G287" s="40"/>
      <c r="H287" s="40"/>
      <c r="I287" s="40"/>
      <c r="J287" s="40"/>
      <c r="K287" s="41"/>
    </row>
    <row r="288" spans="2:14" x14ac:dyDescent="0.2">
      <c r="B288" s="38"/>
      <c r="C288" s="179" t="s">
        <v>295</v>
      </c>
      <c r="D288" s="40"/>
      <c r="E288" s="40"/>
      <c r="F288" s="40"/>
      <c r="G288" s="40"/>
      <c r="H288" s="40"/>
      <c r="I288" s="40"/>
      <c r="J288" s="245" t="str">
        <f>IF(J282="N/A",IF(OR(J275="Not Calculated",J284="Not Calculated")=TRUE,"Not Calculated",AVERAGE(J275,J284)),AVERAGE(J282,J284))</f>
        <v>Not Calculated</v>
      </c>
      <c r="K288" s="41"/>
    </row>
    <row r="289" spans="2:11" x14ac:dyDescent="0.2">
      <c r="B289" s="38"/>
      <c r="C289" s="40"/>
      <c r="D289" s="40"/>
      <c r="E289" s="40"/>
      <c r="F289" s="40"/>
      <c r="G289" s="40"/>
      <c r="H289" s="40"/>
      <c r="I289" s="40"/>
      <c r="J289" s="245"/>
      <c r="K289" s="41"/>
    </row>
    <row r="290" spans="2:11" x14ac:dyDescent="0.2">
      <c r="B290" s="38"/>
      <c r="C290" s="40"/>
      <c r="D290" s="40"/>
      <c r="E290" s="40"/>
      <c r="F290" s="40"/>
      <c r="G290" s="40"/>
      <c r="H290" s="40"/>
      <c r="I290" s="40"/>
      <c r="J290" s="40"/>
      <c r="K290" s="41"/>
    </row>
    <row r="291" spans="2:11" ht="16" x14ac:dyDescent="0.2">
      <c r="B291" s="38"/>
      <c r="C291" s="45" t="s">
        <v>856</v>
      </c>
      <c r="D291" s="40"/>
      <c r="E291" s="40"/>
      <c r="F291" s="40"/>
      <c r="G291" s="40"/>
      <c r="H291" s="40"/>
      <c r="I291" s="40"/>
      <c r="J291" s="40"/>
      <c r="K291" s="41"/>
    </row>
    <row r="292" spans="2:11" ht="15" customHeight="1" x14ac:dyDescent="0.2">
      <c r="B292" s="38"/>
      <c r="C292" s="380" t="s">
        <v>855</v>
      </c>
      <c r="D292" s="380"/>
      <c r="E292" s="380"/>
      <c r="F292" s="380"/>
      <c r="G292" s="380"/>
      <c r="H292" s="380"/>
      <c r="I292" s="380"/>
      <c r="J292" s="40"/>
      <c r="K292" s="41"/>
    </row>
    <row r="293" spans="2:11" x14ac:dyDescent="0.2">
      <c r="B293" s="38"/>
      <c r="C293" s="380"/>
      <c r="D293" s="380"/>
      <c r="E293" s="380"/>
      <c r="F293" s="380"/>
      <c r="G293" s="380"/>
      <c r="H293" s="380"/>
      <c r="I293" s="380"/>
      <c r="J293" s="264"/>
      <c r="K293" s="41"/>
    </row>
    <row r="294" spans="2:11" x14ac:dyDescent="0.2">
      <c r="B294" s="38"/>
      <c r="C294" s="40" t="s">
        <v>853</v>
      </c>
      <c r="D294" s="291"/>
      <c r="E294" s="291"/>
      <c r="F294" s="291"/>
      <c r="G294" s="291"/>
      <c r="H294" s="291"/>
      <c r="I294" s="291"/>
      <c r="J294" s="255">
        <f>'Baseline Health'!$G$102</f>
        <v>0</v>
      </c>
      <c r="K294" s="41"/>
    </row>
    <row r="295" spans="2:11" x14ac:dyDescent="0.2">
      <c r="B295" s="38"/>
      <c r="C295" s="40" t="s">
        <v>842</v>
      </c>
      <c r="D295" s="40"/>
      <c r="E295" s="40"/>
      <c r="F295" s="40"/>
      <c r="G295" s="40"/>
      <c r="H295" s="40"/>
      <c r="I295" s="40"/>
      <c r="J295" s="244" t="str">
        <f>IF('Baseline Health'!$G$102=0,"Not Calculated",100*J293/'Baseline Health'!$G$102)</f>
        <v>Not Calculated</v>
      </c>
      <c r="K295" s="41"/>
    </row>
    <row r="296" spans="2:11" x14ac:dyDescent="0.2">
      <c r="B296" s="38"/>
      <c r="C296" s="40" t="s">
        <v>260</v>
      </c>
      <c r="D296" s="40"/>
      <c r="E296" s="40"/>
      <c r="F296" s="40"/>
      <c r="G296" s="40"/>
      <c r="H296" s="40"/>
      <c r="I296" s="40"/>
      <c r="J296" s="245">
        <f>IF(J295&lt;=0,0,IF(J295&lt;=1,1,IF(J295&lt;=5,2,IF(J295&lt;=10,3,4))))</f>
        <v>4</v>
      </c>
      <c r="K296" s="41"/>
    </row>
    <row r="297" spans="2:11" ht="9.75" customHeight="1" x14ac:dyDescent="0.2">
      <c r="B297" s="38"/>
      <c r="C297" s="279" t="str">
        <f>"0:"</f>
        <v>0:</v>
      </c>
      <c r="D297" s="278" t="s">
        <v>932</v>
      </c>
      <c r="E297" s="40"/>
      <c r="F297" s="40"/>
      <c r="G297" s="40"/>
      <c r="H297" s="40"/>
      <c r="I297" s="40"/>
      <c r="J297" s="244"/>
      <c r="K297" s="41"/>
    </row>
    <row r="298" spans="2:11" ht="9.75" customHeight="1" x14ac:dyDescent="0.2">
      <c r="B298" s="38"/>
      <c r="C298" s="280" t="str">
        <f>"1:"</f>
        <v>1:</v>
      </c>
      <c r="D298" s="278" t="s">
        <v>934</v>
      </c>
      <c r="E298" s="40"/>
      <c r="F298" s="40"/>
      <c r="G298" s="40"/>
      <c r="H298" s="40"/>
      <c r="I298" s="40"/>
      <c r="J298" s="244"/>
      <c r="K298" s="41"/>
    </row>
    <row r="299" spans="2:11" ht="9.75" customHeight="1" x14ac:dyDescent="0.2">
      <c r="B299" s="38"/>
      <c r="C299" s="280" t="str">
        <f>"2:"</f>
        <v>2:</v>
      </c>
      <c r="D299" s="278" t="s">
        <v>933</v>
      </c>
      <c r="E299" s="40"/>
      <c r="F299" s="40"/>
      <c r="G299" s="40"/>
      <c r="H299" s="40"/>
      <c r="I299" s="40"/>
      <c r="J299" s="244"/>
      <c r="K299" s="41"/>
    </row>
    <row r="300" spans="2:11" ht="9.75" customHeight="1" x14ac:dyDescent="0.2">
      <c r="B300" s="38"/>
      <c r="C300" s="280" t="str">
        <f>"3:"</f>
        <v>3:</v>
      </c>
      <c r="D300" s="278" t="s">
        <v>935</v>
      </c>
      <c r="E300" s="40"/>
      <c r="F300" s="40"/>
      <c r="G300" s="40"/>
      <c r="H300" s="40"/>
      <c r="I300" s="40"/>
      <c r="J300" s="244"/>
      <c r="K300" s="41"/>
    </row>
    <row r="301" spans="2:11" ht="9.75" customHeight="1" x14ac:dyDescent="0.2">
      <c r="B301" s="38"/>
      <c r="C301" s="280" t="str">
        <f>"4:"</f>
        <v>4:</v>
      </c>
      <c r="D301" s="278" t="s">
        <v>936</v>
      </c>
      <c r="E301" s="40"/>
      <c r="F301" s="40"/>
      <c r="G301" s="40"/>
      <c r="H301" s="40"/>
      <c r="I301" s="40"/>
      <c r="J301" s="40"/>
      <c r="K301" s="41"/>
    </row>
    <row r="302" spans="2:11" x14ac:dyDescent="0.2">
      <c r="B302" s="38"/>
      <c r="C302" s="40" t="s">
        <v>257</v>
      </c>
      <c r="D302" s="40"/>
      <c r="E302" s="40"/>
      <c r="F302" s="40"/>
      <c r="G302" s="40"/>
      <c r="H302" s="40"/>
      <c r="I302" s="40"/>
      <c r="J302" s="266"/>
      <c r="K302" s="41"/>
    </row>
    <row r="303" spans="2:11" x14ac:dyDescent="0.2">
      <c r="B303" s="38"/>
      <c r="C303" s="40" t="s">
        <v>261</v>
      </c>
      <c r="D303" s="40"/>
      <c r="E303" s="40"/>
      <c r="F303" s="40"/>
      <c r="G303" s="40"/>
      <c r="H303" s="40"/>
      <c r="I303" s="40"/>
      <c r="J303" s="245" t="str">
        <f>IF(J302=$B$980,$A$980,IF(J302=$B$981,$A$981,IF(J302=$B$982,$A$982,IF(J302=$B$983,$A$983,IF(J302=$B$984,$A$984,"Not Calculated")))))</f>
        <v>Not Calculated</v>
      </c>
      <c r="K303" s="41"/>
    </row>
    <row r="304" spans="2:11" x14ac:dyDescent="0.2">
      <c r="B304" s="38"/>
      <c r="C304" s="40" t="s">
        <v>893</v>
      </c>
      <c r="D304" s="40"/>
      <c r="E304" s="40"/>
      <c r="F304" s="40"/>
      <c r="G304" s="40"/>
      <c r="H304" s="40"/>
      <c r="I304" s="40"/>
      <c r="J304" s="40"/>
      <c r="K304" s="41"/>
    </row>
    <row r="305" spans="2:11" ht="15" customHeight="1" x14ac:dyDescent="0.2">
      <c r="B305" s="38"/>
      <c r="C305" s="399"/>
      <c r="D305" s="400"/>
      <c r="E305" s="400"/>
      <c r="F305" s="400"/>
      <c r="G305" s="400"/>
      <c r="H305" s="400"/>
      <c r="I305" s="400"/>
      <c r="J305" s="401"/>
      <c r="K305" s="41"/>
    </row>
    <row r="306" spans="2:11" x14ac:dyDescent="0.2">
      <c r="B306" s="38"/>
      <c r="C306" s="40"/>
      <c r="D306" s="40"/>
      <c r="E306" s="40"/>
      <c r="F306" s="40"/>
      <c r="G306" s="40"/>
      <c r="H306" s="40"/>
      <c r="I306" s="40"/>
      <c r="J306" s="40"/>
      <c r="K306" s="41"/>
    </row>
    <row r="307" spans="2:11" x14ac:dyDescent="0.2">
      <c r="B307" s="38"/>
      <c r="C307" s="179" t="s">
        <v>885</v>
      </c>
      <c r="D307" s="40"/>
      <c r="E307" s="40"/>
      <c r="F307" s="40"/>
      <c r="G307" s="40"/>
      <c r="H307" s="40"/>
      <c r="I307" s="40"/>
      <c r="J307" s="245" t="str">
        <f>IF(OR(J296="Not Calculated",J303="Not Calculated")=TRUE,"Not Calculated",AVERAGE(J296,J303))</f>
        <v>Not Calculated</v>
      </c>
      <c r="K307" s="41"/>
    </row>
    <row r="308" spans="2:11" x14ac:dyDescent="0.2">
      <c r="B308" s="38"/>
      <c r="C308" s="40"/>
      <c r="D308" s="40"/>
      <c r="E308" s="40"/>
      <c r="F308" s="40"/>
      <c r="G308" s="40"/>
      <c r="H308" s="40"/>
      <c r="I308" s="40"/>
      <c r="J308" s="40"/>
      <c r="K308" s="41"/>
    </row>
    <row r="309" spans="2:11" x14ac:dyDescent="0.2">
      <c r="B309" s="38"/>
      <c r="C309" s="40"/>
      <c r="D309" s="40"/>
      <c r="E309" s="40"/>
      <c r="F309" s="40"/>
      <c r="G309" s="40"/>
      <c r="H309" s="40"/>
      <c r="I309" s="40"/>
      <c r="J309" s="40"/>
      <c r="K309" s="41"/>
    </row>
    <row r="310" spans="2:11" ht="16" x14ac:dyDescent="0.2">
      <c r="B310" s="38"/>
      <c r="C310" s="45" t="s">
        <v>857</v>
      </c>
      <c r="D310" s="40"/>
      <c r="E310" s="40"/>
      <c r="F310" s="40"/>
      <c r="G310" s="40"/>
      <c r="H310" s="40"/>
      <c r="I310" s="40"/>
      <c r="J310" s="40"/>
      <c r="K310" s="41"/>
    </row>
    <row r="311" spans="2:11" x14ac:dyDescent="0.2">
      <c r="B311" s="38"/>
      <c r="C311" s="380" t="s">
        <v>843</v>
      </c>
      <c r="D311" s="380"/>
      <c r="E311" s="380"/>
      <c r="F311" s="380"/>
      <c r="G311" s="380"/>
      <c r="H311" s="380"/>
      <c r="I311" s="380"/>
      <c r="J311" s="40"/>
      <c r="K311" s="41"/>
    </row>
    <row r="312" spans="2:11" x14ac:dyDescent="0.2">
      <c r="B312" s="38"/>
      <c r="C312" s="380"/>
      <c r="D312" s="380"/>
      <c r="E312" s="380"/>
      <c r="F312" s="380"/>
      <c r="G312" s="380"/>
      <c r="H312" s="380"/>
      <c r="I312" s="380"/>
      <c r="J312" s="264"/>
      <c r="K312" s="41"/>
    </row>
    <row r="313" spans="2:11" x14ac:dyDescent="0.2">
      <c r="B313" s="38"/>
      <c r="C313" s="40" t="s">
        <v>853</v>
      </c>
      <c r="D313" s="291"/>
      <c r="E313" s="291"/>
      <c r="F313" s="291"/>
      <c r="G313" s="291"/>
      <c r="H313" s="291"/>
      <c r="I313" s="291"/>
      <c r="J313" s="255">
        <f>'Baseline Health'!$G$102</f>
        <v>0</v>
      </c>
      <c r="K313" s="41"/>
    </row>
    <row r="314" spans="2:11" x14ac:dyDescent="0.2">
      <c r="B314" s="38"/>
      <c r="C314" s="40" t="s">
        <v>842</v>
      </c>
      <c r="D314" s="40"/>
      <c r="E314" s="40"/>
      <c r="F314" s="40"/>
      <c r="G314" s="40"/>
      <c r="H314" s="40"/>
      <c r="I314" s="40"/>
      <c r="J314" s="244" t="str">
        <f>IF('Baseline Health'!$G$102=0,"Not Calculated",100*J312/'Baseline Health'!$G$102)</f>
        <v>Not Calculated</v>
      </c>
      <c r="K314" s="41"/>
    </row>
    <row r="315" spans="2:11" x14ac:dyDescent="0.2">
      <c r="B315" s="38"/>
      <c r="C315" s="40" t="s">
        <v>260</v>
      </c>
      <c r="D315" s="40"/>
      <c r="E315" s="40"/>
      <c r="F315" s="40"/>
      <c r="G315" s="40"/>
      <c r="H315" s="40"/>
      <c r="I315" s="40"/>
      <c r="J315" s="245">
        <f>IF(J314&lt;=0,0,IF(J314&lt;=1,1,IF(J314&lt;=5,2,IF(J314&lt;=10,3,4))))</f>
        <v>4</v>
      </c>
      <c r="K315" s="41"/>
    </row>
    <row r="316" spans="2:11" ht="9.75" customHeight="1" x14ac:dyDescent="0.2">
      <c r="B316" s="38"/>
      <c r="C316" s="279" t="str">
        <f>"0:"</f>
        <v>0:</v>
      </c>
      <c r="D316" s="278" t="s">
        <v>932</v>
      </c>
      <c r="E316" s="40"/>
      <c r="F316" s="40"/>
      <c r="G316" s="40"/>
      <c r="H316" s="40"/>
      <c r="I316" s="40"/>
      <c r="J316" s="244"/>
      <c r="K316" s="41"/>
    </row>
    <row r="317" spans="2:11" ht="9.75" customHeight="1" x14ac:dyDescent="0.2">
      <c r="B317" s="38"/>
      <c r="C317" s="280" t="str">
        <f>"1:"</f>
        <v>1:</v>
      </c>
      <c r="D317" s="278" t="s">
        <v>934</v>
      </c>
      <c r="E317" s="40"/>
      <c r="F317" s="40"/>
      <c r="G317" s="40"/>
      <c r="H317" s="40"/>
      <c r="I317" s="40"/>
      <c r="J317" s="244"/>
      <c r="K317" s="41"/>
    </row>
    <row r="318" spans="2:11" ht="9.75" customHeight="1" x14ac:dyDescent="0.2">
      <c r="B318" s="38"/>
      <c r="C318" s="280" t="str">
        <f>"2:"</f>
        <v>2:</v>
      </c>
      <c r="D318" s="278" t="s">
        <v>933</v>
      </c>
      <c r="E318" s="40"/>
      <c r="F318" s="40"/>
      <c r="G318" s="40"/>
      <c r="H318" s="40"/>
      <c r="I318" s="40"/>
      <c r="J318" s="244"/>
      <c r="K318" s="41"/>
    </row>
    <row r="319" spans="2:11" ht="9.75" customHeight="1" x14ac:dyDescent="0.2">
      <c r="B319" s="38"/>
      <c r="C319" s="280" t="str">
        <f>"3:"</f>
        <v>3:</v>
      </c>
      <c r="D319" s="278" t="s">
        <v>935</v>
      </c>
      <c r="E319" s="40"/>
      <c r="F319" s="40"/>
      <c r="G319" s="40"/>
      <c r="H319" s="40"/>
      <c r="I319" s="40"/>
      <c r="J319" s="244"/>
      <c r="K319" s="41"/>
    </row>
    <row r="320" spans="2:11" ht="9.75" customHeight="1" x14ac:dyDescent="0.2">
      <c r="B320" s="38"/>
      <c r="C320" s="280" t="str">
        <f>"4:"</f>
        <v>4:</v>
      </c>
      <c r="D320" s="278" t="s">
        <v>936</v>
      </c>
      <c r="E320" s="40"/>
      <c r="F320" s="40"/>
      <c r="G320" s="40"/>
      <c r="H320" s="40"/>
      <c r="I320" s="40"/>
      <c r="J320" s="40"/>
      <c r="K320" s="41"/>
    </row>
    <row r="321" spans="2:11" x14ac:dyDescent="0.2">
      <c r="B321" s="38"/>
      <c r="C321" s="40" t="s">
        <v>296</v>
      </c>
      <c r="D321" s="40"/>
      <c r="E321" s="40"/>
      <c r="F321" s="40"/>
      <c r="G321" s="40"/>
      <c r="H321" s="40"/>
      <c r="I321" s="40"/>
      <c r="J321" s="266"/>
      <c r="K321" s="41"/>
    </row>
    <row r="322" spans="2:11" x14ac:dyDescent="0.2">
      <c r="B322" s="38"/>
      <c r="C322" s="40" t="s">
        <v>261</v>
      </c>
      <c r="D322" s="40"/>
      <c r="E322" s="40"/>
      <c r="F322" s="40"/>
      <c r="G322" s="40"/>
      <c r="H322" s="40"/>
      <c r="I322" s="40"/>
      <c r="J322" s="245">
        <f>IF(J321&lt;=0,0,IF(J321&lt;=2,1,IF(J321&lt;=6,2,IF(J321&lt;=12,3,4))))</f>
        <v>0</v>
      </c>
      <c r="K322" s="41"/>
    </row>
    <row r="323" spans="2:11" x14ac:dyDescent="0.2">
      <c r="B323" s="38"/>
      <c r="C323" s="40" t="s">
        <v>893</v>
      </c>
      <c r="D323" s="40"/>
      <c r="E323" s="40"/>
      <c r="F323" s="40"/>
      <c r="G323" s="40"/>
      <c r="H323" s="40"/>
      <c r="I323" s="40"/>
      <c r="J323" s="40"/>
      <c r="K323" s="41"/>
    </row>
    <row r="324" spans="2:11" ht="15" customHeight="1" x14ac:dyDescent="0.2">
      <c r="B324" s="38"/>
      <c r="C324" s="399"/>
      <c r="D324" s="400"/>
      <c r="E324" s="400"/>
      <c r="F324" s="400"/>
      <c r="G324" s="400"/>
      <c r="H324" s="400"/>
      <c r="I324" s="400"/>
      <c r="J324" s="401"/>
      <c r="K324" s="41"/>
    </row>
    <row r="325" spans="2:11" x14ac:dyDescent="0.2">
      <c r="B325" s="38"/>
      <c r="C325" s="40"/>
      <c r="D325" s="40"/>
      <c r="E325" s="40"/>
      <c r="F325" s="40"/>
      <c r="G325" s="40"/>
      <c r="H325" s="40"/>
      <c r="I325" s="40"/>
      <c r="J325" s="40"/>
      <c r="K325" s="41"/>
    </row>
    <row r="326" spans="2:11" x14ac:dyDescent="0.2">
      <c r="B326" s="38"/>
      <c r="C326" s="179" t="s">
        <v>886</v>
      </c>
      <c r="D326" s="40"/>
      <c r="E326" s="40"/>
      <c r="F326" s="40"/>
      <c r="G326" s="40"/>
      <c r="H326" s="40"/>
      <c r="I326" s="40"/>
      <c r="J326" s="245">
        <f>IF(OR(J315="Not Calculated",J322="Not Calculated")=TRUE,"Not Calculated",AVERAGE(J315,J322))</f>
        <v>2</v>
      </c>
      <c r="K326" s="41"/>
    </row>
    <row r="327" spans="2:11" x14ac:dyDescent="0.2">
      <c r="B327" s="38"/>
      <c r="C327" s="40"/>
      <c r="D327" s="40"/>
      <c r="E327" s="40"/>
      <c r="F327" s="40"/>
      <c r="G327" s="40"/>
      <c r="H327" s="40"/>
      <c r="I327" s="40"/>
      <c r="J327" s="40"/>
      <c r="K327" s="41"/>
    </row>
    <row r="328" spans="2:11" x14ac:dyDescent="0.2">
      <c r="B328" s="38"/>
      <c r="C328" s="40"/>
      <c r="D328" s="40"/>
      <c r="E328" s="40"/>
      <c r="F328" s="40"/>
      <c r="G328" s="40"/>
      <c r="H328" s="40"/>
      <c r="I328" s="40"/>
      <c r="J328" s="40"/>
      <c r="K328" s="41"/>
    </row>
    <row r="329" spans="2:11" ht="16" x14ac:dyDescent="0.2">
      <c r="B329" s="38"/>
      <c r="C329" s="45" t="s">
        <v>858</v>
      </c>
      <c r="D329" s="40"/>
      <c r="E329" s="40"/>
      <c r="F329" s="40"/>
      <c r="G329" s="40"/>
      <c r="H329" s="40"/>
      <c r="I329" s="40"/>
      <c r="J329" s="40"/>
      <c r="K329" s="41"/>
    </row>
    <row r="330" spans="2:11" ht="15" customHeight="1" x14ac:dyDescent="0.2">
      <c r="B330" s="38"/>
      <c r="C330" s="380" t="s">
        <v>844</v>
      </c>
      <c r="D330" s="380"/>
      <c r="E330" s="380"/>
      <c r="F330" s="380"/>
      <c r="G330" s="380"/>
      <c r="H330" s="380"/>
      <c r="I330" s="380"/>
      <c r="J330" s="40"/>
      <c r="K330" s="41"/>
    </row>
    <row r="331" spans="2:11" x14ac:dyDescent="0.2">
      <c r="B331" s="38"/>
      <c r="C331" s="380"/>
      <c r="D331" s="380"/>
      <c r="E331" s="380"/>
      <c r="F331" s="380"/>
      <c r="G331" s="380"/>
      <c r="H331" s="380"/>
      <c r="I331" s="380"/>
      <c r="J331" s="264"/>
      <c r="K331" s="41"/>
    </row>
    <row r="332" spans="2:11" x14ac:dyDescent="0.2">
      <c r="B332" s="38"/>
      <c r="C332" s="40" t="s">
        <v>853</v>
      </c>
      <c r="D332" s="291"/>
      <c r="E332" s="291"/>
      <c r="F332" s="291"/>
      <c r="G332" s="291"/>
      <c r="H332" s="291"/>
      <c r="I332" s="291"/>
      <c r="J332" s="255">
        <f>'Baseline Health'!$G$102</f>
        <v>0</v>
      </c>
      <c r="K332" s="41"/>
    </row>
    <row r="333" spans="2:11" x14ac:dyDescent="0.2">
      <c r="B333" s="38"/>
      <c r="C333" s="40" t="s">
        <v>845</v>
      </c>
      <c r="D333" s="40"/>
      <c r="E333" s="40"/>
      <c r="F333" s="40"/>
      <c r="G333" s="40"/>
      <c r="H333" s="40"/>
      <c r="I333" s="40"/>
      <c r="J333" s="244" t="str">
        <f>IF('Baseline Health'!$G$102=0,"Not Calculated",100*J331/'Baseline Health'!$G$102)</f>
        <v>Not Calculated</v>
      </c>
      <c r="K333" s="41"/>
    </row>
    <row r="334" spans="2:11" x14ac:dyDescent="0.2">
      <c r="B334" s="38"/>
      <c r="C334" s="40" t="s">
        <v>260</v>
      </c>
      <c r="D334" s="40"/>
      <c r="E334" s="40"/>
      <c r="F334" s="40"/>
      <c r="G334" s="40"/>
      <c r="H334" s="40"/>
      <c r="I334" s="40"/>
      <c r="J334" s="245">
        <f>IF(J333&lt;=0,0,IF(J333&lt;=1,1,IF(J333&lt;=5,2,IF(J333&lt;=10,3,4))))</f>
        <v>4</v>
      </c>
      <c r="K334" s="41"/>
    </row>
    <row r="335" spans="2:11" ht="9.75" customHeight="1" x14ac:dyDescent="0.2">
      <c r="B335" s="38"/>
      <c r="C335" s="279" t="str">
        <f>"0:"</f>
        <v>0:</v>
      </c>
      <c r="D335" s="278" t="s">
        <v>932</v>
      </c>
      <c r="E335" s="40"/>
      <c r="F335" s="40"/>
      <c r="G335" s="40"/>
      <c r="H335" s="40"/>
      <c r="I335" s="40"/>
      <c r="J335" s="244"/>
      <c r="K335" s="41"/>
    </row>
    <row r="336" spans="2:11" ht="9.75" customHeight="1" x14ac:dyDescent="0.2">
      <c r="B336" s="38"/>
      <c r="C336" s="280" t="str">
        <f>"1:"</f>
        <v>1:</v>
      </c>
      <c r="D336" s="278" t="s">
        <v>934</v>
      </c>
      <c r="E336" s="40"/>
      <c r="F336" s="40"/>
      <c r="G336" s="40"/>
      <c r="H336" s="40"/>
      <c r="I336" s="40"/>
      <c r="J336" s="244"/>
      <c r="K336" s="41"/>
    </row>
    <row r="337" spans="2:11" ht="9.75" customHeight="1" x14ac:dyDescent="0.2">
      <c r="B337" s="38"/>
      <c r="C337" s="280" t="str">
        <f>"2:"</f>
        <v>2:</v>
      </c>
      <c r="D337" s="278" t="s">
        <v>933</v>
      </c>
      <c r="E337" s="40"/>
      <c r="F337" s="40"/>
      <c r="G337" s="40"/>
      <c r="H337" s="40"/>
      <c r="I337" s="40"/>
      <c r="J337" s="244"/>
      <c r="K337" s="41"/>
    </row>
    <row r="338" spans="2:11" ht="9.75" customHeight="1" x14ac:dyDescent="0.2">
      <c r="B338" s="38"/>
      <c r="C338" s="280" t="str">
        <f>"3:"</f>
        <v>3:</v>
      </c>
      <c r="D338" s="278" t="s">
        <v>935</v>
      </c>
      <c r="E338" s="40"/>
      <c r="F338" s="40"/>
      <c r="G338" s="40"/>
      <c r="H338" s="40"/>
      <c r="I338" s="40"/>
      <c r="J338" s="244"/>
      <c r="K338" s="41"/>
    </row>
    <row r="339" spans="2:11" ht="9.75" customHeight="1" x14ac:dyDescent="0.2">
      <c r="B339" s="38"/>
      <c r="C339" s="280" t="str">
        <f>"4:"</f>
        <v>4:</v>
      </c>
      <c r="D339" s="278" t="s">
        <v>936</v>
      </c>
      <c r="E339" s="40"/>
      <c r="F339" s="40"/>
      <c r="G339" s="40"/>
      <c r="H339" s="40"/>
      <c r="I339" s="40"/>
      <c r="J339" s="40"/>
      <c r="K339" s="41"/>
    </row>
    <row r="340" spans="2:11" x14ac:dyDescent="0.2">
      <c r="B340" s="38"/>
      <c r="C340" s="380" t="s">
        <v>84</v>
      </c>
      <c r="D340" s="380"/>
      <c r="E340" s="380"/>
      <c r="F340" s="380"/>
      <c r="G340" s="380"/>
      <c r="H340" s="380"/>
      <c r="I340" s="380"/>
      <c r="J340" s="245"/>
      <c r="K340" s="41"/>
    </row>
    <row r="341" spans="2:11" x14ac:dyDescent="0.2">
      <c r="B341" s="38"/>
      <c r="C341" s="380"/>
      <c r="D341" s="380"/>
      <c r="E341" s="380"/>
      <c r="F341" s="380"/>
      <c r="G341" s="380"/>
      <c r="H341" s="380"/>
      <c r="I341" s="380"/>
      <c r="J341" s="245">
        <f>'Baseline Health'!G108</f>
        <v>40</v>
      </c>
      <c r="K341" s="41"/>
    </row>
    <row r="342" spans="2:11" ht="15" customHeight="1" x14ac:dyDescent="0.2">
      <c r="B342" s="38"/>
      <c r="C342" s="40" t="s">
        <v>833</v>
      </c>
      <c r="D342" s="40"/>
      <c r="E342" s="40"/>
      <c r="F342" s="40"/>
      <c r="G342" s="40"/>
      <c r="H342" s="40"/>
      <c r="I342" s="40"/>
      <c r="J342" s="245">
        <f>IF(J341&gt;J321,0,J321-J341)</f>
        <v>0</v>
      </c>
      <c r="K342" s="41"/>
    </row>
    <row r="343" spans="2:11" x14ac:dyDescent="0.2">
      <c r="B343" s="38"/>
      <c r="C343" s="40"/>
      <c r="D343" s="380" t="s">
        <v>834</v>
      </c>
      <c r="E343" s="380"/>
      <c r="F343" s="380"/>
      <c r="G343" s="380"/>
      <c r="H343" s="380"/>
      <c r="I343" s="380"/>
      <c r="J343" s="40"/>
      <c r="K343" s="41"/>
    </row>
    <row r="344" spans="2:11" x14ac:dyDescent="0.2">
      <c r="B344" s="38"/>
      <c r="C344" s="40"/>
      <c r="D344" s="380"/>
      <c r="E344" s="380"/>
      <c r="F344" s="380"/>
      <c r="G344" s="380"/>
      <c r="H344" s="380"/>
      <c r="I344" s="380"/>
      <c r="J344" s="40"/>
      <c r="K344" s="41"/>
    </row>
    <row r="345" spans="2:11" x14ac:dyDescent="0.2">
      <c r="B345" s="38"/>
      <c r="C345" s="40" t="s">
        <v>261</v>
      </c>
      <c r="D345" s="40"/>
      <c r="E345" s="40"/>
      <c r="F345" s="40"/>
      <c r="G345" s="40"/>
      <c r="H345" s="40"/>
      <c r="I345" s="40"/>
      <c r="J345" s="245">
        <f>IF(J342&lt;=0,0,IF(J342&lt;=2,1,IF(J342&lt;=6,2,IF(J342&lt;=12,3,4))))</f>
        <v>0</v>
      </c>
      <c r="K345" s="41"/>
    </row>
    <row r="346" spans="2:11" x14ac:dyDescent="0.2">
      <c r="B346" s="38"/>
      <c r="C346" s="40" t="s">
        <v>893</v>
      </c>
      <c r="D346" s="40"/>
      <c r="E346" s="40"/>
      <c r="F346" s="40"/>
      <c r="G346" s="40"/>
      <c r="H346" s="40"/>
      <c r="I346" s="40"/>
      <c r="J346" s="40"/>
      <c r="K346" s="41"/>
    </row>
    <row r="347" spans="2:11" ht="15" customHeight="1" x14ac:dyDescent="0.2">
      <c r="B347" s="38"/>
      <c r="C347" s="399"/>
      <c r="D347" s="400"/>
      <c r="E347" s="400"/>
      <c r="F347" s="400"/>
      <c r="G347" s="400"/>
      <c r="H347" s="400"/>
      <c r="I347" s="400"/>
      <c r="J347" s="401"/>
      <c r="K347" s="41"/>
    </row>
    <row r="348" spans="2:11" x14ac:dyDescent="0.2">
      <c r="B348" s="38"/>
      <c r="C348" s="40"/>
      <c r="D348" s="40"/>
      <c r="E348" s="40"/>
      <c r="F348" s="40"/>
      <c r="G348" s="40"/>
      <c r="H348" s="40"/>
      <c r="I348" s="40"/>
      <c r="J348" s="40"/>
      <c r="K348" s="41"/>
    </row>
    <row r="349" spans="2:11" x14ac:dyDescent="0.2">
      <c r="B349" s="38"/>
      <c r="C349" s="179" t="s">
        <v>887</v>
      </c>
      <c r="D349" s="40"/>
      <c r="E349" s="40"/>
      <c r="F349" s="40"/>
      <c r="G349" s="40"/>
      <c r="H349" s="40"/>
      <c r="I349" s="40"/>
      <c r="J349" s="245">
        <f>IF(OR(J334="Not Calculated",J345="Not Calculated")=TRUE,"Not Calculated",AVERAGE(J334,J345))</f>
        <v>2</v>
      </c>
      <c r="K349" s="41"/>
    </row>
    <row r="350" spans="2:11" x14ac:dyDescent="0.2">
      <c r="B350" s="38"/>
      <c r="C350" s="40"/>
      <c r="D350" s="40"/>
      <c r="E350" s="40"/>
      <c r="F350" s="40"/>
      <c r="G350" s="40"/>
      <c r="H350" s="40"/>
      <c r="I350" s="40"/>
      <c r="J350" s="40"/>
      <c r="K350" s="41"/>
    </row>
    <row r="351" spans="2:11" x14ac:dyDescent="0.2">
      <c r="B351" s="38"/>
      <c r="C351" s="40"/>
      <c r="D351" s="40"/>
      <c r="E351" s="40"/>
      <c r="F351" s="40"/>
      <c r="G351" s="40"/>
      <c r="H351" s="40"/>
      <c r="I351" s="40"/>
      <c r="J351" s="40"/>
      <c r="K351" s="41"/>
    </row>
    <row r="352" spans="2:11" ht="15" customHeight="1" x14ac:dyDescent="0.2">
      <c r="B352" s="38"/>
      <c r="C352" s="45" t="s">
        <v>859</v>
      </c>
      <c r="D352" s="40"/>
      <c r="E352" s="40"/>
      <c r="F352" s="40"/>
      <c r="G352" s="40"/>
      <c r="H352" s="40"/>
      <c r="I352" s="40"/>
      <c r="J352" s="40"/>
      <c r="K352" s="41"/>
    </row>
    <row r="353" spans="2:11" x14ac:dyDescent="0.2">
      <c r="B353" s="38"/>
      <c r="C353" s="40" t="s">
        <v>846</v>
      </c>
      <c r="D353" s="40"/>
      <c r="E353" s="40"/>
      <c r="F353" s="40"/>
      <c r="G353" s="40"/>
      <c r="H353" s="40"/>
      <c r="I353" s="40"/>
      <c r="J353" s="264"/>
      <c r="K353" s="41"/>
    </row>
    <row r="354" spans="2:11" x14ac:dyDescent="0.2">
      <c r="B354" s="38"/>
      <c r="C354" s="40" t="s">
        <v>854</v>
      </c>
      <c r="D354" s="40"/>
      <c r="E354" s="40"/>
      <c r="F354" s="40"/>
      <c r="G354" s="40"/>
      <c r="H354" s="40"/>
      <c r="I354" s="40"/>
      <c r="J354" s="255">
        <f>'Baseline Health'!$G$59</f>
        <v>0</v>
      </c>
      <c r="K354" s="41"/>
    </row>
    <row r="355" spans="2:11" x14ac:dyDescent="0.2">
      <c r="B355" s="38"/>
      <c r="C355" s="40" t="s">
        <v>847</v>
      </c>
      <c r="D355" s="40"/>
      <c r="E355" s="40"/>
      <c r="F355" s="40"/>
      <c r="G355" s="40"/>
      <c r="H355" s="40"/>
      <c r="I355" s="40"/>
      <c r="J355" s="244">
        <f>IF(J353=0,0,IF('Baseline Health'!G$59=0,"Not Calculated",100*J353/'Baseline Health'!$G$59))</f>
        <v>0</v>
      </c>
      <c r="K355" s="41"/>
    </row>
    <row r="356" spans="2:11" x14ac:dyDescent="0.2">
      <c r="B356" s="38"/>
      <c r="C356" s="40" t="s">
        <v>260</v>
      </c>
      <c r="D356" s="40"/>
      <c r="E356" s="40"/>
      <c r="F356" s="40"/>
      <c r="G356" s="40"/>
      <c r="H356" s="40"/>
      <c r="I356" s="40"/>
      <c r="J356" s="245">
        <f>IF(J355&lt;=0,0,IF(J355&lt;=5,1,IF(J355&lt;=10,2,IF(J355&lt;=25,3,4))))</f>
        <v>0</v>
      </c>
      <c r="K356" s="41"/>
    </row>
    <row r="357" spans="2:11" ht="9.75" customHeight="1" x14ac:dyDescent="0.2">
      <c r="B357" s="38"/>
      <c r="C357" s="279" t="str">
        <f>"0:"</f>
        <v>0:</v>
      </c>
      <c r="D357" s="278" t="s">
        <v>932</v>
      </c>
      <c r="E357" s="40"/>
      <c r="F357" s="40"/>
      <c r="G357" s="40"/>
      <c r="H357" s="40"/>
      <c r="I357" s="40"/>
      <c r="J357" s="244"/>
      <c r="K357" s="41"/>
    </row>
    <row r="358" spans="2:11" ht="9.75" customHeight="1" x14ac:dyDescent="0.2">
      <c r="B358" s="38"/>
      <c r="C358" s="280" t="str">
        <f>"1:"</f>
        <v>1:</v>
      </c>
      <c r="D358" s="278" t="s">
        <v>933</v>
      </c>
      <c r="E358" s="40"/>
      <c r="F358" s="40"/>
      <c r="G358" s="40"/>
      <c r="H358" s="40"/>
      <c r="I358" s="40"/>
      <c r="J358" s="244"/>
      <c r="K358" s="41"/>
    </row>
    <row r="359" spans="2:11" ht="9.75" customHeight="1" x14ac:dyDescent="0.2">
      <c r="B359" s="38"/>
      <c r="C359" s="280" t="str">
        <f>"2:"</f>
        <v>2:</v>
      </c>
      <c r="D359" s="278" t="s">
        <v>935</v>
      </c>
      <c r="E359" s="40"/>
      <c r="F359" s="40"/>
      <c r="G359" s="40"/>
      <c r="H359" s="40"/>
      <c r="I359" s="40"/>
      <c r="J359" s="244"/>
      <c r="K359" s="41"/>
    </row>
    <row r="360" spans="2:11" ht="9.75" customHeight="1" x14ac:dyDescent="0.2">
      <c r="B360" s="38"/>
      <c r="C360" s="280" t="str">
        <f>"3:"</f>
        <v>3:</v>
      </c>
      <c r="D360" s="278" t="s">
        <v>937</v>
      </c>
      <c r="E360" s="40"/>
      <c r="F360" s="40"/>
      <c r="G360" s="40"/>
      <c r="H360" s="40"/>
      <c r="I360" s="40"/>
      <c r="J360" s="244"/>
      <c r="K360" s="41"/>
    </row>
    <row r="361" spans="2:11" ht="9.75" customHeight="1" x14ac:dyDescent="0.2">
      <c r="B361" s="38"/>
      <c r="C361" s="280" t="str">
        <f>"4:"</f>
        <v>4:</v>
      </c>
      <c r="D361" s="278" t="s">
        <v>938</v>
      </c>
      <c r="E361" s="40"/>
      <c r="F361" s="40"/>
      <c r="G361" s="40"/>
      <c r="H361" s="40"/>
      <c r="I361" s="40"/>
      <c r="J361" s="40"/>
      <c r="K361" s="41"/>
    </row>
    <row r="362" spans="2:11" x14ac:dyDescent="0.2">
      <c r="B362" s="38"/>
      <c r="C362" s="40" t="s">
        <v>257</v>
      </c>
      <c r="D362" s="40"/>
      <c r="E362" s="40"/>
      <c r="F362" s="40"/>
      <c r="G362" s="40"/>
      <c r="H362" s="40"/>
      <c r="I362" s="40"/>
      <c r="J362" s="266"/>
      <c r="K362" s="41"/>
    </row>
    <row r="363" spans="2:11" x14ac:dyDescent="0.2">
      <c r="B363" s="38"/>
      <c r="C363" s="40" t="s">
        <v>261</v>
      </c>
      <c r="D363" s="40"/>
      <c r="E363" s="40"/>
      <c r="F363" s="40"/>
      <c r="G363" s="40"/>
      <c r="H363" s="40"/>
      <c r="I363" s="40"/>
      <c r="J363" s="245" t="str">
        <f>IF(J362=$B$980,$A$980,IF(J362=$B$981,$A$981,IF(J362=$B$982,$A$982,IF(J362=$B$983,$A$983,IF(J362=$B$984,$A$984,"Not Calculated")))))</f>
        <v>Not Calculated</v>
      </c>
      <c r="K363" s="41"/>
    </row>
    <row r="364" spans="2:11" x14ac:dyDescent="0.2">
      <c r="B364" s="38"/>
      <c r="C364" s="40" t="s">
        <v>893</v>
      </c>
      <c r="D364" s="40"/>
      <c r="E364" s="40"/>
      <c r="F364" s="40"/>
      <c r="G364" s="40"/>
      <c r="H364" s="40"/>
      <c r="I364" s="40"/>
      <c r="J364" s="40"/>
      <c r="K364" s="41"/>
    </row>
    <row r="365" spans="2:11" ht="15" customHeight="1" x14ac:dyDescent="0.2">
      <c r="B365" s="38"/>
      <c r="C365" s="399"/>
      <c r="D365" s="400"/>
      <c r="E365" s="400"/>
      <c r="F365" s="400"/>
      <c r="G365" s="400"/>
      <c r="H365" s="400"/>
      <c r="I365" s="400"/>
      <c r="J365" s="401"/>
      <c r="K365" s="41"/>
    </row>
    <row r="366" spans="2:11" x14ac:dyDescent="0.2">
      <c r="B366" s="38"/>
      <c r="C366" s="40"/>
      <c r="D366" s="40"/>
      <c r="E366" s="40"/>
      <c r="F366" s="40"/>
      <c r="G366" s="40"/>
      <c r="H366" s="40"/>
      <c r="I366" s="40"/>
      <c r="J366" s="40"/>
      <c r="K366" s="41"/>
    </row>
    <row r="367" spans="2:11" x14ac:dyDescent="0.2">
      <c r="B367" s="38"/>
      <c r="C367" s="179" t="s">
        <v>888</v>
      </c>
      <c r="D367" s="40"/>
      <c r="E367" s="40"/>
      <c r="F367" s="40"/>
      <c r="G367" s="40"/>
      <c r="H367" s="40"/>
      <c r="I367" s="40"/>
      <c r="J367" s="245" t="str">
        <f>IF(OR(J356="Not Calculated",J363="Not Calculated")=TRUE,"Not Calculated",AVERAGE(J356,J363))</f>
        <v>Not Calculated</v>
      </c>
      <c r="K367" s="41"/>
    </row>
    <row r="368" spans="2:11" x14ac:dyDescent="0.2">
      <c r="B368" s="38"/>
      <c r="C368" s="40"/>
      <c r="D368" s="40"/>
      <c r="E368" s="40"/>
      <c r="F368" s="40"/>
      <c r="G368" s="40"/>
      <c r="H368" s="40"/>
      <c r="I368" s="40"/>
      <c r="J368" s="40"/>
      <c r="K368" s="41"/>
    </row>
    <row r="369" spans="2:11" x14ac:dyDescent="0.2">
      <c r="B369" s="38"/>
      <c r="C369" s="40"/>
      <c r="D369" s="40"/>
      <c r="E369" s="40"/>
      <c r="F369" s="40"/>
      <c r="G369" s="40"/>
      <c r="H369" s="40"/>
      <c r="I369" s="40"/>
      <c r="J369" s="40"/>
      <c r="K369" s="41"/>
    </row>
    <row r="370" spans="2:11" ht="16" x14ac:dyDescent="0.2">
      <c r="B370" s="38"/>
      <c r="C370" s="45" t="s">
        <v>863</v>
      </c>
      <c r="D370" s="40"/>
      <c r="E370" s="40"/>
      <c r="F370" s="40"/>
      <c r="G370" s="40"/>
      <c r="H370" s="40"/>
      <c r="I370" s="40"/>
      <c r="J370" s="40"/>
      <c r="K370" s="41"/>
    </row>
    <row r="371" spans="2:11" ht="15" customHeight="1" x14ac:dyDescent="0.2">
      <c r="B371" s="38"/>
      <c r="C371" s="380" t="s">
        <v>848</v>
      </c>
      <c r="D371" s="380"/>
      <c r="E371" s="380"/>
      <c r="F371" s="380"/>
      <c r="G371" s="380"/>
      <c r="H371" s="380"/>
      <c r="I371" s="380"/>
      <c r="J371" s="181"/>
      <c r="K371" s="41"/>
    </row>
    <row r="372" spans="2:11" x14ac:dyDescent="0.2">
      <c r="B372" s="38"/>
      <c r="C372" s="380"/>
      <c r="D372" s="380"/>
      <c r="E372" s="380"/>
      <c r="F372" s="380"/>
      <c r="G372" s="380"/>
      <c r="H372" s="380"/>
      <c r="I372" s="380"/>
      <c r="J372" s="264"/>
      <c r="K372" s="41"/>
    </row>
    <row r="373" spans="2:11" x14ac:dyDescent="0.2">
      <c r="B373" s="38"/>
      <c r="C373" s="40" t="s">
        <v>853</v>
      </c>
      <c r="D373" s="291"/>
      <c r="E373" s="291"/>
      <c r="F373" s="291"/>
      <c r="G373" s="291"/>
      <c r="H373" s="291"/>
      <c r="I373" s="291"/>
      <c r="J373" s="255">
        <f>'Baseline Health'!$G$102</f>
        <v>0</v>
      </c>
      <c r="K373" s="41"/>
    </row>
    <row r="374" spans="2:11" x14ac:dyDescent="0.2">
      <c r="B374" s="38"/>
      <c r="C374" s="40" t="s">
        <v>842</v>
      </c>
      <c r="D374" s="291"/>
      <c r="E374" s="291"/>
      <c r="F374" s="291"/>
      <c r="G374" s="291"/>
      <c r="H374" s="291"/>
      <c r="I374" s="291"/>
      <c r="J374" s="244" t="str">
        <f>IF('Baseline Health'!$G$102=0,"Not Calculated",100*J372/'Baseline Health'!$G$102)</f>
        <v>Not Calculated</v>
      </c>
      <c r="K374" s="41"/>
    </row>
    <row r="375" spans="2:11" x14ac:dyDescent="0.2">
      <c r="B375" s="38"/>
      <c r="C375" s="40" t="s">
        <v>260</v>
      </c>
      <c r="D375" s="40"/>
      <c r="E375" s="40"/>
      <c r="F375" s="40"/>
      <c r="G375" s="40"/>
      <c r="H375" s="40"/>
      <c r="I375" s="40"/>
      <c r="J375" s="251">
        <f>IF(J374&lt;=0,0,IF(J374&lt;=1,1,IF(J374&lt;=5,2,IF(J374&lt;=10,3,4))))</f>
        <v>4</v>
      </c>
      <c r="K375" s="41"/>
    </row>
    <row r="376" spans="2:11" ht="9.75" customHeight="1" x14ac:dyDescent="0.2">
      <c r="B376" s="38"/>
      <c r="C376" s="279" t="str">
        <f>"0:"</f>
        <v>0:</v>
      </c>
      <c r="D376" s="278" t="s">
        <v>932</v>
      </c>
      <c r="E376" s="291"/>
      <c r="F376" s="291"/>
      <c r="G376" s="291"/>
      <c r="H376" s="291"/>
      <c r="I376" s="291"/>
      <c r="J376" s="244"/>
      <c r="K376" s="41"/>
    </row>
    <row r="377" spans="2:11" ht="9.75" customHeight="1" x14ac:dyDescent="0.2">
      <c r="B377" s="38"/>
      <c r="C377" s="280" t="str">
        <f>"1:"</f>
        <v>1:</v>
      </c>
      <c r="D377" s="278" t="s">
        <v>934</v>
      </c>
      <c r="E377" s="291"/>
      <c r="F377" s="291"/>
      <c r="G377" s="291"/>
      <c r="H377" s="291"/>
      <c r="I377" s="291"/>
      <c r="J377" s="244"/>
      <c r="K377" s="41"/>
    </row>
    <row r="378" spans="2:11" ht="9.75" customHeight="1" x14ac:dyDescent="0.2">
      <c r="B378" s="38"/>
      <c r="C378" s="280" t="str">
        <f>"2:"</f>
        <v>2:</v>
      </c>
      <c r="D378" s="278" t="s">
        <v>933</v>
      </c>
      <c r="E378" s="291"/>
      <c r="F378" s="291"/>
      <c r="G378" s="291"/>
      <c r="H378" s="291"/>
      <c r="I378" s="291"/>
      <c r="J378" s="244"/>
      <c r="K378" s="41"/>
    </row>
    <row r="379" spans="2:11" ht="9.75" customHeight="1" x14ac:dyDescent="0.2">
      <c r="B379" s="38"/>
      <c r="C379" s="280" t="str">
        <f>"3:"</f>
        <v>3:</v>
      </c>
      <c r="D379" s="278" t="s">
        <v>935</v>
      </c>
      <c r="E379" s="291"/>
      <c r="F379" s="291"/>
      <c r="G379" s="291"/>
      <c r="H379" s="291"/>
      <c r="I379" s="291"/>
      <c r="J379" s="244"/>
      <c r="K379" s="41"/>
    </row>
    <row r="380" spans="2:11" ht="9.75" customHeight="1" x14ac:dyDescent="0.2">
      <c r="B380" s="38"/>
      <c r="C380" s="280" t="str">
        <f>"4:"</f>
        <v>4:</v>
      </c>
      <c r="D380" s="278" t="s">
        <v>936</v>
      </c>
      <c r="E380" s="40"/>
      <c r="F380" s="40"/>
      <c r="G380" s="40"/>
      <c r="H380" s="40"/>
      <c r="I380" s="40"/>
      <c r="J380" s="40"/>
      <c r="K380" s="41"/>
    </row>
    <row r="381" spans="2:11" x14ac:dyDescent="0.2">
      <c r="B381" s="38"/>
      <c r="C381" s="40" t="s">
        <v>85</v>
      </c>
      <c r="D381" s="40"/>
      <c r="E381" s="40"/>
      <c r="F381" s="40"/>
      <c r="G381" s="40"/>
      <c r="H381" s="40"/>
      <c r="I381" s="40"/>
      <c r="J381" s="252">
        <f>'Baseline Health'!G114</f>
        <v>7</v>
      </c>
      <c r="K381" s="41"/>
    </row>
    <row r="382" spans="2:11" x14ac:dyDescent="0.2">
      <c r="B382" s="38"/>
      <c r="C382" s="40" t="s">
        <v>297</v>
      </c>
      <c r="D382" s="40"/>
      <c r="E382" s="40"/>
      <c r="F382" s="40"/>
      <c r="G382" s="40"/>
      <c r="H382" s="40"/>
      <c r="I382" s="40"/>
      <c r="J382" s="266"/>
      <c r="K382" s="41"/>
    </row>
    <row r="383" spans="2:11" x14ac:dyDescent="0.2">
      <c r="B383" s="38"/>
      <c r="C383" s="40" t="s">
        <v>261</v>
      </c>
      <c r="D383" s="40"/>
      <c r="E383" s="40"/>
      <c r="F383" s="40"/>
      <c r="G383" s="40"/>
      <c r="H383" s="40"/>
      <c r="I383" s="40"/>
      <c r="J383" s="248">
        <f>IF((J382-J381)&lt;1,0,IF((J382-J381)&lt;3,1,IF((J382-J381)&lt;5,2,IF((J382-J381)&lt;7,3,4))))</f>
        <v>0</v>
      </c>
      <c r="K383" s="41"/>
    </row>
    <row r="384" spans="2:11" x14ac:dyDescent="0.2">
      <c r="B384" s="38"/>
      <c r="C384" s="40" t="s">
        <v>893</v>
      </c>
      <c r="D384" s="40"/>
      <c r="E384" s="40"/>
      <c r="F384" s="40"/>
      <c r="G384" s="40"/>
      <c r="H384" s="40"/>
      <c r="I384" s="40"/>
      <c r="J384" s="40"/>
      <c r="K384" s="41"/>
    </row>
    <row r="385" spans="2:11" x14ac:dyDescent="0.2">
      <c r="B385" s="38"/>
      <c r="C385" s="399"/>
      <c r="D385" s="400"/>
      <c r="E385" s="400"/>
      <c r="F385" s="400"/>
      <c r="G385" s="400"/>
      <c r="H385" s="400"/>
      <c r="I385" s="400"/>
      <c r="J385" s="401"/>
      <c r="K385" s="41"/>
    </row>
    <row r="386" spans="2:11" x14ac:dyDescent="0.2">
      <c r="B386" s="38"/>
      <c r="C386" s="40"/>
      <c r="D386" s="40"/>
      <c r="E386" s="40"/>
      <c r="F386" s="40"/>
      <c r="G386" s="40"/>
      <c r="H386" s="40"/>
      <c r="I386" s="40"/>
      <c r="J386" s="40"/>
      <c r="K386" s="41"/>
    </row>
    <row r="387" spans="2:11" x14ac:dyDescent="0.2">
      <c r="B387" s="38"/>
      <c r="C387" s="179" t="s">
        <v>889</v>
      </c>
      <c r="D387" s="40"/>
      <c r="E387" s="40"/>
      <c r="F387" s="40"/>
      <c r="G387" s="40"/>
      <c r="H387" s="40"/>
      <c r="I387" s="40"/>
      <c r="J387" s="245">
        <f>IF(OR(J375="Not Calculated",J383="Not Calculated")=TRUE,"Not Calculated",AVERAGE(J375,J383))</f>
        <v>2</v>
      </c>
      <c r="K387" s="41"/>
    </row>
    <row r="388" spans="2:11" x14ac:dyDescent="0.2">
      <c r="B388" s="38"/>
      <c r="C388" s="40"/>
      <c r="D388" s="40"/>
      <c r="E388" s="40"/>
      <c r="F388" s="40"/>
      <c r="G388" s="40"/>
      <c r="H388" s="40"/>
      <c r="I388" s="40"/>
      <c r="J388" s="40"/>
      <c r="K388" s="41"/>
    </row>
    <row r="389" spans="2:11" x14ac:dyDescent="0.2">
      <c r="B389" s="38"/>
      <c r="C389" s="40"/>
      <c r="D389" s="40"/>
      <c r="E389" s="40"/>
      <c r="F389" s="40"/>
      <c r="G389" s="40"/>
      <c r="H389" s="40"/>
      <c r="I389" s="40"/>
      <c r="J389" s="40"/>
      <c r="K389" s="41"/>
    </row>
    <row r="390" spans="2:11" ht="16" x14ac:dyDescent="0.2">
      <c r="B390" s="38"/>
      <c r="C390" s="45" t="s">
        <v>860</v>
      </c>
      <c r="D390" s="40"/>
      <c r="E390" s="40"/>
      <c r="F390" s="40"/>
      <c r="G390" s="40"/>
      <c r="H390" s="40"/>
      <c r="I390" s="40"/>
      <c r="J390" s="40"/>
      <c r="K390" s="41"/>
    </row>
    <row r="391" spans="2:11" x14ac:dyDescent="0.2">
      <c r="B391" s="38"/>
      <c r="C391" s="380" t="s">
        <v>849</v>
      </c>
      <c r="D391" s="380"/>
      <c r="E391" s="380"/>
      <c r="F391" s="380"/>
      <c r="G391" s="380"/>
      <c r="H391" s="380"/>
      <c r="I391" s="380"/>
      <c r="J391" s="181"/>
      <c r="K391" s="41"/>
    </row>
    <row r="392" spans="2:11" x14ac:dyDescent="0.2">
      <c r="B392" s="38"/>
      <c r="C392" s="380"/>
      <c r="D392" s="380"/>
      <c r="E392" s="380"/>
      <c r="F392" s="380"/>
      <c r="G392" s="380"/>
      <c r="H392" s="380"/>
      <c r="I392" s="380"/>
      <c r="J392" s="264"/>
      <c r="K392" s="41"/>
    </row>
    <row r="393" spans="2:11" x14ac:dyDescent="0.2">
      <c r="B393" s="38"/>
      <c r="C393" s="40" t="s">
        <v>853</v>
      </c>
      <c r="D393" s="291"/>
      <c r="E393" s="291"/>
      <c r="F393" s="291"/>
      <c r="G393" s="291"/>
      <c r="H393" s="291"/>
      <c r="I393" s="291"/>
      <c r="J393" s="255">
        <f>'Baseline Health'!$G$102</f>
        <v>0</v>
      </c>
      <c r="K393" s="41"/>
    </row>
    <row r="394" spans="2:11" ht="15" customHeight="1" x14ac:dyDescent="0.2">
      <c r="B394" s="38"/>
      <c r="C394" s="40" t="s">
        <v>850</v>
      </c>
      <c r="D394" s="291"/>
      <c r="E394" s="291"/>
      <c r="F394" s="291"/>
      <c r="G394" s="291"/>
      <c r="H394" s="291"/>
      <c r="I394" s="291"/>
      <c r="J394" s="244" t="str">
        <f>IF('Baseline Health'!$G$102=0,"Not Calculated",100*J392/'Baseline Health'!$G$102)</f>
        <v>Not Calculated</v>
      </c>
      <c r="K394" s="41"/>
    </row>
    <row r="395" spans="2:11" ht="15" customHeight="1" x14ac:dyDescent="0.2">
      <c r="B395" s="38"/>
      <c r="C395" s="40" t="s">
        <v>260</v>
      </c>
      <c r="D395" s="40"/>
      <c r="E395" s="40"/>
      <c r="F395" s="40"/>
      <c r="G395" s="40"/>
      <c r="H395" s="40"/>
      <c r="I395" s="40"/>
      <c r="J395" s="43">
        <f>IF(J394&lt;=0,0,IF(J394&lt;=1,1,IF(J394&lt;=5,2,IF(J394&lt;=10,3,4))))</f>
        <v>4</v>
      </c>
      <c r="K395" s="41"/>
    </row>
    <row r="396" spans="2:11" ht="9.75" customHeight="1" x14ac:dyDescent="0.2">
      <c r="B396" s="38"/>
      <c r="C396" s="279" t="str">
        <f>"0:"</f>
        <v>0:</v>
      </c>
      <c r="D396" s="278" t="s">
        <v>932</v>
      </c>
      <c r="E396" s="291"/>
      <c r="F396" s="291"/>
      <c r="G396" s="291"/>
      <c r="H396" s="291"/>
      <c r="I396" s="291"/>
      <c r="J396" s="244"/>
      <c r="K396" s="41"/>
    </row>
    <row r="397" spans="2:11" ht="9.75" customHeight="1" x14ac:dyDescent="0.2">
      <c r="B397" s="38"/>
      <c r="C397" s="280" t="str">
        <f>"1:"</f>
        <v>1:</v>
      </c>
      <c r="D397" s="278" t="s">
        <v>934</v>
      </c>
      <c r="E397" s="291"/>
      <c r="F397" s="291"/>
      <c r="G397" s="291"/>
      <c r="H397" s="291"/>
      <c r="I397" s="291"/>
      <c r="J397" s="244"/>
      <c r="K397" s="41"/>
    </row>
    <row r="398" spans="2:11" ht="9.75" customHeight="1" x14ac:dyDescent="0.2">
      <c r="B398" s="38"/>
      <c r="C398" s="280" t="str">
        <f>"2:"</f>
        <v>2:</v>
      </c>
      <c r="D398" s="278" t="s">
        <v>933</v>
      </c>
      <c r="E398" s="291"/>
      <c r="F398" s="291"/>
      <c r="G398" s="291"/>
      <c r="H398" s="291"/>
      <c r="I398" s="291"/>
      <c r="J398" s="244"/>
      <c r="K398" s="41"/>
    </row>
    <row r="399" spans="2:11" ht="9.75" customHeight="1" x14ac:dyDescent="0.2">
      <c r="B399" s="38"/>
      <c r="C399" s="280" t="str">
        <f>"3:"</f>
        <v>3:</v>
      </c>
      <c r="D399" s="278" t="s">
        <v>935</v>
      </c>
      <c r="E399" s="291"/>
      <c r="F399" s="291"/>
      <c r="G399" s="291"/>
      <c r="H399" s="291"/>
      <c r="I399" s="291"/>
      <c r="J399" s="244"/>
      <c r="K399" s="41"/>
    </row>
    <row r="400" spans="2:11" ht="9.75" customHeight="1" x14ac:dyDescent="0.2">
      <c r="B400" s="38"/>
      <c r="C400" s="280" t="str">
        <f>"4:"</f>
        <v>4:</v>
      </c>
      <c r="D400" s="278" t="s">
        <v>936</v>
      </c>
      <c r="E400" s="40"/>
      <c r="F400" s="40"/>
      <c r="G400" s="40"/>
      <c r="H400" s="40"/>
      <c r="I400" s="40"/>
      <c r="J400" s="40"/>
      <c r="K400" s="41"/>
    </row>
    <row r="401" spans="2:11" x14ac:dyDescent="0.2">
      <c r="B401" s="38"/>
      <c r="C401" s="40" t="s">
        <v>893</v>
      </c>
      <c r="D401" s="40"/>
      <c r="E401" s="40"/>
      <c r="F401" s="40"/>
      <c r="G401" s="40"/>
      <c r="H401" s="40"/>
      <c r="I401" s="40"/>
      <c r="J401" s="40"/>
      <c r="K401" s="41"/>
    </row>
    <row r="402" spans="2:11" ht="15" customHeight="1" x14ac:dyDescent="0.2">
      <c r="B402" s="38"/>
      <c r="C402" s="399"/>
      <c r="D402" s="400"/>
      <c r="E402" s="400"/>
      <c r="F402" s="400"/>
      <c r="G402" s="400"/>
      <c r="H402" s="400"/>
      <c r="I402" s="400"/>
      <c r="J402" s="401"/>
      <c r="K402" s="41"/>
    </row>
    <row r="403" spans="2:11" x14ac:dyDescent="0.2">
      <c r="B403" s="38"/>
      <c r="C403" s="40"/>
      <c r="D403" s="40"/>
      <c r="E403" s="40"/>
      <c r="F403" s="40"/>
      <c r="G403" s="40"/>
      <c r="H403" s="40"/>
      <c r="I403" s="40"/>
      <c r="J403" s="40"/>
      <c r="K403" s="41"/>
    </row>
    <row r="404" spans="2:11" x14ac:dyDescent="0.2">
      <c r="B404" s="38"/>
      <c r="C404" s="179" t="s">
        <v>890</v>
      </c>
      <c r="D404" s="40"/>
      <c r="E404" s="40"/>
      <c r="F404" s="40"/>
      <c r="G404" s="40"/>
      <c r="H404" s="40"/>
      <c r="I404" s="40"/>
      <c r="J404" s="245">
        <f>J395</f>
        <v>4</v>
      </c>
      <c r="K404" s="41"/>
    </row>
    <row r="405" spans="2:11" x14ac:dyDescent="0.2">
      <c r="B405" s="38"/>
      <c r="C405" s="40"/>
      <c r="D405" s="40"/>
      <c r="E405" s="40"/>
      <c r="F405" s="40"/>
      <c r="G405" s="40"/>
      <c r="H405" s="40"/>
      <c r="I405" s="40"/>
      <c r="J405" s="40"/>
      <c r="K405" s="41"/>
    </row>
    <row r="406" spans="2:11" x14ac:dyDescent="0.2">
      <c r="B406" s="38"/>
      <c r="C406" s="40"/>
      <c r="D406" s="40"/>
      <c r="E406" s="40"/>
      <c r="F406" s="40"/>
      <c r="G406" s="40"/>
      <c r="H406" s="40"/>
      <c r="I406" s="40"/>
      <c r="J406" s="40"/>
      <c r="K406" s="41"/>
    </row>
    <row r="407" spans="2:11" ht="16" x14ac:dyDescent="0.2">
      <c r="B407" s="38"/>
      <c r="C407" s="45" t="s">
        <v>861</v>
      </c>
      <c r="D407" s="40"/>
      <c r="E407" s="40"/>
      <c r="F407" s="40"/>
      <c r="G407" s="40"/>
      <c r="H407" s="40"/>
      <c r="I407" s="40"/>
      <c r="J407" s="40"/>
      <c r="K407" s="41"/>
    </row>
    <row r="408" spans="2:11" x14ac:dyDescent="0.2">
      <c r="B408" s="38"/>
      <c r="C408" s="40" t="s">
        <v>298</v>
      </c>
      <c r="D408" s="40"/>
      <c r="E408" s="40"/>
      <c r="F408" s="40"/>
      <c r="G408" s="40"/>
      <c r="H408" s="40"/>
      <c r="I408" s="40"/>
      <c r="J408" s="269"/>
      <c r="K408" s="41"/>
    </row>
    <row r="409" spans="2:11" x14ac:dyDescent="0.2">
      <c r="B409" s="38"/>
      <c r="C409" s="40" t="s">
        <v>260</v>
      </c>
      <c r="D409" s="40"/>
      <c r="E409" s="40"/>
      <c r="F409" s="40"/>
      <c r="G409" s="40"/>
      <c r="H409" s="40"/>
      <c r="I409" s="40"/>
      <c r="J409" s="253">
        <f>IF(J408&lt;=0,0,IF(J408&lt;=(J161*0.01),1,IF(J408&lt;=(J161*0.05),2,IF(J408&lt;=(J161*0.1),3,4))))</f>
        <v>0</v>
      </c>
      <c r="K409" s="41"/>
    </row>
    <row r="410" spans="2:11" ht="9.75" customHeight="1" x14ac:dyDescent="0.2">
      <c r="B410" s="38"/>
      <c r="C410" s="279" t="str">
        <f>"0:"</f>
        <v>0:</v>
      </c>
      <c r="D410" s="278" t="s">
        <v>939</v>
      </c>
      <c r="E410" s="40"/>
      <c r="F410" s="40"/>
      <c r="G410" s="40"/>
      <c r="H410" s="40"/>
      <c r="I410" s="40"/>
      <c r="J410" s="282"/>
      <c r="K410" s="41"/>
    </row>
    <row r="411" spans="2:11" ht="9.75" customHeight="1" x14ac:dyDescent="0.2">
      <c r="B411" s="38"/>
      <c r="C411" s="280" t="str">
        <f>"1:"</f>
        <v>1:</v>
      </c>
      <c r="D411" s="278" t="s">
        <v>940</v>
      </c>
      <c r="E411" s="40"/>
      <c r="F411" s="40"/>
      <c r="G411" s="40"/>
      <c r="H411" s="40"/>
      <c r="I411" s="40"/>
      <c r="J411" s="282"/>
      <c r="K411" s="41"/>
    </row>
    <row r="412" spans="2:11" ht="9.75" customHeight="1" x14ac:dyDescent="0.2">
      <c r="B412" s="38"/>
      <c r="C412" s="280" t="str">
        <f>"2:"</f>
        <v>2:</v>
      </c>
      <c r="D412" s="278" t="s">
        <v>941</v>
      </c>
      <c r="E412" s="40"/>
      <c r="F412" s="40"/>
      <c r="G412" s="40"/>
      <c r="H412" s="40"/>
      <c r="I412" s="40"/>
      <c r="J412" s="282"/>
      <c r="K412" s="41"/>
    </row>
    <row r="413" spans="2:11" ht="9.75" customHeight="1" x14ac:dyDescent="0.2">
      <c r="B413" s="38"/>
      <c r="C413" s="280" t="str">
        <f>"3:"</f>
        <v>3:</v>
      </c>
      <c r="D413" s="278" t="s">
        <v>942</v>
      </c>
      <c r="E413" s="40"/>
      <c r="F413" s="40"/>
      <c r="G413" s="40"/>
      <c r="H413" s="40"/>
      <c r="I413" s="40"/>
      <c r="J413" s="282"/>
      <c r="K413" s="41"/>
    </row>
    <row r="414" spans="2:11" ht="9.75" customHeight="1" x14ac:dyDescent="0.2">
      <c r="B414" s="38"/>
      <c r="C414" s="280" t="str">
        <f>"4:"</f>
        <v>4:</v>
      </c>
      <c r="D414" s="278" t="s">
        <v>943</v>
      </c>
      <c r="E414" s="40"/>
      <c r="F414" s="40"/>
      <c r="G414" s="40"/>
      <c r="H414" s="40"/>
      <c r="I414" s="40"/>
      <c r="J414" s="40"/>
      <c r="K414" s="41"/>
    </row>
    <row r="415" spans="2:11" x14ac:dyDescent="0.2">
      <c r="B415" s="38"/>
      <c r="C415" s="40" t="s">
        <v>893</v>
      </c>
      <c r="D415" s="40"/>
      <c r="E415" s="40"/>
      <c r="F415" s="40"/>
      <c r="G415" s="40"/>
      <c r="H415" s="40"/>
      <c r="I415" s="40"/>
      <c r="J415" s="40"/>
      <c r="K415" s="41"/>
    </row>
    <row r="416" spans="2:11" ht="15" customHeight="1" x14ac:dyDescent="0.2">
      <c r="B416" s="38"/>
      <c r="C416" s="399"/>
      <c r="D416" s="400"/>
      <c r="E416" s="400"/>
      <c r="F416" s="400"/>
      <c r="G416" s="400"/>
      <c r="H416" s="400"/>
      <c r="I416" s="400"/>
      <c r="J416" s="401"/>
      <c r="K416" s="41"/>
    </row>
    <row r="417" spans="2:11" x14ac:dyDescent="0.2">
      <c r="B417" s="38"/>
      <c r="C417" s="40"/>
      <c r="D417" s="40"/>
      <c r="E417" s="40"/>
      <c r="F417" s="40"/>
      <c r="G417" s="40"/>
      <c r="H417" s="40"/>
      <c r="I417" s="40"/>
      <c r="J417" s="40"/>
      <c r="K417" s="41"/>
    </row>
    <row r="418" spans="2:11" x14ac:dyDescent="0.2">
      <c r="B418" s="38"/>
      <c r="C418" s="179" t="s">
        <v>891</v>
      </c>
      <c r="D418" s="40"/>
      <c r="E418" s="40"/>
      <c r="F418" s="40"/>
      <c r="G418" s="40"/>
      <c r="H418" s="40"/>
      <c r="I418" s="40"/>
      <c r="J418" s="245">
        <f>J409</f>
        <v>0</v>
      </c>
      <c r="K418" s="41"/>
    </row>
    <row r="419" spans="2:11" x14ac:dyDescent="0.2">
      <c r="B419" s="38"/>
      <c r="C419" s="40"/>
      <c r="D419" s="40"/>
      <c r="E419" s="40"/>
      <c r="F419" s="40"/>
      <c r="G419" s="40"/>
      <c r="H419" s="40"/>
      <c r="I419" s="40"/>
      <c r="J419" s="40"/>
      <c r="K419" s="41"/>
    </row>
    <row r="420" spans="2:11" x14ac:dyDescent="0.2">
      <c r="B420" s="38"/>
      <c r="C420" s="410" t="s">
        <v>881</v>
      </c>
      <c r="D420" s="410"/>
      <c r="E420" s="410"/>
      <c r="F420" s="410"/>
      <c r="G420" s="410"/>
      <c r="H420" s="410"/>
      <c r="I420" s="410"/>
      <c r="J420" s="40"/>
      <c r="K420" s="41"/>
    </row>
    <row r="421" spans="2:11" x14ac:dyDescent="0.2">
      <c r="B421" s="38"/>
      <c r="C421" s="410"/>
      <c r="D421" s="410"/>
      <c r="E421" s="410"/>
      <c r="F421" s="410"/>
      <c r="G421" s="410"/>
      <c r="H421" s="410"/>
      <c r="I421" s="410"/>
      <c r="J421" s="244" t="str">
        <f>IF(OR(J288="Not Calculated",J307="Not Calculated",J326="Not Calculated",J349="Not Calculated",J367="Not Calculated",J387="Not Calculated",J404="Not Calculated",J418="Not Calculated")=TRUE,"Not Calculated",AVERAGE(J288,J307,J326,J349,J367,J387,J404,J418))</f>
        <v>Not Calculated</v>
      </c>
      <c r="K421" s="41"/>
    </row>
    <row r="422" spans="2:11" ht="16" thickBot="1" x14ac:dyDescent="0.25">
      <c r="B422" s="46"/>
      <c r="C422" s="47"/>
      <c r="D422" s="47"/>
      <c r="E422" s="47"/>
      <c r="F422" s="47"/>
      <c r="G422" s="47"/>
      <c r="H422" s="47"/>
      <c r="I422" s="47"/>
      <c r="J422" s="47"/>
      <c r="K422" s="49"/>
    </row>
    <row r="423" spans="2:11" ht="16" thickBot="1" x14ac:dyDescent="0.25"/>
    <row r="424" spans="2:11" x14ac:dyDescent="0.2">
      <c r="B424" s="33"/>
      <c r="C424" s="34"/>
      <c r="D424" s="34"/>
      <c r="E424" s="34"/>
      <c r="F424" s="34"/>
      <c r="G424" s="34"/>
      <c r="H424" s="34"/>
      <c r="I424" s="34"/>
      <c r="J424" s="34"/>
      <c r="K424" s="37"/>
    </row>
    <row r="425" spans="2:11" ht="21" x14ac:dyDescent="0.25">
      <c r="B425" s="38"/>
      <c r="C425" s="40"/>
      <c r="D425" s="40"/>
      <c r="E425" s="40"/>
      <c r="F425" s="40"/>
      <c r="G425" s="172" t="s">
        <v>230</v>
      </c>
      <c r="H425" s="40"/>
      <c r="I425" s="40"/>
      <c r="J425" s="40"/>
      <c r="K425" s="41"/>
    </row>
    <row r="426" spans="2:11" x14ac:dyDescent="0.2">
      <c r="B426" s="38"/>
      <c r="C426" s="40"/>
      <c r="D426" s="40"/>
      <c r="E426" s="40"/>
      <c r="F426" s="40"/>
      <c r="G426" s="40"/>
      <c r="H426" s="40"/>
      <c r="I426" s="40"/>
      <c r="J426" s="40"/>
      <c r="K426" s="41"/>
    </row>
    <row r="427" spans="2:11" ht="16" x14ac:dyDescent="0.2">
      <c r="B427" s="38"/>
      <c r="C427" s="45" t="s">
        <v>299</v>
      </c>
      <c r="D427" s="40"/>
      <c r="E427" s="40"/>
      <c r="F427" s="40"/>
      <c r="G427" s="40"/>
      <c r="H427" s="40"/>
      <c r="I427" s="40"/>
      <c r="J427" s="40"/>
      <c r="K427" s="41"/>
    </row>
    <row r="428" spans="2:11" x14ac:dyDescent="0.2">
      <c r="B428" s="38"/>
      <c r="C428" s="40" t="s">
        <v>300</v>
      </c>
      <c r="D428" s="40"/>
      <c r="E428" s="40"/>
      <c r="F428" s="40"/>
      <c r="G428" s="40"/>
      <c r="H428" s="40"/>
      <c r="I428" s="40"/>
      <c r="J428" s="270"/>
      <c r="K428" s="41"/>
    </row>
    <row r="429" spans="2:11" x14ac:dyDescent="0.2">
      <c r="B429" s="38"/>
      <c r="C429" s="40" t="s">
        <v>260</v>
      </c>
      <c r="D429" s="40"/>
      <c r="E429" s="40"/>
      <c r="F429" s="40"/>
      <c r="G429" s="40"/>
      <c r="H429" s="40"/>
      <c r="I429" s="40"/>
      <c r="J429" s="248">
        <f>IF(J428&lt;=0,0,IF(J428&lt;=1,1,IF(J428&lt;=5,2,IF(J428&lt;=10,3,4))))</f>
        <v>0</v>
      </c>
      <c r="K429" s="41"/>
    </row>
    <row r="430" spans="2:11" s="98" customFormat="1" ht="9.75" customHeight="1" x14ac:dyDescent="0.2">
      <c r="B430" s="288"/>
      <c r="C430" s="279" t="str">
        <f>"0:"</f>
        <v>0:</v>
      </c>
      <c r="D430" s="290" t="s">
        <v>944</v>
      </c>
      <c r="E430" s="245"/>
      <c r="F430" s="245"/>
      <c r="G430" s="245"/>
      <c r="H430" s="245"/>
      <c r="I430" s="245"/>
      <c r="J430" s="245"/>
      <c r="K430" s="289"/>
    </row>
    <row r="431" spans="2:11" s="98" customFormat="1" ht="9.75" customHeight="1" x14ac:dyDescent="0.2">
      <c r="B431" s="288"/>
      <c r="C431" s="280" t="str">
        <f>"1:"</f>
        <v>1:</v>
      </c>
      <c r="D431" s="290" t="s">
        <v>945</v>
      </c>
      <c r="E431" s="245"/>
      <c r="F431" s="245"/>
      <c r="G431" s="245"/>
      <c r="H431" s="245"/>
      <c r="I431" s="245"/>
      <c r="J431" s="245"/>
      <c r="K431" s="289"/>
    </row>
    <row r="432" spans="2:11" s="98" customFormat="1" ht="9.75" customHeight="1" x14ac:dyDescent="0.2">
      <c r="B432" s="288"/>
      <c r="C432" s="280" t="str">
        <f>"2:"</f>
        <v>2:</v>
      </c>
      <c r="D432" s="290" t="s">
        <v>946</v>
      </c>
      <c r="E432" s="245"/>
      <c r="F432" s="245"/>
      <c r="G432" s="245"/>
      <c r="H432" s="245"/>
      <c r="I432" s="245"/>
      <c r="J432" s="245"/>
      <c r="K432" s="289"/>
    </row>
    <row r="433" spans="2:11" s="98" customFormat="1" ht="9.75" customHeight="1" x14ac:dyDescent="0.2">
      <c r="B433" s="288"/>
      <c r="C433" s="280" t="str">
        <f>"3:"</f>
        <v>3:</v>
      </c>
      <c r="D433" s="290" t="s">
        <v>947</v>
      </c>
      <c r="E433" s="245"/>
      <c r="F433" s="245"/>
      <c r="G433" s="245"/>
      <c r="H433" s="245"/>
      <c r="I433" s="245"/>
      <c r="J433" s="245"/>
      <c r="K433" s="289"/>
    </row>
    <row r="434" spans="2:11" s="98" customFormat="1" ht="9.75" customHeight="1" x14ac:dyDescent="0.2">
      <c r="B434" s="288"/>
      <c r="C434" s="280" t="str">
        <f>"4:"</f>
        <v>4:</v>
      </c>
      <c r="D434" s="290" t="s">
        <v>948</v>
      </c>
      <c r="E434" s="245"/>
      <c r="F434" s="245"/>
      <c r="G434" s="245"/>
      <c r="H434" s="245"/>
      <c r="I434" s="245"/>
      <c r="J434" s="247"/>
      <c r="K434" s="289"/>
    </row>
    <row r="435" spans="2:11" x14ac:dyDescent="0.2">
      <c r="B435" s="38"/>
      <c r="C435" s="40" t="s">
        <v>257</v>
      </c>
      <c r="D435" s="40"/>
      <c r="E435" s="40"/>
      <c r="F435" s="40"/>
      <c r="G435" s="40"/>
      <c r="H435" s="40"/>
      <c r="I435" s="40"/>
      <c r="J435" s="266"/>
      <c r="K435" s="41"/>
    </row>
    <row r="436" spans="2:11" x14ac:dyDescent="0.2">
      <c r="B436" s="38"/>
      <c r="C436" s="40" t="s">
        <v>261</v>
      </c>
      <c r="D436" s="40"/>
      <c r="E436" s="40"/>
      <c r="F436" s="40"/>
      <c r="G436" s="40"/>
      <c r="H436" s="40"/>
      <c r="I436" s="40"/>
      <c r="J436" s="245" t="str">
        <f>IF(J435=$B$973,$A$973,IF(J435=$B$974,$A$974,IF(J435=$B$975,$A$975,IF(J435=$B$976,$A$976,IF(J435=$B$977,$A$977,"Not Calculated")))))</f>
        <v>Not Calculated</v>
      </c>
      <c r="K436" s="41"/>
    </row>
    <row r="437" spans="2:11" x14ac:dyDescent="0.2">
      <c r="B437" s="38"/>
      <c r="C437" s="40" t="s">
        <v>893</v>
      </c>
      <c r="D437" s="40"/>
      <c r="E437" s="40"/>
      <c r="F437" s="40"/>
      <c r="G437" s="40"/>
      <c r="H437" s="40"/>
      <c r="I437" s="40"/>
      <c r="J437" s="40"/>
      <c r="K437" s="41"/>
    </row>
    <row r="438" spans="2:11" x14ac:dyDescent="0.2">
      <c r="B438" s="38"/>
      <c r="C438" s="399"/>
      <c r="D438" s="400"/>
      <c r="E438" s="400"/>
      <c r="F438" s="400"/>
      <c r="G438" s="400"/>
      <c r="H438" s="400"/>
      <c r="I438" s="400"/>
      <c r="J438" s="401"/>
      <c r="K438" s="41"/>
    </row>
    <row r="439" spans="2:11" x14ac:dyDescent="0.2">
      <c r="B439" s="38"/>
      <c r="C439" s="40"/>
      <c r="D439" s="40"/>
      <c r="E439" s="40"/>
      <c r="F439" s="40"/>
      <c r="G439" s="40"/>
      <c r="H439" s="40"/>
      <c r="I439" s="40"/>
      <c r="J439" s="40"/>
      <c r="K439" s="41"/>
    </row>
    <row r="440" spans="2:11" x14ac:dyDescent="0.2">
      <c r="B440" s="38"/>
      <c r="C440" s="179" t="s">
        <v>301</v>
      </c>
      <c r="D440" s="40"/>
      <c r="E440" s="40"/>
      <c r="F440" s="40"/>
      <c r="G440" s="40"/>
      <c r="H440" s="40"/>
      <c r="I440" s="40"/>
      <c r="J440" s="245" t="str">
        <f>IF(OR(J429="Not Calculated",J436="Not Calculated")=TRUE,"Not Calculated",AVERAGE(J429,J436))</f>
        <v>Not Calculated</v>
      </c>
      <c r="K440" s="41"/>
    </row>
    <row r="441" spans="2:11" x14ac:dyDescent="0.2">
      <c r="B441" s="38"/>
      <c r="C441" s="40"/>
      <c r="D441" s="40"/>
      <c r="E441" s="40"/>
      <c r="F441" s="40"/>
      <c r="G441" s="40"/>
      <c r="H441" s="40"/>
      <c r="I441" s="40"/>
      <c r="J441" s="40"/>
      <c r="K441" s="41"/>
    </row>
    <row r="442" spans="2:11" x14ac:dyDescent="0.2">
      <c r="B442" s="38"/>
      <c r="C442" s="40"/>
      <c r="D442" s="40"/>
      <c r="E442" s="40"/>
      <c r="F442" s="40"/>
      <c r="G442" s="40"/>
      <c r="H442" s="40"/>
      <c r="I442" s="40"/>
      <c r="J442" s="40"/>
      <c r="K442" s="41"/>
    </row>
    <row r="443" spans="2:11" ht="16" x14ac:dyDescent="0.2">
      <c r="B443" s="38"/>
      <c r="C443" s="45" t="s">
        <v>303</v>
      </c>
      <c r="D443" s="40"/>
      <c r="E443" s="40"/>
      <c r="F443" s="40"/>
      <c r="G443" s="40"/>
      <c r="H443" s="40"/>
      <c r="I443" s="40"/>
      <c r="J443" s="40"/>
      <c r="K443" s="41"/>
    </row>
    <row r="444" spans="2:11" ht="15" customHeight="1" x14ac:dyDescent="0.2">
      <c r="B444" s="38"/>
      <c r="C444" s="380" t="s">
        <v>305</v>
      </c>
      <c r="D444" s="380"/>
      <c r="E444" s="380"/>
      <c r="F444" s="380"/>
      <c r="G444" s="380"/>
      <c r="H444" s="380"/>
      <c r="I444" s="380"/>
      <c r="J444" s="40"/>
      <c r="K444" s="41"/>
    </row>
    <row r="445" spans="2:11" x14ac:dyDescent="0.2">
      <c r="B445" s="38"/>
      <c r="C445" s="380"/>
      <c r="D445" s="380"/>
      <c r="E445" s="380"/>
      <c r="F445" s="380"/>
      <c r="G445" s="380"/>
      <c r="H445" s="380"/>
      <c r="I445" s="380"/>
      <c r="J445" s="270"/>
      <c r="K445" s="41"/>
    </row>
    <row r="446" spans="2:11" x14ac:dyDescent="0.2">
      <c r="B446" s="38"/>
      <c r="C446" s="40" t="s">
        <v>260</v>
      </c>
      <c r="D446" s="40"/>
      <c r="E446" s="40"/>
      <c r="F446" s="40"/>
      <c r="G446" s="40"/>
      <c r="H446" s="40"/>
      <c r="I446" s="40"/>
      <c r="J446" s="248">
        <f>IF(J445&lt;=0,0,IF(J445&lt;=1,1,IF(J445&lt;=5,2,IF(J445&lt;=10,3,4))))</f>
        <v>0</v>
      </c>
      <c r="K446" s="41"/>
    </row>
    <row r="447" spans="2:11" ht="9.75" customHeight="1" x14ac:dyDescent="0.2">
      <c r="B447" s="38"/>
      <c r="C447" s="279" t="str">
        <f>"0:"</f>
        <v>0:</v>
      </c>
      <c r="D447" s="278" t="s">
        <v>944</v>
      </c>
      <c r="E447" s="40"/>
      <c r="F447" s="40"/>
      <c r="G447" s="40"/>
      <c r="H447" s="40"/>
      <c r="I447" s="40"/>
      <c r="J447" s="245"/>
      <c r="K447" s="41"/>
    </row>
    <row r="448" spans="2:11" ht="9.75" customHeight="1" x14ac:dyDescent="0.2">
      <c r="B448" s="38"/>
      <c r="C448" s="280" t="str">
        <f>"1:"</f>
        <v>1:</v>
      </c>
      <c r="D448" s="278" t="s">
        <v>945</v>
      </c>
      <c r="E448" s="40"/>
      <c r="F448" s="40"/>
      <c r="G448" s="40"/>
      <c r="H448" s="40"/>
      <c r="I448" s="40"/>
      <c r="J448" s="245"/>
      <c r="K448" s="41"/>
    </row>
    <row r="449" spans="2:11" ht="9.75" customHeight="1" x14ac:dyDescent="0.2">
      <c r="B449" s="38"/>
      <c r="C449" s="280" t="str">
        <f>"2:"</f>
        <v>2:</v>
      </c>
      <c r="D449" s="278" t="s">
        <v>946</v>
      </c>
      <c r="E449" s="40"/>
      <c r="F449" s="40"/>
      <c r="G449" s="40"/>
      <c r="H449" s="40"/>
      <c r="I449" s="40"/>
      <c r="J449" s="245"/>
      <c r="K449" s="41"/>
    </row>
    <row r="450" spans="2:11" ht="9.75" customHeight="1" x14ac:dyDescent="0.2">
      <c r="B450" s="38"/>
      <c r="C450" s="280" t="str">
        <f>"3:"</f>
        <v>3:</v>
      </c>
      <c r="D450" s="278" t="s">
        <v>947</v>
      </c>
      <c r="E450" s="40"/>
      <c r="F450" s="40"/>
      <c r="G450" s="40"/>
      <c r="H450" s="40"/>
      <c r="I450" s="40"/>
      <c r="J450" s="245"/>
      <c r="K450" s="41"/>
    </row>
    <row r="451" spans="2:11" ht="9.75" customHeight="1" x14ac:dyDescent="0.2">
      <c r="B451" s="38"/>
      <c r="C451" s="280" t="str">
        <f>"4:"</f>
        <v>4:</v>
      </c>
      <c r="D451" s="278" t="s">
        <v>948</v>
      </c>
      <c r="E451" s="40"/>
      <c r="F451" s="40"/>
      <c r="G451" s="40"/>
      <c r="H451" s="40"/>
      <c r="I451" s="40"/>
      <c r="J451" s="247"/>
      <c r="K451" s="41"/>
    </row>
    <row r="452" spans="2:11" x14ac:dyDescent="0.2">
      <c r="B452" s="38"/>
      <c r="C452" s="40" t="s">
        <v>257</v>
      </c>
      <c r="D452" s="40"/>
      <c r="E452" s="40"/>
      <c r="F452" s="40"/>
      <c r="G452" s="40"/>
      <c r="H452" s="40"/>
      <c r="I452" s="40"/>
      <c r="J452" s="266"/>
      <c r="K452" s="41"/>
    </row>
    <row r="453" spans="2:11" x14ac:dyDescent="0.2">
      <c r="B453" s="38"/>
      <c r="C453" s="40" t="s">
        <v>261</v>
      </c>
      <c r="D453" s="40"/>
      <c r="E453" s="40"/>
      <c r="F453" s="40"/>
      <c r="G453" s="40"/>
      <c r="H453" s="40"/>
      <c r="I453" s="40"/>
      <c r="J453" s="245" t="str">
        <f>IF(J452=$B$973,$A$973,IF(J452=$B$974,$A$974,IF(J452=$B$975,$A$975,IF(J452=$B$976,$A$976,IF(J452=$B$977,$A$977,"Not Calculated")))))</f>
        <v>Not Calculated</v>
      </c>
      <c r="K453" s="41"/>
    </row>
    <row r="454" spans="2:11" x14ac:dyDescent="0.2">
      <c r="B454" s="38"/>
      <c r="C454" s="40" t="s">
        <v>893</v>
      </c>
      <c r="D454" s="40"/>
      <c r="E454" s="40"/>
      <c r="F454" s="40"/>
      <c r="G454" s="40"/>
      <c r="H454" s="40"/>
      <c r="I454" s="40"/>
      <c r="J454" s="40"/>
      <c r="K454" s="41"/>
    </row>
    <row r="455" spans="2:11" ht="15" customHeight="1" x14ac:dyDescent="0.2">
      <c r="B455" s="38"/>
      <c r="C455" s="399"/>
      <c r="D455" s="400"/>
      <c r="E455" s="400"/>
      <c r="F455" s="400"/>
      <c r="G455" s="400"/>
      <c r="H455" s="400"/>
      <c r="I455" s="400"/>
      <c r="J455" s="401"/>
      <c r="K455" s="41"/>
    </row>
    <row r="456" spans="2:11" x14ac:dyDescent="0.2">
      <c r="B456" s="38"/>
      <c r="C456" s="40"/>
      <c r="D456" s="40"/>
      <c r="E456" s="40"/>
      <c r="F456" s="40"/>
      <c r="G456" s="40"/>
      <c r="H456" s="40"/>
      <c r="I456" s="40"/>
      <c r="J456" s="40"/>
      <c r="K456" s="41"/>
    </row>
    <row r="457" spans="2:11" x14ac:dyDescent="0.2">
      <c r="B457" s="38"/>
      <c r="C457" s="179" t="s">
        <v>304</v>
      </c>
      <c r="D457" s="40"/>
      <c r="E457" s="40"/>
      <c r="F457" s="40"/>
      <c r="G457" s="40"/>
      <c r="H457" s="40"/>
      <c r="I457" s="40"/>
      <c r="J457" s="245" t="str">
        <f>IF(OR(J446="Not Calculated",J453="Not Calculated")=TRUE,"Not Calculated",AVERAGE(J446,J453))</f>
        <v>Not Calculated</v>
      </c>
      <c r="K457" s="41"/>
    </row>
    <row r="458" spans="2:11" x14ac:dyDescent="0.2">
      <c r="B458" s="38"/>
      <c r="C458" s="40"/>
      <c r="D458" s="40"/>
      <c r="E458" s="40"/>
      <c r="F458" s="40"/>
      <c r="G458" s="40"/>
      <c r="H458" s="40"/>
      <c r="I458" s="40"/>
      <c r="J458" s="40"/>
      <c r="K458" s="41"/>
    </row>
    <row r="459" spans="2:11" x14ac:dyDescent="0.2">
      <c r="B459" s="38"/>
      <c r="C459" s="40"/>
      <c r="D459" s="40"/>
      <c r="E459" s="40"/>
      <c r="F459" s="40"/>
      <c r="G459" s="40"/>
      <c r="H459" s="40"/>
      <c r="I459" s="40"/>
      <c r="J459" s="40"/>
      <c r="K459" s="41"/>
    </row>
    <row r="460" spans="2:11" ht="16" x14ac:dyDescent="0.2">
      <c r="B460" s="38"/>
      <c r="C460" s="45" t="s">
        <v>306</v>
      </c>
      <c r="D460" s="40"/>
      <c r="E460" s="40"/>
      <c r="F460" s="40"/>
      <c r="G460" s="40"/>
      <c r="H460" s="40"/>
      <c r="I460" s="40"/>
      <c r="J460" s="40"/>
      <c r="K460" s="41"/>
    </row>
    <row r="461" spans="2:11" x14ac:dyDescent="0.2">
      <c r="B461" s="38"/>
      <c r="C461" s="40" t="s">
        <v>949</v>
      </c>
      <c r="D461" s="40"/>
      <c r="E461" s="40"/>
      <c r="F461" s="40"/>
      <c r="G461" s="40"/>
      <c r="H461" s="40"/>
      <c r="I461" s="40"/>
      <c r="J461" s="270"/>
      <c r="K461" s="41"/>
    </row>
    <row r="462" spans="2:11" x14ac:dyDescent="0.2">
      <c r="B462" s="38"/>
      <c r="C462" s="40" t="s">
        <v>260</v>
      </c>
      <c r="D462" s="40"/>
      <c r="E462" s="40"/>
      <c r="F462" s="40"/>
      <c r="G462" s="40"/>
      <c r="H462" s="40"/>
      <c r="I462" s="40"/>
      <c r="J462" s="248">
        <f>IF(J461&lt;=0,0,IF(J461&lt;=1,1,IF(J461&lt;=5,2,IF(J461&lt;=10,3,4))))</f>
        <v>0</v>
      </c>
      <c r="K462" s="41"/>
    </row>
    <row r="463" spans="2:11" ht="9.75" customHeight="1" x14ac:dyDescent="0.2">
      <c r="B463" s="38"/>
      <c r="C463" s="279" t="str">
        <f>"0:"</f>
        <v>0:</v>
      </c>
      <c r="D463" s="290" t="s">
        <v>944</v>
      </c>
      <c r="E463" s="40"/>
      <c r="F463" s="40"/>
      <c r="G463" s="40"/>
      <c r="H463" s="40"/>
      <c r="I463" s="40"/>
      <c r="J463" s="245"/>
      <c r="K463" s="41"/>
    </row>
    <row r="464" spans="2:11" ht="9.75" customHeight="1" x14ac:dyDescent="0.2">
      <c r="B464" s="38"/>
      <c r="C464" s="280" t="str">
        <f>"1:"</f>
        <v>1:</v>
      </c>
      <c r="D464" s="290" t="s">
        <v>945</v>
      </c>
      <c r="E464" s="40"/>
      <c r="F464" s="40"/>
      <c r="G464" s="40"/>
      <c r="H464" s="40"/>
      <c r="I464" s="40"/>
      <c r="J464" s="245"/>
      <c r="K464" s="41"/>
    </row>
    <row r="465" spans="2:11" ht="9.75" customHeight="1" x14ac:dyDescent="0.2">
      <c r="B465" s="38"/>
      <c r="C465" s="280" t="str">
        <f>"2:"</f>
        <v>2:</v>
      </c>
      <c r="D465" s="290" t="s">
        <v>946</v>
      </c>
      <c r="E465" s="40"/>
      <c r="F465" s="40"/>
      <c r="G465" s="40"/>
      <c r="H465" s="40"/>
      <c r="I465" s="40"/>
      <c r="J465" s="245"/>
      <c r="K465" s="41"/>
    </row>
    <row r="466" spans="2:11" ht="9.75" customHeight="1" x14ac:dyDescent="0.2">
      <c r="B466" s="38"/>
      <c r="C466" s="280" t="str">
        <f>"3:"</f>
        <v>3:</v>
      </c>
      <c r="D466" s="290" t="s">
        <v>947</v>
      </c>
      <c r="E466" s="40"/>
      <c r="F466" s="40"/>
      <c r="G466" s="40"/>
      <c r="H466" s="40"/>
      <c r="I466" s="40"/>
      <c r="J466" s="245"/>
      <c r="K466" s="41"/>
    </row>
    <row r="467" spans="2:11" ht="9.75" customHeight="1" x14ac:dyDescent="0.2">
      <c r="B467" s="38"/>
      <c r="C467" s="280" t="str">
        <f>"4:"</f>
        <v>4:</v>
      </c>
      <c r="D467" s="290" t="s">
        <v>948</v>
      </c>
      <c r="E467" s="40"/>
      <c r="F467" s="40"/>
      <c r="G467" s="40"/>
      <c r="H467" s="40"/>
      <c r="I467" s="40"/>
      <c r="J467" s="247"/>
      <c r="K467" s="41"/>
    </row>
    <row r="468" spans="2:11" x14ac:dyDescent="0.2">
      <c r="B468" s="38"/>
      <c r="C468" s="40" t="s">
        <v>257</v>
      </c>
      <c r="D468" s="40"/>
      <c r="E468" s="40"/>
      <c r="F468" s="40"/>
      <c r="G468" s="40"/>
      <c r="H468" s="40"/>
      <c r="I468" s="40"/>
      <c r="J468" s="266"/>
      <c r="K468" s="41"/>
    </row>
    <row r="469" spans="2:11" ht="15" customHeight="1" x14ac:dyDescent="0.2">
      <c r="B469" s="38"/>
      <c r="C469" s="40" t="s">
        <v>261</v>
      </c>
      <c r="D469" s="40"/>
      <c r="E469" s="40"/>
      <c r="F469" s="40"/>
      <c r="G469" s="40"/>
      <c r="H469" s="40"/>
      <c r="I469" s="40"/>
      <c r="J469" s="245" t="str">
        <f>IF(J468=$B$973,$A$973,IF(J468=$B$974,$A$974,IF(J468=$B$975,$A$975,IF(J468=$B$976,$A$976,IF(J468=$B$977,$A$977,"Not Calculated")))))</f>
        <v>Not Calculated</v>
      </c>
      <c r="K469" s="41"/>
    </row>
    <row r="470" spans="2:11" x14ac:dyDescent="0.2">
      <c r="B470" s="38"/>
      <c r="C470" s="40" t="s">
        <v>893</v>
      </c>
      <c r="D470" s="40"/>
      <c r="E470" s="40"/>
      <c r="F470" s="40"/>
      <c r="G470" s="40"/>
      <c r="H470" s="40"/>
      <c r="I470" s="40"/>
      <c r="J470" s="40"/>
      <c r="K470" s="41"/>
    </row>
    <row r="471" spans="2:11" x14ac:dyDescent="0.2">
      <c r="B471" s="38"/>
      <c r="C471" s="399"/>
      <c r="D471" s="400"/>
      <c r="E471" s="400"/>
      <c r="F471" s="400"/>
      <c r="G471" s="400"/>
      <c r="H471" s="400"/>
      <c r="I471" s="400"/>
      <c r="J471" s="401"/>
      <c r="K471" s="41"/>
    </row>
    <row r="472" spans="2:11" x14ac:dyDescent="0.2">
      <c r="B472" s="38"/>
      <c r="C472" s="40"/>
      <c r="D472" s="40"/>
      <c r="E472" s="40"/>
      <c r="F472" s="40"/>
      <c r="G472" s="40"/>
      <c r="H472" s="40"/>
      <c r="I472" s="40"/>
      <c r="J472" s="40"/>
      <c r="K472" s="41"/>
    </row>
    <row r="473" spans="2:11" x14ac:dyDescent="0.2">
      <c r="B473" s="38"/>
      <c r="C473" s="179" t="s">
        <v>307</v>
      </c>
      <c r="D473" s="40"/>
      <c r="E473" s="40"/>
      <c r="F473" s="40"/>
      <c r="G473" s="40"/>
      <c r="H473" s="40"/>
      <c r="I473" s="40"/>
      <c r="J473" s="245" t="str">
        <f>IF(OR(J462="Not Calculated",J469="Not Calculated")=TRUE,"Not Calculated",AVERAGE(J462,J469))</f>
        <v>Not Calculated</v>
      </c>
      <c r="K473" s="41"/>
    </row>
    <row r="474" spans="2:11" x14ac:dyDescent="0.2">
      <c r="B474" s="38"/>
      <c r="C474" s="40"/>
      <c r="D474" s="40"/>
      <c r="E474" s="40"/>
      <c r="F474" s="40"/>
      <c r="G474" s="40"/>
      <c r="H474" s="40"/>
      <c r="I474" s="40"/>
      <c r="J474" s="40"/>
      <c r="K474" s="41"/>
    </row>
    <row r="475" spans="2:11" x14ac:dyDescent="0.2">
      <c r="B475" s="38"/>
      <c r="C475" s="40"/>
      <c r="D475" s="40"/>
      <c r="E475" s="40"/>
      <c r="F475" s="40"/>
      <c r="G475" s="40"/>
      <c r="H475" s="40"/>
      <c r="I475" s="40"/>
      <c r="J475" s="40"/>
      <c r="K475" s="41"/>
    </row>
    <row r="476" spans="2:11" ht="16" x14ac:dyDescent="0.2">
      <c r="B476" s="38"/>
      <c r="C476" s="45" t="s">
        <v>308</v>
      </c>
      <c r="D476" s="40"/>
      <c r="E476" s="40"/>
      <c r="F476" s="40"/>
      <c r="G476" s="40"/>
      <c r="H476" s="40"/>
      <c r="I476" s="40"/>
      <c r="J476" s="40"/>
      <c r="K476" s="41"/>
    </row>
    <row r="477" spans="2:11" ht="15" customHeight="1" x14ac:dyDescent="0.2">
      <c r="B477" s="38"/>
      <c r="C477" s="380" t="s">
        <v>310</v>
      </c>
      <c r="D477" s="380"/>
      <c r="E477" s="380"/>
      <c r="F477" s="380"/>
      <c r="G477" s="380"/>
      <c r="H477" s="380"/>
      <c r="I477" s="380"/>
      <c r="J477" s="40"/>
      <c r="K477" s="41"/>
    </row>
    <row r="478" spans="2:11" x14ac:dyDescent="0.2">
      <c r="B478" s="38"/>
      <c r="C478" s="380"/>
      <c r="D478" s="380"/>
      <c r="E478" s="380"/>
      <c r="F478" s="380"/>
      <c r="G478" s="380"/>
      <c r="H478" s="380"/>
      <c r="I478" s="380"/>
      <c r="J478" s="131"/>
      <c r="K478" s="41"/>
    </row>
    <row r="479" spans="2:11" x14ac:dyDescent="0.2">
      <c r="B479" s="38"/>
      <c r="C479" s="40" t="s">
        <v>261</v>
      </c>
      <c r="D479" s="40"/>
      <c r="E479" s="40"/>
      <c r="F479" s="40"/>
      <c r="G479" s="40"/>
      <c r="H479" s="40"/>
      <c r="I479" s="40"/>
      <c r="J479" s="245">
        <f>IF(J478&lt;=0,0,IF(J478&lt;=1,1,IF(J478&lt;=7,2,IF(J478&lt;=14,3,4))))</f>
        <v>0</v>
      </c>
      <c r="K479" s="41"/>
    </row>
    <row r="480" spans="2:11" s="51" customFormat="1" ht="9.75" customHeight="1" x14ac:dyDescent="0.2">
      <c r="B480" s="283"/>
      <c r="C480" s="279" t="str">
        <f>"0:"</f>
        <v>0:</v>
      </c>
      <c r="D480" s="284" t="s">
        <v>950</v>
      </c>
      <c r="E480" s="285"/>
      <c r="F480" s="285"/>
      <c r="G480" s="285"/>
      <c r="H480" s="285"/>
      <c r="I480" s="285"/>
      <c r="J480" s="43"/>
      <c r="K480" s="286"/>
    </row>
    <row r="481" spans="2:11" s="51" customFormat="1" ht="9.75" customHeight="1" x14ac:dyDescent="0.2">
      <c r="B481" s="283"/>
      <c r="C481" s="280" t="str">
        <f>"1:"</f>
        <v>1:</v>
      </c>
      <c r="D481" s="284" t="s">
        <v>951</v>
      </c>
      <c r="E481" s="285"/>
      <c r="F481" s="285"/>
      <c r="G481" s="285"/>
      <c r="H481" s="285"/>
      <c r="I481" s="285"/>
      <c r="J481" s="43"/>
      <c r="K481" s="286"/>
    </row>
    <row r="482" spans="2:11" s="51" customFormat="1" ht="9.75" customHeight="1" x14ac:dyDescent="0.2">
      <c r="B482" s="283"/>
      <c r="C482" s="280" t="str">
        <f>"2:"</f>
        <v>2:</v>
      </c>
      <c r="D482" s="284" t="s">
        <v>952</v>
      </c>
      <c r="E482" s="285"/>
      <c r="F482" s="285"/>
      <c r="G482" s="285"/>
      <c r="H482" s="285"/>
      <c r="I482" s="285"/>
      <c r="J482" s="43"/>
      <c r="K482" s="286"/>
    </row>
    <row r="483" spans="2:11" s="51" customFormat="1" ht="9.75" customHeight="1" x14ac:dyDescent="0.2">
      <c r="B483" s="283"/>
      <c r="C483" s="280" t="str">
        <f>"3:"</f>
        <v>3:</v>
      </c>
      <c r="D483" s="284" t="s">
        <v>953</v>
      </c>
      <c r="E483" s="285"/>
      <c r="F483" s="285"/>
      <c r="G483" s="285"/>
      <c r="H483" s="285"/>
      <c r="I483" s="285"/>
      <c r="J483" s="43"/>
      <c r="K483" s="286"/>
    </row>
    <row r="484" spans="2:11" s="51" customFormat="1" ht="9.75" customHeight="1" x14ac:dyDescent="0.2">
      <c r="B484" s="283"/>
      <c r="C484" s="280" t="str">
        <f>"4:"</f>
        <v>4:</v>
      </c>
      <c r="D484" s="284" t="s">
        <v>954</v>
      </c>
      <c r="E484" s="285"/>
      <c r="F484" s="285"/>
      <c r="G484" s="285"/>
      <c r="H484" s="285"/>
      <c r="I484" s="285"/>
      <c r="J484" s="43"/>
      <c r="K484" s="286"/>
    </row>
    <row r="485" spans="2:11" x14ac:dyDescent="0.2">
      <c r="B485" s="38"/>
      <c r="C485" s="40" t="s">
        <v>893</v>
      </c>
      <c r="D485" s="40"/>
      <c r="E485" s="40"/>
      <c r="F485" s="40"/>
      <c r="G485" s="40"/>
      <c r="H485" s="40"/>
      <c r="I485" s="40"/>
      <c r="J485" s="40"/>
      <c r="K485" s="41"/>
    </row>
    <row r="486" spans="2:11" x14ac:dyDescent="0.2">
      <c r="B486" s="38"/>
      <c r="C486" s="399"/>
      <c r="D486" s="400"/>
      <c r="E486" s="400"/>
      <c r="F486" s="400"/>
      <c r="G486" s="400"/>
      <c r="H486" s="400"/>
      <c r="I486" s="400"/>
      <c r="J486" s="401"/>
      <c r="K486" s="41"/>
    </row>
    <row r="487" spans="2:11" x14ac:dyDescent="0.2">
      <c r="B487" s="38"/>
      <c r="C487" s="40"/>
      <c r="D487" s="40"/>
      <c r="E487" s="40"/>
      <c r="F487" s="40"/>
      <c r="G487" s="40"/>
      <c r="H487" s="40"/>
      <c r="I487" s="40"/>
      <c r="J487" s="40"/>
      <c r="K487" s="41"/>
    </row>
    <row r="488" spans="2:11" x14ac:dyDescent="0.2">
      <c r="B488" s="38"/>
      <c r="C488" s="179" t="s">
        <v>309</v>
      </c>
      <c r="D488" s="40"/>
      <c r="E488" s="40"/>
      <c r="F488" s="40"/>
      <c r="G488" s="40"/>
      <c r="H488" s="40"/>
      <c r="I488" s="40"/>
      <c r="J488" s="245">
        <f>J479</f>
        <v>0</v>
      </c>
      <c r="K488" s="41"/>
    </row>
    <row r="489" spans="2:11" x14ac:dyDescent="0.2">
      <c r="B489" s="38"/>
      <c r="C489" s="40"/>
      <c r="D489" s="40"/>
      <c r="E489" s="40"/>
      <c r="F489" s="40"/>
      <c r="G489" s="40"/>
      <c r="H489" s="40"/>
      <c r="I489" s="40"/>
      <c r="J489" s="40"/>
      <c r="K489" s="41"/>
    </row>
    <row r="490" spans="2:11" x14ac:dyDescent="0.2">
      <c r="B490" s="38"/>
      <c r="C490" s="40"/>
      <c r="D490" s="40"/>
      <c r="E490" s="40"/>
      <c r="F490" s="40"/>
      <c r="G490" s="40"/>
      <c r="H490" s="40"/>
      <c r="I490" s="40"/>
      <c r="J490" s="40"/>
      <c r="K490" s="41"/>
    </row>
    <row r="491" spans="2:11" ht="16" x14ac:dyDescent="0.2">
      <c r="B491" s="38"/>
      <c r="C491" s="45" t="s">
        <v>311</v>
      </c>
      <c r="D491" s="40"/>
      <c r="E491" s="40"/>
      <c r="F491" s="40"/>
      <c r="G491" s="40"/>
      <c r="H491" s="40"/>
      <c r="I491" s="40"/>
      <c r="J491" s="40"/>
      <c r="K491" s="41"/>
    </row>
    <row r="492" spans="2:11" x14ac:dyDescent="0.2">
      <c r="B492" s="38"/>
      <c r="C492" s="40" t="s">
        <v>312</v>
      </c>
      <c r="D492" s="40"/>
      <c r="E492" s="40"/>
      <c r="F492" s="40"/>
      <c r="G492" s="40"/>
      <c r="H492" s="40"/>
      <c r="I492" s="40"/>
      <c r="J492" s="270"/>
      <c r="K492" s="41"/>
    </row>
    <row r="493" spans="2:11" x14ac:dyDescent="0.2">
      <c r="B493" s="38"/>
      <c r="C493" s="40" t="s">
        <v>260</v>
      </c>
      <c r="D493" s="40"/>
      <c r="E493" s="40"/>
      <c r="F493" s="40"/>
      <c r="G493" s="40"/>
      <c r="H493" s="40"/>
      <c r="I493" s="40"/>
      <c r="J493" s="248">
        <f>IF(J492&lt;=0,0,IF(J492&lt;=1,1,IF(J492&lt;=5,2,IF(J492&lt;=10,3,4))))</f>
        <v>0</v>
      </c>
      <c r="K493" s="41"/>
    </row>
    <row r="494" spans="2:11" ht="9.75" customHeight="1" x14ac:dyDescent="0.2">
      <c r="B494" s="38"/>
      <c r="C494" s="279" t="str">
        <f>"0:"</f>
        <v>0:</v>
      </c>
      <c r="D494" s="290" t="s">
        <v>955</v>
      </c>
      <c r="E494" s="40"/>
      <c r="F494" s="40"/>
      <c r="G494" s="40"/>
      <c r="H494" s="40"/>
      <c r="I494" s="40"/>
      <c r="J494" s="245"/>
      <c r="K494" s="41"/>
    </row>
    <row r="495" spans="2:11" ht="9.75" customHeight="1" x14ac:dyDescent="0.2">
      <c r="B495" s="38"/>
      <c r="C495" s="280" t="str">
        <f>"1:"</f>
        <v>1:</v>
      </c>
      <c r="D495" s="290" t="s">
        <v>956</v>
      </c>
      <c r="E495" s="40"/>
      <c r="F495" s="40"/>
      <c r="G495" s="40"/>
      <c r="H495" s="40"/>
      <c r="I495" s="40"/>
      <c r="J495" s="245"/>
      <c r="K495" s="41"/>
    </row>
    <row r="496" spans="2:11" ht="9.75" customHeight="1" x14ac:dyDescent="0.2">
      <c r="B496" s="38"/>
      <c r="C496" s="280" t="str">
        <f>"2:"</f>
        <v>2:</v>
      </c>
      <c r="D496" s="290" t="s">
        <v>957</v>
      </c>
      <c r="E496" s="40"/>
      <c r="F496" s="40"/>
      <c r="G496" s="40"/>
      <c r="H496" s="40"/>
      <c r="I496" s="40"/>
      <c r="J496" s="245"/>
      <c r="K496" s="41"/>
    </row>
    <row r="497" spans="2:11" ht="9.75" customHeight="1" x14ac:dyDescent="0.2">
      <c r="B497" s="38"/>
      <c r="C497" s="280" t="str">
        <f>"3:"</f>
        <v>3:</v>
      </c>
      <c r="D497" s="290" t="s">
        <v>958</v>
      </c>
      <c r="E497" s="40"/>
      <c r="F497" s="40"/>
      <c r="G497" s="40"/>
      <c r="H497" s="40"/>
      <c r="I497" s="40"/>
      <c r="J497" s="245"/>
      <c r="K497" s="41"/>
    </row>
    <row r="498" spans="2:11" ht="9.75" customHeight="1" x14ac:dyDescent="0.2">
      <c r="B498" s="38"/>
      <c r="C498" s="280" t="str">
        <f>"4:"</f>
        <v>4:</v>
      </c>
      <c r="D498" s="290" t="s">
        <v>959</v>
      </c>
      <c r="E498" s="40"/>
      <c r="F498" s="40"/>
      <c r="G498" s="40"/>
      <c r="H498" s="40"/>
      <c r="I498" s="40"/>
      <c r="J498" s="247"/>
      <c r="K498" s="41"/>
    </row>
    <row r="499" spans="2:11" x14ac:dyDescent="0.2">
      <c r="B499" s="38"/>
      <c r="C499" s="40" t="s">
        <v>313</v>
      </c>
      <c r="D499" s="40"/>
      <c r="E499" s="40"/>
      <c r="F499" s="40"/>
      <c r="G499" s="40"/>
      <c r="H499" s="40"/>
      <c r="I499" s="40"/>
      <c r="J499" s="266"/>
      <c r="K499" s="41"/>
    </row>
    <row r="500" spans="2:11" x14ac:dyDescent="0.2">
      <c r="B500" s="38"/>
      <c r="C500" s="40" t="s">
        <v>261</v>
      </c>
      <c r="D500" s="40"/>
      <c r="E500" s="40"/>
      <c r="F500" s="40"/>
      <c r="G500" s="40"/>
      <c r="H500" s="40"/>
      <c r="I500" s="40"/>
      <c r="J500" s="245" t="str">
        <f>IF(J499=$B$973,$A$973,IF(J499=$B$974,$A$974,IF(J499=$B$975,$A$975,IF(J499=$B$976,$A$976,IF(J499=$B$977,$A$977,"Not Calculated")))))</f>
        <v>Not Calculated</v>
      </c>
      <c r="K500" s="41"/>
    </row>
    <row r="501" spans="2:11" x14ac:dyDescent="0.2">
      <c r="B501" s="38"/>
      <c r="C501" s="40" t="s">
        <v>893</v>
      </c>
      <c r="D501" s="40"/>
      <c r="E501" s="40"/>
      <c r="F501" s="40"/>
      <c r="G501" s="40"/>
      <c r="H501" s="40"/>
      <c r="I501" s="40"/>
      <c r="J501" s="40"/>
      <c r="K501" s="41"/>
    </row>
    <row r="502" spans="2:11" x14ac:dyDescent="0.2">
      <c r="B502" s="38"/>
      <c r="C502" s="399"/>
      <c r="D502" s="400"/>
      <c r="E502" s="400"/>
      <c r="F502" s="400"/>
      <c r="G502" s="400"/>
      <c r="H502" s="400"/>
      <c r="I502" s="400"/>
      <c r="J502" s="401"/>
      <c r="K502" s="41"/>
    </row>
    <row r="503" spans="2:11" x14ac:dyDescent="0.2">
      <c r="B503" s="38"/>
      <c r="C503" s="40"/>
      <c r="D503" s="40"/>
      <c r="E503" s="40"/>
      <c r="F503" s="40"/>
      <c r="G503" s="40"/>
      <c r="H503" s="40"/>
      <c r="I503" s="40"/>
      <c r="J503" s="40"/>
      <c r="K503" s="41"/>
    </row>
    <row r="504" spans="2:11" x14ac:dyDescent="0.2">
      <c r="B504" s="38"/>
      <c r="C504" s="179" t="s">
        <v>321</v>
      </c>
      <c r="D504" s="40"/>
      <c r="E504" s="40"/>
      <c r="F504" s="40"/>
      <c r="G504" s="40"/>
      <c r="H504" s="40"/>
      <c r="I504" s="40"/>
      <c r="J504" s="245" t="str">
        <f>IF(OR(J493="Not Calculated",J500="Not Calculated")=TRUE,"Not Calculated",AVERAGE(J493,J500))</f>
        <v>Not Calculated</v>
      </c>
      <c r="K504" s="41"/>
    </row>
    <row r="505" spans="2:11" x14ac:dyDescent="0.2">
      <c r="B505" s="38"/>
      <c r="C505" s="40"/>
      <c r="D505" s="40"/>
      <c r="E505" s="40"/>
      <c r="F505" s="40"/>
      <c r="G505" s="40"/>
      <c r="H505" s="40"/>
      <c r="I505" s="40"/>
      <c r="J505" s="40"/>
      <c r="K505" s="41"/>
    </row>
    <row r="506" spans="2:11" x14ac:dyDescent="0.2">
      <c r="B506" s="38"/>
      <c r="C506" s="40"/>
      <c r="D506" s="40"/>
      <c r="E506" s="40"/>
      <c r="F506" s="40"/>
      <c r="G506" s="40"/>
      <c r="H506" s="40"/>
      <c r="I506" s="40"/>
      <c r="J506" s="40"/>
      <c r="K506" s="41"/>
    </row>
    <row r="507" spans="2:11" ht="16" x14ac:dyDescent="0.2">
      <c r="B507" s="38"/>
      <c r="C507" s="45" t="s">
        <v>314</v>
      </c>
      <c r="D507" s="40"/>
      <c r="E507" s="40"/>
      <c r="F507" s="40"/>
      <c r="G507" s="40"/>
      <c r="H507" s="40"/>
      <c r="I507" s="40"/>
      <c r="J507" s="40"/>
      <c r="K507" s="41"/>
    </row>
    <row r="508" spans="2:11" x14ac:dyDescent="0.2">
      <c r="B508" s="38"/>
      <c r="C508" s="40" t="s">
        <v>316</v>
      </c>
      <c r="D508" s="40"/>
      <c r="E508" s="40"/>
      <c r="F508" s="40"/>
      <c r="G508" s="40"/>
      <c r="H508" s="40"/>
      <c r="I508" s="40"/>
      <c r="J508" s="269"/>
      <c r="K508" s="41"/>
    </row>
    <row r="509" spans="2:11" x14ac:dyDescent="0.2">
      <c r="B509" s="38"/>
      <c r="C509" s="40" t="s">
        <v>260</v>
      </c>
      <c r="D509" s="40"/>
      <c r="E509" s="40"/>
      <c r="F509" s="40"/>
      <c r="G509" s="40"/>
      <c r="H509" s="40"/>
      <c r="I509" s="40"/>
      <c r="J509" s="248">
        <f>IF(J508&lt;=0,0,IF(J508&lt;=1000,1,IF(J508&lt;=5000,2,IF(J508&lt;=25000,3,4))))</f>
        <v>0</v>
      </c>
      <c r="K509" s="41"/>
    </row>
    <row r="510" spans="2:11" s="51" customFormat="1" ht="9.75" customHeight="1" x14ac:dyDescent="0.2">
      <c r="B510" s="283"/>
      <c r="C510" s="279" t="str">
        <f>"0:"</f>
        <v>0:</v>
      </c>
      <c r="D510" s="284" t="s">
        <v>960</v>
      </c>
      <c r="E510" s="285"/>
      <c r="F510" s="285"/>
      <c r="G510" s="285"/>
      <c r="H510" s="285"/>
      <c r="I510" s="285"/>
      <c r="J510" s="43"/>
      <c r="K510" s="286"/>
    </row>
    <row r="511" spans="2:11" s="51" customFormat="1" ht="9.75" customHeight="1" x14ac:dyDescent="0.2">
      <c r="B511" s="283"/>
      <c r="C511" s="280" t="str">
        <f>"1:"</f>
        <v>1:</v>
      </c>
      <c r="D511" s="284" t="s">
        <v>961</v>
      </c>
      <c r="E511" s="285"/>
      <c r="F511" s="285"/>
      <c r="G511" s="285"/>
      <c r="H511" s="285"/>
      <c r="I511" s="285"/>
      <c r="J511" s="43"/>
      <c r="K511" s="286"/>
    </row>
    <row r="512" spans="2:11" s="51" customFormat="1" ht="9.75" customHeight="1" x14ac:dyDescent="0.2">
      <c r="B512" s="283"/>
      <c r="C512" s="280" t="str">
        <f>"2:"</f>
        <v>2:</v>
      </c>
      <c r="D512" s="284" t="s">
        <v>962</v>
      </c>
      <c r="E512" s="285"/>
      <c r="F512" s="285"/>
      <c r="G512" s="285"/>
      <c r="H512" s="285"/>
      <c r="I512" s="285"/>
      <c r="J512" s="43"/>
      <c r="K512" s="286"/>
    </row>
    <row r="513" spans="2:11" s="51" customFormat="1" ht="9.75" customHeight="1" x14ac:dyDescent="0.2">
      <c r="B513" s="283"/>
      <c r="C513" s="280" t="str">
        <f>"3:"</f>
        <v>3:</v>
      </c>
      <c r="D513" s="284" t="s">
        <v>963</v>
      </c>
      <c r="E513" s="285"/>
      <c r="F513" s="285"/>
      <c r="G513" s="285"/>
      <c r="H513" s="285"/>
      <c r="I513" s="285"/>
      <c r="J513" s="43"/>
      <c r="K513" s="286"/>
    </row>
    <row r="514" spans="2:11" s="51" customFormat="1" ht="9.75" customHeight="1" x14ac:dyDescent="0.2">
      <c r="B514" s="283"/>
      <c r="C514" s="280" t="str">
        <f>"4:"</f>
        <v>4:</v>
      </c>
      <c r="D514" s="284" t="s">
        <v>964</v>
      </c>
      <c r="E514" s="285"/>
      <c r="F514" s="285"/>
      <c r="G514" s="285"/>
      <c r="H514" s="285"/>
      <c r="I514" s="285"/>
      <c r="J514" s="287"/>
      <c r="K514" s="286"/>
    </row>
    <row r="515" spans="2:11" x14ac:dyDescent="0.2">
      <c r="B515" s="38"/>
      <c r="C515" s="40" t="s">
        <v>315</v>
      </c>
      <c r="D515" s="40"/>
      <c r="E515" s="40"/>
      <c r="F515" s="40"/>
      <c r="G515" s="40"/>
      <c r="H515" s="40"/>
      <c r="I515" s="40"/>
      <c r="J515" s="266"/>
      <c r="K515" s="41"/>
    </row>
    <row r="516" spans="2:11" x14ac:dyDescent="0.2">
      <c r="B516" s="38"/>
      <c r="C516" s="40" t="s">
        <v>261</v>
      </c>
      <c r="D516" s="40"/>
      <c r="E516" s="40"/>
      <c r="F516" s="40"/>
      <c r="G516" s="40"/>
      <c r="H516" s="40"/>
      <c r="I516" s="40"/>
      <c r="J516" s="245" t="str">
        <f>IF(J515=$B$973,$A$973,IF(J515=$B$974,$A$974,IF(J515=$B$975,$A$975,IF(J515=$B$976,$A$976,IF(J515=$B$977,$A$977,"Not Calculated")))))</f>
        <v>Not Calculated</v>
      </c>
      <c r="K516" s="41"/>
    </row>
    <row r="517" spans="2:11" x14ac:dyDescent="0.2">
      <c r="B517" s="38"/>
      <c r="C517" s="40" t="s">
        <v>893</v>
      </c>
      <c r="D517" s="40"/>
      <c r="E517" s="40"/>
      <c r="F517" s="40"/>
      <c r="G517" s="40"/>
      <c r="H517" s="40"/>
      <c r="I517" s="40"/>
      <c r="J517" s="40"/>
      <c r="K517" s="41"/>
    </row>
    <row r="518" spans="2:11" ht="15" customHeight="1" x14ac:dyDescent="0.2">
      <c r="B518" s="38"/>
      <c r="C518" s="399"/>
      <c r="D518" s="400"/>
      <c r="E518" s="400"/>
      <c r="F518" s="400"/>
      <c r="G518" s="400"/>
      <c r="H518" s="400"/>
      <c r="I518" s="400"/>
      <c r="J518" s="401"/>
      <c r="K518" s="41"/>
    </row>
    <row r="519" spans="2:11" x14ac:dyDescent="0.2">
      <c r="B519" s="38"/>
      <c r="C519" s="40"/>
      <c r="D519" s="40"/>
      <c r="E519" s="40"/>
      <c r="F519" s="40"/>
      <c r="G519" s="40"/>
      <c r="H519" s="40"/>
      <c r="I519" s="40"/>
      <c r="J519" s="40"/>
      <c r="K519" s="41"/>
    </row>
    <row r="520" spans="2:11" x14ac:dyDescent="0.2">
      <c r="B520" s="38"/>
      <c r="C520" s="179" t="s">
        <v>320</v>
      </c>
      <c r="D520" s="40"/>
      <c r="E520" s="40"/>
      <c r="F520" s="40"/>
      <c r="G520" s="40"/>
      <c r="H520" s="40"/>
      <c r="I520" s="40"/>
      <c r="J520" s="245" t="str">
        <f>IF(OR(J509="Not Calculated",J516="Not Calculated")=TRUE,"Not Calculated",AVERAGE(J509,J516))</f>
        <v>Not Calculated</v>
      </c>
      <c r="K520" s="41"/>
    </row>
    <row r="521" spans="2:11" x14ac:dyDescent="0.2">
      <c r="B521" s="38"/>
      <c r="C521" s="40"/>
      <c r="D521" s="40"/>
      <c r="E521" s="40"/>
      <c r="F521" s="40"/>
      <c r="G521" s="40"/>
      <c r="H521" s="40"/>
      <c r="I521" s="40"/>
      <c r="J521" s="40"/>
      <c r="K521" s="41"/>
    </row>
    <row r="522" spans="2:11" x14ac:dyDescent="0.2">
      <c r="B522" s="38"/>
      <c r="C522" s="40"/>
      <c r="D522" s="40"/>
      <c r="E522" s="40"/>
      <c r="F522" s="40"/>
      <c r="G522" s="40"/>
      <c r="H522" s="40"/>
      <c r="I522" s="40"/>
      <c r="J522" s="40"/>
      <c r="K522" s="41"/>
    </row>
    <row r="523" spans="2:11" ht="16" x14ac:dyDescent="0.2">
      <c r="B523" s="38"/>
      <c r="C523" s="45" t="s">
        <v>317</v>
      </c>
      <c r="D523" s="40"/>
      <c r="E523" s="40"/>
      <c r="F523" s="40"/>
      <c r="G523" s="40"/>
      <c r="H523" s="40"/>
      <c r="I523" s="40"/>
      <c r="J523" s="40"/>
      <c r="K523" s="41"/>
    </row>
    <row r="524" spans="2:11" ht="15" customHeight="1" x14ac:dyDescent="0.2">
      <c r="B524" s="38"/>
      <c r="C524" s="380" t="s">
        <v>318</v>
      </c>
      <c r="D524" s="380"/>
      <c r="E524" s="380"/>
      <c r="F524" s="380"/>
      <c r="G524" s="380"/>
      <c r="H524" s="380"/>
      <c r="I524" s="380"/>
      <c r="J524" s="40"/>
      <c r="K524" s="41"/>
    </row>
    <row r="525" spans="2:11" x14ac:dyDescent="0.2">
      <c r="B525" s="38"/>
      <c r="C525" s="380"/>
      <c r="D525" s="380"/>
      <c r="E525" s="380"/>
      <c r="F525" s="380"/>
      <c r="G525" s="380"/>
      <c r="H525" s="380"/>
      <c r="I525" s="380"/>
      <c r="J525" s="274"/>
      <c r="K525" s="41"/>
    </row>
    <row r="526" spans="2:11" x14ac:dyDescent="0.2">
      <c r="B526" s="38"/>
      <c r="C526" s="40" t="s">
        <v>260</v>
      </c>
      <c r="D526" s="40"/>
      <c r="E526" s="40"/>
      <c r="F526" s="40"/>
      <c r="G526" s="40"/>
      <c r="H526" s="40"/>
      <c r="I526" s="40"/>
      <c r="J526" s="248">
        <f>IF(J525&lt;=0,0,IF(J525&lt;=1,1,IF(J525&lt;=5,2,IF(J525&lt;=10,3,4))))</f>
        <v>0</v>
      </c>
      <c r="K526" s="41"/>
    </row>
    <row r="527" spans="2:11" s="51" customFormat="1" ht="9.75" customHeight="1" x14ac:dyDescent="0.2">
      <c r="B527" s="283"/>
      <c r="C527" s="279" t="str">
        <f>"0:"</f>
        <v>0:</v>
      </c>
      <c r="D527" s="284" t="s">
        <v>965</v>
      </c>
      <c r="E527" s="285"/>
      <c r="F527" s="285"/>
      <c r="G527" s="285"/>
      <c r="H527" s="285"/>
      <c r="I527" s="285"/>
      <c r="J527" s="43"/>
      <c r="K527" s="286"/>
    </row>
    <row r="528" spans="2:11" s="51" customFormat="1" ht="9.75" customHeight="1" x14ac:dyDescent="0.2">
      <c r="B528" s="283"/>
      <c r="C528" s="280" t="str">
        <f>"1:"</f>
        <v>1:</v>
      </c>
      <c r="D528" s="284" t="s">
        <v>966</v>
      </c>
      <c r="E528" s="285"/>
      <c r="F528" s="285"/>
      <c r="G528" s="285"/>
      <c r="H528" s="285"/>
      <c r="I528" s="285"/>
      <c r="J528" s="43"/>
      <c r="K528" s="286"/>
    </row>
    <row r="529" spans="2:11" s="51" customFormat="1" ht="9.75" customHeight="1" x14ac:dyDescent="0.2">
      <c r="B529" s="283"/>
      <c r="C529" s="280" t="str">
        <f>"2:"</f>
        <v>2:</v>
      </c>
      <c r="D529" s="284" t="s">
        <v>967</v>
      </c>
      <c r="E529" s="285"/>
      <c r="F529" s="285"/>
      <c r="G529" s="285"/>
      <c r="H529" s="285"/>
      <c r="I529" s="285"/>
      <c r="J529" s="43"/>
      <c r="K529" s="286"/>
    </row>
    <row r="530" spans="2:11" s="51" customFormat="1" ht="9.75" customHeight="1" x14ac:dyDescent="0.2">
      <c r="B530" s="283"/>
      <c r="C530" s="280" t="str">
        <f>"3:"</f>
        <v>3:</v>
      </c>
      <c r="D530" s="284" t="s">
        <v>968</v>
      </c>
      <c r="E530" s="285"/>
      <c r="F530" s="285"/>
      <c r="G530" s="285"/>
      <c r="H530" s="285"/>
      <c r="I530" s="285"/>
      <c r="J530" s="43"/>
      <c r="K530" s="286"/>
    </row>
    <row r="531" spans="2:11" s="51" customFormat="1" ht="9.75" customHeight="1" x14ac:dyDescent="0.2">
      <c r="B531" s="283"/>
      <c r="C531" s="280" t="str">
        <f>"4:"</f>
        <v>4:</v>
      </c>
      <c r="D531" s="284" t="s">
        <v>969</v>
      </c>
      <c r="E531" s="285"/>
      <c r="F531" s="285"/>
      <c r="G531" s="285"/>
      <c r="H531" s="285"/>
      <c r="I531" s="285"/>
      <c r="J531" s="287"/>
      <c r="K531" s="286"/>
    </row>
    <row r="532" spans="2:11" x14ac:dyDescent="0.2">
      <c r="B532" s="38"/>
      <c r="C532" s="40" t="s">
        <v>257</v>
      </c>
      <c r="D532" s="40"/>
      <c r="E532" s="40"/>
      <c r="F532" s="40"/>
      <c r="G532" s="40"/>
      <c r="H532" s="40"/>
      <c r="I532" s="40"/>
      <c r="J532" s="266"/>
      <c r="K532" s="41"/>
    </row>
    <row r="533" spans="2:11" x14ac:dyDescent="0.2">
      <c r="B533" s="38"/>
      <c r="C533" s="40" t="s">
        <v>261</v>
      </c>
      <c r="D533" s="40"/>
      <c r="E533" s="40"/>
      <c r="F533" s="40"/>
      <c r="G533" s="40"/>
      <c r="H533" s="40"/>
      <c r="I533" s="40"/>
      <c r="J533" s="245" t="str">
        <f>IF(J532=$B$973,$A$973,IF(J532=$B$974,$A$974,IF(J532=$B$975,$A$975,IF(J532=$B$976,$A$976,IF(J532=$B$977,$A$977,"Not Calculated")))))</f>
        <v>Not Calculated</v>
      </c>
      <c r="K533" s="41"/>
    </row>
    <row r="534" spans="2:11" x14ac:dyDescent="0.2">
      <c r="B534" s="38"/>
      <c r="C534" s="40" t="s">
        <v>893</v>
      </c>
      <c r="D534" s="40"/>
      <c r="E534" s="40"/>
      <c r="F534" s="40"/>
      <c r="G534" s="40"/>
      <c r="H534" s="40"/>
      <c r="I534" s="40"/>
      <c r="J534" s="40"/>
      <c r="K534" s="41"/>
    </row>
    <row r="535" spans="2:11" ht="15" customHeight="1" x14ac:dyDescent="0.2">
      <c r="B535" s="38"/>
      <c r="C535" s="399"/>
      <c r="D535" s="400"/>
      <c r="E535" s="400"/>
      <c r="F535" s="400"/>
      <c r="G535" s="400"/>
      <c r="H535" s="400"/>
      <c r="I535" s="400"/>
      <c r="J535" s="401"/>
      <c r="K535" s="41"/>
    </row>
    <row r="536" spans="2:11" x14ac:dyDescent="0.2">
      <c r="B536" s="38"/>
      <c r="C536" s="40"/>
      <c r="D536" s="40"/>
      <c r="E536" s="40"/>
      <c r="F536" s="40"/>
      <c r="G536" s="40"/>
      <c r="H536" s="40"/>
      <c r="I536" s="40"/>
      <c r="J536" s="40"/>
      <c r="K536" s="41"/>
    </row>
    <row r="537" spans="2:11" x14ac:dyDescent="0.2">
      <c r="B537" s="38"/>
      <c r="C537" s="179" t="s">
        <v>319</v>
      </c>
      <c r="D537" s="40"/>
      <c r="E537" s="40"/>
      <c r="F537" s="40"/>
      <c r="G537" s="40"/>
      <c r="H537" s="40"/>
      <c r="I537" s="40"/>
      <c r="J537" s="245" t="str">
        <f>IF(OR(J526="Not Calculated",J533="Not Calculated")=TRUE,"Not Calculated",AVERAGE(J526,J533))</f>
        <v>Not Calculated</v>
      </c>
      <c r="K537" s="41"/>
    </row>
    <row r="538" spans="2:11" x14ac:dyDescent="0.2">
      <c r="B538" s="38"/>
      <c r="C538" s="40"/>
      <c r="D538" s="40"/>
      <c r="E538" s="40"/>
      <c r="F538" s="40"/>
      <c r="G538" s="40"/>
      <c r="H538" s="40"/>
      <c r="I538" s="40"/>
      <c r="J538" s="40"/>
      <c r="K538" s="41"/>
    </row>
    <row r="539" spans="2:11" ht="18" x14ac:dyDescent="0.2">
      <c r="B539" s="38"/>
      <c r="C539" s="180" t="s">
        <v>302</v>
      </c>
      <c r="D539" s="40"/>
      <c r="E539" s="40"/>
      <c r="F539" s="40"/>
      <c r="G539" s="40"/>
      <c r="H539" s="40"/>
      <c r="I539" s="40"/>
      <c r="J539" s="244" t="str">
        <f>IF(OR(J440="Not Calculated",J457="Not Calculated",J473="Not Calculated",J488="Not Calculated",J504="Not Calculated",J520="Not Calculated",J537="Not Calculated")=TRUE,"Not Calculated",AVERAGE(J440,J457,J473,J488,J504,J520,J537))</f>
        <v>Not Calculated</v>
      </c>
      <c r="K539" s="41"/>
    </row>
    <row r="540" spans="2:11" ht="16" thickBot="1" x14ac:dyDescent="0.25">
      <c r="B540" s="46"/>
      <c r="C540" s="47"/>
      <c r="D540" s="47"/>
      <c r="E540" s="47"/>
      <c r="F540" s="47"/>
      <c r="G540" s="47"/>
      <c r="H540" s="47"/>
      <c r="I540" s="47"/>
      <c r="J540" s="47"/>
      <c r="K540" s="49"/>
    </row>
    <row r="541" spans="2:11" ht="16" thickBot="1" x14ac:dyDescent="0.25"/>
    <row r="542" spans="2:11" x14ac:dyDescent="0.2">
      <c r="B542" s="33"/>
      <c r="C542" s="34"/>
      <c r="D542" s="34"/>
      <c r="E542" s="34"/>
      <c r="F542" s="34"/>
      <c r="G542" s="34"/>
      <c r="H542" s="34"/>
      <c r="I542" s="34"/>
      <c r="J542" s="34"/>
      <c r="K542" s="37"/>
    </row>
    <row r="543" spans="2:11" ht="21" x14ac:dyDescent="0.25">
      <c r="B543" s="38"/>
      <c r="C543" s="40"/>
      <c r="D543" s="40"/>
      <c r="E543" s="40"/>
      <c r="F543" s="40"/>
      <c r="G543" s="172" t="s">
        <v>29</v>
      </c>
      <c r="H543" s="40"/>
      <c r="I543" s="40"/>
      <c r="J543" s="40"/>
      <c r="K543" s="41"/>
    </row>
    <row r="544" spans="2:11" ht="15" customHeight="1" x14ac:dyDescent="0.2">
      <c r="B544" s="38"/>
      <c r="C544" s="40"/>
      <c r="D544" s="40"/>
      <c r="E544" s="40"/>
      <c r="F544" s="40"/>
      <c r="G544" s="40"/>
      <c r="H544" s="40"/>
      <c r="I544" s="40"/>
      <c r="J544" s="40"/>
      <c r="K544" s="41"/>
    </row>
    <row r="545" spans="2:14" ht="16" x14ac:dyDescent="0.2">
      <c r="B545" s="38"/>
      <c r="C545" s="45" t="s">
        <v>88</v>
      </c>
      <c r="D545" s="40"/>
      <c r="E545" s="40"/>
      <c r="F545" s="40"/>
      <c r="G545" s="40"/>
      <c r="H545" s="40"/>
      <c r="I545" s="40"/>
      <c r="J545" s="40"/>
      <c r="K545" s="41"/>
    </row>
    <row r="546" spans="2:14" x14ac:dyDescent="0.2">
      <c r="B546" s="38"/>
      <c r="C546" s="40" t="s">
        <v>448</v>
      </c>
      <c r="D546" s="40"/>
      <c r="E546" s="40"/>
      <c r="F546" s="40"/>
      <c r="G546" s="40"/>
      <c r="H546" s="40"/>
      <c r="I546" s="40"/>
      <c r="J546" s="251">
        <f>'Baseline Health'!G123</f>
        <v>0</v>
      </c>
      <c r="K546" s="41"/>
    </row>
    <row r="547" spans="2:14" x14ac:dyDescent="0.2">
      <c r="B547" s="38"/>
      <c r="C547" s="40" t="s">
        <v>322</v>
      </c>
      <c r="D547" s="40"/>
      <c r="E547" s="40"/>
      <c r="F547" s="40"/>
      <c r="G547" s="40"/>
      <c r="H547" s="40"/>
      <c r="I547" s="40"/>
      <c r="J547" s="264"/>
      <c r="K547" s="41"/>
    </row>
    <row r="548" spans="2:14" x14ac:dyDescent="0.2">
      <c r="B548" s="38"/>
      <c r="C548" s="40" t="s">
        <v>428</v>
      </c>
      <c r="D548" s="40"/>
      <c r="E548" s="40"/>
      <c r="F548" s="40"/>
      <c r="G548" s="40"/>
      <c r="H548" s="40"/>
      <c r="I548" s="40"/>
      <c r="J548" s="264"/>
      <c r="K548" s="41"/>
    </row>
    <row r="549" spans="2:14" x14ac:dyDescent="0.2">
      <c r="B549" s="38"/>
      <c r="C549" s="40" t="s">
        <v>260</v>
      </c>
      <c r="D549" s="40"/>
      <c r="E549" s="40"/>
      <c r="F549" s="40"/>
      <c r="G549" s="40"/>
      <c r="H549" s="40"/>
      <c r="I549" s="40"/>
      <c r="J549" s="245" t="str">
        <f>IF(OR(J546=0,J546="Not Calculated")=TRUE,"Not Calculated",IF(J546-J547=0,4,(IF(((J546+J548)/(J546-J547))&lt;=1,0,IF(((J546+J548)/(J546-J547))&lt;=1.05,1,IF(((J546+J548)/(J546-J547))&lt;=1.5, 2,IF(((J546+J548)/(J546-J547))&lt;=2,3,4)))))))</f>
        <v>Not Calculated</v>
      </c>
      <c r="K549" s="41"/>
    </row>
    <row r="550" spans="2:14" ht="9.75" customHeight="1" x14ac:dyDescent="0.2">
      <c r="B550" s="38"/>
      <c r="C550" s="279" t="str">
        <f>"0:"</f>
        <v>0:</v>
      </c>
      <c r="D550" s="278" t="s">
        <v>918</v>
      </c>
      <c r="E550" s="40"/>
      <c r="F550" s="40"/>
      <c r="G550" s="40"/>
      <c r="H550" s="40"/>
      <c r="I550" s="40"/>
      <c r="J550" s="251"/>
      <c r="K550" s="41"/>
    </row>
    <row r="551" spans="2:14" ht="9.75" customHeight="1" x14ac:dyDescent="0.2">
      <c r="B551" s="38"/>
      <c r="C551" s="280" t="str">
        <f>"1:"</f>
        <v>1:</v>
      </c>
      <c r="D551" s="278" t="s">
        <v>923</v>
      </c>
      <c r="E551" s="40"/>
      <c r="F551" s="40"/>
      <c r="G551" s="40"/>
      <c r="H551" s="40"/>
      <c r="I551" s="40"/>
      <c r="J551" s="251"/>
      <c r="K551" s="41"/>
    </row>
    <row r="552" spans="2:14" ht="9.75" customHeight="1" x14ac:dyDescent="0.2">
      <c r="B552" s="38"/>
      <c r="C552" s="280" t="str">
        <f>"2:"</f>
        <v>2:</v>
      </c>
      <c r="D552" s="278" t="s">
        <v>924</v>
      </c>
      <c r="E552" s="40"/>
      <c r="F552" s="40"/>
      <c r="G552" s="40"/>
      <c r="H552" s="40"/>
      <c r="I552" s="40"/>
      <c r="J552" s="251"/>
      <c r="K552" s="41"/>
    </row>
    <row r="553" spans="2:14" ht="9.75" customHeight="1" x14ac:dyDescent="0.2">
      <c r="B553" s="38"/>
      <c r="C553" s="280" t="str">
        <f>"3:"</f>
        <v>3:</v>
      </c>
      <c r="D553" s="278" t="s">
        <v>925</v>
      </c>
      <c r="E553" s="40"/>
      <c r="F553" s="40"/>
      <c r="G553" s="40"/>
      <c r="H553" s="40"/>
      <c r="I553" s="40"/>
      <c r="J553" s="251"/>
      <c r="K553" s="41"/>
    </row>
    <row r="554" spans="2:14" ht="9.75" customHeight="1" x14ac:dyDescent="0.2">
      <c r="B554" s="38"/>
      <c r="C554" s="280" t="str">
        <f>"4:"</f>
        <v>4:</v>
      </c>
      <c r="D554" s="278" t="s">
        <v>926</v>
      </c>
      <c r="E554" s="40"/>
      <c r="F554" s="40"/>
      <c r="G554" s="40"/>
      <c r="H554" s="40"/>
      <c r="I554" s="40"/>
      <c r="J554" s="40"/>
      <c r="K554" s="41"/>
      <c r="N554" s="12" t="s">
        <v>661</v>
      </c>
    </row>
    <row r="555" spans="2:14" x14ac:dyDescent="0.2">
      <c r="B555" s="38"/>
      <c r="C555" s="174" t="s">
        <v>662</v>
      </c>
      <c r="D555" s="40"/>
      <c r="E555" s="40"/>
      <c r="F555" s="40"/>
      <c r="G555" s="40"/>
      <c r="H555" s="40"/>
      <c r="I555" s="40"/>
      <c r="J555" s="265" t="s">
        <v>661</v>
      </c>
      <c r="K555" s="41"/>
      <c r="N555" s="12" t="s">
        <v>894</v>
      </c>
    </row>
    <row r="556" spans="2:14" x14ac:dyDescent="0.2">
      <c r="B556" s="38"/>
      <c r="C556" s="174" t="s">
        <v>660</v>
      </c>
      <c r="D556" s="40"/>
      <c r="E556" s="40"/>
      <c r="F556" s="40"/>
      <c r="G556" s="40"/>
      <c r="H556" s="40"/>
      <c r="I556" s="40"/>
      <c r="J556" s="247" t="str">
        <f>IF(J555=N554,"N/A",IF(J555=N555,0,IF(J555=N556,1,IF(J555=N557,2,IF(J555=N558,3,IF(J555=N559,4,"N/A"))))))</f>
        <v>N/A</v>
      </c>
      <c r="K556" s="41"/>
      <c r="N556" s="12" t="s">
        <v>899</v>
      </c>
    </row>
    <row r="557" spans="2:14" x14ac:dyDescent="0.2">
      <c r="B557" s="38"/>
      <c r="C557" s="40" t="s">
        <v>257</v>
      </c>
      <c r="D557" s="40"/>
      <c r="E557" s="40"/>
      <c r="F557" s="40"/>
      <c r="G557" s="40"/>
      <c r="H557" s="40"/>
      <c r="I557" s="40"/>
      <c r="J557" s="266"/>
      <c r="K557" s="41"/>
      <c r="N557" s="12" t="s">
        <v>900</v>
      </c>
    </row>
    <row r="558" spans="2:14" x14ac:dyDescent="0.2">
      <c r="B558" s="38"/>
      <c r="C558" s="40" t="s">
        <v>261</v>
      </c>
      <c r="D558" s="40"/>
      <c r="E558" s="40"/>
      <c r="F558" s="40"/>
      <c r="G558" s="40"/>
      <c r="H558" s="40"/>
      <c r="I558" s="40"/>
      <c r="J558" s="245" t="str">
        <f>IF(J557=$B$973,$A$973,IF(J557=$B$974,$A$974,IF(J557=$B$975,$A$975,IF(J557=$B$976,$A$976,IF(J557=$B$977,$A$977,"Not Calculated")))))</f>
        <v>Not Calculated</v>
      </c>
      <c r="K558" s="41"/>
      <c r="N558" s="12" t="s">
        <v>901</v>
      </c>
    </row>
    <row r="559" spans="2:14" x14ac:dyDescent="0.2">
      <c r="B559" s="38"/>
      <c r="C559" s="40" t="s">
        <v>893</v>
      </c>
      <c r="D559" s="40"/>
      <c r="E559" s="40"/>
      <c r="F559" s="40"/>
      <c r="G559" s="40"/>
      <c r="H559" s="40"/>
      <c r="I559" s="40"/>
      <c r="J559" s="40"/>
      <c r="K559" s="41"/>
      <c r="N559" s="12" t="s">
        <v>902</v>
      </c>
    </row>
    <row r="560" spans="2:14" ht="15" customHeight="1" x14ac:dyDescent="0.2">
      <c r="B560" s="38"/>
      <c r="C560" s="399"/>
      <c r="D560" s="400"/>
      <c r="E560" s="400"/>
      <c r="F560" s="400"/>
      <c r="G560" s="400"/>
      <c r="H560" s="400"/>
      <c r="I560" s="400"/>
      <c r="J560" s="401"/>
      <c r="K560" s="41"/>
    </row>
    <row r="561" spans="2:11" x14ac:dyDescent="0.2">
      <c r="B561" s="38"/>
      <c r="C561" s="40"/>
      <c r="D561" s="40"/>
      <c r="E561" s="40"/>
      <c r="F561" s="40"/>
      <c r="G561" s="40"/>
      <c r="H561" s="40"/>
      <c r="I561" s="40"/>
      <c r="J561" s="40"/>
      <c r="K561" s="41"/>
    </row>
    <row r="562" spans="2:11" x14ac:dyDescent="0.2">
      <c r="B562" s="38"/>
      <c r="C562" s="179" t="s">
        <v>323</v>
      </c>
      <c r="D562" s="40"/>
      <c r="E562" s="40"/>
      <c r="F562" s="40"/>
      <c r="G562" s="40"/>
      <c r="H562" s="40"/>
      <c r="I562" s="40"/>
      <c r="J562" s="245" t="str">
        <f>IF(J556="N/A",IF(OR(J549="Not Calculated",J558="Not Calculated")=TRUE,"Not Calculated",AVERAGE(J549,J558)),AVERAGE(J556,J558))</f>
        <v>Not Calculated</v>
      </c>
      <c r="K562" s="41"/>
    </row>
    <row r="563" spans="2:11" x14ac:dyDescent="0.2">
      <c r="B563" s="38"/>
      <c r="C563" s="40"/>
      <c r="D563" s="40"/>
      <c r="E563" s="40"/>
      <c r="F563" s="40"/>
      <c r="G563" s="40"/>
      <c r="H563" s="40"/>
      <c r="I563" s="40"/>
      <c r="J563" s="40"/>
      <c r="K563" s="41"/>
    </row>
    <row r="564" spans="2:11" x14ac:dyDescent="0.2">
      <c r="B564" s="38"/>
      <c r="C564" s="40"/>
      <c r="D564" s="40"/>
      <c r="E564" s="40"/>
      <c r="F564" s="40"/>
      <c r="G564" s="40"/>
      <c r="H564" s="40"/>
      <c r="I564" s="40"/>
      <c r="J564" s="40"/>
      <c r="K564" s="41"/>
    </row>
    <row r="565" spans="2:11" ht="16" x14ac:dyDescent="0.2">
      <c r="B565" s="38"/>
      <c r="C565" s="45" t="s">
        <v>89</v>
      </c>
      <c r="D565" s="40"/>
      <c r="E565" s="40"/>
      <c r="F565" s="40"/>
      <c r="G565" s="40"/>
      <c r="H565" s="40"/>
      <c r="I565" s="40"/>
      <c r="J565" s="40"/>
      <c r="K565" s="41"/>
    </row>
    <row r="566" spans="2:11" ht="15" customHeight="1" x14ac:dyDescent="0.2">
      <c r="B566" s="38"/>
      <c r="C566" s="380" t="s">
        <v>333</v>
      </c>
      <c r="D566" s="380"/>
      <c r="E566" s="380"/>
      <c r="F566" s="380"/>
      <c r="G566" s="380"/>
      <c r="H566" s="380"/>
      <c r="I566" s="380"/>
      <c r="J566" s="40"/>
      <c r="K566" s="41"/>
    </row>
    <row r="567" spans="2:11" x14ac:dyDescent="0.2">
      <c r="B567" s="38"/>
      <c r="C567" s="380"/>
      <c r="D567" s="380"/>
      <c r="E567" s="380"/>
      <c r="F567" s="380"/>
      <c r="G567" s="380"/>
      <c r="H567" s="380"/>
      <c r="I567" s="380"/>
      <c r="J567" s="40"/>
      <c r="K567" s="41"/>
    </row>
    <row r="568" spans="2:11" x14ac:dyDescent="0.2">
      <c r="B568" s="38"/>
      <c r="C568" s="380"/>
      <c r="D568" s="380"/>
      <c r="E568" s="380"/>
      <c r="F568" s="380"/>
      <c r="G568" s="380"/>
      <c r="H568" s="380"/>
      <c r="I568" s="380"/>
      <c r="J568" s="251">
        <f>'Baseline Health'!G132</f>
        <v>0</v>
      </c>
      <c r="K568" s="41"/>
    </row>
    <row r="569" spans="2:11" ht="15" customHeight="1" x14ac:dyDescent="0.2">
      <c r="B569" s="38"/>
      <c r="C569" s="380" t="s">
        <v>334</v>
      </c>
      <c r="D569" s="380"/>
      <c r="E569" s="380"/>
      <c r="F569" s="380"/>
      <c r="G569" s="380"/>
      <c r="H569" s="380"/>
      <c r="I569" s="380"/>
      <c r="J569" s="245"/>
      <c r="K569" s="41"/>
    </row>
    <row r="570" spans="2:11" x14ac:dyDescent="0.2">
      <c r="B570" s="38"/>
      <c r="C570" s="380"/>
      <c r="D570" s="380"/>
      <c r="E570" s="380"/>
      <c r="F570" s="380"/>
      <c r="G570" s="380"/>
      <c r="H570" s="380"/>
      <c r="I570" s="380"/>
      <c r="J570" s="245"/>
      <c r="K570" s="41"/>
    </row>
    <row r="571" spans="2:11" x14ac:dyDescent="0.2">
      <c r="B571" s="38"/>
      <c r="C571" s="380"/>
      <c r="D571" s="380"/>
      <c r="E571" s="380"/>
      <c r="F571" s="380"/>
      <c r="G571" s="380"/>
      <c r="H571" s="380"/>
      <c r="I571" s="380"/>
      <c r="J571" s="264"/>
      <c r="K571" s="41"/>
    </row>
    <row r="572" spans="2:11" x14ac:dyDescent="0.2">
      <c r="B572" s="38"/>
      <c r="C572" s="40" t="s">
        <v>260</v>
      </c>
      <c r="D572" s="40"/>
      <c r="E572" s="40"/>
      <c r="F572" s="40"/>
      <c r="G572" s="40"/>
      <c r="H572" s="40"/>
      <c r="I572" s="40"/>
      <c r="J572" s="245" t="str">
        <f>IF(OR(J568=0,J568="Not Calculated")=TRUE,"Not Calculated",IF(((J568+J571)/J568)&lt;=1,0,IF(((J568+J571)/J568)&lt;=1.05,1,IF(((J568+J571)/J568)&lt;=1.5, 2,IF(((J568+J571)/J568)&lt;=2,3,4)))))</f>
        <v>Not Calculated</v>
      </c>
      <c r="K572" s="41"/>
    </row>
    <row r="573" spans="2:11" ht="9.75" customHeight="1" x14ac:dyDescent="0.2">
      <c r="B573" s="38"/>
      <c r="C573" s="279" t="str">
        <f>"0:"</f>
        <v>0:</v>
      </c>
      <c r="D573" s="281" t="s">
        <v>918</v>
      </c>
      <c r="E573" s="291"/>
      <c r="F573" s="291"/>
      <c r="G573" s="291"/>
      <c r="H573" s="291"/>
      <c r="I573" s="291"/>
      <c r="J573" s="251"/>
      <c r="K573" s="41"/>
    </row>
    <row r="574" spans="2:11" ht="9.75" customHeight="1" x14ac:dyDescent="0.2">
      <c r="B574" s="38"/>
      <c r="C574" s="280" t="str">
        <f>"1:"</f>
        <v>1:</v>
      </c>
      <c r="D574" s="281" t="s">
        <v>919</v>
      </c>
      <c r="E574" s="291"/>
      <c r="F574" s="291"/>
      <c r="G574" s="291"/>
      <c r="H574" s="291"/>
      <c r="I574" s="291"/>
      <c r="J574" s="251"/>
      <c r="K574" s="41"/>
    </row>
    <row r="575" spans="2:11" ht="9.75" customHeight="1" x14ac:dyDescent="0.2">
      <c r="B575" s="38"/>
      <c r="C575" s="280" t="str">
        <f>"2:"</f>
        <v>2:</v>
      </c>
      <c r="D575" s="281" t="s">
        <v>920</v>
      </c>
      <c r="E575" s="291"/>
      <c r="F575" s="291"/>
      <c r="G575" s="291"/>
      <c r="H575" s="291"/>
      <c r="I575" s="291"/>
      <c r="J575" s="251"/>
      <c r="K575" s="41"/>
    </row>
    <row r="576" spans="2:11" ht="9.75" customHeight="1" x14ac:dyDescent="0.2">
      <c r="B576" s="38"/>
      <c r="C576" s="280" t="str">
        <f>"3:"</f>
        <v>3:</v>
      </c>
      <c r="D576" s="281" t="s">
        <v>921</v>
      </c>
      <c r="E576" s="291"/>
      <c r="F576" s="291"/>
      <c r="G576" s="291"/>
      <c r="H576" s="291"/>
      <c r="I576" s="291"/>
      <c r="J576" s="251"/>
      <c r="K576" s="41"/>
    </row>
    <row r="577" spans="2:14" ht="9.75" customHeight="1" x14ac:dyDescent="0.2">
      <c r="B577" s="38"/>
      <c r="C577" s="280" t="str">
        <f>"4:"</f>
        <v>4:</v>
      </c>
      <c r="D577" s="281" t="s">
        <v>922</v>
      </c>
      <c r="E577" s="40"/>
      <c r="F577" s="40"/>
      <c r="G577" s="40"/>
      <c r="H577" s="40"/>
      <c r="I577" s="40"/>
      <c r="J577" s="40"/>
      <c r="K577" s="41"/>
      <c r="N577" s="12" t="s">
        <v>661</v>
      </c>
    </row>
    <row r="578" spans="2:14" ht="15" customHeight="1" x14ac:dyDescent="0.2">
      <c r="B578" s="38"/>
      <c r="C578" s="174" t="s">
        <v>662</v>
      </c>
      <c r="D578" s="40"/>
      <c r="E578" s="40"/>
      <c r="F578" s="40"/>
      <c r="G578" s="40"/>
      <c r="H578" s="40"/>
      <c r="I578" s="40"/>
      <c r="J578" s="265" t="s">
        <v>661</v>
      </c>
      <c r="K578" s="41"/>
      <c r="N578" s="12" t="s">
        <v>894</v>
      </c>
    </row>
    <row r="579" spans="2:14" ht="15" customHeight="1" x14ac:dyDescent="0.2">
      <c r="B579" s="38"/>
      <c r="C579" s="174" t="s">
        <v>660</v>
      </c>
      <c r="D579" s="40"/>
      <c r="E579" s="40"/>
      <c r="F579" s="40"/>
      <c r="G579" s="40"/>
      <c r="H579" s="40"/>
      <c r="I579" s="40"/>
      <c r="J579" s="247" t="str">
        <f>IF(J578=N577,"N/A",IF(J578=N578,0,IF(J578=N579,1,IF(J578=N580,2,IF(J578=N581,3,IF(J578=N582,4,"N/A"))))))</f>
        <v>N/A</v>
      </c>
      <c r="K579" s="41"/>
      <c r="N579" s="12" t="s">
        <v>895</v>
      </c>
    </row>
    <row r="580" spans="2:14" x14ac:dyDescent="0.2">
      <c r="B580" s="38"/>
      <c r="C580" s="40" t="s">
        <v>257</v>
      </c>
      <c r="D580" s="40"/>
      <c r="E580" s="40"/>
      <c r="F580" s="40"/>
      <c r="G580" s="40"/>
      <c r="H580" s="40"/>
      <c r="I580" s="40"/>
      <c r="J580" s="266"/>
      <c r="K580" s="41"/>
      <c r="N580" s="12" t="s">
        <v>896</v>
      </c>
    </row>
    <row r="581" spans="2:14" x14ac:dyDescent="0.2">
      <c r="B581" s="38"/>
      <c r="C581" s="40" t="s">
        <v>261</v>
      </c>
      <c r="D581" s="40"/>
      <c r="E581" s="40"/>
      <c r="F581" s="40"/>
      <c r="G581" s="40"/>
      <c r="H581" s="40"/>
      <c r="I581" s="40"/>
      <c r="J581" s="245" t="str">
        <f>IF(J580=$B$973,$A$973,IF(J580=$B$974,$A$974,IF(J580=$B$975,$A$975,IF(J580=$B$976,$A$976,IF(J580=$B$977,$A$977,"Not Calculated")))))</f>
        <v>Not Calculated</v>
      </c>
      <c r="K581" s="41"/>
      <c r="N581" s="12" t="s">
        <v>897</v>
      </c>
    </row>
    <row r="582" spans="2:14" x14ac:dyDescent="0.2">
      <c r="B582" s="38"/>
      <c r="C582" s="40" t="s">
        <v>893</v>
      </c>
      <c r="D582" s="40"/>
      <c r="E582" s="40"/>
      <c r="F582" s="40"/>
      <c r="G582" s="40"/>
      <c r="H582" s="40"/>
      <c r="I582" s="40"/>
      <c r="J582" s="40"/>
      <c r="K582" s="41"/>
      <c r="N582" s="12" t="s">
        <v>898</v>
      </c>
    </row>
    <row r="583" spans="2:14" ht="15" customHeight="1" x14ac:dyDescent="0.2">
      <c r="B583" s="38"/>
      <c r="C583" s="399"/>
      <c r="D583" s="400"/>
      <c r="E583" s="400"/>
      <c r="F583" s="400"/>
      <c r="G583" s="400"/>
      <c r="H583" s="400"/>
      <c r="I583" s="400"/>
      <c r="J583" s="401"/>
      <c r="K583" s="41"/>
    </row>
    <row r="584" spans="2:14" x14ac:dyDescent="0.2">
      <c r="B584" s="38"/>
      <c r="C584" s="40"/>
      <c r="D584" s="40"/>
      <c r="E584" s="40"/>
      <c r="F584" s="40"/>
      <c r="G584" s="40"/>
      <c r="H584" s="40"/>
      <c r="I584" s="40"/>
      <c r="J584" s="40"/>
      <c r="K584" s="41"/>
    </row>
    <row r="585" spans="2:14" x14ac:dyDescent="0.2">
      <c r="B585" s="38"/>
      <c r="C585" s="179" t="s">
        <v>324</v>
      </c>
      <c r="D585" s="40"/>
      <c r="E585" s="40"/>
      <c r="F585" s="40"/>
      <c r="G585" s="40"/>
      <c r="H585" s="40"/>
      <c r="I585" s="40"/>
      <c r="J585" s="245" t="str">
        <f>IF(J579="N/A",IF(OR(J572="Not Calculated",J581="Not Calculated")=TRUE,"Not Calculated",AVERAGE(J572,J581)),AVERAGE(J579,J581))</f>
        <v>Not Calculated</v>
      </c>
      <c r="K585" s="41"/>
    </row>
    <row r="586" spans="2:14" x14ac:dyDescent="0.2">
      <c r="B586" s="38"/>
      <c r="C586" s="40"/>
      <c r="D586" s="40"/>
      <c r="E586" s="40"/>
      <c r="F586" s="40"/>
      <c r="G586" s="40"/>
      <c r="H586" s="40"/>
      <c r="I586" s="40"/>
      <c r="J586" s="40"/>
      <c r="K586" s="41"/>
    </row>
    <row r="587" spans="2:14" x14ac:dyDescent="0.2">
      <c r="B587" s="38"/>
      <c r="C587" s="40"/>
      <c r="D587" s="40"/>
      <c r="E587" s="40"/>
      <c r="F587" s="40"/>
      <c r="G587" s="40"/>
      <c r="H587" s="40"/>
      <c r="I587" s="40"/>
      <c r="J587" s="40"/>
      <c r="K587" s="41"/>
    </row>
    <row r="588" spans="2:14" ht="16" x14ac:dyDescent="0.2">
      <c r="B588" s="38"/>
      <c r="C588" s="45" t="s">
        <v>115</v>
      </c>
      <c r="D588" s="40"/>
      <c r="E588" s="40"/>
      <c r="F588" s="40"/>
      <c r="G588" s="40"/>
      <c r="H588" s="40"/>
      <c r="I588" s="40"/>
      <c r="J588" s="40"/>
      <c r="K588" s="41"/>
    </row>
    <row r="589" spans="2:14" x14ac:dyDescent="0.2">
      <c r="B589" s="38"/>
      <c r="C589" s="40" t="s">
        <v>335</v>
      </c>
      <c r="D589" s="40"/>
      <c r="E589" s="40"/>
      <c r="F589" s="40"/>
      <c r="G589" s="40"/>
      <c r="H589" s="40"/>
      <c r="I589" s="40"/>
      <c r="J589" s="264"/>
      <c r="K589" s="41"/>
    </row>
    <row r="590" spans="2:14" x14ac:dyDescent="0.2">
      <c r="B590" s="38"/>
      <c r="C590" s="40" t="s">
        <v>260</v>
      </c>
      <c r="D590" s="40"/>
      <c r="E590" s="40"/>
      <c r="F590" s="40"/>
      <c r="G590" s="40"/>
      <c r="H590" s="40"/>
      <c r="I590" s="40"/>
      <c r="J590" s="255">
        <f>IF(J589&lt;=0,0,IF(J589&lt;=1000,1,IF(J589&lt;=5000,2,IF(J589&lt;=25000,3,4))))</f>
        <v>0</v>
      </c>
      <c r="K590" s="41"/>
    </row>
    <row r="591" spans="2:14" ht="9.75" customHeight="1" x14ac:dyDescent="0.2">
      <c r="B591" s="38"/>
      <c r="C591" s="279" t="str">
        <f>"0:"</f>
        <v>0:</v>
      </c>
      <c r="D591" s="284" t="s">
        <v>970</v>
      </c>
      <c r="E591" s="40"/>
      <c r="F591" s="40"/>
      <c r="G591" s="40"/>
      <c r="H591" s="40"/>
      <c r="I591" s="40"/>
      <c r="J591" s="251"/>
      <c r="K591" s="41"/>
    </row>
    <row r="592" spans="2:14" ht="9.75" customHeight="1" x14ac:dyDescent="0.2">
      <c r="B592" s="38"/>
      <c r="C592" s="280" t="str">
        <f>"1:"</f>
        <v>1:</v>
      </c>
      <c r="D592" s="284" t="s">
        <v>961</v>
      </c>
      <c r="E592" s="40"/>
      <c r="F592" s="40"/>
      <c r="G592" s="40"/>
      <c r="H592" s="40"/>
      <c r="I592" s="40"/>
      <c r="J592" s="251"/>
      <c r="K592" s="41"/>
    </row>
    <row r="593" spans="2:11" ht="9.75" customHeight="1" x14ac:dyDescent="0.2">
      <c r="B593" s="38"/>
      <c r="C593" s="280" t="str">
        <f>"2:"</f>
        <v>2:</v>
      </c>
      <c r="D593" s="284" t="s">
        <v>971</v>
      </c>
      <c r="E593" s="40"/>
      <c r="F593" s="40"/>
      <c r="G593" s="40"/>
      <c r="H593" s="40"/>
      <c r="I593" s="40"/>
      <c r="J593" s="251"/>
      <c r="K593" s="41"/>
    </row>
    <row r="594" spans="2:11" ht="9.75" customHeight="1" x14ac:dyDescent="0.2">
      <c r="B594" s="38"/>
      <c r="C594" s="280" t="str">
        <f>"3:"</f>
        <v>3:</v>
      </c>
      <c r="D594" s="284" t="s">
        <v>963</v>
      </c>
      <c r="E594" s="40"/>
      <c r="F594" s="40"/>
      <c r="G594" s="40"/>
      <c r="H594" s="40"/>
      <c r="I594" s="40"/>
      <c r="J594" s="251"/>
      <c r="K594" s="41"/>
    </row>
    <row r="595" spans="2:11" ht="9.75" customHeight="1" x14ac:dyDescent="0.2">
      <c r="B595" s="38"/>
      <c r="C595" s="280" t="str">
        <f>"4:"</f>
        <v>4:</v>
      </c>
      <c r="D595" s="284" t="s">
        <v>964</v>
      </c>
      <c r="E595" s="40"/>
      <c r="F595" s="40"/>
      <c r="G595" s="40"/>
      <c r="H595" s="40"/>
      <c r="I595" s="40"/>
      <c r="J595" s="40"/>
      <c r="K595" s="41"/>
    </row>
    <row r="596" spans="2:11" ht="15" customHeight="1" x14ac:dyDescent="0.2">
      <c r="B596" s="38"/>
      <c r="C596" s="40" t="s">
        <v>257</v>
      </c>
      <c r="D596" s="40"/>
      <c r="E596" s="40"/>
      <c r="F596" s="40"/>
      <c r="G596" s="40"/>
      <c r="H596" s="40"/>
      <c r="I596" s="40"/>
      <c r="J596" s="266"/>
      <c r="K596" s="41"/>
    </row>
    <row r="597" spans="2:11" ht="15" customHeight="1" x14ac:dyDescent="0.2">
      <c r="B597" s="38"/>
      <c r="C597" s="40" t="s">
        <v>261</v>
      </c>
      <c r="D597" s="40"/>
      <c r="E597" s="40"/>
      <c r="F597" s="40"/>
      <c r="G597" s="40"/>
      <c r="H597" s="40"/>
      <c r="I597" s="40"/>
      <c r="J597" s="245" t="str">
        <f>IF(J596=$B$973,$A$973,IF(J596=$B$974,$A$974,IF(J596=$B$975,$A$975,IF(J596=$B$976,$A$976,IF(J596=$B$977,$A$977,"Not Calculated")))))</f>
        <v>Not Calculated</v>
      </c>
      <c r="K597" s="41"/>
    </row>
    <row r="598" spans="2:11" x14ac:dyDescent="0.2">
      <c r="B598" s="38"/>
      <c r="C598" s="40" t="s">
        <v>893</v>
      </c>
      <c r="D598" s="40"/>
      <c r="E598" s="40"/>
      <c r="F598" s="40"/>
      <c r="G598" s="40"/>
      <c r="H598" s="40"/>
      <c r="I598" s="40"/>
      <c r="J598" s="40"/>
      <c r="K598" s="41"/>
    </row>
    <row r="599" spans="2:11" ht="15" customHeight="1" x14ac:dyDescent="0.2">
      <c r="B599" s="38"/>
      <c r="C599" s="399"/>
      <c r="D599" s="400"/>
      <c r="E599" s="400"/>
      <c r="F599" s="400"/>
      <c r="G599" s="400"/>
      <c r="H599" s="400"/>
      <c r="I599" s="400"/>
      <c r="J599" s="401"/>
      <c r="K599" s="41"/>
    </row>
    <row r="600" spans="2:11" x14ac:dyDescent="0.2">
      <c r="B600" s="38"/>
      <c r="C600" s="40"/>
      <c r="D600" s="40"/>
      <c r="E600" s="40"/>
      <c r="F600" s="40"/>
      <c r="G600" s="40"/>
      <c r="H600" s="40"/>
      <c r="I600" s="40"/>
      <c r="J600" s="40"/>
      <c r="K600" s="41"/>
    </row>
    <row r="601" spans="2:11" x14ac:dyDescent="0.2">
      <c r="B601" s="38"/>
      <c r="C601" s="179" t="s">
        <v>325</v>
      </c>
      <c r="D601" s="40"/>
      <c r="E601" s="40"/>
      <c r="F601" s="40"/>
      <c r="G601" s="40"/>
      <c r="H601" s="40"/>
      <c r="I601" s="40"/>
      <c r="J601" s="245">
        <f>IF(J590="Not Calculated","Not Calculated",AVERAGE(J590,J597))</f>
        <v>0</v>
      </c>
      <c r="K601" s="41"/>
    </row>
    <row r="602" spans="2:11" x14ac:dyDescent="0.2">
      <c r="B602" s="38"/>
      <c r="C602" s="40"/>
      <c r="D602" s="40"/>
      <c r="E602" s="40"/>
      <c r="F602" s="40"/>
      <c r="G602" s="40"/>
      <c r="H602" s="40"/>
      <c r="I602" s="40"/>
      <c r="J602" s="40"/>
      <c r="K602" s="41"/>
    </row>
    <row r="603" spans="2:11" x14ac:dyDescent="0.2">
      <c r="B603" s="38"/>
      <c r="C603" s="40"/>
      <c r="D603" s="40"/>
      <c r="E603" s="40"/>
      <c r="F603" s="40"/>
      <c r="G603" s="40"/>
      <c r="H603" s="40"/>
      <c r="I603" s="40"/>
      <c r="J603" s="40"/>
      <c r="K603" s="41"/>
    </row>
    <row r="604" spans="2:11" ht="16" x14ac:dyDescent="0.2">
      <c r="B604" s="38"/>
      <c r="C604" s="45" t="s">
        <v>326</v>
      </c>
      <c r="D604" s="40"/>
      <c r="E604" s="40"/>
      <c r="F604" s="40"/>
      <c r="G604" s="40"/>
      <c r="H604" s="40"/>
      <c r="I604" s="40"/>
      <c r="J604" s="40"/>
      <c r="K604" s="41"/>
    </row>
    <row r="605" spans="2:11" x14ac:dyDescent="0.2">
      <c r="B605" s="38"/>
      <c r="C605" s="40" t="s">
        <v>336</v>
      </c>
      <c r="D605" s="40"/>
      <c r="E605" s="40"/>
      <c r="F605" s="40"/>
      <c r="G605" s="40"/>
      <c r="H605" s="40"/>
      <c r="I605" s="40"/>
      <c r="J605" s="271"/>
      <c r="K605" s="41"/>
    </row>
    <row r="606" spans="2:11" x14ac:dyDescent="0.2">
      <c r="B606" s="38"/>
      <c r="C606" s="40" t="s">
        <v>260</v>
      </c>
      <c r="D606" s="40"/>
      <c r="E606" s="40"/>
      <c r="F606" s="40"/>
      <c r="G606" s="40"/>
      <c r="H606" s="40"/>
      <c r="I606" s="40"/>
      <c r="J606" s="248">
        <f>IF(J605&lt;=0,0,IF(J605&lt;=10,1,IF(J605&lt;=25,2,IF(J605&lt;=50,3,4))))</f>
        <v>0</v>
      </c>
      <c r="K606" s="41"/>
    </row>
    <row r="607" spans="2:11" ht="9.75" customHeight="1" x14ac:dyDescent="0.2">
      <c r="B607" s="38"/>
      <c r="C607" s="279" t="str">
        <f>"0:"</f>
        <v>0:</v>
      </c>
      <c r="D607" s="290" t="s">
        <v>944</v>
      </c>
      <c r="E607" s="40"/>
      <c r="F607" s="40"/>
      <c r="G607" s="40"/>
      <c r="H607" s="40"/>
      <c r="I607" s="40"/>
      <c r="J607" s="244"/>
      <c r="K607" s="41"/>
    </row>
    <row r="608" spans="2:11" ht="9.75" customHeight="1" x14ac:dyDescent="0.2">
      <c r="B608" s="38"/>
      <c r="C608" s="280" t="str">
        <f>"1:"</f>
        <v>1:</v>
      </c>
      <c r="D608" s="290" t="s">
        <v>947</v>
      </c>
      <c r="E608" s="40"/>
      <c r="F608" s="40"/>
      <c r="G608" s="40"/>
      <c r="H608" s="40"/>
      <c r="I608" s="40"/>
      <c r="J608" s="244"/>
      <c r="K608" s="41"/>
    </row>
    <row r="609" spans="2:11" ht="9.75" customHeight="1" x14ac:dyDescent="0.2">
      <c r="B609" s="38"/>
      <c r="C609" s="280" t="str">
        <f>"2:"</f>
        <v>2:</v>
      </c>
      <c r="D609" s="290" t="s">
        <v>972</v>
      </c>
      <c r="E609" s="40"/>
      <c r="F609" s="40"/>
      <c r="G609" s="40"/>
      <c r="H609" s="40"/>
      <c r="I609" s="40"/>
      <c r="J609" s="244"/>
      <c r="K609" s="41"/>
    </row>
    <row r="610" spans="2:11" ht="9.75" customHeight="1" x14ac:dyDescent="0.2">
      <c r="B610" s="38"/>
      <c r="C610" s="280" t="str">
        <f>"3:"</f>
        <v>3:</v>
      </c>
      <c r="D610" s="290" t="s">
        <v>973</v>
      </c>
      <c r="E610" s="40"/>
      <c r="F610" s="40"/>
      <c r="G610" s="40"/>
      <c r="H610" s="40"/>
      <c r="I610" s="40"/>
      <c r="J610" s="244"/>
      <c r="K610" s="41"/>
    </row>
    <row r="611" spans="2:11" ht="9.75" customHeight="1" x14ac:dyDescent="0.2">
      <c r="B611" s="38"/>
      <c r="C611" s="280" t="str">
        <f>"4:"</f>
        <v>4:</v>
      </c>
      <c r="D611" s="290" t="s">
        <v>974</v>
      </c>
      <c r="E611" s="40"/>
      <c r="F611" s="40"/>
      <c r="G611" s="40"/>
      <c r="H611" s="40"/>
      <c r="I611" s="40"/>
      <c r="J611" s="40"/>
      <c r="K611" s="41"/>
    </row>
    <row r="612" spans="2:11" x14ac:dyDescent="0.2">
      <c r="B612" s="38"/>
      <c r="C612" s="40" t="s">
        <v>893</v>
      </c>
      <c r="D612" s="40"/>
      <c r="E612" s="40"/>
      <c r="F612" s="40"/>
      <c r="G612" s="40"/>
      <c r="H612" s="40"/>
      <c r="I612" s="40"/>
      <c r="J612" s="40"/>
      <c r="K612" s="41"/>
    </row>
    <row r="613" spans="2:11" ht="15" customHeight="1" x14ac:dyDescent="0.2">
      <c r="B613" s="38"/>
      <c r="C613" s="399"/>
      <c r="D613" s="400"/>
      <c r="E613" s="400"/>
      <c r="F613" s="400"/>
      <c r="G613" s="400"/>
      <c r="H613" s="400"/>
      <c r="I613" s="400"/>
      <c r="J613" s="401"/>
      <c r="K613" s="41"/>
    </row>
    <row r="614" spans="2:11" x14ac:dyDescent="0.2">
      <c r="B614" s="38"/>
      <c r="C614" s="40"/>
      <c r="D614" s="40"/>
      <c r="E614" s="40"/>
      <c r="F614" s="40"/>
      <c r="G614" s="40"/>
      <c r="H614" s="40"/>
      <c r="I614" s="40"/>
      <c r="J614" s="40"/>
      <c r="K614" s="41"/>
    </row>
    <row r="615" spans="2:11" x14ac:dyDescent="0.2">
      <c r="B615" s="38"/>
      <c r="C615" s="179" t="s">
        <v>327</v>
      </c>
      <c r="D615" s="40"/>
      <c r="E615" s="40"/>
      <c r="F615" s="40"/>
      <c r="G615" s="40"/>
      <c r="H615" s="40"/>
      <c r="I615" s="40"/>
      <c r="J615" s="245">
        <f>J606</f>
        <v>0</v>
      </c>
      <c r="K615" s="41"/>
    </row>
    <row r="616" spans="2:11" x14ac:dyDescent="0.2">
      <c r="B616" s="38"/>
      <c r="C616" s="40"/>
      <c r="D616" s="40"/>
      <c r="E616" s="40"/>
      <c r="F616" s="40"/>
      <c r="G616" s="40"/>
      <c r="H616" s="40"/>
      <c r="I616" s="40"/>
      <c r="J616" s="40"/>
      <c r="K616" s="41"/>
    </row>
    <row r="617" spans="2:11" x14ac:dyDescent="0.2">
      <c r="B617" s="38"/>
      <c r="C617" s="40"/>
      <c r="D617" s="40"/>
      <c r="E617" s="40"/>
      <c r="F617" s="40"/>
      <c r="G617" s="40"/>
      <c r="H617" s="40"/>
      <c r="I617" s="40"/>
      <c r="J617" s="40"/>
      <c r="K617" s="41"/>
    </row>
    <row r="618" spans="2:11" ht="16" x14ac:dyDescent="0.2">
      <c r="B618" s="38"/>
      <c r="C618" s="45" t="s">
        <v>92</v>
      </c>
      <c r="D618" s="40"/>
      <c r="E618" s="40"/>
      <c r="F618" s="40"/>
      <c r="G618" s="40"/>
      <c r="H618" s="40"/>
      <c r="I618" s="40"/>
      <c r="J618" s="40"/>
      <c r="K618" s="41"/>
    </row>
    <row r="619" spans="2:11" x14ac:dyDescent="0.2">
      <c r="B619" s="38"/>
      <c r="C619" s="40" t="s">
        <v>337</v>
      </c>
      <c r="D619" s="40"/>
      <c r="E619" s="40"/>
      <c r="F619" s="40"/>
      <c r="G619" s="40"/>
      <c r="H619" s="40"/>
      <c r="I619" s="40"/>
      <c r="J619" s="251">
        <f>'Baseline Health'!G137</f>
        <v>1</v>
      </c>
      <c r="K619" s="41"/>
    </row>
    <row r="620" spans="2:11" ht="15" customHeight="1" x14ac:dyDescent="0.2">
      <c r="B620" s="38"/>
      <c r="C620" s="380" t="s">
        <v>338</v>
      </c>
      <c r="D620" s="380"/>
      <c r="E620" s="380"/>
      <c r="F620" s="380"/>
      <c r="G620" s="380"/>
      <c r="H620" s="380"/>
      <c r="I620" s="380"/>
      <c r="J620" s="251"/>
      <c r="K620" s="41"/>
    </row>
    <row r="621" spans="2:11" x14ac:dyDescent="0.2">
      <c r="B621" s="38"/>
      <c r="C621" s="380"/>
      <c r="D621" s="380"/>
      <c r="E621" s="380"/>
      <c r="F621" s="380"/>
      <c r="G621" s="380"/>
      <c r="H621" s="380"/>
      <c r="I621" s="380"/>
      <c r="J621" s="264"/>
      <c r="K621" s="41"/>
    </row>
    <row r="622" spans="2:11" x14ac:dyDescent="0.2">
      <c r="B622" s="38"/>
      <c r="C622" s="40" t="s">
        <v>260</v>
      </c>
      <c r="D622" s="40"/>
      <c r="E622" s="40"/>
      <c r="F622" s="40"/>
      <c r="G622" s="40"/>
      <c r="H622" s="40"/>
      <c r="I622" s="40"/>
      <c r="J622" s="245">
        <f>IF(OR(J619=0,J619="Not Calculated")=TRUE,"Not Calculated",IF(((J619+J621)/J619)&lt;=1,0,IF(((J619+J621)/J619)&lt;=1.05,1,IF(((J619+J621)/J619)&lt;=1.5, 2,IF(((J619+J621)/J619)&lt;=2,3,4)))))</f>
        <v>0</v>
      </c>
      <c r="K622" s="41"/>
    </row>
    <row r="623" spans="2:11" ht="9.75" customHeight="1" x14ac:dyDescent="0.2">
      <c r="B623" s="38"/>
      <c r="C623" s="279" t="str">
        <f>"0:"</f>
        <v>0:</v>
      </c>
      <c r="D623" s="281" t="s">
        <v>918</v>
      </c>
      <c r="E623" s="291"/>
      <c r="F623" s="291"/>
      <c r="G623" s="291"/>
      <c r="H623" s="291"/>
      <c r="I623" s="291"/>
      <c r="J623" s="251"/>
      <c r="K623" s="41"/>
    </row>
    <row r="624" spans="2:11" ht="9.75" customHeight="1" x14ac:dyDescent="0.2">
      <c r="B624" s="38"/>
      <c r="C624" s="280" t="str">
        <f>"1:"</f>
        <v>1:</v>
      </c>
      <c r="D624" s="281" t="s">
        <v>919</v>
      </c>
      <c r="E624" s="291"/>
      <c r="F624" s="291"/>
      <c r="G624" s="291"/>
      <c r="H624" s="291"/>
      <c r="I624" s="291"/>
      <c r="J624" s="251"/>
      <c r="K624" s="41"/>
    </row>
    <row r="625" spans="2:14" ht="9.75" customHeight="1" x14ac:dyDescent="0.2">
      <c r="B625" s="38"/>
      <c r="C625" s="280" t="str">
        <f>"2:"</f>
        <v>2:</v>
      </c>
      <c r="D625" s="281" t="s">
        <v>920</v>
      </c>
      <c r="E625" s="291"/>
      <c r="F625" s="291"/>
      <c r="G625" s="291"/>
      <c r="H625" s="291"/>
      <c r="I625" s="291"/>
      <c r="J625" s="251"/>
      <c r="K625" s="41"/>
    </row>
    <row r="626" spans="2:14" ht="9.75" customHeight="1" x14ac:dyDescent="0.2">
      <c r="B626" s="38"/>
      <c r="C626" s="280" t="str">
        <f>"3:"</f>
        <v>3:</v>
      </c>
      <c r="D626" s="281" t="s">
        <v>921</v>
      </c>
      <c r="E626" s="291"/>
      <c r="F626" s="291"/>
      <c r="G626" s="291"/>
      <c r="H626" s="291"/>
      <c r="I626" s="291"/>
      <c r="J626" s="251"/>
      <c r="K626" s="41"/>
    </row>
    <row r="627" spans="2:14" ht="9.75" customHeight="1" x14ac:dyDescent="0.2">
      <c r="B627" s="38"/>
      <c r="C627" s="280" t="str">
        <f>"4:"</f>
        <v>4:</v>
      </c>
      <c r="D627" s="281" t="s">
        <v>922</v>
      </c>
      <c r="E627" s="40"/>
      <c r="F627" s="40"/>
      <c r="G627" s="40"/>
      <c r="H627" s="40"/>
      <c r="I627" s="40"/>
      <c r="J627" s="40"/>
      <c r="K627" s="41"/>
      <c r="N627" s="12" t="s">
        <v>661</v>
      </c>
    </row>
    <row r="628" spans="2:14" x14ac:dyDescent="0.2">
      <c r="B628" s="38"/>
      <c r="C628" s="174" t="s">
        <v>662</v>
      </c>
      <c r="D628" s="40"/>
      <c r="E628" s="40"/>
      <c r="F628" s="40"/>
      <c r="G628" s="40"/>
      <c r="H628" s="40"/>
      <c r="I628" s="40"/>
      <c r="J628" s="265" t="s">
        <v>661</v>
      </c>
      <c r="K628" s="41"/>
      <c r="N628" s="12" t="s">
        <v>894</v>
      </c>
    </row>
    <row r="629" spans="2:14" x14ac:dyDescent="0.2">
      <c r="B629" s="38"/>
      <c r="C629" s="174" t="s">
        <v>660</v>
      </c>
      <c r="D629" s="40"/>
      <c r="E629" s="40"/>
      <c r="F629" s="40"/>
      <c r="G629" s="40"/>
      <c r="H629" s="40"/>
      <c r="I629" s="40"/>
      <c r="J629" s="247" t="str">
        <f>IF(J628=N627,"N/A",IF(J628=N628,0,IF(J628=N629,1,IF(J628=N630,2,IF(J628=N631,3,IF(J628=N632,4,"N/A"))))))</f>
        <v>N/A</v>
      </c>
      <c r="K629" s="41"/>
      <c r="N629" s="12" t="s">
        <v>895</v>
      </c>
    </row>
    <row r="630" spans="2:14" x14ac:dyDescent="0.2">
      <c r="B630" s="38"/>
      <c r="C630" s="40" t="s">
        <v>257</v>
      </c>
      <c r="D630" s="40"/>
      <c r="E630" s="40"/>
      <c r="F630" s="40"/>
      <c r="G630" s="40"/>
      <c r="H630" s="40"/>
      <c r="I630" s="40"/>
      <c r="J630" s="266"/>
      <c r="K630" s="41"/>
      <c r="N630" s="12" t="s">
        <v>896</v>
      </c>
    </row>
    <row r="631" spans="2:14" x14ac:dyDescent="0.2">
      <c r="B631" s="38"/>
      <c r="C631" s="40" t="s">
        <v>261</v>
      </c>
      <c r="D631" s="40"/>
      <c r="E631" s="40"/>
      <c r="F631" s="40"/>
      <c r="G631" s="40"/>
      <c r="H631" s="40"/>
      <c r="I631" s="40"/>
      <c r="J631" s="245" t="str">
        <f>IF(J630=$B$973,$A$973,IF(J630=$B$974,$A$974,IF(J630=$B$975,$A$975,IF(J630=$B$976,$A$976,IF(J630=$B$977,$A$977,"Not Calculated")))))</f>
        <v>Not Calculated</v>
      </c>
      <c r="K631" s="41"/>
      <c r="N631" s="12" t="s">
        <v>897</v>
      </c>
    </row>
    <row r="632" spans="2:14" x14ac:dyDescent="0.2">
      <c r="B632" s="38"/>
      <c r="C632" s="40" t="s">
        <v>893</v>
      </c>
      <c r="D632" s="40"/>
      <c r="E632" s="40"/>
      <c r="F632" s="40"/>
      <c r="G632" s="40"/>
      <c r="H632" s="40"/>
      <c r="I632" s="40"/>
      <c r="J632" s="40"/>
      <c r="K632" s="41"/>
      <c r="N632" s="12" t="s">
        <v>898</v>
      </c>
    </row>
    <row r="633" spans="2:14" ht="15" customHeight="1" x14ac:dyDescent="0.2">
      <c r="B633" s="38"/>
      <c r="C633" s="399"/>
      <c r="D633" s="400"/>
      <c r="E633" s="400"/>
      <c r="F633" s="400"/>
      <c r="G633" s="400"/>
      <c r="H633" s="400"/>
      <c r="I633" s="400"/>
      <c r="J633" s="401"/>
      <c r="K633" s="41"/>
    </row>
    <row r="634" spans="2:14" x14ac:dyDescent="0.2">
      <c r="B634" s="38"/>
      <c r="C634" s="40"/>
      <c r="D634" s="40"/>
      <c r="E634" s="40"/>
      <c r="F634" s="40"/>
      <c r="G634" s="40"/>
      <c r="H634" s="40"/>
      <c r="I634" s="40"/>
      <c r="J634" s="40"/>
      <c r="K634" s="41"/>
    </row>
    <row r="635" spans="2:14" x14ac:dyDescent="0.2">
      <c r="B635" s="38"/>
      <c r="C635" s="179" t="s">
        <v>328</v>
      </c>
      <c r="D635" s="40"/>
      <c r="E635" s="40"/>
      <c r="F635" s="40"/>
      <c r="G635" s="40"/>
      <c r="H635" s="40"/>
      <c r="I635" s="40"/>
      <c r="J635" s="245" t="str">
        <f>IF(J629="N/A",IF(OR(J622="Not Calculated",J631="Not Calculated")=TRUE,"Not Calculated",AVERAGE(J622,J631)),AVERAGE(J629,J631))</f>
        <v>Not Calculated</v>
      </c>
      <c r="K635" s="41"/>
    </row>
    <row r="636" spans="2:14" x14ac:dyDescent="0.2">
      <c r="B636" s="38"/>
      <c r="C636" s="40"/>
      <c r="D636" s="40"/>
      <c r="E636" s="40"/>
      <c r="F636" s="40"/>
      <c r="G636" s="40"/>
      <c r="H636" s="40"/>
      <c r="I636" s="40"/>
      <c r="J636" s="40"/>
      <c r="K636" s="41"/>
    </row>
    <row r="637" spans="2:14" x14ac:dyDescent="0.2">
      <c r="B637" s="38"/>
      <c r="C637" s="40"/>
      <c r="D637" s="40"/>
      <c r="E637" s="40"/>
      <c r="F637" s="40"/>
      <c r="G637" s="40"/>
      <c r="H637" s="40"/>
      <c r="I637" s="40"/>
      <c r="J637" s="40"/>
      <c r="K637" s="41"/>
    </row>
    <row r="638" spans="2:14" ht="16" x14ac:dyDescent="0.2">
      <c r="B638" s="38"/>
      <c r="C638" s="45" t="s">
        <v>329</v>
      </c>
      <c r="D638" s="40"/>
      <c r="E638" s="40"/>
      <c r="F638" s="40"/>
      <c r="G638" s="40"/>
      <c r="H638" s="40"/>
      <c r="I638" s="40"/>
      <c r="J638" s="40"/>
      <c r="K638" s="41"/>
    </row>
    <row r="639" spans="2:14" ht="15" customHeight="1" x14ac:dyDescent="0.2">
      <c r="B639" s="38"/>
      <c r="C639" s="380" t="s">
        <v>339</v>
      </c>
      <c r="D639" s="380"/>
      <c r="E639" s="380"/>
      <c r="F639" s="380"/>
      <c r="G639" s="380"/>
      <c r="H639" s="380"/>
      <c r="I639" s="380"/>
      <c r="J639" s="40"/>
      <c r="K639" s="41"/>
    </row>
    <row r="640" spans="2:14" x14ac:dyDescent="0.2">
      <c r="B640" s="38"/>
      <c r="C640" s="380"/>
      <c r="D640" s="380"/>
      <c r="E640" s="380"/>
      <c r="F640" s="380"/>
      <c r="G640" s="380"/>
      <c r="H640" s="380"/>
      <c r="I640" s="380"/>
      <c r="J640" s="250">
        <f>'Baseline Health'!G145</f>
        <v>0</v>
      </c>
      <c r="K640" s="41"/>
    </row>
    <row r="641" spans="2:14" ht="15" customHeight="1" x14ac:dyDescent="0.2">
      <c r="B641" s="38"/>
      <c r="C641" s="380" t="s">
        <v>340</v>
      </c>
      <c r="D641" s="380"/>
      <c r="E641" s="380"/>
      <c r="F641" s="380"/>
      <c r="G641" s="380"/>
      <c r="H641" s="380"/>
      <c r="I641" s="380"/>
      <c r="J641" s="245"/>
      <c r="K641" s="41"/>
    </row>
    <row r="642" spans="2:14" x14ac:dyDescent="0.2">
      <c r="B642" s="38"/>
      <c r="C642" s="380"/>
      <c r="D642" s="380"/>
      <c r="E642" s="380"/>
      <c r="F642" s="380"/>
      <c r="G642" s="380"/>
      <c r="H642" s="380"/>
      <c r="I642" s="380"/>
      <c r="J642" s="245"/>
      <c r="K642" s="41"/>
    </row>
    <row r="643" spans="2:14" x14ac:dyDescent="0.2">
      <c r="B643" s="38"/>
      <c r="C643" s="380"/>
      <c r="D643" s="380"/>
      <c r="E643" s="380"/>
      <c r="F643" s="380"/>
      <c r="G643" s="380"/>
      <c r="H643" s="380"/>
      <c r="I643" s="380"/>
      <c r="J643" s="272"/>
      <c r="K643" s="41"/>
    </row>
    <row r="644" spans="2:14" x14ac:dyDescent="0.2">
      <c r="B644" s="38"/>
      <c r="C644" s="40" t="s">
        <v>260</v>
      </c>
      <c r="D644" s="40"/>
      <c r="E644" s="40"/>
      <c r="F644" s="40"/>
      <c r="G644" s="40"/>
      <c r="H644" s="40"/>
      <c r="I644" s="40"/>
      <c r="J644" s="245" t="str">
        <f>IF(OR(J640=0,J640="Not Calculated")=TRUE,"Not Calculated",IF(((J640+J643)/J640)&lt;=1,0,IF(((J640+J643)/J640)&lt;=1.05,1,IF(((J640+J643)/J640)&lt;=1.5, 2,IF(((J640+J643)/J640)&lt;=2,3,4)))))</f>
        <v>Not Calculated</v>
      </c>
      <c r="K644" s="41"/>
    </row>
    <row r="645" spans="2:14" ht="9.75" customHeight="1" x14ac:dyDescent="0.2">
      <c r="B645" s="38"/>
      <c r="C645" s="279" t="str">
        <f>"0:"</f>
        <v>0:</v>
      </c>
      <c r="D645" s="281" t="s">
        <v>918</v>
      </c>
      <c r="E645" s="291"/>
      <c r="F645" s="291"/>
      <c r="G645" s="291"/>
      <c r="H645" s="291"/>
      <c r="I645" s="291"/>
      <c r="J645" s="250"/>
      <c r="K645" s="41"/>
    </row>
    <row r="646" spans="2:14" ht="9.75" customHeight="1" x14ac:dyDescent="0.2">
      <c r="B646" s="38"/>
      <c r="C646" s="280" t="str">
        <f>"1:"</f>
        <v>1:</v>
      </c>
      <c r="D646" s="281" t="s">
        <v>919</v>
      </c>
      <c r="E646" s="291"/>
      <c r="F646" s="291"/>
      <c r="G646" s="291"/>
      <c r="H646" s="291"/>
      <c r="I646" s="291"/>
      <c r="J646" s="250"/>
      <c r="K646" s="41"/>
    </row>
    <row r="647" spans="2:14" ht="9.75" customHeight="1" x14ac:dyDescent="0.2">
      <c r="B647" s="38"/>
      <c r="C647" s="280" t="str">
        <f>"2:"</f>
        <v>2:</v>
      </c>
      <c r="D647" s="281" t="s">
        <v>920</v>
      </c>
      <c r="E647" s="291"/>
      <c r="F647" s="291"/>
      <c r="G647" s="291"/>
      <c r="H647" s="291"/>
      <c r="I647" s="291"/>
      <c r="J647" s="250"/>
      <c r="K647" s="41"/>
    </row>
    <row r="648" spans="2:14" ht="9.75" customHeight="1" x14ac:dyDescent="0.2">
      <c r="B648" s="38"/>
      <c r="C648" s="280" t="str">
        <f>"3:"</f>
        <v>3:</v>
      </c>
      <c r="D648" s="281" t="s">
        <v>921</v>
      </c>
      <c r="E648" s="291"/>
      <c r="F648" s="291"/>
      <c r="G648" s="291"/>
      <c r="H648" s="291"/>
      <c r="I648" s="291"/>
      <c r="J648" s="250"/>
      <c r="K648" s="41"/>
    </row>
    <row r="649" spans="2:14" ht="9.75" customHeight="1" x14ac:dyDescent="0.2">
      <c r="B649" s="38"/>
      <c r="C649" s="280" t="str">
        <f>"4:"</f>
        <v>4:</v>
      </c>
      <c r="D649" s="281" t="s">
        <v>922</v>
      </c>
      <c r="E649" s="40"/>
      <c r="F649" s="40"/>
      <c r="G649" s="40"/>
      <c r="H649" s="40"/>
      <c r="I649" s="40"/>
      <c r="J649" s="40"/>
      <c r="K649" s="41"/>
      <c r="N649" s="12" t="s">
        <v>661</v>
      </c>
    </row>
    <row r="650" spans="2:14" x14ac:dyDescent="0.2">
      <c r="B650" s="38"/>
      <c r="C650" s="174" t="s">
        <v>662</v>
      </c>
      <c r="D650" s="40"/>
      <c r="E650" s="40"/>
      <c r="F650" s="40"/>
      <c r="G650" s="40"/>
      <c r="H650" s="40"/>
      <c r="I650" s="40"/>
      <c r="J650" s="265" t="s">
        <v>661</v>
      </c>
      <c r="K650" s="41"/>
      <c r="N650" s="12" t="s">
        <v>894</v>
      </c>
    </row>
    <row r="651" spans="2:14" x14ac:dyDescent="0.2">
      <c r="B651" s="38"/>
      <c r="C651" s="174" t="s">
        <v>660</v>
      </c>
      <c r="D651" s="40"/>
      <c r="E651" s="40"/>
      <c r="F651" s="40"/>
      <c r="G651" s="40"/>
      <c r="H651" s="40"/>
      <c r="I651" s="40"/>
      <c r="J651" s="247" t="str">
        <f>IF(J650=N649,"N/A",IF(J650=N650,0,IF(J650=N651,1,IF(J650=N652,2,IF(J650=N653,3,IF(J650=N654,4,"N/A"))))))</f>
        <v>N/A</v>
      </c>
      <c r="K651" s="41"/>
      <c r="N651" s="12" t="s">
        <v>895</v>
      </c>
    </row>
    <row r="652" spans="2:14" ht="15" customHeight="1" x14ac:dyDescent="0.2">
      <c r="B652" s="38"/>
      <c r="C652" s="40" t="s">
        <v>257</v>
      </c>
      <c r="D652" s="40"/>
      <c r="E652" s="40"/>
      <c r="F652" s="40"/>
      <c r="G652" s="40"/>
      <c r="H652" s="40"/>
      <c r="I652" s="40"/>
      <c r="J652" s="266"/>
      <c r="K652" s="41"/>
      <c r="N652" s="12" t="s">
        <v>896</v>
      </c>
    </row>
    <row r="653" spans="2:14" x14ac:dyDescent="0.2">
      <c r="B653" s="38"/>
      <c r="C653" s="40" t="s">
        <v>261</v>
      </c>
      <c r="D653" s="40"/>
      <c r="E653" s="40"/>
      <c r="F653" s="40"/>
      <c r="G653" s="40"/>
      <c r="H653" s="40"/>
      <c r="I653" s="40"/>
      <c r="J653" s="245" t="str">
        <f>IF(J652=$B$973,$A$973,IF(J652=$B$974,$A$974,IF(J652=$B$975,$A$975,IF(J652=$B$976,$A$976,IF(J652=$B$977,$A$977,"Not Calculated")))))</f>
        <v>Not Calculated</v>
      </c>
      <c r="K653" s="41"/>
      <c r="N653" s="12" t="s">
        <v>897</v>
      </c>
    </row>
    <row r="654" spans="2:14" x14ac:dyDescent="0.2">
      <c r="B654" s="38"/>
      <c r="C654" s="40" t="s">
        <v>893</v>
      </c>
      <c r="D654" s="40"/>
      <c r="E654" s="40"/>
      <c r="F654" s="40"/>
      <c r="G654" s="40"/>
      <c r="H654" s="40"/>
      <c r="I654" s="40"/>
      <c r="J654" s="40"/>
      <c r="K654" s="41"/>
      <c r="N654" s="12" t="s">
        <v>898</v>
      </c>
    </row>
    <row r="655" spans="2:14" x14ac:dyDescent="0.2">
      <c r="B655" s="38"/>
      <c r="C655" s="399"/>
      <c r="D655" s="400"/>
      <c r="E655" s="400"/>
      <c r="F655" s="400"/>
      <c r="G655" s="400"/>
      <c r="H655" s="400"/>
      <c r="I655" s="400"/>
      <c r="J655" s="401"/>
      <c r="K655" s="41"/>
    </row>
    <row r="656" spans="2:14" x14ac:dyDescent="0.2">
      <c r="B656" s="38"/>
      <c r="C656" s="40"/>
      <c r="D656" s="40"/>
      <c r="E656" s="40"/>
      <c r="F656" s="40"/>
      <c r="G656" s="40"/>
      <c r="H656" s="40"/>
      <c r="I656" s="40"/>
      <c r="J656" s="40"/>
      <c r="K656" s="41"/>
    </row>
    <row r="657" spans="2:14" x14ac:dyDescent="0.2">
      <c r="B657" s="38"/>
      <c r="C657" s="179" t="s">
        <v>330</v>
      </c>
      <c r="D657" s="40"/>
      <c r="E657" s="40"/>
      <c r="F657" s="40"/>
      <c r="G657" s="40"/>
      <c r="H657" s="40"/>
      <c r="I657" s="40"/>
      <c r="J657" s="245" t="str">
        <f>IF(J651="N/A",IF(OR(J644="Not Calculated",J653="Not Calculated")=TRUE,"Not Calculated",AVERAGE(J644,J653)),AVERAGE(J651,J653))</f>
        <v>Not Calculated</v>
      </c>
      <c r="K657" s="41"/>
    </row>
    <row r="658" spans="2:14" x14ac:dyDescent="0.2">
      <c r="B658" s="38"/>
      <c r="C658" s="40"/>
      <c r="D658" s="40"/>
      <c r="E658" s="40"/>
      <c r="F658" s="40"/>
      <c r="G658" s="40"/>
      <c r="H658" s="40"/>
      <c r="I658" s="40"/>
      <c r="J658" s="40"/>
      <c r="K658" s="41"/>
    </row>
    <row r="659" spans="2:14" x14ac:dyDescent="0.2">
      <c r="B659" s="38"/>
      <c r="C659" s="40"/>
      <c r="D659" s="40"/>
      <c r="E659" s="40"/>
      <c r="F659" s="40"/>
      <c r="G659" s="40"/>
      <c r="H659" s="40"/>
      <c r="I659" s="40"/>
      <c r="J659" s="40"/>
      <c r="K659" s="41"/>
    </row>
    <row r="660" spans="2:14" ht="16" x14ac:dyDescent="0.2">
      <c r="B660" s="38"/>
      <c r="C660" s="45" t="s">
        <v>97</v>
      </c>
      <c r="D660" s="40"/>
      <c r="E660" s="40"/>
      <c r="F660" s="40"/>
      <c r="G660" s="40"/>
      <c r="H660" s="40"/>
      <c r="I660" s="40"/>
      <c r="J660" s="40"/>
      <c r="K660" s="41"/>
    </row>
    <row r="661" spans="2:14" x14ac:dyDescent="0.2">
      <c r="B661" s="38"/>
      <c r="C661" s="40" t="s">
        <v>449</v>
      </c>
      <c r="D661" s="40"/>
      <c r="E661" s="40"/>
      <c r="F661" s="40"/>
      <c r="G661" s="40"/>
      <c r="H661" s="40"/>
      <c r="I661" s="40"/>
      <c r="J661" s="263">
        <f>'Baseline Health'!G150</f>
        <v>0</v>
      </c>
      <c r="K661" s="41"/>
    </row>
    <row r="662" spans="2:14" x14ac:dyDescent="0.2">
      <c r="B662" s="38"/>
      <c r="C662" s="40" t="s">
        <v>341</v>
      </c>
      <c r="D662" s="40"/>
      <c r="E662" s="40"/>
      <c r="F662" s="40"/>
      <c r="G662" s="40"/>
      <c r="H662" s="40"/>
      <c r="I662" s="40"/>
      <c r="J662" s="273"/>
      <c r="K662" s="41"/>
    </row>
    <row r="663" spans="2:14" x14ac:dyDescent="0.2">
      <c r="B663" s="38"/>
      <c r="C663" s="40" t="s">
        <v>450</v>
      </c>
      <c r="D663" s="40"/>
      <c r="E663" s="40"/>
      <c r="F663" s="40"/>
      <c r="G663" s="40"/>
      <c r="H663" s="40"/>
      <c r="I663" s="40"/>
      <c r="J663" s="263">
        <f>J26</f>
        <v>0</v>
      </c>
      <c r="K663" s="41"/>
    </row>
    <row r="664" spans="2:14" ht="15" customHeight="1" x14ac:dyDescent="0.2">
      <c r="B664" s="38"/>
      <c r="C664" s="291"/>
      <c r="D664" s="380" t="s">
        <v>342</v>
      </c>
      <c r="E664" s="380"/>
      <c r="F664" s="380"/>
      <c r="G664" s="380"/>
      <c r="H664" s="380"/>
      <c r="I664" s="380"/>
      <c r="J664" s="245"/>
      <c r="K664" s="41"/>
    </row>
    <row r="665" spans="2:14" x14ac:dyDescent="0.2">
      <c r="B665" s="38"/>
      <c r="C665" s="291"/>
      <c r="D665" s="380"/>
      <c r="E665" s="380"/>
      <c r="F665" s="380"/>
      <c r="G665" s="380"/>
      <c r="H665" s="380"/>
      <c r="I665" s="380"/>
      <c r="J665" s="245"/>
      <c r="K665" s="41"/>
    </row>
    <row r="666" spans="2:14" x14ac:dyDescent="0.2">
      <c r="B666" s="38"/>
      <c r="C666" s="40" t="s">
        <v>260</v>
      </c>
      <c r="D666" s="40"/>
      <c r="E666" s="40"/>
      <c r="F666" s="40"/>
      <c r="G666" s="40"/>
      <c r="H666" s="40"/>
      <c r="I666" s="40"/>
      <c r="J666" s="245" t="str">
        <f>IF(OR(J661=0,J661="Not Calculated")=TRUE,"Not Calculated",IF(((J661+J663)/(J661-J662))&lt;=1,0,IF(((J661+J663)/(J661-J662))&lt;=1.1,1,IF(((J661+J663)/(J661-J662))&lt;=1.5, 2,IF(((J661+J663)/(J661-J662))&lt;=2,3,4)))))</f>
        <v>Not Calculated</v>
      </c>
      <c r="K666" s="41"/>
    </row>
    <row r="667" spans="2:14" ht="9.75" customHeight="1" x14ac:dyDescent="0.2">
      <c r="B667" s="38"/>
      <c r="C667" s="279" t="str">
        <f>"0:"</f>
        <v>0:</v>
      </c>
      <c r="D667" s="278" t="s">
        <v>918</v>
      </c>
      <c r="E667" s="291"/>
      <c r="F667" s="291"/>
      <c r="G667" s="291"/>
      <c r="H667" s="291"/>
      <c r="I667" s="291"/>
      <c r="J667" s="245"/>
      <c r="K667" s="41"/>
    </row>
    <row r="668" spans="2:14" ht="9.75" customHeight="1" x14ac:dyDescent="0.2">
      <c r="B668" s="38"/>
      <c r="C668" s="280" t="str">
        <f>"1:"</f>
        <v>1:</v>
      </c>
      <c r="D668" s="278" t="s">
        <v>923</v>
      </c>
      <c r="E668" s="291"/>
      <c r="F668" s="291"/>
      <c r="G668" s="291"/>
      <c r="H668" s="291"/>
      <c r="I668" s="291"/>
      <c r="J668" s="245"/>
      <c r="K668" s="41"/>
    </row>
    <row r="669" spans="2:14" ht="9.75" customHeight="1" x14ac:dyDescent="0.2">
      <c r="B669" s="38"/>
      <c r="C669" s="280" t="str">
        <f>"2:"</f>
        <v>2:</v>
      </c>
      <c r="D669" s="278" t="s">
        <v>924</v>
      </c>
      <c r="E669" s="291"/>
      <c r="F669" s="291"/>
      <c r="G669" s="291"/>
      <c r="H669" s="291"/>
      <c r="I669" s="291"/>
      <c r="J669" s="245"/>
      <c r="K669" s="41"/>
    </row>
    <row r="670" spans="2:14" ht="9.75" customHeight="1" x14ac:dyDescent="0.2">
      <c r="B670" s="38"/>
      <c r="C670" s="280" t="str">
        <f>"3:"</f>
        <v>3:</v>
      </c>
      <c r="D670" s="278" t="s">
        <v>925</v>
      </c>
      <c r="E670" s="291"/>
      <c r="F670" s="291"/>
      <c r="G670" s="291"/>
      <c r="H670" s="291"/>
      <c r="I670" s="291"/>
      <c r="J670" s="245"/>
      <c r="K670" s="41"/>
    </row>
    <row r="671" spans="2:14" ht="9.75" customHeight="1" x14ac:dyDescent="0.2">
      <c r="B671" s="38"/>
      <c r="C671" s="280" t="str">
        <f>"4:"</f>
        <v>4:</v>
      </c>
      <c r="D671" s="278" t="s">
        <v>926</v>
      </c>
      <c r="E671" s="40"/>
      <c r="F671" s="40"/>
      <c r="G671" s="40"/>
      <c r="H671" s="40"/>
      <c r="I671" s="40"/>
      <c r="J671" s="40"/>
      <c r="K671" s="41"/>
      <c r="N671" s="12" t="s">
        <v>661</v>
      </c>
    </row>
    <row r="672" spans="2:14" ht="15" customHeight="1" x14ac:dyDescent="0.2">
      <c r="B672" s="38"/>
      <c r="C672" s="174" t="s">
        <v>662</v>
      </c>
      <c r="D672" s="40"/>
      <c r="E672" s="40"/>
      <c r="F672" s="40"/>
      <c r="G672" s="40"/>
      <c r="H672" s="40"/>
      <c r="I672" s="40"/>
      <c r="J672" s="265" t="s">
        <v>661</v>
      </c>
      <c r="K672" s="41"/>
      <c r="N672" s="12" t="s">
        <v>894</v>
      </c>
    </row>
    <row r="673" spans="2:14" ht="15" customHeight="1" x14ac:dyDescent="0.2">
      <c r="B673" s="38"/>
      <c r="C673" s="174" t="s">
        <v>660</v>
      </c>
      <c r="D673" s="40"/>
      <c r="E673" s="40"/>
      <c r="F673" s="40"/>
      <c r="G673" s="40"/>
      <c r="H673" s="40"/>
      <c r="I673" s="40"/>
      <c r="J673" s="246" t="str">
        <f>IF(J672=N671,"N/A",IF(J672=N672,0,IF(J672=N673,1,IF(J672=N674,2,IF(J672=N675,3,IF(J672=N676,4,"N/A"))))))</f>
        <v>N/A</v>
      </c>
      <c r="K673" s="41"/>
      <c r="N673" s="12" t="s">
        <v>908</v>
      </c>
    </row>
    <row r="674" spans="2:14" ht="15" customHeight="1" x14ac:dyDescent="0.2">
      <c r="B674" s="38"/>
      <c r="C674" s="40" t="s">
        <v>257</v>
      </c>
      <c r="D674" s="40"/>
      <c r="E674" s="40"/>
      <c r="F674" s="40"/>
      <c r="G674" s="40"/>
      <c r="H674" s="40"/>
      <c r="I674" s="40"/>
      <c r="J674" s="266"/>
      <c r="K674" s="41"/>
      <c r="N674" s="12" t="s">
        <v>900</v>
      </c>
    </row>
    <row r="675" spans="2:14" x14ac:dyDescent="0.2">
      <c r="B675" s="38"/>
      <c r="C675" s="40" t="s">
        <v>261</v>
      </c>
      <c r="D675" s="40"/>
      <c r="E675" s="40"/>
      <c r="F675" s="40"/>
      <c r="G675" s="40"/>
      <c r="H675" s="40"/>
      <c r="I675" s="40"/>
      <c r="J675" s="245" t="str">
        <f>IF(J674=$B$973,$A$973,IF(J674=$B$974,$A$974,IF(J674=$B$975,$A$975,IF(J674=$B$976,$A$976,IF(J674=$B$977,$A$977,"Not Calculated")))))</f>
        <v>Not Calculated</v>
      </c>
      <c r="K675" s="41"/>
      <c r="N675" s="12" t="s">
        <v>901</v>
      </c>
    </row>
    <row r="676" spans="2:14" ht="15" customHeight="1" x14ac:dyDescent="0.2">
      <c r="B676" s="38"/>
      <c r="C676" s="40" t="s">
        <v>893</v>
      </c>
      <c r="D676" s="40"/>
      <c r="E676" s="40"/>
      <c r="F676" s="40"/>
      <c r="G676" s="40"/>
      <c r="H676" s="40"/>
      <c r="I676" s="40"/>
      <c r="J676" s="40"/>
      <c r="K676" s="41"/>
      <c r="N676" s="12" t="s">
        <v>909</v>
      </c>
    </row>
    <row r="677" spans="2:14" ht="15" customHeight="1" x14ac:dyDescent="0.2">
      <c r="B677" s="38"/>
      <c r="C677" s="399"/>
      <c r="D677" s="400"/>
      <c r="E677" s="400"/>
      <c r="F677" s="400"/>
      <c r="G677" s="400"/>
      <c r="H677" s="400"/>
      <c r="I677" s="400"/>
      <c r="J677" s="401"/>
      <c r="K677" s="41"/>
    </row>
    <row r="678" spans="2:14" x14ac:dyDescent="0.2">
      <c r="B678" s="38"/>
      <c r="C678" s="40"/>
      <c r="D678" s="40"/>
      <c r="E678" s="40"/>
      <c r="F678" s="40"/>
      <c r="G678" s="40"/>
      <c r="H678" s="40"/>
      <c r="I678" s="40"/>
      <c r="J678" s="40"/>
      <c r="K678" s="41"/>
    </row>
    <row r="679" spans="2:14" x14ac:dyDescent="0.2">
      <c r="B679" s="38"/>
      <c r="C679" s="179" t="s">
        <v>331</v>
      </c>
      <c r="D679" s="40"/>
      <c r="E679" s="40"/>
      <c r="F679" s="40"/>
      <c r="G679" s="40"/>
      <c r="H679" s="40"/>
      <c r="I679" s="40"/>
      <c r="J679" s="245" t="str">
        <f>IF(J673="N/A",IF(OR(J666="Not Calculated",J675="Not Calculated")=TRUE,"Not Calculated",AVERAGE(J666,J675)),AVERAGE(J673,J675))</f>
        <v>Not Calculated</v>
      </c>
      <c r="K679" s="41"/>
    </row>
    <row r="680" spans="2:14" x14ac:dyDescent="0.2">
      <c r="B680" s="38"/>
      <c r="C680" s="40"/>
      <c r="D680" s="40"/>
      <c r="E680" s="40"/>
      <c r="F680" s="40"/>
      <c r="G680" s="40"/>
      <c r="H680" s="40"/>
      <c r="I680" s="40"/>
      <c r="J680" s="40"/>
      <c r="K680" s="41"/>
    </row>
    <row r="681" spans="2:14" ht="18" x14ac:dyDescent="0.2">
      <c r="B681" s="38"/>
      <c r="C681" s="180" t="s">
        <v>332</v>
      </c>
      <c r="D681" s="40"/>
      <c r="E681" s="40"/>
      <c r="F681" s="40"/>
      <c r="G681" s="40"/>
      <c r="H681" s="40"/>
      <c r="I681" s="40"/>
      <c r="J681" s="244" t="str">
        <f>IF(OR(J562="Not Calculated",J585="Not Calculated",J601="Not Calculated",J615="Not Calculated",J635="Not Calculated",J657="Not Calculated",J679="Not Calculated")=TRUE,"Not Calculated",AVERAGE(J562,J585,J601,J615,J635,J657,J679))</f>
        <v>Not Calculated</v>
      </c>
      <c r="K681" s="41"/>
    </row>
    <row r="682" spans="2:14" ht="16" thickBot="1" x14ac:dyDescent="0.25">
      <c r="B682" s="46"/>
      <c r="C682" s="47"/>
      <c r="D682" s="47"/>
      <c r="E682" s="47"/>
      <c r="F682" s="47"/>
      <c r="G682" s="47"/>
      <c r="H682" s="47"/>
      <c r="I682" s="47"/>
      <c r="J682" s="47"/>
      <c r="K682" s="49"/>
    </row>
    <row r="683" spans="2:14" ht="16" thickBot="1" x14ac:dyDescent="0.25"/>
    <row r="684" spans="2:14" x14ac:dyDescent="0.2">
      <c r="B684" s="33"/>
      <c r="C684" s="34"/>
      <c r="D684" s="34"/>
      <c r="E684" s="34"/>
      <c r="F684" s="34"/>
      <c r="G684" s="34"/>
      <c r="H684" s="34"/>
      <c r="I684" s="34"/>
      <c r="J684" s="34"/>
      <c r="K684" s="37"/>
    </row>
    <row r="685" spans="2:14" ht="21" x14ac:dyDescent="0.25">
      <c r="B685" s="38"/>
      <c r="C685" s="40"/>
      <c r="D685" s="40"/>
      <c r="E685" s="40"/>
      <c r="F685" s="40"/>
      <c r="G685" s="172" t="s">
        <v>346</v>
      </c>
      <c r="H685" s="40"/>
      <c r="I685" s="40"/>
      <c r="J685" s="40"/>
      <c r="K685" s="41"/>
    </row>
    <row r="686" spans="2:14" x14ac:dyDescent="0.2">
      <c r="B686" s="38"/>
      <c r="C686" s="40"/>
      <c r="D686" s="40"/>
      <c r="E686" s="40"/>
      <c r="F686" s="40"/>
      <c r="G686" s="40"/>
      <c r="H686" s="40"/>
      <c r="I686" s="40"/>
      <c r="J686" s="40"/>
      <c r="K686" s="41"/>
    </row>
    <row r="687" spans="2:14" ht="16" x14ac:dyDescent="0.2">
      <c r="B687" s="38"/>
      <c r="C687" s="182" t="s">
        <v>986</v>
      </c>
      <c r="D687" s="40"/>
      <c r="E687" s="40"/>
      <c r="F687" s="40"/>
      <c r="G687" s="40"/>
      <c r="H687" s="40"/>
      <c r="I687" s="40"/>
      <c r="J687" s="257" t="str">
        <f>IF(OR($J$133="Not Calculated",$J$261="Not Calculated",$J$421="Not Calculated",$J$539="Not Calculated",$J$681="Not Calculated")=TRUE,"Not Calculated",AVERAGE($J$133,$J$261,$J$421,$J$539,$J$681))</f>
        <v>Not Calculated</v>
      </c>
      <c r="K687" s="41"/>
    </row>
    <row r="688" spans="2:14" x14ac:dyDescent="0.2">
      <c r="B688" s="38"/>
      <c r="C688" s="40"/>
      <c r="D688" s="40" t="s">
        <v>343</v>
      </c>
      <c r="E688" s="40"/>
      <c r="F688" s="40"/>
      <c r="G688" s="40"/>
      <c r="H688" s="40"/>
      <c r="I688" s="40"/>
      <c r="J688" s="40"/>
      <c r="K688" s="41"/>
    </row>
    <row r="689" spans="2:11" ht="15" customHeight="1" x14ac:dyDescent="0.2">
      <c r="B689" s="38"/>
      <c r="C689" s="40"/>
      <c r="D689" s="40"/>
      <c r="E689" s="40"/>
      <c r="F689" s="40"/>
      <c r="G689" s="40"/>
      <c r="H689" s="40"/>
      <c r="I689" s="40"/>
      <c r="J689" s="40"/>
      <c r="K689" s="41"/>
    </row>
    <row r="690" spans="2:11" ht="16" x14ac:dyDescent="0.2">
      <c r="B690" s="38"/>
      <c r="C690" s="182" t="s">
        <v>987</v>
      </c>
      <c r="D690" s="40"/>
      <c r="E690" s="40"/>
      <c r="F690" s="40"/>
      <c r="G690" s="40"/>
      <c r="H690" s="40"/>
      <c r="I690" s="40"/>
      <c r="J690" s="257" t="str">
        <f>IF(OR($J$133="Not Calculated",$J$261="Not Calculated",$J$539="Not Calculated",$J$681="Not Calculated")=TRUE,"Not Calculated",AVERAGE($J$133,$J$261,$J$539,$J$681))</f>
        <v>Not Calculated</v>
      </c>
      <c r="K690" s="41"/>
    </row>
    <row r="691" spans="2:11" ht="15" customHeight="1" x14ac:dyDescent="0.2">
      <c r="B691" s="38"/>
      <c r="C691" s="40"/>
      <c r="D691" s="40" t="s">
        <v>344</v>
      </c>
      <c r="E691" s="40"/>
      <c r="F691" s="40"/>
      <c r="G691" s="40"/>
      <c r="H691" s="40"/>
      <c r="I691" s="40"/>
      <c r="J691" s="40"/>
      <c r="K691" s="41"/>
    </row>
    <row r="692" spans="2:11" x14ac:dyDescent="0.2">
      <c r="B692" s="38"/>
      <c r="C692" s="40"/>
      <c r="D692" s="40"/>
      <c r="E692" s="40"/>
      <c r="F692" s="40"/>
      <c r="G692" s="40"/>
      <c r="H692" s="40"/>
      <c r="I692" s="40"/>
      <c r="J692" s="40"/>
      <c r="K692" s="41"/>
    </row>
    <row r="693" spans="2:11" ht="16" x14ac:dyDescent="0.2">
      <c r="B693" s="38"/>
      <c r="C693" s="182" t="s">
        <v>988</v>
      </c>
      <c r="D693" s="40"/>
      <c r="E693" s="40"/>
      <c r="F693" s="40"/>
      <c r="G693" s="40"/>
      <c r="H693" s="40"/>
      <c r="I693" s="40"/>
      <c r="J693" s="257" t="str">
        <f>IF(OR($J$133="Not Calculated",$J$261="Not Calculated",$J$421="Not Calculated")=TRUE,"Not Calculated",AVERAGE($J$133,$J$261,$J$421))</f>
        <v>Not Calculated</v>
      </c>
      <c r="K693" s="41"/>
    </row>
    <row r="694" spans="2:11" x14ac:dyDescent="0.2">
      <c r="B694" s="38"/>
      <c r="C694" s="40"/>
      <c r="D694" s="40" t="s">
        <v>345</v>
      </c>
      <c r="E694" s="40"/>
      <c r="F694" s="40"/>
      <c r="G694" s="40"/>
      <c r="H694" s="40"/>
      <c r="I694" s="40"/>
      <c r="J694" s="40"/>
      <c r="K694" s="41"/>
    </row>
    <row r="695" spans="2:11" ht="16" thickBot="1" x14ac:dyDescent="0.25">
      <c r="B695" s="46"/>
      <c r="C695" s="47"/>
      <c r="D695" s="47"/>
      <c r="E695" s="47"/>
      <c r="F695" s="47"/>
      <c r="G695" s="47"/>
      <c r="H695" s="47"/>
      <c r="I695" s="47"/>
      <c r="J695" s="47"/>
      <c r="K695" s="49"/>
    </row>
    <row r="696" spans="2:11" ht="16" thickBot="1" x14ac:dyDescent="0.25"/>
    <row r="697" spans="2:11" x14ac:dyDescent="0.2">
      <c r="B697" s="183"/>
      <c r="C697" s="184"/>
      <c r="D697" s="184"/>
      <c r="E697" s="184"/>
      <c r="F697" s="184"/>
      <c r="G697" s="184"/>
      <c r="H697" s="184"/>
      <c r="I697" s="184"/>
      <c r="J697" s="184"/>
      <c r="K697" s="185"/>
    </row>
    <row r="698" spans="2:11" ht="21" x14ac:dyDescent="0.25">
      <c r="B698" s="186"/>
      <c r="C698" s="187"/>
      <c r="D698" s="187"/>
      <c r="E698" s="187"/>
      <c r="F698" s="187"/>
      <c r="G698" s="188" t="s">
        <v>231</v>
      </c>
      <c r="H698" s="187"/>
      <c r="I698" s="187"/>
      <c r="J698" s="187"/>
      <c r="K698" s="189"/>
    </row>
    <row r="699" spans="2:11" x14ac:dyDescent="0.2">
      <c r="B699" s="186"/>
      <c r="C699" s="187"/>
      <c r="D699" s="187"/>
      <c r="E699" s="187"/>
      <c r="F699" s="187"/>
      <c r="G699" s="187"/>
      <c r="H699" s="187"/>
      <c r="I699" s="187"/>
      <c r="J699" s="187"/>
      <c r="K699" s="189"/>
    </row>
    <row r="700" spans="2:11" ht="16" x14ac:dyDescent="0.2">
      <c r="B700" s="186"/>
      <c r="C700" s="190" t="s">
        <v>989</v>
      </c>
      <c r="D700" s="187"/>
      <c r="E700" s="187"/>
      <c r="F700" s="187"/>
      <c r="G700" s="187"/>
      <c r="H700" s="187"/>
      <c r="I700" s="187"/>
      <c r="J700" s="256" t="str">
        <f>IF(OR(J687="Not Calculated",$E$17="Not Calculated")=TRUE,"Not Calculated",(J687*$E$17*100/16))</f>
        <v>Not Calculated</v>
      </c>
      <c r="K700" s="189"/>
    </row>
    <row r="701" spans="2:11" x14ac:dyDescent="0.2">
      <c r="B701" s="186"/>
      <c r="C701" s="187"/>
      <c r="D701" s="187" t="s">
        <v>377</v>
      </c>
      <c r="E701" s="187"/>
      <c r="F701" s="187"/>
      <c r="G701" s="187"/>
      <c r="H701" s="187"/>
      <c r="I701" s="187"/>
      <c r="J701" s="187"/>
      <c r="K701" s="189"/>
    </row>
    <row r="702" spans="2:11" x14ac:dyDescent="0.2">
      <c r="B702" s="186"/>
      <c r="C702" s="187"/>
      <c r="D702" s="187"/>
      <c r="E702" s="187"/>
      <c r="F702" s="187"/>
      <c r="G702" s="187"/>
      <c r="H702" s="187"/>
      <c r="I702" s="187"/>
      <c r="J702" s="187"/>
      <c r="K702" s="189"/>
    </row>
    <row r="703" spans="2:11" ht="16" x14ac:dyDescent="0.2">
      <c r="B703" s="186"/>
      <c r="C703" s="190" t="s">
        <v>990</v>
      </c>
      <c r="D703" s="187"/>
      <c r="E703" s="187"/>
      <c r="F703" s="187"/>
      <c r="G703" s="187"/>
      <c r="H703" s="187"/>
      <c r="I703" s="187"/>
      <c r="J703" s="256" t="str">
        <f>IF(OR(J690="Not Calculated",$E$17="Not Calculated")=TRUE,"Not Calculated",(J690*$E$17*100/16))</f>
        <v>Not Calculated</v>
      </c>
      <c r="K703" s="189"/>
    </row>
    <row r="704" spans="2:11" x14ac:dyDescent="0.2">
      <c r="B704" s="186"/>
      <c r="C704" s="187"/>
      <c r="D704" s="187" t="s">
        <v>378</v>
      </c>
      <c r="E704" s="187"/>
      <c r="F704" s="187"/>
      <c r="G704" s="187"/>
      <c r="H704" s="187"/>
      <c r="I704" s="187"/>
      <c r="J704" s="187"/>
      <c r="K704" s="189"/>
    </row>
    <row r="705" spans="2:11" x14ac:dyDescent="0.2">
      <c r="B705" s="186"/>
      <c r="C705" s="187"/>
      <c r="D705" s="187"/>
      <c r="E705" s="187"/>
      <c r="F705" s="187"/>
      <c r="G705" s="187"/>
      <c r="H705" s="187"/>
      <c r="I705" s="187"/>
      <c r="J705" s="187"/>
      <c r="K705" s="189"/>
    </row>
    <row r="706" spans="2:11" ht="16" x14ac:dyDescent="0.2">
      <c r="B706" s="186"/>
      <c r="C706" s="190" t="s">
        <v>991</v>
      </c>
      <c r="D706" s="187"/>
      <c r="E706" s="187"/>
      <c r="F706" s="187"/>
      <c r="G706" s="187"/>
      <c r="H706" s="187"/>
      <c r="I706" s="187"/>
      <c r="J706" s="256" t="str">
        <f>IF(OR(J693="Not Calculated",$E$17="Not Calculated")=TRUE,"Not Calculated",(J693*$E$17*100/16))</f>
        <v>Not Calculated</v>
      </c>
      <c r="K706" s="189"/>
    </row>
    <row r="707" spans="2:11" x14ac:dyDescent="0.2">
      <c r="B707" s="186"/>
      <c r="C707" s="187"/>
      <c r="D707" s="187" t="s">
        <v>379</v>
      </c>
      <c r="E707" s="187"/>
      <c r="F707" s="187"/>
      <c r="G707" s="187"/>
      <c r="H707" s="187"/>
      <c r="I707" s="187"/>
      <c r="J707" s="187"/>
      <c r="K707" s="189"/>
    </row>
    <row r="708" spans="2:11" ht="16" thickBot="1" x14ac:dyDescent="0.25">
      <c r="B708" s="191"/>
      <c r="C708" s="192"/>
      <c r="D708" s="192"/>
      <c r="E708" s="192"/>
      <c r="F708" s="192"/>
      <c r="G708" s="192"/>
      <c r="H708" s="192"/>
      <c r="I708" s="192"/>
      <c r="J708" s="192"/>
      <c r="K708" s="193"/>
    </row>
    <row r="709" spans="2:11" ht="16" thickBot="1" x14ac:dyDescent="0.25"/>
    <row r="710" spans="2:11" x14ac:dyDescent="0.2">
      <c r="B710" s="53"/>
      <c r="C710" s="54"/>
      <c r="D710" s="54"/>
      <c r="E710" s="54"/>
      <c r="F710" s="54"/>
      <c r="G710" s="54"/>
      <c r="H710" s="54"/>
      <c r="I710" s="54"/>
      <c r="J710" s="54"/>
      <c r="K710" s="56"/>
    </row>
    <row r="711" spans="2:11" ht="21" x14ac:dyDescent="0.25">
      <c r="B711" s="57"/>
      <c r="C711" s="59"/>
      <c r="D711" s="59"/>
      <c r="E711" s="59"/>
      <c r="F711" s="59"/>
      <c r="G711" s="194" t="s">
        <v>232</v>
      </c>
      <c r="H711" s="59"/>
      <c r="I711" s="59"/>
      <c r="J711" s="59"/>
      <c r="K711" s="61"/>
    </row>
    <row r="712" spans="2:11" x14ac:dyDescent="0.2">
      <c r="B712" s="57"/>
      <c r="C712" s="59"/>
      <c r="D712" s="59"/>
      <c r="E712" s="59"/>
      <c r="F712" s="59"/>
      <c r="G712" s="59"/>
      <c r="H712" s="59"/>
      <c r="I712" s="59"/>
      <c r="J712" s="59"/>
      <c r="K712" s="61"/>
    </row>
    <row r="713" spans="2:11" ht="16" x14ac:dyDescent="0.2">
      <c r="B713" s="57"/>
      <c r="C713" s="195" t="s">
        <v>363</v>
      </c>
      <c r="D713" s="59"/>
      <c r="E713" s="59"/>
      <c r="F713" s="59"/>
      <c r="G713" s="59"/>
      <c r="H713" s="59"/>
      <c r="I713" s="59"/>
      <c r="J713" s="59"/>
      <c r="K713" s="61"/>
    </row>
    <row r="714" spans="2:11" ht="15" customHeight="1" x14ac:dyDescent="0.2">
      <c r="B714" s="57"/>
      <c r="C714" s="411" t="s">
        <v>364</v>
      </c>
      <c r="D714" s="411"/>
      <c r="E714" s="411"/>
      <c r="F714" s="411"/>
      <c r="G714" s="411"/>
      <c r="H714" s="411"/>
      <c r="I714" s="411"/>
      <c r="J714" s="411"/>
      <c r="K714" s="61"/>
    </row>
    <row r="715" spans="2:11" x14ac:dyDescent="0.2">
      <c r="B715" s="57"/>
      <c r="C715" s="411"/>
      <c r="D715" s="411"/>
      <c r="E715" s="411"/>
      <c r="F715" s="411"/>
      <c r="G715" s="411"/>
      <c r="H715" s="411"/>
      <c r="I715" s="411"/>
      <c r="J715" s="411"/>
      <c r="K715" s="61"/>
    </row>
    <row r="716" spans="2:11" x14ac:dyDescent="0.2">
      <c r="B716" s="57"/>
      <c r="C716" s="411"/>
      <c r="D716" s="411"/>
      <c r="E716" s="411"/>
      <c r="F716" s="411"/>
      <c r="G716" s="411"/>
      <c r="H716" s="411"/>
      <c r="I716" s="411"/>
      <c r="J716" s="411"/>
      <c r="K716" s="61"/>
    </row>
    <row r="717" spans="2:11" x14ac:dyDescent="0.2">
      <c r="B717" s="57"/>
      <c r="C717" s="196" t="s">
        <v>30</v>
      </c>
      <c r="D717" s="59"/>
      <c r="E717" s="59"/>
      <c r="F717" s="59"/>
      <c r="G717" s="431"/>
      <c r="H717" s="431"/>
      <c r="I717" s="59"/>
      <c r="J717" s="260" t="str">
        <f>IF(G717=$B$994,$A$994,IF(G717=$B$995,$A$995,"Not Calculated"))</f>
        <v>Not Calculated</v>
      </c>
      <c r="K717" s="61"/>
    </row>
    <row r="718" spans="2:11" x14ac:dyDescent="0.2">
      <c r="B718" s="57"/>
      <c r="C718" s="196" t="s">
        <v>32</v>
      </c>
      <c r="D718" s="59"/>
      <c r="E718" s="59"/>
      <c r="F718" s="59"/>
      <c r="G718" s="431"/>
      <c r="H718" s="431"/>
      <c r="I718" s="59"/>
      <c r="J718" s="260" t="str">
        <f t="shared" ref="J718:J725" si="0">IF(G718=$B$994,$A$994,IF(G718=$B$995,$A$995,"Not Calculated"))</f>
        <v>Not Calculated</v>
      </c>
      <c r="K718" s="61"/>
    </row>
    <row r="719" spans="2:11" x14ac:dyDescent="0.2">
      <c r="B719" s="57"/>
      <c r="C719" s="196" t="s">
        <v>34</v>
      </c>
      <c r="D719" s="59"/>
      <c r="E719" s="59"/>
      <c r="F719" s="59"/>
      <c r="G719" s="431"/>
      <c r="H719" s="431"/>
      <c r="I719" s="59"/>
      <c r="J719" s="260" t="str">
        <f t="shared" si="0"/>
        <v>Not Calculated</v>
      </c>
      <c r="K719" s="61"/>
    </row>
    <row r="720" spans="2:11" x14ac:dyDescent="0.2">
      <c r="B720" s="57"/>
      <c r="C720" s="196" t="s">
        <v>35</v>
      </c>
      <c r="D720" s="59"/>
      <c r="E720" s="59"/>
      <c r="F720" s="59"/>
      <c r="G720" s="431"/>
      <c r="H720" s="431"/>
      <c r="I720" s="59"/>
      <c r="J720" s="260" t="str">
        <f t="shared" si="0"/>
        <v>Not Calculated</v>
      </c>
      <c r="K720" s="61"/>
    </row>
    <row r="721" spans="2:11" x14ac:dyDescent="0.2">
      <c r="B721" s="57"/>
      <c r="C721" s="196" t="s">
        <v>37</v>
      </c>
      <c r="D721" s="59"/>
      <c r="E721" s="59"/>
      <c r="F721" s="59"/>
      <c r="G721" s="431"/>
      <c r="H721" s="431"/>
      <c r="I721" s="59"/>
      <c r="J721" s="260" t="str">
        <f t="shared" si="0"/>
        <v>Not Calculated</v>
      </c>
      <c r="K721" s="61"/>
    </row>
    <row r="722" spans="2:11" x14ac:dyDescent="0.2">
      <c r="B722" s="57"/>
      <c r="C722" s="196" t="s">
        <v>38</v>
      </c>
      <c r="D722" s="59"/>
      <c r="E722" s="59"/>
      <c r="F722" s="59"/>
      <c r="G722" s="431"/>
      <c r="H722" s="431"/>
      <c r="I722" s="59"/>
      <c r="J722" s="260" t="str">
        <f t="shared" si="0"/>
        <v>Not Calculated</v>
      </c>
      <c r="K722" s="61"/>
    </row>
    <row r="723" spans="2:11" x14ac:dyDescent="0.2">
      <c r="B723" s="57"/>
      <c r="C723" s="196" t="s">
        <v>40</v>
      </c>
      <c r="D723" s="59"/>
      <c r="E723" s="59"/>
      <c r="F723" s="59"/>
      <c r="G723" s="431"/>
      <c r="H723" s="431"/>
      <c r="I723" s="59"/>
      <c r="J723" s="260" t="str">
        <f t="shared" si="0"/>
        <v>Not Calculated</v>
      </c>
      <c r="K723" s="61"/>
    </row>
    <row r="724" spans="2:11" x14ac:dyDescent="0.2">
      <c r="B724" s="57"/>
      <c r="C724" s="196" t="s">
        <v>41</v>
      </c>
      <c r="D724" s="59"/>
      <c r="E724" s="59"/>
      <c r="F724" s="59"/>
      <c r="G724" s="431"/>
      <c r="H724" s="431"/>
      <c r="I724" s="59"/>
      <c r="J724" s="260" t="str">
        <f t="shared" si="0"/>
        <v>Not Calculated</v>
      </c>
      <c r="K724" s="61"/>
    </row>
    <row r="725" spans="2:11" x14ac:dyDescent="0.2">
      <c r="B725" s="57"/>
      <c r="C725" s="196" t="s">
        <v>43</v>
      </c>
      <c r="D725" s="59"/>
      <c r="E725" s="59"/>
      <c r="F725" s="59"/>
      <c r="G725" s="431"/>
      <c r="H725" s="431"/>
      <c r="I725" s="59"/>
      <c r="J725" s="260" t="str">
        <f t="shared" si="0"/>
        <v>Not Calculated</v>
      </c>
      <c r="K725" s="61"/>
    </row>
    <row r="726" spans="2:11" x14ac:dyDescent="0.2">
      <c r="B726" s="57"/>
      <c r="C726" s="59"/>
      <c r="D726" s="59"/>
      <c r="E726" s="59"/>
      <c r="F726" s="59"/>
      <c r="G726" s="59"/>
      <c r="H726" s="59"/>
      <c r="I726" s="59"/>
      <c r="J726" s="59"/>
      <c r="K726" s="61"/>
    </row>
    <row r="727" spans="2:11" x14ac:dyDescent="0.2">
      <c r="B727" s="57"/>
      <c r="C727" s="59"/>
      <c r="D727" s="59"/>
      <c r="E727" s="59"/>
      <c r="F727" s="59"/>
      <c r="G727" s="59"/>
      <c r="H727" s="59"/>
      <c r="I727" s="59"/>
      <c r="J727" s="59"/>
      <c r="K727" s="61"/>
    </row>
    <row r="728" spans="2:11" ht="16" x14ac:dyDescent="0.2">
      <c r="B728" s="57"/>
      <c r="C728" s="195" t="s">
        <v>115</v>
      </c>
      <c r="D728" s="59"/>
      <c r="E728" s="59"/>
      <c r="F728" s="59"/>
      <c r="G728" s="59"/>
      <c r="H728" s="59"/>
      <c r="I728" s="59"/>
      <c r="J728" s="59"/>
      <c r="K728" s="61"/>
    </row>
    <row r="729" spans="2:11" ht="15" customHeight="1" x14ac:dyDescent="0.2">
      <c r="B729" s="57"/>
      <c r="C729" s="411" t="s">
        <v>365</v>
      </c>
      <c r="D729" s="411"/>
      <c r="E729" s="411"/>
      <c r="F729" s="411"/>
      <c r="G729" s="411"/>
      <c r="H729" s="411"/>
      <c r="I729" s="411"/>
      <c r="J729" s="411"/>
      <c r="K729" s="61"/>
    </row>
    <row r="730" spans="2:11" x14ac:dyDescent="0.2">
      <c r="B730" s="57"/>
      <c r="C730" s="411"/>
      <c r="D730" s="411"/>
      <c r="E730" s="411"/>
      <c r="F730" s="411"/>
      <c r="G730" s="411"/>
      <c r="H730" s="411"/>
      <c r="I730" s="411"/>
      <c r="J730" s="411"/>
      <c r="K730" s="61"/>
    </row>
    <row r="731" spans="2:11" x14ac:dyDescent="0.2">
      <c r="B731" s="57"/>
      <c r="C731" s="411"/>
      <c r="D731" s="411"/>
      <c r="E731" s="411"/>
      <c r="F731" s="411"/>
      <c r="G731" s="411"/>
      <c r="H731" s="411"/>
      <c r="I731" s="411"/>
      <c r="J731" s="411"/>
      <c r="K731" s="61"/>
    </row>
    <row r="732" spans="2:11" x14ac:dyDescent="0.2">
      <c r="B732" s="57"/>
      <c r="C732" s="196" t="s">
        <v>30</v>
      </c>
      <c r="D732" s="59"/>
      <c r="E732" s="59"/>
      <c r="F732" s="59"/>
      <c r="G732" s="431"/>
      <c r="H732" s="431"/>
      <c r="I732" s="59"/>
      <c r="J732" s="260" t="str">
        <f>IF(G732=$B$994,$A$994,IF(G732=$B$995,$A$995,"Not Calculated"))</f>
        <v>Not Calculated</v>
      </c>
      <c r="K732" s="61"/>
    </row>
    <row r="733" spans="2:11" x14ac:dyDescent="0.2">
      <c r="B733" s="57"/>
      <c r="C733" s="196" t="s">
        <v>32</v>
      </c>
      <c r="D733" s="59"/>
      <c r="E733" s="59"/>
      <c r="F733" s="59"/>
      <c r="G733" s="431"/>
      <c r="H733" s="431"/>
      <c r="I733" s="59"/>
      <c r="J733" s="260" t="str">
        <f t="shared" ref="J733:J740" si="1">IF(G733=$B$994,$A$994,IF(G733=$B$995,$A$995,"Not Calculated"))</f>
        <v>Not Calculated</v>
      </c>
      <c r="K733" s="61"/>
    </row>
    <row r="734" spans="2:11" ht="15" customHeight="1" x14ac:dyDescent="0.2">
      <c r="B734" s="57"/>
      <c r="C734" s="196" t="s">
        <v>34</v>
      </c>
      <c r="D734" s="59"/>
      <c r="E734" s="59"/>
      <c r="F734" s="59"/>
      <c r="G734" s="431"/>
      <c r="H734" s="431"/>
      <c r="I734" s="59"/>
      <c r="J734" s="260" t="str">
        <f t="shared" si="1"/>
        <v>Not Calculated</v>
      </c>
      <c r="K734" s="61"/>
    </row>
    <row r="735" spans="2:11" x14ac:dyDescent="0.2">
      <c r="B735" s="57"/>
      <c r="C735" s="196" t="s">
        <v>35</v>
      </c>
      <c r="D735" s="59"/>
      <c r="E735" s="59"/>
      <c r="F735" s="59"/>
      <c r="G735" s="431"/>
      <c r="H735" s="431"/>
      <c r="I735" s="59"/>
      <c r="J735" s="260" t="str">
        <f t="shared" si="1"/>
        <v>Not Calculated</v>
      </c>
      <c r="K735" s="61"/>
    </row>
    <row r="736" spans="2:11" x14ac:dyDescent="0.2">
      <c r="B736" s="57"/>
      <c r="C736" s="196" t="s">
        <v>37</v>
      </c>
      <c r="D736" s="59"/>
      <c r="E736" s="59"/>
      <c r="F736" s="59"/>
      <c r="G736" s="431"/>
      <c r="H736" s="431"/>
      <c r="I736" s="59"/>
      <c r="J736" s="260" t="str">
        <f t="shared" si="1"/>
        <v>Not Calculated</v>
      </c>
      <c r="K736" s="61"/>
    </row>
    <row r="737" spans="2:11" x14ac:dyDescent="0.2">
      <c r="B737" s="57"/>
      <c r="C737" s="196" t="s">
        <v>38</v>
      </c>
      <c r="D737" s="59"/>
      <c r="E737" s="59"/>
      <c r="F737" s="59"/>
      <c r="G737" s="431"/>
      <c r="H737" s="431"/>
      <c r="I737" s="59"/>
      <c r="J737" s="260" t="str">
        <f t="shared" si="1"/>
        <v>Not Calculated</v>
      </c>
      <c r="K737" s="61"/>
    </row>
    <row r="738" spans="2:11" x14ac:dyDescent="0.2">
      <c r="B738" s="57"/>
      <c r="C738" s="196" t="s">
        <v>40</v>
      </c>
      <c r="D738" s="59"/>
      <c r="E738" s="59"/>
      <c r="F738" s="59"/>
      <c r="G738" s="431"/>
      <c r="H738" s="431"/>
      <c r="I738" s="59"/>
      <c r="J738" s="260" t="str">
        <f t="shared" si="1"/>
        <v>Not Calculated</v>
      </c>
      <c r="K738" s="61"/>
    </row>
    <row r="739" spans="2:11" x14ac:dyDescent="0.2">
      <c r="B739" s="57"/>
      <c r="C739" s="196" t="s">
        <v>41</v>
      </c>
      <c r="D739" s="59"/>
      <c r="E739" s="59"/>
      <c r="F739" s="59"/>
      <c r="G739" s="431"/>
      <c r="H739" s="431"/>
      <c r="I739" s="59"/>
      <c r="J739" s="260" t="str">
        <f t="shared" si="1"/>
        <v>Not Calculated</v>
      </c>
      <c r="K739" s="61"/>
    </row>
    <row r="740" spans="2:11" x14ac:dyDescent="0.2">
      <c r="B740" s="57"/>
      <c r="C740" s="196" t="s">
        <v>43</v>
      </c>
      <c r="D740" s="59"/>
      <c r="E740" s="59"/>
      <c r="F740" s="59"/>
      <c r="G740" s="431"/>
      <c r="H740" s="431"/>
      <c r="I740" s="59"/>
      <c r="J740" s="260" t="str">
        <f t="shared" si="1"/>
        <v>Not Calculated</v>
      </c>
      <c r="K740" s="61"/>
    </row>
    <row r="741" spans="2:11" x14ac:dyDescent="0.2">
      <c r="B741" s="57"/>
      <c r="C741" s="59"/>
      <c r="D741" s="59"/>
      <c r="E741" s="59"/>
      <c r="F741" s="59"/>
      <c r="G741" s="59"/>
      <c r="H741" s="59"/>
      <c r="I741" s="59"/>
      <c r="J741" s="59"/>
      <c r="K741" s="61"/>
    </row>
    <row r="742" spans="2:11" x14ac:dyDescent="0.2">
      <c r="B742" s="57"/>
      <c r="C742" s="59"/>
      <c r="D742" s="59"/>
      <c r="E742" s="59"/>
      <c r="F742" s="59"/>
      <c r="G742" s="59"/>
      <c r="H742" s="59"/>
      <c r="I742" s="59"/>
      <c r="J742" s="59"/>
      <c r="K742" s="61"/>
    </row>
    <row r="743" spans="2:11" ht="16" x14ac:dyDescent="0.2">
      <c r="B743" s="57"/>
      <c r="C743" s="195" t="s">
        <v>366</v>
      </c>
      <c r="D743" s="59"/>
      <c r="E743" s="59"/>
      <c r="F743" s="59"/>
      <c r="G743" s="59"/>
      <c r="H743" s="59"/>
      <c r="I743" s="59"/>
      <c r="J743" s="59"/>
      <c r="K743" s="61"/>
    </row>
    <row r="744" spans="2:11" ht="15" customHeight="1" x14ac:dyDescent="0.2">
      <c r="B744" s="57"/>
      <c r="C744" s="411" t="s">
        <v>367</v>
      </c>
      <c r="D744" s="411"/>
      <c r="E744" s="411"/>
      <c r="F744" s="411"/>
      <c r="G744" s="411"/>
      <c r="H744" s="411"/>
      <c r="I744" s="411"/>
      <c r="J744" s="411"/>
      <c r="K744" s="61"/>
    </row>
    <row r="745" spans="2:11" x14ac:dyDescent="0.2">
      <c r="B745" s="57"/>
      <c r="C745" s="411"/>
      <c r="D745" s="411"/>
      <c r="E745" s="411"/>
      <c r="F745" s="411"/>
      <c r="G745" s="411"/>
      <c r="H745" s="411"/>
      <c r="I745" s="411"/>
      <c r="J745" s="411"/>
      <c r="K745" s="61"/>
    </row>
    <row r="746" spans="2:11" x14ac:dyDescent="0.2">
      <c r="B746" s="57"/>
      <c r="C746" s="411"/>
      <c r="D746" s="411"/>
      <c r="E746" s="411"/>
      <c r="F746" s="411"/>
      <c r="G746" s="411"/>
      <c r="H746" s="411"/>
      <c r="I746" s="411"/>
      <c r="J746" s="411"/>
      <c r="K746" s="61"/>
    </row>
    <row r="747" spans="2:11" x14ac:dyDescent="0.2">
      <c r="B747" s="57"/>
      <c r="C747" s="196" t="s">
        <v>30</v>
      </c>
      <c r="D747" s="59"/>
      <c r="E747" s="59"/>
      <c r="F747" s="59"/>
      <c r="G747" s="431"/>
      <c r="H747" s="431"/>
      <c r="I747" s="59"/>
      <c r="J747" s="260" t="str">
        <f>IF(G747=$B$994,$A$994,IF(G747=$B$995,$A$995,"Not Calculated"))</f>
        <v>Not Calculated</v>
      </c>
      <c r="K747" s="61"/>
    </row>
    <row r="748" spans="2:11" x14ac:dyDescent="0.2">
      <c r="B748" s="57"/>
      <c r="C748" s="196" t="s">
        <v>32</v>
      </c>
      <c r="D748" s="59"/>
      <c r="E748" s="59"/>
      <c r="F748" s="59"/>
      <c r="G748" s="431"/>
      <c r="H748" s="431"/>
      <c r="I748" s="59"/>
      <c r="J748" s="260" t="str">
        <f t="shared" ref="J748:J755" si="2">IF(G748=$B$994,$A$994,IF(G748=$B$995,$A$995,"Not Calculated"))</f>
        <v>Not Calculated</v>
      </c>
      <c r="K748" s="61"/>
    </row>
    <row r="749" spans="2:11" ht="15" customHeight="1" x14ac:dyDescent="0.2">
      <c r="B749" s="57"/>
      <c r="C749" s="196" t="s">
        <v>34</v>
      </c>
      <c r="D749" s="59"/>
      <c r="E749" s="59"/>
      <c r="F749" s="59"/>
      <c r="G749" s="431"/>
      <c r="H749" s="431"/>
      <c r="I749" s="59"/>
      <c r="J749" s="260" t="str">
        <f t="shared" si="2"/>
        <v>Not Calculated</v>
      </c>
      <c r="K749" s="61"/>
    </row>
    <row r="750" spans="2:11" x14ac:dyDescent="0.2">
      <c r="B750" s="57"/>
      <c r="C750" s="196" t="s">
        <v>35</v>
      </c>
      <c r="D750" s="59"/>
      <c r="E750" s="59"/>
      <c r="F750" s="59"/>
      <c r="G750" s="431"/>
      <c r="H750" s="431"/>
      <c r="I750" s="59"/>
      <c r="J750" s="260" t="str">
        <f t="shared" si="2"/>
        <v>Not Calculated</v>
      </c>
      <c r="K750" s="61"/>
    </row>
    <row r="751" spans="2:11" x14ac:dyDescent="0.2">
      <c r="B751" s="57"/>
      <c r="C751" s="196" t="s">
        <v>37</v>
      </c>
      <c r="D751" s="59"/>
      <c r="E751" s="59"/>
      <c r="F751" s="59"/>
      <c r="G751" s="431"/>
      <c r="H751" s="431"/>
      <c r="I751" s="59"/>
      <c r="J751" s="260" t="str">
        <f t="shared" si="2"/>
        <v>Not Calculated</v>
      </c>
      <c r="K751" s="61"/>
    </row>
    <row r="752" spans="2:11" x14ac:dyDescent="0.2">
      <c r="B752" s="57"/>
      <c r="C752" s="196" t="s">
        <v>38</v>
      </c>
      <c r="D752" s="59"/>
      <c r="E752" s="59"/>
      <c r="F752" s="59"/>
      <c r="G752" s="431"/>
      <c r="H752" s="431"/>
      <c r="I752" s="59"/>
      <c r="J752" s="260" t="str">
        <f t="shared" si="2"/>
        <v>Not Calculated</v>
      </c>
      <c r="K752" s="61"/>
    </row>
    <row r="753" spans="2:11" x14ac:dyDescent="0.2">
      <c r="B753" s="57"/>
      <c r="C753" s="196" t="s">
        <v>40</v>
      </c>
      <c r="D753" s="59"/>
      <c r="E753" s="59"/>
      <c r="F753" s="59"/>
      <c r="G753" s="431"/>
      <c r="H753" s="431"/>
      <c r="I753" s="59"/>
      <c r="J753" s="260" t="str">
        <f t="shared" si="2"/>
        <v>Not Calculated</v>
      </c>
      <c r="K753" s="61"/>
    </row>
    <row r="754" spans="2:11" x14ac:dyDescent="0.2">
      <c r="B754" s="57"/>
      <c r="C754" s="196" t="s">
        <v>41</v>
      </c>
      <c r="D754" s="59"/>
      <c r="E754" s="59"/>
      <c r="F754" s="59"/>
      <c r="G754" s="431"/>
      <c r="H754" s="431"/>
      <c r="I754" s="59"/>
      <c r="J754" s="260" t="str">
        <f t="shared" si="2"/>
        <v>Not Calculated</v>
      </c>
      <c r="K754" s="61"/>
    </row>
    <row r="755" spans="2:11" x14ac:dyDescent="0.2">
      <c r="B755" s="57"/>
      <c r="C755" s="196" t="s">
        <v>43</v>
      </c>
      <c r="D755" s="59"/>
      <c r="E755" s="59"/>
      <c r="F755" s="59"/>
      <c r="G755" s="431"/>
      <c r="H755" s="431"/>
      <c r="I755" s="59"/>
      <c r="J755" s="260" t="str">
        <f t="shared" si="2"/>
        <v>Not Calculated</v>
      </c>
      <c r="K755" s="61"/>
    </row>
    <row r="756" spans="2:11" x14ac:dyDescent="0.2">
      <c r="B756" s="57"/>
      <c r="C756" s="59"/>
      <c r="D756" s="59"/>
      <c r="E756" s="59"/>
      <c r="F756" s="59"/>
      <c r="G756" s="59"/>
      <c r="H756" s="59"/>
      <c r="I756" s="59"/>
      <c r="J756" s="59"/>
      <c r="K756" s="61"/>
    </row>
    <row r="757" spans="2:11" x14ac:dyDescent="0.2">
      <c r="B757" s="57"/>
      <c r="C757" s="59"/>
      <c r="D757" s="59"/>
      <c r="E757" s="59"/>
      <c r="F757" s="59"/>
      <c r="G757" s="59"/>
      <c r="H757" s="59"/>
      <c r="I757" s="59"/>
      <c r="J757" s="59"/>
      <c r="K757" s="61"/>
    </row>
    <row r="758" spans="2:11" ht="16" x14ac:dyDescent="0.2">
      <c r="B758" s="57"/>
      <c r="C758" s="195" t="s">
        <v>368</v>
      </c>
      <c r="D758" s="59"/>
      <c r="E758" s="59"/>
      <c r="F758" s="59"/>
      <c r="G758" s="59"/>
      <c r="H758" s="59"/>
      <c r="I758" s="59"/>
      <c r="J758" s="59"/>
      <c r="K758" s="61"/>
    </row>
    <row r="759" spans="2:11" ht="15" customHeight="1" x14ac:dyDescent="0.2">
      <c r="B759" s="57"/>
      <c r="C759" s="411" t="s">
        <v>369</v>
      </c>
      <c r="D759" s="411"/>
      <c r="E759" s="411"/>
      <c r="F759" s="411"/>
      <c r="G759" s="411"/>
      <c r="H759" s="411"/>
      <c r="I759" s="411"/>
      <c r="J759" s="411"/>
      <c r="K759" s="61"/>
    </row>
    <row r="760" spans="2:11" x14ac:dyDescent="0.2">
      <c r="B760" s="57"/>
      <c r="C760" s="411"/>
      <c r="D760" s="411"/>
      <c r="E760" s="411"/>
      <c r="F760" s="411"/>
      <c r="G760" s="411"/>
      <c r="H760" s="411"/>
      <c r="I760" s="411"/>
      <c r="J760" s="411"/>
      <c r="K760" s="61"/>
    </row>
    <row r="761" spans="2:11" x14ac:dyDescent="0.2">
      <c r="B761" s="57"/>
      <c r="C761" s="411"/>
      <c r="D761" s="411"/>
      <c r="E761" s="411"/>
      <c r="F761" s="411"/>
      <c r="G761" s="411"/>
      <c r="H761" s="411"/>
      <c r="I761" s="411"/>
      <c r="J761" s="411"/>
      <c r="K761" s="61"/>
    </row>
    <row r="762" spans="2:11" x14ac:dyDescent="0.2">
      <c r="B762" s="57"/>
      <c r="C762" s="196" t="s">
        <v>30</v>
      </c>
      <c r="D762" s="59"/>
      <c r="E762" s="59"/>
      <c r="F762" s="59"/>
      <c r="G762" s="431"/>
      <c r="H762" s="431"/>
      <c r="I762" s="59"/>
      <c r="J762" s="260" t="str">
        <f>IF(G762=$B$994,$A$994,IF(G762=$B$995,$A$995,"Not Calculated"))</f>
        <v>Not Calculated</v>
      </c>
      <c r="K762" s="61"/>
    </row>
    <row r="763" spans="2:11" x14ac:dyDescent="0.2">
      <c r="B763" s="57"/>
      <c r="C763" s="196" t="s">
        <v>32</v>
      </c>
      <c r="D763" s="59"/>
      <c r="E763" s="59"/>
      <c r="F763" s="59"/>
      <c r="G763" s="431"/>
      <c r="H763" s="431"/>
      <c r="I763" s="59"/>
      <c r="J763" s="260" t="str">
        <f t="shared" ref="J763:J770" si="3">IF(G763=$B$994,$A$994,IF(G763=$B$995,$A$995,"Not Calculated"))</f>
        <v>Not Calculated</v>
      </c>
      <c r="K763" s="61"/>
    </row>
    <row r="764" spans="2:11" ht="15" customHeight="1" x14ac:dyDescent="0.2">
      <c r="B764" s="57"/>
      <c r="C764" s="196" t="s">
        <v>34</v>
      </c>
      <c r="D764" s="59"/>
      <c r="E764" s="59"/>
      <c r="F764" s="59"/>
      <c r="G764" s="431"/>
      <c r="H764" s="431"/>
      <c r="I764" s="59"/>
      <c r="J764" s="260" t="str">
        <f t="shared" si="3"/>
        <v>Not Calculated</v>
      </c>
      <c r="K764" s="61"/>
    </row>
    <row r="765" spans="2:11" x14ac:dyDescent="0.2">
      <c r="B765" s="57"/>
      <c r="C765" s="196" t="s">
        <v>35</v>
      </c>
      <c r="D765" s="59"/>
      <c r="E765" s="59"/>
      <c r="F765" s="59"/>
      <c r="G765" s="431"/>
      <c r="H765" s="431"/>
      <c r="I765" s="59"/>
      <c r="J765" s="260" t="str">
        <f t="shared" si="3"/>
        <v>Not Calculated</v>
      </c>
      <c r="K765" s="61"/>
    </row>
    <row r="766" spans="2:11" x14ac:dyDescent="0.2">
      <c r="B766" s="57"/>
      <c r="C766" s="196" t="s">
        <v>37</v>
      </c>
      <c r="D766" s="59"/>
      <c r="E766" s="59"/>
      <c r="F766" s="59"/>
      <c r="G766" s="431"/>
      <c r="H766" s="431"/>
      <c r="I766" s="59"/>
      <c r="J766" s="260" t="str">
        <f t="shared" si="3"/>
        <v>Not Calculated</v>
      </c>
      <c r="K766" s="61"/>
    </row>
    <row r="767" spans="2:11" x14ac:dyDescent="0.2">
      <c r="B767" s="57"/>
      <c r="C767" s="196" t="s">
        <v>38</v>
      </c>
      <c r="D767" s="59"/>
      <c r="E767" s="59"/>
      <c r="F767" s="59"/>
      <c r="G767" s="431"/>
      <c r="H767" s="431"/>
      <c r="I767" s="59"/>
      <c r="J767" s="260" t="str">
        <f t="shared" si="3"/>
        <v>Not Calculated</v>
      </c>
      <c r="K767" s="61"/>
    </row>
    <row r="768" spans="2:11" x14ac:dyDescent="0.2">
      <c r="B768" s="57"/>
      <c r="C768" s="196" t="s">
        <v>40</v>
      </c>
      <c r="D768" s="59"/>
      <c r="E768" s="59"/>
      <c r="F768" s="59"/>
      <c r="G768" s="431"/>
      <c r="H768" s="431"/>
      <c r="I768" s="59"/>
      <c r="J768" s="260" t="str">
        <f t="shared" si="3"/>
        <v>Not Calculated</v>
      </c>
      <c r="K768" s="61"/>
    </row>
    <row r="769" spans="2:11" x14ac:dyDescent="0.2">
      <c r="B769" s="57"/>
      <c r="C769" s="196" t="s">
        <v>41</v>
      </c>
      <c r="D769" s="59"/>
      <c r="E769" s="59"/>
      <c r="F769" s="59"/>
      <c r="G769" s="431"/>
      <c r="H769" s="431"/>
      <c r="I769" s="59"/>
      <c r="J769" s="260" t="str">
        <f t="shared" si="3"/>
        <v>Not Calculated</v>
      </c>
      <c r="K769" s="61"/>
    </row>
    <row r="770" spans="2:11" x14ac:dyDescent="0.2">
      <c r="B770" s="57"/>
      <c r="C770" s="196" t="s">
        <v>43</v>
      </c>
      <c r="D770" s="59"/>
      <c r="E770" s="59"/>
      <c r="F770" s="59"/>
      <c r="G770" s="431"/>
      <c r="H770" s="431"/>
      <c r="I770" s="59"/>
      <c r="J770" s="260" t="str">
        <f t="shared" si="3"/>
        <v>Not Calculated</v>
      </c>
      <c r="K770" s="61"/>
    </row>
    <row r="771" spans="2:11" x14ac:dyDescent="0.2">
      <c r="B771" s="57"/>
      <c r="C771" s="59"/>
      <c r="D771" s="59"/>
      <c r="E771" s="59"/>
      <c r="F771" s="59"/>
      <c r="G771" s="59"/>
      <c r="H771" s="59"/>
      <c r="I771" s="59"/>
      <c r="J771" s="59"/>
      <c r="K771" s="61"/>
    </row>
    <row r="772" spans="2:11" x14ac:dyDescent="0.2">
      <c r="B772" s="57"/>
      <c r="C772" s="59"/>
      <c r="D772" s="59"/>
      <c r="E772" s="59"/>
      <c r="F772" s="59"/>
      <c r="G772" s="59"/>
      <c r="H772" s="59"/>
      <c r="I772" s="59"/>
      <c r="J772" s="59"/>
      <c r="K772" s="61"/>
    </row>
    <row r="773" spans="2:11" ht="16" x14ac:dyDescent="0.2">
      <c r="B773" s="57"/>
      <c r="C773" s="197" t="s">
        <v>30</v>
      </c>
      <c r="D773" s="59"/>
      <c r="E773" s="59"/>
      <c r="F773" s="59"/>
      <c r="G773" s="59"/>
      <c r="H773" s="59"/>
      <c r="I773" s="59"/>
      <c r="J773" s="59"/>
      <c r="K773" s="61"/>
    </row>
    <row r="774" spans="2:11" x14ac:dyDescent="0.2">
      <c r="B774" s="57"/>
      <c r="C774" s="59"/>
      <c r="D774" s="59" t="s">
        <v>370</v>
      </c>
      <c r="E774" s="59"/>
      <c r="F774" s="59"/>
      <c r="G774" s="59"/>
      <c r="H774" s="59"/>
      <c r="I774" s="59"/>
      <c r="J774" s="60">
        <f>'Baseline At-Risk Pops'!H8</f>
        <v>0</v>
      </c>
      <c r="K774" s="61"/>
    </row>
    <row r="775" spans="2:11" x14ac:dyDescent="0.2">
      <c r="B775" s="57"/>
      <c r="C775" s="59"/>
      <c r="D775" s="59" t="s">
        <v>371</v>
      </c>
      <c r="E775" s="59"/>
      <c r="F775" s="59"/>
      <c r="G775" s="59"/>
      <c r="H775" s="59"/>
      <c r="I775" s="59"/>
      <c r="J775" s="60">
        <f>SUM(J717,J732,J747,J762)</f>
        <v>0</v>
      </c>
      <c r="K775" s="61"/>
    </row>
    <row r="776" spans="2:11" x14ac:dyDescent="0.2">
      <c r="B776" s="57"/>
      <c r="C776" s="59"/>
      <c r="D776" s="196" t="s">
        <v>372</v>
      </c>
      <c r="E776" s="59"/>
      <c r="F776" s="59"/>
      <c r="G776" s="59"/>
      <c r="H776" s="59"/>
      <c r="I776" s="59"/>
      <c r="J776" s="60">
        <f>AVERAGE(J774,J775)</f>
        <v>0</v>
      </c>
      <c r="K776" s="61"/>
    </row>
    <row r="777" spans="2:11" ht="16" x14ac:dyDescent="0.2">
      <c r="B777" s="57"/>
      <c r="C777" s="197" t="s">
        <v>32</v>
      </c>
      <c r="D777" s="59"/>
      <c r="E777" s="59"/>
      <c r="F777" s="59"/>
      <c r="G777" s="59"/>
      <c r="H777" s="59"/>
      <c r="I777" s="59"/>
      <c r="J777" s="60"/>
      <c r="K777" s="61"/>
    </row>
    <row r="778" spans="2:11" x14ac:dyDescent="0.2">
      <c r="B778" s="57"/>
      <c r="C778" s="59"/>
      <c r="D778" s="59" t="s">
        <v>370</v>
      </c>
      <c r="E778" s="59"/>
      <c r="F778" s="59"/>
      <c r="G778" s="59"/>
      <c r="H778" s="59"/>
      <c r="I778" s="59"/>
      <c r="J778" s="60">
        <f>'Baseline At-Risk Pops'!H14</f>
        <v>0</v>
      </c>
      <c r="K778" s="61"/>
    </row>
    <row r="779" spans="2:11" ht="15" customHeight="1" x14ac:dyDescent="0.2">
      <c r="B779" s="57"/>
      <c r="C779" s="59"/>
      <c r="D779" s="59" t="s">
        <v>371</v>
      </c>
      <c r="E779" s="59"/>
      <c r="F779" s="59"/>
      <c r="G779" s="59"/>
      <c r="H779" s="59"/>
      <c r="I779" s="59"/>
      <c r="J779" s="60">
        <f>SUM(J718,J733,J748,J763)</f>
        <v>0</v>
      </c>
      <c r="K779" s="61"/>
    </row>
    <row r="780" spans="2:11" x14ac:dyDescent="0.2">
      <c r="B780" s="57"/>
      <c r="C780" s="59"/>
      <c r="D780" s="196" t="s">
        <v>372</v>
      </c>
      <c r="E780" s="59"/>
      <c r="F780" s="59"/>
      <c r="G780" s="59"/>
      <c r="H780" s="59"/>
      <c r="I780" s="59"/>
      <c r="J780" s="60">
        <f>AVERAGE(J778,J779)</f>
        <v>0</v>
      </c>
      <c r="K780" s="61"/>
    </row>
    <row r="781" spans="2:11" ht="16" x14ac:dyDescent="0.2">
      <c r="B781" s="57"/>
      <c r="C781" s="197" t="s">
        <v>34</v>
      </c>
      <c r="D781" s="59"/>
      <c r="E781" s="59"/>
      <c r="F781" s="59"/>
      <c r="G781" s="59"/>
      <c r="H781" s="59"/>
      <c r="I781" s="59"/>
      <c r="J781" s="60"/>
      <c r="K781" s="61"/>
    </row>
    <row r="782" spans="2:11" ht="16" x14ac:dyDescent="0.2">
      <c r="B782" s="57"/>
      <c r="C782" s="197"/>
      <c r="D782" s="59" t="s">
        <v>370</v>
      </c>
      <c r="E782" s="59"/>
      <c r="F782" s="59"/>
      <c r="G782" s="59"/>
      <c r="H782" s="59"/>
      <c r="I782" s="59"/>
      <c r="J782" s="60">
        <f>'Baseline At-Risk Pops'!H21</f>
        <v>0</v>
      </c>
      <c r="K782" s="61"/>
    </row>
    <row r="783" spans="2:11" x14ac:dyDescent="0.2">
      <c r="B783" s="57"/>
      <c r="C783" s="59"/>
      <c r="D783" s="59" t="s">
        <v>371</v>
      </c>
      <c r="E783" s="59"/>
      <c r="F783" s="59"/>
      <c r="G783" s="59"/>
      <c r="H783" s="59"/>
      <c r="I783" s="59"/>
      <c r="J783" s="60">
        <f>SUM(J719,J734,J749,J764)</f>
        <v>0</v>
      </c>
      <c r="K783" s="61"/>
    </row>
    <row r="784" spans="2:11" x14ac:dyDescent="0.2">
      <c r="B784" s="57"/>
      <c r="C784" s="59"/>
      <c r="D784" s="196" t="s">
        <v>372</v>
      </c>
      <c r="E784" s="59"/>
      <c r="F784" s="59"/>
      <c r="G784" s="59"/>
      <c r="H784" s="59"/>
      <c r="I784" s="59"/>
      <c r="J784" s="60">
        <f>AVERAGE(J782,J783)</f>
        <v>0</v>
      </c>
      <c r="K784" s="61"/>
    </row>
    <row r="785" spans="2:11" ht="16" x14ac:dyDescent="0.2">
      <c r="B785" s="57"/>
      <c r="C785" s="197" t="s">
        <v>35</v>
      </c>
      <c r="D785" s="59"/>
      <c r="E785" s="59"/>
      <c r="F785" s="59"/>
      <c r="G785" s="59"/>
      <c r="H785" s="59"/>
      <c r="I785" s="59"/>
      <c r="J785" s="60"/>
      <c r="K785" s="61"/>
    </row>
    <row r="786" spans="2:11" x14ac:dyDescent="0.2">
      <c r="B786" s="57"/>
      <c r="C786" s="59"/>
      <c r="D786" s="59" t="s">
        <v>370</v>
      </c>
      <c r="E786" s="59"/>
      <c r="F786" s="59"/>
      <c r="G786" s="59"/>
      <c r="H786" s="59"/>
      <c r="I786" s="59"/>
      <c r="J786" s="60">
        <f>'Baseline At-Risk Pops'!H27</f>
        <v>0</v>
      </c>
      <c r="K786" s="61"/>
    </row>
    <row r="787" spans="2:11" x14ac:dyDescent="0.2">
      <c r="B787" s="57"/>
      <c r="C787" s="59"/>
      <c r="D787" s="59" t="s">
        <v>371</v>
      </c>
      <c r="E787" s="59"/>
      <c r="F787" s="59"/>
      <c r="G787" s="59"/>
      <c r="H787" s="59"/>
      <c r="I787" s="59"/>
      <c r="J787" s="60">
        <f>SUM(J720,J735,J750,J765)</f>
        <v>0</v>
      </c>
      <c r="K787" s="61"/>
    </row>
    <row r="788" spans="2:11" x14ac:dyDescent="0.2">
      <c r="B788" s="57"/>
      <c r="C788" s="59"/>
      <c r="D788" s="196" t="s">
        <v>372</v>
      </c>
      <c r="E788" s="59"/>
      <c r="F788" s="59"/>
      <c r="G788" s="59"/>
      <c r="H788" s="59"/>
      <c r="I788" s="59"/>
      <c r="J788" s="60">
        <f>AVERAGE(J786,J787)</f>
        <v>0</v>
      </c>
      <c r="K788" s="61"/>
    </row>
    <row r="789" spans="2:11" ht="16" x14ac:dyDescent="0.2">
      <c r="B789" s="57"/>
      <c r="C789" s="197" t="s">
        <v>37</v>
      </c>
      <c r="D789" s="59"/>
      <c r="E789" s="59"/>
      <c r="F789" s="59"/>
      <c r="G789" s="59"/>
      <c r="H789" s="59"/>
      <c r="I789" s="59"/>
      <c r="J789" s="60"/>
      <c r="K789" s="61"/>
    </row>
    <row r="790" spans="2:11" x14ac:dyDescent="0.2">
      <c r="B790" s="57"/>
      <c r="C790" s="59"/>
      <c r="D790" s="59" t="s">
        <v>370</v>
      </c>
      <c r="E790" s="59"/>
      <c r="F790" s="59"/>
      <c r="G790" s="59"/>
      <c r="H790" s="59"/>
      <c r="I790" s="59"/>
      <c r="J790" s="60">
        <f>'Baseline At-Risk Pops'!H34</f>
        <v>0</v>
      </c>
      <c r="K790" s="61"/>
    </row>
    <row r="791" spans="2:11" x14ac:dyDescent="0.2">
      <c r="B791" s="57"/>
      <c r="C791" s="59"/>
      <c r="D791" s="59" t="s">
        <v>371</v>
      </c>
      <c r="E791" s="59"/>
      <c r="F791" s="59"/>
      <c r="G791" s="59"/>
      <c r="H791" s="59"/>
      <c r="I791" s="59"/>
      <c r="J791" s="60">
        <f>SUM(J721,J736,J751,J766)</f>
        <v>0</v>
      </c>
      <c r="K791" s="61"/>
    </row>
    <row r="792" spans="2:11" x14ac:dyDescent="0.2">
      <c r="B792" s="57"/>
      <c r="C792" s="59"/>
      <c r="D792" s="196" t="s">
        <v>372</v>
      </c>
      <c r="E792" s="59"/>
      <c r="F792" s="59"/>
      <c r="G792" s="59"/>
      <c r="H792" s="59"/>
      <c r="I792" s="59"/>
      <c r="J792" s="60">
        <f>AVERAGE(J790,J791)</f>
        <v>0</v>
      </c>
      <c r="K792" s="61"/>
    </row>
    <row r="793" spans="2:11" ht="16" x14ac:dyDescent="0.2">
      <c r="B793" s="57"/>
      <c r="C793" s="197" t="s">
        <v>38</v>
      </c>
      <c r="D793" s="59"/>
      <c r="E793" s="59"/>
      <c r="F793" s="59"/>
      <c r="G793" s="59"/>
      <c r="H793" s="59"/>
      <c r="I793" s="59"/>
      <c r="J793" s="60"/>
      <c r="K793" s="61"/>
    </row>
    <row r="794" spans="2:11" x14ac:dyDescent="0.2">
      <c r="B794" s="57"/>
      <c r="C794" s="59"/>
      <c r="D794" s="59" t="s">
        <v>370</v>
      </c>
      <c r="E794" s="59"/>
      <c r="F794" s="59"/>
      <c r="G794" s="59"/>
      <c r="H794" s="59"/>
      <c r="I794" s="59"/>
      <c r="J794" s="60">
        <f>'Baseline At-Risk Pops'!H40</f>
        <v>0</v>
      </c>
      <c r="K794" s="61"/>
    </row>
    <row r="795" spans="2:11" x14ac:dyDescent="0.2">
      <c r="B795" s="57"/>
      <c r="C795" s="59"/>
      <c r="D795" s="59" t="s">
        <v>371</v>
      </c>
      <c r="E795" s="59"/>
      <c r="F795" s="59"/>
      <c r="G795" s="59"/>
      <c r="H795" s="59"/>
      <c r="I795" s="59"/>
      <c r="J795" s="60">
        <f>SUM(J722,J737,J752,J767)</f>
        <v>0</v>
      </c>
      <c r="K795" s="61"/>
    </row>
    <row r="796" spans="2:11" x14ac:dyDescent="0.2">
      <c r="B796" s="57"/>
      <c r="C796" s="59"/>
      <c r="D796" s="196" t="s">
        <v>372</v>
      </c>
      <c r="E796" s="59"/>
      <c r="F796" s="59"/>
      <c r="G796" s="59"/>
      <c r="H796" s="59"/>
      <c r="I796" s="59"/>
      <c r="J796" s="60">
        <f>AVERAGE(J794,J795)</f>
        <v>0</v>
      </c>
      <c r="K796" s="61"/>
    </row>
    <row r="797" spans="2:11" ht="16" x14ac:dyDescent="0.2">
      <c r="B797" s="57"/>
      <c r="C797" s="197" t="s">
        <v>40</v>
      </c>
      <c r="D797" s="59"/>
      <c r="E797" s="59"/>
      <c r="F797" s="59"/>
      <c r="G797" s="59"/>
      <c r="H797" s="59"/>
      <c r="I797" s="59"/>
      <c r="J797" s="60"/>
      <c r="K797" s="61"/>
    </row>
    <row r="798" spans="2:11" x14ac:dyDescent="0.2">
      <c r="B798" s="57"/>
      <c r="C798" s="59"/>
      <c r="D798" s="59" t="s">
        <v>370</v>
      </c>
      <c r="E798" s="59"/>
      <c r="F798" s="59"/>
      <c r="G798" s="59"/>
      <c r="H798" s="59"/>
      <c r="I798" s="59"/>
      <c r="J798" s="60">
        <f>'Baseline At-Risk Pops'!H46</f>
        <v>0</v>
      </c>
      <c r="K798" s="61"/>
    </row>
    <row r="799" spans="2:11" x14ac:dyDescent="0.2">
      <c r="B799" s="57"/>
      <c r="C799" s="59"/>
      <c r="D799" s="59" t="s">
        <v>371</v>
      </c>
      <c r="E799" s="59"/>
      <c r="F799" s="59"/>
      <c r="G799" s="59"/>
      <c r="H799" s="59"/>
      <c r="I799" s="59"/>
      <c r="J799" s="60">
        <f>SUM(J723,J738,J753,J768)</f>
        <v>0</v>
      </c>
      <c r="K799" s="61"/>
    </row>
    <row r="800" spans="2:11" x14ac:dyDescent="0.2">
      <c r="B800" s="57"/>
      <c r="C800" s="59"/>
      <c r="D800" s="196" t="s">
        <v>372</v>
      </c>
      <c r="E800" s="59"/>
      <c r="F800" s="59"/>
      <c r="G800" s="59"/>
      <c r="H800" s="59"/>
      <c r="I800" s="59"/>
      <c r="J800" s="60">
        <f>AVERAGE(J798,J799)</f>
        <v>0</v>
      </c>
      <c r="K800" s="61"/>
    </row>
    <row r="801" spans="2:11" ht="16" x14ac:dyDescent="0.2">
      <c r="B801" s="57"/>
      <c r="C801" s="197" t="s">
        <v>41</v>
      </c>
      <c r="D801" s="59"/>
      <c r="E801" s="59"/>
      <c r="F801" s="59"/>
      <c r="G801" s="59"/>
      <c r="H801" s="59"/>
      <c r="I801" s="59"/>
      <c r="J801" s="60"/>
      <c r="K801" s="61"/>
    </row>
    <row r="802" spans="2:11" ht="16" x14ac:dyDescent="0.2">
      <c r="B802" s="57"/>
      <c r="C802" s="197"/>
      <c r="D802" s="59" t="s">
        <v>370</v>
      </c>
      <c r="E802" s="59"/>
      <c r="F802" s="59"/>
      <c r="G802" s="59"/>
      <c r="H802" s="59"/>
      <c r="I802" s="59"/>
      <c r="J802" s="60">
        <f>'Baseline At-Risk Pops'!H52</f>
        <v>0</v>
      </c>
      <c r="K802" s="61"/>
    </row>
    <row r="803" spans="2:11" x14ac:dyDescent="0.2">
      <c r="B803" s="57"/>
      <c r="C803" s="59"/>
      <c r="D803" s="59" t="s">
        <v>371</v>
      </c>
      <c r="E803" s="59"/>
      <c r="F803" s="59"/>
      <c r="G803" s="59"/>
      <c r="H803" s="59"/>
      <c r="I803" s="59"/>
      <c r="J803" s="60">
        <f>SUM(J724,J739,J754,J769)</f>
        <v>0</v>
      </c>
      <c r="K803" s="61"/>
    </row>
    <row r="804" spans="2:11" x14ac:dyDescent="0.2">
      <c r="B804" s="57"/>
      <c r="C804" s="59"/>
      <c r="D804" s="196" t="s">
        <v>372</v>
      </c>
      <c r="E804" s="59"/>
      <c r="F804" s="59"/>
      <c r="G804" s="59"/>
      <c r="H804" s="59"/>
      <c r="I804" s="59"/>
      <c r="J804" s="60">
        <f>AVERAGE(J802,J803)</f>
        <v>0</v>
      </c>
      <c r="K804" s="61"/>
    </row>
    <row r="805" spans="2:11" ht="16" x14ac:dyDescent="0.2">
      <c r="B805" s="57"/>
      <c r="C805" s="197" t="s">
        <v>43</v>
      </c>
      <c r="D805" s="59"/>
      <c r="E805" s="59"/>
      <c r="F805" s="59"/>
      <c r="G805" s="59"/>
      <c r="H805" s="59"/>
      <c r="I805" s="59"/>
      <c r="J805" s="60"/>
      <c r="K805" s="61"/>
    </row>
    <row r="806" spans="2:11" x14ac:dyDescent="0.2">
      <c r="B806" s="57"/>
      <c r="C806" s="59"/>
      <c r="D806" s="59" t="s">
        <v>370</v>
      </c>
      <c r="E806" s="59"/>
      <c r="F806" s="59"/>
      <c r="G806" s="59"/>
      <c r="H806" s="59"/>
      <c r="I806" s="59"/>
      <c r="J806" s="60">
        <f>'Baseline At-Risk Pops'!H58</f>
        <v>0</v>
      </c>
      <c r="K806" s="61"/>
    </row>
    <row r="807" spans="2:11" x14ac:dyDescent="0.2">
      <c r="B807" s="57"/>
      <c r="C807" s="59"/>
      <c r="D807" s="59" t="s">
        <v>371</v>
      </c>
      <c r="E807" s="59"/>
      <c r="F807" s="59"/>
      <c r="G807" s="59"/>
      <c r="H807" s="59"/>
      <c r="I807" s="59"/>
      <c r="J807" s="60">
        <f>SUM(J725,J740,J755,J770)</f>
        <v>0</v>
      </c>
      <c r="K807" s="61"/>
    </row>
    <row r="808" spans="2:11" x14ac:dyDescent="0.2">
      <c r="B808" s="57"/>
      <c r="C808" s="59"/>
      <c r="D808" s="196" t="s">
        <v>372</v>
      </c>
      <c r="E808" s="59"/>
      <c r="F808" s="59"/>
      <c r="G808" s="59"/>
      <c r="H808" s="59"/>
      <c r="I808" s="59"/>
      <c r="J808" s="60">
        <f>AVERAGE(J806,J807)</f>
        <v>0</v>
      </c>
      <c r="K808" s="61"/>
    </row>
    <row r="809" spans="2:11" x14ac:dyDescent="0.2">
      <c r="B809" s="57"/>
      <c r="C809" s="59"/>
      <c r="D809" s="59"/>
      <c r="E809" s="59"/>
      <c r="F809" s="59"/>
      <c r="G809" s="59"/>
      <c r="H809" s="59"/>
      <c r="I809" s="59"/>
      <c r="J809" s="59"/>
      <c r="K809" s="61"/>
    </row>
    <row r="810" spans="2:11" x14ac:dyDescent="0.2">
      <c r="B810" s="57"/>
      <c r="C810" s="59"/>
      <c r="D810" s="59"/>
      <c r="E810" s="59"/>
      <c r="F810" s="59"/>
      <c r="G810" s="59"/>
      <c r="H810" s="59"/>
      <c r="I810" s="59"/>
      <c r="J810" s="59"/>
      <c r="K810" s="61"/>
    </row>
    <row r="811" spans="2:11" ht="16" x14ac:dyDescent="0.2">
      <c r="B811" s="57"/>
      <c r="C811" s="198" t="s">
        <v>373</v>
      </c>
      <c r="D811" s="59"/>
      <c r="E811" s="59"/>
      <c r="F811" s="59"/>
      <c r="G811" s="59"/>
      <c r="H811" s="59"/>
      <c r="I811" s="59"/>
      <c r="J811" s="261">
        <f>AVERAGE(J776,J780,J784,J788,J792,J796,J800,J804,J808)</f>
        <v>0</v>
      </c>
      <c r="K811" s="61"/>
    </row>
    <row r="812" spans="2:11" ht="16" thickBot="1" x14ac:dyDescent="0.25">
      <c r="B812" s="73"/>
      <c r="C812" s="74"/>
      <c r="D812" s="74"/>
      <c r="E812" s="74"/>
      <c r="F812" s="74"/>
      <c r="G812" s="74"/>
      <c r="H812" s="74"/>
      <c r="I812" s="74"/>
      <c r="J812" s="74"/>
      <c r="K812" s="76"/>
    </row>
    <row r="813" spans="2:11" ht="16" thickBot="1" x14ac:dyDescent="0.25"/>
    <row r="814" spans="2:11" x14ac:dyDescent="0.2">
      <c r="B814" s="199"/>
      <c r="C814" s="200"/>
      <c r="D814" s="200"/>
      <c r="E814" s="200"/>
      <c r="F814" s="200"/>
      <c r="G814" s="200"/>
      <c r="H814" s="200"/>
      <c r="I814" s="200"/>
      <c r="J814" s="200"/>
      <c r="K814" s="201"/>
    </row>
    <row r="815" spans="2:11" ht="21" x14ac:dyDescent="0.25">
      <c r="B815" s="202"/>
      <c r="C815" s="203"/>
      <c r="D815" s="203"/>
      <c r="E815" s="203"/>
      <c r="F815" s="203"/>
      <c r="G815" s="204" t="s">
        <v>233</v>
      </c>
      <c r="H815" s="203"/>
      <c r="I815" s="203"/>
      <c r="J815" s="203"/>
      <c r="K815" s="205"/>
    </row>
    <row r="816" spans="2:11" x14ac:dyDescent="0.2">
      <c r="B816" s="202"/>
      <c r="C816" s="203"/>
      <c r="D816" s="203"/>
      <c r="E816" s="203"/>
      <c r="F816" s="203"/>
      <c r="G816" s="203"/>
      <c r="H816" s="203"/>
      <c r="I816" s="203"/>
      <c r="J816" s="203"/>
      <c r="K816" s="205"/>
    </row>
    <row r="817" spans="2:11" ht="16" x14ac:dyDescent="0.2">
      <c r="B817" s="202"/>
      <c r="C817" s="206" t="s">
        <v>992</v>
      </c>
      <c r="D817" s="203"/>
      <c r="E817" s="203"/>
      <c r="F817" s="203"/>
      <c r="G817" s="203"/>
      <c r="H817" s="203"/>
      <c r="I817" s="203"/>
      <c r="J817" s="262" t="str">
        <f>IF(J700="Not Calculated","Not Calculated",J700*(($J$811/4)+1))</f>
        <v>Not Calculated</v>
      </c>
      <c r="K817" s="205"/>
    </row>
    <row r="818" spans="2:11" x14ac:dyDescent="0.2">
      <c r="B818" s="202"/>
      <c r="C818" s="203"/>
      <c r="D818" s="203" t="s">
        <v>374</v>
      </c>
      <c r="E818" s="203"/>
      <c r="F818" s="203"/>
      <c r="G818" s="203"/>
      <c r="H818" s="203"/>
      <c r="I818" s="203"/>
      <c r="J818" s="203"/>
      <c r="K818" s="205"/>
    </row>
    <row r="819" spans="2:11" x14ac:dyDescent="0.2">
      <c r="B819" s="202"/>
      <c r="C819" s="203"/>
      <c r="D819" s="203"/>
      <c r="E819" s="203"/>
      <c r="F819" s="203"/>
      <c r="G819" s="203"/>
      <c r="H819" s="203"/>
      <c r="I819" s="203"/>
      <c r="J819" s="203"/>
      <c r="K819" s="205"/>
    </row>
    <row r="820" spans="2:11" ht="16" x14ac:dyDescent="0.2">
      <c r="B820" s="202"/>
      <c r="C820" s="206" t="s">
        <v>993</v>
      </c>
      <c r="D820" s="203"/>
      <c r="E820" s="203"/>
      <c r="F820" s="203"/>
      <c r="G820" s="203"/>
      <c r="H820" s="203"/>
      <c r="I820" s="203"/>
      <c r="J820" s="262" t="str">
        <f>IF(J703="Not Calculated","Not Calculated",J703*(($J$811/4)+1))</f>
        <v>Not Calculated</v>
      </c>
      <c r="K820" s="205"/>
    </row>
    <row r="821" spans="2:11" x14ac:dyDescent="0.2">
      <c r="B821" s="202"/>
      <c r="C821" s="203"/>
      <c r="D821" s="203" t="s">
        <v>375</v>
      </c>
      <c r="E821" s="203"/>
      <c r="F821" s="203"/>
      <c r="G821" s="203"/>
      <c r="H821" s="203"/>
      <c r="I821" s="203"/>
      <c r="J821" s="203"/>
      <c r="K821" s="205"/>
    </row>
    <row r="822" spans="2:11" x14ac:dyDescent="0.2">
      <c r="B822" s="202"/>
      <c r="C822" s="203"/>
      <c r="D822" s="203"/>
      <c r="E822" s="203"/>
      <c r="F822" s="203"/>
      <c r="G822" s="203"/>
      <c r="H822" s="203"/>
      <c r="I822" s="203"/>
      <c r="J822" s="203"/>
      <c r="K822" s="205"/>
    </row>
    <row r="823" spans="2:11" ht="16" x14ac:dyDescent="0.2">
      <c r="B823" s="202"/>
      <c r="C823" s="206" t="s">
        <v>994</v>
      </c>
      <c r="D823" s="203"/>
      <c r="E823" s="203"/>
      <c r="F823" s="203"/>
      <c r="G823" s="203"/>
      <c r="H823" s="203"/>
      <c r="I823" s="203"/>
      <c r="J823" s="262" t="str">
        <f>IF(J706="Not Calculated","Not Calculated",J706*(($J$811/4)+1))</f>
        <v>Not Calculated</v>
      </c>
      <c r="K823" s="205"/>
    </row>
    <row r="824" spans="2:11" x14ac:dyDescent="0.2">
      <c r="B824" s="202"/>
      <c r="C824" s="203"/>
      <c r="D824" s="203" t="s">
        <v>376</v>
      </c>
      <c r="E824" s="203"/>
      <c r="F824" s="203"/>
      <c r="G824" s="203"/>
      <c r="H824" s="203"/>
      <c r="I824" s="203"/>
      <c r="J824" s="203"/>
      <c r="K824" s="205"/>
    </row>
    <row r="825" spans="2:11" ht="16" thickBot="1" x14ac:dyDescent="0.25">
      <c r="B825" s="207"/>
      <c r="C825" s="208"/>
      <c r="D825" s="208"/>
      <c r="E825" s="208"/>
      <c r="F825" s="208"/>
      <c r="G825" s="208"/>
      <c r="H825" s="208"/>
      <c r="I825" s="208"/>
      <c r="J825" s="208"/>
      <c r="K825" s="209"/>
    </row>
    <row r="826" spans="2:11" ht="16" thickBot="1" x14ac:dyDescent="0.25"/>
    <row r="827" spans="2:11" x14ac:dyDescent="0.2">
      <c r="B827" s="77"/>
      <c r="C827" s="78"/>
      <c r="D827" s="78"/>
      <c r="E827" s="78"/>
      <c r="F827" s="78"/>
      <c r="G827" s="78"/>
      <c r="H827" s="78"/>
      <c r="I827" s="78"/>
      <c r="J827" s="78"/>
      <c r="K827" s="80"/>
    </row>
    <row r="828" spans="2:11" ht="21" x14ac:dyDescent="0.25">
      <c r="B828" s="81"/>
      <c r="C828" s="85"/>
      <c r="D828" s="85"/>
      <c r="E828" s="85"/>
      <c r="F828" s="85"/>
      <c r="G828" s="210" t="s">
        <v>806</v>
      </c>
      <c r="H828" s="85"/>
      <c r="I828" s="85"/>
      <c r="J828" s="85"/>
      <c r="K828" s="87"/>
    </row>
    <row r="829" spans="2:11" x14ac:dyDescent="0.2">
      <c r="B829" s="81"/>
      <c r="C829" s="85"/>
      <c r="D829" s="85"/>
      <c r="E829" s="85"/>
      <c r="F829" s="85"/>
      <c r="G829" s="85"/>
      <c r="H829" s="85"/>
      <c r="I829" s="85"/>
      <c r="J829" s="85"/>
      <c r="K829" s="87"/>
    </row>
    <row r="830" spans="2:11" ht="15" customHeight="1" x14ac:dyDescent="0.2">
      <c r="B830" s="81"/>
      <c r="C830" s="424" t="s">
        <v>808</v>
      </c>
      <c r="D830" s="424"/>
      <c r="E830" s="424"/>
      <c r="F830" s="424"/>
      <c r="G830" s="424"/>
      <c r="H830" s="424"/>
      <c r="I830" s="424"/>
      <c r="J830" s="424"/>
      <c r="K830" s="87"/>
    </row>
    <row r="831" spans="2:11" x14ac:dyDescent="0.2">
      <c r="B831" s="81"/>
      <c r="C831" s="424"/>
      <c r="D831" s="424"/>
      <c r="E831" s="424"/>
      <c r="F831" s="424"/>
      <c r="G831" s="424"/>
      <c r="H831" s="424"/>
      <c r="I831" s="424"/>
      <c r="J831" s="424"/>
      <c r="K831" s="87"/>
    </row>
    <row r="832" spans="2:11" x14ac:dyDescent="0.2">
      <c r="B832" s="81"/>
      <c r="C832" s="85"/>
      <c r="D832" s="85"/>
      <c r="E832" s="85"/>
      <c r="F832" s="85"/>
      <c r="G832" s="85"/>
      <c r="H832" s="85"/>
      <c r="I832" s="85"/>
      <c r="J832" s="85"/>
      <c r="K832" s="87"/>
    </row>
    <row r="833" spans="2:11" ht="16" x14ac:dyDescent="0.2">
      <c r="B833" s="81"/>
      <c r="C833" s="211" t="s">
        <v>654</v>
      </c>
      <c r="D833" s="85"/>
      <c r="E833" s="85"/>
      <c r="F833" s="85"/>
      <c r="G833" s="85"/>
      <c r="H833" s="85"/>
      <c r="I833" s="85"/>
      <c r="J833" s="85"/>
      <c r="K833" s="87"/>
    </row>
    <row r="834" spans="2:11" x14ac:dyDescent="0.2">
      <c r="B834" s="81"/>
      <c r="C834" s="85" t="s">
        <v>380</v>
      </c>
      <c r="D834" s="85"/>
      <c r="E834" s="85"/>
      <c r="F834" s="85"/>
      <c r="G834" s="406"/>
      <c r="H834" s="407"/>
      <c r="I834" s="85"/>
      <c r="J834" s="83" t="str">
        <f>IF(G834=$B$998,$A$998,IF(G834=$B$999,$A$999,IF(G834=$B$1000,$A$1000,IF(G834=$B$1001,$A$1001,IF(G834=$B$1002,$A$1002,"Not Calculated")))))</f>
        <v>Not Calculated</v>
      </c>
      <c r="K834" s="87"/>
    </row>
    <row r="835" spans="2:11" x14ac:dyDescent="0.2">
      <c r="B835" s="81"/>
      <c r="C835" s="85" t="s">
        <v>134</v>
      </c>
      <c r="D835" s="85"/>
      <c r="E835" s="85"/>
      <c r="F835" s="85"/>
      <c r="G835" s="85"/>
      <c r="H835" s="85"/>
      <c r="I835" s="85"/>
      <c r="J835" s="240">
        <f>'Baseline PHP'!J16</f>
        <v>0</v>
      </c>
      <c r="K835" s="87"/>
    </row>
    <row r="836" spans="2:11" x14ac:dyDescent="0.2">
      <c r="B836" s="81"/>
      <c r="C836" s="85"/>
      <c r="D836" s="85"/>
      <c r="E836" s="85"/>
      <c r="F836" s="85"/>
      <c r="G836" s="85"/>
      <c r="H836" s="85"/>
      <c r="I836" s="85"/>
      <c r="J836" s="85"/>
      <c r="K836" s="87"/>
    </row>
    <row r="837" spans="2:11" ht="16" x14ac:dyDescent="0.2">
      <c r="B837" s="81"/>
      <c r="C837" s="211" t="s">
        <v>655</v>
      </c>
      <c r="D837" s="85"/>
      <c r="E837" s="85"/>
      <c r="F837" s="85"/>
      <c r="G837" s="85"/>
      <c r="H837" s="85"/>
      <c r="I837" s="85"/>
      <c r="J837" s="85"/>
      <c r="K837" s="87"/>
    </row>
    <row r="838" spans="2:11" x14ac:dyDescent="0.2">
      <c r="B838" s="81"/>
      <c r="C838" s="85" t="s">
        <v>380</v>
      </c>
      <c r="D838" s="85"/>
      <c r="E838" s="85"/>
      <c r="F838" s="85"/>
      <c r="G838" s="406"/>
      <c r="H838" s="407"/>
      <c r="I838" s="85"/>
      <c r="J838" s="83" t="str">
        <f>IF(G838=$B$998,$A$998,IF(G838=$B$999,$A$999,IF(G838=$B$1000,$A$1000,IF(G838=$B$1001,$A$1001,IF(G838=$B$1002,$A$1002,"Not Calculated")))))</f>
        <v>Not Calculated</v>
      </c>
      <c r="K838" s="87"/>
    </row>
    <row r="839" spans="2:11" x14ac:dyDescent="0.2">
      <c r="B839" s="81"/>
      <c r="C839" s="85" t="s">
        <v>134</v>
      </c>
      <c r="D839" s="85"/>
      <c r="E839" s="85"/>
      <c r="F839" s="85"/>
      <c r="G839" s="85"/>
      <c r="H839" s="85"/>
      <c r="I839" s="85"/>
      <c r="J839" s="240">
        <f>'Baseline PHP'!J28</f>
        <v>0</v>
      </c>
      <c r="K839" s="87"/>
    </row>
    <row r="840" spans="2:11" x14ac:dyDescent="0.2">
      <c r="B840" s="81"/>
      <c r="C840" s="85"/>
      <c r="D840" s="85"/>
      <c r="E840" s="85"/>
      <c r="F840" s="85"/>
      <c r="G840" s="85"/>
      <c r="H840" s="85"/>
      <c r="I840" s="85"/>
      <c r="J840" s="85"/>
      <c r="K840" s="87"/>
    </row>
    <row r="841" spans="2:11" ht="16" x14ac:dyDescent="0.2">
      <c r="B841" s="81"/>
      <c r="C841" s="211" t="s">
        <v>645</v>
      </c>
      <c r="D841" s="85"/>
      <c r="E841" s="85"/>
      <c r="F841" s="85"/>
      <c r="G841" s="85"/>
      <c r="H841" s="85"/>
      <c r="I841" s="85"/>
      <c r="J841" s="85"/>
      <c r="K841" s="87"/>
    </row>
    <row r="842" spans="2:11" x14ac:dyDescent="0.2">
      <c r="B842" s="81"/>
      <c r="C842" s="85" t="s">
        <v>380</v>
      </c>
      <c r="D842" s="85"/>
      <c r="E842" s="85"/>
      <c r="F842" s="85"/>
      <c r="G842" s="406"/>
      <c r="H842" s="407"/>
      <c r="I842" s="85"/>
      <c r="J842" s="83" t="str">
        <f>IF(G842=$B$998,$A$998,IF(G842=$B$999,$A$999,IF(G842=$B$1000,$A$1000,IF(G842=$B$1001,$A$1001,IF(G842=$B$1002,$A$1002,"Not Calculated")))))</f>
        <v>Not Calculated</v>
      </c>
      <c r="K842" s="87"/>
    </row>
    <row r="843" spans="2:11" x14ac:dyDescent="0.2">
      <c r="B843" s="81"/>
      <c r="C843" s="85" t="s">
        <v>134</v>
      </c>
      <c r="D843" s="85"/>
      <c r="E843" s="85"/>
      <c r="F843" s="85"/>
      <c r="G843" s="85"/>
      <c r="H843" s="85"/>
      <c r="I843" s="85"/>
      <c r="J843" s="240">
        <f>'Baseline PHP'!J44</f>
        <v>0</v>
      </c>
      <c r="K843" s="87"/>
    </row>
    <row r="844" spans="2:11" x14ac:dyDescent="0.2">
      <c r="B844" s="81"/>
      <c r="C844" s="85"/>
      <c r="D844" s="85"/>
      <c r="E844" s="85"/>
      <c r="F844" s="85"/>
      <c r="G844" s="85"/>
      <c r="H844" s="85"/>
      <c r="I844" s="85"/>
      <c r="J844" s="85"/>
      <c r="K844" s="87"/>
    </row>
    <row r="845" spans="2:11" ht="16" x14ac:dyDescent="0.2">
      <c r="B845" s="81"/>
      <c r="C845" s="211" t="s">
        <v>646</v>
      </c>
      <c r="D845" s="85"/>
      <c r="E845" s="85"/>
      <c r="F845" s="85"/>
      <c r="G845" s="85"/>
      <c r="H845" s="85"/>
      <c r="I845" s="85"/>
      <c r="J845" s="85"/>
      <c r="K845" s="87"/>
    </row>
    <row r="846" spans="2:11" x14ac:dyDescent="0.2">
      <c r="B846" s="81"/>
      <c r="C846" s="85" t="s">
        <v>380</v>
      </c>
      <c r="D846" s="85"/>
      <c r="E846" s="85"/>
      <c r="F846" s="85"/>
      <c r="G846" s="406"/>
      <c r="H846" s="407"/>
      <c r="I846" s="85"/>
      <c r="J846" s="83" t="str">
        <f>IF(G846=$B$998,$A$998,IF(G846=$B$999,$A$999,IF(G846=$B$1000,$A$1000,IF(G846=$B$1001,$A$1001,IF(G846=$B$1002,$A$1002,"Not Calculated")))))</f>
        <v>Not Calculated</v>
      </c>
      <c r="K846" s="87"/>
    </row>
    <row r="847" spans="2:11" x14ac:dyDescent="0.2">
      <c r="B847" s="81"/>
      <c r="C847" s="85" t="s">
        <v>134</v>
      </c>
      <c r="D847" s="85"/>
      <c r="E847" s="85"/>
      <c r="F847" s="85"/>
      <c r="G847" s="85"/>
      <c r="H847" s="85"/>
      <c r="I847" s="85"/>
      <c r="J847" s="240">
        <f>'Baseline PHP'!J60</f>
        <v>0</v>
      </c>
      <c r="K847" s="87"/>
    </row>
    <row r="848" spans="2:11" x14ac:dyDescent="0.2">
      <c r="B848" s="81"/>
      <c r="C848" s="85"/>
      <c r="D848" s="85"/>
      <c r="E848" s="85"/>
      <c r="F848" s="85"/>
      <c r="G848" s="85"/>
      <c r="H848" s="85"/>
      <c r="I848" s="85"/>
      <c r="J848" s="85"/>
      <c r="K848" s="87"/>
    </row>
    <row r="849" spans="2:11" ht="16" x14ac:dyDescent="0.2">
      <c r="B849" s="81"/>
      <c r="C849" s="211" t="s">
        <v>648</v>
      </c>
      <c r="D849" s="85"/>
      <c r="E849" s="85"/>
      <c r="F849" s="85"/>
      <c r="G849" s="85"/>
      <c r="H849" s="85"/>
      <c r="I849" s="85"/>
      <c r="J849" s="85"/>
      <c r="K849" s="87"/>
    </row>
    <row r="850" spans="2:11" ht="15" customHeight="1" x14ac:dyDescent="0.2">
      <c r="B850" s="81"/>
      <c r="C850" s="85" t="s">
        <v>380</v>
      </c>
      <c r="D850" s="85"/>
      <c r="E850" s="85"/>
      <c r="F850" s="85"/>
      <c r="G850" s="406"/>
      <c r="H850" s="407"/>
      <c r="I850" s="85"/>
      <c r="J850" s="83" t="str">
        <f>IF(G850=$B$998,$A$998,IF(G850=$B$999,$A$999,IF(G850=$B$1000,$A$1000,IF(G850=$B$1001,$A$1001,IF(G850=$B$1002,$A$1002,"Not Calculated")))))</f>
        <v>Not Calculated</v>
      </c>
      <c r="K850" s="87"/>
    </row>
    <row r="851" spans="2:11" x14ac:dyDescent="0.2">
      <c r="B851" s="81"/>
      <c r="C851" s="85" t="s">
        <v>134</v>
      </c>
      <c r="D851" s="85"/>
      <c r="E851" s="85"/>
      <c r="F851" s="85"/>
      <c r="G851" s="85"/>
      <c r="H851" s="85"/>
      <c r="I851" s="85"/>
      <c r="J851" s="240">
        <f>'Baseline PHP'!J76</f>
        <v>0</v>
      </c>
      <c r="K851" s="87"/>
    </row>
    <row r="852" spans="2:11" x14ac:dyDescent="0.2">
      <c r="B852" s="81"/>
      <c r="C852" s="85"/>
      <c r="D852" s="85"/>
      <c r="E852" s="85"/>
      <c r="F852" s="85"/>
      <c r="G852" s="85"/>
      <c r="H852" s="85"/>
      <c r="I852" s="85"/>
      <c r="J852" s="85"/>
      <c r="K852" s="87"/>
    </row>
    <row r="853" spans="2:11" ht="16" x14ac:dyDescent="0.2">
      <c r="B853" s="81"/>
      <c r="C853" s="211" t="s">
        <v>647</v>
      </c>
      <c r="D853" s="85"/>
      <c r="E853" s="85"/>
      <c r="F853" s="85"/>
      <c r="G853" s="85"/>
      <c r="H853" s="85"/>
      <c r="I853" s="85"/>
      <c r="J853" s="85"/>
      <c r="K853" s="87"/>
    </row>
    <row r="854" spans="2:11" x14ac:dyDescent="0.2">
      <c r="B854" s="81"/>
      <c r="C854" s="85" t="s">
        <v>380</v>
      </c>
      <c r="D854" s="85"/>
      <c r="E854" s="85"/>
      <c r="F854" s="85"/>
      <c r="G854" s="406"/>
      <c r="H854" s="407"/>
      <c r="I854" s="85"/>
      <c r="J854" s="83" t="str">
        <f>IF(G854=$B$998,$A$998,IF(G854=$B$999,$A$999,IF(G854=$B$1000,$A$1000,IF(G854=$B$1001,$A$1001,IF(G854=$B$1002,$A$1002,"Not Calculated")))))</f>
        <v>Not Calculated</v>
      </c>
      <c r="K854" s="87"/>
    </row>
    <row r="855" spans="2:11" x14ac:dyDescent="0.2">
      <c r="B855" s="81"/>
      <c r="C855" s="85" t="s">
        <v>134</v>
      </c>
      <c r="D855" s="85"/>
      <c r="E855" s="85"/>
      <c r="F855" s="85"/>
      <c r="G855" s="85"/>
      <c r="H855" s="85"/>
      <c r="I855" s="85"/>
      <c r="J855" s="240">
        <f>'Baseline PHP'!J88</f>
        <v>0</v>
      </c>
      <c r="K855" s="87"/>
    </row>
    <row r="856" spans="2:11" x14ac:dyDescent="0.2">
      <c r="B856" s="81"/>
      <c r="C856" s="85"/>
      <c r="D856" s="85"/>
      <c r="E856" s="85"/>
      <c r="F856" s="85"/>
      <c r="G856" s="85"/>
      <c r="H856" s="85"/>
      <c r="I856" s="85"/>
      <c r="J856" s="85"/>
      <c r="K856" s="87"/>
    </row>
    <row r="857" spans="2:11" ht="16" x14ac:dyDescent="0.2">
      <c r="B857" s="81"/>
      <c r="C857" s="211" t="s">
        <v>115</v>
      </c>
      <c r="D857" s="85"/>
      <c r="E857" s="85"/>
      <c r="F857" s="85"/>
      <c r="G857" s="85"/>
      <c r="H857" s="85"/>
      <c r="I857" s="85"/>
      <c r="J857" s="85"/>
      <c r="K857" s="87"/>
    </row>
    <row r="858" spans="2:11" x14ac:dyDescent="0.2">
      <c r="B858" s="81"/>
      <c r="C858" s="85" t="s">
        <v>380</v>
      </c>
      <c r="D858" s="85"/>
      <c r="E858" s="85"/>
      <c r="F858" s="85"/>
      <c r="G858" s="406"/>
      <c r="H858" s="407"/>
      <c r="I858" s="85"/>
      <c r="J858" s="83" t="str">
        <f>IF(G858=$B$998,$A$998,IF(G858=$B$999,$A$999,IF(G858=$B$1000,$A$1000,IF(G858=$B$1001,$A$1001,IF(G858=$B$1002,$A$1002,"Not Calculated")))))</f>
        <v>Not Calculated</v>
      </c>
      <c r="K858" s="87"/>
    </row>
    <row r="859" spans="2:11" x14ac:dyDescent="0.2">
      <c r="B859" s="81"/>
      <c r="C859" s="85" t="s">
        <v>134</v>
      </c>
      <c r="D859" s="85"/>
      <c r="E859" s="85"/>
      <c r="F859" s="85"/>
      <c r="G859" s="85"/>
      <c r="H859" s="85"/>
      <c r="I859" s="85"/>
      <c r="J859" s="240">
        <f>'Baseline PHP'!J102</f>
        <v>0</v>
      </c>
      <c r="K859" s="87"/>
    </row>
    <row r="860" spans="2:11" x14ac:dyDescent="0.2">
      <c r="B860" s="81"/>
      <c r="C860" s="85"/>
      <c r="D860" s="85"/>
      <c r="E860" s="85"/>
      <c r="F860" s="85"/>
      <c r="G860" s="85"/>
      <c r="H860" s="85"/>
      <c r="I860" s="85"/>
      <c r="J860" s="85"/>
      <c r="K860" s="87"/>
    </row>
    <row r="861" spans="2:11" ht="16" x14ac:dyDescent="0.2">
      <c r="B861" s="81"/>
      <c r="C861" s="211" t="s">
        <v>649</v>
      </c>
      <c r="D861" s="85"/>
      <c r="E861" s="85"/>
      <c r="F861" s="85"/>
      <c r="G861" s="85"/>
      <c r="H861" s="85"/>
      <c r="I861" s="85"/>
      <c r="J861" s="85"/>
      <c r="K861" s="87"/>
    </row>
    <row r="862" spans="2:11" x14ac:dyDescent="0.2">
      <c r="B862" s="81"/>
      <c r="C862" s="85" t="s">
        <v>380</v>
      </c>
      <c r="D862" s="85"/>
      <c r="E862" s="85"/>
      <c r="F862" s="85"/>
      <c r="G862" s="406"/>
      <c r="H862" s="407"/>
      <c r="I862" s="85"/>
      <c r="J862" s="83" t="str">
        <f>IF(G862=$B$998,$A$998,IF(G862=$B$999,$A$999,IF(G862=$B$1000,$A$1000,IF(G862=$B$1001,$A$1001,IF(G862=$B$1002,$A$1002,"Not Calculated")))))</f>
        <v>Not Calculated</v>
      </c>
      <c r="K862" s="87"/>
    </row>
    <row r="863" spans="2:11" x14ac:dyDescent="0.2">
      <c r="B863" s="81"/>
      <c r="C863" s="85" t="s">
        <v>134</v>
      </c>
      <c r="D863" s="85"/>
      <c r="E863" s="85"/>
      <c r="F863" s="85"/>
      <c r="G863" s="85"/>
      <c r="H863" s="85"/>
      <c r="I863" s="85"/>
      <c r="J863" s="240">
        <f>'Baseline PHP'!J118</f>
        <v>0</v>
      </c>
      <c r="K863" s="87"/>
    </row>
    <row r="864" spans="2:11" x14ac:dyDescent="0.2">
      <c r="B864" s="81"/>
      <c r="C864" s="85"/>
      <c r="D864" s="85"/>
      <c r="E864" s="85"/>
      <c r="F864" s="85"/>
      <c r="G864" s="85"/>
      <c r="H864" s="85"/>
      <c r="I864" s="85"/>
      <c r="J864" s="85"/>
      <c r="K864" s="87"/>
    </row>
    <row r="865" spans="2:11" ht="16" x14ac:dyDescent="0.2">
      <c r="B865" s="81"/>
      <c r="C865" s="211" t="s">
        <v>656</v>
      </c>
      <c r="D865" s="85"/>
      <c r="E865" s="85"/>
      <c r="F865" s="85"/>
      <c r="G865" s="85"/>
      <c r="H865" s="85"/>
      <c r="I865" s="85"/>
      <c r="J865" s="85"/>
      <c r="K865" s="87"/>
    </row>
    <row r="866" spans="2:11" x14ac:dyDescent="0.2">
      <c r="B866" s="81"/>
      <c r="C866" s="85" t="s">
        <v>380</v>
      </c>
      <c r="D866" s="85"/>
      <c r="E866" s="85"/>
      <c r="F866" s="85"/>
      <c r="G866" s="406"/>
      <c r="H866" s="407"/>
      <c r="I866" s="85"/>
      <c r="J866" s="83" t="str">
        <f>IF(G866=$B$998,$A$998,IF(G866=$B$999,$A$999,IF(G866=$B$1000,$A$1000,IF(G866=$B$1001,$A$1001,IF(G866=$B$1002,$A$1002,"Not Calculated")))))</f>
        <v>Not Calculated</v>
      </c>
      <c r="K866" s="87"/>
    </row>
    <row r="867" spans="2:11" x14ac:dyDescent="0.2">
      <c r="B867" s="81"/>
      <c r="C867" s="85" t="s">
        <v>134</v>
      </c>
      <c r="D867" s="85"/>
      <c r="E867" s="85"/>
      <c r="F867" s="85"/>
      <c r="G867" s="85"/>
      <c r="H867" s="85"/>
      <c r="I867" s="85"/>
      <c r="J867" s="240">
        <f>'Baseline PHP'!J136</f>
        <v>0</v>
      </c>
      <c r="K867" s="87"/>
    </row>
    <row r="868" spans="2:11" x14ac:dyDescent="0.2">
      <c r="B868" s="81"/>
      <c r="C868" s="85"/>
      <c r="D868" s="85"/>
      <c r="E868" s="85"/>
      <c r="F868" s="85"/>
      <c r="G868" s="85"/>
      <c r="H868" s="85"/>
      <c r="I868" s="85"/>
      <c r="J868" s="85"/>
      <c r="K868" s="87"/>
    </row>
    <row r="869" spans="2:11" ht="16" x14ac:dyDescent="0.2">
      <c r="B869" s="81"/>
      <c r="C869" s="211" t="s">
        <v>121</v>
      </c>
      <c r="D869" s="85"/>
      <c r="E869" s="85"/>
      <c r="F869" s="85"/>
      <c r="G869" s="85"/>
      <c r="H869" s="85"/>
      <c r="I869" s="85"/>
      <c r="J869" s="85"/>
      <c r="K869" s="87"/>
    </row>
    <row r="870" spans="2:11" x14ac:dyDescent="0.2">
      <c r="B870" s="81"/>
      <c r="C870" s="85" t="s">
        <v>380</v>
      </c>
      <c r="D870" s="85"/>
      <c r="E870" s="85"/>
      <c r="F870" s="85"/>
      <c r="G870" s="406"/>
      <c r="H870" s="407"/>
      <c r="I870" s="85"/>
      <c r="J870" s="83" t="str">
        <f>IF(G870=$B$998,$A$998,IF(G870=$B$999,$A$999,IF(G870=$B$1000,$A$1000,IF(G870=$B$1001,$A$1001,IF(G870=$B$1002,$A$1002,"Not Calculated")))))</f>
        <v>Not Calculated</v>
      </c>
      <c r="K870" s="87"/>
    </row>
    <row r="871" spans="2:11" x14ac:dyDescent="0.2">
      <c r="B871" s="81"/>
      <c r="C871" s="85" t="s">
        <v>134</v>
      </c>
      <c r="D871" s="85"/>
      <c r="E871" s="85"/>
      <c r="F871" s="85"/>
      <c r="G871" s="85"/>
      <c r="H871" s="85"/>
      <c r="I871" s="85"/>
      <c r="J871" s="240">
        <f>'Baseline PHP'!J150</f>
        <v>0</v>
      </c>
      <c r="K871" s="87"/>
    </row>
    <row r="872" spans="2:11" x14ac:dyDescent="0.2">
      <c r="B872" s="81"/>
      <c r="C872" s="85"/>
      <c r="D872" s="85"/>
      <c r="E872" s="85"/>
      <c r="F872" s="85"/>
      <c r="G872" s="85"/>
      <c r="H872" s="85"/>
      <c r="I872" s="85"/>
      <c r="J872" s="85"/>
      <c r="K872" s="87"/>
    </row>
    <row r="873" spans="2:11" ht="16" x14ac:dyDescent="0.2">
      <c r="B873" s="81"/>
      <c r="C873" s="211" t="s">
        <v>657</v>
      </c>
      <c r="D873" s="85"/>
      <c r="E873" s="85"/>
      <c r="F873" s="85"/>
      <c r="G873" s="85"/>
      <c r="H873" s="85"/>
      <c r="I873" s="85"/>
      <c r="J873" s="85"/>
      <c r="K873" s="87"/>
    </row>
    <row r="874" spans="2:11" x14ac:dyDescent="0.2">
      <c r="B874" s="81"/>
      <c r="C874" s="85" t="s">
        <v>380</v>
      </c>
      <c r="D874" s="85"/>
      <c r="E874" s="85"/>
      <c r="F874" s="85"/>
      <c r="G874" s="406"/>
      <c r="H874" s="407"/>
      <c r="I874" s="85"/>
      <c r="J874" s="83" t="str">
        <f>IF(G874=$B$998,$A$998,IF(G874=$B$999,$A$999,IF(G874=$B$1000,$A$1000,IF(G874=$B$1001,$A$1001,IF(G874=$B$1002,$A$1002,"Not Calculated")))))</f>
        <v>Not Calculated</v>
      </c>
      <c r="K874" s="87"/>
    </row>
    <row r="875" spans="2:11" x14ac:dyDescent="0.2">
      <c r="B875" s="81"/>
      <c r="C875" s="85" t="s">
        <v>134</v>
      </c>
      <c r="D875" s="85"/>
      <c r="E875" s="85"/>
      <c r="F875" s="85"/>
      <c r="G875" s="85"/>
      <c r="H875" s="85"/>
      <c r="I875" s="85"/>
      <c r="J875" s="240">
        <f>'Baseline PHP'!J164</f>
        <v>0</v>
      </c>
      <c r="K875" s="87"/>
    </row>
    <row r="876" spans="2:11" x14ac:dyDescent="0.2">
      <c r="B876" s="81"/>
      <c r="C876" s="85"/>
      <c r="D876" s="85"/>
      <c r="E876" s="85"/>
      <c r="F876" s="85"/>
      <c r="G876" s="85"/>
      <c r="H876" s="85"/>
      <c r="I876" s="85"/>
      <c r="J876" s="85"/>
      <c r="K876" s="87"/>
    </row>
    <row r="877" spans="2:11" ht="16" x14ac:dyDescent="0.2">
      <c r="B877" s="81"/>
      <c r="C877" s="211" t="s">
        <v>650</v>
      </c>
      <c r="D877" s="85"/>
      <c r="E877" s="85"/>
      <c r="F877" s="85"/>
      <c r="G877" s="85"/>
      <c r="H877" s="85"/>
      <c r="I877" s="85"/>
      <c r="J877" s="85"/>
      <c r="K877" s="87"/>
    </row>
    <row r="878" spans="2:11" x14ac:dyDescent="0.2">
      <c r="B878" s="81"/>
      <c r="C878" s="85" t="s">
        <v>380</v>
      </c>
      <c r="D878" s="85"/>
      <c r="E878" s="85"/>
      <c r="F878" s="85"/>
      <c r="G878" s="406"/>
      <c r="H878" s="407"/>
      <c r="I878" s="85"/>
      <c r="J878" s="83" t="str">
        <f>IF(G878=$B$998,$A$998,IF(G878=$B$999,$A$999,IF(G878=$B$1000,$A$1000,IF(G878=$B$1001,$A$1001,IF(G878=$B$1002,$A$1002,"Not Calculated")))))</f>
        <v>Not Calculated</v>
      </c>
      <c r="K878" s="87"/>
    </row>
    <row r="879" spans="2:11" x14ac:dyDescent="0.2">
      <c r="B879" s="81"/>
      <c r="C879" s="85" t="s">
        <v>134</v>
      </c>
      <c r="D879" s="85"/>
      <c r="E879" s="85"/>
      <c r="F879" s="85"/>
      <c r="G879" s="85"/>
      <c r="H879" s="85"/>
      <c r="I879" s="85"/>
      <c r="J879" s="240">
        <f>'Baseline PHP'!J180</f>
        <v>0</v>
      </c>
      <c r="K879" s="87"/>
    </row>
    <row r="880" spans="2:11" x14ac:dyDescent="0.2">
      <c r="B880" s="81"/>
      <c r="C880" s="85"/>
      <c r="D880" s="85"/>
      <c r="E880" s="85"/>
      <c r="F880" s="85"/>
      <c r="G880" s="85"/>
      <c r="H880" s="85"/>
      <c r="I880" s="85"/>
      <c r="J880" s="85"/>
      <c r="K880" s="87"/>
    </row>
    <row r="881" spans="2:11" ht="16" x14ac:dyDescent="0.2">
      <c r="B881" s="81"/>
      <c r="C881" s="211" t="s">
        <v>651</v>
      </c>
      <c r="D881" s="85"/>
      <c r="E881" s="85"/>
      <c r="F881" s="85"/>
      <c r="G881" s="85"/>
      <c r="H881" s="85"/>
      <c r="I881" s="85"/>
      <c r="J881" s="85"/>
      <c r="K881" s="87"/>
    </row>
    <row r="882" spans="2:11" x14ac:dyDescent="0.2">
      <c r="B882" s="81"/>
      <c r="C882" s="85" t="s">
        <v>380</v>
      </c>
      <c r="D882" s="85"/>
      <c r="E882" s="85"/>
      <c r="F882" s="85"/>
      <c r="G882" s="406"/>
      <c r="H882" s="407"/>
      <c r="I882" s="85"/>
      <c r="J882" s="83" t="str">
        <f>IF(G882=$B$998,$A$998,IF(G882=$B$999,$A$999,IF(G882=$B$1000,$A$1000,IF(G882=$B$1001,$A$1001,IF(G882=$B$1002,$A$1002,"Not Calculated")))))</f>
        <v>Not Calculated</v>
      </c>
      <c r="K882" s="87"/>
    </row>
    <row r="883" spans="2:11" x14ac:dyDescent="0.2">
      <c r="B883" s="81"/>
      <c r="C883" s="85" t="s">
        <v>134</v>
      </c>
      <c r="D883" s="85"/>
      <c r="E883" s="85"/>
      <c r="F883" s="85"/>
      <c r="G883" s="85"/>
      <c r="H883" s="85"/>
      <c r="I883" s="85"/>
      <c r="J883" s="240">
        <f>'Baseline PHP'!J194</f>
        <v>0</v>
      </c>
      <c r="K883" s="87"/>
    </row>
    <row r="884" spans="2:11" x14ac:dyDescent="0.2">
      <c r="B884" s="81"/>
      <c r="C884" s="85"/>
      <c r="D884" s="85"/>
      <c r="E884" s="85"/>
      <c r="F884" s="85"/>
      <c r="G884" s="85"/>
      <c r="H884" s="85"/>
      <c r="I884" s="85"/>
      <c r="J884" s="85"/>
      <c r="K884" s="87"/>
    </row>
    <row r="885" spans="2:11" ht="16" x14ac:dyDescent="0.2">
      <c r="B885" s="81"/>
      <c r="C885" s="211" t="s">
        <v>652</v>
      </c>
      <c r="D885" s="85"/>
      <c r="E885" s="85"/>
      <c r="F885" s="85"/>
      <c r="G885" s="85"/>
      <c r="H885" s="85"/>
      <c r="I885" s="85"/>
      <c r="J885" s="85"/>
      <c r="K885" s="87"/>
    </row>
    <row r="886" spans="2:11" x14ac:dyDescent="0.2">
      <c r="B886" s="81"/>
      <c r="C886" s="85" t="s">
        <v>380</v>
      </c>
      <c r="D886" s="85"/>
      <c r="E886" s="85"/>
      <c r="F886" s="85"/>
      <c r="G886" s="406"/>
      <c r="H886" s="407"/>
      <c r="I886" s="85"/>
      <c r="J886" s="83" t="str">
        <f>IF(G886=$B$998,$A$998,IF(G886=$B$999,$A$999,IF(G886=$B$1000,$A$1000,IF(G886=$B$1001,$A$1001,IF(G886=$B$1002,$A$1002,"Not Calculated")))))</f>
        <v>Not Calculated</v>
      </c>
      <c r="K886" s="87"/>
    </row>
    <row r="887" spans="2:11" x14ac:dyDescent="0.2">
      <c r="B887" s="81"/>
      <c r="C887" s="85" t="s">
        <v>134</v>
      </c>
      <c r="D887" s="85"/>
      <c r="E887" s="85"/>
      <c r="F887" s="85"/>
      <c r="G887" s="85"/>
      <c r="H887" s="85"/>
      <c r="I887" s="85"/>
      <c r="J887" s="240">
        <f>'Baseline PHP'!J208</f>
        <v>0</v>
      </c>
      <c r="K887" s="87"/>
    </row>
    <row r="888" spans="2:11" x14ac:dyDescent="0.2">
      <c r="B888" s="81"/>
      <c r="C888" s="85"/>
      <c r="D888" s="85"/>
      <c r="E888" s="85"/>
      <c r="F888" s="85"/>
      <c r="G888" s="85"/>
      <c r="H888" s="85"/>
      <c r="I888" s="85"/>
      <c r="J888" s="85"/>
      <c r="K888" s="87"/>
    </row>
    <row r="889" spans="2:11" ht="16" x14ac:dyDescent="0.2">
      <c r="B889" s="81"/>
      <c r="C889" s="211" t="s">
        <v>653</v>
      </c>
      <c r="D889" s="85"/>
      <c r="E889" s="85"/>
      <c r="F889" s="85"/>
      <c r="G889" s="85"/>
      <c r="H889" s="85"/>
      <c r="I889" s="85"/>
      <c r="J889" s="85"/>
      <c r="K889" s="87"/>
    </row>
    <row r="890" spans="2:11" x14ac:dyDescent="0.2">
      <c r="B890" s="81"/>
      <c r="C890" s="85" t="s">
        <v>380</v>
      </c>
      <c r="D890" s="85"/>
      <c r="E890" s="85"/>
      <c r="F890" s="85"/>
      <c r="G890" s="406"/>
      <c r="H890" s="407"/>
      <c r="I890" s="85"/>
      <c r="J890" s="83" t="str">
        <f>IF(G890=$B$998,$A$998,IF(G890=$B$999,$A$999,IF(G890=$B$1000,$A$1000,IF(G890=$B$1001,$A$1001,IF(G890=$B$1002,$A$1002,"Not Calculated")))))</f>
        <v>Not Calculated</v>
      </c>
      <c r="K890" s="87"/>
    </row>
    <row r="891" spans="2:11" x14ac:dyDescent="0.2">
      <c r="B891" s="81"/>
      <c r="C891" s="85" t="s">
        <v>134</v>
      </c>
      <c r="D891" s="85"/>
      <c r="E891" s="85"/>
      <c r="F891" s="85"/>
      <c r="G891" s="85"/>
      <c r="H891" s="85"/>
      <c r="I891" s="85"/>
      <c r="J891" s="240">
        <f>'Baseline PHP'!J222</f>
        <v>0</v>
      </c>
      <c r="K891" s="87"/>
    </row>
    <row r="892" spans="2:11" x14ac:dyDescent="0.2">
      <c r="B892" s="81"/>
      <c r="C892" s="85"/>
      <c r="D892" s="85"/>
      <c r="E892" s="85"/>
      <c r="F892" s="85"/>
      <c r="G892" s="85"/>
      <c r="H892" s="85"/>
      <c r="I892" s="85"/>
      <c r="J892" s="85"/>
      <c r="K892" s="87"/>
    </row>
    <row r="893" spans="2:11" x14ac:dyDescent="0.2">
      <c r="B893" s="81"/>
      <c r="C893" s="85"/>
      <c r="D893" s="85"/>
      <c r="E893" s="85"/>
      <c r="F893" s="85"/>
      <c r="G893" s="85"/>
      <c r="H893" s="85"/>
      <c r="I893" s="85"/>
      <c r="J893" s="85"/>
      <c r="K893" s="87"/>
    </row>
    <row r="894" spans="2:11" ht="16" x14ac:dyDescent="0.2">
      <c r="B894" s="81"/>
      <c r="C894" s="212" t="s">
        <v>813</v>
      </c>
      <c r="D894" s="85"/>
      <c r="E894" s="85"/>
      <c r="F894" s="85"/>
      <c r="G894" s="85"/>
      <c r="H894" s="85"/>
      <c r="I894" s="85"/>
      <c r="J894" s="241" t="str">
        <f>IF(OR(J854="Not Calculated",J858="Not Calculated",J862="Not Calculated",J866="Not Calculated",J870="Not Calculated",J874="Not Calculated",J878="Not Calculated",J882="Not Calculated",J886="Not Calculated",J890="Not Calculated",J834="Not Calculated",J838="Not Calculated",J842="Not Calculated",J846="Not Calculated",J850="Not Calculated",J855="Not Calculated",J859="Not Calculated",J863="Not Calculated",J867="Not Calculated",J871="Not Calculated",J875="Not Calculated",J879="Not Calculated",J883="Not Calculated",J887="Not Calculated",J891="Not Calculated",J835="Not Calculated",J839="Not Calculated",J843="Not Calculated",J847="Not Calculated",J851="Not Calculated")=TRUE,"Not Calculated",((J834*J835)+(J838*J839)+(J842*J843)+(J846*J847)+(J850*J851)+(J854*J855)+(J858*J859)+(J862*J863)+(J866*J867)+(J870*J871)+(J874*J875)+(J878*J879)+(J882*J883)+(J886*J887)+(J890*J891))/(J834+J838+J842+J846+J850+J854+J858+J862+J866+J870+J874+J878+J882+J886+J890))</f>
        <v>Not Calculated</v>
      </c>
      <c r="K894" s="87"/>
    </row>
    <row r="895" spans="2:11" ht="16" thickBot="1" x14ac:dyDescent="0.25">
      <c r="B895" s="213"/>
      <c r="C895" s="94"/>
      <c r="D895" s="94"/>
      <c r="E895" s="94"/>
      <c r="F895" s="94"/>
      <c r="G895" s="94"/>
      <c r="H895" s="94"/>
      <c r="I895" s="94"/>
      <c r="J895" s="94"/>
      <c r="K895" s="96"/>
    </row>
    <row r="896" spans="2:11" ht="16" thickBot="1" x14ac:dyDescent="0.25"/>
    <row r="897" spans="2:11" x14ac:dyDescent="0.2">
      <c r="B897" s="77"/>
      <c r="C897" s="78"/>
      <c r="D897" s="78"/>
      <c r="E897" s="78"/>
      <c r="F897" s="78"/>
      <c r="G897" s="78"/>
      <c r="H897" s="78"/>
      <c r="I897" s="78"/>
      <c r="J897" s="78"/>
      <c r="K897" s="80"/>
    </row>
    <row r="898" spans="2:11" ht="21" x14ac:dyDescent="0.25">
      <c r="B898" s="81"/>
      <c r="C898" s="85"/>
      <c r="D898" s="85"/>
      <c r="E898" s="85"/>
      <c r="F898" s="85"/>
      <c r="G898" s="210" t="s">
        <v>807</v>
      </c>
      <c r="H898" s="85"/>
      <c r="I898" s="85"/>
      <c r="J898" s="85"/>
      <c r="K898" s="87"/>
    </row>
    <row r="899" spans="2:11" x14ac:dyDescent="0.2">
      <c r="B899" s="81"/>
      <c r="C899" s="85"/>
      <c r="D899" s="85"/>
      <c r="E899" s="85"/>
      <c r="F899" s="85"/>
      <c r="G899" s="85"/>
      <c r="H899" s="85"/>
      <c r="I899" s="85"/>
      <c r="J899" s="85"/>
      <c r="K899" s="87"/>
    </row>
    <row r="900" spans="2:11" ht="15" customHeight="1" x14ac:dyDescent="0.2">
      <c r="B900" s="81"/>
      <c r="C900" s="424" t="s">
        <v>809</v>
      </c>
      <c r="D900" s="424"/>
      <c r="E900" s="424"/>
      <c r="F900" s="424"/>
      <c r="G900" s="424"/>
      <c r="H900" s="424"/>
      <c r="I900" s="424"/>
      <c r="J900" s="424"/>
      <c r="K900" s="87"/>
    </row>
    <row r="901" spans="2:11" x14ac:dyDescent="0.2">
      <c r="B901" s="81"/>
      <c r="C901" s="424"/>
      <c r="D901" s="424"/>
      <c r="E901" s="424"/>
      <c r="F901" s="424"/>
      <c r="G901" s="424"/>
      <c r="H901" s="424"/>
      <c r="I901" s="424"/>
      <c r="J901" s="424"/>
      <c r="K901" s="87"/>
    </row>
    <row r="902" spans="2:11" x14ac:dyDescent="0.2">
      <c r="B902" s="81"/>
      <c r="C902" s="85"/>
      <c r="D902" s="85"/>
      <c r="E902" s="85"/>
      <c r="F902" s="85"/>
      <c r="G902" s="85"/>
      <c r="H902" s="85"/>
      <c r="I902" s="85"/>
      <c r="J902" s="85"/>
      <c r="K902" s="87"/>
    </row>
    <row r="903" spans="2:11" ht="16" x14ac:dyDescent="0.2">
      <c r="B903" s="81"/>
      <c r="C903" s="211" t="s">
        <v>810</v>
      </c>
      <c r="D903" s="85"/>
      <c r="E903" s="85"/>
      <c r="F903" s="85"/>
      <c r="G903" s="85"/>
      <c r="H903" s="85"/>
      <c r="I903" s="85"/>
      <c r="J903" s="85"/>
      <c r="K903" s="87"/>
    </row>
    <row r="904" spans="2:11" x14ac:dyDescent="0.2">
      <c r="B904" s="81"/>
      <c r="C904" s="85" t="s">
        <v>380</v>
      </c>
      <c r="D904" s="85"/>
      <c r="E904" s="85"/>
      <c r="F904" s="85"/>
      <c r="G904" s="406"/>
      <c r="H904" s="407"/>
      <c r="I904" s="85"/>
      <c r="J904" s="83" t="str">
        <f>IF(G904=$B$998,$A$998,IF(G904=$B$999,$A$999,IF(G904=$B$1000,$A$1000,IF(G904=$B$1001,$A$1001,IF(G904=$B$1002,$A$1002,"Not Calculated")))))</f>
        <v>Not Calculated</v>
      </c>
      <c r="K904" s="87"/>
    </row>
    <row r="905" spans="2:11" x14ac:dyDescent="0.2">
      <c r="B905" s="81"/>
      <c r="C905" s="85" t="s">
        <v>134</v>
      </c>
      <c r="D905" s="85"/>
      <c r="E905" s="85"/>
      <c r="F905" s="85"/>
      <c r="G905" s="85"/>
      <c r="H905" s="85"/>
      <c r="I905" s="85"/>
      <c r="J905" s="240">
        <f>'Baseline HP'!J22</f>
        <v>0</v>
      </c>
      <c r="K905" s="87"/>
    </row>
    <row r="906" spans="2:11" x14ac:dyDescent="0.2">
      <c r="B906" s="81"/>
      <c r="C906" s="85"/>
      <c r="D906" s="85"/>
      <c r="E906" s="85"/>
      <c r="F906" s="85"/>
      <c r="G906" s="85"/>
      <c r="H906" s="85"/>
      <c r="I906" s="85"/>
      <c r="J906" s="85"/>
      <c r="K906" s="87"/>
    </row>
    <row r="907" spans="2:11" ht="16" x14ac:dyDescent="0.2">
      <c r="B907" s="81"/>
      <c r="C907" s="211" t="s">
        <v>811</v>
      </c>
      <c r="D907" s="85"/>
      <c r="E907" s="85"/>
      <c r="F907" s="85"/>
      <c r="G907" s="85"/>
      <c r="H907" s="85"/>
      <c r="I907" s="85"/>
      <c r="J907" s="85"/>
      <c r="K907" s="87"/>
    </row>
    <row r="908" spans="2:11" x14ac:dyDescent="0.2">
      <c r="B908" s="81"/>
      <c r="C908" s="85" t="s">
        <v>380</v>
      </c>
      <c r="D908" s="85"/>
      <c r="E908" s="85"/>
      <c r="F908" s="85"/>
      <c r="G908" s="406"/>
      <c r="H908" s="407"/>
      <c r="I908" s="85"/>
      <c r="J908" s="83" t="str">
        <f>IF(G908=$B$998,$A$998,IF(G908=$B$999,$A$999,IF(G908=$B$1000,$A$1000,IF(G908=$B$1001,$A$1001,IF(G908=$B$1002,$A$1002,"Not Calculated")))))</f>
        <v>Not Calculated</v>
      </c>
      <c r="K908" s="87"/>
    </row>
    <row r="909" spans="2:11" x14ac:dyDescent="0.2">
      <c r="B909" s="81"/>
      <c r="C909" s="85" t="s">
        <v>134</v>
      </c>
      <c r="D909" s="85"/>
      <c r="E909" s="85"/>
      <c r="F909" s="85"/>
      <c r="G909" s="85"/>
      <c r="H909" s="85"/>
      <c r="I909" s="85"/>
      <c r="J909" s="240">
        <f>'Baseline HP'!J32</f>
        <v>0</v>
      </c>
      <c r="K909" s="87"/>
    </row>
    <row r="910" spans="2:11" x14ac:dyDescent="0.2">
      <c r="B910" s="81"/>
      <c r="C910" s="85"/>
      <c r="D910" s="85"/>
      <c r="E910" s="85"/>
      <c r="F910" s="85"/>
      <c r="G910" s="85"/>
      <c r="H910" s="85"/>
      <c r="I910" s="85"/>
      <c r="J910" s="85"/>
      <c r="K910" s="87"/>
    </row>
    <row r="911" spans="2:11" ht="16" x14ac:dyDescent="0.2">
      <c r="B911" s="81"/>
      <c r="C911" s="211" t="s">
        <v>645</v>
      </c>
      <c r="D911" s="85"/>
      <c r="E911" s="85"/>
      <c r="F911" s="85"/>
      <c r="G911" s="85"/>
      <c r="H911" s="85"/>
      <c r="I911" s="85"/>
      <c r="J911" s="85"/>
      <c r="K911" s="87"/>
    </row>
    <row r="912" spans="2:11" x14ac:dyDescent="0.2">
      <c r="B912" s="81"/>
      <c r="C912" s="85" t="s">
        <v>380</v>
      </c>
      <c r="D912" s="85"/>
      <c r="E912" s="85"/>
      <c r="F912" s="85"/>
      <c r="G912" s="406"/>
      <c r="H912" s="407"/>
      <c r="I912" s="85"/>
      <c r="J912" s="83" t="str">
        <f>IF(G912=$B$998,$A$998,IF(G912=$B$999,$A$999,IF(G912=$B$1000,$A$1000,IF(G912=$B$1001,$A$1001,IF(G912=$B$1002,$A$1002,"Not Calculated")))))</f>
        <v>Not Calculated</v>
      </c>
      <c r="K912" s="87"/>
    </row>
    <row r="913" spans="2:11" x14ac:dyDescent="0.2">
      <c r="B913" s="81"/>
      <c r="C913" s="85" t="s">
        <v>134</v>
      </c>
      <c r="D913" s="85"/>
      <c r="E913" s="85"/>
      <c r="F913" s="85"/>
      <c r="G913" s="85"/>
      <c r="H913" s="85"/>
      <c r="I913" s="85"/>
      <c r="J913" s="240">
        <f>'Baseline HP'!J46</f>
        <v>0</v>
      </c>
      <c r="K913" s="87"/>
    </row>
    <row r="914" spans="2:11" x14ac:dyDescent="0.2">
      <c r="B914" s="81"/>
      <c r="C914" s="85"/>
      <c r="D914" s="85"/>
      <c r="E914" s="85"/>
      <c r="F914" s="85"/>
      <c r="G914" s="85"/>
      <c r="H914" s="85"/>
      <c r="I914" s="85"/>
      <c r="J914" s="85"/>
      <c r="K914" s="87"/>
    </row>
    <row r="915" spans="2:11" ht="16" x14ac:dyDescent="0.2">
      <c r="B915" s="81"/>
      <c r="C915" s="211" t="s">
        <v>648</v>
      </c>
      <c r="D915" s="85"/>
      <c r="E915" s="85"/>
      <c r="F915" s="85"/>
      <c r="G915" s="85"/>
      <c r="H915" s="85"/>
      <c r="I915" s="85"/>
      <c r="J915" s="85"/>
      <c r="K915" s="87"/>
    </row>
    <row r="916" spans="2:11" ht="15" customHeight="1" x14ac:dyDescent="0.2">
      <c r="B916" s="81"/>
      <c r="C916" s="85" t="s">
        <v>380</v>
      </c>
      <c r="D916" s="85"/>
      <c r="E916" s="85"/>
      <c r="F916" s="85"/>
      <c r="G916" s="406"/>
      <c r="H916" s="407"/>
      <c r="I916" s="85"/>
      <c r="J916" s="83" t="str">
        <f>IF(G916=$B$998,$A$998,IF(G916=$B$999,$A$999,IF(G916=$B$1000,$A$1000,IF(G916=$B$1001,$A$1001,IF(G916=$B$1002,$A$1002,"Not Calculated")))))</f>
        <v>Not Calculated</v>
      </c>
      <c r="K916" s="87"/>
    </row>
    <row r="917" spans="2:11" x14ac:dyDescent="0.2">
      <c r="B917" s="81"/>
      <c r="C917" s="85" t="s">
        <v>134</v>
      </c>
      <c r="D917" s="85"/>
      <c r="E917" s="85"/>
      <c r="F917" s="85"/>
      <c r="G917" s="85"/>
      <c r="H917" s="85"/>
      <c r="I917" s="85"/>
      <c r="J917" s="240">
        <f>'Baseline HP'!J58</f>
        <v>0</v>
      </c>
      <c r="K917" s="87"/>
    </row>
    <row r="918" spans="2:11" x14ac:dyDescent="0.2">
      <c r="B918" s="81"/>
      <c r="C918" s="85"/>
      <c r="D918" s="85"/>
      <c r="E918" s="85"/>
      <c r="F918" s="85"/>
      <c r="G918" s="85"/>
      <c r="H918" s="85"/>
      <c r="I918" s="85"/>
      <c r="J918" s="85"/>
      <c r="K918" s="87"/>
    </row>
    <row r="919" spans="2:11" ht="16" x14ac:dyDescent="0.2">
      <c r="B919" s="81"/>
      <c r="C919" s="211" t="s">
        <v>647</v>
      </c>
      <c r="D919" s="85"/>
      <c r="E919" s="85"/>
      <c r="F919" s="85"/>
      <c r="G919" s="85"/>
      <c r="H919" s="85"/>
      <c r="I919" s="85"/>
      <c r="J919" s="85"/>
      <c r="K919" s="87"/>
    </row>
    <row r="920" spans="2:11" x14ac:dyDescent="0.2">
      <c r="B920" s="81"/>
      <c r="C920" s="85" t="s">
        <v>380</v>
      </c>
      <c r="D920" s="85"/>
      <c r="E920" s="85"/>
      <c r="F920" s="85"/>
      <c r="G920" s="406"/>
      <c r="H920" s="407"/>
      <c r="I920" s="85"/>
      <c r="J920" s="83" t="str">
        <f>IF(G920=$B$998,$A$998,IF(G920=$B$999,$A$999,IF(G920=$B$1000,$A$1000,IF(G920=$B$1001,$A$1001,IF(G920=$B$1002,$A$1002,"Not Calculated")))))</f>
        <v>Not Calculated</v>
      </c>
      <c r="K920" s="87"/>
    </row>
    <row r="921" spans="2:11" x14ac:dyDescent="0.2">
      <c r="B921" s="81"/>
      <c r="C921" s="85" t="s">
        <v>134</v>
      </c>
      <c r="D921" s="85"/>
      <c r="E921" s="85"/>
      <c r="F921" s="85"/>
      <c r="G921" s="85"/>
      <c r="H921" s="85"/>
      <c r="I921" s="85"/>
      <c r="J921" s="240">
        <f>'Baseline HP'!J68</f>
        <v>0</v>
      </c>
      <c r="K921" s="87"/>
    </row>
    <row r="922" spans="2:11" x14ac:dyDescent="0.2">
      <c r="B922" s="81"/>
      <c r="C922" s="85"/>
      <c r="D922" s="85"/>
      <c r="E922" s="85"/>
      <c r="F922" s="85"/>
      <c r="G922" s="85"/>
      <c r="H922" s="85"/>
      <c r="I922" s="85"/>
      <c r="J922" s="85"/>
      <c r="K922" s="87"/>
    </row>
    <row r="923" spans="2:11" ht="16" x14ac:dyDescent="0.2">
      <c r="B923" s="81"/>
      <c r="C923" s="211" t="s">
        <v>121</v>
      </c>
      <c r="D923" s="85"/>
      <c r="E923" s="85"/>
      <c r="F923" s="85"/>
      <c r="G923" s="85"/>
      <c r="H923" s="85"/>
      <c r="I923" s="85"/>
      <c r="J923" s="85"/>
      <c r="K923" s="87"/>
    </row>
    <row r="924" spans="2:11" x14ac:dyDescent="0.2">
      <c r="B924" s="81"/>
      <c r="C924" s="85" t="s">
        <v>380</v>
      </c>
      <c r="D924" s="85"/>
      <c r="E924" s="85"/>
      <c r="F924" s="85"/>
      <c r="G924" s="406"/>
      <c r="H924" s="407"/>
      <c r="I924" s="85"/>
      <c r="J924" s="83" t="str">
        <f>IF(G924=$B$998,$A$998,IF(G924=$B$999,$A$999,IF(G924=$B$1000,$A$1000,IF(G924=$B$1001,$A$1001,IF(G924=$B$1002,$A$1002,"Not Calculated")))))</f>
        <v>Not Calculated</v>
      </c>
      <c r="K924" s="87"/>
    </row>
    <row r="925" spans="2:11" x14ac:dyDescent="0.2">
      <c r="B925" s="81"/>
      <c r="C925" s="85" t="s">
        <v>134</v>
      </c>
      <c r="D925" s="85"/>
      <c r="E925" s="85"/>
      <c r="F925" s="85"/>
      <c r="G925" s="85"/>
      <c r="H925" s="85"/>
      <c r="I925" s="85"/>
      <c r="J925" s="240">
        <f>'Baseline HP'!J84</f>
        <v>0</v>
      </c>
      <c r="K925" s="87"/>
    </row>
    <row r="926" spans="2:11" x14ac:dyDescent="0.2">
      <c r="B926" s="81"/>
      <c r="C926" s="85"/>
      <c r="D926" s="85"/>
      <c r="E926" s="85"/>
      <c r="F926" s="85"/>
      <c r="G926" s="85"/>
      <c r="H926" s="85"/>
      <c r="I926" s="85"/>
      <c r="J926" s="85"/>
      <c r="K926" s="87"/>
    </row>
    <row r="927" spans="2:11" ht="16" x14ac:dyDescent="0.2">
      <c r="B927" s="81"/>
      <c r="C927" s="211" t="s">
        <v>652</v>
      </c>
      <c r="D927" s="85"/>
      <c r="E927" s="85"/>
      <c r="F927" s="85"/>
      <c r="G927" s="85"/>
      <c r="H927" s="85"/>
      <c r="I927" s="85"/>
      <c r="J927" s="85"/>
      <c r="K927" s="87"/>
    </row>
    <row r="928" spans="2:11" x14ac:dyDescent="0.2">
      <c r="B928" s="81"/>
      <c r="C928" s="85" t="s">
        <v>380</v>
      </c>
      <c r="D928" s="85"/>
      <c r="E928" s="85"/>
      <c r="F928" s="85"/>
      <c r="G928" s="406"/>
      <c r="H928" s="407"/>
      <c r="I928" s="85"/>
      <c r="J928" s="83" t="str">
        <f>IF(G928=$B$998,$A$998,IF(G928=$B$999,$A$999,IF(G928=$B$1000,$A$1000,IF(G928=$B$1001,$A$1001,IF(G928=$B$1002,$A$1002,"Not Calculated")))))</f>
        <v>Not Calculated</v>
      </c>
      <c r="K928" s="87"/>
    </row>
    <row r="929" spans="2:11" x14ac:dyDescent="0.2">
      <c r="B929" s="81"/>
      <c r="C929" s="85" t="s">
        <v>134</v>
      </c>
      <c r="D929" s="85"/>
      <c r="E929" s="85"/>
      <c r="F929" s="85"/>
      <c r="G929" s="85"/>
      <c r="H929" s="85"/>
      <c r="I929" s="85"/>
      <c r="J929" s="240">
        <f>'Baseline HP'!J94</f>
        <v>0</v>
      </c>
      <c r="K929" s="87"/>
    </row>
    <row r="930" spans="2:11" x14ac:dyDescent="0.2">
      <c r="B930" s="81"/>
      <c r="C930" s="85"/>
      <c r="D930" s="85"/>
      <c r="E930" s="85"/>
      <c r="F930" s="85"/>
      <c r="G930" s="85"/>
      <c r="H930" s="85"/>
      <c r="I930" s="85"/>
      <c r="J930" s="85"/>
      <c r="K930" s="87"/>
    </row>
    <row r="931" spans="2:11" ht="16" x14ac:dyDescent="0.2">
      <c r="B931" s="81"/>
      <c r="C931" s="211" t="s">
        <v>653</v>
      </c>
      <c r="D931" s="85"/>
      <c r="E931" s="85"/>
      <c r="F931" s="85"/>
      <c r="G931" s="85"/>
      <c r="H931" s="85"/>
      <c r="I931" s="85"/>
      <c r="J931" s="85"/>
      <c r="K931" s="87"/>
    </row>
    <row r="932" spans="2:11" x14ac:dyDescent="0.2">
      <c r="B932" s="81"/>
      <c r="C932" s="85" t="s">
        <v>380</v>
      </c>
      <c r="D932" s="85"/>
      <c r="E932" s="85"/>
      <c r="F932" s="85"/>
      <c r="G932" s="406"/>
      <c r="H932" s="407"/>
      <c r="I932" s="85"/>
      <c r="J932" s="83" t="str">
        <f>IF(G932=$B$998,$A$998,IF(G932=$B$999,$A$999,IF(G932=$B$1000,$A$1000,IF(G932=$B$1001,$A$1001,IF(G932=$B$1002,$A$1002,"Not Calculated")))))</f>
        <v>Not Calculated</v>
      </c>
      <c r="K932" s="87"/>
    </row>
    <row r="933" spans="2:11" x14ac:dyDescent="0.2">
      <c r="B933" s="81"/>
      <c r="C933" s="85" t="s">
        <v>134</v>
      </c>
      <c r="D933" s="85"/>
      <c r="E933" s="85"/>
      <c r="F933" s="85"/>
      <c r="G933" s="85"/>
      <c r="H933" s="85"/>
      <c r="I933" s="85"/>
      <c r="J933" s="240">
        <f>'Baseline HP'!J108</f>
        <v>0</v>
      </c>
      <c r="K933" s="87"/>
    </row>
    <row r="934" spans="2:11" x14ac:dyDescent="0.2">
      <c r="B934" s="81"/>
      <c r="C934" s="85"/>
      <c r="D934" s="85"/>
      <c r="E934" s="85"/>
      <c r="F934" s="85"/>
      <c r="G934" s="85"/>
      <c r="H934" s="85"/>
      <c r="I934" s="85"/>
      <c r="J934" s="85"/>
      <c r="K934" s="87"/>
    </row>
    <row r="935" spans="2:11" x14ac:dyDescent="0.2">
      <c r="B935" s="81"/>
      <c r="C935" s="85"/>
      <c r="D935" s="85"/>
      <c r="E935" s="85"/>
      <c r="F935" s="85"/>
      <c r="G935" s="85"/>
      <c r="H935" s="85"/>
      <c r="I935" s="85"/>
      <c r="J935" s="85"/>
      <c r="K935" s="87"/>
    </row>
    <row r="936" spans="2:11" ht="16" x14ac:dyDescent="0.2">
      <c r="B936" s="81"/>
      <c r="C936" s="212" t="s">
        <v>812</v>
      </c>
      <c r="D936" s="85"/>
      <c r="E936" s="85"/>
      <c r="F936" s="85"/>
      <c r="G936" s="85"/>
      <c r="H936" s="85"/>
      <c r="I936" s="85"/>
      <c r="J936" s="241" t="str">
        <f>IF(OR(J920="Not Calculated",J924="Not Calculated",J928="Not Calculated",J932="Not Calculated",J904="Not Calculated",J908="Not Calculated",J912="Not Calculated",J916="Not Calculated",J921="Not Calculated",J925="Not Calculated",J929="Not Calculated",J933="Not Calculated",J905="Not Calculated",J909="Not Calculated",J913="Not Calculated",J917="Not Calculated")=TRUE,"Not Calculated",((J904*J905)+(J908*J909)+(J912*J913)+(J916*J917)+(J920*J921)+(J924*J925)+(J928*J929)+(J932*J933))/(J904+J908+J912+J916+J920+J924+J928+J932))</f>
        <v>Not Calculated</v>
      </c>
      <c r="K936" s="87"/>
    </row>
    <row r="937" spans="2:11" ht="16" thickBot="1" x14ac:dyDescent="0.25">
      <c r="B937" s="213"/>
      <c r="C937" s="94"/>
      <c r="D937" s="94"/>
      <c r="E937" s="94"/>
      <c r="F937" s="94"/>
      <c r="G937" s="94"/>
      <c r="H937" s="94"/>
      <c r="I937" s="94"/>
      <c r="J937" s="94"/>
      <c r="K937" s="96"/>
    </row>
    <row r="938" spans="2:11" ht="16" thickBot="1" x14ac:dyDescent="0.25"/>
    <row r="939" spans="2:11" x14ac:dyDescent="0.2">
      <c r="B939" s="77"/>
      <c r="C939" s="78"/>
      <c r="D939" s="78"/>
      <c r="E939" s="78"/>
      <c r="F939" s="78"/>
      <c r="G939" s="78"/>
      <c r="H939" s="78"/>
      <c r="I939" s="78"/>
      <c r="J939" s="78"/>
      <c r="K939" s="80"/>
    </row>
    <row r="940" spans="2:11" ht="21" x14ac:dyDescent="0.25">
      <c r="B940" s="81"/>
      <c r="C940" s="85"/>
      <c r="D940" s="85"/>
      <c r="E940" s="85"/>
      <c r="F940" s="85"/>
      <c r="G940" s="210" t="s">
        <v>815</v>
      </c>
      <c r="H940" s="85"/>
      <c r="I940" s="85"/>
      <c r="J940" s="85"/>
      <c r="K940" s="87"/>
    </row>
    <row r="941" spans="2:11" ht="21" x14ac:dyDescent="0.25">
      <c r="B941" s="81"/>
      <c r="C941" s="85"/>
      <c r="D941" s="85"/>
      <c r="E941" s="85"/>
      <c r="F941" s="85"/>
      <c r="G941" s="210"/>
      <c r="H941" s="85"/>
      <c r="I941" s="85"/>
      <c r="J941" s="85"/>
      <c r="K941" s="87"/>
    </row>
    <row r="942" spans="2:11" ht="16" x14ac:dyDescent="0.2">
      <c r="B942" s="81"/>
      <c r="C942" s="212" t="s">
        <v>995</v>
      </c>
      <c r="D942" s="85"/>
      <c r="E942" s="85"/>
      <c r="F942" s="85"/>
      <c r="G942" s="85"/>
      <c r="H942" s="85"/>
      <c r="I942" s="85"/>
      <c r="J942" s="241" t="str">
        <f>IF(OR(J936="Not Calculated",J894="Not Calculated")=TRUE,"Not Calculated",AVERAGE(J936,J894))</f>
        <v>Not Calculated</v>
      </c>
      <c r="K942" s="87"/>
    </row>
    <row r="943" spans="2:11" ht="16" x14ac:dyDescent="0.2">
      <c r="B943" s="81"/>
      <c r="C943" s="212"/>
      <c r="D943" s="85" t="s">
        <v>814</v>
      </c>
      <c r="E943" s="85"/>
      <c r="F943" s="85"/>
      <c r="G943" s="85"/>
      <c r="H943" s="85"/>
      <c r="I943" s="85"/>
      <c r="J943" s="241"/>
      <c r="K943" s="87"/>
    </row>
    <row r="944" spans="2:11" ht="17" thickBot="1" x14ac:dyDescent="0.25">
      <c r="B944" s="213"/>
      <c r="C944" s="227"/>
      <c r="D944" s="94"/>
      <c r="E944" s="94"/>
      <c r="F944" s="94"/>
      <c r="G944" s="94"/>
      <c r="H944" s="94"/>
      <c r="I944" s="94"/>
      <c r="J944" s="228"/>
      <c r="K944" s="96"/>
    </row>
    <row r="945" spans="2:11" ht="16" thickBot="1" x14ac:dyDescent="0.25"/>
    <row r="946" spans="2:11" x14ac:dyDescent="0.2">
      <c r="B946" s="214"/>
      <c r="C946" s="215"/>
      <c r="D946" s="215"/>
      <c r="E946" s="215"/>
      <c r="F946" s="215"/>
      <c r="G946" s="215"/>
      <c r="H946" s="215"/>
      <c r="I946" s="215"/>
      <c r="J946" s="215"/>
      <c r="K946" s="216"/>
    </row>
    <row r="947" spans="2:11" ht="21" x14ac:dyDescent="0.25">
      <c r="B947" s="217"/>
      <c r="C947" s="218"/>
      <c r="D947" s="218"/>
      <c r="E947" s="218"/>
      <c r="F947" s="218"/>
      <c r="G947" s="219" t="s">
        <v>239</v>
      </c>
      <c r="H947" s="218"/>
      <c r="I947" s="218"/>
      <c r="J947" s="218"/>
      <c r="K947" s="220"/>
    </row>
    <row r="948" spans="2:11" x14ac:dyDescent="0.2">
      <c r="B948" s="217"/>
      <c r="C948" s="218"/>
      <c r="D948" s="218"/>
      <c r="E948" s="218"/>
      <c r="F948" s="218"/>
      <c r="G948" s="218"/>
      <c r="H948" s="218"/>
      <c r="I948" s="218"/>
      <c r="J948" s="218"/>
      <c r="K948" s="220"/>
    </row>
    <row r="949" spans="2:11" ht="16" x14ac:dyDescent="0.2">
      <c r="B949" s="217"/>
      <c r="C949" s="221" t="s">
        <v>393</v>
      </c>
      <c r="D949" s="218"/>
      <c r="E949" s="218"/>
      <c r="F949" s="218"/>
      <c r="G949" s="218"/>
      <c r="H949" s="218"/>
      <c r="I949" s="218"/>
      <c r="J949" s="242" t="str">
        <f>IF(OR(J817="Not Calculated",J942="Not Calculated")=TRUE,"Not Calculated",J817/J942)</f>
        <v>Not Calculated</v>
      </c>
      <c r="K949" s="220"/>
    </row>
    <row r="950" spans="2:11" x14ac:dyDescent="0.2">
      <c r="B950" s="217"/>
      <c r="C950" s="218"/>
      <c r="D950" s="218" t="s">
        <v>816</v>
      </c>
      <c r="E950" s="218"/>
      <c r="F950" s="218"/>
      <c r="G950" s="218"/>
      <c r="H950" s="218"/>
      <c r="I950" s="218"/>
      <c r="J950" s="218"/>
      <c r="K950" s="220"/>
    </row>
    <row r="951" spans="2:11" x14ac:dyDescent="0.2">
      <c r="B951" s="217"/>
      <c r="C951" s="218"/>
      <c r="D951" s="218"/>
      <c r="E951" s="218"/>
      <c r="F951" s="218"/>
      <c r="G951" s="218"/>
      <c r="H951" s="218"/>
      <c r="I951" s="218"/>
      <c r="J951" s="218"/>
      <c r="K951" s="220"/>
    </row>
    <row r="952" spans="2:11" ht="16" x14ac:dyDescent="0.2">
      <c r="B952" s="217"/>
      <c r="C952" s="221" t="s">
        <v>996</v>
      </c>
      <c r="D952" s="218"/>
      <c r="E952" s="218"/>
      <c r="F952" s="218"/>
      <c r="G952" s="218"/>
      <c r="H952" s="218"/>
      <c r="I952" s="218"/>
      <c r="J952" s="242" t="str">
        <f>IF(OR(J820="Not Calculated",J894="Not Calculated")=TRUE,"Not Calculated",J820/J894)</f>
        <v>Not Calculated</v>
      </c>
      <c r="K952" s="220"/>
    </row>
    <row r="953" spans="2:11" x14ac:dyDescent="0.2">
      <c r="B953" s="217"/>
      <c r="C953" s="218"/>
      <c r="D953" s="218" t="s">
        <v>817</v>
      </c>
      <c r="E953" s="218"/>
      <c r="F953" s="218"/>
      <c r="G953" s="218"/>
      <c r="H953" s="218"/>
      <c r="I953" s="218"/>
      <c r="J953" s="218"/>
      <c r="K953" s="220"/>
    </row>
    <row r="954" spans="2:11" x14ac:dyDescent="0.2">
      <c r="B954" s="217"/>
      <c r="C954" s="218"/>
      <c r="D954" s="218"/>
      <c r="E954" s="218"/>
      <c r="F954" s="218"/>
      <c r="G954" s="218"/>
      <c r="H954" s="218"/>
      <c r="I954" s="218"/>
      <c r="J954" s="218"/>
      <c r="K954" s="220"/>
    </row>
    <row r="955" spans="2:11" ht="16" x14ac:dyDescent="0.2">
      <c r="B955" s="217"/>
      <c r="C955" s="221" t="s">
        <v>997</v>
      </c>
      <c r="D955" s="218"/>
      <c r="E955" s="218"/>
      <c r="F955" s="218"/>
      <c r="G955" s="218"/>
      <c r="H955" s="218"/>
      <c r="I955" s="218"/>
      <c r="J955" s="242" t="str">
        <f>IF(OR(J936="Not Calculated",J823="Not Calculated")=TRUE,"Not Calculated",J823/J936)</f>
        <v>Not Calculated</v>
      </c>
      <c r="K955" s="220"/>
    </row>
    <row r="956" spans="2:11" x14ac:dyDescent="0.2">
      <c r="B956" s="217"/>
      <c r="C956" s="218"/>
      <c r="D956" s="218" t="s">
        <v>818</v>
      </c>
      <c r="E956" s="218"/>
      <c r="F956" s="218"/>
      <c r="G956" s="218"/>
      <c r="H956" s="218"/>
      <c r="I956" s="218"/>
      <c r="J956" s="218"/>
      <c r="K956" s="220"/>
    </row>
    <row r="957" spans="2:11" ht="16" thickBot="1" x14ac:dyDescent="0.25">
      <c r="B957" s="222"/>
      <c r="C957" s="223"/>
      <c r="D957" s="223"/>
      <c r="E957" s="223"/>
      <c r="F957" s="223"/>
      <c r="G957" s="223"/>
      <c r="H957" s="223"/>
      <c r="I957" s="223"/>
      <c r="J957" s="223"/>
      <c r="K957" s="224"/>
    </row>
    <row r="959" spans="2:11" ht="15" customHeight="1" x14ac:dyDescent="0.2">
      <c r="F959" s="405"/>
      <c r="G959" s="405"/>
      <c r="H959" s="405"/>
    </row>
    <row r="960" spans="2:11" x14ac:dyDescent="0.2">
      <c r="F960" s="405"/>
      <c r="G960" s="405"/>
      <c r="H960" s="405"/>
    </row>
    <row r="965" spans="1:3" ht="15" hidden="1" customHeight="1" x14ac:dyDescent="0.2">
      <c r="A965" s="12" t="s">
        <v>228</v>
      </c>
    </row>
    <row r="966" spans="1:3" ht="15" hidden="1" customHeight="1" x14ac:dyDescent="0.2">
      <c r="A966" s="12">
        <v>0</v>
      </c>
      <c r="B966" s="12" t="s">
        <v>250</v>
      </c>
      <c r="C966" s="12" t="s">
        <v>240</v>
      </c>
    </row>
    <row r="967" spans="1:3" ht="15" hidden="1" customHeight="1" x14ac:dyDescent="0.2">
      <c r="A967" s="12">
        <v>1</v>
      </c>
      <c r="B967" s="12" t="s">
        <v>251</v>
      </c>
      <c r="C967" s="12" t="s">
        <v>241</v>
      </c>
    </row>
    <row r="968" spans="1:3" ht="15" hidden="1" customHeight="1" x14ac:dyDescent="0.2">
      <c r="A968" s="12">
        <v>2</v>
      </c>
      <c r="B968" s="12" t="s">
        <v>252</v>
      </c>
      <c r="C968" s="12" t="s">
        <v>242</v>
      </c>
    </row>
    <row r="969" spans="1:3" ht="15" hidden="1" customHeight="1" x14ac:dyDescent="0.2">
      <c r="A969" s="12">
        <v>3</v>
      </c>
      <c r="B969" s="12" t="s">
        <v>253</v>
      </c>
      <c r="C969" s="12" t="s">
        <v>227</v>
      </c>
    </row>
    <row r="970" spans="1:3" ht="15" hidden="1" customHeight="1" x14ac:dyDescent="0.2">
      <c r="A970" s="12">
        <v>4</v>
      </c>
      <c r="B970" s="12" t="s">
        <v>254</v>
      </c>
      <c r="C970" s="12" t="s">
        <v>243</v>
      </c>
    </row>
    <row r="971" spans="1:3" ht="15" hidden="1" customHeight="1" x14ac:dyDescent="0.2"/>
    <row r="972" spans="1:3" ht="15" hidden="1" customHeight="1" x14ac:dyDescent="0.2">
      <c r="A972" s="12" t="s">
        <v>259</v>
      </c>
    </row>
    <row r="973" spans="1:3" ht="15" hidden="1" customHeight="1" x14ac:dyDescent="0.2">
      <c r="A973" s="12">
        <v>0</v>
      </c>
      <c r="B973" s="225" t="s">
        <v>870</v>
      </c>
    </row>
    <row r="974" spans="1:3" ht="15" hidden="1" customHeight="1" x14ac:dyDescent="0.2">
      <c r="A974" s="12">
        <v>1</v>
      </c>
      <c r="B974" s="12" t="s">
        <v>880</v>
      </c>
    </row>
    <row r="975" spans="1:3" ht="15" hidden="1" customHeight="1" x14ac:dyDescent="0.2">
      <c r="A975" s="12">
        <v>2</v>
      </c>
      <c r="B975" s="12" t="s">
        <v>872</v>
      </c>
    </row>
    <row r="976" spans="1:3" ht="15" hidden="1" customHeight="1" x14ac:dyDescent="0.2">
      <c r="A976" s="12">
        <v>3</v>
      </c>
      <c r="B976" s="12" t="s">
        <v>873</v>
      </c>
    </row>
    <row r="977" spans="1:2" ht="15" hidden="1" customHeight="1" x14ac:dyDescent="0.2">
      <c r="A977" s="12">
        <v>4</v>
      </c>
      <c r="B977" s="12" t="s">
        <v>874</v>
      </c>
    </row>
    <row r="978" spans="1:2" ht="15" hidden="1" customHeight="1" x14ac:dyDescent="0.2"/>
    <row r="979" spans="1:2" ht="15" hidden="1" customHeight="1" x14ac:dyDescent="0.2">
      <c r="A979" s="12" t="s">
        <v>294</v>
      </c>
    </row>
    <row r="980" spans="1:2" ht="15" hidden="1" customHeight="1" x14ac:dyDescent="0.2">
      <c r="A980" s="12">
        <v>0</v>
      </c>
      <c r="B980" s="225" t="s">
        <v>870</v>
      </c>
    </row>
    <row r="981" spans="1:2" ht="15" hidden="1" customHeight="1" x14ac:dyDescent="0.2">
      <c r="A981" s="12">
        <v>1</v>
      </c>
      <c r="B981" s="12" t="s">
        <v>875</v>
      </c>
    </row>
    <row r="982" spans="1:2" ht="15" hidden="1" customHeight="1" x14ac:dyDescent="0.2">
      <c r="A982" s="12">
        <v>2</v>
      </c>
      <c r="B982" s="12" t="s">
        <v>876</v>
      </c>
    </row>
    <row r="983" spans="1:2" ht="15" hidden="1" customHeight="1" x14ac:dyDescent="0.2">
      <c r="A983" s="12">
        <v>3</v>
      </c>
      <c r="B983" s="12" t="s">
        <v>877</v>
      </c>
    </row>
    <row r="984" spans="1:2" ht="15" hidden="1" customHeight="1" x14ac:dyDescent="0.2">
      <c r="A984" s="12">
        <v>4</v>
      </c>
      <c r="B984" s="12" t="s">
        <v>878</v>
      </c>
    </row>
    <row r="985" spans="1:2" ht="15" hidden="1" customHeight="1" x14ac:dyDescent="0.2"/>
    <row r="986" spans="1:2" ht="15" hidden="1" customHeight="1" x14ac:dyDescent="0.2">
      <c r="A986" s="12" t="s">
        <v>244</v>
      </c>
    </row>
    <row r="987" spans="1:2" ht="15" hidden="1" customHeight="1" x14ac:dyDescent="0.2">
      <c r="A987" s="12">
        <v>0</v>
      </c>
      <c r="B987" s="12" t="s">
        <v>245</v>
      </c>
    </row>
    <row r="988" spans="1:2" ht="15" hidden="1" customHeight="1" x14ac:dyDescent="0.2">
      <c r="A988" s="12">
        <v>1</v>
      </c>
      <c r="B988" s="12" t="s">
        <v>246</v>
      </c>
    </row>
    <row r="989" spans="1:2" ht="15" hidden="1" customHeight="1" x14ac:dyDescent="0.2">
      <c r="A989" s="12">
        <v>2</v>
      </c>
      <c r="B989" s="12" t="s">
        <v>247</v>
      </c>
    </row>
    <row r="990" spans="1:2" ht="15" hidden="1" customHeight="1" x14ac:dyDescent="0.2">
      <c r="A990" s="12">
        <v>3</v>
      </c>
      <c r="B990" s="12" t="s">
        <v>229</v>
      </c>
    </row>
    <row r="991" spans="1:2" ht="15" hidden="1" customHeight="1" x14ac:dyDescent="0.2">
      <c r="A991" s="12">
        <v>4</v>
      </c>
      <c r="B991" s="12" t="s">
        <v>248</v>
      </c>
    </row>
    <row r="992" spans="1:2" ht="15" hidden="1" customHeight="1" x14ac:dyDescent="0.2"/>
    <row r="993" spans="1:11" ht="15" hidden="1" customHeight="1" x14ac:dyDescent="0.2">
      <c r="A993" s="12" t="s">
        <v>381</v>
      </c>
    </row>
    <row r="994" spans="1:11" ht="15" hidden="1" customHeight="1" x14ac:dyDescent="0.2">
      <c r="A994" s="12">
        <v>0</v>
      </c>
      <c r="B994" s="12" t="s">
        <v>202</v>
      </c>
    </row>
    <row r="995" spans="1:11" ht="15" hidden="1" customHeight="1" x14ac:dyDescent="0.2">
      <c r="A995" s="12">
        <v>1</v>
      </c>
      <c r="B995" s="12" t="s">
        <v>190</v>
      </c>
    </row>
    <row r="996" spans="1:11" ht="15" hidden="1" customHeight="1" x14ac:dyDescent="0.2"/>
    <row r="997" spans="1:11" ht="15" hidden="1" customHeight="1" x14ac:dyDescent="0.2">
      <c r="A997" s="12" t="s">
        <v>249</v>
      </c>
    </row>
    <row r="998" spans="1:11" ht="15" hidden="1" customHeight="1" x14ac:dyDescent="0.2">
      <c r="A998" s="12">
        <v>0</v>
      </c>
      <c r="B998" s="12" t="s">
        <v>236</v>
      </c>
    </row>
    <row r="999" spans="1:11" ht="15" hidden="1" customHeight="1" x14ac:dyDescent="0.2">
      <c r="A999" s="12">
        <v>1</v>
      </c>
      <c r="B999" s="12" t="s">
        <v>237</v>
      </c>
    </row>
    <row r="1000" spans="1:11" ht="15" hidden="1" customHeight="1" x14ac:dyDescent="0.2">
      <c r="A1000" s="12">
        <v>2</v>
      </c>
      <c r="B1000" s="12" t="s">
        <v>235</v>
      </c>
    </row>
    <row r="1001" spans="1:11" ht="15" hidden="1" customHeight="1" x14ac:dyDescent="0.2">
      <c r="A1001" s="12">
        <v>3</v>
      </c>
      <c r="B1001" s="12" t="s">
        <v>238</v>
      </c>
    </row>
    <row r="1002" spans="1:11" ht="15" hidden="1" customHeight="1" x14ac:dyDescent="0.2">
      <c r="A1002" s="12">
        <v>4</v>
      </c>
      <c r="B1002" s="12" t="s">
        <v>234</v>
      </c>
    </row>
    <row r="1003" spans="1:11" ht="15" customHeight="1" x14ac:dyDescent="0.2">
      <c r="B1003" s="12" t="s">
        <v>685</v>
      </c>
    </row>
    <row r="1004" spans="1:11" ht="15" customHeight="1" x14ac:dyDescent="0.2">
      <c r="B1004" s="402"/>
      <c r="C1004" s="403"/>
      <c r="D1004" s="403"/>
      <c r="E1004" s="403"/>
      <c r="F1004" s="403"/>
      <c r="G1004" s="403"/>
      <c r="H1004" s="403"/>
      <c r="I1004" s="403"/>
      <c r="J1004" s="403"/>
      <c r="K1004" s="404"/>
    </row>
    <row r="1005" spans="1:11" ht="15" customHeight="1" x14ac:dyDescent="0.2">
      <c r="B1005" s="396"/>
      <c r="C1005" s="397"/>
      <c r="D1005" s="397"/>
      <c r="E1005" s="397"/>
      <c r="F1005" s="397"/>
      <c r="G1005" s="397"/>
      <c r="H1005" s="397"/>
      <c r="I1005" s="397"/>
      <c r="J1005" s="397"/>
      <c r="K1005" s="398"/>
    </row>
    <row r="1006" spans="1:11" ht="15" customHeight="1" x14ac:dyDescent="0.2">
      <c r="B1006" s="396"/>
      <c r="C1006" s="397"/>
      <c r="D1006" s="397"/>
      <c r="E1006" s="397"/>
      <c r="F1006" s="397"/>
      <c r="G1006" s="397"/>
      <c r="H1006" s="397"/>
      <c r="I1006" s="397"/>
      <c r="J1006" s="397"/>
      <c r="K1006" s="398"/>
    </row>
    <row r="1007" spans="1:11" ht="15" customHeight="1" x14ac:dyDescent="0.2">
      <c r="B1007" s="396"/>
      <c r="C1007" s="397"/>
      <c r="D1007" s="397"/>
      <c r="E1007" s="397"/>
      <c r="F1007" s="397"/>
      <c r="G1007" s="397"/>
      <c r="H1007" s="397"/>
      <c r="I1007" s="397"/>
      <c r="J1007" s="397"/>
      <c r="K1007" s="398"/>
    </row>
    <row r="1008" spans="1:11" ht="15" customHeight="1" x14ac:dyDescent="0.2">
      <c r="B1008" s="396"/>
      <c r="C1008" s="397"/>
      <c r="D1008" s="397"/>
      <c r="E1008" s="397"/>
      <c r="F1008" s="397"/>
      <c r="G1008" s="397"/>
      <c r="H1008" s="397"/>
      <c r="I1008" s="397"/>
      <c r="J1008" s="397"/>
      <c r="K1008" s="398"/>
    </row>
    <row r="1009" spans="2:11" ht="15" customHeight="1" x14ac:dyDescent="0.2">
      <c r="B1009" s="396"/>
      <c r="C1009" s="397"/>
      <c r="D1009" s="397"/>
      <c r="E1009" s="397"/>
      <c r="F1009" s="397"/>
      <c r="G1009" s="397"/>
      <c r="H1009" s="397"/>
      <c r="I1009" s="397"/>
      <c r="J1009" s="397"/>
      <c r="K1009" s="398"/>
    </row>
    <row r="1010" spans="2:11" x14ac:dyDescent="0.2">
      <c r="B1010" s="396"/>
      <c r="C1010" s="397"/>
      <c r="D1010" s="397"/>
      <c r="E1010" s="397"/>
      <c r="F1010" s="397"/>
      <c r="G1010" s="397"/>
      <c r="H1010" s="397"/>
      <c r="I1010" s="397"/>
      <c r="J1010" s="397"/>
      <c r="K1010" s="398"/>
    </row>
    <row r="1011" spans="2:11" ht="15" customHeight="1" x14ac:dyDescent="0.2">
      <c r="B1011" s="396"/>
      <c r="C1011" s="397"/>
      <c r="D1011" s="397"/>
      <c r="E1011" s="397"/>
      <c r="F1011" s="397"/>
      <c r="G1011" s="397"/>
      <c r="H1011" s="397"/>
      <c r="I1011" s="397"/>
      <c r="J1011" s="397"/>
      <c r="K1011" s="398"/>
    </row>
    <row r="1012" spans="2:11" ht="30" customHeight="1" x14ac:dyDescent="0.2">
      <c r="B1012" s="396"/>
      <c r="C1012" s="397"/>
      <c r="D1012" s="397"/>
      <c r="E1012" s="397"/>
      <c r="F1012" s="397"/>
      <c r="G1012" s="397"/>
      <c r="H1012" s="397"/>
      <c r="I1012" s="397"/>
      <c r="J1012" s="397"/>
      <c r="K1012" s="398"/>
    </row>
    <row r="1013" spans="2:11" ht="15" customHeight="1" x14ac:dyDescent="0.2">
      <c r="B1013" s="396"/>
      <c r="C1013" s="397"/>
      <c r="D1013" s="397"/>
      <c r="E1013" s="397"/>
      <c r="F1013" s="397"/>
      <c r="G1013" s="397"/>
      <c r="H1013" s="397"/>
      <c r="I1013" s="397"/>
      <c r="J1013" s="397"/>
      <c r="K1013" s="398"/>
    </row>
    <row r="1014" spans="2:11" ht="15" customHeight="1" x14ac:dyDescent="0.2">
      <c r="B1014" s="396"/>
      <c r="C1014" s="397"/>
      <c r="D1014" s="397"/>
      <c r="E1014" s="397"/>
      <c r="F1014" s="397"/>
      <c r="G1014" s="397"/>
      <c r="H1014" s="397"/>
      <c r="I1014" s="397"/>
      <c r="J1014" s="397"/>
      <c r="K1014" s="398"/>
    </row>
    <row r="1015" spans="2:11" ht="15" customHeight="1" x14ac:dyDescent="0.2">
      <c r="B1015" s="396"/>
      <c r="C1015" s="397"/>
      <c r="D1015" s="397"/>
      <c r="E1015" s="397"/>
      <c r="F1015" s="397"/>
      <c r="G1015" s="397"/>
      <c r="H1015" s="397"/>
      <c r="I1015" s="397"/>
      <c r="J1015" s="397"/>
      <c r="K1015" s="398"/>
    </row>
    <row r="1016" spans="2:11" x14ac:dyDescent="0.2">
      <c r="B1016" s="396"/>
      <c r="C1016" s="397"/>
      <c r="D1016" s="397"/>
      <c r="E1016" s="397"/>
      <c r="F1016" s="397"/>
      <c r="G1016" s="397"/>
      <c r="H1016" s="397"/>
      <c r="I1016" s="397"/>
      <c r="J1016" s="397"/>
      <c r="K1016" s="398"/>
    </row>
    <row r="1017" spans="2:11" ht="15" customHeight="1" x14ac:dyDescent="0.2">
      <c r="B1017" s="396"/>
      <c r="C1017" s="397"/>
      <c r="D1017" s="397"/>
      <c r="E1017" s="397"/>
      <c r="F1017" s="397"/>
      <c r="G1017" s="397"/>
      <c r="H1017" s="397"/>
      <c r="I1017" s="397"/>
      <c r="J1017" s="397"/>
      <c r="K1017" s="398"/>
    </row>
    <row r="1018" spans="2:11" ht="15" customHeight="1" x14ac:dyDescent="0.2">
      <c r="B1018" s="396"/>
      <c r="C1018" s="397"/>
      <c r="D1018" s="397"/>
      <c r="E1018" s="397"/>
      <c r="F1018" s="397"/>
      <c r="G1018" s="397"/>
      <c r="H1018" s="397"/>
      <c r="I1018" s="397"/>
      <c r="J1018" s="397"/>
      <c r="K1018" s="398"/>
    </row>
    <row r="1019" spans="2:11" ht="15" customHeight="1" x14ac:dyDescent="0.2">
      <c r="B1019" s="396"/>
      <c r="C1019" s="397"/>
      <c r="D1019" s="397"/>
      <c r="E1019" s="397"/>
      <c r="F1019" s="397"/>
      <c r="G1019" s="397"/>
      <c r="H1019" s="397"/>
      <c r="I1019" s="397"/>
      <c r="J1019" s="397"/>
      <c r="K1019" s="398"/>
    </row>
    <row r="1020" spans="2:11" ht="15" customHeight="1" x14ac:dyDescent="0.2">
      <c r="B1020" s="396"/>
      <c r="C1020" s="397"/>
      <c r="D1020" s="397"/>
      <c r="E1020" s="397"/>
      <c r="F1020" s="397"/>
      <c r="G1020" s="397"/>
      <c r="H1020" s="397"/>
      <c r="I1020" s="397"/>
      <c r="J1020" s="397"/>
      <c r="K1020" s="398"/>
    </row>
    <row r="1021" spans="2:11" ht="15" customHeight="1" x14ac:dyDescent="0.2">
      <c r="B1021" s="396"/>
      <c r="C1021" s="397"/>
      <c r="D1021" s="397"/>
      <c r="E1021" s="397"/>
      <c r="F1021" s="397"/>
      <c r="G1021" s="397"/>
      <c r="H1021" s="397"/>
      <c r="I1021" s="397"/>
      <c r="J1021" s="397"/>
      <c r="K1021" s="398"/>
    </row>
    <row r="1022" spans="2:11" ht="15" customHeight="1" x14ac:dyDescent="0.2">
      <c r="B1022" s="396"/>
      <c r="C1022" s="397"/>
      <c r="D1022" s="397"/>
      <c r="E1022" s="397"/>
      <c r="F1022" s="397"/>
      <c r="G1022" s="397"/>
      <c r="H1022" s="397"/>
      <c r="I1022" s="397"/>
      <c r="J1022" s="397"/>
      <c r="K1022" s="398"/>
    </row>
    <row r="1023" spans="2:11" ht="15" customHeight="1" x14ac:dyDescent="0.2">
      <c r="B1023" s="396"/>
      <c r="C1023" s="397"/>
      <c r="D1023" s="397"/>
      <c r="E1023" s="397"/>
      <c r="F1023" s="397"/>
      <c r="G1023" s="397"/>
      <c r="H1023" s="397"/>
      <c r="I1023" s="397"/>
      <c r="J1023" s="397"/>
      <c r="K1023" s="398"/>
    </row>
    <row r="1024" spans="2:11" ht="15" customHeight="1" x14ac:dyDescent="0.2">
      <c r="B1024" s="396"/>
      <c r="C1024" s="397"/>
      <c r="D1024" s="397"/>
      <c r="E1024" s="397"/>
      <c r="F1024" s="397"/>
      <c r="G1024" s="397"/>
      <c r="H1024" s="397"/>
      <c r="I1024" s="397"/>
      <c r="J1024" s="397"/>
      <c r="K1024" s="398"/>
    </row>
    <row r="1025" spans="2:11" ht="15" customHeight="1" x14ac:dyDescent="0.2">
      <c r="B1025" s="396"/>
      <c r="C1025" s="397"/>
      <c r="D1025" s="397"/>
      <c r="E1025" s="397"/>
      <c r="F1025" s="397"/>
      <c r="G1025" s="397"/>
      <c r="H1025" s="397"/>
      <c r="I1025" s="397"/>
      <c r="J1025" s="397"/>
      <c r="K1025" s="398"/>
    </row>
    <row r="1026" spans="2:11" ht="15" customHeight="1" x14ac:dyDescent="0.2">
      <c r="B1026" s="396"/>
      <c r="C1026" s="397"/>
      <c r="D1026" s="397"/>
      <c r="E1026" s="397"/>
      <c r="F1026" s="397"/>
      <c r="G1026" s="397"/>
      <c r="H1026" s="397"/>
      <c r="I1026" s="397"/>
      <c r="J1026" s="397"/>
      <c r="K1026" s="398"/>
    </row>
    <row r="1027" spans="2:11" ht="15" customHeight="1" x14ac:dyDescent="0.2">
      <c r="B1027" s="396"/>
      <c r="C1027" s="397"/>
      <c r="D1027" s="397"/>
      <c r="E1027" s="397"/>
      <c r="F1027" s="397"/>
      <c r="G1027" s="397"/>
      <c r="H1027" s="397"/>
      <c r="I1027" s="397"/>
      <c r="J1027" s="397"/>
      <c r="K1027" s="398"/>
    </row>
    <row r="1028" spans="2:11" ht="15" customHeight="1" x14ac:dyDescent="0.2">
      <c r="B1028" s="396"/>
      <c r="C1028" s="397"/>
      <c r="D1028" s="397"/>
      <c r="E1028" s="397"/>
      <c r="F1028" s="397"/>
      <c r="G1028" s="397"/>
      <c r="H1028" s="397"/>
      <c r="I1028" s="397"/>
      <c r="J1028" s="397"/>
      <c r="K1028" s="398"/>
    </row>
    <row r="1029" spans="2:11" ht="15" customHeight="1" x14ac:dyDescent="0.2">
      <c r="B1029" s="393"/>
      <c r="C1029" s="394"/>
      <c r="D1029" s="394"/>
      <c r="E1029" s="394"/>
      <c r="F1029" s="394"/>
      <c r="G1029" s="394"/>
      <c r="H1029" s="394"/>
      <c r="I1029" s="394"/>
      <c r="J1029" s="394"/>
      <c r="K1029" s="395"/>
    </row>
  </sheetData>
  <sheetProtection password="C7B0" sheet="1" objects="1" scenarios="1" formatCells="0" formatColumns="0" formatRows="0" selectLockedCells="1"/>
  <mergeCells count="152">
    <mergeCell ref="B1027:K1027"/>
    <mergeCell ref="B1028:K1028"/>
    <mergeCell ref="B1029:K1029"/>
    <mergeCell ref="B1021:K1021"/>
    <mergeCell ref="B1022:K1022"/>
    <mergeCell ref="B1023:K1023"/>
    <mergeCell ref="B1024:K1024"/>
    <mergeCell ref="B1025:K1025"/>
    <mergeCell ref="B1026:K1026"/>
    <mergeCell ref="B1015:K1015"/>
    <mergeCell ref="B1016:K1016"/>
    <mergeCell ref="B1017:K1017"/>
    <mergeCell ref="B1018:K1018"/>
    <mergeCell ref="B1019:K1019"/>
    <mergeCell ref="B1020:K1020"/>
    <mergeCell ref="B1009:K1009"/>
    <mergeCell ref="B1010:K1010"/>
    <mergeCell ref="B1011:K1011"/>
    <mergeCell ref="B1012:K1012"/>
    <mergeCell ref="B1013:K1013"/>
    <mergeCell ref="B1014:K1014"/>
    <mergeCell ref="F959:H960"/>
    <mergeCell ref="B1004:K1004"/>
    <mergeCell ref="B1005:K1005"/>
    <mergeCell ref="B1006:K1006"/>
    <mergeCell ref="B1007:K1007"/>
    <mergeCell ref="B1008:K1008"/>
    <mergeCell ref="G912:H912"/>
    <mergeCell ref="G916:H916"/>
    <mergeCell ref="G920:H920"/>
    <mergeCell ref="G924:H924"/>
    <mergeCell ref="G928:H928"/>
    <mergeCell ref="G932:H932"/>
    <mergeCell ref="G882:H882"/>
    <mergeCell ref="G886:H886"/>
    <mergeCell ref="G890:H890"/>
    <mergeCell ref="C900:J901"/>
    <mergeCell ref="G904:H904"/>
    <mergeCell ref="G908:H908"/>
    <mergeCell ref="G858:H858"/>
    <mergeCell ref="G862:H862"/>
    <mergeCell ref="G866:H866"/>
    <mergeCell ref="G870:H870"/>
    <mergeCell ref="G874:H874"/>
    <mergeCell ref="G878:H878"/>
    <mergeCell ref="G834:H834"/>
    <mergeCell ref="G838:H838"/>
    <mergeCell ref="G842:H842"/>
    <mergeCell ref="G846:H846"/>
    <mergeCell ref="G850:H850"/>
    <mergeCell ref="G854:H854"/>
    <mergeCell ref="G766:H766"/>
    <mergeCell ref="G767:H767"/>
    <mergeCell ref="G768:H768"/>
    <mergeCell ref="G769:H769"/>
    <mergeCell ref="G770:H770"/>
    <mergeCell ref="C830:J831"/>
    <mergeCell ref="G755:H755"/>
    <mergeCell ref="C759:J761"/>
    <mergeCell ref="G762:H762"/>
    <mergeCell ref="G763:H763"/>
    <mergeCell ref="G764:H764"/>
    <mergeCell ref="G765:H765"/>
    <mergeCell ref="G749:H749"/>
    <mergeCell ref="G750:H750"/>
    <mergeCell ref="G751:H751"/>
    <mergeCell ref="G752:H752"/>
    <mergeCell ref="G753:H753"/>
    <mergeCell ref="G754:H754"/>
    <mergeCell ref="G738:H738"/>
    <mergeCell ref="G739:H739"/>
    <mergeCell ref="G740:H740"/>
    <mergeCell ref="C744:J746"/>
    <mergeCell ref="G747:H747"/>
    <mergeCell ref="G748:H748"/>
    <mergeCell ref="G732:H732"/>
    <mergeCell ref="G733:H733"/>
    <mergeCell ref="G734:H734"/>
    <mergeCell ref="G735:H735"/>
    <mergeCell ref="G736:H736"/>
    <mergeCell ref="G737:H737"/>
    <mergeCell ref="G721:H721"/>
    <mergeCell ref="G722:H722"/>
    <mergeCell ref="G723:H723"/>
    <mergeCell ref="G724:H724"/>
    <mergeCell ref="G725:H725"/>
    <mergeCell ref="C729:J731"/>
    <mergeCell ref="C677:J677"/>
    <mergeCell ref="C714:J716"/>
    <mergeCell ref="G717:H717"/>
    <mergeCell ref="G718:H718"/>
    <mergeCell ref="G719:H719"/>
    <mergeCell ref="G720:H720"/>
    <mergeCell ref="C620:I621"/>
    <mergeCell ref="C633:J633"/>
    <mergeCell ref="C639:I640"/>
    <mergeCell ref="C641:I643"/>
    <mergeCell ref="C655:J655"/>
    <mergeCell ref="D664:I665"/>
    <mergeCell ref="C560:J560"/>
    <mergeCell ref="C566:I568"/>
    <mergeCell ref="C569:I571"/>
    <mergeCell ref="C583:J583"/>
    <mergeCell ref="C599:J599"/>
    <mergeCell ref="C613:J613"/>
    <mergeCell ref="C477:I478"/>
    <mergeCell ref="C486:J486"/>
    <mergeCell ref="C502:J502"/>
    <mergeCell ref="C518:J518"/>
    <mergeCell ref="C524:I525"/>
    <mergeCell ref="C535:J535"/>
    <mergeCell ref="C416:J416"/>
    <mergeCell ref="C420:I421"/>
    <mergeCell ref="C438:J438"/>
    <mergeCell ref="C444:I445"/>
    <mergeCell ref="C455:J455"/>
    <mergeCell ref="C471:J471"/>
    <mergeCell ref="C347:J347"/>
    <mergeCell ref="C365:J365"/>
    <mergeCell ref="C371:I372"/>
    <mergeCell ref="C385:J385"/>
    <mergeCell ref="C391:I392"/>
    <mergeCell ref="C402:J402"/>
    <mergeCell ref="C305:J305"/>
    <mergeCell ref="C311:I312"/>
    <mergeCell ref="C324:J324"/>
    <mergeCell ref="C330:I331"/>
    <mergeCell ref="C340:I341"/>
    <mergeCell ref="D343:I344"/>
    <mergeCell ref="C196:J196"/>
    <mergeCell ref="C216:J216"/>
    <mergeCell ref="C237:J237"/>
    <mergeCell ref="C257:J257"/>
    <mergeCell ref="C286:J286"/>
    <mergeCell ref="C292:I293"/>
    <mergeCell ref="C114:J114"/>
    <mergeCell ref="C120:J122"/>
    <mergeCell ref="C123:J124"/>
    <mergeCell ref="C129:J129"/>
    <mergeCell ref="C155:J155"/>
    <mergeCell ref="C176:J176"/>
    <mergeCell ref="B10:K10"/>
    <mergeCell ref="E15:J15"/>
    <mergeCell ref="C38:J38"/>
    <mergeCell ref="C57:J57"/>
    <mergeCell ref="C76:J76"/>
    <mergeCell ref="C95:J95"/>
    <mergeCell ref="G3:I3"/>
    <mergeCell ref="B6:K6"/>
    <mergeCell ref="B7:K7"/>
    <mergeCell ref="B8:K8"/>
    <mergeCell ref="B9:K9"/>
  </mergeCells>
  <dataValidations count="23">
    <dataValidation type="list" allowBlank="1" showInputMessage="1" showErrorMessage="1" sqref="E15:J15" xr:uid="{00000000-0002-0000-2200-000000000000}">
      <formula1>$C$966:$C$970</formula1>
    </dataValidation>
    <dataValidation type="list" allowBlank="1" showInputMessage="1" showErrorMessage="1" sqref="G834:H834 G890:H890 G886:H886 G882:H882 G878:H878 G874:H874 G870:H870 G866:H866 G862:H862 G858:H858 G854:H854 G850:H850 G846:H846 G842:H842 G838:H838 G904:H904 G932:H932 G928:H928 G924:H924 G920:H920 G916:H916 G912:H912 G908:H908" xr:uid="{00000000-0002-0000-2200-000001000000}">
      <formula1>$B$998:$B$1002</formula1>
    </dataValidation>
    <dataValidation type="list" allowBlank="1" showInputMessage="1" showErrorMessage="1" sqref="G717:H725 G762:H770 G732:H740 G747:H755" xr:uid="{00000000-0002-0000-2200-000002000000}">
      <formula1>$B$994:$B$995</formula1>
    </dataValidation>
    <dataValidation type="list" allowBlank="1" showInputMessage="1" showErrorMessage="1" sqref="J302 J362" xr:uid="{00000000-0002-0000-2200-000003000000}">
      <formula1>$B$980:$B$984</formula1>
    </dataValidation>
    <dataValidation type="list" allowBlank="1" showInputMessage="1" showErrorMessage="1" sqref="C123:J124" xr:uid="{00000000-0002-0000-2200-000004000000}">
      <formula1>$B$987:$B$991</formula1>
    </dataValidation>
    <dataValidation type="list" allowBlank="1" showInputMessage="1" showErrorMessage="1" sqref="J35 J213 J283 J652 J234 J54 J193 J173 J152 J126 J111 J92 J73 J254 J435 J452 J468 J499 J515 J532 J557 J580 J596 J674 J630" xr:uid="{00000000-0002-0000-2200-000005000000}">
      <formula1>$B$973:$B$977</formula1>
    </dataValidation>
    <dataValidation type="list" allowBlank="1" showInputMessage="1" showErrorMessage="1" sqref="J33" xr:uid="{00000000-0002-0000-2200-000006000000}">
      <formula1>$N$32:$N$37</formula1>
    </dataValidation>
    <dataValidation type="list" allowBlank="1" showInputMessage="1" showErrorMessage="1" sqref="J52" xr:uid="{00000000-0002-0000-2200-000007000000}">
      <formula1>$N$51:$N$56</formula1>
    </dataValidation>
    <dataValidation type="list" allowBlank="1" showInputMessage="1" showErrorMessage="1" sqref="J71" xr:uid="{00000000-0002-0000-2200-000008000000}">
      <formula1>$N$70:$N$75</formula1>
    </dataValidation>
    <dataValidation type="list" allowBlank="1" showInputMessage="1" showErrorMessage="1" sqref="J90" xr:uid="{00000000-0002-0000-2200-000009000000}">
      <formula1>$N$89:$N$94</formula1>
    </dataValidation>
    <dataValidation type="list" allowBlank="1" showInputMessage="1" showErrorMessage="1" sqref="J109" xr:uid="{00000000-0002-0000-2200-00000A000000}">
      <formula1>$N$108:$N$113</formula1>
    </dataValidation>
    <dataValidation type="list" allowBlank="1" showInputMessage="1" showErrorMessage="1" sqref="J150" xr:uid="{00000000-0002-0000-2200-00000B000000}">
      <formula1>$N$149:$N$154</formula1>
    </dataValidation>
    <dataValidation type="list" allowBlank="1" showInputMessage="1" showErrorMessage="1" sqref="J171" xr:uid="{00000000-0002-0000-2200-00000C000000}">
      <formula1>$N$170:$N$175</formula1>
    </dataValidation>
    <dataValidation type="list" allowBlank="1" showInputMessage="1" showErrorMessage="1" sqref="J191" xr:uid="{00000000-0002-0000-2200-00000D000000}">
      <formula1>$N$190:$N$195</formula1>
    </dataValidation>
    <dataValidation type="list" allowBlank="1" showInputMessage="1" showErrorMessage="1" sqref="J211" xr:uid="{00000000-0002-0000-2200-00000E000000}">
      <formula1>$N$210:$N$215</formula1>
    </dataValidation>
    <dataValidation type="list" allowBlank="1" showInputMessage="1" showErrorMessage="1" sqref="J232" xr:uid="{00000000-0002-0000-2200-00000F000000}">
      <formula1>$N$231:$N$236</formula1>
    </dataValidation>
    <dataValidation type="list" allowBlank="1" showInputMessage="1" showErrorMessage="1" sqref="J252" xr:uid="{00000000-0002-0000-2200-000010000000}">
      <formula1>$N$251:$N$256</formula1>
    </dataValidation>
    <dataValidation type="list" allowBlank="1" showInputMessage="1" showErrorMessage="1" sqref="J281" xr:uid="{00000000-0002-0000-2200-000011000000}">
      <formula1>$N$280:$N$285</formula1>
    </dataValidation>
    <dataValidation type="list" allowBlank="1" showInputMessage="1" showErrorMessage="1" sqref="J555" xr:uid="{00000000-0002-0000-2200-000012000000}">
      <formula1>$N$554:$N$559</formula1>
    </dataValidation>
    <dataValidation type="list" allowBlank="1" showInputMessage="1" showErrorMessage="1" sqref="J578" xr:uid="{00000000-0002-0000-2200-000013000000}">
      <formula1>$N$577:$N$582</formula1>
    </dataValidation>
    <dataValidation type="list" allowBlank="1" showInputMessage="1" showErrorMessage="1" sqref="J628" xr:uid="{00000000-0002-0000-2200-000014000000}">
      <formula1>$N$627:$N$632</formula1>
    </dataValidation>
    <dataValidation type="list" allowBlank="1" showInputMessage="1" showErrorMessage="1" sqref="J650" xr:uid="{00000000-0002-0000-2200-000015000000}">
      <formula1>$N$649:$N$654</formula1>
    </dataValidation>
    <dataValidation type="list" allowBlank="1" showInputMessage="1" showErrorMessage="1" sqref="J672" xr:uid="{00000000-0002-0000-2200-000016000000}">
      <formula1>$N$671:$N$676</formula1>
    </dataValidation>
  </dataValidations>
  <pageMargins left="0.7" right="0.7" top="0.75" bottom="0.75" header="0.3" footer="0.3"/>
  <pageSetup scale="70"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73"/>
  <dimension ref="A1:N1029"/>
  <sheetViews>
    <sheetView showGridLines="0" showRowColHeaders="0" zoomScale="85" zoomScaleNormal="85" workbookViewId="0">
      <selection activeCell="G3" sqref="G3:I3"/>
    </sheetView>
  </sheetViews>
  <sheetFormatPr baseColWidth="10" defaultColWidth="9.1640625" defaultRowHeight="15" x14ac:dyDescent="0.2"/>
  <cols>
    <col min="1" max="1" width="9.1640625" style="12"/>
    <col min="2" max="3" width="9.1640625" style="12" customWidth="1"/>
    <col min="4" max="4" width="9.1640625" style="12"/>
    <col min="5" max="5" width="9.1640625" style="12" customWidth="1"/>
    <col min="6" max="9" width="9.1640625" style="12"/>
    <col min="10" max="10" width="25.6640625" style="12" customWidth="1"/>
    <col min="11" max="12" width="9.1640625" style="12"/>
    <col min="13" max="13" width="9.1640625" style="12" customWidth="1"/>
    <col min="14" max="14" width="9.1640625" style="12" hidden="1" customWidth="1"/>
    <col min="15" max="16384" width="9.1640625" style="12"/>
  </cols>
  <sheetData>
    <row r="1" spans="2:13" x14ac:dyDescent="0.2">
      <c r="I1" s="29"/>
    </row>
    <row r="2" spans="2:13" ht="33" x14ac:dyDescent="0.2">
      <c r="G2" s="16" t="s">
        <v>1038</v>
      </c>
      <c r="I2" s="29"/>
    </row>
    <row r="3" spans="2:13" ht="23" x14ac:dyDescent="0.25">
      <c r="F3" s="306" t="s">
        <v>1042</v>
      </c>
      <c r="G3" s="479"/>
      <c r="H3" s="480"/>
      <c r="I3" s="481"/>
      <c r="L3" s="157"/>
      <c r="M3" s="157"/>
    </row>
    <row r="4" spans="2:13" x14ac:dyDescent="0.2">
      <c r="G4" s="98"/>
      <c r="I4" s="29"/>
      <c r="L4" s="158"/>
      <c r="M4" s="157"/>
    </row>
    <row r="5" spans="2:13" x14ac:dyDescent="0.2">
      <c r="B5" s="12" t="s">
        <v>1043</v>
      </c>
      <c r="G5" s="98"/>
      <c r="I5" s="29"/>
      <c r="L5" s="158"/>
      <c r="M5" s="157"/>
    </row>
    <row r="6" spans="2:13" ht="121.5" customHeight="1" x14ac:dyDescent="0.2">
      <c r="B6" s="476"/>
      <c r="C6" s="477"/>
      <c r="D6" s="477"/>
      <c r="E6" s="477"/>
      <c r="F6" s="477"/>
      <c r="G6" s="477"/>
      <c r="H6" s="477"/>
      <c r="I6" s="477"/>
      <c r="J6" s="477"/>
      <c r="K6" s="478"/>
      <c r="L6" s="158"/>
      <c r="M6" s="157"/>
    </row>
    <row r="7" spans="2:13" x14ac:dyDescent="0.2">
      <c r="B7" s="426"/>
      <c r="C7" s="426"/>
      <c r="D7" s="426"/>
      <c r="E7" s="426"/>
      <c r="F7" s="426"/>
      <c r="G7" s="426"/>
      <c r="H7" s="426"/>
      <c r="I7" s="426"/>
      <c r="J7" s="426"/>
      <c r="K7" s="426"/>
      <c r="L7" s="158"/>
    </row>
    <row r="8" spans="2:13" ht="75" customHeight="1" x14ac:dyDescent="0.2">
      <c r="B8" s="425" t="s">
        <v>664</v>
      </c>
      <c r="C8" s="341"/>
      <c r="D8" s="341"/>
      <c r="E8" s="341"/>
      <c r="F8" s="341"/>
      <c r="G8" s="341"/>
      <c r="H8" s="341"/>
      <c r="I8" s="341"/>
      <c r="J8" s="341"/>
      <c r="K8" s="341"/>
    </row>
    <row r="9" spans="2:13" ht="30" customHeight="1" x14ac:dyDescent="0.2">
      <c r="B9" s="445" t="s">
        <v>665</v>
      </c>
      <c r="C9" s="446"/>
      <c r="D9" s="446"/>
      <c r="E9" s="446"/>
      <c r="F9" s="446"/>
      <c r="G9" s="446"/>
      <c r="H9" s="446"/>
      <c r="I9" s="446"/>
      <c r="J9" s="446"/>
      <c r="K9" s="446"/>
    </row>
    <row r="10" spans="2:13" ht="121.5" customHeight="1" x14ac:dyDescent="0.2">
      <c r="B10" s="447"/>
      <c r="C10" s="448"/>
      <c r="D10" s="448"/>
      <c r="E10" s="448"/>
      <c r="F10" s="448"/>
      <c r="G10" s="448"/>
      <c r="H10" s="448"/>
      <c r="I10" s="448"/>
      <c r="J10" s="448"/>
      <c r="K10" s="449"/>
    </row>
    <row r="11" spans="2:13" ht="16" thickBot="1" x14ac:dyDescent="0.25"/>
    <row r="12" spans="2:13" x14ac:dyDescent="0.2">
      <c r="B12" s="159"/>
      <c r="C12" s="160"/>
      <c r="D12" s="160"/>
      <c r="E12" s="160"/>
      <c r="F12" s="160"/>
      <c r="G12" s="160"/>
      <c r="H12" s="160"/>
      <c r="I12" s="160"/>
      <c r="J12" s="160"/>
      <c r="K12" s="161"/>
    </row>
    <row r="13" spans="2:13" ht="21" x14ac:dyDescent="0.25">
      <c r="B13" s="162"/>
      <c r="C13" s="163"/>
      <c r="D13" s="163"/>
      <c r="E13" s="163"/>
      <c r="F13" s="163"/>
      <c r="G13" s="164" t="s">
        <v>226</v>
      </c>
      <c r="H13" s="163"/>
      <c r="I13" s="163"/>
      <c r="J13" s="163"/>
      <c r="K13" s="165"/>
    </row>
    <row r="14" spans="2:13" ht="21" x14ac:dyDescent="0.25">
      <c r="B14" s="162"/>
      <c r="C14" s="163"/>
      <c r="D14" s="163"/>
      <c r="E14" s="163"/>
      <c r="F14" s="163"/>
      <c r="G14" s="164"/>
      <c r="H14" s="163"/>
      <c r="I14" s="163"/>
      <c r="J14" s="163"/>
      <c r="K14" s="165"/>
    </row>
    <row r="15" spans="2:13" ht="26.25" customHeight="1" x14ac:dyDescent="0.2">
      <c r="B15" s="162"/>
      <c r="C15" s="163" t="s">
        <v>255</v>
      </c>
      <c r="D15" s="163"/>
      <c r="E15" s="412"/>
      <c r="F15" s="437"/>
      <c r="G15" s="437"/>
      <c r="H15" s="437"/>
      <c r="I15" s="437"/>
      <c r="J15" s="438"/>
      <c r="K15" s="165"/>
    </row>
    <row r="16" spans="2:13" x14ac:dyDescent="0.2">
      <c r="B16" s="162"/>
      <c r="C16" s="163"/>
      <c r="D16" s="163"/>
      <c r="E16" s="163"/>
      <c r="F16" s="163"/>
      <c r="G16" s="163"/>
      <c r="H16" s="163"/>
      <c r="I16" s="163"/>
      <c r="J16" s="163"/>
      <c r="K16" s="165"/>
    </row>
    <row r="17" spans="2:14" x14ac:dyDescent="0.2">
      <c r="B17" s="162"/>
      <c r="C17" s="166" t="s">
        <v>256</v>
      </c>
      <c r="D17" s="163"/>
      <c r="E17" s="167" t="str">
        <f>IF(E15=$C$966,$A$966,IF(E15=$C$967,$A$967,IF(E15=$C$968,$A$968,IF(E15=$C$969,$A$969,IF(E15=$C$970,$A$970,"Not Calculated")))))</f>
        <v>Not Calculated</v>
      </c>
      <c r="F17" s="163"/>
      <c r="G17" s="163"/>
      <c r="H17" s="163"/>
      <c r="I17" s="163"/>
      <c r="J17" s="163"/>
      <c r="K17" s="165"/>
    </row>
    <row r="18" spans="2:14" x14ac:dyDescent="0.2">
      <c r="B18" s="162"/>
      <c r="C18" s="163"/>
      <c r="D18" s="163"/>
      <c r="E18" s="167" t="str">
        <f>IF(E15=$C$966,$B$966,IF(E15=$C$967,$B$967,IF(E15=$C$968,$B$968,IF(E15=$C$969,$B$969,IF(E15=$C$970,$B$970,"Not Calculated")))))</f>
        <v>Not Calculated</v>
      </c>
      <c r="F18" s="163"/>
      <c r="G18" s="163"/>
      <c r="H18" s="163"/>
      <c r="I18" s="163"/>
      <c r="J18" s="163"/>
      <c r="K18" s="165"/>
    </row>
    <row r="19" spans="2:14" ht="16" thickBot="1" x14ac:dyDescent="0.25">
      <c r="B19" s="168"/>
      <c r="C19" s="169"/>
      <c r="D19" s="169"/>
      <c r="E19" s="169"/>
      <c r="F19" s="169"/>
      <c r="G19" s="169"/>
      <c r="H19" s="169"/>
      <c r="I19" s="169"/>
      <c r="J19" s="169"/>
      <c r="K19" s="170"/>
    </row>
    <row r="20" spans="2:14" ht="16" thickBot="1" x14ac:dyDescent="0.25"/>
    <row r="21" spans="2:14" x14ac:dyDescent="0.2">
      <c r="B21" s="33"/>
      <c r="C21" s="34"/>
      <c r="D21" s="34"/>
      <c r="E21" s="34"/>
      <c r="F21" s="34"/>
      <c r="G21" s="34"/>
      <c r="H21" s="34"/>
      <c r="I21" s="34"/>
      <c r="J21" s="34"/>
      <c r="K21" s="37"/>
    </row>
    <row r="22" spans="2:14" ht="21" x14ac:dyDescent="0.25">
      <c r="B22" s="38"/>
      <c r="C22" s="171"/>
      <c r="D22" s="40"/>
      <c r="E22" s="40"/>
      <c r="F22" s="40"/>
      <c r="G22" s="172" t="s">
        <v>26</v>
      </c>
      <c r="H22" s="40"/>
      <c r="I22" s="40"/>
      <c r="J22" s="40"/>
      <c r="K22" s="41"/>
    </row>
    <row r="23" spans="2:14" x14ac:dyDescent="0.2">
      <c r="B23" s="38"/>
      <c r="C23" s="40"/>
      <c r="D23" s="40"/>
      <c r="E23" s="40"/>
      <c r="F23" s="40"/>
      <c r="G23" s="40"/>
      <c r="H23" s="40"/>
      <c r="I23" s="40"/>
      <c r="J23" s="40"/>
      <c r="K23" s="41"/>
    </row>
    <row r="24" spans="2:14" ht="16" x14ac:dyDescent="0.2">
      <c r="B24" s="38"/>
      <c r="C24" s="45" t="s">
        <v>61</v>
      </c>
      <c r="D24" s="40"/>
      <c r="E24" s="40"/>
      <c r="F24" s="40"/>
      <c r="G24" s="40"/>
      <c r="H24" s="40"/>
      <c r="I24" s="40"/>
      <c r="J24" s="40"/>
      <c r="K24" s="41"/>
    </row>
    <row r="25" spans="2:14" x14ac:dyDescent="0.2">
      <c r="B25" s="38"/>
      <c r="C25" s="40" t="s">
        <v>434</v>
      </c>
      <c r="D25" s="40"/>
      <c r="E25" s="40"/>
      <c r="F25" s="40"/>
      <c r="G25" s="40"/>
      <c r="H25" s="40"/>
      <c r="I25" s="40"/>
      <c r="J25" s="252">
        <f>'Baseline Health'!G11</f>
        <v>0</v>
      </c>
      <c r="K25" s="41"/>
    </row>
    <row r="26" spans="2:14" x14ac:dyDescent="0.2">
      <c r="B26" s="38"/>
      <c r="C26" s="40" t="s">
        <v>288</v>
      </c>
      <c r="D26" s="40"/>
      <c r="E26" s="40"/>
      <c r="F26" s="40"/>
      <c r="G26" s="40"/>
      <c r="H26" s="40"/>
      <c r="I26" s="40"/>
      <c r="J26" s="264"/>
      <c r="K26" s="41"/>
    </row>
    <row r="27" spans="2:14" x14ac:dyDescent="0.2">
      <c r="B27" s="38"/>
      <c r="C27" s="40" t="s">
        <v>260</v>
      </c>
      <c r="D27" s="40"/>
      <c r="E27" s="40"/>
      <c r="F27" s="40"/>
      <c r="G27" s="40"/>
      <c r="H27" s="40"/>
      <c r="I27" s="40"/>
      <c r="J27" s="248" t="str">
        <f>IF(OR(J25=0,J25="Not Calculated")=TRUE,"Not Calculated",(IF(((J26+J25)/J25)&lt;=1,0,IF(((J26+J25)/J25)&lt;=1.05,1,IF(((J26+J25)/J25)&lt;=1.5, 2,IF(((J26+J25)/J25)&lt;=2,3,4))))))</f>
        <v>Not Calculated</v>
      </c>
      <c r="K27" s="41"/>
    </row>
    <row r="28" spans="2:14" ht="9.75" customHeight="1" x14ac:dyDescent="0.2">
      <c r="B28" s="38"/>
      <c r="C28" s="279" t="str">
        <f>"0:"</f>
        <v>0:</v>
      </c>
      <c r="D28" s="281" t="s">
        <v>918</v>
      </c>
      <c r="E28" s="40"/>
      <c r="F28" s="40"/>
      <c r="G28" s="40"/>
      <c r="H28" s="40"/>
      <c r="I28" s="40"/>
      <c r="J28" s="40"/>
      <c r="K28" s="41"/>
    </row>
    <row r="29" spans="2:14" ht="9.75" customHeight="1" x14ac:dyDescent="0.2">
      <c r="B29" s="38"/>
      <c r="C29" s="280" t="str">
        <f>"1:"</f>
        <v>1:</v>
      </c>
      <c r="D29" s="281" t="s">
        <v>919</v>
      </c>
      <c r="E29" s="40"/>
      <c r="F29" s="40"/>
      <c r="G29" s="40"/>
      <c r="H29" s="40"/>
      <c r="I29" s="40"/>
      <c r="J29" s="40"/>
      <c r="K29" s="41"/>
    </row>
    <row r="30" spans="2:14" ht="9.75" customHeight="1" x14ac:dyDescent="0.2">
      <c r="B30" s="38"/>
      <c r="C30" s="280" t="str">
        <f>"2:"</f>
        <v>2:</v>
      </c>
      <c r="D30" s="281" t="s">
        <v>920</v>
      </c>
      <c r="E30" s="40"/>
      <c r="F30" s="40"/>
      <c r="G30" s="40"/>
      <c r="H30" s="40"/>
      <c r="I30" s="40"/>
      <c r="J30" s="40"/>
      <c r="K30" s="41"/>
    </row>
    <row r="31" spans="2:14" ht="9.75" customHeight="1" x14ac:dyDescent="0.2">
      <c r="B31" s="38"/>
      <c r="C31" s="280" t="str">
        <f>"3:"</f>
        <v>3:</v>
      </c>
      <c r="D31" s="281" t="s">
        <v>921</v>
      </c>
      <c r="E31" s="40"/>
      <c r="F31" s="40"/>
      <c r="G31" s="40"/>
      <c r="H31" s="40"/>
      <c r="I31" s="40"/>
      <c r="J31" s="40"/>
      <c r="K31" s="41"/>
    </row>
    <row r="32" spans="2:14" ht="9.75" customHeight="1" x14ac:dyDescent="0.2">
      <c r="B32" s="38"/>
      <c r="C32" s="280" t="str">
        <f>"4:"</f>
        <v>4:</v>
      </c>
      <c r="D32" s="281" t="s">
        <v>922</v>
      </c>
      <c r="E32" s="40"/>
      <c r="F32" s="40"/>
      <c r="G32" s="40"/>
      <c r="H32" s="40"/>
      <c r="I32" s="40"/>
      <c r="J32" s="40"/>
      <c r="K32" s="41"/>
      <c r="N32" s="12" t="s">
        <v>661</v>
      </c>
    </row>
    <row r="33" spans="2:14" x14ac:dyDescent="0.2">
      <c r="B33" s="38"/>
      <c r="C33" s="174" t="s">
        <v>662</v>
      </c>
      <c r="D33" s="40"/>
      <c r="E33" s="40"/>
      <c r="F33" s="40"/>
      <c r="G33" s="40"/>
      <c r="H33" s="40"/>
      <c r="I33" s="40"/>
      <c r="J33" s="265" t="s">
        <v>661</v>
      </c>
      <c r="K33" s="41"/>
      <c r="N33" s="12" t="s">
        <v>894</v>
      </c>
    </row>
    <row r="34" spans="2:14" x14ac:dyDescent="0.2">
      <c r="B34" s="38"/>
      <c r="C34" s="174" t="s">
        <v>660</v>
      </c>
      <c r="D34" s="40"/>
      <c r="E34" s="40"/>
      <c r="F34" s="40"/>
      <c r="G34" s="40"/>
      <c r="H34" s="40"/>
      <c r="I34" s="40"/>
      <c r="J34" s="246" t="str">
        <f>IF(J33=N32,"N/A",IF(J33=N33,0,IF(J33=N34,1,IF(J33=N35,2,IF(J33=N36,3,IF(J33=N37,4,"N/A"))))))</f>
        <v>N/A</v>
      </c>
      <c r="K34" s="41"/>
      <c r="N34" s="12" t="s">
        <v>895</v>
      </c>
    </row>
    <row r="35" spans="2:14" x14ac:dyDescent="0.2">
      <c r="B35" s="38"/>
      <c r="C35" s="40" t="s">
        <v>257</v>
      </c>
      <c r="D35" s="40"/>
      <c r="E35" s="40"/>
      <c r="F35" s="40"/>
      <c r="G35" s="40"/>
      <c r="H35" s="40"/>
      <c r="I35" s="40"/>
      <c r="J35" s="266"/>
      <c r="K35" s="41"/>
      <c r="N35" s="12" t="s">
        <v>896</v>
      </c>
    </row>
    <row r="36" spans="2:14" x14ac:dyDescent="0.2">
      <c r="B36" s="38"/>
      <c r="C36" s="40" t="s">
        <v>261</v>
      </c>
      <c r="D36" s="40"/>
      <c r="E36" s="40"/>
      <c r="F36" s="40"/>
      <c r="G36" s="40"/>
      <c r="H36" s="40"/>
      <c r="I36" s="40"/>
      <c r="J36" s="245" t="str">
        <f>IF(J35=$B$973,$A$973,IF(J35=$B$974,$A$974,IF(J35=$B$975,$A$975,IF(J35=$B$976,$A$976,IF(J35=$B$977,$A$977,"Not Calculated")))))</f>
        <v>Not Calculated</v>
      </c>
      <c r="K36" s="41"/>
      <c r="N36" s="12" t="s">
        <v>897</v>
      </c>
    </row>
    <row r="37" spans="2:14" x14ac:dyDescent="0.2">
      <c r="B37" s="38"/>
      <c r="C37" s="40" t="s">
        <v>893</v>
      </c>
      <c r="D37" s="40"/>
      <c r="E37" s="40"/>
      <c r="F37" s="40"/>
      <c r="G37" s="40"/>
      <c r="H37" s="40"/>
      <c r="I37" s="40"/>
      <c r="J37" s="175"/>
      <c r="K37" s="41"/>
      <c r="N37" s="12" t="s">
        <v>898</v>
      </c>
    </row>
    <row r="38" spans="2:14" s="178" customFormat="1" x14ac:dyDescent="0.2">
      <c r="B38" s="176"/>
      <c r="C38" s="415"/>
      <c r="D38" s="400"/>
      <c r="E38" s="400"/>
      <c r="F38" s="400"/>
      <c r="G38" s="400"/>
      <c r="H38" s="400"/>
      <c r="I38" s="400"/>
      <c r="J38" s="401"/>
      <c r="K38" s="177"/>
    </row>
    <row r="39" spans="2:14" x14ac:dyDescent="0.2">
      <c r="B39" s="38"/>
      <c r="C39" s="40"/>
      <c r="D39" s="40"/>
      <c r="E39" s="40"/>
      <c r="F39" s="40"/>
      <c r="G39" s="40"/>
      <c r="H39" s="40"/>
      <c r="I39" s="40"/>
      <c r="J39" s="40"/>
      <c r="K39" s="41"/>
    </row>
    <row r="40" spans="2:14" x14ac:dyDescent="0.2">
      <c r="B40" s="38"/>
      <c r="C40" s="179" t="s">
        <v>258</v>
      </c>
      <c r="D40" s="40"/>
      <c r="E40" s="40"/>
      <c r="F40" s="40"/>
      <c r="G40" s="40"/>
      <c r="H40" s="40"/>
      <c r="I40" s="40"/>
      <c r="J40" s="245" t="str">
        <f>IF(J34="N/A",IF(OR(J27="Not Calculated",J36="Not Calculated")=TRUE,"Not Calculated",AVERAGE(J27,J36)),AVERAGE(J34,J36))</f>
        <v>Not Calculated</v>
      </c>
      <c r="K40" s="41"/>
    </row>
    <row r="41" spans="2:14" x14ac:dyDescent="0.2">
      <c r="B41" s="38"/>
      <c r="C41" s="179"/>
      <c r="D41" s="40"/>
      <c r="E41" s="40"/>
      <c r="F41" s="40"/>
      <c r="G41" s="40"/>
      <c r="H41" s="40"/>
      <c r="I41" s="40"/>
      <c r="J41" s="245"/>
      <c r="K41" s="41"/>
    </row>
    <row r="42" spans="2:14" x14ac:dyDescent="0.2">
      <c r="B42" s="38"/>
      <c r="C42" s="40"/>
      <c r="D42" s="40"/>
      <c r="E42" s="40"/>
      <c r="F42" s="40"/>
      <c r="G42" s="40"/>
      <c r="H42" s="40"/>
      <c r="I42" s="40"/>
      <c r="J42" s="40"/>
      <c r="K42" s="41"/>
    </row>
    <row r="43" spans="2:14" ht="16" x14ac:dyDescent="0.2">
      <c r="B43" s="38"/>
      <c r="C43" s="45" t="s">
        <v>51</v>
      </c>
      <c r="D43" s="40"/>
      <c r="E43" s="40"/>
      <c r="F43" s="40"/>
      <c r="G43" s="40"/>
      <c r="H43" s="40"/>
      <c r="I43" s="40"/>
      <c r="J43" s="40"/>
      <c r="K43" s="41"/>
    </row>
    <row r="44" spans="2:14" x14ac:dyDescent="0.2">
      <c r="B44" s="38"/>
      <c r="C44" s="40" t="s">
        <v>435</v>
      </c>
      <c r="D44" s="40"/>
      <c r="E44" s="40"/>
      <c r="F44" s="40"/>
      <c r="G44" s="40"/>
      <c r="H44" s="40"/>
      <c r="I44" s="40"/>
      <c r="J44" s="252">
        <f>'Baseline Health'!G17</f>
        <v>0</v>
      </c>
      <c r="K44" s="41"/>
    </row>
    <row r="45" spans="2:14" x14ac:dyDescent="0.2">
      <c r="B45" s="38"/>
      <c r="C45" s="40" t="s">
        <v>287</v>
      </c>
      <c r="D45" s="40"/>
      <c r="E45" s="40"/>
      <c r="F45" s="40"/>
      <c r="G45" s="40"/>
      <c r="H45" s="40"/>
      <c r="I45" s="40"/>
      <c r="J45" s="264"/>
      <c r="K45" s="41"/>
    </row>
    <row r="46" spans="2:14" x14ac:dyDescent="0.2">
      <c r="B46" s="38"/>
      <c r="C46" s="40" t="s">
        <v>260</v>
      </c>
      <c r="D46" s="40"/>
      <c r="E46" s="40"/>
      <c r="F46" s="40"/>
      <c r="G46" s="40"/>
      <c r="H46" s="40"/>
      <c r="I46" s="40"/>
      <c r="J46" s="248" t="str">
        <f>IF(OR(J44=0,J44="Not Calculated")=TRUE,"Not Calculated",(IF(((J45+J44)/J44)&lt;=1,0,IF(((J45+J44)/J44)&lt;=1.05,1,IF(((J45+J44)/J44)&lt;=1.5, 2,IF(((J45+J44)/J44)&lt;=2,3,4))))))</f>
        <v>Not Calculated</v>
      </c>
      <c r="K46" s="41"/>
    </row>
    <row r="47" spans="2:14" ht="9.75" customHeight="1" x14ac:dyDescent="0.2">
      <c r="B47" s="38"/>
      <c r="C47" s="279" t="str">
        <f>"0:"</f>
        <v>0:</v>
      </c>
      <c r="D47" s="281" t="s">
        <v>918</v>
      </c>
      <c r="E47" s="40"/>
      <c r="F47" s="40"/>
      <c r="G47" s="40"/>
      <c r="H47" s="40"/>
      <c r="I47" s="40"/>
      <c r="J47" s="40"/>
      <c r="K47" s="41"/>
    </row>
    <row r="48" spans="2:14" ht="9.75" customHeight="1" x14ac:dyDescent="0.2">
      <c r="B48" s="38"/>
      <c r="C48" s="280" t="str">
        <f>"1:"</f>
        <v>1:</v>
      </c>
      <c r="D48" s="281" t="s">
        <v>919</v>
      </c>
      <c r="E48" s="40"/>
      <c r="F48" s="40"/>
      <c r="G48" s="40"/>
      <c r="H48" s="40"/>
      <c r="I48" s="40"/>
      <c r="J48" s="40"/>
      <c r="K48" s="41"/>
    </row>
    <row r="49" spans="2:14" ht="9.75" customHeight="1" x14ac:dyDescent="0.2">
      <c r="B49" s="38"/>
      <c r="C49" s="280" t="str">
        <f>"2:"</f>
        <v>2:</v>
      </c>
      <c r="D49" s="281" t="s">
        <v>920</v>
      </c>
      <c r="E49" s="40"/>
      <c r="F49" s="40"/>
      <c r="G49" s="40"/>
      <c r="H49" s="40"/>
      <c r="I49" s="40"/>
      <c r="J49" s="40"/>
      <c r="K49" s="41"/>
    </row>
    <row r="50" spans="2:14" ht="9.75" customHeight="1" x14ac:dyDescent="0.2">
      <c r="B50" s="38"/>
      <c r="C50" s="280" t="str">
        <f>"3:"</f>
        <v>3:</v>
      </c>
      <c r="D50" s="281" t="s">
        <v>921</v>
      </c>
      <c r="E50" s="40"/>
      <c r="F50" s="40"/>
      <c r="G50" s="40"/>
      <c r="H50" s="40"/>
      <c r="I50" s="40"/>
      <c r="J50" s="40"/>
      <c r="K50" s="41"/>
    </row>
    <row r="51" spans="2:14" ht="9.75" customHeight="1" x14ac:dyDescent="0.2">
      <c r="B51" s="38"/>
      <c r="C51" s="280" t="str">
        <f>"4:"</f>
        <v>4:</v>
      </c>
      <c r="D51" s="281" t="s">
        <v>922</v>
      </c>
      <c r="E51" s="40"/>
      <c r="F51" s="40"/>
      <c r="G51" s="40"/>
      <c r="H51" s="40"/>
      <c r="I51" s="40"/>
      <c r="J51" s="40"/>
      <c r="K51" s="41"/>
      <c r="N51" s="12" t="s">
        <v>661</v>
      </c>
    </row>
    <row r="52" spans="2:14" x14ac:dyDescent="0.2">
      <c r="B52" s="38"/>
      <c r="C52" s="174" t="s">
        <v>662</v>
      </c>
      <c r="D52" s="40"/>
      <c r="E52" s="40"/>
      <c r="F52" s="40"/>
      <c r="G52" s="40"/>
      <c r="H52" s="40"/>
      <c r="I52" s="40"/>
      <c r="J52" s="265" t="s">
        <v>661</v>
      </c>
      <c r="K52" s="41"/>
      <c r="N52" s="12" t="s">
        <v>894</v>
      </c>
    </row>
    <row r="53" spans="2:14" x14ac:dyDescent="0.2">
      <c r="B53" s="38"/>
      <c r="C53" s="174" t="s">
        <v>660</v>
      </c>
      <c r="D53" s="40"/>
      <c r="E53" s="40"/>
      <c r="F53" s="40"/>
      <c r="G53" s="40"/>
      <c r="H53" s="40"/>
      <c r="I53" s="40"/>
      <c r="J53" s="246" t="str">
        <f>IF(J52=N51,"N/A",IF(J52=N52,0,IF(J52=N53,1,IF(J52=N54,2,IF(J52=N55,3,IF(J52=N56,4,"N/A"))))))</f>
        <v>N/A</v>
      </c>
      <c r="K53" s="41"/>
      <c r="N53" s="12" t="s">
        <v>895</v>
      </c>
    </row>
    <row r="54" spans="2:14" x14ac:dyDescent="0.2">
      <c r="B54" s="38"/>
      <c r="C54" s="40" t="s">
        <v>257</v>
      </c>
      <c r="D54" s="40"/>
      <c r="E54" s="40"/>
      <c r="F54" s="40"/>
      <c r="G54" s="40"/>
      <c r="H54" s="40"/>
      <c r="I54" s="40"/>
      <c r="J54" s="266"/>
      <c r="K54" s="41"/>
      <c r="N54" s="12" t="s">
        <v>896</v>
      </c>
    </row>
    <row r="55" spans="2:14" x14ac:dyDescent="0.2">
      <c r="B55" s="38"/>
      <c r="C55" s="40" t="s">
        <v>261</v>
      </c>
      <c r="D55" s="40"/>
      <c r="E55" s="40"/>
      <c r="F55" s="40"/>
      <c r="G55" s="40"/>
      <c r="H55" s="40"/>
      <c r="I55" s="40"/>
      <c r="J55" s="245" t="str">
        <f>IF(J54=$B$973,$A$973,IF(J54=$B$974,$A$974,IF(J54=$B$975,$A$975,IF(J54=$B$976,$A$976,IF(J54=$B$977,$A$977,"Not Calculated")))))</f>
        <v>Not Calculated</v>
      </c>
      <c r="K55" s="41"/>
      <c r="N55" s="12" t="s">
        <v>897</v>
      </c>
    </row>
    <row r="56" spans="2:14" x14ac:dyDescent="0.2">
      <c r="B56" s="38"/>
      <c r="C56" s="40" t="s">
        <v>893</v>
      </c>
      <c r="D56" s="40"/>
      <c r="E56" s="40"/>
      <c r="F56" s="40"/>
      <c r="G56" s="40"/>
      <c r="H56" s="40"/>
      <c r="I56" s="40"/>
      <c r="J56" s="175"/>
      <c r="K56" s="41"/>
      <c r="N56" s="12" t="s">
        <v>898</v>
      </c>
    </row>
    <row r="57" spans="2:14" s="178" customFormat="1" ht="15" customHeight="1" x14ac:dyDescent="0.2">
      <c r="B57" s="176"/>
      <c r="C57" s="415"/>
      <c r="D57" s="400"/>
      <c r="E57" s="400"/>
      <c r="F57" s="400"/>
      <c r="G57" s="400"/>
      <c r="H57" s="400"/>
      <c r="I57" s="400"/>
      <c r="J57" s="401"/>
      <c r="K57" s="177"/>
    </row>
    <row r="58" spans="2:14" x14ac:dyDescent="0.2">
      <c r="B58" s="38"/>
      <c r="C58" s="40"/>
      <c r="D58" s="40"/>
      <c r="E58" s="40"/>
      <c r="F58" s="40"/>
      <c r="G58" s="40"/>
      <c r="H58" s="40"/>
      <c r="I58" s="40"/>
      <c r="J58" s="40"/>
      <c r="K58" s="41"/>
    </row>
    <row r="59" spans="2:14" x14ac:dyDescent="0.2">
      <c r="B59" s="38"/>
      <c r="C59" s="179" t="s">
        <v>263</v>
      </c>
      <c r="D59" s="40"/>
      <c r="E59" s="40"/>
      <c r="F59" s="40"/>
      <c r="G59" s="40"/>
      <c r="H59" s="40"/>
      <c r="I59" s="40"/>
      <c r="J59" s="245" t="str">
        <f>IF(J53="N/A",IF(OR(J46="Not Calculated",J55="Not Calculated")=TRUE,"Not Calculated",AVERAGE(J46,J55)),AVERAGE(J53,J55))</f>
        <v>Not Calculated</v>
      </c>
      <c r="K59" s="41"/>
    </row>
    <row r="60" spans="2:14" x14ac:dyDescent="0.2">
      <c r="B60" s="38"/>
      <c r="C60" s="40"/>
      <c r="D60" s="40"/>
      <c r="E60" s="40"/>
      <c r="F60" s="40"/>
      <c r="G60" s="40"/>
      <c r="H60" s="40"/>
      <c r="I60" s="40"/>
      <c r="J60" s="40"/>
      <c r="K60" s="41"/>
    </row>
    <row r="61" spans="2:14" x14ac:dyDescent="0.2">
      <c r="B61" s="38"/>
      <c r="C61" s="40"/>
      <c r="D61" s="40"/>
      <c r="E61" s="40"/>
      <c r="F61" s="40"/>
      <c r="G61" s="40"/>
      <c r="H61" s="40"/>
      <c r="I61" s="40"/>
      <c r="J61" s="40"/>
      <c r="K61" s="41"/>
    </row>
    <row r="62" spans="2:14" ht="16" x14ac:dyDescent="0.2">
      <c r="B62" s="38"/>
      <c r="C62" s="45" t="s">
        <v>54</v>
      </c>
      <c r="D62" s="40"/>
      <c r="E62" s="40"/>
      <c r="F62" s="40"/>
      <c r="G62" s="40"/>
      <c r="H62" s="40"/>
      <c r="I62" s="40"/>
      <c r="J62" s="40"/>
      <c r="K62" s="41"/>
    </row>
    <row r="63" spans="2:14" x14ac:dyDescent="0.2">
      <c r="B63" s="38"/>
      <c r="C63" s="40" t="s">
        <v>436</v>
      </c>
      <c r="D63" s="40"/>
      <c r="E63" s="40"/>
      <c r="F63" s="40"/>
      <c r="G63" s="40"/>
      <c r="H63" s="40"/>
      <c r="I63" s="40"/>
      <c r="J63" s="252">
        <f>'Baseline Health'!G23</f>
        <v>0</v>
      </c>
      <c r="K63" s="41"/>
    </row>
    <row r="64" spans="2:14" x14ac:dyDescent="0.2">
      <c r="B64" s="38"/>
      <c r="C64" s="40" t="s">
        <v>289</v>
      </c>
      <c r="D64" s="40"/>
      <c r="E64" s="40"/>
      <c r="F64" s="40"/>
      <c r="G64" s="40"/>
      <c r="H64" s="40"/>
      <c r="I64" s="40"/>
      <c r="J64" s="264"/>
      <c r="K64" s="41"/>
    </row>
    <row r="65" spans="2:14" x14ac:dyDescent="0.2">
      <c r="B65" s="38"/>
      <c r="C65" s="40" t="s">
        <v>260</v>
      </c>
      <c r="D65" s="40"/>
      <c r="E65" s="40"/>
      <c r="F65" s="40"/>
      <c r="G65" s="40"/>
      <c r="H65" s="40"/>
      <c r="I65" s="40"/>
      <c r="J65" s="248" t="str">
        <f>IF(OR(J63=0,J63="Not Calculated")=TRUE,"Not Calculated",(IF(((J64+J63)/J63)&lt;=1,0,IF(((J64+J63)/J63)&lt;=1.05,1,IF(((J64+J63)/J63)&lt;=1.5, 2,IF(((J64+J63)/J63)&lt;=2,3,4))))))</f>
        <v>Not Calculated</v>
      </c>
      <c r="K65" s="41"/>
    </row>
    <row r="66" spans="2:14" ht="9.75" customHeight="1" x14ac:dyDescent="0.2">
      <c r="B66" s="38"/>
      <c r="C66" s="279" t="str">
        <f>"0:"</f>
        <v>0:</v>
      </c>
      <c r="D66" s="281" t="s">
        <v>918</v>
      </c>
      <c r="E66" s="40"/>
      <c r="F66" s="40"/>
      <c r="G66" s="40"/>
      <c r="H66" s="40"/>
      <c r="I66" s="40"/>
      <c r="J66" s="40"/>
      <c r="K66" s="41"/>
    </row>
    <row r="67" spans="2:14" ht="9.75" customHeight="1" x14ac:dyDescent="0.2">
      <c r="B67" s="38"/>
      <c r="C67" s="280" t="str">
        <f>"1:"</f>
        <v>1:</v>
      </c>
      <c r="D67" s="281" t="s">
        <v>919</v>
      </c>
      <c r="E67" s="40"/>
      <c r="F67" s="40"/>
      <c r="G67" s="40"/>
      <c r="H67" s="40"/>
      <c r="I67" s="40"/>
      <c r="J67" s="40"/>
      <c r="K67" s="41"/>
    </row>
    <row r="68" spans="2:14" ht="9.75" customHeight="1" x14ac:dyDescent="0.2">
      <c r="B68" s="38"/>
      <c r="C68" s="280" t="str">
        <f>"2:"</f>
        <v>2:</v>
      </c>
      <c r="D68" s="281" t="s">
        <v>920</v>
      </c>
      <c r="E68" s="40"/>
      <c r="F68" s="40"/>
      <c r="G68" s="40"/>
      <c r="H68" s="40"/>
      <c r="I68" s="40"/>
      <c r="J68" s="40"/>
      <c r="K68" s="41"/>
    </row>
    <row r="69" spans="2:14" ht="9.75" customHeight="1" x14ac:dyDescent="0.2">
      <c r="B69" s="38"/>
      <c r="C69" s="280" t="str">
        <f>"3:"</f>
        <v>3:</v>
      </c>
      <c r="D69" s="281" t="s">
        <v>921</v>
      </c>
      <c r="E69" s="40"/>
      <c r="F69" s="40"/>
      <c r="G69" s="40"/>
      <c r="H69" s="40"/>
      <c r="I69" s="40"/>
      <c r="J69" s="40"/>
      <c r="K69" s="41"/>
    </row>
    <row r="70" spans="2:14" ht="9.75" customHeight="1" x14ac:dyDescent="0.2">
      <c r="B70" s="38"/>
      <c r="C70" s="280" t="str">
        <f>"4:"</f>
        <v>4:</v>
      </c>
      <c r="D70" s="281" t="s">
        <v>922</v>
      </c>
      <c r="E70" s="40"/>
      <c r="F70" s="40"/>
      <c r="G70" s="40"/>
      <c r="H70" s="40"/>
      <c r="I70" s="40"/>
      <c r="J70" s="40"/>
      <c r="K70" s="41"/>
      <c r="N70" s="12" t="s">
        <v>661</v>
      </c>
    </row>
    <row r="71" spans="2:14" x14ac:dyDescent="0.2">
      <c r="B71" s="38"/>
      <c r="C71" s="174" t="s">
        <v>662</v>
      </c>
      <c r="D71" s="40"/>
      <c r="E71" s="40"/>
      <c r="F71" s="40"/>
      <c r="G71" s="40"/>
      <c r="H71" s="40"/>
      <c r="I71" s="40"/>
      <c r="J71" s="265" t="s">
        <v>661</v>
      </c>
      <c r="K71" s="41"/>
      <c r="N71" s="12" t="s">
        <v>894</v>
      </c>
    </row>
    <row r="72" spans="2:14" x14ac:dyDescent="0.2">
      <c r="B72" s="38"/>
      <c r="C72" s="174" t="s">
        <v>660</v>
      </c>
      <c r="D72" s="40"/>
      <c r="E72" s="40"/>
      <c r="F72" s="40"/>
      <c r="G72" s="40"/>
      <c r="H72" s="40"/>
      <c r="I72" s="40"/>
      <c r="J72" s="246" t="str">
        <f>IF(J71=N70,"N/A",IF(J71=N71,0,IF(J71=N72,1,IF(J71=N73,2,IF(J71=N74,3,IF(J71=N75,4,"N/A"))))))</f>
        <v>N/A</v>
      </c>
      <c r="K72" s="41"/>
      <c r="N72" s="12" t="s">
        <v>895</v>
      </c>
    </row>
    <row r="73" spans="2:14" x14ac:dyDescent="0.2">
      <c r="B73" s="38"/>
      <c r="C73" s="40" t="s">
        <v>257</v>
      </c>
      <c r="D73" s="40"/>
      <c r="E73" s="40"/>
      <c r="F73" s="40"/>
      <c r="G73" s="40"/>
      <c r="H73" s="40"/>
      <c r="I73" s="40"/>
      <c r="J73" s="266"/>
      <c r="K73" s="41"/>
      <c r="N73" s="12" t="s">
        <v>896</v>
      </c>
    </row>
    <row r="74" spans="2:14" x14ac:dyDescent="0.2">
      <c r="B74" s="38"/>
      <c r="C74" s="40" t="s">
        <v>261</v>
      </c>
      <c r="D74" s="40"/>
      <c r="E74" s="40"/>
      <c r="F74" s="40"/>
      <c r="G74" s="40"/>
      <c r="H74" s="40"/>
      <c r="I74" s="40"/>
      <c r="J74" s="245" t="str">
        <f>IF(J73=$B$973,$A$973,IF(J73=$B$974,$A$974,IF(J73=$B$975,$A$975,IF(J73=$B$976,$A$976,IF(J73=$B$977,$A$977,"Not Calculated")))))</f>
        <v>Not Calculated</v>
      </c>
      <c r="K74" s="41"/>
      <c r="N74" s="12" t="s">
        <v>897</v>
      </c>
    </row>
    <row r="75" spans="2:14" x14ac:dyDescent="0.2">
      <c r="B75" s="38"/>
      <c r="C75" s="40" t="s">
        <v>893</v>
      </c>
      <c r="D75" s="40"/>
      <c r="E75" s="40"/>
      <c r="F75" s="40"/>
      <c r="G75" s="40"/>
      <c r="H75" s="40"/>
      <c r="I75" s="40"/>
      <c r="J75" s="175"/>
      <c r="K75" s="41"/>
      <c r="N75" s="12" t="s">
        <v>898</v>
      </c>
    </row>
    <row r="76" spans="2:14" s="178" customFormat="1" x14ac:dyDescent="0.2">
      <c r="B76" s="176"/>
      <c r="C76" s="415"/>
      <c r="D76" s="400"/>
      <c r="E76" s="400"/>
      <c r="F76" s="400"/>
      <c r="G76" s="400"/>
      <c r="H76" s="400"/>
      <c r="I76" s="400"/>
      <c r="J76" s="401"/>
      <c r="K76" s="177"/>
    </row>
    <row r="77" spans="2:14" x14ac:dyDescent="0.2">
      <c r="B77" s="38"/>
      <c r="C77" s="40"/>
      <c r="D77" s="40"/>
      <c r="E77" s="40"/>
      <c r="F77" s="40"/>
      <c r="G77" s="40"/>
      <c r="H77" s="40"/>
      <c r="I77" s="40"/>
      <c r="J77" s="40"/>
      <c r="K77" s="41"/>
    </row>
    <row r="78" spans="2:14" x14ac:dyDescent="0.2">
      <c r="B78" s="38"/>
      <c r="C78" s="179" t="s">
        <v>264</v>
      </c>
      <c r="D78" s="40"/>
      <c r="E78" s="40"/>
      <c r="F78" s="40"/>
      <c r="G78" s="40"/>
      <c r="H78" s="40"/>
      <c r="I78" s="40"/>
      <c r="J78" s="245" t="str">
        <f>IF(J72="N/A",IF(OR(J65="Not Calculated",J74="Not Calculated")=TRUE,"Not Calculated",AVERAGE(J65,J74)),AVERAGE(J72,J74))</f>
        <v>Not Calculated</v>
      </c>
      <c r="K78" s="41"/>
    </row>
    <row r="79" spans="2:14" x14ac:dyDescent="0.2">
      <c r="B79" s="38"/>
      <c r="C79" s="40"/>
      <c r="D79" s="40"/>
      <c r="E79" s="40"/>
      <c r="F79" s="40"/>
      <c r="G79" s="40"/>
      <c r="H79" s="40"/>
      <c r="I79" s="40"/>
      <c r="J79" s="40"/>
      <c r="K79" s="41"/>
    </row>
    <row r="80" spans="2:14" x14ac:dyDescent="0.2">
      <c r="B80" s="38"/>
      <c r="C80" s="40"/>
      <c r="D80" s="40"/>
      <c r="E80" s="40"/>
      <c r="F80" s="40"/>
      <c r="G80" s="40"/>
      <c r="H80" s="40"/>
      <c r="I80" s="40"/>
      <c r="J80" s="40"/>
      <c r="K80" s="41"/>
    </row>
    <row r="81" spans="2:14" ht="16" x14ac:dyDescent="0.2">
      <c r="B81" s="38"/>
      <c r="C81" s="45" t="s">
        <v>57</v>
      </c>
      <c r="D81" s="40"/>
      <c r="E81" s="40"/>
      <c r="F81" s="40"/>
      <c r="G81" s="40"/>
      <c r="H81" s="40"/>
      <c r="I81" s="40"/>
      <c r="J81" s="40"/>
      <c r="K81" s="41"/>
    </row>
    <row r="82" spans="2:14" x14ac:dyDescent="0.2">
      <c r="B82" s="38"/>
      <c r="C82" s="40" t="s">
        <v>437</v>
      </c>
      <c r="D82" s="40"/>
      <c r="E82" s="40"/>
      <c r="F82" s="40"/>
      <c r="G82" s="40"/>
      <c r="H82" s="40"/>
      <c r="I82" s="40"/>
      <c r="J82" s="252">
        <f>'Baseline Health'!G29</f>
        <v>0</v>
      </c>
      <c r="K82" s="41"/>
    </row>
    <row r="83" spans="2:14" x14ac:dyDescent="0.2">
      <c r="B83" s="38"/>
      <c r="C83" s="40" t="s">
        <v>290</v>
      </c>
      <c r="D83" s="40"/>
      <c r="E83" s="40"/>
      <c r="F83" s="40"/>
      <c r="G83" s="40"/>
      <c r="H83" s="40"/>
      <c r="I83" s="40"/>
      <c r="J83" s="264"/>
      <c r="K83" s="41"/>
    </row>
    <row r="84" spans="2:14" x14ac:dyDescent="0.2">
      <c r="B84" s="38"/>
      <c r="C84" s="40" t="s">
        <v>260</v>
      </c>
      <c r="D84" s="40"/>
      <c r="E84" s="40"/>
      <c r="F84" s="40"/>
      <c r="G84" s="40"/>
      <c r="H84" s="40"/>
      <c r="I84" s="40"/>
      <c r="J84" s="248" t="str">
        <f>IF(OR(J82=0,J82="Not Calculated")=TRUE,"Not Calculated",(IF(((J83+J82)/J82)&lt;=1,0,IF(((J83+J82)/J82)&lt;=1.05,1,IF(((J83+J82)/J82)&lt;=1.5, 2,IF(((J83+J82)/J82)&lt;=2,3,4))))))</f>
        <v>Not Calculated</v>
      </c>
      <c r="K84" s="41"/>
    </row>
    <row r="85" spans="2:14" ht="9.75" customHeight="1" x14ac:dyDescent="0.2">
      <c r="B85" s="38"/>
      <c r="C85" s="279" t="str">
        <f>"0:"</f>
        <v>0:</v>
      </c>
      <c r="D85" s="281" t="s">
        <v>918</v>
      </c>
      <c r="E85" s="40"/>
      <c r="F85" s="40"/>
      <c r="G85" s="40"/>
      <c r="H85" s="40"/>
      <c r="I85" s="40"/>
      <c r="J85" s="40"/>
      <c r="K85" s="41"/>
    </row>
    <row r="86" spans="2:14" ht="9.75" customHeight="1" x14ac:dyDescent="0.2">
      <c r="B86" s="38"/>
      <c r="C86" s="280" t="str">
        <f>"1:"</f>
        <v>1:</v>
      </c>
      <c r="D86" s="281" t="s">
        <v>919</v>
      </c>
      <c r="E86" s="40"/>
      <c r="F86" s="40"/>
      <c r="G86" s="40"/>
      <c r="H86" s="40"/>
      <c r="I86" s="40"/>
      <c r="J86" s="40"/>
      <c r="K86" s="41"/>
    </row>
    <row r="87" spans="2:14" ht="9.75" customHeight="1" x14ac:dyDescent="0.2">
      <c r="B87" s="38"/>
      <c r="C87" s="280" t="str">
        <f>"2:"</f>
        <v>2:</v>
      </c>
      <c r="D87" s="281" t="s">
        <v>920</v>
      </c>
      <c r="E87" s="40"/>
      <c r="F87" s="40"/>
      <c r="G87" s="40"/>
      <c r="H87" s="40"/>
      <c r="I87" s="40"/>
      <c r="J87" s="40"/>
      <c r="K87" s="41"/>
    </row>
    <row r="88" spans="2:14" ht="9.75" customHeight="1" x14ac:dyDescent="0.2">
      <c r="B88" s="38"/>
      <c r="C88" s="280" t="str">
        <f>"3:"</f>
        <v>3:</v>
      </c>
      <c r="D88" s="281" t="s">
        <v>921</v>
      </c>
      <c r="E88" s="40"/>
      <c r="F88" s="40"/>
      <c r="G88" s="40"/>
      <c r="H88" s="40"/>
      <c r="I88" s="40"/>
      <c r="J88" s="40"/>
      <c r="K88" s="41"/>
    </row>
    <row r="89" spans="2:14" ht="9.75" customHeight="1" x14ac:dyDescent="0.2">
      <c r="B89" s="38"/>
      <c r="C89" s="280" t="str">
        <f>"4:"</f>
        <v>4:</v>
      </c>
      <c r="D89" s="281" t="s">
        <v>922</v>
      </c>
      <c r="E89" s="40"/>
      <c r="F89" s="40"/>
      <c r="G89" s="40"/>
      <c r="H89" s="40"/>
      <c r="I89" s="40"/>
      <c r="J89" s="40"/>
      <c r="K89" s="41"/>
      <c r="N89" s="12" t="s">
        <v>661</v>
      </c>
    </row>
    <row r="90" spans="2:14" x14ac:dyDescent="0.2">
      <c r="B90" s="38"/>
      <c r="C90" s="174" t="s">
        <v>662</v>
      </c>
      <c r="D90" s="40"/>
      <c r="E90" s="40"/>
      <c r="F90" s="40"/>
      <c r="G90" s="40"/>
      <c r="H90" s="40"/>
      <c r="I90" s="40"/>
      <c r="J90" s="265" t="s">
        <v>661</v>
      </c>
      <c r="K90" s="41"/>
      <c r="N90" s="12" t="s">
        <v>894</v>
      </c>
    </row>
    <row r="91" spans="2:14" x14ac:dyDescent="0.2">
      <c r="B91" s="38"/>
      <c r="C91" s="174" t="s">
        <v>660</v>
      </c>
      <c r="D91" s="40"/>
      <c r="E91" s="40"/>
      <c r="F91" s="40"/>
      <c r="G91" s="40"/>
      <c r="H91" s="40"/>
      <c r="I91" s="40"/>
      <c r="J91" s="246" t="str">
        <f>IF(J90=N89,"N/A",IF(J90=N90,0,IF(J90=N91,1,IF(J90=N92,2,IF(J90=N93,3,IF(J90=N94,4,"N/A"))))))</f>
        <v>N/A</v>
      </c>
      <c r="K91" s="41"/>
      <c r="N91" s="12" t="s">
        <v>895</v>
      </c>
    </row>
    <row r="92" spans="2:14" x14ac:dyDescent="0.2">
      <c r="B92" s="38"/>
      <c r="C92" s="40" t="s">
        <v>257</v>
      </c>
      <c r="D92" s="40"/>
      <c r="E92" s="40"/>
      <c r="F92" s="40"/>
      <c r="G92" s="40"/>
      <c r="H92" s="40"/>
      <c r="I92" s="40"/>
      <c r="J92" s="266"/>
      <c r="K92" s="41"/>
      <c r="N92" s="12" t="s">
        <v>896</v>
      </c>
    </row>
    <row r="93" spans="2:14" x14ac:dyDescent="0.2">
      <c r="B93" s="38"/>
      <c r="C93" s="40" t="s">
        <v>261</v>
      </c>
      <c r="D93" s="40"/>
      <c r="E93" s="40"/>
      <c r="F93" s="40"/>
      <c r="G93" s="40"/>
      <c r="H93" s="40"/>
      <c r="I93" s="40"/>
      <c r="J93" s="245" t="str">
        <f>IF(J92=$B$973,$A$973,IF(J92=$B$974,$A$974,IF(J92=$B$975,$A$975,IF(J92=$B$976,$A$976,IF(J92=$B$977,$A$977,"Not Calculated")))))</f>
        <v>Not Calculated</v>
      </c>
      <c r="K93" s="41"/>
      <c r="N93" s="12" t="s">
        <v>897</v>
      </c>
    </row>
    <row r="94" spans="2:14" x14ac:dyDescent="0.2">
      <c r="B94" s="38"/>
      <c r="C94" s="40" t="s">
        <v>893</v>
      </c>
      <c r="D94" s="40"/>
      <c r="E94" s="40"/>
      <c r="F94" s="40"/>
      <c r="G94" s="40"/>
      <c r="H94" s="40"/>
      <c r="I94" s="40"/>
      <c r="J94" s="175"/>
      <c r="K94" s="41"/>
      <c r="N94" s="12" t="s">
        <v>898</v>
      </c>
    </row>
    <row r="95" spans="2:14" s="178" customFormat="1" x14ac:dyDescent="0.2">
      <c r="B95" s="176"/>
      <c r="C95" s="415"/>
      <c r="D95" s="400"/>
      <c r="E95" s="400"/>
      <c r="F95" s="400"/>
      <c r="G95" s="400"/>
      <c r="H95" s="400"/>
      <c r="I95" s="400"/>
      <c r="J95" s="401"/>
      <c r="K95" s="177"/>
    </row>
    <row r="96" spans="2:14" x14ac:dyDescent="0.2">
      <c r="B96" s="38"/>
      <c r="C96" s="40"/>
      <c r="D96" s="40"/>
      <c r="E96" s="40"/>
      <c r="F96" s="40"/>
      <c r="G96" s="40"/>
      <c r="H96" s="40"/>
      <c r="I96" s="40"/>
      <c r="J96" s="40"/>
      <c r="K96" s="41"/>
    </row>
    <row r="97" spans="2:14" x14ac:dyDescent="0.2">
      <c r="B97" s="38"/>
      <c r="C97" s="179" t="s">
        <v>265</v>
      </c>
      <c r="D97" s="40"/>
      <c r="E97" s="40"/>
      <c r="F97" s="40"/>
      <c r="G97" s="40"/>
      <c r="H97" s="40"/>
      <c r="I97" s="40"/>
      <c r="J97" s="245" t="str">
        <f>IF(J91="N/A",IF(OR(J84="Not Calculated",J93="Not Calculated")=TRUE,"Not Calculated",AVERAGE(J84,J93)),AVERAGE(J91,J93))</f>
        <v>Not Calculated</v>
      </c>
      <c r="K97" s="41"/>
    </row>
    <row r="98" spans="2:14" x14ac:dyDescent="0.2">
      <c r="B98" s="38"/>
      <c r="C98" s="40"/>
      <c r="D98" s="40"/>
      <c r="E98" s="40"/>
      <c r="F98" s="40"/>
      <c r="G98" s="40"/>
      <c r="H98" s="40"/>
      <c r="I98" s="40"/>
      <c r="J98" s="40"/>
      <c r="K98" s="41"/>
    </row>
    <row r="99" spans="2:14" x14ac:dyDescent="0.2">
      <c r="B99" s="38"/>
      <c r="C99" s="40"/>
      <c r="D99" s="40"/>
      <c r="E99" s="40"/>
      <c r="F99" s="40"/>
      <c r="G99" s="40"/>
      <c r="H99" s="40"/>
      <c r="I99" s="40"/>
      <c r="J99" s="40"/>
      <c r="K99" s="41"/>
    </row>
    <row r="100" spans="2:14" ht="16" x14ac:dyDescent="0.2">
      <c r="B100" s="38"/>
      <c r="C100" s="45" t="s">
        <v>60</v>
      </c>
      <c r="D100" s="40"/>
      <c r="E100" s="40"/>
      <c r="F100" s="40"/>
      <c r="G100" s="40"/>
      <c r="H100" s="40"/>
      <c r="I100" s="40"/>
      <c r="J100" s="40"/>
      <c r="K100" s="41"/>
    </row>
    <row r="101" spans="2:14" x14ac:dyDescent="0.2">
      <c r="B101" s="38"/>
      <c r="C101" s="40" t="s">
        <v>438</v>
      </c>
      <c r="D101" s="40"/>
      <c r="E101" s="40"/>
      <c r="F101" s="40"/>
      <c r="G101" s="40"/>
      <c r="H101" s="40"/>
      <c r="I101" s="40"/>
      <c r="J101" s="252">
        <f>'Baseline Health'!G35</f>
        <v>0</v>
      </c>
      <c r="K101" s="41"/>
    </row>
    <row r="102" spans="2:14" x14ac:dyDescent="0.2">
      <c r="B102" s="38"/>
      <c r="C102" s="40" t="s">
        <v>291</v>
      </c>
      <c r="D102" s="40"/>
      <c r="E102" s="40"/>
      <c r="F102" s="40"/>
      <c r="G102" s="40"/>
      <c r="H102" s="40"/>
      <c r="I102" s="40"/>
      <c r="J102" s="264"/>
      <c r="K102" s="41"/>
    </row>
    <row r="103" spans="2:14" x14ac:dyDescent="0.2">
      <c r="B103" s="38"/>
      <c r="C103" s="40" t="s">
        <v>260</v>
      </c>
      <c r="D103" s="40"/>
      <c r="E103" s="40"/>
      <c r="F103" s="40"/>
      <c r="G103" s="40"/>
      <c r="H103" s="40"/>
      <c r="I103" s="40"/>
      <c r="J103" s="248" t="str">
        <f>IF(OR(J101=0,J101="Not Calculated")=TRUE,"Not Calculated",(IF(((J102+J101)/J101)&lt;=1,0,IF(((J102+J101)/J101)&lt;=1.05,1,IF(((J102+J101)/J101)&lt;=1.5, 2,IF(((J102+J101)/J101)&lt;=2,3,4))))))</f>
        <v>Not Calculated</v>
      </c>
      <c r="K103" s="41"/>
    </row>
    <row r="104" spans="2:14" ht="9.75" customHeight="1" x14ac:dyDescent="0.2">
      <c r="B104" s="38"/>
      <c r="C104" s="279" t="str">
        <f>"0:"</f>
        <v>0:</v>
      </c>
      <c r="D104" s="281" t="s">
        <v>918</v>
      </c>
      <c r="E104" s="40"/>
      <c r="F104" s="40"/>
      <c r="G104" s="40"/>
      <c r="H104" s="40"/>
      <c r="I104" s="40"/>
      <c r="J104" s="40"/>
      <c r="K104" s="41"/>
    </row>
    <row r="105" spans="2:14" ht="9.75" customHeight="1" x14ac:dyDescent="0.2">
      <c r="B105" s="38"/>
      <c r="C105" s="280" t="str">
        <f>"1:"</f>
        <v>1:</v>
      </c>
      <c r="D105" s="281" t="s">
        <v>919</v>
      </c>
      <c r="E105" s="40"/>
      <c r="F105" s="40"/>
      <c r="G105" s="40"/>
      <c r="H105" s="40"/>
      <c r="I105" s="40"/>
      <c r="J105" s="40"/>
      <c r="K105" s="41"/>
    </row>
    <row r="106" spans="2:14" ht="9.75" customHeight="1" x14ac:dyDescent="0.2">
      <c r="B106" s="38"/>
      <c r="C106" s="280" t="str">
        <f>"2:"</f>
        <v>2:</v>
      </c>
      <c r="D106" s="281" t="s">
        <v>920</v>
      </c>
      <c r="E106" s="40"/>
      <c r="F106" s="40"/>
      <c r="G106" s="40"/>
      <c r="H106" s="40"/>
      <c r="I106" s="40"/>
      <c r="J106" s="40"/>
      <c r="K106" s="41"/>
    </row>
    <row r="107" spans="2:14" ht="9.75" customHeight="1" x14ac:dyDescent="0.2">
      <c r="B107" s="38"/>
      <c r="C107" s="280" t="str">
        <f>"3:"</f>
        <v>3:</v>
      </c>
      <c r="D107" s="281" t="s">
        <v>921</v>
      </c>
      <c r="E107" s="40"/>
      <c r="F107" s="40"/>
      <c r="G107" s="40"/>
      <c r="H107" s="40"/>
      <c r="I107" s="40"/>
      <c r="J107" s="40"/>
      <c r="K107" s="41"/>
    </row>
    <row r="108" spans="2:14" ht="9.75" customHeight="1" x14ac:dyDescent="0.2">
      <c r="B108" s="38"/>
      <c r="C108" s="280" t="str">
        <f>"4:"</f>
        <v>4:</v>
      </c>
      <c r="D108" s="281" t="s">
        <v>922</v>
      </c>
      <c r="E108" s="40"/>
      <c r="F108" s="40"/>
      <c r="G108" s="40"/>
      <c r="H108" s="40"/>
      <c r="I108" s="40"/>
      <c r="J108" s="40"/>
      <c r="K108" s="41"/>
      <c r="N108" s="12" t="s">
        <v>661</v>
      </c>
    </row>
    <row r="109" spans="2:14" x14ac:dyDescent="0.2">
      <c r="B109" s="38"/>
      <c r="C109" s="174" t="s">
        <v>662</v>
      </c>
      <c r="D109" s="40"/>
      <c r="E109" s="40"/>
      <c r="F109" s="40"/>
      <c r="G109" s="40"/>
      <c r="H109" s="40"/>
      <c r="I109" s="40"/>
      <c r="J109" s="265" t="s">
        <v>661</v>
      </c>
      <c r="K109" s="41"/>
      <c r="N109" s="12" t="s">
        <v>894</v>
      </c>
    </row>
    <row r="110" spans="2:14" x14ac:dyDescent="0.2">
      <c r="B110" s="38"/>
      <c r="C110" s="174" t="s">
        <v>660</v>
      </c>
      <c r="D110" s="40"/>
      <c r="E110" s="40"/>
      <c r="F110" s="40"/>
      <c r="G110" s="40"/>
      <c r="H110" s="40"/>
      <c r="I110" s="40"/>
      <c r="J110" s="246" t="str">
        <f>IF(J109=N108,"N/A",IF(J109=N109,0,IF(J109=N110,1,IF(J109=N111,2,IF(J109=N112,3,IF(J109=N113,4,"N/A"))))))</f>
        <v>N/A</v>
      </c>
      <c r="K110" s="41"/>
      <c r="N110" s="12" t="s">
        <v>895</v>
      </c>
    </row>
    <row r="111" spans="2:14" x14ac:dyDescent="0.2">
      <c r="B111" s="38"/>
      <c r="C111" s="40" t="s">
        <v>257</v>
      </c>
      <c r="D111" s="40"/>
      <c r="E111" s="40"/>
      <c r="F111" s="40"/>
      <c r="G111" s="40"/>
      <c r="H111" s="40"/>
      <c r="I111" s="40"/>
      <c r="J111" s="266"/>
      <c r="K111" s="41"/>
      <c r="N111" s="12" t="s">
        <v>896</v>
      </c>
    </row>
    <row r="112" spans="2:14" x14ac:dyDescent="0.2">
      <c r="B112" s="38"/>
      <c r="C112" s="40" t="s">
        <v>261</v>
      </c>
      <c r="D112" s="40"/>
      <c r="E112" s="40"/>
      <c r="F112" s="40"/>
      <c r="G112" s="40"/>
      <c r="H112" s="40"/>
      <c r="I112" s="40"/>
      <c r="J112" s="245" t="str">
        <f>IF(J111=$B$973,$A$973,IF(J111=$B$974,$A$974,IF(J111=$B$975,$A$975,IF(J111=$B$976,$A$976,IF(J111=$B$977,$A$977,"Not Calculated")))))</f>
        <v>Not Calculated</v>
      </c>
      <c r="K112" s="41"/>
      <c r="N112" s="12" t="s">
        <v>897</v>
      </c>
    </row>
    <row r="113" spans="2:14" x14ac:dyDescent="0.2">
      <c r="B113" s="38"/>
      <c r="C113" s="40" t="s">
        <v>893</v>
      </c>
      <c r="D113" s="40"/>
      <c r="E113" s="40"/>
      <c r="F113" s="40"/>
      <c r="G113" s="40"/>
      <c r="H113" s="40"/>
      <c r="I113" s="40"/>
      <c r="J113" s="175"/>
      <c r="K113" s="41"/>
      <c r="N113" s="12" t="s">
        <v>898</v>
      </c>
    </row>
    <row r="114" spans="2:14" s="178" customFormat="1" x14ac:dyDescent="0.2">
      <c r="B114" s="176"/>
      <c r="C114" s="415"/>
      <c r="D114" s="400"/>
      <c r="E114" s="400"/>
      <c r="F114" s="400"/>
      <c r="G114" s="400"/>
      <c r="H114" s="400"/>
      <c r="I114" s="400"/>
      <c r="J114" s="401"/>
      <c r="K114" s="177"/>
    </row>
    <row r="115" spans="2:14" x14ac:dyDescent="0.2">
      <c r="B115" s="38"/>
      <c r="C115" s="40"/>
      <c r="D115" s="40"/>
      <c r="E115" s="40"/>
      <c r="F115" s="40"/>
      <c r="G115" s="40"/>
      <c r="H115" s="40"/>
      <c r="I115" s="40"/>
      <c r="J115" s="40"/>
      <c r="K115" s="41"/>
    </row>
    <row r="116" spans="2:14" x14ac:dyDescent="0.2">
      <c r="B116" s="38"/>
      <c r="C116" s="179" t="s">
        <v>266</v>
      </c>
      <c r="D116" s="40"/>
      <c r="E116" s="40"/>
      <c r="F116" s="40"/>
      <c r="G116" s="40"/>
      <c r="H116" s="40"/>
      <c r="I116" s="40"/>
      <c r="J116" s="245" t="str">
        <f>IF(J110="N/A",IF(OR(J103="Not Calculated",J112="Not Calculated")=TRUE,"Not Calculated",AVERAGE(J103,J112)),AVERAGE(J110,J112))</f>
        <v>Not Calculated</v>
      </c>
      <c r="K116" s="41"/>
    </row>
    <row r="117" spans="2:14" x14ac:dyDescent="0.2">
      <c r="B117" s="38"/>
      <c r="C117" s="40"/>
      <c r="D117" s="40"/>
      <c r="E117" s="40"/>
      <c r="F117" s="40"/>
      <c r="G117" s="40"/>
      <c r="H117" s="40"/>
      <c r="I117" s="40"/>
      <c r="J117" s="40"/>
      <c r="K117" s="41"/>
    </row>
    <row r="118" spans="2:14" x14ac:dyDescent="0.2">
      <c r="B118" s="38"/>
      <c r="C118" s="40"/>
      <c r="D118" s="40"/>
      <c r="E118" s="40"/>
      <c r="F118" s="40"/>
      <c r="G118" s="40"/>
      <c r="H118" s="40"/>
      <c r="I118" s="40"/>
      <c r="J118" s="40"/>
      <c r="K118" s="41"/>
    </row>
    <row r="119" spans="2:14" ht="16" x14ac:dyDescent="0.2">
      <c r="B119" s="38"/>
      <c r="C119" s="45" t="s">
        <v>262</v>
      </c>
      <c r="D119" s="40"/>
      <c r="E119" s="40"/>
      <c r="F119" s="40"/>
      <c r="G119" s="40"/>
      <c r="H119" s="40"/>
      <c r="I119" s="40"/>
      <c r="J119" s="40"/>
      <c r="K119" s="41"/>
    </row>
    <row r="120" spans="2:14" ht="15" customHeight="1" x14ac:dyDescent="0.2">
      <c r="B120" s="38"/>
      <c r="C120" s="422" t="s">
        <v>268</v>
      </c>
      <c r="D120" s="422"/>
      <c r="E120" s="422"/>
      <c r="F120" s="422"/>
      <c r="G120" s="422"/>
      <c r="H120" s="422"/>
      <c r="I120" s="422"/>
      <c r="J120" s="422"/>
      <c r="K120" s="41"/>
    </row>
    <row r="121" spans="2:14" x14ac:dyDescent="0.2">
      <c r="B121" s="38"/>
      <c r="C121" s="422"/>
      <c r="D121" s="422"/>
      <c r="E121" s="422"/>
      <c r="F121" s="422"/>
      <c r="G121" s="422"/>
      <c r="H121" s="422"/>
      <c r="I121" s="422"/>
      <c r="J121" s="422"/>
      <c r="K121" s="41"/>
    </row>
    <row r="122" spans="2:14" x14ac:dyDescent="0.2">
      <c r="B122" s="38"/>
      <c r="C122" s="423"/>
      <c r="D122" s="423"/>
      <c r="E122" s="423"/>
      <c r="F122" s="423"/>
      <c r="G122" s="423"/>
      <c r="H122" s="423"/>
      <c r="I122" s="423"/>
      <c r="J122" s="423"/>
      <c r="K122" s="41"/>
    </row>
    <row r="123" spans="2:14" ht="15" customHeight="1" x14ac:dyDescent="0.2">
      <c r="B123" s="38"/>
      <c r="C123" s="416"/>
      <c r="D123" s="417"/>
      <c r="E123" s="417"/>
      <c r="F123" s="417"/>
      <c r="G123" s="417"/>
      <c r="H123" s="417"/>
      <c r="I123" s="417"/>
      <c r="J123" s="418"/>
      <c r="K123" s="41"/>
    </row>
    <row r="124" spans="2:14" x14ac:dyDescent="0.2">
      <c r="B124" s="38"/>
      <c r="C124" s="419"/>
      <c r="D124" s="420"/>
      <c r="E124" s="420"/>
      <c r="F124" s="420"/>
      <c r="G124" s="420"/>
      <c r="H124" s="420"/>
      <c r="I124" s="420"/>
      <c r="J124" s="421"/>
      <c r="K124" s="41"/>
    </row>
    <row r="125" spans="2:14" ht="15" customHeight="1" x14ac:dyDescent="0.2">
      <c r="B125" s="38"/>
      <c r="C125" s="40" t="s">
        <v>260</v>
      </c>
      <c r="D125" s="40"/>
      <c r="E125" s="40"/>
      <c r="F125" s="40"/>
      <c r="G125" s="40"/>
      <c r="H125" s="40"/>
      <c r="I125" s="40"/>
      <c r="J125" s="247" t="str">
        <f>IF(C123=B987,A987,IF(C123=B988,A988,IF(C123=B989,A989,IF(C123=B990,A990,IF(C123=B991,A991,"Not Calculated")))))</f>
        <v>Not Calculated</v>
      </c>
      <c r="K125" s="41"/>
    </row>
    <row r="126" spans="2:14" ht="15" customHeight="1" x14ac:dyDescent="0.2">
      <c r="B126" s="38"/>
      <c r="C126" s="40" t="s">
        <v>257</v>
      </c>
      <c r="D126" s="40"/>
      <c r="E126" s="40"/>
      <c r="F126" s="40"/>
      <c r="G126" s="40"/>
      <c r="H126" s="40"/>
      <c r="I126" s="40"/>
      <c r="J126" s="266"/>
      <c r="K126" s="41"/>
    </row>
    <row r="127" spans="2:14" x14ac:dyDescent="0.2">
      <c r="B127" s="38"/>
      <c r="C127" s="40" t="s">
        <v>261</v>
      </c>
      <c r="D127" s="40"/>
      <c r="E127" s="40"/>
      <c r="F127" s="40"/>
      <c r="G127" s="40"/>
      <c r="H127" s="40"/>
      <c r="I127" s="40"/>
      <c r="J127" s="245" t="str">
        <f>IF(J126=$B$973,$A$973,IF(J126=$B$974,$A$974,IF(J126=$B$975,$A$975,IF(J126=$B$976,$A$976,IF(J126=$B$977,$A$977,"Not Calculated")))))</f>
        <v>Not Calculated</v>
      </c>
      <c r="K127" s="41"/>
    </row>
    <row r="128" spans="2:14" ht="15" customHeight="1" x14ac:dyDescent="0.2">
      <c r="B128" s="38"/>
      <c r="C128" s="40" t="s">
        <v>893</v>
      </c>
      <c r="D128" s="40"/>
      <c r="E128" s="40"/>
      <c r="F128" s="40"/>
      <c r="G128" s="40"/>
      <c r="H128" s="40"/>
      <c r="I128" s="40"/>
      <c r="J128" s="175"/>
      <c r="K128" s="41"/>
    </row>
    <row r="129" spans="2:11" s="178" customFormat="1" ht="15" customHeight="1" x14ac:dyDescent="0.2">
      <c r="B129" s="176"/>
      <c r="C129" s="415"/>
      <c r="D129" s="400"/>
      <c r="E129" s="400"/>
      <c r="F129" s="400"/>
      <c r="G129" s="400"/>
      <c r="H129" s="400"/>
      <c r="I129" s="400"/>
      <c r="J129" s="401"/>
      <c r="K129" s="177"/>
    </row>
    <row r="130" spans="2:11" x14ac:dyDescent="0.2">
      <c r="B130" s="38"/>
      <c r="C130" s="40"/>
      <c r="D130" s="40"/>
      <c r="E130" s="40"/>
      <c r="F130" s="40"/>
      <c r="G130" s="40"/>
      <c r="H130" s="40"/>
      <c r="I130" s="40"/>
      <c r="J130" s="40"/>
      <c r="K130" s="41"/>
    </row>
    <row r="131" spans="2:11" x14ac:dyDescent="0.2">
      <c r="B131" s="38"/>
      <c r="C131" s="179" t="s">
        <v>267</v>
      </c>
      <c r="D131" s="40"/>
      <c r="E131" s="40"/>
      <c r="F131" s="40"/>
      <c r="G131" s="40"/>
      <c r="H131" s="40"/>
      <c r="I131" s="40"/>
      <c r="J131" s="245" t="str">
        <f>IF(OR(J125="Not Calculated",J127="Not Calculated")=TRUE,"Not Calculated",AVERAGE(J125,J127))</f>
        <v>Not Calculated</v>
      </c>
      <c r="K131" s="41"/>
    </row>
    <row r="132" spans="2:11" x14ac:dyDescent="0.2">
      <c r="B132" s="38"/>
      <c r="C132" s="179"/>
      <c r="D132" s="40"/>
      <c r="E132" s="40"/>
      <c r="F132" s="40"/>
      <c r="G132" s="40"/>
      <c r="H132" s="40"/>
      <c r="I132" s="40"/>
      <c r="J132" s="245"/>
      <c r="K132" s="41"/>
    </row>
    <row r="133" spans="2:11" ht="18" x14ac:dyDescent="0.2">
      <c r="B133" s="38"/>
      <c r="C133" s="180" t="s">
        <v>269</v>
      </c>
      <c r="D133" s="40"/>
      <c r="E133" s="40"/>
      <c r="F133" s="40"/>
      <c r="G133" s="40"/>
      <c r="H133" s="40"/>
      <c r="I133" s="40"/>
      <c r="J133" s="244" t="str">
        <f>IF(OR(J40="Not Calculated",J59="Not Calculated",J78="Not Calculated",J97="Not Calculated",J116="Not Calculated",J131="Not Calculated",)=TRUE,"Not Calculated",AVERAGE(J40,J59,J78,J97,J116,J131))</f>
        <v>Not Calculated</v>
      </c>
      <c r="K133" s="41"/>
    </row>
    <row r="134" spans="2:11" ht="16" thickBot="1" x14ac:dyDescent="0.25">
      <c r="B134" s="46"/>
      <c r="C134" s="47"/>
      <c r="D134" s="47"/>
      <c r="E134" s="47"/>
      <c r="F134" s="47"/>
      <c r="G134" s="47"/>
      <c r="H134" s="47"/>
      <c r="I134" s="47"/>
      <c r="J134" s="47"/>
      <c r="K134" s="49"/>
    </row>
    <row r="135" spans="2:11" ht="16" thickBot="1" x14ac:dyDescent="0.25"/>
    <row r="136" spans="2:11" x14ac:dyDescent="0.2">
      <c r="B136" s="33"/>
      <c r="C136" s="34"/>
      <c r="D136" s="34"/>
      <c r="E136" s="34"/>
      <c r="F136" s="34"/>
      <c r="G136" s="34"/>
      <c r="H136" s="34"/>
      <c r="I136" s="34"/>
      <c r="J136" s="34"/>
      <c r="K136" s="37"/>
    </row>
    <row r="137" spans="2:11" ht="21" x14ac:dyDescent="0.25">
      <c r="B137" s="38"/>
      <c r="C137" s="171"/>
      <c r="D137" s="40"/>
      <c r="E137" s="40"/>
      <c r="F137" s="40"/>
      <c r="G137" s="172" t="s">
        <v>27</v>
      </c>
      <c r="H137" s="40"/>
      <c r="I137" s="40"/>
      <c r="J137" s="40"/>
      <c r="K137" s="41"/>
    </row>
    <row r="138" spans="2:11" x14ac:dyDescent="0.2">
      <c r="B138" s="38"/>
      <c r="C138" s="40"/>
      <c r="D138" s="40"/>
      <c r="E138" s="40"/>
      <c r="F138" s="40"/>
      <c r="G138" s="40"/>
      <c r="H138" s="40"/>
      <c r="I138" s="40"/>
      <c r="J138" s="40"/>
      <c r="K138" s="41"/>
    </row>
    <row r="139" spans="2:11" ht="16" x14ac:dyDescent="0.2">
      <c r="B139" s="38"/>
      <c r="C139" s="45" t="s">
        <v>72</v>
      </c>
      <c r="D139" s="40"/>
      <c r="E139" s="40"/>
      <c r="F139" s="40"/>
      <c r="G139" s="40"/>
      <c r="H139" s="40"/>
      <c r="I139" s="40"/>
      <c r="J139" s="40"/>
      <c r="K139" s="41"/>
    </row>
    <row r="140" spans="2:11" x14ac:dyDescent="0.2">
      <c r="B140" s="38"/>
      <c r="C140" s="40" t="s">
        <v>440</v>
      </c>
      <c r="D140" s="40"/>
      <c r="E140" s="40"/>
      <c r="F140" s="40"/>
      <c r="G140" s="40"/>
      <c r="H140" s="40"/>
      <c r="I140" s="40"/>
      <c r="J140" s="252">
        <f>'Baseline Health'!G45</f>
        <v>0</v>
      </c>
      <c r="K140" s="41"/>
    </row>
    <row r="141" spans="2:11" x14ac:dyDescent="0.2">
      <c r="B141" s="38"/>
      <c r="C141" s="40" t="s">
        <v>270</v>
      </c>
      <c r="D141" s="40"/>
      <c r="E141" s="40"/>
      <c r="F141" s="40"/>
      <c r="G141" s="40"/>
      <c r="H141" s="40"/>
      <c r="I141" s="40"/>
      <c r="J141" s="264"/>
      <c r="K141" s="41"/>
    </row>
    <row r="142" spans="2:11" x14ac:dyDescent="0.2">
      <c r="B142" s="38"/>
      <c r="C142" s="40" t="s">
        <v>439</v>
      </c>
      <c r="D142" s="40"/>
      <c r="E142" s="40"/>
      <c r="F142" s="40"/>
      <c r="G142" s="40"/>
      <c r="H142" s="40"/>
      <c r="I142" s="40"/>
      <c r="J142" s="251">
        <f>J83/20</f>
        <v>0</v>
      </c>
      <c r="K142" s="41"/>
    </row>
    <row r="143" spans="2:11" x14ac:dyDescent="0.2">
      <c r="B143" s="38"/>
      <c r="C143" s="40"/>
      <c r="D143" s="40" t="s">
        <v>351</v>
      </c>
      <c r="E143" s="40"/>
      <c r="F143" s="40"/>
      <c r="G143" s="40"/>
      <c r="H143" s="40"/>
      <c r="I143" s="40"/>
      <c r="J143" s="40"/>
      <c r="K143" s="41"/>
    </row>
    <row r="144" spans="2:11" x14ac:dyDescent="0.2">
      <c r="B144" s="38"/>
      <c r="C144" s="40" t="s">
        <v>260</v>
      </c>
      <c r="D144" s="40"/>
      <c r="E144" s="40"/>
      <c r="F144" s="40"/>
      <c r="G144" s="40"/>
      <c r="H144" s="40"/>
      <c r="I144" s="40"/>
      <c r="J144" s="245" t="str">
        <f>IF(OR(J140=0,J140="Not Calculated")=TRUE,"Not Calculated",IF((J140-J141)&lt;=0,4,IF(((J140+J142)/(J140-J141))&lt;=1,0,IF(((J140+J142)/(J140-J141))&lt;=1.05,1,IF(((J140+J142)/(J140-J141))&lt;=1.5, 2,IF(((J140+J142)/(J140-J141))&lt;=2,3,4))))))</f>
        <v>Not Calculated</v>
      </c>
      <c r="K144" s="41"/>
    </row>
    <row r="145" spans="2:14" ht="9.75" customHeight="1" x14ac:dyDescent="0.2">
      <c r="B145" s="38"/>
      <c r="C145" s="279" t="str">
        <f>"0:"</f>
        <v>0:</v>
      </c>
      <c r="D145" s="278" t="s">
        <v>918</v>
      </c>
      <c r="E145" s="40"/>
      <c r="F145" s="40"/>
      <c r="G145" s="40"/>
      <c r="H145" s="40"/>
      <c r="I145" s="40"/>
      <c r="J145" s="40"/>
      <c r="K145" s="41"/>
    </row>
    <row r="146" spans="2:14" ht="9.75" customHeight="1" x14ac:dyDescent="0.2">
      <c r="B146" s="38"/>
      <c r="C146" s="280" t="str">
        <f>"1:"</f>
        <v>1:</v>
      </c>
      <c r="D146" s="278" t="s">
        <v>923</v>
      </c>
      <c r="E146" s="40"/>
      <c r="F146" s="40"/>
      <c r="G146" s="40"/>
      <c r="H146" s="40"/>
      <c r="I146" s="40"/>
      <c r="J146" s="40"/>
      <c r="K146" s="41"/>
    </row>
    <row r="147" spans="2:14" ht="9.75" customHeight="1" x14ac:dyDescent="0.2">
      <c r="B147" s="38"/>
      <c r="C147" s="280" t="str">
        <f>"2:"</f>
        <v>2:</v>
      </c>
      <c r="D147" s="278" t="s">
        <v>924</v>
      </c>
      <c r="E147" s="40"/>
      <c r="F147" s="40"/>
      <c r="G147" s="40"/>
      <c r="H147" s="40"/>
      <c r="I147" s="40"/>
      <c r="J147" s="40"/>
      <c r="K147" s="41"/>
    </row>
    <row r="148" spans="2:14" ht="9.75" customHeight="1" x14ac:dyDescent="0.2">
      <c r="B148" s="38"/>
      <c r="C148" s="280" t="str">
        <f>"3:"</f>
        <v>3:</v>
      </c>
      <c r="D148" s="278" t="s">
        <v>925</v>
      </c>
      <c r="E148" s="40"/>
      <c r="F148" s="40"/>
      <c r="G148" s="40"/>
      <c r="H148" s="40"/>
      <c r="I148" s="40"/>
      <c r="J148" s="40"/>
      <c r="K148" s="41"/>
    </row>
    <row r="149" spans="2:14" ht="9.75" customHeight="1" x14ac:dyDescent="0.2">
      <c r="B149" s="38"/>
      <c r="C149" s="280" t="str">
        <f>"4:"</f>
        <v>4:</v>
      </c>
      <c r="D149" s="278" t="s">
        <v>926</v>
      </c>
      <c r="E149" s="40"/>
      <c r="F149" s="40"/>
      <c r="G149" s="40"/>
      <c r="H149" s="40"/>
      <c r="I149" s="40"/>
      <c r="J149" s="40"/>
      <c r="K149" s="41"/>
      <c r="N149" s="12" t="s">
        <v>661</v>
      </c>
    </row>
    <row r="150" spans="2:14" x14ac:dyDescent="0.2">
      <c r="B150" s="38"/>
      <c r="C150" s="174" t="s">
        <v>662</v>
      </c>
      <c r="D150" s="40"/>
      <c r="E150" s="40"/>
      <c r="F150" s="40"/>
      <c r="G150" s="40"/>
      <c r="H150" s="40"/>
      <c r="I150" s="40"/>
      <c r="J150" s="265" t="s">
        <v>661</v>
      </c>
      <c r="K150" s="41"/>
      <c r="N150" s="12" t="s">
        <v>894</v>
      </c>
    </row>
    <row r="151" spans="2:14" x14ac:dyDescent="0.2">
      <c r="B151" s="38"/>
      <c r="C151" s="174" t="s">
        <v>660</v>
      </c>
      <c r="D151" s="40"/>
      <c r="E151" s="40"/>
      <c r="F151" s="40"/>
      <c r="G151" s="40"/>
      <c r="H151" s="40"/>
      <c r="I151" s="40"/>
      <c r="J151" s="246" t="str">
        <f>IF(J150=N149,"N/A",IF(J150=N150,0,IF(J150=N151,1,IF(J150=N152,2,IF(J150=N153,3,IF(J150=N154,4,"N/A"))))))</f>
        <v>N/A</v>
      </c>
      <c r="K151" s="41"/>
      <c r="N151" s="12" t="s">
        <v>899</v>
      </c>
    </row>
    <row r="152" spans="2:14" x14ac:dyDescent="0.2">
      <c r="B152" s="38"/>
      <c r="C152" s="40" t="s">
        <v>257</v>
      </c>
      <c r="D152" s="40"/>
      <c r="E152" s="40"/>
      <c r="F152" s="40"/>
      <c r="G152" s="40"/>
      <c r="H152" s="40"/>
      <c r="I152" s="40"/>
      <c r="J152" s="266"/>
      <c r="K152" s="41"/>
      <c r="N152" s="12" t="s">
        <v>900</v>
      </c>
    </row>
    <row r="153" spans="2:14" x14ac:dyDescent="0.2">
      <c r="B153" s="38"/>
      <c r="C153" s="40" t="s">
        <v>261</v>
      </c>
      <c r="D153" s="40"/>
      <c r="E153" s="40"/>
      <c r="F153" s="40"/>
      <c r="G153" s="40"/>
      <c r="H153" s="40"/>
      <c r="I153" s="40"/>
      <c r="J153" s="245" t="str">
        <f>IF(J152=$B$973,$A$973,IF(J152=$B$974,$A$974,IF(J152=$B$975,$A$975,IF(J152=$B$976,$A$976,IF(J152=$B$977,$A$977,"Not Calculated")))))</f>
        <v>Not Calculated</v>
      </c>
      <c r="K153" s="41"/>
      <c r="N153" s="12" t="s">
        <v>901</v>
      </c>
    </row>
    <row r="154" spans="2:14" x14ac:dyDescent="0.2">
      <c r="B154" s="38"/>
      <c r="C154" s="40" t="s">
        <v>893</v>
      </c>
      <c r="D154" s="40"/>
      <c r="E154" s="40"/>
      <c r="F154" s="40"/>
      <c r="G154" s="40"/>
      <c r="H154" s="40"/>
      <c r="I154" s="40"/>
      <c r="J154" s="40"/>
      <c r="K154" s="41"/>
      <c r="N154" s="12" t="s">
        <v>902</v>
      </c>
    </row>
    <row r="155" spans="2:14" ht="15" customHeight="1" x14ac:dyDescent="0.2">
      <c r="B155" s="38"/>
      <c r="C155" s="399"/>
      <c r="D155" s="400"/>
      <c r="E155" s="400"/>
      <c r="F155" s="400"/>
      <c r="G155" s="400"/>
      <c r="H155" s="400"/>
      <c r="I155" s="400"/>
      <c r="J155" s="401"/>
      <c r="K155" s="41"/>
    </row>
    <row r="156" spans="2:14" x14ac:dyDescent="0.2">
      <c r="B156" s="38"/>
      <c r="C156" s="40"/>
      <c r="D156" s="40"/>
      <c r="E156" s="40"/>
      <c r="F156" s="40"/>
      <c r="G156" s="40"/>
      <c r="H156" s="40"/>
      <c r="I156" s="40"/>
      <c r="J156" s="40"/>
      <c r="K156" s="41"/>
    </row>
    <row r="157" spans="2:14" x14ac:dyDescent="0.2">
      <c r="B157" s="38"/>
      <c r="C157" s="179" t="s">
        <v>271</v>
      </c>
      <c r="D157" s="40"/>
      <c r="E157" s="40"/>
      <c r="F157" s="40"/>
      <c r="G157" s="40"/>
      <c r="H157" s="40"/>
      <c r="I157" s="40"/>
      <c r="J157" s="245" t="str">
        <f>IF(J151="N/A",IF(OR(J144="Not Calculated",J153="Not Calculated")=TRUE,"Not Calculated",AVERAGE(J144,J153)),AVERAGE(J151,J153))</f>
        <v>Not Calculated</v>
      </c>
      <c r="K157" s="41"/>
    </row>
    <row r="158" spans="2:14" x14ac:dyDescent="0.2">
      <c r="B158" s="38"/>
      <c r="C158" s="40"/>
      <c r="D158" s="40"/>
      <c r="E158" s="40"/>
      <c r="F158" s="40"/>
      <c r="G158" s="40"/>
      <c r="H158" s="40"/>
      <c r="I158" s="40"/>
      <c r="J158" s="40"/>
      <c r="K158" s="41"/>
    </row>
    <row r="159" spans="2:14" x14ac:dyDescent="0.2">
      <c r="B159" s="38"/>
      <c r="C159" s="40"/>
      <c r="D159" s="40"/>
      <c r="E159" s="40"/>
      <c r="F159" s="40"/>
      <c r="G159" s="40"/>
      <c r="H159" s="40"/>
      <c r="I159" s="40"/>
      <c r="J159" s="40"/>
      <c r="K159" s="41"/>
    </row>
    <row r="160" spans="2:14" ht="16" x14ac:dyDescent="0.2">
      <c r="B160" s="38"/>
      <c r="C160" s="45" t="s">
        <v>273</v>
      </c>
      <c r="D160" s="40"/>
      <c r="E160" s="40"/>
      <c r="F160" s="40"/>
      <c r="G160" s="40"/>
      <c r="H160" s="40"/>
      <c r="I160" s="40"/>
      <c r="J160" s="40"/>
      <c r="K160" s="41"/>
    </row>
    <row r="161" spans="2:14" x14ac:dyDescent="0.2">
      <c r="B161" s="38"/>
      <c r="C161" s="40" t="s">
        <v>441</v>
      </c>
      <c r="D161" s="40"/>
      <c r="E161" s="40"/>
      <c r="F161" s="40"/>
      <c r="G161" s="40"/>
      <c r="H161" s="40"/>
      <c r="I161" s="40"/>
      <c r="J161" s="252">
        <f>'Baseline Health'!G51</f>
        <v>0</v>
      </c>
      <c r="K161" s="41"/>
    </row>
    <row r="162" spans="2:14" x14ac:dyDescent="0.2">
      <c r="B162" s="38"/>
      <c r="C162" s="40" t="s">
        <v>280</v>
      </c>
      <c r="D162" s="40"/>
      <c r="E162" s="40"/>
      <c r="F162" s="40"/>
      <c r="G162" s="40"/>
      <c r="H162" s="40"/>
      <c r="I162" s="40"/>
      <c r="J162" s="264"/>
      <c r="K162" s="41"/>
    </row>
    <row r="163" spans="2:14" x14ac:dyDescent="0.2">
      <c r="B163" s="38"/>
      <c r="C163" s="40" t="s">
        <v>442</v>
      </c>
      <c r="D163" s="40"/>
      <c r="E163" s="40"/>
      <c r="F163" s="40"/>
      <c r="G163" s="40"/>
      <c r="H163" s="40"/>
      <c r="I163" s="40"/>
      <c r="J163" s="251">
        <f>(J64)/4.5</f>
        <v>0</v>
      </c>
      <c r="K163" s="41"/>
    </row>
    <row r="164" spans="2:14" x14ac:dyDescent="0.2">
      <c r="B164" s="38"/>
      <c r="C164" s="40"/>
      <c r="D164" s="40" t="s">
        <v>353</v>
      </c>
      <c r="E164" s="40"/>
      <c r="F164" s="40"/>
      <c r="G164" s="40"/>
      <c r="H164" s="40"/>
      <c r="I164" s="40"/>
      <c r="J164" s="40"/>
      <c r="K164" s="41"/>
    </row>
    <row r="165" spans="2:14" x14ac:dyDescent="0.2">
      <c r="B165" s="38"/>
      <c r="C165" s="40" t="s">
        <v>260</v>
      </c>
      <c r="D165" s="40"/>
      <c r="E165" s="40"/>
      <c r="F165" s="40"/>
      <c r="G165" s="40"/>
      <c r="H165" s="40"/>
      <c r="I165" s="40"/>
      <c r="J165" s="245" t="str">
        <f>IF(OR(J161=0,J161="Not Calculated")=TRUE,"Not Calculated",IF((J161-J162)&lt;=0,4,IF(((J161+J163)/(J161-J162))&lt;=1,0,IF(((J161+J163)/(J161-J162))&lt;=1.05,1,IF(((J161+J163)/(J161-J162))&lt;=1.5, 2,IF(((J161+J163)/(J161-J162))&lt;=2,3,4))))))</f>
        <v>Not Calculated</v>
      </c>
      <c r="K165" s="41"/>
    </row>
    <row r="166" spans="2:14" ht="9.75" customHeight="1" x14ac:dyDescent="0.2">
      <c r="B166" s="38"/>
      <c r="C166" s="279" t="str">
        <f>"0:"</f>
        <v>0:</v>
      </c>
      <c r="D166" s="278" t="s">
        <v>918</v>
      </c>
      <c r="E166" s="40"/>
      <c r="F166" s="40"/>
      <c r="G166" s="40"/>
      <c r="H166" s="40"/>
      <c r="I166" s="40"/>
      <c r="J166" s="40"/>
      <c r="K166" s="41"/>
    </row>
    <row r="167" spans="2:14" ht="9.75" customHeight="1" x14ac:dyDescent="0.2">
      <c r="B167" s="38"/>
      <c r="C167" s="280" t="str">
        <f>"1:"</f>
        <v>1:</v>
      </c>
      <c r="D167" s="278" t="s">
        <v>923</v>
      </c>
      <c r="E167" s="40"/>
      <c r="F167" s="40"/>
      <c r="G167" s="40"/>
      <c r="H167" s="40"/>
      <c r="I167" s="40"/>
      <c r="J167" s="40"/>
      <c r="K167" s="41"/>
    </row>
    <row r="168" spans="2:14" ht="9.75" customHeight="1" x14ac:dyDescent="0.2">
      <c r="B168" s="38"/>
      <c r="C168" s="280" t="str">
        <f>"2:"</f>
        <v>2:</v>
      </c>
      <c r="D168" s="278" t="s">
        <v>924</v>
      </c>
      <c r="E168" s="40"/>
      <c r="F168" s="40"/>
      <c r="G168" s="40"/>
      <c r="H168" s="40"/>
      <c r="I168" s="40"/>
      <c r="J168" s="40"/>
      <c r="K168" s="41"/>
    </row>
    <row r="169" spans="2:14" ht="9.75" customHeight="1" x14ac:dyDescent="0.2">
      <c r="B169" s="38"/>
      <c r="C169" s="280" t="str">
        <f>"3:"</f>
        <v>3:</v>
      </c>
      <c r="D169" s="278" t="s">
        <v>925</v>
      </c>
      <c r="E169" s="40"/>
      <c r="F169" s="40"/>
      <c r="G169" s="40"/>
      <c r="H169" s="40"/>
      <c r="I169" s="40"/>
      <c r="J169" s="40"/>
      <c r="K169" s="41"/>
    </row>
    <row r="170" spans="2:14" ht="9.75" customHeight="1" x14ac:dyDescent="0.2">
      <c r="B170" s="38"/>
      <c r="C170" s="280" t="str">
        <f>"4:"</f>
        <v>4:</v>
      </c>
      <c r="D170" s="278" t="s">
        <v>926</v>
      </c>
      <c r="E170" s="40"/>
      <c r="F170" s="40"/>
      <c r="G170" s="40"/>
      <c r="H170" s="40"/>
      <c r="I170" s="40"/>
      <c r="J170" s="40"/>
      <c r="K170" s="41"/>
      <c r="N170" s="12" t="s">
        <v>661</v>
      </c>
    </row>
    <row r="171" spans="2:14" x14ac:dyDescent="0.2">
      <c r="B171" s="38"/>
      <c r="C171" s="174" t="s">
        <v>662</v>
      </c>
      <c r="D171" s="40"/>
      <c r="E171" s="40"/>
      <c r="F171" s="40"/>
      <c r="G171" s="40"/>
      <c r="H171" s="40"/>
      <c r="I171" s="40"/>
      <c r="J171" s="265" t="s">
        <v>661</v>
      </c>
      <c r="K171" s="41"/>
      <c r="N171" s="12" t="s">
        <v>894</v>
      </c>
    </row>
    <row r="172" spans="2:14" x14ac:dyDescent="0.2">
      <c r="B172" s="38"/>
      <c r="C172" s="174" t="s">
        <v>660</v>
      </c>
      <c r="D172" s="40"/>
      <c r="E172" s="40"/>
      <c r="F172" s="40"/>
      <c r="G172" s="40"/>
      <c r="H172" s="40"/>
      <c r="I172" s="40"/>
      <c r="J172" s="246" t="str">
        <f>IF(J171=N170,"N/A",IF(J171=N171,0,IF(J171=N172,1,IF(J171=N173,2,IF(J171=N174,3,IF(J171=N175,4,"N/A"))))))</f>
        <v>N/A</v>
      </c>
      <c r="K172" s="41"/>
      <c r="N172" s="12" t="s">
        <v>899</v>
      </c>
    </row>
    <row r="173" spans="2:14" x14ac:dyDescent="0.2">
      <c r="B173" s="38"/>
      <c r="C173" s="40" t="s">
        <v>257</v>
      </c>
      <c r="D173" s="40"/>
      <c r="E173" s="40"/>
      <c r="F173" s="40"/>
      <c r="G173" s="40"/>
      <c r="H173" s="40"/>
      <c r="I173" s="40"/>
      <c r="J173" s="266"/>
      <c r="K173" s="41"/>
      <c r="N173" s="12" t="s">
        <v>900</v>
      </c>
    </row>
    <row r="174" spans="2:14" x14ac:dyDescent="0.2">
      <c r="B174" s="38"/>
      <c r="C174" s="40" t="s">
        <v>261</v>
      </c>
      <c r="D174" s="40"/>
      <c r="E174" s="40"/>
      <c r="F174" s="40"/>
      <c r="G174" s="40"/>
      <c r="H174" s="40"/>
      <c r="I174" s="40"/>
      <c r="J174" s="245" t="str">
        <f>IF(J173=$B$973,$A$973,IF(J173=$B$974,$A$974,IF(J173=$B$975,$A$975,IF(J173=$B$976,$A$976,IF(J173=$B$977,$A$977,"Not Calculated")))))</f>
        <v>Not Calculated</v>
      </c>
      <c r="K174" s="41"/>
      <c r="N174" s="12" t="s">
        <v>901</v>
      </c>
    </row>
    <row r="175" spans="2:14" x14ac:dyDescent="0.2">
      <c r="B175" s="38"/>
      <c r="C175" s="40" t="s">
        <v>893</v>
      </c>
      <c r="D175" s="40"/>
      <c r="E175" s="40"/>
      <c r="F175" s="40"/>
      <c r="G175" s="40"/>
      <c r="H175" s="40"/>
      <c r="I175" s="40"/>
      <c r="J175" s="40"/>
      <c r="K175" s="41"/>
      <c r="N175" s="12" t="s">
        <v>902</v>
      </c>
    </row>
    <row r="176" spans="2:14" ht="15" customHeight="1" x14ac:dyDescent="0.2">
      <c r="B176" s="38"/>
      <c r="C176" s="399"/>
      <c r="D176" s="400"/>
      <c r="E176" s="400"/>
      <c r="F176" s="400"/>
      <c r="G176" s="400"/>
      <c r="H176" s="400"/>
      <c r="I176" s="400"/>
      <c r="J176" s="401"/>
      <c r="K176" s="41"/>
    </row>
    <row r="177" spans="2:14" x14ac:dyDescent="0.2">
      <c r="B177" s="38"/>
      <c r="C177" s="40"/>
      <c r="D177" s="40"/>
      <c r="E177" s="40"/>
      <c r="F177" s="40"/>
      <c r="G177" s="40"/>
      <c r="H177" s="40"/>
      <c r="I177" s="40"/>
      <c r="J177" s="40"/>
      <c r="K177" s="41"/>
    </row>
    <row r="178" spans="2:14" x14ac:dyDescent="0.2">
      <c r="B178" s="38"/>
      <c r="C178" s="179" t="s">
        <v>274</v>
      </c>
      <c r="D178" s="40"/>
      <c r="E178" s="40"/>
      <c r="F178" s="40"/>
      <c r="G178" s="40"/>
      <c r="H178" s="40"/>
      <c r="I178" s="40"/>
      <c r="J178" s="245" t="str">
        <f>IF(J172="N/A",IF(OR(J165="Not Calculated",J174="Not Calculated")=TRUE,"Not Calculated",AVERAGE(J165,J174)),AVERAGE(J172,J174))</f>
        <v>Not Calculated</v>
      </c>
      <c r="K178" s="41"/>
    </row>
    <row r="179" spans="2:14" x14ac:dyDescent="0.2">
      <c r="B179" s="38"/>
      <c r="C179" s="40"/>
      <c r="D179" s="40"/>
      <c r="E179" s="40"/>
      <c r="F179" s="40"/>
      <c r="G179" s="40"/>
      <c r="H179" s="40"/>
      <c r="I179" s="40"/>
      <c r="J179" s="40"/>
      <c r="K179" s="41"/>
    </row>
    <row r="180" spans="2:14" x14ac:dyDescent="0.2">
      <c r="B180" s="38"/>
      <c r="C180" s="40"/>
      <c r="D180" s="40"/>
      <c r="E180" s="40"/>
      <c r="F180" s="40"/>
      <c r="G180" s="40"/>
      <c r="H180" s="40"/>
      <c r="I180" s="40"/>
      <c r="J180" s="40"/>
      <c r="K180" s="41"/>
    </row>
    <row r="181" spans="2:14" ht="16" x14ac:dyDescent="0.2">
      <c r="B181" s="38"/>
      <c r="C181" s="45" t="s">
        <v>74</v>
      </c>
      <c r="D181" s="40"/>
      <c r="E181" s="40"/>
      <c r="F181" s="40"/>
      <c r="G181" s="40"/>
      <c r="H181" s="40"/>
      <c r="I181" s="40"/>
      <c r="J181" s="40"/>
      <c r="K181" s="41"/>
    </row>
    <row r="182" spans="2:14" x14ac:dyDescent="0.2">
      <c r="B182" s="38"/>
      <c r="C182" s="40" t="s">
        <v>443</v>
      </c>
      <c r="D182" s="40"/>
      <c r="E182" s="40"/>
      <c r="F182" s="40"/>
      <c r="G182" s="40"/>
      <c r="H182" s="40"/>
      <c r="I182" s="40"/>
      <c r="J182" s="252">
        <f>'Baseline Health'!G59</f>
        <v>0</v>
      </c>
      <c r="K182" s="41"/>
    </row>
    <row r="183" spans="2:14" x14ac:dyDescent="0.2">
      <c r="B183" s="38"/>
      <c r="C183" s="40" t="s">
        <v>281</v>
      </c>
      <c r="D183" s="40"/>
      <c r="E183" s="40"/>
      <c r="F183" s="40"/>
      <c r="G183" s="40"/>
      <c r="H183" s="40"/>
      <c r="I183" s="40"/>
      <c r="J183" s="264"/>
      <c r="K183" s="41"/>
    </row>
    <row r="184" spans="2:14" x14ac:dyDescent="0.2">
      <c r="B184" s="38"/>
      <c r="C184" s="40" t="s">
        <v>354</v>
      </c>
      <c r="D184" s="40"/>
      <c r="E184" s="40"/>
      <c r="F184" s="40"/>
      <c r="G184" s="40"/>
      <c r="H184" s="40"/>
      <c r="I184" s="40"/>
      <c r="J184" s="264"/>
      <c r="K184" s="41"/>
    </row>
    <row r="185" spans="2:14" x14ac:dyDescent="0.2">
      <c r="B185" s="38"/>
      <c r="C185" s="40" t="s">
        <v>260</v>
      </c>
      <c r="D185" s="40"/>
      <c r="E185" s="40"/>
      <c r="F185" s="40"/>
      <c r="G185" s="40"/>
      <c r="H185" s="40"/>
      <c r="I185" s="40"/>
      <c r="J185" s="245" t="str">
        <f>IF(OR(J182=0,J182="Not Calculated")=TRUE,"Not Calculated",IF(J182-J183=0,4,IF(((J182+J184)/(J182-J183))&lt;=1,0,IF(((J182+J184)/(J182-J183))&lt;=1.05,1,IF(((J182+J184)/(J182-J183))&lt;=1.5, 2,IF(((J182+J184)/(J182-J183))&lt;=2,3,4))))))</f>
        <v>Not Calculated</v>
      </c>
      <c r="K185" s="41"/>
    </row>
    <row r="186" spans="2:14" ht="9.75" customHeight="1" x14ac:dyDescent="0.2">
      <c r="B186" s="38"/>
      <c r="C186" s="279" t="str">
        <f>"0:"</f>
        <v>0:</v>
      </c>
      <c r="D186" s="278" t="s">
        <v>918</v>
      </c>
      <c r="E186" s="40"/>
      <c r="F186" s="40"/>
      <c r="G186" s="40"/>
      <c r="H186" s="40"/>
      <c r="I186" s="40"/>
      <c r="J186" s="40"/>
      <c r="K186" s="41"/>
    </row>
    <row r="187" spans="2:14" ht="9.75" customHeight="1" x14ac:dyDescent="0.2">
      <c r="B187" s="38"/>
      <c r="C187" s="280" t="str">
        <f>"1:"</f>
        <v>1:</v>
      </c>
      <c r="D187" s="278" t="s">
        <v>923</v>
      </c>
      <c r="E187" s="40"/>
      <c r="F187" s="40"/>
      <c r="G187" s="40"/>
      <c r="H187" s="40"/>
      <c r="I187" s="40"/>
      <c r="J187" s="40"/>
      <c r="K187" s="41"/>
    </row>
    <row r="188" spans="2:14" ht="9.75" customHeight="1" x14ac:dyDescent="0.2">
      <c r="B188" s="38"/>
      <c r="C188" s="280" t="str">
        <f>"2:"</f>
        <v>2:</v>
      </c>
      <c r="D188" s="278" t="s">
        <v>924</v>
      </c>
      <c r="E188" s="40"/>
      <c r="F188" s="40"/>
      <c r="G188" s="40"/>
      <c r="H188" s="40"/>
      <c r="I188" s="40"/>
      <c r="J188" s="40"/>
      <c r="K188" s="41"/>
    </row>
    <row r="189" spans="2:14" ht="9.75" customHeight="1" x14ac:dyDescent="0.2">
      <c r="B189" s="38"/>
      <c r="C189" s="280" t="str">
        <f>"3:"</f>
        <v>3:</v>
      </c>
      <c r="D189" s="278" t="s">
        <v>925</v>
      </c>
      <c r="E189" s="40"/>
      <c r="F189" s="40"/>
      <c r="G189" s="40"/>
      <c r="H189" s="40"/>
      <c r="I189" s="40"/>
      <c r="J189" s="40"/>
      <c r="K189" s="41"/>
    </row>
    <row r="190" spans="2:14" ht="9.75" customHeight="1" x14ac:dyDescent="0.2">
      <c r="B190" s="38"/>
      <c r="C190" s="280" t="str">
        <f>"4:"</f>
        <v>4:</v>
      </c>
      <c r="D190" s="278" t="s">
        <v>926</v>
      </c>
      <c r="E190" s="40"/>
      <c r="F190" s="40"/>
      <c r="G190" s="40"/>
      <c r="H190" s="40"/>
      <c r="I190" s="40"/>
      <c r="J190" s="40"/>
      <c r="K190" s="41"/>
      <c r="N190" s="12" t="s">
        <v>661</v>
      </c>
    </row>
    <row r="191" spans="2:14" x14ac:dyDescent="0.2">
      <c r="B191" s="38"/>
      <c r="C191" s="174" t="s">
        <v>662</v>
      </c>
      <c r="D191" s="40"/>
      <c r="E191" s="40"/>
      <c r="F191" s="40"/>
      <c r="G191" s="40"/>
      <c r="H191" s="40"/>
      <c r="I191" s="40"/>
      <c r="J191" s="265" t="s">
        <v>661</v>
      </c>
      <c r="K191" s="41"/>
      <c r="N191" s="12" t="s">
        <v>894</v>
      </c>
    </row>
    <row r="192" spans="2:14" x14ac:dyDescent="0.2">
      <c r="B192" s="38"/>
      <c r="C192" s="174" t="s">
        <v>660</v>
      </c>
      <c r="D192" s="40"/>
      <c r="E192" s="40"/>
      <c r="F192" s="40"/>
      <c r="G192" s="40"/>
      <c r="H192" s="40"/>
      <c r="I192" s="40"/>
      <c r="J192" s="246" t="str">
        <f>IF(J191=N190,"N/A",IF(J191=N191,0,IF(J191=N192,1,IF(J191=N193,2,IF(J191=N194,3,IF(J191=N195,4,"N/A"))))))</f>
        <v>N/A</v>
      </c>
      <c r="K192" s="41"/>
      <c r="N192" s="12" t="s">
        <v>899</v>
      </c>
    </row>
    <row r="193" spans="2:14" x14ac:dyDescent="0.2">
      <c r="B193" s="38"/>
      <c r="C193" s="40" t="s">
        <v>257</v>
      </c>
      <c r="D193" s="40"/>
      <c r="E193" s="40"/>
      <c r="F193" s="40"/>
      <c r="G193" s="40"/>
      <c r="H193" s="40"/>
      <c r="I193" s="40"/>
      <c r="J193" s="266"/>
      <c r="K193" s="41"/>
      <c r="N193" s="12" t="s">
        <v>900</v>
      </c>
    </row>
    <row r="194" spans="2:14" x14ac:dyDescent="0.2">
      <c r="B194" s="38"/>
      <c r="C194" s="40" t="s">
        <v>261</v>
      </c>
      <c r="D194" s="40"/>
      <c r="E194" s="40"/>
      <c r="F194" s="40"/>
      <c r="G194" s="40"/>
      <c r="H194" s="40"/>
      <c r="I194" s="40"/>
      <c r="J194" s="245" t="str">
        <f>IF(J193=$B$973,$A$973,IF(J193=$B$974,$A$974,IF(J193=$B$975,$A$975,IF(J193=$B$976,$A$976,IF(J193=$B$977,$A$977,"Not Calculated")))))</f>
        <v>Not Calculated</v>
      </c>
      <c r="K194" s="41"/>
      <c r="N194" s="12" t="s">
        <v>901</v>
      </c>
    </row>
    <row r="195" spans="2:14" x14ac:dyDescent="0.2">
      <c r="B195" s="38"/>
      <c r="C195" s="40" t="s">
        <v>893</v>
      </c>
      <c r="D195" s="40"/>
      <c r="E195" s="40"/>
      <c r="F195" s="40"/>
      <c r="G195" s="40"/>
      <c r="H195" s="40"/>
      <c r="I195" s="40"/>
      <c r="J195" s="40"/>
      <c r="K195" s="41"/>
      <c r="N195" s="12" t="s">
        <v>902</v>
      </c>
    </row>
    <row r="196" spans="2:14" x14ac:dyDescent="0.2">
      <c r="B196" s="38"/>
      <c r="C196" s="399"/>
      <c r="D196" s="400"/>
      <c r="E196" s="400"/>
      <c r="F196" s="400"/>
      <c r="G196" s="400"/>
      <c r="H196" s="400"/>
      <c r="I196" s="400"/>
      <c r="J196" s="401"/>
      <c r="K196" s="41"/>
    </row>
    <row r="197" spans="2:14" x14ac:dyDescent="0.2">
      <c r="B197" s="38"/>
      <c r="C197" s="40"/>
      <c r="D197" s="40"/>
      <c r="E197" s="40"/>
      <c r="F197" s="40"/>
      <c r="G197" s="40"/>
      <c r="H197" s="40"/>
      <c r="I197" s="40"/>
      <c r="J197" s="40"/>
      <c r="K197" s="41"/>
    </row>
    <row r="198" spans="2:14" x14ac:dyDescent="0.2">
      <c r="B198" s="38"/>
      <c r="C198" s="179" t="s">
        <v>275</v>
      </c>
      <c r="D198" s="40"/>
      <c r="E198" s="40"/>
      <c r="F198" s="40"/>
      <c r="G198" s="40"/>
      <c r="H198" s="40"/>
      <c r="I198" s="40"/>
      <c r="J198" s="245" t="str">
        <f>IF(J192="N/A",IF(OR(J185="Not Calculated",J194="Not Calculated")=TRUE,"Not Calculated",AVERAGE(J185,J194)),AVERAGE(J192,J194))</f>
        <v>Not Calculated</v>
      </c>
      <c r="K198" s="41"/>
    </row>
    <row r="199" spans="2:14" x14ac:dyDescent="0.2">
      <c r="B199" s="38"/>
      <c r="C199" s="40"/>
      <c r="D199" s="40"/>
      <c r="E199" s="40"/>
      <c r="F199" s="40"/>
      <c r="G199" s="40"/>
      <c r="H199" s="40"/>
      <c r="I199" s="40"/>
      <c r="J199" s="40"/>
      <c r="K199" s="41"/>
    </row>
    <row r="200" spans="2:14" x14ac:dyDescent="0.2">
      <c r="B200" s="38"/>
      <c r="C200" s="40"/>
      <c r="D200" s="40"/>
      <c r="E200" s="40"/>
      <c r="F200" s="40"/>
      <c r="G200" s="40"/>
      <c r="H200" s="40"/>
      <c r="I200" s="40"/>
      <c r="J200" s="40"/>
      <c r="K200" s="41"/>
    </row>
    <row r="201" spans="2:14" ht="16" x14ac:dyDescent="0.2">
      <c r="B201" s="38"/>
      <c r="C201" s="45" t="s">
        <v>75</v>
      </c>
      <c r="D201" s="40"/>
      <c r="E201" s="40"/>
      <c r="F201" s="40"/>
      <c r="G201" s="40"/>
      <c r="H201" s="40"/>
      <c r="I201" s="40"/>
      <c r="J201" s="40"/>
      <c r="K201" s="41"/>
    </row>
    <row r="202" spans="2:14" x14ac:dyDescent="0.2">
      <c r="B202" s="38"/>
      <c r="C202" s="40" t="s">
        <v>444</v>
      </c>
      <c r="D202" s="40"/>
      <c r="E202" s="40"/>
      <c r="F202" s="40"/>
      <c r="G202" s="40"/>
      <c r="H202" s="40"/>
      <c r="I202" s="40"/>
      <c r="J202" s="252">
        <f>'Baseline Health'!G65</f>
        <v>0</v>
      </c>
      <c r="K202" s="41"/>
    </row>
    <row r="203" spans="2:14" x14ac:dyDescent="0.2">
      <c r="B203" s="38"/>
      <c r="C203" s="40" t="s">
        <v>282</v>
      </c>
      <c r="D203" s="40"/>
      <c r="E203" s="40"/>
      <c r="F203" s="40"/>
      <c r="G203" s="40"/>
      <c r="H203" s="40"/>
      <c r="I203" s="40"/>
      <c r="J203" s="264"/>
      <c r="K203" s="41"/>
    </row>
    <row r="204" spans="2:14" x14ac:dyDescent="0.2">
      <c r="B204" s="38"/>
      <c r="C204" s="40" t="s">
        <v>355</v>
      </c>
      <c r="D204" s="40"/>
      <c r="E204" s="40"/>
      <c r="F204" s="40"/>
      <c r="G204" s="40"/>
      <c r="H204" s="40"/>
      <c r="I204" s="40"/>
      <c r="J204" s="264"/>
      <c r="K204" s="41"/>
    </row>
    <row r="205" spans="2:14" x14ac:dyDescent="0.2">
      <c r="B205" s="38"/>
      <c r="C205" s="40" t="s">
        <v>260</v>
      </c>
      <c r="D205" s="40"/>
      <c r="E205" s="40"/>
      <c r="F205" s="40"/>
      <c r="G205" s="40"/>
      <c r="H205" s="40"/>
      <c r="I205" s="40"/>
      <c r="J205" s="245" t="str">
        <f>IF(OR(J202=0,J202="Not Calculated")=TRUE,"Not Calculated",IF(J202-J203=0,4,IF(((J202+J204)/(J202-J203))&lt;=1,0,IF(((J202+J204)/(J202-J203))&lt;=1.05,1,IF(((J202+J204)/(J202-J203))&lt;=1.5, 2,IF(((J202+J204)/(J202-J203))&lt;=2,3,4))))))</f>
        <v>Not Calculated</v>
      </c>
      <c r="K205" s="41"/>
    </row>
    <row r="206" spans="2:14" ht="9.75" customHeight="1" x14ac:dyDescent="0.2">
      <c r="B206" s="38"/>
      <c r="C206" s="279" t="str">
        <f>"0:"</f>
        <v>0:</v>
      </c>
      <c r="D206" s="278" t="s">
        <v>918</v>
      </c>
      <c r="E206" s="40"/>
      <c r="F206" s="40"/>
      <c r="G206" s="40"/>
      <c r="H206" s="40"/>
      <c r="I206" s="40"/>
      <c r="J206" s="40"/>
      <c r="K206" s="41"/>
    </row>
    <row r="207" spans="2:14" ht="9.75" customHeight="1" x14ac:dyDescent="0.2">
      <c r="B207" s="38"/>
      <c r="C207" s="280" t="str">
        <f>"1:"</f>
        <v>1:</v>
      </c>
      <c r="D207" s="278" t="s">
        <v>923</v>
      </c>
      <c r="E207" s="40"/>
      <c r="F207" s="40"/>
      <c r="G207" s="40"/>
      <c r="H207" s="40"/>
      <c r="I207" s="40"/>
      <c r="J207" s="40"/>
      <c r="K207" s="41"/>
    </row>
    <row r="208" spans="2:14" ht="9.75" customHeight="1" x14ac:dyDescent="0.2">
      <c r="B208" s="38"/>
      <c r="C208" s="280" t="str">
        <f>"2:"</f>
        <v>2:</v>
      </c>
      <c r="D208" s="278" t="s">
        <v>924</v>
      </c>
      <c r="E208" s="40"/>
      <c r="F208" s="40"/>
      <c r="G208" s="40"/>
      <c r="H208" s="40"/>
      <c r="I208" s="40"/>
      <c r="J208" s="40"/>
      <c r="K208" s="41"/>
    </row>
    <row r="209" spans="2:14" ht="9.75" customHeight="1" x14ac:dyDescent="0.2">
      <c r="B209" s="38"/>
      <c r="C209" s="280" t="str">
        <f>"3:"</f>
        <v>3:</v>
      </c>
      <c r="D209" s="278" t="s">
        <v>925</v>
      </c>
      <c r="E209" s="40"/>
      <c r="F209" s="40"/>
      <c r="G209" s="40"/>
      <c r="H209" s="40"/>
      <c r="I209" s="40"/>
      <c r="J209" s="40"/>
      <c r="K209" s="41"/>
    </row>
    <row r="210" spans="2:14" ht="9.75" customHeight="1" x14ac:dyDescent="0.2">
      <c r="B210" s="38"/>
      <c r="C210" s="280" t="str">
        <f>"4:"</f>
        <v>4:</v>
      </c>
      <c r="D210" s="278" t="s">
        <v>926</v>
      </c>
      <c r="E210" s="40"/>
      <c r="F210" s="40"/>
      <c r="G210" s="40"/>
      <c r="H210" s="40"/>
      <c r="I210" s="40"/>
      <c r="J210" s="40"/>
      <c r="K210" s="41"/>
      <c r="N210" s="12" t="s">
        <v>661</v>
      </c>
    </row>
    <row r="211" spans="2:14" x14ac:dyDescent="0.2">
      <c r="B211" s="38"/>
      <c r="C211" s="174" t="s">
        <v>662</v>
      </c>
      <c r="D211" s="40"/>
      <c r="E211" s="40"/>
      <c r="F211" s="40"/>
      <c r="G211" s="40"/>
      <c r="H211" s="40"/>
      <c r="I211" s="40"/>
      <c r="J211" s="265" t="s">
        <v>661</v>
      </c>
      <c r="K211" s="41"/>
      <c r="N211" s="12" t="s">
        <v>894</v>
      </c>
    </row>
    <row r="212" spans="2:14" x14ac:dyDescent="0.2">
      <c r="B212" s="38"/>
      <c r="C212" s="174" t="s">
        <v>660</v>
      </c>
      <c r="D212" s="40"/>
      <c r="E212" s="40"/>
      <c r="F212" s="40"/>
      <c r="G212" s="40"/>
      <c r="H212" s="40"/>
      <c r="I212" s="40"/>
      <c r="J212" s="246" t="str">
        <f>IF(J211=N210,"N/A",IF(J211=N211,0,IF(J211=N212,1,IF(J211=N213,2,IF(J211=N214,3,IF(J211=N215,4,"N/A"))))))</f>
        <v>N/A</v>
      </c>
      <c r="K212" s="41"/>
      <c r="N212" s="12" t="s">
        <v>899</v>
      </c>
    </row>
    <row r="213" spans="2:14" x14ac:dyDescent="0.2">
      <c r="B213" s="38"/>
      <c r="C213" s="40" t="s">
        <v>257</v>
      </c>
      <c r="D213" s="40"/>
      <c r="E213" s="40"/>
      <c r="F213" s="40"/>
      <c r="G213" s="40"/>
      <c r="H213" s="40"/>
      <c r="I213" s="40"/>
      <c r="J213" s="266"/>
      <c r="K213" s="41"/>
      <c r="N213" s="12" t="s">
        <v>900</v>
      </c>
    </row>
    <row r="214" spans="2:14" x14ac:dyDescent="0.2">
      <c r="B214" s="38"/>
      <c r="C214" s="40" t="s">
        <v>261</v>
      </c>
      <c r="D214" s="40"/>
      <c r="E214" s="40"/>
      <c r="F214" s="40"/>
      <c r="G214" s="40"/>
      <c r="H214" s="40"/>
      <c r="I214" s="40"/>
      <c r="J214" s="245" t="str">
        <f>IF(J213=$B$973,$A$973,IF(J213=$B$974,$A$974,IF(J213=$B$975,$A$975,IF(J213=$B$976,$A$976,IF(J213=$B$977,$A$977,"Not Calculated")))))</f>
        <v>Not Calculated</v>
      </c>
      <c r="K214" s="41"/>
      <c r="N214" s="12" t="s">
        <v>901</v>
      </c>
    </row>
    <row r="215" spans="2:14" x14ac:dyDescent="0.2">
      <c r="B215" s="38"/>
      <c r="C215" s="40" t="s">
        <v>893</v>
      </c>
      <c r="D215" s="40"/>
      <c r="E215" s="40"/>
      <c r="F215" s="40"/>
      <c r="G215" s="40"/>
      <c r="H215" s="40"/>
      <c r="I215" s="40"/>
      <c r="J215" s="40"/>
      <c r="K215" s="41"/>
      <c r="N215" s="12" t="s">
        <v>902</v>
      </c>
    </row>
    <row r="216" spans="2:14" ht="15" customHeight="1" x14ac:dyDescent="0.2">
      <c r="B216" s="38"/>
      <c r="C216" s="399"/>
      <c r="D216" s="400"/>
      <c r="E216" s="400"/>
      <c r="F216" s="400"/>
      <c r="G216" s="400"/>
      <c r="H216" s="400"/>
      <c r="I216" s="400"/>
      <c r="J216" s="401"/>
      <c r="K216" s="41"/>
    </row>
    <row r="217" spans="2:14" x14ac:dyDescent="0.2">
      <c r="B217" s="38"/>
      <c r="C217" s="40"/>
      <c r="D217" s="40"/>
      <c r="E217" s="40"/>
      <c r="F217" s="40"/>
      <c r="G217" s="40"/>
      <c r="H217" s="40"/>
      <c r="I217" s="40"/>
      <c r="J217" s="40"/>
      <c r="K217" s="41"/>
    </row>
    <row r="218" spans="2:14" x14ac:dyDescent="0.2">
      <c r="B218" s="38"/>
      <c r="C218" s="179" t="s">
        <v>276</v>
      </c>
      <c r="D218" s="40"/>
      <c r="E218" s="40"/>
      <c r="F218" s="40"/>
      <c r="G218" s="40"/>
      <c r="H218" s="40"/>
      <c r="I218" s="40"/>
      <c r="J218" s="245" t="str">
        <f>IF(J212="N/A",IF(OR(J205="Not Calculated",J214="Not Calculated")=TRUE,"Not Calculated",AVERAGE(J205,J214)),AVERAGE(J212,J214))</f>
        <v>Not Calculated</v>
      </c>
      <c r="K218" s="41"/>
    </row>
    <row r="219" spans="2:14" x14ac:dyDescent="0.2">
      <c r="B219" s="38"/>
      <c r="C219" s="40"/>
      <c r="D219" s="40"/>
      <c r="E219" s="40"/>
      <c r="F219" s="40"/>
      <c r="G219" s="40"/>
      <c r="H219" s="40"/>
      <c r="I219" s="40"/>
      <c r="J219" s="40"/>
      <c r="K219" s="41"/>
    </row>
    <row r="220" spans="2:14" x14ac:dyDescent="0.2">
      <c r="B220" s="38"/>
      <c r="C220" s="40"/>
      <c r="D220" s="40"/>
      <c r="E220" s="40"/>
      <c r="F220" s="40"/>
      <c r="G220" s="40"/>
      <c r="H220" s="40"/>
      <c r="I220" s="40"/>
      <c r="J220" s="40"/>
      <c r="K220" s="41"/>
    </row>
    <row r="221" spans="2:14" ht="16" x14ac:dyDescent="0.2">
      <c r="B221" s="38"/>
      <c r="C221" s="45" t="s">
        <v>76</v>
      </c>
      <c r="D221" s="40"/>
      <c r="E221" s="40"/>
      <c r="F221" s="40"/>
      <c r="G221" s="40"/>
      <c r="H221" s="40"/>
      <c r="I221" s="40"/>
      <c r="J221" s="40"/>
      <c r="K221" s="41"/>
    </row>
    <row r="222" spans="2:14" ht="15" customHeight="1" x14ac:dyDescent="0.2">
      <c r="B222" s="38"/>
      <c r="C222" s="40" t="s">
        <v>356</v>
      </c>
      <c r="D222" s="40"/>
      <c r="E222" s="40"/>
      <c r="F222" s="40"/>
      <c r="G222" s="40"/>
      <c r="H222" s="40"/>
      <c r="I222" s="40"/>
      <c r="J222" s="252">
        <f>'Baseline Health'!G71</f>
        <v>0</v>
      </c>
      <c r="K222" s="41"/>
    </row>
    <row r="223" spans="2:14" x14ac:dyDescent="0.2">
      <c r="B223" s="38"/>
      <c r="C223" s="40" t="s">
        <v>357</v>
      </c>
      <c r="D223" s="40"/>
      <c r="E223" s="40"/>
      <c r="F223" s="40"/>
      <c r="G223" s="40"/>
      <c r="H223" s="40"/>
      <c r="I223" s="40"/>
      <c r="J223" s="264"/>
      <c r="K223" s="41"/>
    </row>
    <row r="224" spans="2:14" x14ac:dyDescent="0.2">
      <c r="B224" s="38"/>
      <c r="C224" s="40" t="s">
        <v>445</v>
      </c>
      <c r="D224" s="40"/>
      <c r="E224" s="40"/>
      <c r="F224" s="40"/>
      <c r="G224" s="40"/>
      <c r="H224" s="40"/>
      <c r="I224" s="40"/>
      <c r="J224" s="251">
        <f>J102</f>
        <v>0</v>
      </c>
      <c r="K224" s="41"/>
    </row>
    <row r="225" spans="2:14" x14ac:dyDescent="0.2">
      <c r="B225" s="38"/>
      <c r="C225" s="40"/>
      <c r="D225" s="40" t="s">
        <v>446</v>
      </c>
      <c r="E225" s="40"/>
      <c r="F225" s="40"/>
      <c r="G225" s="40"/>
      <c r="H225" s="40"/>
      <c r="I225" s="40"/>
      <c r="J225" s="40"/>
      <c r="K225" s="41"/>
    </row>
    <row r="226" spans="2:14" x14ac:dyDescent="0.2">
      <c r="B226" s="38"/>
      <c r="C226" s="40" t="s">
        <v>260</v>
      </c>
      <c r="D226" s="40"/>
      <c r="E226" s="40"/>
      <c r="F226" s="40"/>
      <c r="G226" s="40"/>
      <c r="H226" s="40"/>
      <c r="I226" s="40"/>
      <c r="J226" s="245" t="str">
        <f>IF(OR(J222=0,J222="Not Calculated")=TRUE,"Not Calculated",IF(J222-J223=0,4,IF(((J222+J224)/(J222-J223))&lt;=1,0,IF(((J222+J224)/(J222-J223))&lt;=1.05,1,IF(((J222+J224)/(J222-J223))&lt;=1.5, 2,IF(((J222+J224)/(J222-J223))&lt;=2,3,4))))))</f>
        <v>Not Calculated</v>
      </c>
      <c r="K226" s="41"/>
    </row>
    <row r="227" spans="2:14" ht="9.75" customHeight="1" x14ac:dyDescent="0.2">
      <c r="B227" s="38"/>
      <c r="C227" s="279" t="str">
        <f>"0:"</f>
        <v>0:</v>
      </c>
      <c r="D227" s="278" t="s">
        <v>918</v>
      </c>
      <c r="E227" s="40"/>
      <c r="F227" s="40"/>
      <c r="G227" s="40"/>
      <c r="H227" s="40"/>
      <c r="I227" s="40"/>
      <c r="J227" s="40"/>
      <c r="K227" s="41"/>
    </row>
    <row r="228" spans="2:14" ht="9.75" customHeight="1" x14ac:dyDescent="0.2">
      <c r="B228" s="38"/>
      <c r="C228" s="280" t="str">
        <f>"1:"</f>
        <v>1:</v>
      </c>
      <c r="D228" s="278" t="s">
        <v>923</v>
      </c>
      <c r="E228" s="40"/>
      <c r="F228" s="40"/>
      <c r="G228" s="40"/>
      <c r="H228" s="40"/>
      <c r="I228" s="40"/>
      <c r="J228" s="40"/>
      <c r="K228" s="41"/>
    </row>
    <row r="229" spans="2:14" ht="9.75" customHeight="1" x14ac:dyDescent="0.2">
      <c r="B229" s="38"/>
      <c r="C229" s="280" t="str">
        <f>"2:"</f>
        <v>2:</v>
      </c>
      <c r="D229" s="278" t="s">
        <v>924</v>
      </c>
      <c r="E229" s="40"/>
      <c r="F229" s="40"/>
      <c r="G229" s="40"/>
      <c r="H229" s="40"/>
      <c r="I229" s="40"/>
      <c r="J229" s="40"/>
      <c r="K229" s="41"/>
    </row>
    <row r="230" spans="2:14" ht="9.75" customHeight="1" x14ac:dyDescent="0.2">
      <c r="B230" s="38"/>
      <c r="C230" s="280" t="str">
        <f>"3:"</f>
        <v>3:</v>
      </c>
      <c r="D230" s="278" t="s">
        <v>925</v>
      </c>
      <c r="E230" s="40"/>
      <c r="F230" s="40"/>
      <c r="G230" s="40"/>
      <c r="H230" s="40"/>
      <c r="I230" s="40"/>
      <c r="J230" s="40"/>
      <c r="K230" s="41"/>
    </row>
    <row r="231" spans="2:14" ht="9.75" customHeight="1" x14ac:dyDescent="0.2">
      <c r="B231" s="38"/>
      <c r="C231" s="280" t="str">
        <f>"4:"</f>
        <v>4:</v>
      </c>
      <c r="D231" s="278" t="s">
        <v>926</v>
      </c>
      <c r="E231" s="40"/>
      <c r="F231" s="40"/>
      <c r="G231" s="40"/>
      <c r="H231" s="40"/>
      <c r="I231" s="40"/>
      <c r="J231" s="40"/>
      <c r="K231" s="41"/>
      <c r="N231" s="12" t="s">
        <v>661</v>
      </c>
    </row>
    <row r="232" spans="2:14" x14ac:dyDescent="0.2">
      <c r="B232" s="38"/>
      <c r="C232" s="174" t="s">
        <v>662</v>
      </c>
      <c r="D232" s="40"/>
      <c r="E232" s="40"/>
      <c r="F232" s="40"/>
      <c r="G232" s="40"/>
      <c r="H232" s="40"/>
      <c r="I232" s="40"/>
      <c r="J232" s="265" t="s">
        <v>661</v>
      </c>
      <c r="K232" s="41"/>
      <c r="N232" s="12" t="s">
        <v>894</v>
      </c>
    </row>
    <row r="233" spans="2:14" x14ac:dyDescent="0.2">
      <c r="B233" s="38"/>
      <c r="C233" s="174" t="s">
        <v>660</v>
      </c>
      <c r="D233" s="40"/>
      <c r="E233" s="40"/>
      <c r="F233" s="40"/>
      <c r="G233" s="40"/>
      <c r="H233" s="40"/>
      <c r="I233" s="40"/>
      <c r="J233" s="246" t="str">
        <f>IF(J232=N231,"N/A",IF(J232=N232,0,IF(J232=N233,1,IF(J232=N234,2,IF(J232=N235,3,IF(J232=N236,4,"N/A"))))))</f>
        <v>N/A</v>
      </c>
      <c r="K233" s="41"/>
      <c r="N233" s="12" t="s">
        <v>899</v>
      </c>
    </row>
    <row r="234" spans="2:14" x14ac:dyDescent="0.2">
      <c r="B234" s="38"/>
      <c r="C234" s="40" t="s">
        <v>257</v>
      </c>
      <c r="D234" s="40"/>
      <c r="E234" s="40"/>
      <c r="F234" s="40"/>
      <c r="G234" s="40"/>
      <c r="H234" s="40"/>
      <c r="I234" s="40"/>
      <c r="J234" s="266"/>
      <c r="K234" s="41"/>
      <c r="N234" s="12" t="s">
        <v>900</v>
      </c>
    </row>
    <row r="235" spans="2:14" x14ac:dyDescent="0.2">
      <c r="B235" s="38"/>
      <c r="C235" s="40" t="s">
        <v>261</v>
      </c>
      <c r="D235" s="40"/>
      <c r="E235" s="40"/>
      <c r="F235" s="40"/>
      <c r="G235" s="40"/>
      <c r="H235" s="40"/>
      <c r="I235" s="40"/>
      <c r="J235" s="245" t="str">
        <f>IF(J234=$B$973,$A$973,IF(J234=$B$974,$A$974,IF(J234=$B$975,$A$975,IF(J234=$B$976,$A$976,IF(J234=$B$977,$A$977,"Not Calculated")))))</f>
        <v>Not Calculated</v>
      </c>
      <c r="K235" s="41"/>
      <c r="N235" s="12" t="s">
        <v>901</v>
      </c>
    </row>
    <row r="236" spans="2:14" x14ac:dyDescent="0.2">
      <c r="B236" s="38"/>
      <c r="C236" s="40" t="s">
        <v>893</v>
      </c>
      <c r="D236" s="40"/>
      <c r="E236" s="40"/>
      <c r="F236" s="40"/>
      <c r="G236" s="40"/>
      <c r="H236" s="40"/>
      <c r="I236" s="40"/>
      <c r="J236" s="40"/>
      <c r="K236" s="41"/>
      <c r="N236" s="12" t="s">
        <v>902</v>
      </c>
    </row>
    <row r="237" spans="2:14" ht="15" customHeight="1" x14ac:dyDescent="0.2">
      <c r="B237" s="38"/>
      <c r="C237" s="399"/>
      <c r="D237" s="400"/>
      <c r="E237" s="400"/>
      <c r="F237" s="400"/>
      <c r="G237" s="400"/>
      <c r="H237" s="400"/>
      <c r="I237" s="400"/>
      <c r="J237" s="401"/>
      <c r="K237" s="41"/>
    </row>
    <row r="238" spans="2:14" x14ac:dyDescent="0.2">
      <c r="B238" s="38"/>
      <c r="C238" s="40"/>
      <c r="D238" s="40"/>
      <c r="E238" s="40"/>
      <c r="F238" s="40"/>
      <c r="G238" s="40"/>
      <c r="H238" s="40"/>
      <c r="I238" s="40"/>
      <c r="J238" s="40"/>
      <c r="K238" s="41"/>
    </row>
    <row r="239" spans="2:14" x14ac:dyDescent="0.2">
      <c r="B239" s="38"/>
      <c r="C239" s="179" t="s">
        <v>277</v>
      </c>
      <c r="D239" s="40"/>
      <c r="E239" s="40"/>
      <c r="F239" s="40"/>
      <c r="G239" s="40"/>
      <c r="H239" s="40"/>
      <c r="I239" s="40"/>
      <c r="J239" s="245" t="str">
        <f>IF(J233="N/A",IF(OR(J226="Not Calculated",J235="Not Calculated")=TRUE,"Not Calculated",AVERAGE(J226,J235)),AVERAGE(J233,J235))</f>
        <v>Not Calculated</v>
      </c>
      <c r="K239" s="41"/>
    </row>
    <row r="240" spans="2:14" x14ac:dyDescent="0.2">
      <c r="B240" s="38"/>
      <c r="C240" s="40"/>
      <c r="D240" s="40"/>
      <c r="E240" s="40"/>
      <c r="F240" s="40"/>
      <c r="G240" s="40"/>
      <c r="H240" s="40"/>
      <c r="I240" s="40"/>
      <c r="J240" s="40"/>
      <c r="K240" s="41"/>
    </row>
    <row r="241" spans="2:14" x14ac:dyDescent="0.2">
      <c r="B241" s="38"/>
      <c r="C241" s="40"/>
      <c r="D241" s="40"/>
      <c r="E241" s="40"/>
      <c r="F241" s="40"/>
      <c r="G241" s="40"/>
      <c r="H241" s="40"/>
      <c r="I241" s="40"/>
      <c r="J241" s="40"/>
      <c r="K241" s="41"/>
    </row>
    <row r="242" spans="2:14" ht="16" x14ac:dyDescent="0.2">
      <c r="B242" s="38"/>
      <c r="C242" s="45" t="s">
        <v>278</v>
      </c>
      <c r="D242" s="40"/>
      <c r="E242" s="40"/>
      <c r="F242" s="40"/>
      <c r="G242" s="40"/>
      <c r="H242" s="40"/>
      <c r="I242" s="40"/>
      <c r="J242" s="40"/>
      <c r="K242" s="41"/>
    </row>
    <row r="243" spans="2:14" ht="15" customHeight="1" x14ac:dyDescent="0.2">
      <c r="B243" s="38"/>
      <c r="C243" s="40" t="s">
        <v>447</v>
      </c>
      <c r="D243" s="40"/>
      <c r="E243" s="40"/>
      <c r="F243" s="40"/>
      <c r="G243" s="40"/>
      <c r="H243" s="40"/>
      <c r="I243" s="40"/>
      <c r="J243" s="254">
        <f>'Baseline Health'!G77</f>
        <v>0</v>
      </c>
      <c r="K243" s="41"/>
    </row>
    <row r="244" spans="2:14" x14ac:dyDescent="0.2">
      <c r="B244" s="38"/>
      <c r="C244" s="40" t="s">
        <v>358</v>
      </c>
      <c r="D244" s="40"/>
      <c r="E244" s="40"/>
      <c r="F244" s="40"/>
      <c r="G244" s="40"/>
      <c r="H244" s="40"/>
      <c r="I244" s="40"/>
      <c r="J244" s="264"/>
      <c r="K244" s="41"/>
    </row>
    <row r="245" spans="2:14" x14ac:dyDescent="0.2">
      <c r="B245" s="38"/>
      <c r="C245" s="40" t="s">
        <v>360</v>
      </c>
      <c r="D245" s="291"/>
      <c r="E245" s="291"/>
      <c r="F245" s="291"/>
      <c r="G245" s="291"/>
      <c r="H245" s="291"/>
      <c r="I245" s="291"/>
      <c r="J245" s="264"/>
      <c r="K245" s="41"/>
    </row>
    <row r="246" spans="2:14" x14ac:dyDescent="0.2">
      <c r="B246" s="38"/>
      <c r="C246" s="40" t="s">
        <v>260</v>
      </c>
      <c r="D246" s="40"/>
      <c r="E246" s="40"/>
      <c r="F246" s="40"/>
      <c r="G246" s="40"/>
      <c r="H246" s="40"/>
      <c r="I246" s="40"/>
      <c r="J246" s="245" t="str">
        <f>IF(OR(J243=0,J243="Not Calculated")=TRUE,"Not Calculated",IF(J243-J244=0,4,(IF(((J243+J245)/(J243-J244))&lt;=1,0,IF(((J243+J245)/(J243-J244))&lt;=1.05,1,IF(((J243+J245)/(J243-J244))&lt;=1.5,2,IF(((J243+J245)/(J243-J244))&lt;=2,3,4)))))))</f>
        <v>Not Calculated</v>
      </c>
      <c r="K246" s="41"/>
    </row>
    <row r="247" spans="2:14" ht="9.75" customHeight="1" x14ac:dyDescent="0.2">
      <c r="B247" s="38"/>
      <c r="C247" s="279" t="str">
        <f>"0:"</f>
        <v>0:</v>
      </c>
      <c r="D247" s="278" t="s">
        <v>918</v>
      </c>
      <c r="E247" s="40"/>
      <c r="F247" s="40"/>
      <c r="G247" s="40"/>
      <c r="H247" s="40"/>
      <c r="I247" s="40"/>
      <c r="J247" s="40"/>
      <c r="K247" s="41"/>
    </row>
    <row r="248" spans="2:14" ht="9.75" customHeight="1" x14ac:dyDescent="0.2">
      <c r="B248" s="38"/>
      <c r="C248" s="280" t="str">
        <f>"1:"</f>
        <v>1:</v>
      </c>
      <c r="D248" s="278" t="s">
        <v>923</v>
      </c>
      <c r="E248" s="40"/>
      <c r="F248" s="40"/>
      <c r="G248" s="40"/>
      <c r="H248" s="40"/>
      <c r="I248" s="40"/>
      <c r="J248" s="40"/>
      <c r="K248" s="41"/>
    </row>
    <row r="249" spans="2:14" ht="9.75" customHeight="1" x14ac:dyDescent="0.2">
      <c r="B249" s="38"/>
      <c r="C249" s="280" t="str">
        <f>"2:"</f>
        <v>2:</v>
      </c>
      <c r="D249" s="278" t="s">
        <v>924</v>
      </c>
      <c r="E249" s="40"/>
      <c r="F249" s="40"/>
      <c r="G249" s="40"/>
      <c r="H249" s="40"/>
      <c r="I249" s="40"/>
      <c r="J249" s="40"/>
      <c r="K249" s="41"/>
    </row>
    <row r="250" spans="2:14" ht="9.75" customHeight="1" x14ac:dyDescent="0.2">
      <c r="B250" s="38"/>
      <c r="C250" s="280" t="str">
        <f>"3:"</f>
        <v>3:</v>
      </c>
      <c r="D250" s="278" t="s">
        <v>925</v>
      </c>
      <c r="E250" s="40"/>
      <c r="F250" s="40"/>
      <c r="G250" s="40"/>
      <c r="H250" s="40"/>
      <c r="I250" s="40"/>
      <c r="J250" s="40"/>
      <c r="K250" s="41"/>
    </row>
    <row r="251" spans="2:14" ht="9.75" customHeight="1" x14ac:dyDescent="0.2">
      <c r="B251" s="38"/>
      <c r="C251" s="280" t="str">
        <f>"4:"</f>
        <v>4:</v>
      </c>
      <c r="D251" s="278" t="s">
        <v>926</v>
      </c>
      <c r="E251" s="40"/>
      <c r="F251" s="40"/>
      <c r="G251" s="40"/>
      <c r="H251" s="40"/>
      <c r="I251" s="40"/>
      <c r="J251" s="40"/>
      <c r="K251" s="41"/>
      <c r="N251" s="12" t="s">
        <v>661</v>
      </c>
    </row>
    <row r="252" spans="2:14" x14ac:dyDescent="0.2">
      <c r="B252" s="38"/>
      <c r="C252" s="174" t="s">
        <v>662</v>
      </c>
      <c r="D252" s="40"/>
      <c r="E252" s="40"/>
      <c r="F252" s="40"/>
      <c r="G252" s="40"/>
      <c r="H252" s="40"/>
      <c r="I252" s="40"/>
      <c r="J252" s="265" t="s">
        <v>661</v>
      </c>
      <c r="K252" s="41"/>
      <c r="N252" s="12" t="s">
        <v>894</v>
      </c>
    </row>
    <row r="253" spans="2:14" x14ac:dyDescent="0.2">
      <c r="B253" s="38"/>
      <c r="C253" s="174" t="s">
        <v>660</v>
      </c>
      <c r="D253" s="40"/>
      <c r="E253" s="40"/>
      <c r="F253" s="40"/>
      <c r="G253" s="40"/>
      <c r="H253" s="40"/>
      <c r="I253" s="40"/>
      <c r="J253" s="246" t="str">
        <f>IF(J252=N251,"N/A",IF(J252=N252,0,IF(J252=N253,1,IF(J252=N254,2,IF(J252=N255,3,IF(J252=N256,4,"N/A"))))))</f>
        <v>N/A</v>
      </c>
      <c r="K253" s="41"/>
      <c r="N253" s="12" t="s">
        <v>899</v>
      </c>
    </row>
    <row r="254" spans="2:14" x14ac:dyDescent="0.2">
      <c r="B254" s="38"/>
      <c r="C254" s="40" t="s">
        <v>257</v>
      </c>
      <c r="D254" s="40"/>
      <c r="E254" s="40"/>
      <c r="F254" s="40"/>
      <c r="G254" s="40"/>
      <c r="H254" s="40"/>
      <c r="I254" s="40"/>
      <c r="J254" s="266"/>
      <c r="K254" s="41"/>
      <c r="N254" s="12" t="s">
        <v>900</v>
      </c>
    </row>
    <row r="255" spans="2:14" x14ac:dyDescent="0.2">
      <c r="B255" s="38"/>
      <c r="C255" s="40" t="s">
        <v>261</v>
      </c>
      <c r="D255" s="40"/>
      <c r="E255" s="40"/>
      <c r="F255" s="40"/>
      <c r="G255" s="40"/>
      <c r="H255" s="40"/>
      <c r="I255" s="40"/>
      <c r="J255" s="245" t="str">
        <f>IF(J254=$B$973,$A$973,IF(J254=$B$974,$A$974,IF(J254=$B$975,$A$975,IF(J254=$B$976,$A$976,IF(J254=$B$977,$A$977,"Not Calculated")))))</f>
        <v>Not Calculated</v>
      </c>
      <c r="K255" s="41"/>
      <c r="N255" s="12" t="s">
        <v>901</v>
      </c>
    </row>
    <row r="256" spans="2:14" x14ac:dyDescent="0.2">
      <c r="B256" s="38"/>
      <c r="C256" s="40" t="s">
        <v>893</v>
      </c>
      <c r="D256" s="40"/>
      <c r="E256" s="40"/>
      <c r="F256" s="40"/>
      <c r="G256" s="40"/>
      <c r="H256" s="40"/>
      <c r="I256" s="40"/>
      <c r="J256" s="40"/>
      <c r="K256" s="41"/>
      <c r="N256" s="12" t="s">
        <v>902</v>
      </c>
    </row>
    <row r="257" spans="2:11" x14ac:dyDescent="0.2">
      <c r="B257" s="38"/>
      <c r="C257" s="399"/>
      <c r="D257" s="400"/>
      <c r="E257" s="400"/>
      <c r="F257" s="400"/>
      <c r="G257" s="400"/>
      <c r="H257" s="400"/>
      <c r="I257" s="400"/>
      <c r="J257" s="401"/>
      <c r="K257" s="41"/>
    </row>
    <row r="258" spans="2:11" x14ac:dyDescent="0.2">
      <c r="B258" s="38"/>
      <c r="C258" s="40"/>
      <c r="D258" s="40"/>
      <c r="E258" s="40"/>
      <c r="F258" s="40"/>
      <c r="G258" s="40"/>
      <c r="H258" s="40"/>
      <c r="I258" s="40"/>
      <c r="J258" s="40"/>
      <c r="K258" s="41"/>
    </row>
    <row r="259" spans="2:11" x14ac:dyDescent="0.2">
      <c r="B259" s="38"/>
      <c r="C259" s="179" t="s">
        <v>279</v>
      </c>
      <c r="D259" s="40"/>
      <c r="E259" s="40"/>
      <c r="F259" s="40"/>
      <c r="G259" s="40"/>
      <c r="H259" s="40"/>
      <c r="I259" s="40"/>
      <c r="J259" s="245" t="str">
        <f>IF(J253="N/A",IF(OR(J246="Not Calculated",J255="Not Calculated")=TRUE,"Not Calculated",AVERAGE(J246,J255)),AVERAGE(J253,J255))</f>
        <v>Not Calculated</v>
      </c>
      <c r="K259" s="41"/>
    </row>
    <row r="260" spans="2:11" x14ac:dyDescent="0.2">
      <c r="B260" s="38"/>
      <c r="C260" s="40"/>
      <c r="D260" s="40"/>
      <c r="E260" s="40"/>
      <c r="F260" s="40"/>
      <c r="G260" s="40"/>
      <c r="H260" s="40"/>
      <c r="I260" s="40"/>
      <c r="J260" s="40"/>
      <c r="K260" s="41"/>
    </row>
    <row r="261" spans="2:11" ht="18" x14ac:dyDescent="0.2">
      <c r="B261" s="38"/>
      <c r="C261" s="180" t="s">
        <v>272</v>
      </c>
      <c r="D261" s="40"/>
      <c r="E261" s="40"/>
      <c r="F261" s="40"/>
      <c r="G261" s="40"/>
      <c r="H261" s="40"/>
      <c r="I261" s="40"/>
      <c r="J261" s="244" t="str">
        <f>IF(OR(J157="Not Calculated",J178="Not Calculated",J198="Not Calculated",J218="Not Calculated",J239="Not Calculated",J259="Not Calculated",)=TRUE,"Not Calculated",AVERAGE(J157,J178,J198,J218,J239,J259))</f>
        <v>Not Calculated</v>
      </c>
      <c r="K261" s="41"/>
    </row>
    <row r="262" spans="2:11" ht="16" thickBot="1" x14ac:dyDescent="0.25">
      <c r="B262" s="46"/>
      <c r="C262" s="47"/>
      <c r="D262" s="47"/>
      <c r="E262" s="47"/>
      <c r="F262" s="47"/>
      <c r="G262" s="47"/>
      <c r="H262" s="47"/>
      <c r="I262" s="47"/>
      <c r="J262" s="47"/>
      <c r="K262" s="49"/>
    </row>
    <row r="263" spans="2:11" ht="16" thickBot="1" x14ac:dyDescent="0.25"/>
    <row r="264" spans="2:11" x14ac:dyDescent="0.2">
      <c r="B264" s="33"/>
      <c r="C264" s="34"/>
      <c r="D264" s="34"/>
      <c r="E264" s="34"/>
      <c r="F264" s="34"/>
      <c r="G264" s="34"/>
      <c r="H264" s="34"/>
      <c r="I264" s="34"/>
      <c r="J264" s="34"/>
      <c r="K264" s="37"/>
    </row>
    <row r="265" spans="2:11" ht="21" x14ac:dyDescent="0.25">
      <c r="B265" s="38"/>
      <c r="C265" s="40"/>
      <c r="D265" s="40"/>
      <c r="E265" s="40"/>
      <c r="F265" s="40"/>
      <c r="G265" s="172" t="s">
        <v>864</v>
      </c>
      <c r="H265" s="40"/>
      <c r="I265" s="40"/>
      <c r="J265" s="40"/>
      <c r="K265" s="41"/>
    </row>
    <row r="266" spans="2:11" ht="15" customHeight="1" x14ac:dyDescent="0.2">
      <c r="B266" s="38"/>
      <c r="C266" s="40"/>
      <c r="D266" s="40"/>
      <c r="E266" s="40"/>
      <c r="F266" s="40"/>
      <c r="G266" s="40"/>
      <c r="H266" s="40"/>
      <c r="I266" s="40"/>
      <c r="J266" s="40"/>
      <c r="K266" s="41"/>
    </row>
    <row r="267" spans="2:11" ht="16" x14ac:dyDescent="0.2">
      <c r="B267" s="38"/>
      <c r="C267" s="45" t="s">
        <v>80</v>
      </c>
      <c r="D267" s="40"/>
      <c r="E267" s="40"/>
      <c r="F267" s="40"/>
      <c r="G267" s="40"/>
      <c r="H267" s="40"/>
      <c r="I267" s="40"/>
      <c r="J267" s="40"/>
      <c r="K267" s="41"/>
    </row>
    <row r="268" spans="2:11" x14ac:dyDescent="0.2">
      <c r="B268" s="38"/>
      <c r="C268" s="40" t="s">
        <v>283</v>
      </c>
      <c r="D268" s="40"/>
      <c r="E268" s="40"/>
      <c r="F268" s="40"/>
      <c r="G268" s="40"/>
      <c r="H268" s="40"/>
      <c r="I268" s="40"/>
      <c r="J268" s="250">
        <f>'Baseline Health'!G88</f>
        <v>0</v>
      </c>
      <c r="K268" s="41"/>
    </row>
    <row r="269" spans="2:11" x14ac:dyDescent="0.2">
      <c r="B269" s="38"/>
      <c r="C269" s="40" t="s">
        <v>284</v>
      </c>
      <c r="D269" s="40"/>
      <c r="E269" s="40"/>
      <c r="F269" s="40"/>
      <c r="G269" s="40"/>
      <c r="H269" s="40"/>
      <c r="I269" s="40"/>
      <c r="J269" s="264"/>
      <c r="K269" s="41"/>
    </row>
    <row r="270" spans="2:11" x14ac:dyDescent="0.2">
      <c r="B270" s="38"/>
      <c r="C270" s="40" t="s">
        <v>285</v>
      </c>
      <c r="D270" s="40"/>
      <c r="E270" s="40"/>
      <c r="F270" s="40"/>
      <c r="G270" s="40"/>
      <c r="H270" s="40"/>
      <c r="I270" s="40"/>
      <c r="J270" s="259">
        <f>'Baseline Health'!G93</f>
        <v>0</v>
      </c>
      <c r="K270" s="41"/>
    </row>
    <row r="271" spans="2:11" x14ac:dyDescent="0.2">
      <c r="B271" s="38"/>
      <c r="C271" s="40" t="s">
        <v>286</v>
      </c>
      <c r="D271" s="40"/>
      <c r="E271" s="40"/>
      <c r="F271" s="40"/>
      <c r="G271" s="40"/>
      <c r="H271" s="40"/>
      <c r="I271" s="40"/>
      <c r="J271" s="250">
        <f>J184</f>
        <v>0</v>
      </c>
      <c r="K271" s="41"/>
    </row>
    <row r="272" spans="2:11" x14ac:dyDescent="0.2">
      <c r="B272" s="38"/>
      <c r="C272" s="40"/>
      <c r="D272" s="40" t="s">
        <v>432</v>
      </c>
      <c r="E272" s="40"/>
      <c r="F272" s="40"/>
      <c r="G272" s="40"/>
      <c r="H272" s="40"/>
      <c r="I272" s="40"/>
      <c r="J272" s="40"/>
      <c r="K272" s="41"/>
    </row>
    <row r="273" spans="2:14" x14ac:dyDescent="0.2">
      <c r="B273" s="38"/>
      <c r="C273" s="40" t="s">
        <v>292</v>
      </c>
      <c r="D273" s="40"/>
      <c r="E273" s="40"/>
      <c r="F273" s="40"/>
      <c r="G273" s="40"/>
      <c r="H273" s="40"/>
      <c r="I273" s="40"/>
      <c r="J273" s="258" t="str">
        <f>'Baseline Health'!G97</f>
        <v>N/A</v>
      </c>
      <c r="K273" s="41"/>
    </row>
    <row r="274" spans="2:14" x14ac:dyDescent="0.2">
      <c r="B274" s="38"/>
      <c r="C274" s="40" t="s">
        <v>293</v>
      </c>
      <c r="D274" s="40"/>
      <c r="E274" s="40"/>
      <c r="F274" s="40"/>
      <c r="G274" s="40"/>
      <c r="H274" s="40"/>
      <c r="I274" s="40"/>
      <c r="J274" s="258" t="str">
        <f>IF(J273="N/A","N/A",IF(J268-J269=0,"No Nurses",((J270+J271)/(J268-J269))))</f>
        <v>N/A</v>
      </c>
      <c r="K274" s="41"/>
    </row>
    <row r="275" spans="2:14" x14ac:dyDescent="0.2">
      <c r="B275" s="38"/>
      <c r="C275" s="40" t="s">
        <v>260</v>
      </c>
      <c r="D275" s="40"/>
      <c r="E275" s="40"/>
      <c r="F275" s="40"/>
      <c r="G275" s="40"/>
      <c r="H275" s="40"/>
      <c r="I275" s="40"/>
      <c r="J275" s="245">
        <f>IF(J273=0,"Not Calculated",IF(J274="N/A",0,IF(J274="No Nurses",4,IF((J274/J273)&lt;=1,0,IF((J274/J273)&lt;=1.1,1,IF((J274/J273)&lt;=1=1.25,2,IF((J274/J273)&lt;=1.5,3,4)))))))</f>
        <v>0</v>
      </c>
      <c r="K275" s="41"/>
    </row>
    <row r="276" spans="2:14" ht="9.75" customHeight="1" x14ac:dyDescent="0.2">
      <c r="B276" s="38"/>
      <c r="C276" s="279" t="str">
        <f>"0:"</f>
        <v>0:</v>
      </c>
      <c r="D276" s="278" t="s">
        <v>927</v>
      </c>
      <c r="E276" s="40"/>
      <c r="F276" s="40"/>
      <c r="G276" s="40"/>
      <c r="H276" s="40"/>
      <c r="I276" s="40"/>
      <c r="J276" s="258"/>
      <c r="K276" s="41"/>
    </row>
    <row r="277" spans="2:14" ht="9.75" customHeight="1" x14ac:dyDescent="0.2">
      <c r="B277" s="38"/>
      <c r="C277" s="280" t="str">
        <f>"1:"</f>
        <v>1:</v>
      </c>
      <c r="D277" s="278" t="s">
        <v>928</v>
      </c>
      <c r="E277" s="40"/>
      <c r="F277" s="40"/>
      <c r="G277" s="40"/>
      <c r="H277" s="40"/>
      <c r="I277" s="40"/>
      <c r="J277" s="258"/>
      <c r="K277" s="41"/>
    </row>
    <row r="278" spans="2:14" ht="9.75" customHeight="1" x14ac:dyDescent="0.2">
      <c r="B278" s="38"/>
      <c r="C278" s="280" t="str">
        <f>"2:"</f>
        <v>2:</v>
      </c>
      <c r="D278" s="278" t="s">
        <v>929</v>
      </c>
      <c r="E278" s="40"/>
      <c r="F278" s="40"/>
      <c r="G278" s="40"/>
      <c r="H278" s="40"/>
      <c r="I278" s="40"/>
      <c r="J278" s="258"/>
      <c r="K278" s="41"/>
    </row>
    <row r="279" spans="2:14" ht="9.75" customHeight="1" x14ac:dyDescent="0.2">
      <c r="B279" s="38"/>
      <c r="C279" s="280" t="str">
        <f>"3:"</f>
        <v>3:</v>
      </c>
      <c r="D279" s="278" t="s">
        <v>930</v>
      </c>
      <c r="E279" s="40"/>
      <c r="F279" s="40"/>
      <c r="G279" s="40"/>
      <c r="H279" s="40"/>
      <c r="I279" s="40"/>
      <c r="J279" s="258"/>
      <c r="K279" s="41"/>
    </row>
    <row r="280" spans="2:14" ht="9.75" customHeight="1" x14ac:dyDescent="0.2">
      <c r="B280" s="38"/>
      <c r="C280" s="280" t="str">
        <f>"4:"</f>
        <v>4:</v>
      </c>
      <c r="D280" s="278" t="s">
        <v>931</v>
      </c>
      <c r="E280" s="40"/>
      <c r="F280" s="40"/>
      <c r="G280" s="40"/>
      <c r="H280" s="40"/>
      <c r="I280" s="40"/>
      <c r="J280" s="40"/>
      <c r="K280" s="41"/>
      <c r="N280" s="12" t="s">
        <v>661</v>
      </c>
    </row>
    <row r="281" spans="2:14" x14ac:dyDescent="0.2">
      <c r="B281" s="38"/>
      <c r="C281" s="174" t="s">
        <v>662</v>
      </c>
      <c r="D281" s="40"/>
      <c r="E281" s="40"/>
      <c r="F281" s="40"/>
      <c r="G281" s="40"/>
      <c r="H281" s="40"/>
      <c r="I281" s="40"/>
      <c r="J281" s="265" t="s">
        <v>661</v>
      </c>
      <c r="K281" s="41"/>
      <c r="N281" s="12" t="s">
        <v>903</v>
      </c>
    </row>
    <row r="282" spans="2:14" x14ac:dyDescent="0.2">
      <c r="B282" s="38"/>
      <c r="C282" s="174" t="s">
        <v>660</v>
      </c>
      <c r="D282" s="40"/>
      <c r="E282" s="40"/>
      <c r="F282" s="40"/>
      <c r="G282" s="40"/>
      <c r="H282" s="40"/>
      <c r="I282" s="40"/>
      <c r="J282" s="246" t="str">
        <f>IF(J281=N280,"N/A",IF(J281=N281,0,IF(J281=N282,1,IF(J281=N283,2,IF(J281=N284,3,IF(J281=N285,4,"N/A"))))))</f>
        <v>N/A</v>
      </c>
      <c r="K282" s="41"/>
      <c r="N282" s="12" t="s">
        <v>904</v>
      </c>
    </row>
    <row r="283" spans="2:14" x14ac:dyDescent="0.2">
      <c r="B283" s="38"/>
      <c r="C283" s="40" t="s">
        <v>257</v>
      </c>
      <c r="D283" s="40"/>
      <c r="E283" s="40"/>
      <c r="F283" s="40"/>
      <c r="G283" s="40"/>
      <c r="H283" s="40"/>
      <c r="I283" s="40"/>
      <c r="J283" s="266"/>
      <c r="K283" s="41"/>
      <c r="N283" s="12" t="s">
        <v>905</v>
      </c>
    </row>
    <row r="284" spans="2:14" x14ac:dyDescent="0.2">
      <c r="B284" s="38"/>
      <c r="C284" s="40" t="s">
        <v>261</v>
      </c>
      <c r="D284" s="40"/>
      <c r="E284" s="40"/>
      <c r="F284" s="40"/>
      <c r="G284" s="40"/>
      <c r="H284" s="40"/>
      <c r="I284" s="40"/>
      <c r="J284" s="248" t="str">
        <f>IF(J283=$B$973,$A$973,IF(J283=$B$974,$A$974,IF(J283=$B$975,$A$975,IF(J283=$B$976,$A$976,IF(J283=$B$977,$A$977,"Not Calculated")))))</f>
        <v>Not Calculated</v>
      </c>
      <c r="K284" s="41"/>
      <c r="N284" s="12" t="s">
        <v>906</v>
      </c>
    </row>
    <row r="285" spans="2:14" x14ac:dyDescent="0.2">
      <c r="B285" s="38"/>
      <c r="C285" s="40" t="s">
        <v>893</v>
      </c>
      <c r="D285" s="40"/>
      <c r="E285" s="40"/>
      <c r="F285" s="40"/>
      <c r="G285" s="40"/>
      <c r="H285" s="40"/>
      <c r="I285" s="40"/>
      <c r="J285" s="40"/>
      <c r="K285" s="41"/>
      <c r="N285" s="12" t="s">
        <v>907</v>
      </c>
    </row>
    <row r="286" spans="2:14" x14ac:dyDescent="0.2">
      <c r="B286" s="38"/>
      <c r="C286" s="399"/>
      <c r="D286" s="400"/>
      <c r="E286" s="400"/>
      <c r="F286" s="400"/>
      <c r="G286" s="400"/>
      <c r="H286" s="400"/>
      <c r="I286" s="400"/>
      <c r="J286" s="401"/>
      <c r="K286" s="41"/>
    </row>
    <row r="287" spans="2:14" x14ac:dyDescent="0.2">
      <c r="B287" s="38"/>
      <c r="C287" s="40"/>
      <c r="D287" s="40"/>
      <c r="E287" s="40"/>
      <c r="F287" s="40"/>
      <c r="G287" s="40"/>
      <c r="H287" s="40"/>
      <c r="I287" s="40"/>
      <c r="J287" s="40"/>
      <c r="K287" s="41"/>
    </row>
    <row r="288" spans="2:14" x14ac:dyDescent="0.2">
      <c r="B288" s="38"/>
      <c r="C288" s="179" t="s">
        <v>295</v>
      </c>
      <c r="D288" s="40"/>
      <c r="E288" s="40"/>
      <c r="F288" s="40"/>
      <c r="G288" s="40"/>
      <c r="H288" s="40"/>
      <c r="I288" s="40"/>
      <c r="J288" s="245" t="str">
        <f>IF(J282="N/A",IF(OR(J275="Not Calculated",J284="Not Calculated")=TRUE,"Not Calculated",AVERAGE(J275,J284)),AVERAGE(J282,J284))</f>
        <v>Not Calculated</v>
      </c>
      <c r="K288" s="41"/>
    </row>
    <row r="289" spans="2:11" x14ac:dyDescent="0.2">
      <c r="B289" s="38"/>
      <c r="C289" s="40"/>
      <c r="D289" s="40"/>
      <c r="E289" s="40"/>
      <c r="F289" s="40"/>
      <c r="G289" s="40"/>
      <c r="H289" s="40"/>
      <c r="I289" s="40"/>
      <c r="J289" s="245"/>
      <c r="K289" s="41"/>
    </row>
    <row r="290" spans="2:11" x14ac:dyDescent="0.2">
      <c r="B290" s="38"/>
      <c r="C290" s="40"/>
      <c r="D290" s="40"/>
      <c r="E290" s="40"/>
      <c r="F290" s="40"/>
      <c r="G290" s="40"/>
      <c r="H290" s="40"/>
      <c r="I290" s="40"/>
      <c r="J290" s="40"/>
      <c r="K290" s="41"/>
    </row>
    <row r="291" spans="2:11" ht="16" x14ac:dyDescent="0.2">
      <c r="B291" s="38"/>
      <c r="C291" s="45" t="s">
        <v>856</v>
      </c>
      <c r="D291" s="40"/>
      <c r="E291" s="40"/>
      <c r="F291" s="40"/>
      <c r="G291" s="40"/>
      <c r="H291" s="40"/>
      <c r="I291" s="40"/>
      <c r="J291" s="40"/>
      <c r="K291" s="41"/>
    </row>
    <row r="292" spans="2:11" ht="15" customHeight="1" x14ac:dyDescent="0.2">
      <c r="B292" s="38"/>
      <c r="C292" s="380" t="s">
        <v>855</v>
      </c>
      <c r="D292" s="380"/>
      <c r="E292" s="380"/>
      <c r="F292" s="380"/>
      <c r="G292" s="380"/>
      <c r="H292" s="380"/>
      <c r="I292" s="380"/>
      <c r="J292" s="40"/>
      <c r="K292" s="41"/>
    </row>
    <row r="293" spans="2:11" x14ac:dyDescent="0.2">
      <c r="B293" s="38"/>
      <c r="C293" s="380"/>
      <c r="D293" s="380"/>
      <c r="E293" s="380"/>
      <c r="F293" s="380"/>
      <c r="G293" s="380"/>
      <c r="H293" s="380"/>
      <c r="I293" s="380"/>
      <c r="J293" s="264"/>
      <c r="K293" s="41"/>
    </row>
    <row r="294" spans="2:11" x14ac:dyDescent="0.2">
      <c r="B294" s="38"/>
      <c r="C294" s="40" t="s">
        <v>853</v>
      </c>
      <c r="D294" s="291"/>
      <c r="E294" s="291"/>
      <c r="F294" s="291"/>
      <c r="G294" s="291"/>
      <c r="H294" s="291"/>
      <c r="I294" s="291"/>
      <c r="J294" s="255">
        <f>'Baseline Health'!$G$102</f>
        <v>0</v>
      </c>
      <c r="K294" s="41"/>
    </row>
    <row r="295" spans="2:11" x14ac:dyDescent="0.2">
      <c r="B295" s="38"/>
      <c r="C295" s="40" t="s">
        <v>842</v>
      </c>
      <c r="D295" s="40"/>
      <c r="E295" s="40"/>
      <c r="F295" s="40"/>
      <c r="G295" s="40"/>
      <c r="H295" s="40"/>
      <c r="I295" s="40"/>
      <c r="J295" s="244" t="str">
        <f>IF('Baseline Health'!$G$102=0,"Not Calculated",100*J293/'Baseline Health'!$G$102)</f>
        <v>Not Calculated</v>
      </c>
      <c r="K295" s="41"/>
    </row>
    <row r="296" spans="2:11" x14ac:dyDescent="0.2">
      <c r="B296" s="38"/>
      <c r="C296" s="40" t="s">
        <v>260</v>
      </c>
      <c r="D296" s="40"/>
      <c r="E296" s="40"/>
      <c r="F296" s="40"/>
      <c r="G296" s="40"/>
      <c r="H296" s="40"/>
      <c r="I296" s="40"/>
      <c r="J296" s="245">
        <f>IF(J295&lt;=0,0,IF(J295&lt;=1,1,IF(J295&lt;=5,2,IF(J295&lt;=10,3,4))))</f>
        <v>4</v>
      </c>
      <c r="K296" s="41"/>
    </row>
    <row r="297" spans="2:11" ht="9.75" customHeight="1" x14ac:dyDescent="0.2">
      <c r="B297" s="38"/>
      <c r="C297" s="279" t="str">
        <f>"0:"</f>
        <v>0:</v>
      </c>
      <c r="D297" s="278" t="s">
        <v>932</v>
      </c>
      <c r="E297" s="40"/>
      <c r="F297" s="40"/>
      <c r="G297" s="40"/>
      <c r="H297" s="40"/>
      <c r="I297" s="40"/>
      <c r="J297" s="244"/>
      <c r="K297" s="41"/>
    </row>
    <row r="298" spans="2:11" ht="9.75" customHeight="1" x14ac:dyDescent="0.2">
      <c r="B298" s="38"/>
      <c r="C298" s="280" t="str">
        <f>"1:"</f>
        <v>1:</v>
      </c>
      <c r="D298" s="278" t="s">
        <v>934</v>
      </c>
      <c r="E298" s="40"/>
      <c r="F298" s="40"/>
      <c r="G298" s="40"/>
      <c r="H298" s="40"/>
      <c r="I298" s="40"/>
      <c r="J298" s="244"/>
      <c r="K298" s="41"/>
    </row>
    <row r="299" spans="2:11" ht="9.75" customHeight="1" x14ac:dyDescent="0.2">
      <c r="B299" s="38"/>
      <c r="C299" s="280" t="str">
        <f>"2:"</f>
        <v>2:</v>
      </c>
      <c r="D299" s="278" t="s">
        <v>933</v>
      </c>
      <c r="E299" s="40"/>
      <c r="F299" s="40"/>
      <c r="G299" s="40"/>
      <c r="H299" s="40"/>
      <c r="I299" s="40"/>
      <c r="J299" s="244"/>
      <c r="K299" s="41"/>
    </row>
    <row r="300" spans="2:11" ht="9.75" customHeight="1" x14ac:dyDescent="0.2">
      <c r="B300" s="38"/>
      <c r="C300" s="280" t="str">
        <f>"3:"</f>
        <v>3:</v>
      </c>
      <c r="D300" s="278" t="s">
        <v>935</v>
      </c>
      <c r="E300" s="40"/>
      <c r="F300" s="40"/>
      <c r="G300" s="40"/>
      <c r="H300" s="40"/>
      <c r="I300" s="40"/>
      <c r="J300" s="244"/>
      <c r="K300" s="41"/>
    </row>
    <row r="301" spans="2:11" ht="9.75" customHeight="1" x14ac:dyDescent="0.2">
      <c r="B301" s="38"/>
      <c r="C301" s="280" t="str">
        <f>"4:"</f>
        <v>4:</v>
      </c>
      <c r="D301" s="278" t="s">
        <v>936</v>
      </c>
      <c r="E301" s="40"/>
      <c r="F301" s="40"/>
      <c r="G301" s="40"/>
      <c r="H301" s="40"/>
      <c r="I301" s="40"/>
      <c r="J301" s="40"/>
      <c r="K301" s="41"/>
    </row>
    <row r="302" spans="2:11" x14ac:dyDescent="0.2">
      <c r="B302" s="38"/>
      <c r="C302" s="40" t="s">
        <v>257</v>
      </c>
      <c r="D302" s="40"/>
      <c r="E302" s="40"/>
      <c r="F302" s="40"/>
      <c r="G302" s="40"/>
      <c r="H302" s="40"/>
      <c r="I302" s="40"/>
      <c r="J302" s="266"/>
      <c r="K302" s="41"/>
    </row>
    <row r="303" spans="2:11" x14ac:dyDescent="0.2">
      <c r="B303" s="38"/>
      <c r="C303" s="40" t="s">
        <v>261</v>
      </c>
      <c r="D303" s="40"/>
      <c r="E303" s="40"/>
      <c r="F303" s="40"/>
      <c r="G303" s="40"/>
      <c r="H303" s="40"/>
      <c r="I303" s="40"/>
      <c r="J303" s="245" t="str">
        <f>IF(J302=$B$980,$A$980,IF(J302=$B$981,$A$981,IF(J302=$B$982,$A$982,IF(J302=$B$983,$A$983,IF(J302=$B$984,$A$984,"Not Calculated")))))</f>
        <v>Not Calculated</v>
      </c>
      <c r="K303" s="41"/>
    </row>
    <row r="304" spans="2:11" x14ac:dyDescent="0.2">
      <c r="B304" s="38"/>
      <c r="C304" s="40" t="s">
        <v>893</v>
      </c>
      <c r="D304" s="40"/>
      <c r="E304" s="40"/>
      <c r="F304" s="40"/>
      <c r="G304" s="40"/>
      <c r="H304" s="40"/>
      <c r="I304" s="40"/>
      <c r="J304" s="40"/>
      <c r="K304" s="41"/>
    </row>
    <row r="305" spans="2:11" ht="15" customHeight="1" x14ac:dyDescent="0.2">
      <c r="B305" s="38"/>
      <c r="C305" s="399"/>
      <c r="D305" s="400"/>
      <c r="E305" s="400"/>
      <c r="F305" s="400"/>
      <c r="G305" s="400"/>
      <c r="H305" s="400"/>
      <c r="I305" s="400"/>
      <c r="J305" s="401"/>
      <c r="K305" s="41"/>
    </row>
    <row r="306" spans="2:11" x14ac:dyDescent="0.2">
      <c r="B306" s="38"/>
      <c r="C306" s="40"/>
      <c r="D306" s="40"/>
      <c r="E306" s="40"/>
      <c r="F306" s="40"/>
      <c r="G306" s="40"/>
      <c r="H306" s="40"/>
      <c r="I306" s="40"/>
      <c r="J306" s="40"/>
      <c r="K306" s="41"/>
    </row>
    <row r="307" spans="2:11" x14ac:dyDescent="0.2">
      <c r="B307" s="38"/>
      <c r="C307" s="179" t="s">
        <v>885</v>
      </c>
      <c r="D307" s="40"/>
      <c r="E307" s="40"/>
      <c r="F307" s="40"/>
      <c r="G307" s="40"/>
      <c r="H307" s="40"/>
      <c r="I307" s="40"/>
      <c r="J307" s="245" t="str">
        <f>IF(OR(J296="Not Calculated",J303="Not Calculated")=TRUE,"Not Calculated",AVERAGE(J296,J303))</f>
        <v>Not Calculated</v>
      </c>
      <c r="K307" s="41"/>
    </row>
    <row r="308" spans="2:11" x14ac:dyDescent="0.2">
      <c r="B308" s="38"/>
      <c r="C308" s="40"/>
      <c r="D308" s="40"/>
      <c r="E308" s="40"/>
      <c r="F308" s="40"/>
      <c r="G308" s="40"/>
      <c r="H308" s="40"/>
      <c r="I308" s="40"/>
      <c r="J308" s="40"/>
      <c r="K308" s="41"/>
    </row>
    <row r="309" spans="2:11" x14ac:dyDescent="0.2">
      <c r="B309" s="38"/>
      <c r="C309" s="40"/>
      <c r="D309" s="40"/>
      <c r="E309" s="40"/>
      <c r="F309" s="40"/>
      <c r="G309" s="40"/>
      <c r="H309" s="40"/>
      <c r="I309" s="40"/>
      <c r="J309" s="40"/>
      <c r="K309" s="41"/>
    </row>
    <row r="310" spans="2:11" ht="16" x14ac:dyDescent="0.2">
      <c r="B310" s="38"/>
      <c r="C310" s="45" t="s">
        <v>857</v>
      </c>
      <c r="D310" s="40"/>
      <c r="E310" s="40"/>
      <c r="F310" s="40"/>
      <c r="G310" s="40"/>
      <c r="H310" s="40"/>
      <c r="I310" s="40"/>
      <c r="J310" s="40"/>
      <c r="K310" s="41"/>
    </row>
    <row r="311" spans="2:11" x14ac:dyDescent="0.2">
      <c r="B311" s="38"/>
      <c r="C311" s="380" t="s">
        <v>843</v>
      </c>
      <c r="D311" s="380"/>
      <c r="E311" s="380"/>
      <c r="F311" s="380"/>
      <c r="G311" s="380"/>
      <c r="H311" s="380"/>
      <c r="I311" s="380"/>
      <c r="J311" s="40"/>
      <c r="K311" s="41"/>
    </row>
    <row r="312" spans="2:11" x14ac:dyDescent="0.2">
      <c r="B312" s="38"/>
      <c r="C312" s="380"/>
      <c r="D312" s="380"/>
      <c r="E312" s="380"/>
      <c r="F312" s="380"/>
      <c r="G312" s="380"/>
      <c r="H312" s="380"/>
      <c r="I312" s="380"/>
      <c r="J312" s="264"/>
      <c r="K312" s="41"/>
    </row>
    <row r="313" spans="2:11" x14ac:dyDescent="0.2">
      <c r="B313" s="38"/>
      <c r="C313" s="40" t="s">
        <v>853</v>
      </c>
      <c r="D313" s="291"/>
      <c r="E313" s="291"/>
      <c r="F313" s="291"/>
      <c r="G313" s="291"/>
      <c r="H313" s="291"/>
      <c r="I313" s="291"/>
      <c r="J313" s="255">
        <f>'Baseline Health'!$G$102</f>
        <v>0</v>
      </c>
      <c r="K313" s="41"/>
    </row>
    <row r="314" spans="2:11" x14ac:dyDescent="0.2">
      <c r="B314" s="38"/>
      <c r="C314" s="40" t="s">
        <v>842</v>
      </c>
      <c r="D314" s="40"/>
      <c r="E314" s="40"/>
      <c r="F314" s="40"/>
      <c r="G314" s="40"/>
      <c r="H314" s="40"/>
      <c r="I314" s="40"/>
      <c r="J314" s="244" t="str">
        <f>IF('Baseline Health'!$G$102=0,"Not Calculated",100*J312/'Baseline Health'!$G$102)</f>
        <v>Not Calculated</v>
      </c>
      <c r="K314" s="41"/>
    </row>
    <row r="315" spans="2:11" x14ac:dyDescent="0.2">
      <c r="B315" s="38"/>
      <c r="C315" s="40" t="s">
        <v>260</v>
      </c>
      <c r="D315" s="40"/>
      <c r="E315" s="40"/>
      <c r="F315" s="40"/>
      <c r="G315" s="40"/>
      <c r="H315" s="40"/>
      <c r="I315" s="40"/>
      <c r="J315" s="245">
        <f>IF(J314&lt;=0,0,IF(J314&lt;=1,1,IF(J314&lt;=5,2,IF(J314&lt;=10,3,4))))</f>
        <v>4</v>
      </c>
      <c r="K315" s="41"/>
    </row>
    <row r="316" spans="2:11" ht="9.75" customHeight="1" x14ac:dyDescent="0.2">
      <c r="B316" s="38"/>
      <c r="C316" s="279" t="str">
        <f>"0:"</f>
        <v>0:</v>
      </c>
      <c r="D316" s="278" t="s">
        <v>932</v>
      </c>
      <c r="E316" s="40"/>
      <c r="F316" s="40"/>
      <c r="G316" s="40"/>
      <c r="H316" s="40"/>
      <c r="I316" s="40"/>
      <c r="J316" s="244"/>
      <c r="K316" s="41"/>
    </row>
    <row r="317" spans="2:11" ht="9.75" customHeight="1" x14ac:dyDescent="0.2">
      <c r="B317" s="38"/>
      <c r="C317" s="280" t="str">
        <f>"1:"</f>
        <v>1:</v>
      </c>
      <c r="D317" s="278" t="s">
        <v>934</v>
      </c>
      <c r="E317" s="40"/>
      <c r="F317" s="40"/>
      <c r="G317" s="40"/>
      <c r="H317" s="40"/>
      <c r="I317" s="40"/>
      <c r="J317" s="244"/>
      <c r="K317" s="41"/>
    </row>
    <row r="318" spans="2:11" ht="9.75" customHeight="1" x14ac:dyDescent="0.2">
      <c r="B318" s="38"/>
      <c r="C318" s="280" t="str">
        <f>"2:"</f>
        <v>2:</v>
      </c>
      <c r="D318" s="278" t="s">
        <v>933</v>
      </c>
      <c r="E318" s="40"/>
      <c r="F318" s="40"/>
      <c r="G318" s="40"/>
      <c r="H318" s="40"/>
      <c r="I318" s="40"/>
      <c r="J318" s="244"/>
      <c r="K318" s="41"/>
    </row>
    <row r="319" spans="2:11" ht="9.75" customHeight="1" x14ac:dyDescent="0.2">
      <c r="B319" s="38"/>
      <c r="C319" s="280" t="str">
        <f>"3:"</f>
        <v>3:</v>
      </c>
      <c r="D319" s="278" t="s">
        <v>935</v>
      </c>
      <c r="E319" s="40"/>
      <c r="F319" s="40"/>
      <c r="G319" s="40"/>
      <c r="H319" s="40"/>
      <c r="I319" s="40"/>
      <c r="J319" s="244"/>
      <c r="K319" s="41"/>
    </row>
    <row r="320" spans="2:11" ht="9.75" customHeight="1" x14ac:dyDescent="0.2">
      <c r="B320" s="38"/>
      <c r="C320" s="280" t="str">
        <f>"4:"</f>
        <v>4:</v>
      </c>
      <c r="D320" s="278" t="s">
        <v>936</v>
      </c>
      <c r="E320" s="40"/>
      <c r="F320" s="40"/>
      <c r="G320" s="40"/>
      <c r="H320" s="40"/>
      <c r="I320" s="40"/>
      <c r="J320" s="40"/>
      <c r="K320" s="41"/>
    </row>
    <row r="321" spans="2:11" x14ac:dyDescent="0.2">
      <c r="B321" s="38"/>
      <c r="C321" s="40" t="s">
        <v>296</v>
      </c>
      <c r="D321" s="40"/>
      <c r="E321" s="40"/>
      <c r="F321" s="40"/>
      <c r="G321" s="40"/>
      <c r="H321" s="40"/>
      <c r="I321" s="40"/>
      <c r="J321" s="266"/>
      <c r="K321" s="41"/>
    </row>
    <row r="322" spans="2:11" x14ac:dyDescent="0.2">
      <c r="B322" s="38"/>
      <c r="C322" s="40" t="s">
        <v>261</v>
      </c>
      <c r="D322" s="40"/>
      <c r="E322" s="40"/>
      <c r="F322" s="40"/>
      <c r="G322" s="40"/>
      <c r="H322" s="40"/>
      <c r="I322" s="40"/>
      <c r="J322" s="245">
        <f>IF(J321&lt;=0,0,IF(J321&lt;=2,1,IF(J321&lt;=6,2,IF(J321&lt;=12,3,4))))</f>
        <v>0</v>
      </c>
      <c r="K322" s="41"/>
    </row>
    <row r="323" spans="2:11" x14ac:dyDescent="0.2">
      <c r="B323" s="38"/>
      <c r="C323" s="40" t="s">
        <v>893</v>
      </c>
      <c r="D323" s="40"/>
      <c r="E323" s="40"/>
      <c r="F323" s="40"/>
      <c r="G323" s="40"/>
      <c r="H323" s="40"/>
      <c r="I323" s="40"/>
      <c r="J323" s="40"/>
      <c r="K323" s="41"/>
    </row>
    <row r="324" spans="2:11" ht="15" customHeight="1" x14ac:dyDescent="0.2">
      <c r="B324" s="38"/>
      <c r="C324" s="399"/>
      <c r="D324" s="400"/>
      <c r="E324" s="400"/>
      <c r="F324" s="400"/>
      <c r="G324" s="400"/>
      <c r="H324" s="400"/>
      <c r="I324" s="400"/>
      <c r="J324" s="401"/>
      <c r="K324" s="41"/>
    </row>
    <row r="325" spans="2:11" x14ac:dyDescent="0.2">
      <c r="B325" s="38"/>
      <c r="C325" s="40"/>
      <c r="D325" s="40"/>
      <c r="E325" s="40"/>
      <c r="F325" s="40"/>
      <c r="G325" s="40"/>
      <c r="H325" s="40"/>
      <c r="I325" s="40"/>
      <c r="J325" s="40"/>
      <c r="K325" s="41"/>
    </row>
    <row r="326" spans="2:11" x14ac:dyDescent="0.2">
      <c r="B326" s="38"/>
      <c r="C326" s="179" t="s">
        <v>886</v>
      </c>
      <c r="D326" s="40"/>
      <c r="E326" s="40"/>
      <c r="F326" s="40"/>
      <c r="G326" s="40"/>
      <c r="H326" s="40"/>
      <c r="I326" s="40"/>
      <c r="J326" s="245">
        <f>IF(OR(J315="Not Calculated",J322="Not Calculated")=TRUE,"Not Calculated",AVERAGE(J315,J322))</f>
        <v>2</v>
      </c>
      <c r="K326" s="41"/>
    </row>
    <row r="327" spans="2:11" x14ac:dyDescent="0.2">
      <c r="B327" s="38"/>
      <c r="C327" s="40"/>
      <c r="D327" s="40"/>
      <c r="E327" s="40"/>
      <c r="F327" s="40"/>
      <c r="G327" s="40"/>
      <c r="H327" s="40"/>
      <c r="I327" s="40"/>
      <c r="J327" s="40"/>
      <c r="K327" s="41"/>
    </row>
    <row r="328" spans="2:11" x14ac:dyDescent="0.2">
      <c r="B328" s="38"/>
      <c r="C328" s="40"/>
      <c r="D328" s="40"/>
      <c r="E328" s="40"/>
      <c r="F328" s="40"/>
      <c r="G328" s="40"/>
      <c r="H328" s="40"/>
      <c r="I328" s="40"/>
      <c r="J328" s="40"/>
      <c r="K328" s="41"/>
    </row>
    <row r="329" spans="2:11" ht="16" x14ac:dyDescent="0.2">
      <c r="B329" s="38"/>
      <c r="C329" s="45" t="s">
        <v>858</v>
      </c>
      <c r="D329" s="40"/>
      <c r="E329" s="40"/>
      <c r="F329" s="40"/>
      <c r="G329" s="40"/>
      <c r="H329" s="40"/>
      <c r="I329" s="40"/>
      <c r="J329" s="40"/>
      <c r="K329" s="41"/>
    </row>
    <row r="330" spans="2:11" ht="15" customHeight="1" x14ac:dyDescent="0.2">
      <c r="B330" s="38"/>
      <c r="C330" s="380" t="s">
        <v>844</v>
      </c>
      <c r="D330" s="380"/>
      <c r="E330" s="380"/>
      <c r="F330" s="380"/>
      <c r="G330" s="380"/>
      <c r="H330" s="380"/>
      <c r="I330" s="380"/>
      <c r="J330" s="40"/>
      <c r="K330" s="41"/>
    </row>
    <row r="331" spans="2:11" x14ac:dyDescent="0.2">
      <c r="B331" s="38"/>
      <c r="C331" s="380"/>
      <c r="D331" s="380"/>
      <c r="E331" s="380"/>
      <c r="F331" s="380"/>
      <c r="G331" s="380"/>
      <c r="H331" s="380"/>
      <c r="I331" s="380"/>
      <c r="J331" s="264"/>
      <c r="K331" s="41"/>
    </row>
    <row r="332" spans="2:11" x14ac:dyDescent="0.2">
      <c r="B332" s="38"/>
      <c r="C332" s="40" t="s">
        <v>853</v>
      </c>
      <c r="D332" s="291"/>
      <c r="E332" s="291"/>
      <c r="F332" s="291"/>
      <c r="G332" s="291"/>
      <c r="H332" s="291"/>
      <c r="I332" s="291"/>
      <c r="J332" s="255">
        <f>'Baseline Health'!$G$102</f>
        <v>0</v>
      </c>
      <c r="K332" s="41"/>
    </row>
    <row r="333" spans="2:11" x14ac:dyDescent="0.2">
      <c r="B333" s="38"/>
      <c r="C333" s="40" t="s">
        <v>845</v>
      </c>
      <c r="D333" s="40"/>
      <c r="E333" s="40"/>
      <c r="F333" s="40"/>
      <c r="G333" s="40"/>
      <c r="H333" s="40"/>
      <c r="I333" s="40"/>
      <c r="J333" s="244" t="str">
        <f>IF('Baseline Health'!$G$102=0,"Not Calculated",100*J331/'Baseline Health'!$G$102)</f>
        <v>Not Calculated</v>
      </c>
      <c r="K333" s="41"/>
    </row>
    <row r="334" spans="2:11" x14ac:dyDescent="0.2">
      <c r="B334" s="38"/>
      <c r="C334" s="40" t="s">
        <v>260</v>
      </c>
      <c r="D334" s="40"/>
      <c r="E334" s="40"/>
      <c r="F334" s="40"/>
      <c r="G334" s="40"/>
      <c r="H334" s="40"/>
      <c r="I334" s="40"/>
      <c r="J334" s="245">
        <f>IF(J333&lt;=0,0,IF(J333&lt;=1,1,IF(J333&lt;=5,2,IF(J333&lt;=10,3,4))))</f>
        <v>4</v>
      </c>
      <c r="K334" s="41"/>
    </row>
    <row r="335" spans="2:11" ht="9.75" customHeight="1" x14ac:dyDescent="0.2">
      <c r="B335" s="38"/>
      <c r="C335" s="279" t="str">
        <f>"0:"</f>
        <v>0:</v>
      </c>
      <c r="D335" s="278" t="s">
        <v>932</v>
      </c>
      <c r="E335" s="40"/>
      <c r="F335" s="40"/>
      <c r="G335" s="40"/>
      <c r="H335" s="40"/>
      <c r="I335" s="40"/>
      <c r="J335" s="244"/>
      <c r="K335" s="41"/>
    </row>
    <row r="336" spans="2:11" ht="9.75" customHeight="1" x14ac:dyDescent="0.2">
      <c r="B336" s="38"/>
      <c r="C336" s="280" t="str">
        <f>"1:"</f>
        <v>1:</v>
      </c>
      <c r="D336" s="278" t="s">
        <v>934</v>
      </c>
      <c r="E336" s="40"/>
      <c r="F336" s="40"/>
      <c r="G336" s="40"/>
      <c r="H336" s="40"/>
      <c r="I336" s="40"/>
      <c r="J336" s="244"/>
      <c r="K336" s="41"/>
    </row>
    <row r="337" spans="2:11" ht="9.75" customHeight="1" x14ac:dyDescent="0.2">
      <c r="B337" s="38"/>
      <c r="C337" s="280" t="str">
        <f>"2:"</f>
        <v>2:</v>
      </c>
      <c r="D337" s="278" t="s">
        <v>933</v>
      </c>
      <c r="E337" s="40"/>
      <c r="F337" s="40"/>
      <c r="G337" s="40"/>
      <c r="H337" s="40"/>
      <c r="I337" s="40"/>
      <c r="J337" s="244"/>
      <c r="K337" s="41"/>
    </row>
    <row r="338" spans="2:11" ht="9.75" customHeight="1" x14ac:dyDescent="0.2">
      <c r="B338" s="38"/>
      <c r="C338" s="280" t="str">
        <f>"3:"</f>
        <v>3:</v>
      </c>
      <c r="D338" s="278" t="s">
        <v>935</v>
      </c>
      <c r="E338" s="40"/>
      <c r="F338" s="40"/>
      <c r="G338" s="40"/>
      <c r="H338" s="40"/>
      <c r="I338" s="40"/>
      <c r="J338" s="244"/>
      <c r="K338" s="41"/>
    </row>
    <row r="339" spans="2:11" ht="9.75" customHeight="1" x14ac:dyDescent="0.2">
      <c r="B339" s="38"/>
      <c r="C339" s="280" t="str">
        <f>"4:"</f>
        <v>4:</v>
      </c>
      <c r="D339" s="278" t="s">
        <v>936</v>
      </c>
      <c r="E339" s="40"/>
      <c r="F339" s="40"/>
      <c r="G339" s="40"/>
      <c r="H339" s="40"/>
      <c r="I339" s="40"/>
      <c r="J339" s="40"/>
      <c r="K339" s="41"/>
    </row>
    <row r="340" spans="2:11" x14ac:dyDescent="0.2">
      <c r="B340" s="38"/>
      <c r="C340" s="380" t="s">
        <v>84</v>
      </c>
      <c r="D340" s="380"/>
      <c r="E340" s="380"/>
      <c r="F340" s="380"/>
      <c r="G340" s="380"/>
      <c r="H340" s="380"/>
      <c r="I340" s="380"/>
      <c r="J340" s="245"/>
      <c r="K340" s="41"/>
    </row>
    <row r="341" spans="2:11" x14ac:dyDescent="0.2">
      <c r="B341" s="38"/>
      <c r="C341" s="380"/>
      <c r="D341" s="380"/>
      <c r="E341" s="380"/>
      <c r="F341" s="380"/>
      <c r="G341" s="380"/>
      <c r="H341" s="380"/>
      <c r="I341" s="380"/>
      <c r="J341" s="245">
        <f>'Baseline Health'!G108</f>
        <v>40</v>
      </c>
      <c r="K341" s="41"/>
    </row>
    <row r="342" spans="2:11" ht="15" customHeight="1" x14ac:dyDescent="0.2">
      <c r="B342" s="38"/>
      <c r="C342" s="40" t="s">
        <v>833</v>
      </c>
      <c r="D342" s="40"/>
      <c r="E342" s="40"/>
      <c r="F342" s="40"/>
      <c r="G342" s="40"/>
      <c r="H342" s="40"/>
      <c r="I342" s="40"/>
      <c r="J342" s="245">
        <f>IF(J341&gt;J321,0,J321-J341)</f>
        <v>0</v>
      </c>
      <c r="K342" s="41"/>
    </row>
    <row r="343" spans="2:11" x14ac:dyDescent="0.2">
      <c r="B343" s="38"/>
      <c r="C343" s="40"/>
      <c r="D343" s="380" t="s">
        <v>834</v>
      </c>
      <c r="E343" s="380"/>
      <c r="F343" s="380"/>
      <c r="G343" s="380"/>
      <c r="H343" s="380"/>
      <c r="I343" s="380"/>
      <c r="J343" s="40"/>
      <c r="K343" s="41"/>
    </row>
    <row r="344" spans="2:11" x14ac:dyDescent="0.2">
      <c r="B344" s="38"/>
      <c r="C344" s="40"/>
      <c r="D344" s="380"/>
      <c r="E344" s="380"/>
      <c r="F344" s="380"/>
      <c r="G344" s="380"/>
      <c r="H344" s="380"/>
      <c r="I344" s="380"/>
      <c r="J344" s="40"/>
      <c r="K344" s="41"/>
    </row>
    <row r="345" spans="2:11" x14ac:dyDescent="0.2">
      <c r="B345" s="38"/>
      <c r="C345" s="40" t="s">
        <v>261</v>
      </c>
      <c r="D345" s="40"/>
      <c r="E345" s="40"/>
      <c r="F345" s="40"/>
      <c r="G345" s="40"/>
      <c r="H345" s="40"/>
      <c r="I345" s="40"/>
      <c r="J345" s="245">
        <f>IF(J342&lt;=0,0,IF(J342&lt;=2,1,IF(J342&lt;=6,2,IF(J342&lt;=12,3,4))))</f>
        <v>0</v>
      </c>
      <c r="K345" s="41"/>
    </row>
    <row r="346" spans="2:11" x14ac:dyDescent="0.2">
      <c r="B346" s="38"/>
      <c r="C346" s="40" t="s">
        <v>893</v>
      </c>
      <c r="D346" s="40"/>
      <c r="E346" s="40"/>
      <c r="F346" s="40"/>
      <c r="G346" s="40"/>
      <c r="H346" s="40"/>
      <c r="I346" s="40"/>
      <c r="J346" s="40"/>
      <c r="K346" s="41"/>
    </row>
    <row r="347" spans="2:11" ht="15" customHeight="1" x14ac:dyDescent="0.2">
      <c r="B347" s="38"/>
      <c r="C347" s="399"/>
      <c r="D347" s="400"/>
      <c r="E347" s="400"/>
      <c r="F347" s="400"/>
      <c r="G347" s="400"/>
      <c r="H347" s="400"/>
      <c r="I347" s="400"/>
      <c r="J347" s="401"/>
      <c r="K347" s="41"/>
    </row>
    <row r="348" spans="2:11" x14ac:dyDescent="0.2">
      <c r="B348" s="38"/>
      <c r="C348" s="40"/>
      <c r="D348" s="40"/>
      <c r="E348" s="40"/>
      <c r="F348" s="40"/>
      <c r="G348" s="40"/>
      <c r="H348" s="40"/>
      <c r="I348" s="40"/>
      <c r="J348" s="40"/>
      <c r="K348" s="41"/>
    </row>
    <row r="349" spans="2:11" x14ac:dyDescent="0.2">
      <c r="B349" s="38"/>
      <c r="C349" s="179" t="s">
        <v>887</v>
      </c>
      <c r="D349" s="40"/>
      <c r="E349" s="40"/>
      <c r="F349" s="40"/>
      <c r="G349" s="40"/>
      <c r="H349" s="40"/>
      <c r="I349" s="40"/>
      <c r="J349" s="245">
        <f>IF(OR(J334="Not Calculated",J345="Not Calculated")=TRUE,"Not Calculated",AVERAGE(J334,J345))</f>
        <v>2</v>
      </c>
      <c r="K349" s="41"/>
    </row>
    <row r="350" spans="2:11" x14ac:dyDescent="0.2">
      <c r="B350" s="38"/>
      <c r="C350" s="40"/>
      <c r="D350" s="40"/>
      <c r="E350" s="40"/>
      <c r="F350" s="40"/>
      <c r="G350" s="40"/>
      <c r="H350" s="40"/>
      <c r="I350" s="40"/>
      <c r="J350" s="40"/>
      <c r="K350" s="41"/>
    </row>
    <row r="351" spans="2:11" x14ac:dyDescent="0.2">
      <c r="B351" s="38"/>
      <c r="C351" s="40"/>
      <c r="D351" s="40"/>
      <c r="E351" s="40"/>
      <c r="F351" s="40"/>
      <c r="G351" s="40"/>
      <c r="H351" s="40"/>
      <c r="I351" s="40"/>
      <c r="J351" s="40"/>
      <c r="K351" s="41"/>
    </row>
    <row r="352" spans="2:11" ht="15" customHeight="1" x14ac:dyDescent="0.2">
      <c r="B352" s="38"/>
      <c r="C352" s="45" t="s">
        <v>859</v>
      </c>
      <c r="D352" s="40"/>
      <c r="E352" s="40"/>
      <c r="F352" s="40"/>
      <c r="G352" s="40"/>
      <c r="H352" s="40"/>
      <c r="I352" s="40"/>
      <c r="J352" s="40"/>
      <c r="K352" s="41"/>
    </row>
    <row r="353" spans="2:11" x14ac:dyDescent="0.2">
      <c r="B353" s="38"/>
      <c r="C353" s="40" t="s">
        <v>846</v>
      </c>
      <c r="D353" s="40"/>
      <c r="E353" s="40"/>
      <c r="F353" s="40"/>
      <c r="G353" s="40"/>
      <c r="H353" s="40"/>
      <c r="I353" s="40"/>
      <c r="J353" s="264"/>
      <c r="K353" s="41"/>
    </row>
    <row r="354" spans="2:11" x14ac:dyDescent="0.2">
      <c r="B354" s="38"/>
      <c r="C354" s="40" t="s">
        <v>854</v>
      </c>
      <c r="D354" s="40"/>
      <c r="E354" s="40"/>
      <c r="F354" s="40"/>
      <c r="G354" s="40"/>
      <c r="H354" s="40"/>
      <c r="I354" s="40"/>
      <c r="J354" s="255">
        <f>'Baseline Health'!$G$59</f>
        <v>0</v>
      </c>
      <c r="K354" s="41"/>
    </row>
    <row r="355" spans="2:11" x14ac:dyDescent="0.2">
      <c r="B355" s="38"/>
      <c r="C355" s="40" t="s">
        <v>847</v>
      </c>
      <c r="D355" s="40"/>
      <c r="E355" s="40"/>
      <c r="F355" s="40"/>
      <c r="G355" s="40"/>
      <c r="H355" s="40"/>
      <c r="I355" s="40"/>
      <c r="J355" s="244">
        <f>IF(J353=0,0,IF('Baseline Health'!G$59=0,"Not Calculated",100*J353/'Baseline Health'!$G$59))</f>
        <v>0</v>
      </c>
      <c r="K355" s="41"/>
    </row>
    <row r="356" spans="2:11" x14ac:dyDescent="0.2">
      <c r="B356" s="38"/>
      <c r="C356" s="40" t="s">
        <v>260</v>
      </c>
      <c r="D356" s="40"/>
      <c r="E356" s="40"/>
      <c r="F356" s="40"/>
      <c r="G356" s="40"/>
      <c r="H356" s="40"/>
      <c r="I356" s="40"/>
      <c r="J356" s="245">
        <f>IF(J355&lt;=0,0,IF(J355&lt;=5,1,IF(J355&lt;=10,2,IF(J355&lt;=25,3,4))))</f>
        <v>0</v>
      </c>
      <c r="K356" s="41"/>
    </row>
    <row r="357" spans="2:11" ht="9.75" customHeight="1" x14ac:dyDescent="0.2">
      <c r="B357" s="38"/>
      <c r="C357" s="279" t="str">
        <f>"0:"</f>
        <v>0:</v>
      </c>
      <c r="D357" s="278" t="s">
        <v>932</v>
      </c>
      <c r="E357" s="40"/>
      <c r="F357" s="40"/>
      <c r="G357" s="40"/>
      <c r="H357" s="40"/>
      <c r="I357" s="40"/>
      <c r="J357" s="244"/>
      <c r="K357" s="41"/>
    </row>
    <row r="358" spans="2:11" ht="9.75" customHeight="1" x14ac:dyDescent="0.2">
      <c r="B358" s="38"/>
      <c r="C358" s="280" t="str">
        <f>"1:"</f>
        <v>1:</v>
      </c>
      <c r="D358" s="278" t="s">
        <v>933</v>
      </c>
      <c r="E358" s="40"/>
      <c r="F358" s="40"/>
      <c r="G358" s="40"/>
      <c r="H358" s="40"/>
      <c r="I358" s="40"/>
      <c r="J358" s="244"/>
      <c r="K358" s="41"/>
    </row>
    <row r="359" spans="2:11" ht="9.75" customHeight="1" x14ac:dyDescent="0.2">
      <c r="B359" s="38"/>
      <c r="C359" s="280" t="str">
        <f>"2:"</f>
        <v>2:</v>
      </c>
      <c r="D359" s="278" t="s">
        <v>935</v>
      </c>
      <c r="E359" s="40"/>
      <c r="F359" s="40"/>
      <c r="G359" s="40"/>
      <c r="H359" s="40"/>
      <c r="I359" s="40"/>
      <c r="J359" s="244"/>
      <c r="K359" s="41"/>
    </row>
    <row r="360" spans="2:11" ht="9.75" customHeight="1" x14ac:dyDescent="0.2">
      <c r="B360" s="38"/>
      <c r="C360" s="280" t="str">
        <f>"3:"</f>
        <v>3:</v>
      </c>
      <c r="D360" s="278" t="s">
        <v>937</v>
      </c>
      <c r="E360" s="40"/>
      <c r="F360" s="40"/>
      <c r="G360" s="40"/>
      <c r="H360" s="40"/>
      <c r="I360" s="40"/>
      <c r="J360" s="244"/>
      <c r="K360" s="41"/>
    </row>
    <row r="361" spans="2:11" ht="9.75" customHeight="1" x14ac:dyDescent="0.2">
      <c r="B361" s="38"/>
      <c r="C361" s="280" t="str">
        <f>"4:"</f>
        <v>4:</v>
      </c>
      <c r="D361" s="278" t="s">
        <v>938</v>
      </c>
      <c r="E361" s="40"/>
      <c r="F361" s="40"/>
      <c r="G361" s="40"/>
      <c r="H361" s="40"/>
      <c r="I361" s="40"/>
      <c r="J361" s="40"/>
      <c r="K361" s="41"/>
    </row>
    <row r="362" spans="2:11" x14ac:dyDescent="0.2">
      <c r="B362" s="38"/>
      <c r="C362" s="40" t="s">
        <v>257</v>
      </c>
      <c r="D362" s="40"/>
      <c r="E362" s="40"/>
      <c r="F362" s="40"/>
      <c r="G362" s="40"/>
      <c r="H362" s="40"/>
      <c r="I362" s="40"/>
      <c r="J362" s="266"/>
      <c r="K362" s="41"/>
    </row>
    <row r="363" spans="2:11" x14ac:dyDescent="0.2">
      <c r="B363" s="38"/>
      <c r="C363" s="40" t="s">
        <v>261</v>
      </c>
      <c r="D363" s="40"/>
      <c r="E363" s="40"/>
      <c r="F363" s="40"/>
      <c r="G363" s="40"/>
      <c r="H363" s="40"/>
      <c r="I363" s="40"/>
      <c r="J363" s="245" t="str">
        <f>IF(J362=$B$980,$A$980,IF(J362=$B$981,$A$981,IF(J362=$B$982,$A$982,IF(J362=$B$983,$A$983,IF(J362=$B$984,$A$984,"Not Calculated")))))</f>
        <v>Not Calculated</v>
      </c>
      <c r="K363" s="41"/>
    </row>
    <row r="364" spans="2:11" x14ac:dyDescent="0.2">
      <c r="B364" s="38"/>
      <c r="C364" s="40" t="s">
        <v>893</v>
      </c>
      <c r="D364" s="40"/>
      <c r="E364" s="40"/>
      <c r="F364" s="40"/>
      <c r="G364" s="40"/>
      <c r="H364" s="40"/>
      <c r="I364" s="40"/>
      <c r="J364" s="40"/>
      <c r="K364" s="41"/>
    </row>
    <row r="365" spans="2:11" ht="15" customHeight="1" x14ac:dyDescent="0.2">
      <c r="B365" s="38"/>
      <c r="C365" s="399"/>
      <c r="D365" s="400"/>
      <c r="E365" s="400"/>
      <c r="F365" s="400"/>
      <c r="G365" s="400"/>
      <c r="H365" s="400"/>
      <c r="I365" s="400"/>
      <c r="J365" s="401"/>
      <c r="K365" s="41"/>
    </row>
    <row r="366" spans="2:11" x14ac:dyDescent="0.2">
      <c r="B366" s="38"/>
      <c r="C366" s="40"/>
      <c r="D366" s="40"/>
      <c r="E366" s="40"/>
      <c r="F366" s="40"/>
      <c r="G366" s="40"/>
      <c r="H366" s="40"/>
      <c r="I366" s="40"/>
      <c r="J366" s="40"/>
      <c r="K366" s="41"/>
    </row>
    <row r="367" spans="2:11" x14ac:dyDescent="0.2">
      <c r="B367" s="38"/>
      <c r="C367" s="179" t="s">
        <v>888</v>
      </c>
      <c r="D367" s="40"/>
      <c r="E367" s="40"/>
      <c r="F367" s="40"/>
      <c r="G367" s="40"/>
      <c r="H367" s="40"/>
      <c r="I367" s="40"/>
      <c r="J367" s="245" t="str">
        <f>IF(OR(J356="Not Calculated",J363="Not Calculated")=TRUE,"Not Calculated",AVERAGE(J356,J363))</f>
        <v>Not Calculated</v>
      </c>
      <c r="K367" s="41"/>
    </row>
    <row r="368" spans="2:11" x14ac:dyDescent="0.2">
      <c r="B368" s="38"/>
      <c r="C368" s="40"/>
      <c r="D368" s="40"/>
      <c r="E368" s="40"/>
      <c r="F368" s="40"/>
      <c r="G368" s="40"/>
      <c r="H368" s="40"/>
      <c r="I368" s="40"/>
      <c r="J368" s="40"/>
      <c r="K368" s="41"/>
    </row>
    <row r="369" spans="2:11" x14ac:dyDescent="0.2">
      <c r="B369" s="38"/>
      <c r="C369" s="40"/>
      <c r="D369" s="40"/>
      <c r="E369" s="40"/>
      <c r="F369" s="40"/>
      <c r="G369" s="40"/>
      <c r="H369" s="40"/>
      <c r="I369" s="40"/>
      <c r="J369" s="40"/>
      <c r="K369" s="41"/>
    </row>
    <row r="370" spans="2:11" ht="16" x14ac:dyDescent="0.2">
      <c r="B370" s="38"/>
      <c r="C370" s="45" t="s">
        <v>863</v>
      </c>
      <c r="D370" s="40"/>
      <c r="E370" s="40"/>
      <c r="F370" s="40"/>
      <c r="G370" s="40"/>
      <c r="H370" s="40"/>
      <c r="I370" s="40"/>
      <c r="J370" s="40"/>
      <c r="K370" s="41"/>
    </row>
    <row r="371" spans="2:11" ht="15" customHeight="1" x14ac:dyDescent="0.2">
      <c r="B371" s="38"/>
      <c r="C371" s="380" t="s">
        <v>848</v>
      </c>
      <c r="D371" s="380"/>
      <c r="E371" s="380"/>
      <c r="F371" s="380"/>
      <c r="G371" s="380"/>
      <c r="H371" s="380"/>
      <c r="I371" s="380"/>
      <c r="J371" s="181"/>
      <c r="K371" s="41"/>
    </row>
    <row r="372" spans="2:11" x14ac:dyDescent="0.2">
      <c r="B372" s="38"/>
      <c r="C372" s="380"/>
      <c r="D372" s="380"/>
      <c r="E372" s="380"/>
      <c r="F372" s="380"/>
      <c r="G372" s="380"/>
      <c r="H372" s="380"/>
      <c r="I372" s="380"/>
      <c r="J372" s="264"/>
      <c r="K372" s="41"/>
    </row>
    <row r="373" spans="2:11" x14ac:dyDescent="0.2">
      <c r="B373" s="38"/>
      <c r="C373" s="40" t="s">
        <v>853</v>
      </c>
      <c r="D373" s="291"/>
      <c r="E373" s="291"/>
      <c r="F373" s="291"/>
      <c r="G373" s="291"/>
      <c r="H373" s="291"/>
      <c r="I373" s="291"/>
      <c r="J373" s="255">
        <f>'Baseline Health'!$G$102</f>
        <v>0</v>
      </c>
      <c r="K373" s="41"/>
    </row>
    <row r="374" spans="2:11" x14ac:dyDescent="0.2">
      <c r="B374" s="38"/>
      <c r="C374" s="40" t="s">
        <v>842</v>
      </c>
      <c r="D374" s="291"/>
      <c r="E374" s="291"/>
      <c r="F374" s="291"/>
      <c r="G374" s="291"/>
      <c r="H374" s="291"/>
      <c r="I374" s="291"/>
      <c r="J374" s="244" t="str">
        <f>IF('Baseline Health'!$G$102=0,"Not Calculated",100*J372/'Baseline Health'!$G$102)</f>
        <v>Not Calculated</v>
      </c>
      <c r="K374" s="41"/>
    </row>
    <row r="375" spans="2:11" x14ac:dyDescent="0.2">
      <c r="B375" s="38"/>
      <c r="C375" s="40" t="s">
        <v>260</v>
      </c>
      <c r="D375" s="40"/>
      <c r="E375" s="40"/>
      <c r="F375" s="40"/>
      <c r="G375" s="40"/>
      <c r="H375" s="40"/>
      <c r="I375" s="40"/>
      <c r="J375" s="251">
        <f>IF(J374&lt;=0,0,IF(J374&lt;=1,1,IF(J374&lt;=5,2,IF(J374&lt;=10,3,4))))</f>
        <v>4</v>
      </c>
      <c r="K375" s="41"/>
    </row>
    <row r="376" spans="2:11" ht="9.75" customHeight="1" x14ac:dyDescent="0.2">
      <c r="B376" s="38"/>
      <c r="C376" s="279" t="str">
        <f>"0:"</f>
        <v>0:</v>
      </c>
      <c r="D376" s="278" t="s">
        <v>932</v>
      </c>
      <c r="E376" s="291"/>
      <c r="F376" s="291"/>
      <c r="G376" s="291"/>
      <c r="H376" s="291"/>
      <c r="I376" s="291"/>
      <c r="J376" s="244"/>
      <c r="K376" s="41"/>
    </row>
    <row r="377" spans="2:11" ht="9.75" customHeight="1" x14ac:dyDescent="0.2">
      <c r="B377" s="38"/>
      <c r="C377" s="280" t="str">
        <f>"1:"</f>
        <v>1:</v>
      </c>
      <c r="D377" s="278" t="s">
        <v>934</v>
      </c>
      <c r="E377" s="291"/>
      <c r="F377" s="291"/>
      <c r="G377" s="291"/>
      <c r="H377" s="291"/>
      <c r="I377" s="291"/>
      <c r="J377" s="244"/>
      <c r="K377" s="41"/>
    </row>
    <row r="378" spans="2:11" ht="9.75" customHeight="1" x14ac:dyDescent="0.2">
      <c r="B378" s="38"/>
      <c r="C378" s="280" t="str">
        <f>"2:"</f>
        <v>2:</v>
      </c>
      <c r="D378" s="278" t="s">
        <v>933</v>
      </c>
      <c r="E378" s="291"/>
      <c r="F378" s="291"/>
      <c r="G378" s="291"/>
      <c r="H378" s="291"/>
      <c r="I378" s="291"/>
      <c r="J378" s="244"/>
      <c r="K378" s="41"/>
    </row>
    <row r="379" spans="2:11" ht="9.75" customHeight="1" x14ac:dyDescent="0.2">
      <c r="B379" s="38"/>
      <c r="C379" s="280" t="str">
        <f>"3:"</f>
        <v>3:</v>
      </c>
      <c r="D379" s="278" t="s">
        <v>935</v>
      </c>
      <c r="E379" s="291"/>
      <c r="F379" s="291"/>
      <c r="G379" s="291"/>
      <c r="H379" s="291"/>
      <c r="I379" s="291"/>
      <c r="J379" s="244"/>
      <c r="K379" s="41"/>
    </row>
    <row r="380" spans="2:11" ht="9.75" customHeight="1" x14ac:dyDescent="0.2">
      <c r="B380" s="38"/>
      <c r="C380" s="280" t="str">
        <f>"4:"</f>
        <v>4:</v>
      </c>
      <c r="D380" s="278" t="s">
        <v>936</v>
      </c>
      <c r="E380" s="40"/>
      <c r="F380" s="40"/>
      <c r="G380" s="40"/>
      <c r="H380" s="40"/>
      <c r="I380" s="40"/>
      <c r="J380" s="40"/>
      <c r="K380" s="41"/>
    </row>
    <row r="381" spans="2:11" x14ac:dyDescent="0.2">
      <c r="B381" s="38"/>
      <c r="C381" s="40" t="s">
        <v>85</v>
      </c>
      <c r="D381" s="40"/>
      <c r="E381" s="40"/>
      <c r="F381" s="40"/>
      <c r="G381" s="40"/>
      <c r="H381" s="40"/>
      <c r="I381" s="40"/>
      <c r="J381" s="252">
        <f>'Baseline Health'!G114</f>
        <v>7</v>
      </c>
      <c r="K381" s="41"/>
    </row>
    <row r="382" spans="2:11" x14ac:dyDescent="0.2">
      <c r="B382" s="38"/>
      <c r="C382" s="40" t="s">
        <v>297</v>
      </c>
      <c r="D382" s="40"/>
      <c r="E382" s="40"/>
      <c r="F382" s="40"/>
      <c r="G382" s="40"/>
      <c r="H382" s="40"/>
      <c r="I382" s="40"/>
      <c r="J382" s="266"/>
      <c r="K382" s="41"/>
    </row>
    <row r="383" spans="2:11" x14ac:dyDescent="0.2">
      <c r="B383" s="38"/>
      <c r="C383" s="40" t="s">
        <v>261</v>
      </c>
      <c r="D383" s="40"/>
      <c r="E383" s="40"/>
      <c r="F383" s="40"/>
      <c r="G383" s="40"/>
      <c r="H383" s="40"/>
      <c r="I383" s="40"/>
      <c r="J383" s="248">
        <f>IF((J382-J381)&lt;1,0,IF((J382-J381)&lt;3,1,IF((J382-J381)&lt;5,2,IF((J382-J381)&lt;7,3,4))))</f>
        <v>0</v>
      </c>
      <c r="K383" s="41"/>
    </row>
    <row r="384" spans="2:11" x14ac:dyDescent="0.2">
      <c r="B384" s="38"/>
      <c r="C384" s="40" t="s">
        <v>893</v>
      </c>
      <c r="D384" s="40"/>
      <c r="E384" s="40"/>
      <c r="F384" s="40"/>
      <c r="G384" s="40"/>
      <c r="H384" s="40"/>
      <c r="I384" s="40"/>
      <c r="J384" s="40"/>
      <c r="K384" s="41"/>
    </row>
    <row r="385" spans="2:11" x14ac:dyDescent="0.2">
      <c r="B385" s="38"/>
      <c r="C385" s="399"/>
      <c r="D385" s="400"/>
      <c r="E385" s="400"/>
      <c r="F385" s="400"/>
      <c r="G385" s="400"/>
      <c r="H385" s="400"/>
      <c r="I385" s="400"/>
      <c r="J385" s="401"/>
      <c r="K385" s="41"/>
    </row>
    <row r="386" spans="2:11" x14ac:dyDescent="0.2">
      <c r="B386" s="38"/>
      <c r="C386" s="40"/>
      <c r="D386" s="40"/>
      <c r="E386" s="40"/>
      <c r="F386" s="40"/>
      <c r="G386" s="40"/>
      <c r="H386" s="40"/>
      <c r="I386" s="40"/>
      <c r="J386" s="40"/>
      <c r="K386" s="41"/>
    </row>
    <row r="387" spans="2:11" x14ac:dyDescent="0.2">
      <c r="B387" s="38"/>
      <c r="C387" s="179" t="s">
        <v>889</v>
      </c>
      <c r="D387" s="40"/>
      <c r="E387" s="40"/>
      <c r="F387" s="40"/>
      <c r="G387" s="40"/>
      <c r="H387" s="40"/>
      <c r="I387" s="40"/>
      <c r="J387" s="245">
        <f>IF(OR(J375="Not Calculated",J383="Not Calculated")=TRUE,"Not Calculated",AVERAGE(J375,J383))</f>
        <v>2</v>
      </c>
      <c r="K387" s="41"/>
    </row>
    <row r="388" spans="2:11" x14ac:dyDescent="0.2">
      <c r="B388" s="38"/>
      <c r="C388" s="40"/>
      <c r="D388" s="40"/>
      <c r="E388" s="40"/>
      <c r="F388" s="40"/>
      <c r="G388" s="40"/>
      <c r="H388" s="40"/>
      <c r="I388" s="40"/>
      <c r="J388" s="40"/>
      <c r="K388" s="41"/>
    </row>
    <row r="389" spans="2:11" x14ac:dyDescent="0.2">
      <c r="B389" s="38"/>
      <c r="C389" s="40"/>
      <c r="D389" s="40"/>
      <c r="E389" s="40"/>
      <c r="F389" s="40"/>
      <c r="G389" s="40"/>
      <c r="H389" s="40"/>
      <c r="I389" s="40"/>
      <c r="J389" s="40"/>
      <c r="K389" s="41"/>
    </row>
    <row r="390" spans="2:11" ht="16" x14ac:dyDescent="0.2">
      <c r="B390" s="38"/>
      <c r="C390" s="45" t="s">
        <v>860</v>
      </c>
      <c r="D390" s="40"/>
      <c r="E390" s="40"/>
      <c r="F390" s="40"/>
      <c r="G390" s="40"/>
      <c r="H390" s="40"/>
      <c r="I390" s="40"/>
      <c r="J390" s="40"/>
      <c r="K390" s="41"/>
    </row>
    <row r="391" spans="2:11" x14ac:dyDescent="0.2">
      <c r="B391" s="38"/>
      <c r="C391" s="380" t="s">
        <v>849</v>
      </c>
      <c r="D391" s="380"/>
      <c r="E391" s="380"/>
      <c r="F391" s="380"/>
      <c r="G391" s="380"/>
      <c r="H391" s="380"/>
      <c r="I391" s="380"/>
      <c r="J391" s="181"/>
      <c r="K391" s="41"/>
    </row>
    <row r="392" spans="2:11" x14ac:dyDescent="0.2">
      <c r="B392" s="38"/>
      <c r="C392" s="380"/>
      <c r="D392" s="380"/>
      <c r="E392" s="380"/>
      <c r="F392" s="380"/>
      <c r="G392" s="380"/>
      <c r="H392" s="380"/>
      <c r="I392" s="380"/>
      <c r="J392" s="264"/>
      <c r="K392" s="41"/>
    </row>
    <row r="393" spans="2:11" x14ac:dyDescent="0.2">
      <c r="B393" s="38"/>
      <c r="C393" s="40" t="s">
        <v>853</v>
      </c>
      <c r="D393" s="291"/>
      <c r="E393" s="291"/>
      <c r="F393" s="291"/>
      <c r="G393" s="291"/>
      <c r="H393" s="291"/>
      <c r="I393" s="291"/>
      <c r="J393" s="255">
        <f>'Baseline Health'!$G$102</f>
        <v>0</v>
      </c>
      <c r="K393" s="41"/>
    </row>
    <row r="394" spans="2:11" ht="15" customHeight="1" x14ac:dyDescent="0.2">
      <c r="B394" s="38"/>
      <c r="C394" s="40" t="s">
        <v>850</v>
      </c>
      <c r="D394" s="291"/>
      <c r="E394" s="291"/>
      <c r="F394" s="291"/>
      <c r="G394" s="291"/>
      <c r="H394" s="291"/>
      <c r="I394" s="291"/>
      <c r="J394" s="244" t="str">
        <f>IF('Baseline Health'!$G$102=0,"Not Calculated",100*J392/'Baseline Health'!$G$102)</f>
        <v>Not Calculated</v>
      </c>
      <c r="K394" s="41"/>
    </row>
    <row r="395" spans="2:11" ht="15" customHeight="1" x14ac:dyDescent="0.2">
      <c r="B395" s="38"/>
      <c r="C395" s="40" t="s">
        <v>260</v>
      </c>
      <c r="D395" s="40"/>
      <c r="E395" s="40"/>
      <c r="F395" s="40"/>
      <c r="G395" s="40"/>
      <c r="H395" s="40"/>
      <c r="I395" s="40"/>
      <c r="J395" s="43">
        <f>IF(J394&lt;=0,0,IF(J394&lt;=1,1,IF(J394&lt;=5,2,IF(J394&lt;=10,3,4))))</f>
        <v>4</v>
      </c>
      <c r="K395" s="41"/>
    </row>
    <row r="396" spans="2:11" ht="9.75" customHeight="1" x14ac:dyDescent="0.2">
      <c r="B396" s="38"/>
      <c r="C396" s="279" t="str">
        <f>"0:"</f>
        <v>0:</v>
      </c>
      <c r="D396" s="278" t="s">
        <v>932</v>
      </c>
      <c r="E396" s="291"/>
      <c r="F396" s="291"/>
      <c r="G396" s="291"/>
      <c r="H396" s="291"/>
      <c r="I396" s="291"/>
      <c r="J396" s="244"/>
      <c r="K396" s="41"/>
    </row>
    <row r="397" spans="2:11" ht="9.75" customHeight="1" x14ac:dyDescent="0.2">
      <c r="B397" s="38"/>
      <c r="C397" s="280" t="str">
        <f>"1:"</f>
        <v>1:</v>
      </c>
      <c r="D397" s="278" t="s">
        <v>934</v>
      </c>
      <c r="E397" s="291"/>
      <c r="F397" s="291"/>
      <c r="G397" s="291"/>
      <c r="H397" s="291"/>
      <c r="I397" s="291"/>
      <c r="J397" s="244"/>
      <c r="K397" s="41"/>
    </row>
    <row r="398" spans="2:11" ht="9.75" customHeight="1" x14ac:dyDescent="0.2">
      <c r="B398" s="38"/>
      <c r="C398" s="280" t="str">
        <f>"2:"</f>
        <v>2:</v>
      </c>
      <c r="D398" s="278" t="s">
        <v>933</v>
      </c>
      <c r="E398" s="291"/>
      <c r="F398" s="291"/>
      <c r="G398" s="291"/>
      <c r="H398" s="291"/>
      <c r="I398" s="291"/>
      <c r="J398" s="244"/>
      <c r="K398" s="41"/>
    </row>
    <row r="399" spans="2:11" ht="9.75" customHeight="1" x14ac:dyDescent="0.2">
      <c r="B399" s="38"/>
      <c r="C399" s="280" t="str">
        <f>"3:"</f>
        <v>3:</v>
      </c>
      <c r="D399" s="278" t="s">
        <v>935</v>
      </c>
      <c r="E399" s="291"/>
      <c r="F399" s="291"/>
      <c r="G399" s="291"/>
      <c r="H399" s="291"/>
      <c r="I399" s="291"/>
      <c r="J399" s="244"/>
      <c r="K399" s="41"/>
    </row>
    <row r="400" spans="2:11" ht="9.75" customHeight="1" x14ac:dyDescent="0.2">
      <c r="B400" s="38"/>
      <c r="C400" s="280" t="str">
        <f>"4:"</f>
        <v>4:</v>
      </c>
      <c r="D400" s="278" t="s">
        <v>936</v>
      </c>
      <c r="E400" s="40"/>
      <c r="F400" s="40"/>
      <c r="G400" s="40"/>
      <c r="H400" s="40"/>
      <c r="I400" s="40"/>
      <c r="J400" s="40"/>
      <c r="K400" s="41"/>
    </row>
    <row r="401" spans="2:11" x14ac:dyDescent="0.2">
      <c r="B401" s="38"/>
      <c r="C401" s="40" t="s">
        <v>893</v>
      </c>
      <c r="D401" s="40"/>
      <c r="E401" s="40"/>
      <c r="F401" s="40"/>
      <c r="G401" s="40"/>
      <c r="H401" s="40"/>
      <c r="I401" s="40"/>
      <c r="J401" s="40"/>
      <c r="K401" s="41"/>
    </row>
    <row r="402" spans="2:11" ht="15" customHeight="1" x14ac:dyDescent="0.2">
      <c r="B402" s="38"/>
      <c r="C402" s="399"/>
      <c r="D402" s="400"/>
      <c r="E402" s="400"/>
      <c r="F402" s="400"/>
      <c r="G402" s="400"/>
      <c r="H402" s="400"/>
      <c r="I402" s="400"/>
      <c r="J402" s="401"/>
      <c r="K402" s="41"/>
    </row>
    <row r="403" spans="2:11" x14ac:dyDescent="0.2">
      <c r="B403" s="38"/>
      <c r="C403" s="40"/>
      <c r="D403" s="40"/>
      <c r="E403" s="40"/>
      <c r="F403" s="40"/>
      <c r="G403" s="40"/>
      <c r="H403" s="40"/>
      <c r="I403" s="40"/>
      <c r="J403" s="40"/>
      <c r="K403" s="41"/>
    </row>
    <row r="404" spans="2:11" x14ac:dyDescent="0.2">
      <c r="B404" s="38"/>
      <c r="C404" s="179" t="s">
        <v>890</v>
      </c>
      <c r="D404" s="40"/>
      <c r="E404" s="40"/>
      <c r="F404" s="40"/>
      <c r="G404" s="40"/>
      <c r="H404" s="40"/>
      <c r="I404" s="40"/>
      <c r="J404" s="245">
        <f>J395</f>
        <v>4</v>
      </c>
      <c r="K404" s="41"/>
    </row>
    <row r="405" spans="2:11" x14ac:dyDescent="0.2">
      <c r="B405" s="38"/>
      <c r="C405" s="40"/>
      <c r="D405" s="40"/>
      <c r="E405" s="40"/>
      <c r="F405" s="40"/>
      <c r="G405" s="40"/>
      <c r="H405" s="40"/>
      <c r="I405" s="40"/>
      <c r="J405" s="40"/>
      <c r="K405" s="41"/>
    </row>
    <row r="406" spans="2:11" x14ac:dyDescent="0.2">
      <c r="B406" s="38"/>
      <c r="C406" s="40"/>
      <c r="D406" s="40"/>
      <c r="E406" s="40"/>
      <c r="F406" s="40"/>
      <c r="G406" s="40"/>
      <c r="H406" s="40"/>
      <c r="I406" s="40"/>
      <c r="J406" s="40"/>
      <c r="K406" s="41"/>
    </row>
    <row r="407" spans="2:11" ht="16" x14ac:dyDescent="0.2">
      <c r="B407" s="38"/>
      <c r="C407" s="45" t="s">
        <v>861</v>
      </c>
      <c r="D407" s="40"/>
      <c r="E407" s="40"/>
      <c r="F407" s="40"/>
      <c r="G407" s="40"/>
      <c r="H407" s="40"/>
      <c r="I407" s="40"/>
      <c r="J407" s="40"/>
      <c r="K407" s="41"/>
    </row>
    <row r="408" spans="2:11" x14ac:dyDescent="0.2">
      <c r="B408" s="38"/>
      <c r="C408" s="40" t="s">
        <v>298</v>
      </c>
      <c r="D408" s="40"/>
      <c r="E408" s="40"/>
      <c r="F408" s="40"/>
      <c r="G408" s="40"/>
      <c r="H408" s="40"/>
      <c r="I408" s="40"/>
      <c r="J408" s="269"/>
      <c r="K408" s="41"/>
    </row>
    <row r="409" spans="2:11" x14ac:dyDescent="0.2">
      <c r="B409" s="38"/>
      <c r="C409" s="40" t="s">
        <v>260</v>
      </c>
      <c r="D409" s="40"/>
      <c r="E409" s="40"/>
      <c r="F409" s="40"/>
      <c r="G409" s="40"/>
      <c r="H409" s="40"/>
      <c r="I409" s="40"/>
      <c r="J409" s="253">
        <f>IF(J408&lt;=0,0,IF(J408&lt;=(J161*0.01),1,IF(J408&lt;=(J161*0.05),2,IF(J408&lt;=(J161*0.1),3,4))))</f>
        <v>0</v>
      </c>
      <c r="K409" s="41"/>
    </row>
    <row r="410" spans="2:11" ht="9.75" customHeight="1" x14ac:dyDescent="0.2">
      <c r="B410" s="38"/>
      <c r="C410" s="279" t="str">
        <f>"0:"</f>
        <v>0:</v>
      </c>
      <c r="D410" s="278" t="s">
        <v>939</v>
      </c>
      <c r="E410" s="40"/>
      <c r="F410" s="40"/>
      <c r="G410" s="40"/>
      <c r="H410" s="40"/>
      <c r="I410" s="40"/>
      <c r="J410" s="282"/>
      <c r="K410" s="41"/>
    </row>
    <row r="411" spans="2:11" ht="9.75" customHeight="1" x14ac:dyDescent="0.2">
      <c r="B411" s="38"/>
      <c r="C411" s="280" t="str">
        <f>"1:"</f>
        <v>1:</v>
      </c>
      <c r="D411" s="278" t="s">
        <v>940</v>
      </c>
      <c r="E411" s="40"/>
      <c r="F411" s="40"/>
      <c r="G411" s="40"/>
      <c r="H411" s="40"/>
      <c r="I411" s="40"/>
      <c r="J411" s="282"/>
      <c r="K411" s="41"/>
    </row>
    <row r="412" spans="2:11" ht="9.75" customHeight="1" x14ac:dyDescent="0.2">
      <c r="B412" s="38"/>
      <c r="C412" s="280" t="str">
        <f>"2:"</f>
        <v>2:</v>
      </c>
      <c r="D412" s="278" t="s">
        <v>941</v>
      </c>
      <c r="E412" s="40"/>
      <c r="F412" s="40"/>
      <c r="G412" s="40"/>
      <c r="H412" s="40"/>
      <c r="I412" s="40"/>
      <c r="J412" s="282"/>
      <c r="K412" s="41"/>
    </row>
    <row r="413" spans="2:11" ht="9.75" customHeight="1" x14ac:dyDescent="0.2">
      <c r="B413" s="38"/>
      <c r="C413" s="280" t="str">
        <f>"3:"</f>
        <v>3:</v>
      </c>
      <c r="D413" s="278" t="s">
        <v>942</v>
      </c>
      <c r="E413" s="40"/>
      <c r="F413" s="40"/>
      <c r="G413" s="40"/>
      <c r="H413" s="40"/>
      <c r="I413" s="40"/>
      <c r="J413" s="282"/>
      <c r="K413" s="41"/>
    </row>
    <row r="414" spans="2:11" ht="9.75" customHeight="1" x14ac:dyDescent="0.2">
      <c r="B414" s="38"/>
      <c r="C414" s="280" t="str">
        <f>"4:"</f>
        <v>4:</v>
      </c>
      <c r="D414" s="278" t="s">
        <v>943</v>
      </c>
      <c r="E414" s="40"/>
      <c r="F414" s="40"/>
      <c r="G414" s="40"/>
      <c r="H414" s="40"/>
      <c r="I414" s="40"/>
      <c r="J414" s="40"/>
      <c r="K414" s="41"/>
    </row>
    <row r="415" spans="2:11" x14ac:dyDescent="0.2">
      <c r="B415" s="38"/>
      <c r="C415" s="40" t="s">
        <v>893</v>
      </c>
      <c r="D415" s="40"/>
      <c r="E415" s="40"/>
      <c r="F415" s="40"/>
      <c r="G415" s="40"/>
      <c r="H415" s="40"/>
      <c r="I415" s="40"/>
      <c r="J415" s="40"/>
      <c r="K415" s="41"/>
    </row>
    <row r="416" spans="2:11" ht="15" customHeight="1" x14ac:dyDescent="0.2">
      <c r="B416" s="38"/>
      <c r="C416" s="399"/>
      <c r="D416" s="400"/>
      <c r="E416" s="400"/>
      <c r="F416" s="400"/>
      <c r="G416" s="400"/>
      <c r="H416" s="400"/>
      <c r="I416" s="400"/>
      <c r="J416" s="401"/>
      <c r="K416" s="41"/>
    </row>
    <row r="417" spans="2:11" x14ac:dyDescent="0.2">
      <c r="B417" s="38"/>
      <c r="C417" s="40"/>
      <c r="D417" s="40"/>
      <c r="E417" s="40"/>
      <c r="F417" s="40"/>
      <c r="G417" s="40"/>
      <c r="H417" s="40"/>
      <c r="I417" s="40"/>
      <c r="J417" s="40"/>
      <c r="K417" s="41"/>
    </row>
    <row r="418" spans="2:11" x14ac:dyDescent="0.2">
      <c r="B418" s="38"/>
      <c r="C418" s="179" t="s">
        <v>891</v>
      </c>
      <c r="D418" s="40"/>
      <c r="E418" s="40"/>
      <c r="F418" s="40"/>
      <c r="G418" s="40"/>
      <c r="H418" s="40"/>
      <c r="I418" s="40"/>
      <c r="J418" s="245">
        <f>J409</f>
        <v>0</v>
      </c>
      <c r="K418" s="41"/>
    </row>
    <row r="419" spans="2:11" x14ac:dyDescent="0.2">
      <c r="B419" s="38"/>
      <c r="C419" s="40"/>
      <c r="D419" s="40"/>
      <c r="E419" s="40"/>
      <c r="F419" s="40"/>
      <c r="G419" s="40"/>
      <c r="H419" s="40"/>
      <c r="I419" s="40"/>
      <c r="J419" s="40"/>
      <c r="K419" s="41"/>
    </row>
    <row r="420" spans="2:11" x14ac:dyDescent="0.2">
      <c r="B420" s="38"/>
      <c r="C420" s="410" t="s">
        <v>881</v>
      </c>
      <c r="D420" s="410"/>
      <c r="E420" s="410"/>
      <c r="F420" s="410"/>
      <c r="G420" s="410"/>
      <c r="H420" s="410"/>
      <c r="I420" s="410"/>
      <c r="J420" s="40"/>
      <c r="K420" s="41"/>
    </row>
    <row r="421" spans="2:11" x14ac:dyDescent="0.2">
      <c r="B421" s="38"/>
      <c r="C421" s="410"/>
      <c r="D421" s="410"/>
      <c r="E421" s="410"/>
      <c r="F421" s="410"/>
      <c r="G421" s="410"/>
      <c r="H421" s="410"/>
      <c r="I421" s="410"/>
      <c r="J421" s="244" t="str">
        <f>IF(OR(J288="Not Calculated",J307="Not Calculated",J326="Not Calculated",J349="Not Calculated",J367="Not Calculated",J387="Not Calculated",J404="Not Calculated",J418="Not Calculated")=TRUE,"Not Calculated",AVERAGE(J288,J307,J326,J349,J367,J387,J404,J418))</f>
        <v>Not Calculated</v>
      </c>
      <c r="K421" s="41"/>
    </row>
    <row r="422" spans="2:11" ht="16" thickBot="1" x14ac:dyDescent="0.25">
      <c r="B422" s="46"/>
      <c r="C422" s="47"/>
      <c r="D422" s="47"/>
      <c r="E422" s="47"/>
      <c r="F422" s="47"/>
      <c r="G422" s="47"/>
      <c r="H422" s="47"/>
      <c r="I422" s="47"/>
      <c r="J422" s="47"/>
      <c r="K422" s="49"/>
    </row>
    <row r="423" spans="2:11" ht="16" thickBot="1" x14ac:dyDescent="0.25"/>
    <row r="424" spans="2:11" x14ac:dyDescent="0.2">
      <c r="B424" s="33"/>
      <c r="C424" s="34"/>
      <c r="D424" s="34"/>
      <c r="E424" s="34"/>
      <c r="F424" s="34"/>
      <c r="G424" s="34"/>
      <c r="H424" s="34"/>
      <c r="I424" s="34"/>
      <c r="J424" s="34"/>
      <c r="K424" s="37"/>
    </row>
    <row r="425" spans="2:11" ht="21" x14ac:dyDescent="0.25">
      <c r="B425" s="38"/>
      <c r="C425" s="40"/>
      <c r="D425" s="40"/>
      <c r="E425" s="40"/>
      <c r="F425" s="40"/>
      <c r="G425" s="172" t="s">
        <v>230</v>
      </c>
      <c r="H425" s="40"/>
      <c r="I425" s="40"/>
      <c r="J425" s="40"/>
      <c r="K425" s="41"/>
    </row>
    <row r="426" spans="2:11" x14ac:dyDescent="0.2">
      <c r="B426" s="38"/>
      <c r="C426" s="40"/>
      <c r="D426" s="40"/>
      <c r="E426" s="40"/>
      <c r="F426" s="40"/>
      <c r="G426" s="40"/>
      <c r="H426" s="40"/>
      <c r="I426" s="40"/>
      <c r="J426" s="40"/>
      <c r="K426" s="41"/>
    </row>
    <row r="427" spans="2:11" ht="16" x14ac:dyDescent="0.2">
      <c r="B427" s="38"/>
      <c r="C427" s="45" t="s">
        <v>299</v>
      </c>
      <c r="D427" s="40"/>
      <c r="E427" s="40"/>
      <c r="F427" s="40"/>
      <c r="G427" s="40"/>
      <c r="H427" s="40"/>
      <c r="I427" s="40"/>
      <c r="J427" s="40"/>
      <c r="K427" s="41"/>
    </row>
    <row r="428" spans="2:11" x14ac:dyDescent="0.2">
      <c r="B428" s="38"/>
      <c r="C428" s="40" t="s">
        <v>300</v>
      </c>
      <c r="D428" s="40"/>
      <c r="E428" s="40"/>
      <c r="F428" s="40"/>
      <c r="G428" s="40"/>
      <c r="H428" s="40"/>
      <c r="I428" s="40"/>
      <c r="J428" s="270"/>
      <c r="K428" s="41"/>
    </row>
    <row r="429" spans="2:11" x14ac:dyDescent="0.2">
      <c r="B429" s="38"/>
      <c r="C429" s="40" t="s">
        <v>260</v>
      </c>
      <c r="D429" s="40"/>
      <c r="E429" s="40"/>
      <c r="F429" s="40"/>
      <c r="G429" s="40"/>
      <c r="H429" s="40"/>
      <c r="I429" s="40"/>
      <c r="J429" s="248">
        <f>IF(J428&lt;=0,0,IF(J428&lt;=1,1,IF(J428&lt;=5,2,IF(J428&lt;=10,3,4))))</f>
        <v>0</v>
      </c>
      <c r="K429" s="41"/>
    </row>
    <row r="430" spans="2:11" s="98" customFormat="1" ht="9.75" customHeight="1" x14ac:dyDescent="0.2">
      <c r="B430" s="288"/>
      <c r="C430" s="279" t="str">
        <f>"0:"</f>
        <v>0:</v>
      </c>
      <c r="D430" s="290" t="s">
        <v>944</v>
      </c>
      <c r="E430" s="245"/>
      <c r="F430" s="245"/>
      <c r="G430" s="245"/>
      <c r="H430" s="245"/>
      <c r="I430" s="245"/>
      <c r="J430" s="245"/>
      <c r="K430" s="289"/>
    </row>
    <row r="431" spans="2:11" s="98" customFormat="1" ht="9.75" customHeight="1" x14ac:dyDescent="0.2">
      <c r="B431" s="288"/>
      <c r="C431" s="280" t="str">
        <f>"1:"</f>
        <v>1:</v>
      </c>
      <c r="D431" s="290" t="s">
        <v>945</v>
      </c>
      <c r="E431" s="245"/>
      <c r="F431" s="245"/>
      <c r="G431" s="245"/>
      <c r="H431" s="245"/>
      <c r="I431" s="245"/>
      <c r="J431" s="245"/>
      <c r="K431" s="289"/>
    </row>
    <row r="432" spans="2:11" s="98" customFormat="1" ht="9.75" customHeight="1" x14ac:dyDescent="0.2">
      <c r="B432" s="288"/>
      <c r="C432" s="280" t="str">
        <f>"2:"</f>
        <v>2:</v>
      </c>
      <c r="D432" s="290" t="s">
        <v>946</v>
      </c>
      <c r="E432" s="245"/>
      <c r="F432" s="245"/>
      <c r="G432" s="245"/>
      <c r="H432" s="245"/>
      <c r="I432" s="245"/>
      <c r="J432" s="245"/>
      <c r="K432" s="289"/>
    </row>
    <row r="433" spans="2:11" s="98" customFormat="1" ht="9.75" customHeight="1" x14ac:dyDescent="0.2">
      <c r="B433" s="288"/>
      <c r="C433" s="280" t="str">
        <f>"3:"</f>
        <v>3:</v>
      </c>
      <c r="D433" s="290" t="s">
        <v>947</v>
      </c>
      <c r="E433" s="245"/>
      <c r="F433" s="245"/>
      <c r="G433" s="245"/>
      <c r="H433" s="245"/>
      <c r="I433" s="245"/>
      <c r="J433" s="245"/>
      <c r="K433" s="289"/>
    </row>
    <row r="434" spans="2:11" s="98" customFormat="1" ht="9.75" customHeight="1" x14ac:dyDescent="0.2">
      <c r="B434" s="288"/>
      <c r="C434" s="280" t="str">
        <f>"4:"</f>
        <v>4:</v>
      </c>
      <c r="D434" s="290" t="s">
        <v>948</v>
      </c>
      <c r="E434" s="245"/>
      <c r="F434" s="245"/>
      <c r="G434" s="245"/>
      <c r="H434" s="245"/>
      <c r="I434" s="245"/>
      <c r="J434" s="247"/>
      <c r="K434" s="289"/>
    </row>
    <row r="435" spans="2:11" x14ac:dyDescent="0.2">
      <c r="B435" s="38"/>
      <c r="C435" s="40" t="s">
        <v>257</v>
      </c>
      <c r="D435" s="40"/>
      <c r="E435" s="40"/>
      <c r="F435" s="40"/>
      <c r="G435" s="40"/>
      <c r="H435" s="40"/>
      <c r="I435" s="40"/>
      <c r="J435" s="266"/>
      <c r="K435" s="41"/>
    </row>
    <row r="436" spans="2:11" x14ac:dyDescent="0.2">
      <c r="B436" s="38"/>
      <c r="C436" s="40" t="s">
        <v>261</v>
      </c>
      <c r="D436" s="40"/>
      <c r="E436" s="40"/>
      <c r="F436" s="40"/>
      <c r="G436" s="40"/>
      <c r="H436" s="40"/>
      <c r="I436" s="40"/>
      <c r="J436" s="245" t="str">
        <f>IF(J435=$B$973,$A$973,IF(J435=$B$974,$A$974,IF(J435=$B$975,$A$975,IF(J435=$B$976,$A$976,IF(J435=$B$977,$A$977,"Not Calculated")))))</f>
        <v>Not Calculated</v>
      </c>
      <c r="K436" s="41"/>
    </row>
    <row r="437" spans="2:11" x14ac:dyDescent="0.2">
      <c r="B437" s="38"/>
      <c r="C437" s="40" t="s">
        <v>893</v>
      </c>
      <c r="D437" s="40"/>
      <c r="E437" s="40"/>
      <c r="F437" s="40"/>
      <c r="G437" s="40"/>
      <c r="H437" s="40"/>
      <c r="I437" s="40"/>
      <c r="J437" s="40"/>
      <c r="K437" s="41"/>
    </row>
    <row r="438" spans="2:11" x14ac:dyDescent="0.2">
      <c r="B438" s="38"/>
      <c r="C438" s="399"/>
      <c r="D438" s="400"/>
      <c r="E438" s="400"/>
      <c r="F438" s="400"/>
      <c r="G438" s="400"/>
      <c r="H438" s="400"/>
      <c r="I438" s="400"/>
      <c r="J438" s="401"/>
      <c r="K438" s="41"/>
    </row>
    <row r="439" spans="2:11" x14ac:dyDescent="0.2">
      <c r="B439" s="38"/>
      <c r="C439" s="40"/>
      <c r="D439" s="40"/>
      <c r="E439" s="40"/>
      <c r="F439" s="40"/>
      <c r="G439" s="40"/>
      <c r="H439" s="40"/>
      <c r="I439" s="40"/>
      <c r="J439" s="40"/>
      <c r="K439" s="41"/>
    </row>
    <row r="440" spans="2:11" x14ac:dyDescent="0.2">
      <c r="B440" s="38"/>
      <c r="C440" s="179" t="s">
        <v>301</v>
      </c>
      <c r="D440" s="40"/>
      <c r="E440" s="40"/>
      <c r="F440" s="40"/>
      <c r="G440" s="40"/>
      <c r="H440" s="40"/>
      <c r="I440" s="40"/>
      <c r="J440" s="245" t="str">
        <f>IF(OR(J429="Not Calculated",J436="Not Calculated")=TRUE,"Not Calculated",AVERAGE(J429,J436))</f>
        <v>Not Calculated</v>
      </c>
      <c r="K440" s="41"/>
    </row>
    <row r="441" spans="2:11" x14ac:dyDescent="0.2">
      <c r="B441" s="38"/>
      <c r="C441" s="40"/>
      <c r="D441" s="40"/>
      <c r="E441" s="40"/>
      <c r="F441" s="40"/>
      <c r="G441" s="40"/>
      <c r="H441" s="40"/>
      <c r="I441" s="40"/>
      <c r="J441" s="40"/>
      <c r="K441" s="41"/>
    </row>
    <row r="442" spans="2:11" x14ac:dyDescent="0.2">
      <c r="B442" s="38"/>
      <c r="C442" s="40"/>
      <c r="D442" s="40"/>
      <c r="E442" s="40"/>
      <c r="F442" s="40"/>
      <c r="G442" s="40"/>
      <c r="H442" s="40"/>
      <c r="I442" s="40"/>
      <c r="J442" s="40"/>
      <c r="K442" s="41"/>
    </row>
    <row r="443" spans="2:11" ht="16" x14ac:dyDescent="0.2">
      <c r="B443" s="38"/>
      <c r="C443" s="45" t="s">
        <v>303</v>
      </c>
      <c r="D443" s="40"/>
      <c r="E443" s="40"/>
      <c r="F443" s="40"/>
      <c r="G443" s="40"/>
      <c r="H443" s="40"/>
      <c r="I443" s="40"/>
      <c r="J443" s="40"/>
      <c r="K443" s="41"/>
    </row>
    <row r="444" spans="2:11" ht="15" customHeight="1" x14ac:dyDescent="0.2">
      <c r="B444" s="38"/>
      <c r="C444" s="380" t="s">
        <v>305</v>
      </c>
      <c r="D444" s="380"/>
      <c r="E444" s="380"/>
      <c r="F444" s="380"/>
      <c r="G444" s="380"/>
      <c r="H444" s="380"/>
      <c r="I444" s="380"/>
      <c r="J444" s="40"/>
      <c r="K444" s="41"/>
    </row>
    <row r="445" spans="2:11" x14ac:dyDescent="0.2">
      <c r="B445" s="38"/>
      <c r="C445" s="380"/>
      <c r="D445" s="380"/>
      <c r="E445" s="380"/>
      <c r="F445" s="380"/>
      <c r="G445" s="380"/>
      <c r="H445" s="380"/>
      <c r="I445" s="380"/>
      <c r="J445" s="270"/>
      <c r="K445" s="41"/>
    </row>
    <row r="446" spans="2:11" x14ac:dyDescent="0.2">
      <c r="B446" s="38"/>
      <c r="C446" s="40" t="s">
        <v>260</v>
      </c>
      <c r="D446" s="40"/>
      <c r="E446" s="40"/>
      <c r="F446" s="40"/>
      <c r="G446" s="40"/>
      <c r="H446" s="40"/>
      <c r="I446" s="40"/>
      <c r="J446" s="248">
        <f>IF(J445&lt;=0,0,IF(J445&lt;=1,1,IF(J445&lt;=5,2,IF(J445&lt;=10,3,4))))</f>
        <v>0</v>
      </c>
      <c r="K446" s="41"/>
    </row>
    <row r="447" spans="2:11" ht="9.75" customHeight="1" x14ac:dyDescent="0.2">
      <c r="B447" s="38"/>
      <c r="C447" s="279" t="str">
        <f>"0:"</f>
        <v>0:</v>
      </c>
      <c r="D447" s="278" t="s">
        <v>944</v>
      </c>
      <c r="E447" s="40"/>
      <c r="F447" s="40"/>
      <c r="G447" s="40"/>
      <c r="H447" s="40"/>
      <c r="I447" s="40"/>
      <c r="J447" s="245"/>
      <c r="K447" s="41"/>
    </row>
    <row r="448" spans="2:11" ht="9.75" customHeight="1" x14ac:dyDescent="0.2">
      <c r="B448" s="38"/>
      <c r="C448" s="280" t="str">
        <f>"1:"</f>
        <v>1:</v>
      </c>
      <c r="D448" s="278" t="s">
        <v>945</v>
      </c>
      <c r="E448" s="40"/>
      <c r="F448" s="40"/>
      <c r="G448" s="40"/>
      <c r="H448" s="40"/>
      <c r="I448" s="40"/>
      <c r="J448" s="245"/>
      <c r="K448" s="41"/>
    </row>
    <row r="449" spans="2:11" ht="9.75" customHeight="1" x14ac:dyDescent="0.2">
      <c r="B449" s="38"/>
      <c r="C449" s="280" t="str">
        <f>"2:"</f>
        <v>2:</v>
      </c>
      <c r="D449" s="278" t="s">
        <v>946</v>
      </c>
      <c r="E449" s="40"/>
      <c r="F449" s="40"/>
      <c r="G449" s="40"/>
      <c r="H449" s="40"/>
      <c r="I449" s="40"/>
      <c r="J449" s="245"/>
      <c r="K449" s="41"/>
    </row>
    <row r="450" spans="2:11" ht="9.75" customHeight="1" x14ac:dyDescent="0.2">
      <c r="B450" s="38"/>
      <c r="C450" s="280" t="str">
        <f>"3:"</f>
        <v>3:</v>
      </c>
      <c r="D450" s="278" t="s">
        <v>947</v>
      </c>
      <c r="E450" s="40"/>
      <c r="F450" s="40"/>
      <c r="G450" s="40"/>
      <c r="H450" s="40"/>
      <c r="I450" s="40"/>
      <c r="J450" s="245"/>
      <c r="K450" s="41"/>
    </row>
    <row r="451" spans="2:11" ht="9.75" customHeight="1" x14ac:dyDescent="0.2">
      <c r="B451" s="38"/>
      <c r="C451" s="280" t="str">
        <f>"4:"</f>
        <v>4:</v>
      </c>
      <c r="D451" s="278" t="s">
        <v>948</v>
      </c>
      <c r="E451" s="40"/>
      <c r="F451" s="40"/>
      <c r="G451" s="40"/>
      <c r="H451" s="40"/>
      <c r="I451" s="40"/>
      <c r="J451" s="247"/>
      <c r="K451" s="41"/>
    </row>
    <row r="452" spans="2:11" x14ac:dyDescent="0.2">
      <c r="B452" s="38"/>
      <c r="C452" s="40" t="s">
        <v>257</v>
      </c>
      <c r="D452" s="40"/>
      <c r="E452" s="40"/>
      <c r="F452" s="40"/>
      <c r="G452" s="40"/>
      <c r="H452" s="40"/>
      <c r="I452" s="40"/>
      <c r="J452" s="266"/>
      <c r="K452" s="41"/>
    </row>
    <row r="453" spans="2:11" x14ac:dyDescent="0.2">
      <c r="B453" s="38"/>
      <c r="C453" s="40" t="s">
        <v>261</v>
      </c>
      <c r="D453" s="40"/>
      <c r="E453" s="40"/>
      <c r="F453" s="40"/>
      <c r="G453" s="40"/>
      <c r="H453" s="40"/>
      <c r="I453" s="40"/>
      <c r="J453" s="245" t="str">
        <f>IF(J452=$B$973,$A$973,IF(J452=$B$974,$A$974,IF(J452=$B$975,$A$975,IF(J452=$B$976,$A$976,IF(J452=$B$977,$A$977,"Not Calculated")))))</f>
        <v>Not Calculated</v>
      </c>
      <c r="K453" s="41"/>
    </row>
    <row r="454" spans="2:11" x14ac:dyDescent="0.2">
      <c r="B454" s="38"/>
      <c r="C454" s="40" t="s">
        <v>893</v>
      </c>
      <c r="D454" s="40"/>
      <c r="E454" s="40"/>
      <c r="F454" s="40"/>
      <c r="G454" s="40"/>
      <c r="H454" s="40"/>
      <c r="I454" s="40"/>
      <c r="J454" s="40"/>
      <c r="K454" s="41"/>
    </row>
    <row r="455" spans="2:11" ht="15" customHeight="1" x14ac:dyDescent="0.2">
      <c r="B455" s="38"/>
      <c r="C455" s="399"/>
      <c r="D455" s="400"/>
      <c r="E455" s="400"/>
      <c r="F455" s="400"/>
      <c r="G455" s="400"/>
      <c r="H455" s="400"/>
      <c r="I455" s="400"/>
      <c r="J455" s="401"/>
      <c r="K455" s="41"/>
    </row>
    <row r="456" spans="2:11" x14ac:dyDescent="0.2">
      <c r="B456" s="38"/>
      <c r="C456" s="40"/>
      <c r="D456" s="40"/>
      <c r="E456" s="40"/>
      <c r="F456" s="40"/>
      <c r="G456" s="40"/>
      <c r="H456" s="40"/>
      <c r="I456" s="40"/>
      <c r="J456" s="40"/>
      <c r="K456" s="41"/>
    </row>
    <row r="457" spans="2:11" x14ac:dyDescent="0.2">
      <c r="B457" s="38"/>
      <c r="C457" s="179" t="s">
        <v>304</v>
      </c>
      <c r="D457" s="40"/>
      <c r="E457" s="40"/>
      <c r="F457" s="40"/>
      <c r="G457" s="40"/>
      <c r="H457" s="40"/>
      <c r="I457" s="40"/>
      <c r="J457" s="245" t="str">
        <f>IF(OR(J446="Not Calculated",J453="Not Calculated")=TRUE,"Not Calculated",AVERAGE(J446,J453))</f>
        <v>Not Calculated</v>
      </c>
      <c r="K457" s="41"/>
    </row>
    <row r="458" spans="2:11" x14ac:dyDescent="0.2">
      <c r="B458" s="38"/>
      <c r="C458" s="40"/>
      <c r="D458" s="40"/>
      <c r="E458" s="40"/>
      <c r="F458" s="40"/>
      <c r="G458" s="40"/>
      <c r="H458" s="40"/>
      <c r="I458" s="40"/>
      <c r="J458" s="40"/>
      <c r="K458" s="41"/>
    </row>
    <row r="459" spans="2:11" x14ac:dyDescent="0.2">
      <c r="B459" s="38"/>
      <c r="C459" s="40"/>
      <c r="D459" s="40"/>
      <c r="E459" s="40"/>
      <c r="F459" s="40"/>
      <c r="G459" s="40"/>
      <c r="H459" s="40"/>
      <c r="I459" s="40"/>
      <c r="J459" s="40"/>
      <c r="K459" s="41"/>
    </row>
    <row r="460" spans="2:11" ht="16" x14ac:dyDescent="0.2">
      <c r="B460" s="38"/>
      <c r="C460" s="45" t="s">
        <v>306</v>
      </c>
      <c r="D460" s="40"/>
      <c r="E460" s="40"/>
      <c r="F460" s="40"/>
      <c r="G460" s="40"/>
      <c r="H460" s="40"/>
      <c r="I460" s="40"/>
      <c r="J460" s="40"/>
      <c r="K460" s="41"/>
    </row>
    <row r="461" spans="2:11" x14ac:dyDescent="0.2">
      <c r="B461" s="38"/>
      <c r="C461" s="40" t="s">
        <v>949</v>
      </c>
      <c r="D461" s="40"/>
      <c r="E461" s="40"/>
      <c r="F461" s="40"/>
      <c r="G461" s="40"/>
      <c r="H461" s="40"/>
      <c r="I461" s="40"/>
      <c r="J461" s="270"/>
      <c r="K461" s="41"/>
    </row>
    <row r="462" spans="2:11" x14ac:dyDescent="0.2">
      <c r="B462" s="38"/>
      <c r="C462" s="40" t="s">
        <v>260</v>
      </c>
      <c r="D462" s="40"/>
      <c r="E462" s="40"/>
      <c r="F462" s="40"/>
      <c r="G462" s="40"/>
      <c r="H462" s="40"/>
      <c r="I462" s="40"/>
      <c r="J462" s="248">
        <f>IF(J461&lt;=0,0,IF(J461&lt;=1,1,IF(J461&lt;=5,2,IF(J461&lt;=10,3,4))))</f>
        <v>0</v>
      </c>
      <c r="K462" s="41"/>
    </row>
    <row r="463" spans="2:11" ht="9.75" customHeight="1" x14ac:dyDescent="0.2">
      <c r="B463" s="38"/>
      <c r="C463" s="279" t="str">
        <f>"0:"</f>
        <v>0:</v>
      </c>
      <c r="D463" s="290" t="s">
        <v>944</v>
      </c>
      <c r="E463" s="40"/>
      <c r="F463" s="40"/>
      <c r="G463" s="40"/>
      <c r="H463" s="40"/>
      <c r="I463" s="40"/>
      <c r="J463" s="245"/>
      <c r="K463" s="41"/>
    </row>
    <row r="464" spans="2:11" ht="9.75" customHeight="1" x14ac:dyDescent="0.2">
      <c r="B464" s="38"/>
      <c r="C464" s="280" t="str">
        <f>"1:"</f>
        <v>1:</v>
      </c>
      <c r="D464" s="290" t="s">
        <v>945</v>
      </c>
      <c r="E464" s="40"/>
      <c r="F464" s="40"/>
      <c r="G464" s="40"/>
      <c r="H464" s="40"/>
      <c r="I464" s="40"/>
      <c r="J464" s="245"/>
      <c r="K464" s="41"/>
    </row>
    <row r="465" spans="2:11" ht="9.75" customHeight="1" x14ac:dyDescent="0.2">
      <c r="B465" s="38"/>
      <c r="C465" s="280" t="str">
        <f>"2:"</f>
        <v>2:</v>
      </c>
      <c r="D465" s="290" t="s">
        <v>946</v>
      </c>
      <c r="E465" s="40"/>
      <c r="F465" s="40"/>
      <c r="G465" s="40"/>
      <c r="H465" s="40"/>
      <c r="I465" s="40"/>
      <c r="J465" s="245"/>
      <c r="K465" s="41"/>
    </row>
    <row r="466" spans="2:11" ht="9.75" customHeight="1" x14ac:dyDescent="0.2">
      <c r="B466" s="38"/>
      <c r="C466" s="280" t="str">
        <f>"3:"</f>
        <v>3:</v>
      </c>
      <c r="D466" s="290" t="s">
        <v>947</v>
      </c>
      <c r="E466" s="40"/>
      <c r="F466" s="40"/>
      <c r="G466" s="40"/>
      <c r="H466" s="40"/>
      <c r="I466" s="40"/>
      <c r="J466" s="245"/>
      <c r="K466" s="41"/>
    </row>
    <row r="467" spans="2:11" ht="9.75" customHeight="1" x14ac:dyDescent="0.2">
      <c r="B467" s="38"/>
      <c r="C467" s="280" t="str">
        <f>"4:"</f>
        <v>4:</v>
      </c>
      <c r="D467" s="290" t="s">
        <v>948</v>
      </c>
      <c r="E467" s="40"/>
      <c r="F467" s="40"/>
      <c r="G467" s="40"/>
      <c r="H467" s="40"/>
      <c r="I467" s="40"/>
      <c r="J467" s="247"/>
      <c r="K467" s="41"/>
    </row>
    <row r="468" spans="2:11" x14ac:dyDescent="0.2">
      <c r="B468" s="38"/>
      <c r="C468" s="40" t="s">
        <v>257</v>
      </c>
      <c r="D468" s="40"/>
      <c r="E468" s="40"/>
      <c r="F468" s="40"/>
      <c r="G468" s="40"/>
      <c r="H468" s="40"/>
      <c r="I468" s="40"/>
      <c r="J468" s="266"/>
      <c r="K468" s="41"/>
    </row>
    <row r="469" spans="2:11" ht="15" customHeight="1" x14ac:dyDescent="0.2">
      <c r="B469" s="38"/>
      <c r="C469" s="40" t="s">
        <v>261</v>
      </c>
      <c r="D469" s="40"/>
      <c r="E469" s="40"/>
      <c r="F469" s="40"/>
      <c r="G469" s="40"/>
      <c r="H469" s="40"/>
      <c r="I469" s="40"/>
      <c r="J469" s="245" t="str">
        <f>IF(J468=$B$973,$A$973,IF(J468=$B$974,$A$974,IF(J468=$B$975,$A$975,IF(J468=$B$976,$A$976,IF(J468=$B$977,$A$977,"Not Calculated")))))</f>
        <v>Not Calculated</v>
      </c>
      <c r="K469" s="41"/>
    </row>
    <row r="470" spans="2:11" x14ac:dyDescent="0.2">
      <c r="B470" s="38"/>
      <c r="C470" s="40" t="s">
        <v>893</v>
      </c>
      <c r="D470" s="40"/>
      <c r="E470" s="40"/>
      <c r="F470" s="40"/>
      <c r="G470" s="40"/>
      <c r="H470" s="40"/>
      <c r="I470" s="40"/>
      <c r="J470" s="40"/>
      <c r="K470" s="41"/>
    </row>
    <row r="471" spans="2:11" x14ac:dyDescent="0.2">
      <c r="B471" s="38"/>
      <c r="C471" s="399"/>
      <c r="D471" s="400"/>
      <c r="E471" s="400"/>
      <c r="F471" s="400"/>
      <c r="G471" s="400"/>
      <c r="H471" s="400"/>
      <c r="I471" s="400"/>
      <c r="J471" s="401"/>
      <c r="K471" s="41"/>
    </row>
    <row r="472" spans="2:11" x14ac:dyDescent="0.2">
      <c r="B472" s="38"/>
      <c r="C472" s="40"/>
      <c r="D472" s="40"/>
      <c r="E472" s="40"/>
      <c r="F472" s="40"/>
      <c r="G472" s="40"/>
      <c r="H472" s="40"/>
      <c r="I472" s="40"/>
      <c r="J472" s="40"/>
      <c r="K472" s="41"/>
    </row>
    <row r="473" spans="2:11" x14ac:dyDescent="0.2">
      <c r="B473" s="38"/>
      <c r="C473" s="179" t="s">
        <v>307</v>
      </c>
      <c r="D473" s="40"/>
      <c r="E473" s="40"/>
      <c r="F473" s="40"/>
      <c r="G473" s="40"/>
      <c r="H473" s="40"/>
      <c r="I473" s="40"/>
      <c r="J473" s="245" t="str">
        <f>IF(OR(J462="Not Calculated",J469="Not Calculated")=TRUE,"Not Calculated",AVERAGE(J462,J469))</f>
        <v>Not Calculated</v>
      </c>
      <c r="K473" s="41"/>
    </row>
    <row r="474" spans="2:11" x14ac:dyDescent="0.2">
      <c r="B474" s="38"/>
      <c r="C474" s="40"/>
      <c r="D474" s="40"/>
      <c r="E474" s="40"/>
      <c r="F474" s="40"/>
      <c r="G474" s="40"/>
      <c r="H474" s="40"/>
      <c r="I474" s="40"/>
      <c r="J474" s="40"/>
      <c r="K474" s="41"/>
    </row>
    <row r="475" spans="2:11" x14ac:dyDescent="0.2">
      <c r="B475" s="38"/>
      <c r="C475" s="40"/>
      <c r="D475" s="40"/>
      <c r="E475" s="40"/>
      <c r="F475" s="40"/>
      <c r="G475" s="40"/>
      <c r="H475" s="40"/>
      <c r="I475" s="40"/>
      <c r="J475" s="40"/>
      <c r="K475" s="41"/>
    </row>
    <row r="476" spans="2:11" ht="16" x14ac:dyDescent="0.2">
      <c r="B476" s="38"/>
      <c r="C476" s="45" t="s">
        <v>308</v>
      </c>
      <c r="D476" s="40"/>
      <c r="E476" s="40"/>
      <c r="F476" s="40"/>
      <c r="G476" s="40"/>
      <c r="H476" s="40"/>
      <c r="I476" s="40"/>
      <c r="J476" s="40"/>
      <c r="K476" s="41"/>
    </row>
    <row r="477" spans="2:11" ht="15" customHeight="1" x14ac:dyDescent="0.2">
      <c r="B477" s="38"/>
      <c r="C477" s="380" t="s">
        <v>310</v>
      </c>
      <c r="D477" s="380"/>
      <c r="E477" s="380"/>
      <c r="F477" s="380"/>
      <c r="G477" s="380"/>
      <c r="H477" s="380"/>
      <c r="I477" s="380"/>
      <c r="J477" s="40"/>
      <c r="K477" s="41"/>
    </row>
    <row r="478" spans="2:11" x14ac:dyDescent="0.2">
      <c r="B478" s="38"/>
      <c r="C478" s="380"/>
      <c r="D478" s="380"/>
      <c r="E478" s="380"/>
      <c r="F478" s="380"/>
      <c r="G478" s="380"/>
      <c r="H478" s="380"/>
      <c r="I478" s="380"/>
      <c r="J478" s="131"/>
      <c r="K478" s="41"/>
    </row>
    <row r="479" spans="2:11" x14ac:dyDescent="0.2">
      <c r="B479" s="38"/>
      <c r="C479" s="40" t="s">
        <v>261</v>
      </c>
      <c r="D479" s="40"/>
      <c r="E479" s="40"/>
      <c r="F479" s="40"/>
      <c r="G479" s="40"/>
      <c r="H479" s="40"/>
      <c r="I479" s="40"/>
      <c r="J479" s="245">
        <f>IF(J478&lt;=0,0,IF(J478&lt;=1,1,IF(J478&lt;=7,2,IF(J478&lt;=14,3,4))))</f>
        <v>0</v>
      </c>
      <c r="K479" s="41"/>
    </row>
    <row r="480" spans="2:11" s="51" customFormat="1" ht="9.75" customHeight="1" x14ac:dyDescent="0.2">
      <c r="B480" s="283"/>
      <c r="C480" s="279" t="str">
        <f>"0:"</f>
        <v>0:</v>
      </c>
      <c r="D480" s="284" t="s">
        <v>950</v>
      </c>
      <c r="E480" s="285"/>
      <c r="F480" s="285"/>
      <c r="G480" s="285"/>
      <c r="H480" s="285"/>
      <c r="I480" s="285"/>
      <c r="J480" s="43"/>
      <c r="K480" s="286"/>
    </row>
    <row r="481" spans="2:11" s="51" customFormat="1" ht="9.75" customHeight="1" x14ac:dyDescent="0.2">
      <c r="B481" s="283"/>
      <c r="C481" s="280" t="str">
        <f>"1:"</f>
        <v>1:</v>
      </c>
      <c r="D481" s="284" t="s">
        <v>951</v>
      </c>
      <c r="E481" s="285"/>
      <c r="F481" s="285"/>
      <c r="G481" s="285"/>
      <c r="H481" s="285"/>
      <c r="I481" s="285"/>
      <c r="J481" s="43"/>
      <c r="K481" s="286"/>
    </row>
    <row r="482" spans="2:11" s="51" customFormat="1" ht="9.75" customHeight="1" x14ac:dyDescent="0.2">
      <c r="B482" s="283"/>
      <c r="C482" s="280" t="str">
        <f>"2:"</f>
        <v>2:</v>
      </c>
      <c r="D482" s="284" t="s">
        <v>952</v>
      </c>
      <c r="E482" s="285"/>
      <c r="F482" s="285"/>
      <c r="G482" s="285"/>
      <c r="H482" s="285"/>
      <c r="I482" s="285"/>
      <c r="J482" s="43"/>
      <c r="K482" s="286"/>
    </row>
    <row r="483" spans="2:11" s="51" customFormat="1" ht="9.75" customHeight="1" x14ac:dyDescent="0.2">
      <c r="B483" s="283"/>
      <c r="C483" s="280" t="str">
        <f>"3:"</f>
        <v>3:</v>
      </c>
      <c r="D483" s="284" t="s">
        <v>953</v>
      </c>
      <c r="E483" s="285"/>
      <c r="F483" s="285"/>
      <c r="G483" s="285"/>
      <c r="H483" s="285"/>
      <c r="I483" s="285"/>
      <c r="J483" s="43"/>
      <c r="K483" s="286"/>
    </row>
    <row r="484" spans="2:11" s="51" customFormat="1" ht="9.75" customHeight="1" x14ac:dyDescent="0.2">
      <c r="B484" s="283"/>
      <c r="C484" s="280" t="str">
        <f>"4:"</f>
        <v>4:</v>
      </c>
      <c r="D484" s="284" t="s">
        <v>954</v>
      </c>
      <c r="E484" s="285"/>
      <c r="F484" s="285"/>
      <c r="G484" s="285"/>
      <c r="H484" s="285"/>
      <c r="I484" s="285"/>
      <c r="J484" s="43"/>
      <c r="K484" s="286"/>
    </row>
    <row r="485" spans="2:11" x14ac:dyDescent="0.2">
      <c r="B485" s="38"/>
      <c r="C485" s="40" t="s">
        <v>893</v>
      </c>
      <c r="D485" s="40"/>
      <c r="E485" s="40"/>
      <c r="F485" s="40"/>
      <c r="G485" s="40"/>
      <c r="H485" s="40"/>
      <c r="I485" s="40"/>
      <c r="J485" s="40"/>
      <c r="K485" s="41"/>
    </row>
    <row r="486" spans="2:11" x14ac:dyDescent="0.2">
      <c r="B486" s="38"/>
      <c r="C486" s="399"/>
      <c r="D486" s="400"/>
      <c r="E486" s="400"/>
      <c r="F486" s="400"/>
      <c r="G486" s="400"/>
      <c r="H486" s="400"/>
      <c r="I486" s="400"/>
      <c r="J486" s="401"/>
      <c r="K486" s="41"/>
    </row>
    <row r="487" spans="2:11" x14ac:dyDescent="0.2">
      <c r="B487" s="38"/>
      <c r="C487" s="40"/>
      <c r="D487" s="40"/>
      <c r="E487" s="40"/>
      <c r="F487" s="40"/>
      <c r="G487" s="40"/>
      <c r="H487" s="40"/>
      <c r="I487" s="40"/>
      <c r="J487" s="40"/>
      <c r="K487" s="41"/>
    </row>
    <row r="488" spans="2:11" x14ac:dyDescent="0.2">
      <c r="B488" s="38"/>
      <c r="C488" s="179" t="s">
        <v>309</v>
      </c>
      <c r="D488" s="40"/>
      <c r="E488" s="40"/>
      <c r="F488" s="40"/>
      <c r="G488" s="40"/>
      <c r="H488" s="40"/>
      <c r="I488" s="40"/>
      <c r="J488" s="245">
        <f>J479</f>
        <v>0</v>
      </c>
      <c r="K488" s="41"/>
    </row>
    <row r="489" spans="2:11" x14ac:dyDescent="0.2">
      <c r="B489" s="38"/>
      <c r="C489" s="40"/>
      <c r="D489" s="40"/>
      <c r="E489" s="40"/>
      <c r="F489" s="40"/>
      <c r="G489" s="40"/>
      <c r="H489" s="40"/>
      <c r="I489" s="40"/>
      <c r="J489" s="40"/>
      <c r="K489" s="41"/>
    </row>
    <row r="490" spans="2:11" x14ac:dyDescent="0.2">
      <c r="B490" s="38"/>
      <c r="C490" s="40"/>
      <c r="D490" s="40"/>
      <c r="E490" s="40"/>
      <c r="F490" s="40"/>
      <c r="G490" s="40"/>
      <c r="H490" s="40"/>
      <c r="I490" s="40"/>
      <c r="J490" s="40"/>
      <c r="K490" s="41"/>
    </row>
    <row r="491" spans="2:11" ht="16" x14ac:dyDescent="0.2">
      <c r="B491" s="38"/>
      <c r="C491" s="45" t="s">
        <v>311</v>
      </c>
      <c r="D491" s="40"/>
      <c r="E491" s="40"/>
      <c r="F491" s="40"/>
      <c r="G491" s="40"/>
      <c r="H491" s="40"/>
      <c r="I491" s="40"/>
      <c r="J491" s="40"/>
      <c r="K491" s="41"/>
    </row>
    <row r="492" spans="2:11" x14ac:dyDescent="0.2">
      <c r="B492" s="38"/>
      <c r="C492" s="40" t="s">
        <v>312</v>
      </c>
      <c r="D492" s="40"/>
      <c r="E492" s="40"/>
      <c r="F492" s="40"/>
      <c r="G492" s="40"/>
      <c r="H492" s="40"/>
      <c r="I492" s="40"/>
      <c r="J492" s="270"/>
      <c r="K492" s="41"/>
    </row>
    <row r="493" spans="2:11" x14ac:dyDescent="0.2">
      <c r="B493" s="38"/>
      <c r="C493" s="40" t="s">
        <v>260</v>
      </c>
      <c r="D493" s="40"/>
      <c r="E493" s="40"/>
      <c r="F493" s="40"/>
      <c r="G493" s="40"/>
      <c r="H493" s="40"/>
      <c r="I493" s="40"/>
      <c r="J493" s="248">
        <f>IF(J492&lt;=0,0,IF(J492&lt;=1,1,IF(J492&lt;=5,2,IF(J492&lt;=10,3,4))))</f>
        <v>0</v>
      </c>
      <c r="K493" s="41"/>
    </row>
    <row r="494" spans="2:11" ht="9.75" customHeight="1" x14ac:dyDescent="0.2">
      <c r="B494" s="38"/>
      <c r="C494" s="279" t="str">
        <f>"0:"</f>
        <v>0:</v>
      </c>
      <c r="D494" s="290" t="s">
        <v>955</v>
      </c>
      <c r="E494" s="40"/>
      <c r="F494" s="40"/>
      <c r="G494" s="40"/>
      <c r="H494" s="40"/>
      <c r="I494" s="40"/>
      <c r="J494" s="245"/>
      <c r="K494" s="41"/>
    </row>
    <row r="495" spans="2:11" ht="9.75" customHeight="1" x14ac:dyDescent="0.2">
      <c r="B495" s="38"/>
      <c r="C495" s="280" t="str">
        <f>"1:"</f>
        <v>1:</v>
      </c>
      <c r="D495" s="290" t="s">
        <v>956</v>
      </c>
      <c r="E495" s="40"/>
      <c r="F495" s="40"/>
      <c r="G495" s="40"/>
      <c r="H495" s="40"/>
      <c r="I495" s="40"/>
      <c r="J495" s="245"/>
      <c r="K495" s="41"/>
    </row>
    <row r="496" spans="2:11" ht="9.75" customHeight="1" x14ac:dyDescent="0.2">
      <c r="B496" s="38"/>
      <c r="C496" s="280" t="str">
        <f>"2:"</f>
        <v>2:</v>
      </c>
      <c r="D496" s="290" t="s">
        <v>957</v>
      </c>
      <c r="E496" s="40"/>
      <c r="F496" s="40"/>
      <c r="G496" s="40"/>
      <c r="H496" s="40"/>
      <c r="I496" s="40"/>
      <c r="J496" s="245"/>
      <c r="K496" s="41"/>
    </row>
    <row r="497" spans="2:11" ht="9.75" customHeight="1" x14ac:dyDescent="0.2">
      <c r="B497" s="38"/>
      <c r="C497" s="280" t="str">
        <f>"3:"</f>
        <v>3:</v>
      </c>
      <c r="D497" s="290" t="s">
        <v>958</v>
      </c>
      <c r="E497" s="40"/>
      <c r="F497" s="40"/>
      <c r="G497" s="40"/>
      <c r="H497" s="40"/>
      <c r="I497" s="40"/>
      <c r="J497" s="245"/>
      <c r="K497" s="41"/>
    </row>
    <row r="498" spans="2:11" ht="9.75" customHeight="1" x14ac:dyDescent="0.2">
      <c r="B498" s="38"/>
      <c r="C498" s="280" t="str">
        <f>"4:"</f>
        <v>4:</v>
      </c>
      <c r="D498" s="290" t="s">
        <v>959</v>
      </c>
      <c r="E498" s="40"/>
      <c r="F498" s="40"/>
      <c r="G498" s="40"/>
      <c r="H498" s="40"/>
      <c r="I498" s="40"/>
      <c r="J498" s="247"/>
      <c r="K498" s="41"/>
    </row>
    <row r="499" spans="2:11" x14ac:dyDescent="0.2">
      <c r="B499" s="38"/>
      <c r="C499" s="40" t="s">
        <v>313</v>
      </c>
      <c r="D499" s="40"/>
      <c r="E499" s="40"/>
      <c r="F499" s="40"/>
      <c r="G499" s="40"/>
      <c r="H499" s="40"/>
      <c r="I499" s="40"/>
      <c r="J499" s="266"/>
      <c r="K499" s="41"/>
    </row>
    <row r="500" spans="2:11" x14ac:dyDescent="0.2">
      <c r="B500" s="38"/>
      <c r="C500" s="40" t="s">
        <v>261</v>
      </c>
      <c r="D500" s="40"/>
      <c r="E500" s="40"/>
      <c r="F500" s="40"/>
      <c r="G500" s="40"/>
      <c r="H500" s="40"/>
      <c r="I500" s="40"/>
      <c r="J500" s="245" t="str">
        <f>IF(J499=$B$973,$A$973,IF(J499=$B$974,$A$974,IF(J499=$B$975,$A$975,IF(J499=$B$976,$A$976,IF(J499=$B$977,$A$977,"Not Calculated")))))</f>
        <v>Not Calculated</v>
      </c>
      <c r="K500" s="41"/>
    </row>
    <row r="501" spans="2:11" x14ac:dyDescent="0.2">
      <c r="B501" s="38"/>
      <c r="C501" s="40" t="s">
        <v>893</v>
      </c>
      <c r="D501" s="40"/>
      <c r="E501" s="40"/>
      <c r="F501" s="40"/>
      <c r="G501" s="40"/>
      <c r="H501" s="40"/>
      <c r="I501" s="40"/>
      <c r="J501" s="40"/>
      <c r="K501" s="41"/>
    </row>
    <row r="502" spans="2:11" x14ac:dyDescent="0.2">
      <c r="B502" s="38"/>
      <c r="C502" s="399"/>
      <c r="D502" s="400"/>
      <c r="E502" s="400"/>
      <c r="F502" s="400"/>
      <c r="G502" s="400"/>
      <c r="H502" s="400"/>
      <c r="I502" s="400"/>
      <c r="J502" s="401"/>
      <c r="K502" s="41"/>
    </row>
    <row r="503" spans="2:11" x14ac:dyDescent="0.2">
      <c r="B503" s="38"/>
      <c r="C503" s="40"/>
      <c r="D503" s="40"/>
      <c r="E503" s="40"/>
      <c r="F503" s="40"/>
      <c r="G503" s="40"/>
      <c r="H503" s="40"/>
      <c r="I503" s="40"/>
      <c r="J503" s="40"/>
      <c r="K503" s="41"/>
    </row>
    <row r="504" spans="2:11" x14ac:dyDescent="0.2">
      <c r="B504" s="38"/>
      <c r="C504" s="179" t="s">
        <v>321</v>
      </c>
      <c r="D504" s="40"/>
      <c r="E504" s="40"/>
      <c r="F504" s="40"/>
      <c r="G504" s="40"/>
      <c r="H504" s="40"/>
      <c r="I504" s="40"/>
      <c r="J504" s="245" t="str">
        <f>IF(OR(J493="Not Calculated",J500="Not Calculated")=TRUE,"Not Calculated",AVERAGE(J493,J500))</f>
        <v>Not Calculated</v>
      </c>
      <c r="K504" s="41"/>
    </row>
    <row r="505" spans="2:11" x14ac:dyDescent="0.2">
      <c r="B505" s="38"/>
      <c r="C505" s="40"/>
      <c r="D505" s="40"/>
      <c r="E505" s="40"/>
      <c r="F505" s="40"/>
      <c r="G505" s="40"/>
      <c r="H505" s="40"/>
      <c r="I505" s="40"/>
      <c r="J505" s="40"/>
      <c r="K505" s="41"/>
    </row>
    <row r="506" spans="2:11" x14ac:dyDescent="0.2">
      <c r="B506" s="38"/>
      <c r="C506" s="40"/>
      <c r="D506" s="40"/>
      <c r="E506" s="40"/>
      <c r="F506" s="40"/>
      <c r="G506" s="40"/>
      <c r="H506" s="40"/>
      <c r="I506" s="40"/>
      <c r="J506" s="40"/>
      <c r="K506" s="41"/>
    </row>
    <row r="507" spans="2:11" ht="16" x14ac:dyDescent="0.2">
      <c r="B507" s="38"/>
      <c r="C507" s="45" t="s">
        <v>314</v>
      </c>
      <c r="D507" s="40"/>
      <c r="E507" s="40"/>
      <c r="F507" s="40"/>
      <c r="G507" s="40"/>
      <c r="H507" s="40"/>
      <c r="I507" s="40"/>
      <c r="J507" s="40"/>
      <c r="K507" s="41"/>
    </row>
    <row r="508" spans="2:11" x14ac:dyDescent="0.2">
      <c r="B508" s="38"/>
      <c r="C508" s="40" t="s">
        <v>316</v>
      </c>
      <c r="D508" s="40"/>
      <c r="E508" s="40"/>
      <c r="F508" s="40"/>
      <c r="G508" s="40"/>
      <c r="H508" s="40"/>
      <c r="I508" s="40"/>
      <c r="J508" s="269"/>
      <c r="K508" s="41"/>
    </row>
    <row r="509" spans="2:11" x14ac:dyDescent="0.2">
      <c r="B509" s="38"/>
      <c r="C509" s="40" t="s">
        <v>260</v>
      </c>
      <c r="D509" s="40"/>
      <c r="E509" s="40"/>
      <c r="F509" s="40"/>
      <c r="G509" s="40"/>
      <c r="H509" s="40"/>
      <c r="I509" s="40"/>
      <c r="J509" s="248">
        <f>IF(J508&lt;=0,0,IF(J508&lt;=1000,1,IF(J508&lt;=5000,2,IF(J508&lt;=25000,3,4))))</f>
        <v>0</v>
      </c>
      <c r="K509" s="41"/>
    </row>
    <row r="510" spans="2:11" s="51" customFormat="1" ht="9.75" customHeight="1" x14ac:dyDescent="0.2">
      <c r="B510" s="283"/>
      <c r="C510" s="279" t="str">
        <f>"0:"</f>
        <v>0:</v>
      </c>
      <c r="D510" s="284" t="s">
        <v>960</v>
      </c>
      <c r="E510" s="285"/>
      <c r="F510" s="285"/>
      <c r="G510" s="285"/>
      <c r="H510" s="285"/>
      <c r="I510" s="285"/>
      <c r="J510" s="43"/>
      <c r="K510" s="286"/>
    </row>
    <row r="511" spans="2:11" s="51" customFormat="1" ht="9.75" customHeight="1" x14ac:dyDescent="0.2">
      <c r="B511" s="283"/>
      <c r="C511" s="280" t="str">
        <f>"1:"</f>
        <v>1:</v>
      </c>
      <c r="D511" s="284" t="s">
        <v>961</v>
      </c>
      <c r="E511" s="285"/>
      <c r="F511" s="285"/>
      <c r="G511" s="285"/>
      <c r="H511" s="285"/>
      <c r="I511" s="285"/>
      <c r="J511" s="43"/>
      <c r="K511" s="286"/>
    </row>
    <row r="512" spans="2:11" s="51" customFormat="1" ht="9.75" customHeight="1" x14ac:dyDescent="0.2">
      <c r="B512" s="283"/>
      <c r="C512" s="280" t="str">
        <f>"2:"</f>
        <v>2:</v>
      </c>
      <c r="D512" s="284" t="s">
        <v>962</v>
      </c>
      <c r="E512" s="285"/>
      <c r="F512" s="285"/>
      <c r="G512" s="285"/>
      <c r="H512" s="285"/>
      <c r="I512" s="285"/>
      <c r="J512" s="43"/>
      <c r="K512" s="286"/>
    </row>
    <row r="513" spans="2:11" s="51" customFormat="1" ht="9.75" customHeight="1" x14ac:dyDescent="0.2">
      <c r="B513" s="283"/>
      <c r="C513" s="280" t="str">
        <f>"3:"</f>
        <v>3:</v>
      </c>
      <c r="D513" s="284" t="s">
        <v>963</v>
      </c>
      <c r="E513" s="285"/>
      <c r="F513" s="285"/>
      <c r="G513" s="285"/>
      <c r="H513" s="285"/>
      <c r="I513" s="285"/>
      <c r="J513" s="43"/>
      <c r="K513" s="286"/>
    </row>
    <row r="514" spans="2:11" s="51" customFormat="1" ht="9.75" customHeight="1" x14ac:dyDescent="0.2">
      <c r="B514" s="283"/>
      <c r="C514" s="280" t="str">
        <f>"4:"</f>
        <v>4:</v>
      </c>
      <c r="D514" s="284" t="s">
        <v>964</v>
      </c>
      <c r="E514" s="285"/>
      <c r="F514" s="285"/>
      <c r="G514" s="285"/>
      <c r="H514" s="285"/>
      <c r="I514" s="285"/>
      <c r="J514" s="287"/>
      <c r="K514" s="286"/>
    </row>
    <row r="515" spans="2:11" x14ac:dyDescent="0.2">
      <c r="B515" s="38"/>
      <c r="C515" s="40" t="s">
        <v>315</v>
      </c>
      <c r="D515" s="40"/>
      <c r="E515" s="40"/>
      <c r="F515" s="40"/>
      <c r="G515" s="40"/>
      <c r="H515" s="40"/>
      <c r="I515" s="40"/>
      <c r="J515" s="266"/>
      <c r="K515" s="41"/>
    </row>
    <row r="516" spans="2:11" x14ac:dyDescent="0.2">
      <c r="B516" s="38"/>
      <c r="C516" s="40" t="s">
        <v>261</v>
      </c>
      <c r="D516" s="40"/>
      <c r="E516" s="40"/>
      <c r="F516" s="40"/>
      <c r="G516" s="40"/>
      <c r="H516" s="40"/>
      <c r="I516" s="40"/>
      <c r="J516" s="245" t="str">
        <f>IF(J515=$B$973,$A$973,IF(J515=$B$974,$A$974,IF(J515=$B$975,$A$975,IF(J515=$B$976,$A$976,IF(J515=$B$977,$A$977,"Not Calculated")))))</f>
        <v>Not Calculated</v>
      </c>
      <c r="K516" s="41"/>
    </row>
    <row r="517" spans="2:11" x14ac:dyDescent="0.2">
      <c r="B517" s="38"/>
      <c r="C517" s="40" t="s">
        <v>893</v>
      </c>
      <c r="D517" s="40"/>
      <c r="E517" s="40"/>
      <c r="F517" s="40"/>
      <c r="G517" s="40"/>
      <c r="H517" s="40"/>
      <c r="I517" s="40"/>
      <c r="J517" s="40"/>
      <c r="K517" s="41"/>
    </row>
    <row r="518" spans="2:11" ht="15" customHeight="1" x14ac:dyDescent="0.2">
      <c r="B518" s="38"/>
      <c r="C518" s="399"/>
      <c r="D518" s="400"/>
      <c r="E518" s="400"/>
      <c r="F518" s="400"/>
      <c r="G518" s="400"/>
      <c r="H518" s="400"/>
      <c r="I518" s="400"/>
      <c r="J518" s="401"/>
      <c r="K518" s="41"/>
    </row>
    <row r="519" spans="2:11" x14ac:dyDescent="0.2">
      <c r="B519" s="38"/>
      <c r="C519" s="40"/>
      <c r="D519" s="40"/>
      <c r="E519" s="40"/>
      <c r="F519" s="40"/>
      <c r="G519" s="40"/>
      <c r="H519" s="40"/>
      <c r="I519" s="40"/>
      <c r="J519" s="40"/>
      <c r="K519" s="41"/>
    </row>
    <row r="520" spans="2:11" x14ac:dyDescent="0.2">
      <c r="B520" s="38"/>
      <c r="C520" s="179" t="s">
        <v>320</v>
      </c>
      <c r="D520" s="40"/>
      <c r="E520" s="40"/>
      <c r="F520" s="40"/>
      <c r="G520" s="40"/>
      <c r="H520" s="40"/>
      <c r="I520" s="40"/>
      <c r="J520" s="245" t="str">
        <f>IF(OR(J509="Not Calculated",J516="Not Calculated")=TRUE,"Not Calculated",AVERAGE(J509,J516))</f>
        <v>Not Calculated</v>
      </c>
      <c r="K520" s="41"/>
    </row>
    <row r="521" spans="2:11" x14ac:dyDescent="0.2">
      <c r="B521" s="38"/>
      <c r="C521" s="40"/>
      <c r="D521" s="40"/>
      <c r="E521" s="40"/>
      <c r="F521" s="40"/>
      <c r="G521" s="40"/>
      <c r="H521" s="40"/>
      <c r="I521" s="40"/>
      <c r="J521" s="40"/>
      <c r="K521" s="41"/>
    </row>
    <row r="522" spans="2:11" x14ac:dyDescent="0.2">
      <c r="B522" s="38"/>
      <c r="C522" s="40"/>
      <c r="D522" s="40"/>
      <c r="E522" s="40"/>
      <c r="F522" s="40"/>
      <c r="G522" s="40"/>
      <c r="H522" s="40"/>
      <c r="I522" s="40"/>
      <c r="J522" s="40"/>
      <c r="K522" s="41"/>
    </row>
    <row r="523" spans="2:11" ht="16" x14ac:dyDescent="0.2">
      <c r="B523" s="38"/>
      <c r="C523" s="45" t="s">
        <v>317</v>
      </c>
      <c r="D523" s="40"/>
      <c r="E523" s="40"/>
      <c r="F523" s="40"/>
      <c r="G523" s="40"/>
      <c r="H523" s="40"/>
      <c r="I523" s="40"/>
      <c r="J523" s="40"/>
      <c r="K523" s="41"/>
    </row>
    <row r="524" spans="2:11" ht="15" customHeight="1" x14ac:dyDescent="0.2">
      <c r="B524" s="38"/>
      <c r="C524" s="380" t="s">
        <v>318</v>
      </c>
      <c r="D524" s="380"/>
      <c r="E524" s="380"/>
      <c r="F524" s="380"/>
      <c r="G524" s="380"/>
      <c r="H524" s="380"/>
      <c r="I524" s="380"/>
      <c r="J524" s="40"/>
      <c r="K524" s="41"/>
    </row>
    <row r="525" spans="2:11" x14ac:dyDescent="0.2">
      <c r="B525" s="38"/>
      <c r="C525" s="380"/>
      <c r="D525" s="380"/>
      <c r="E525" s="380"/>
      <c r="F525" s="380"/>
      <c r="G525" s="380"/>
      <c r="H525" s="380"/>
      <c r="I525" s="380"/>
      <c r="J525" s="274"/>
      <c r="K525" s="41"/>
    </row>
    <row r="526" spans="2:11" x14ac:dyDescent="0.2">
      <c r="B526" s="38"/>
      <c r="C526" s="40" t="s">
        <v>260</v>
      </c>
      <c r="D526" s="40"/>
      <c r="E526" s="40"/>
      <c r="F526" s="40"/>
      <c r="G526" s="40"/>
      <c r="H526" s="40"/>
      <c r="I526" s="40"/>
      <c r="J526" s="248">
        <f>IF(J525&lt;=0,0,IF(J525&lt;=1,1,IF(J525&lt;=5,2,IF(J525&lt;=10,3,4))))</f>
        <v>0</v>
      </c>
      <c r="K526" s="41"/>
    </row>
    <row r="527" spans="2:11" s="51" customFormat="1" ht="9.75" customHeight="1" x14ac:dyDescent="0.2">
      <c r="B527" s="283"/>
      <c r="C527" s="279" t="str">
        <f>"0:"</f>
        <v>0:</v>
      </c>
      <c r="D527" s="284" t="s">
        <v>965</v>
      </c>
      <c r="E527" s="285"/>
      <c r="F527" s="285"/>
      <c r="G527" s="285"/>
      <c r="H527" s="285"/>
      <c r="I527" s="285"/>
      <c r="J527" s="43"/>
      <c r="K527" s="286"/>
    </row>
    <row r="528" spans="2:11" s="51" customFormat="1" ht="9.75" customHeight="1" x14ac:dyDescent="0.2">
      <c r="B528" s="283"/>
      <c r="C528" s="280" t="str">
        <f>"1:"</f>
        <v>1:</v>
      </c>
      <c r="D528" s="284" t="s">
        <v>966</v>
      </c>
      <c r="E528" s="285"/>
      <c r="F528" s="285"/>
      <c r="G528" s="285"/>
      <c r="H528" s="285"/>
      <c r="I528" s="285"/>
      <c r="J528" s="43"/>
      <c r="K528" s="286"/>
    </row>
    <row r="529" spans="2:11" s="51" customFormat="1" ht="9.75" customHeight="1" x14ac:dyDescent="0.2">
      <c r="B529" s="283"/>
      <c r="C529" s="280" t="str">
        <f>"2:"</f>
        <v>2:</v>
      </c>
      <c r="D529" s="284" t="s">
        <v>967</v>
      </c>
      <c r="E529" s="285"/>
      <c r="F529" s="285"/>
      <c r="G529" s="285"/>
      <c r="H529" s="285"/>
      <c r="I529" s="285"/>
      <c r="J529" s="43"/>
      <c r="K529" s="286"/>
    </row>
    <row r="530" spans="2:11" s="51" customFormat="1" ht="9.75" customHeight="1" x14ac:dyDescent="0.2">
      <c r="B530" s="283"/>
      <c r="C530" s="280" t="str">
        <f>"3:"</f>
        <v>3:</v>
      </c>
      <c r="D530" s="284" t="s">
        <v>968</v>
      </c>
      <c r="E530" s="285"/>
      <c r="F530" s="285"/>
      <c r="G530" s="285"/>
      <c r="H530" s="285"/>
      <c r="I530" s="285"/>
      <c r="J530" s="43"/>
      <c r="K530" s="286"/>
    </row>
    <row r="531" spans="2:11" s="51" customFormat="1" ht="9.75" customHeight="1" x14ac:dyDescent="0.2">
      <c r="B531" s="283"/>
      <c r="C531" s="280" t="str">
        <f>"4:"</f>
        <v>4:</v>
      </c>
      <c r="D531" s="284" t="s">
        <v>969</v>
      </c>
      <c r="E531" s="285"/>
      <c r="F531" s="285"/>
      <c r="G531" s="285"/>
      <c r="H531" s="285"/>
      <c r="I531" s="285"/>
      <c r="J531" s="287"/>
      <c r="K531" s="286"/>
    </row>
    <row r="532" spans="2:11" x14ac:dyDescent="0.2">
      <c r="B532" s="38"/>
      <c r="C532" s="40" t="s">
        <v>257</v>
      </c>
      <c r="D532" s="40"/>
      <c r="E532" s="40"/>
      <c r="F532" s="40"/>
      <c r="G532" s="40"/>
      <c r="H532" s="40"/>
      <c r="I532" s="40"/>
      <c r="J532" s="266"/>
      <c r="K532" s="41"/>
    </row>
    <row r="533" spans="2:11" x14ac:dyDescent="0.2">
      <c r="B533" s="38"/>
      <c r="C533" s="40" t="s">
        <v>261</v>
      </c>
      <c r="D533" s="40"/>
      <c r="E533" s="40"/>
      <c r="F533" s="40"/>
      <c r="G533" s="40"/>
      <c r="H533" s="40"/>
      <c r="I533" s="40"/>
      <c r="J533" s="245" t="str">
        <f>IF(J532=$B$973,$A$973,IF(J532=$B$974,$A$974,IF(J532=$B$975,$A$975,IF(J532=$B$976,$A$976,IF(J532=$B$977,$A$977,"Not Calculated")))))</f>
        <v>Not Calculated</v>
      </c>
      <c r="K533" s="41"/>
    </row>
    <row r="534" spans="2:11" x14ac:dyDescent="0.2">
      <c r="B534" s="38"/>
      <c r="C534" s="40" t="s">
        <v>893</v>
      </c>
      <c r="D534" s="40"/>
      <c r="E534" s="40"/>
      <c r="F534" s="40"/>
      <c r="G534" s="40"/>
      <c r="H534" s="40"/>
      <c r="I534" s="40"/>
      <c r="J534" s="40"/>
      <c r="K534" s="41"/>
    </row>
    <row r="535" spans="2:11" ht="15" customHeight="1" x14ac:dyDescent="0.2">
      <c r="B535" s="38"/>
      <c r="C535" s="399"/>
      <c r="D535" s="400"/>
      <c r="E535" s="400"/>
      <c r="F535" s="400"/>
      <c r="G535" s="400"/>
      <c r="H535" s="400"/>
      <c r="I535" s="400"/>
      <c r="J535" s="401"/>
      <c r="K535" s="41"/>
    </row>
    <row r="536" spans="2:11" x14ac:dyDescent="0.2">
      <c r="B536" s="38"/>
      <c r="C536" s="40"/>
      <c r="D536" s="40"/>
      <c r="E536" s="40"/>
      <c r="F536" s="40"/>
      <c r="G536" s="40"/>
      <c r="H536" s="40"/>
      <c r="I536" s="40"/>
      <c r="J536" s="40"/>
      <c r="K536" s="41"/>
    </row>
    <row r="537" spans="2:11" x14ac:dyDescent="0.2">
      <c r="B537" s="38"/>
      <c r="C537" s="179" t="s">
        <v>319</v>
      </c>
      <c r="D537" s="40"/>
      <c r="E537" s="40"/>
      <c r="F537" s="40"/>
      <c r="G537" s="40"/>
      <c r="H537" s="40"/>
      <c r="I537" s="40"/>
      <c r="J537" s="245" t="str">
        <f>IF(OR(J526="Not Calculated",J533="Not Calculated")=TRUE,"Not Calculated",AVERAGE(J526,J533))</f>
        <v>Not Calculated</v>
      </c>
      <c r="K537" s="41"/>
    </row>
    <row r="538" spans="2:11" x14ac:dyDescent="0.2">
      <c r="B538" s="38"/>
      <c r="C538" s="40"/>
      <c r="D538" s="40"/>
      <c r="E538" s="40"/>
      <c r="F538" s="40"/>
      <c r="G538" s="40"/>
      <c r="H538" s="40"/>
      <c r="I538" s="40"/>
      <c r="J538" s="40"/>
      <c r="K538" s="41"/>
    </row>
    <row r="539" spans="2:11" ht="18" x14ac:dyDescent="0.2">
      <c r="B539" s="38"/>
      <c r="C539" s="180" t="s">
        <v>302</v>
      </c>
      <c r="D539" s="40"/>
      <c r="E539" s="40"/>
      <c r="F539" s="40"/>
      <c r="G539" s="40"/>
      <c r="H539" s="40"/>
      <c r="I539" s="40"/>
      <c r="J539" s="244" t="str">
        <f>IF(OR(J440="Not Calculated",J457="Not Calculated",J473="Not Calculated",J488="Not Calculated",J504="Not Calculated",J520="Not Calculated",J537="Not Calculated")=TRUE,"Not Calculated",AVERAGE(J440,J457,J473,J488,J504,J520,J537))</f>
        <v>Not Calculated</v>
      </c>
      <c r="K539" s="41"/>
    </row>
    <row r="540" spans="2:11" ht="16" thickBot="1" x14ac:dyDescent="0.25">
      <c r="B540" s="46"/>
      <c r="C540" s="47"/>
      <c r="D540" s="47"/>
      <c r="E540" s="47"/>
      <c r="F540" s="47"/>
      <c r="G540" s="47"/>
      <c r="H540" s="47"/>
      <c r="I540" s="47"/>
      <c r="J540" s="47"/>
      <c r="K540" s="49"/>
    </row>
    <row r="541" spans="2:11" ht="16" thickBot="1" x14ac:dyDescent="0.25"/>
    <row r="542" spans="2:11" x14ac:dyDescent="0.2">
      <c r="B542" s="33"/>
      <c r="C542" s="34"/>
      <c r="D542" s="34"/>
      <c r="E542" s="34"/>
      <c r="F542" s="34"/>
      <c r="G542" s="34"/>
      <c r="H542" s="34"/>
      <c r="I542" s="34"/>
      <c r="J542" s="34"/>
      <c r="K542" s="37"/>
    </row>
    <row r="543" spans="2:11" ht="21" x14ac:dyDescent="0.25">
      <c r="B543" s="38"/>
      <c r="C543" s="40"/>
      <c r="D543" s="40"/>
      <c r="E543" s="40"/>
      <c r="F543" s="40"/>
      <c r="G543" s="172" t="s">
        <v>29</v>
      </c>
      <c r="H543" s="40"/>
      <c r="I543" s="40"/>
      <c r="J543" s="40"/>
      <c r="K543" s="41"/>
    </row>
    <row r="544" spans="2:11" ht="15" customHeight="1" x14ac:dyDescent="0.2">
      <c r="B544" s="38"/>
      <c r="C544" s="40"/>
      <c r="D544" s="40"/>
      <c r="E544" s="40"/>
      <c r="F544" s="40"/>
      <c r="G544" s="40"/>
      <c r="H544" s="40"/>
      <c r="I544" s="40"/>
      <c r="J544" s="40"/>
      <c r="K544" s="41"/>
    </row>
    <row r="545" spans="2:14" ht="16" x14ac:dyDescent="0.2">
      <c r="B545" s="38"/>
      <c r="C545" s="45" t="s">
        <v>88</v>
      </c>
      <c r="D545" s="40"/>
      <c r="E545" s="40"/>
      <c r="F545" s="40"/>
      <c r="G545" s="40"/>
      <c r="H545" s="40"/>
      <c r="I545" s="40"/>
      <c r="J545" s="40"/>
      <c r="K545" s="41"/>
    </row>
    <row r="546" spans="2:14" x14ac:dyDescent="0.2">
      <c r="B546" s="38"/>
      <c r="C546" s="40" t="s">
        <v>448</v>
      </c>
      <c r="D546" s="40"/>
      <c r="E546" s="40"/>
      <c r="F546" s="40"/>
      <c r="G546" s="40"/>
      <c r="H546" s="40"/>
      <c r="I546" s="40"/>
      <c r="J546" s="251">
        <f>'Baseline Health'!G123</f>
        <v>0</v>
      </c>
      <c r="K546" s="41"/>
    </row>
    <row r="547" spans="2:14" x14ac:dyDescent="0.2">
      <c r="B547" s="38"/>
      <c r="C547" s="40" t="s">
        <v>322</v>
      </c>
      <c r="D547" s="40"/>
      <c r="E547" s="40"/>
      <c r="F547" s="40"/>
      <c r="G547" s="40"/>
      <c r="H547" s="40"/>
      <c r="I547" s="40"/>
      <c r="J547" s="264"/>
      <c r="K547" s="41"/>
    </row>
    <row r="548" spans="2:14" x14ac:dyDescent="0.2">
      <c r="B548" s="38"/>
      <c r="C548" s="40" t="s">
        <v>428</v>
      </c>
      <c r="D548" s="40"/>
      <c r="E548" s="40"/>
      <c r="F548" s="40"/>
      <c r="G548" s="40"/>
      <c r="H548" s="40"/>
      <c r="I548" s="40"/>
      <c r="J548" s="264"/>
      <c r="K548" s="41"/>
    </row>
    <row r="549" spans="2:14" x14ac:dyDescent="0.2">
      <c r="B549" s="38"/>
      <c r="C549" s="40" t="s">
        <v>260</v>
      </c>
      <c r="D549" s="40"/>
      <c r="E549" s="40"/>
      <c r="F549" s="40"/>
      <c r="G549" s="40"/>
      <c r="H549" s="40"/>
      <c r="I549" s="40"/>
      <c r="J549" s="245" t="str">
        <f>IF(OR(J546=0,J546="Not Calculated")=TRUE,"Not Calculated",IF(J546-J547=0,4,(IF(((J546+J548)/(J546-J547))&lt;=1,0,IF(((J546+J548)/(J546-J547))&lt;=1.05,1,IF(((J546+J548)/(J546-J547))&lt;=1.5, 2,IF(((J546+J548)/(J546-J547))&lt;=2,3,4)))))))</f>
        <v>Not Calculated</v>
      </c>
      <c r="K549" s="41"/>
    </row>
    <row r="550" spans="2:14" ht="9.75" customHeight="1" x14ac:dyDescent="0.2">
      <c r="B550" s="38"/>
      <c r="C550" s="279" t="str">
        <f>"0:"</f>
        <v>0:</v>
      </c>
      <c r="D550" s="278" t="s">
        <v>918</v>
      </c>
      <c r="E550" s="40"/>
      <c r="F550" s="40"/>
      <c r="G550" s="40"/>
      <c r="H550" s="40"/>
      <c r="I550" s="40"/>
      <c r="J550" s="251"/>
      <c r="K550" s="41"/>
    </row>
    <row r="551" spans="2:14" ht="9.75" customHeight="1" x14ac:dyDescent="0.2">
      <c r="B551" s="38"/>
      <c r="C551" s="280" t="str">
        <f>"1:"</f>
        <v>1:</v>
      </c>
      <c r="D551" s="278" t="s">
        <v>923</v>
      </c>
      <c r="E551" s="40"/>
      <c r="F551" s="40"/>
      <c r="G551" s="40"/>
      <c r="H551" s="40"/>
      <c r="I551" s="40"/>
      <c r="J551" s="251"/>
      <c r="K551" s="41"/>
    </row>
    <row r="552" spans="2:14" ht="9.75" customHeight="1" x14ac:dyDescent="0.2">
      <c r="B552" s="38"/>
      <c r="C552" s="280" t="str">
        <f>"2:"</f>
        <v>2:</v>
      </c>
      <c r="D552" s="278" t="s">
        <v>924</v>
      </c>
      <c r="E552" s="40"/>
      <c r="F552" s="40"/>
      <c r="G552" s="40"/>
      <c r="H552" s="40"/>
      <c r="I552" s="40"/>
      <c r="J552" s="251"/>
      <c r="K552" s="41"/>
    </row>
    <row r="553" spans="2:14" ht="9.75" customHeight="1" x14ac:dyDescent="0.2">
      <c r="B553" s="38"/>
      <c r="C553" s="280" t="str">
        <f>"3:"</f>
        <v>3:</v>
      </c>
      <c r="D553" s="278" t="s">
        <v>925</v>
      </c>
      <c r="E553" s="40"/>
      <c r="F553" s="40"/>
      <c r="G553" s="40"/>
      <c r="H553" s="40"/>
      <c r="I553" s="40"/>
      <c r="J553" s="251"/>
      <c r="K553" s="41"/>
    </row>
    <row r="554" spans="2:14" ht="9.75" customHeight="1" x14ac:dyDescent="0.2">
      <c r="B554" s="38"/>
      <c r="C554" s="280" t="str">
        <f>"4:"</f>
        <v>4:</v>
      </c>
      <c r="D554" s="278" t="s">
        <v>926</v>
      </c>
      <c r="E554" s="40"/>
      <c r="F554" s="40"/>
      <c r="G554" s="40"/>
      <c r="H554" s="40"/>
      <c r="I554" s="40"/>
      <c r="J554" s="40"/>
      <c r="K554" s="41"/>
      <c r="N554" s="12" t="s">
        <v>661</v>
      </c>
    </row>
    <row r="555" spans="2:14" x14ac:dyDescent="0.2">
      <c r="B555" s="38"/>
      <c r="C555" s="174" t="s">
        <v>662</v>
      </c>
      <c r="D555" s="40"/>
      <c r="E555" s="40"/>
      <c r="F555" s="40"/>
      <c r="G555" s="40"/>
      <c r="H555" s="40"/>
      <c r="I555" s="40"/>
      <c r="J555" s="265" t="s">
        <v>661</v>
      </c>
      <c r="K555" s="41"/>
      <c r="N555" s="12" t="s">
        <v>894</v>
      </c>
    </row>
    <row r="556" spans="2:14" x14ac:dyDescent="0.2">
      <c r="B556" s="38"/>
      <c r="C556" s="174" t="s">
        <v>660</v>
      </c>
      <c r="D556" s="40"/>
      <c r="E556" s="40"/>
      <c r="F556" s="40"/>
      <c r="G556" s="40"/>
      <c r="H556" s="40"/>
      <c r="I556" s="40"/>
      <c r="J556" s="247" t="str">
        <f>IF(J555=N554,"N/A",IF(J555=N555,0,IF(J555=N556,1,IF(J555=N557,2,IF(J555=N558,3,IF(J555=N559,4,"N/A"))))))</f>
        <v>N/A</v>
      </c>
      <c r="K556" s="41"/>
      <c r="N556" s="12" t="s">
        <v>899</v>
      </c>
    </row>
    <row r="557" spans="2:14" x14ac:dyDescent="0.2">
      <c r="B557" s="38"/>
      <c r="C557" s="40" t="s">
        <v>257</v>
      </c>
      <c r="D557" s="40"/>
      <c r="E557" s="40"/>
      <c r="F557" s="40"/>
      <c r="G557" s="40"/>
      <c r="H557" s="40"/>
      <c r="I557" s="40"/>
      <c r="J557" s="266"/>
      <c r="K557" s="41"/>
      <c r="N557" s="12" t="s">
        <v>900</v>
      </c>
    </row>
    <row r="558" spans="2:14" x14ac:dyDescent="0.2">
      <c r="B558" s="38"/>
      <c r="C558" s="40" t="s">
        <v>261</v>
      </c>
      <c r="D558" s="40"/>
      <c r="E558" s="40"/>
      <c r="F558" s="40"/>
      <c r="G558" s="40"/>
      <c r="H558" s="40"/>
      <c r="I558" s="40"/>
      <c r="J558" s="245" t="str">
        <f>IF(J557=$B$973,$A$973,IF(J557=$B$974,$A$974,IF(J557=$B$975,$A$975,IF(J557=$B$976,$A$976,IF(J557=$B$977,$A$977,"Not Calculated")))))</f>
        <v>Not Calculated</v>
      </c>
      <c r="K558" s="41"/>
      <c r="N558" s="12" t="s">
        <v>901</v>
      </c>
    </row>
    <row r="559" spans="2:14" x14ac:dyDescent="0.2">
      <c r="B559" s="38"/>
      <c r="C559" s="40" t="s">
        <v>893</v>
      </c>
      <c r="D559" s="40"/>
      <c r="E559" s="40"/>
      <c r="F559" s="40"/>
      <c r="G559" s="40"/>
      <c r="H559" s="40"/>
      <c r="I559" s="40"/>
      <c r="J559" s="40"/>
      <c r="K559" s="41"/>
      <c r="N559" s="12" t="s">
        <v>902</v>
      </c>
    </row>
    <row r="560" spans="2:14" ht="15" customHeight="1" x14ac:dyDescent="0.2">
      <c r="B560" s="38"/>
      <c r="C560" s="399"/>
      <c r="D560" s="400"/>
      <c r="E560" s="400"/>
      <c r="F560" s="400"/>
      <c r="G560" s="400"/>
      <c r="H560" s="400"/>
      <c r="I560" s="400"/>
      <c r="J560" s="401"/>
      <c r="K560" s="41"/>
    </row>
    <row r="561" spans="2:11" x14ac:dyDescent="0.2">
      <c r="B561" s="38"/>
      <c r="C561" s="40"/>
      <c r="D561" s="40"/>
      <c r="E561" s="40"/>
      <c r="F561" s="40"/>
      <c r="G561" s="40"/>
      <c r="H561" s="40"/>
      <c r="I561" s="40"/>
      <c r="J561" s="40"/>
      <c r="K561" s="41"/>
    </row>
    <row r="562" spans="2:11" x14ac:dyDescent="0.2">
      <c r="B562" s="38"/>
      <c r="C562" s="179" t="s">
        <v>323</v>
      </c>
      <c r="D562" s="40"/>
      <c r="E562" s="40"/>
      <c r="F562" s="40"/>
      <c r="G562" s="40"/>
      <c r="H562" s="40"/>
      <c r="I562" s="40"/>
      <c r="J562" s="245" t="str">
        <f>IF(J556="N/A",IF(OR(J549="Not Calculated",J558="Not Calculated")=TRUE,"Not Calculated",AVERAGE(J549,J558)),AVERAGE(J556,J558))</f>
        <v>Not Calculated</v>
      </c>
      <c r="K562" s="41"/>
    </row>
    <row r="563" spans="2:11" x14ac:dyDescent="0.2">
      <c r="B563" s="38"/>
      <c r="C563" s="40"/>
      <c r="D563" s="40"/>
      <c r="E563" s="40"/>
      <c r="F563" s="40"/>
      <c r="G563" s="40"/>
      <c r="H563" s="40"/>
      <c r="I563" s="40"/>
      <c r="J563" s="40"/>
      <c r="K563" s="41"/>
    </row>
    <row r="564" spans="2:11" x14ac:dyDescent="0.2">
      <c r="B564" s="38"/>
      <c r="C564" s="40"/>
      <c r="D564" s="40"/>
      <c r="E564" s="40"/>
      <c r="F564" s="40"/>
      <c r="G564" s="40"/>
      <c r="H564" s="40"/>
      <c r="I564" s="40"/>
      <c r="J564" s="40"/>
      <c r="K564" s="41"/>
    </row>
    <row r="565" spans="2:11" ht="16" x14ac:dyDescent="0.2">
      <c r="B565" s="38"/>
      <c r="C565" s="45" t="s">
        <v>89</v>
      </c>
      <c r="D565" s="40"/>
      <c r="E565" s="40"/>
      <c r="F565" s="40"/>
      <c r="G565" s="40"/>
      <c r="H565" s="40"/>
      <c r="I565" s="40"/>
      <c r="J565" s="40"/>
      <c r="K565" s="41"/>
    </row>
    <row r="566" spans="2:11" ht="15" customHeight="1" x14ac:dyDescent="0.2">
      <c r="B566" s="38"/>
      <c r="C566" s="380" t="s">
        <v>333</v>
      </c>
      <c r="D566" s="380"/>
      <c r="E566" s="380"/>
      <c r="F566" s="380"/>
      <c r="G566" s="380"/>
      <c r="H566" s="380"/>
      <c r="I566" s="380"/>
      <c r="J566" s="40"/>
      <c r="K566" s="41"/>
    </row>
    <row r="567" spans="2:11" x14ac:dyDescent="0.2">
      <c r="B567" s="38"/>
      <c r="C567" s="380"/>
      <c r="D567" s="380"/>
      <c r="E567" s="380"/>
      <c r="F567" s="380"/>
      <c r="G567" s="380"/>
      <c r="H567" s="380"/>
      <c r="I567" s="380"/>
      <c r="J567" s="40"/>
      <c r="K567" s="41"/>
    </row>
    <row r="568" spans="2:11" x14ac:dyDescent="0.2">
      <c r="B568" s="38"/>
      <c r="C568" s="380"/>
      <c r="D568" s="380"/>
      <c r="E568" s="380"/>
      <c r="F568" s="380"/>
      <c r="G568" s="380"/>
      <c r="H568" s="380"/>
      <c r="I568" s="380"/>
      <c r="J568" s="251">
        <f>'Baseline Health'!G132</f>
        <v>0</v>
      </c>
      <c r="K568" s="41"/>
    </row>
    <row r="569" spans="2:11" ht="15" customHeight="1" x14ac:dyDescent="0.2">
      <c r="B569" s="38"/>
      <c r="C569" s="380" t="s">
        <v>334</v>
      </c>
      <c r="D569" s="380"/>
      <c r="E569" s="380"/>
      <c r="F569" s="380"/>
      <c r="G569" s="380"/>
      <c r="H569" s="380"/>
      <c r="I569" s="380"/>
      <c r="J569" s="245"/>
      <c r="K569" s="41"/>
    </row>
    <row r="570" spans="2:11" x14ac:dyDescent="0.2">
      <c r="B570" s="38"/>
      <c r="C570" s="380"/>
      <c r="D570" s="380"/>
      <c r="E570" s="380"/>
      <c r="F570" s="380"/>
      <c r="G570" s="380"/>
      <c r="H570" s="380"/>
      <c r="I570" s="380"/>
      <c r="J570" s="245"/>
      <c r="K570" s="41"/>
    </row>
    <row r="571" spans="2:11" x14ac:dyDescent="0.2">
      <c r="B571" s="38"/>
      <c r="C571" s="380"/>
      <c r="D571" s="380"/>
      <c r="E571" s="380"/>
      <c r="F571" s="380"/>
      <c r="G571" s="380"/>
      <c r="H571" s="380"/>
      <c r="I571" s="380"/>
      <c r="J571" s="264"/>
      <c r="K571" s="41"/>
    </row>
    <row r="572" spans="2:11" x14ac:dyDescent="0.2">
      <c r="B572" s="38"/>
      <c r="C572" s="40" t="s">
        <v>260</v>
      </c>
      <c r="D572" s="40"/>
      <c r="E572" s="40"/>
      <c r="F572" s="40"/>
      <c r="G572" s="40"/>
      <c r="H572" s="40"/>
      <c r="I572" s="40"/>
      <c r="J572" s="245" t="str">
        <f>IF(OR(J568=0,J568="Not Calculated")=TRUE,"Not Calculated",IF(((J568+J571)/J568)&lt;=1,0,IF(((J568+J571)/J568)&lt;=1.05,1,IF(((J568+J571)/J568)&lt;=1.5, 2,IF(((J568+J571)/J568)&lt;=2,3,4)))))</f>
        <v>Not Calculated</v>
      </c>
      <c r="K572" s="41"/>
    </row>
    <row r="573" spans="2:11" ht="9.75" customHeight="1" x14ac:dyDescent="0.2">
      <c r="B573" s="38"/>
      <c r="C573" s="279" t="str">
        <f>"0:"</f>
        <v>0:</v>
      </c>
      <c r="D573" s="281" t="s">
        <v>918</v>
      </c>
      <c r="E573" s="291"/>
      <c r="F573" s="291"/>
      <c r="G573" s="291"/>
      <c r="H573" s="291"/>
      <c r="I573" s="291"/>
      <c r="J573" s="251"/>
      <c r="K573" s="41"/>
    </row>
    <row r="574" spans="2:11" ht="9.75" customHeight="1" x14ac:dyDescent="0.2">
      <c r="B574" s="38"/>
      <c r="C574" s="280" t="str">
        <f>"1:"</f>
        <v>1:</v>
      </c>
      <c r="D574" s="281" t="s">
        <v>919</v>
      </c>
      <c r="E574" s="291"/>
      <c r="F574" s="291"/>
      <c r="G574" s="291"/>
      <c r="H574" s="291"/>
      <c r="I574" s="291"/>
      <c r="J574" s="251"/>
      <c r="K574" s="41"/>
    </row>
    <row r="575" spans="2:11" ht="9.75" customHeight="1" x14ac:dyDescent="0.2">
      <c r="B575" s="38"/>
      <c r="C575" s="280" t="str">
        <f>"2:"</f>
        <v>2:</v>
      </c>
      <c r="D575" s="281" t="s">
        <v>920</v>
      </c>
      <c r="E575" s="291"/>
      <c r="F575" s="291"/>
      <c r="G575" s="291"/>
      <c r="H575" s="291"/>
      <c r="I575" s="291"/>
      <c r="J575" s="251"/>
      <c r="K575" s="41"/>
    </row>
    <row r="576" spans="2:11" ht="9.75" customHeight="1" x14ac:dyDescent="0.2">
      <c r="B576" s="38"/>
      <c r="C576" s="280" t="str">
        <f>"3:"</f>
        <v>3:</v>
      </c>
      <c r="D576" s="281" t="s">
        <v>921</v>
      </c>
      <c r="E576" s="291"/>
      <c r="F576" s="291"/>
      <c r="G576" s="291"/>
      <c r="H576" s="291"/>
      <c r="I576" s="291"/>
      <c r="J576" s="251"/>
      <c r="K576" s="41"/>
    </row>
    <row r="577" spans="2:14" ht="9.75" customHeight="1" x14ac:dyDescent="0.2">
      <c r="B577" s="38"/>
      <c r="C577" s="280" t="str">
        <f>"4:"</f>
        <v>4:</v>
      </c>
      <c r="D577" s="281" t="s">
        <v>922</v>
      </c>
      <c r="E577" s="40"/>
      <c r="F577" s="40"/>
      <c r="G577" s="40"/>
      <c r="H577" s="40"/>
      <c r="I577" s="40"/>
      <c r="J577" s="40"/>
      <c r="K577" s="41"/>
      <c r="N577" s="12" t="s">
        <v>661</v>
      </c>
    </row>
    <row r="578" spans="2:14" ht="15" customHeight="1" x14ac:dyDescent="0.2">
      <c r="B578" s="38"/>
      <c r="C578" s="174" t="s">
        <v>662</v>
      </c>
      <c r="D578" s="40"/>
      <c r="E578" s="40"/>
      <c r="F578" s="40"/>
      <c r="G578" s="40"/>
      <c r="H578" s="40"/>
      <c r="I578" s="40"/>
      <c r="J578" s="265" t="s">
        <v>661</v>
      </c>
      <c r="K578" s="41"/>
      <c r="N578" s="12" t="s">
        <v>894</v>
      </c>
    </row>
    <row r="579" spans="2:14" ht="15" customHeight="1" x14ac:dyDescent="0.2">
      <c r="B579" s="38"/>
      <c r="C579" s="174" t="s">
        <v>660</v>
      </c>
      <c r="D579" s="40"/>
      <c r="E579" s="40"/>
      <c r="F579" s="40"/>
      <c r="G579" s="40"/>
      <c r="H579" s="40"/>
      <c r="I579" s="40"/>
      <c r="J579" s="247" t="str">
        <f>IF(J578=N577,"N/A",IF(J578=N578,0,IF(J578=N579,1,IF(J578=N580,2,IF(J578=N581,3,IF(J578=N582,4,"N/A"))))))</f>
        <v>N/A</v>
      </c>
      <c r="K579" s="41"/>
      <c r="N579" s="12" t="s">
        <v>895</v>
      </c>
    </row>
    <row r="580" spans="2:14" x14ac:dyDescent="0.2">
      <c r="B580" s="38"/>
      <c r="C580" s="40" t="s">
        <v>257</v>
      </c>
      <c r="D580" s="40"/>
      <c r="E580" s="40"/>
      <c r="F580" s="40"/>
      <c r="G580" s="40"/>
      <c r="H580" s="40"/>
      <c r="I580" s="40"/>
      <c r="J580" s="266"/>
      <c r="K580" s="41"/>
      <c r="N580" s="12" t="s">
        <v>896</v>
      </c>
    </row>
    <row r="581" spans="2:14" x14ac:dyDescent="0.2">
      <c r="B581" s="38"/>
      <c r="C581" s="40" t="s">
        <v>261</v>
      </c>
      <c r="D581" s="40"/>
      <c r="E581" s="40"/>
      <c r="F581" s="40"/>
      <c r="G581" s="40"/>
      <c r="H581" s="40"/>
      <c r="I581" s="40"/>
      <c r="J581" s="245" t="str">
        <f>IF(J580=$B$973,$A$973,IF(J580=$B$974,$A$974,IF(J580=$B$975,$A$975,IF(J580=$B$976,$A$976,IF(J580=$B$977,$A$977,"Not Calculated")))))</f>
        <v>Not Calculated</v>
      </c>
      <c r="K581" s="41"/>
      <c r="N581" s="12" t="s">
        <v>897</v>
      </c>
    </row>
    <row r="582" spans="2:14" x14ac:dyDescent="0.2">
      <c r="B582" s="38"/>
      <c r="C582" s="40" t="s">
        <v>893</v>
      </c>
      <c r="D582" s="40"/>
      <c r="E582" s="40"/>
      <c r="F582" s="40"/>
      <c r="G582" s="40"/>
      <c r="H582" s="40"/>
      <c r="I582" s="40"/>
      <c r="J582" s="40"/>
      <c r="K582" s="41"/>
      <c r="N582" s="12" t="s">
        <v>898</v>
      </c>
    </row>
    <row r="583" spans="2:14" ht="15" customHeight="1" x14ac:dyDescent="0.2">
      <c r="B583" s="38"/>
      <c r="C583" s="399"/>
      <c r="D583" s="400"/>
      <c r="E583" s="400"/>
      <c r="F583" s="400"/>
      <c r="G583" s="400"/>
      <c r="H583" s="400"/>
      <c r="I583" s="400"/>
      <c r="J583" s="401"/>
      <c r="K583" s="41"/>
    </row>
    <row r="584" spans="2:14" x14ac:dyDescent="0.2">
      <c r="B584" s="38"/>
      <c r="C584" s="40"/>
      <c r="D584" s="40"/>
      <c r="E584" s="40"/>
      <c r="F584" s="40"/>
      <c r="G584" s="40"/>
      <c r="H584" s="40"/>
      <c r="I584" s="40"/>
      <c r="J584" s="40"/>
      <c r="K584" s="41"/>
    </row>
    <row r="585" spans="2:14" x14ac:dyDescent="0.2">
      <c r="B585" s="38"/>
      <c r="C585" s="179" t="s">
        <v>324</v>
      </c>
      <c r="D585" s="40"/>
      <c r="E585" s="40"/>
      <c r="F585" s="40"/>
      <c r="G585" s="40"/>
      <c r="H585" s="40"/>
      <c r="I585" s="40"/>
      <c r="J585" s="245" t="str">
        <f>IF(J579="N/A",IF(OR(J572="Not Calculated",J581="Not Calculated")=TRUE,"Not Calculated",AVERAGE(J572,J581)),AVERAGE(J579,J581))</f>
        <v>Not Calculated</v>
      </c>
      <c r="K585" s="41"/>
    </row>
    <row r="586" spans="2:14" x14ac:dyDescent="0.2">
      <c r="B586" s="38"/>
      <c r="C586" s="40"/>
      <c r="D586" s="40"/>
      <c r="E586" s="40"/>
      <c r="F586" s="40"/>
      <c r="G586" s="40"/>
      <c r="H586" s="40"/>
      <c r="I586" s="40"/>
      <c r="J586" s="40"/>
      <c r="K586" s="41"/>
    </row>
    <row r="587" spans="2:14" x14ac:dyDescent="0.2">
      <c r="B587" s="38"/>
      <c r="C587" s="40"/>
      <c r="D587" s="40"/>
      <c r="E587" s="40"/>
      <c r="F587" s="40"/>
      <c r="G587" s="40"/>
      <c r="H587" s="40"/>
      <c r="I587" s="40"/>
      <c r="J587" s="40"/>
      <c r="K587" s="41"/>
    </row>
    <row r="588" spans="2:14" ht="16" x14ac:dyDescent="0.2">
      <c r="B588" s="38"/>
      <c r="C588" s="45" t="s">
        <v>115</v>
      </c>
      <c r="D588" s="40"/>
      <c r="E588" s="40"/>
      <c r="F588" s="40"/>
      <c r="G588" s="40"/>
      <c r="H588" s="40"/>
      <c r="I588" s="40"/>
      <c r="J588" s="40"/>
      <c r="K588" s="41"/>
    </row>
    <row r="589" spans="2:14" x14ac:dyDescent="0.2">
      <c r="B589" s="38"/>
      <c r="C589" s="40" t="s">
        <v>335</v>
      </c>
      <c r="D589" s="40"/>
      <c r="E589" s="40"/>
      <c r="F589" s="40"/>
      <c r="G589" s="40"/>
      <c r="H589" s="40"/>
      <c r="I589" s="40"/>
      <c r="J589" s="264"/>
      <c r="K589" s="41"/>
    </row>
    <row r="590" spans="2:14" x14ac:dyDescent="0.2">
      <c r="B590" s="38"/>
      <c r="C590" s="40" t="s">
        <v>260</v>
      </c>
      <c r="D590" s="40"/>
      <c r="E590" s="40"/>
      <c r="F590" s="40"/>
      <c r="G590" s="40"/>
      <c r="H590" s="40"/>
      <c r="I590" s="40"/>
      <c r="J590" s="255">
        <f>IF(J589&lt;=0,0,IF(J589&lt;=1000,1,IF(J589&lt;=5000,2,IF(J589&lt;=25000,3,4))))</f>
        <v>0</v>
      </c>
      <c r="K590" s="41"/>
    </row>
    <row r="591" spans="2:14" ht="9.75" customHeight="1" x14ac:dyDescent="0.2">
      <c r="B591" s="38"/>
      <c r="C591" s="279" t="str">
        <f>"0:"</f>
        <v>0:</v>
      </c>
      <c r="D591" s="284" t="s">
        <v>970</v>
      </c>
      <c r="E591" s="40"/>
      <c r="F591" s="40"/>
      <c r="G591" s="40"/>
      <c r="H591" s="40"/>
      <c r="I591" s="40"/>
      <c r="J591" s="251"/>
      <c r="K591" s="41"/>
    </row>
    <row r="592" spans="2:14" ht="9.75" customHeight="1" x14ac:dyDescent="0.2">
      <c r="B592" s="38"/>
      <c r="C592" s="280" t="str">
        <f>"1:"</f>
        <v>1:</v>
      </c>
      <c r="D592" s="284" t="s">
        <v>961</v>
      </c>
      <c r="E592" s="40"/>
      <c r="F592" s="40"/>
      <c r="G592" s="40"/>
      <c r="H592" s="40"/>
      <c r="I592" s="40"/>
      <c r="J592" s="251"/>
      <c r="K592" s="41"/>
    </row>
    <row r="593" spans="2:11" ht="9.75" customHeight="1" x14ac:dyDescent="0.2">
      <c r="B593" s="38"/>
      <c r="C593" s="280" t="str">
        <f>"2:"</f>
        <v>2:</v>
      </c>
      <c r="D593" s="284" t="s">
        <v>971</v>
      </c>
      <c r="E593" s="40"/>
      <c r="F593" s="40"/>
      <c r="G593" s="40"/>
      <c r="H593" s="40"/>
      <c r="I593" s="40"/>
      <c r="J593" s="251"/>
      <c r="K593" s="41"/>
    </row>
    <row r="594" spans="2:11" ht="9.75" customHeight="1" x14ac:dyDescent="0.2">
      <c r="B594" s="38"/>
      <c r="C594" s="280" t="str">
        <f>"3:"</f>
        <v>3:</v>
      </c>
      <c r="D594" s="284" t="s">
        <v>963</v>
      </c>
      <c r="E594" s="40"/>
      <c r="F594" s="40"/>
      <c r="G594" s="40"/>
      <c r="H594" s="40"/>
      <c r="I594" s="40"/>
      <c r="J594" s="251"/>
      <c r="K594" s="41"/>
    </row>
    <row r="595" spans="2:11" ht="9.75" customHeight="1" x14ac:dyDescent="0.2">
      <c r="B595" s="38"/>
      <c r="C595" s="280" t="str">
        <f>"4:"</f>
        <v>4:</v>
      </c>
      <c r="D595" s="284" t="s">
        <v>964</v>
      </c>
      <c r="E595" s="40"/>
      <c r="F595" s="40"/>
      <c r="G595" s="40"/>
      <c r="H595" s="40"/>
      <c r="I595" s="40"/>
      <c r="J595" s="40"/>
      <c r="K595" s="41"/>
    </row>
    <row r="596" spans="2:11" ht="15" customHeight="1" x14ac:dyDescent="0.2">
      <c r="B596" s="38"/>
      <c r="C596" s="40" t="s">
        <v>257</v>
      </c>
      <c r="D596" s="40"/>
      <c r="E596" s="40"/>
      <c r="F596" s="40"/>
      <c r="G596" s="40"/>
      <c r="H596" s="40"/>
      <c r="I596" s="40"/>
      <c r="J596" s="266"/>
      <c r="K596" s="41"/>
    </row>
    <row r="597" spans="2:11" ht="15" customHeight="1" x14ac:dyDescent="0.2">
      <c r="B597" s="38"/>
      <c r="C597" s="40" t="s">
        <v>261</v>
      </c>
      <c r="D597" s="40"/>
      <c r="E597" s="40"/>
      <c r="F597" s="40"/>
      <c r="G597" s="40"/>
      <c r="H597" s="40"/>
      <c r="I597" s="40"/>
      <c r="J597" s="245" t="str">
        <f>IF(J596=$B$973,$A$973,IF(J596=$B$974,$A$974,IF(J596=$B$975,$A$975,IF(J596=$B$976,$A$976,IF(J596=$B$977,$A$977,"Not Calculated")))))</f>
        <v>Not Calculated</v>
      </c>
      <c r="K597" s="41"/>
    </row>
    <row r="598" spans="2:11" x14ac:dyDescent="0.2">
      <c r="B598" s="38"/>
      <c r="C598" s="40" t="s">
        <v>893</v>
      </c>
      <c r="D598" s="40"/>
      <c r="E598" s="40"/>
      <c r="F598" s="40"/>
      <c r="G598" s="40"/>
      <c r="H598" s="40"/>
      <c r="I598" s="40"/>
      <c r="J598" s="40"/>
      <c r="K598" s="41"/>
    </row>
    <row r="599" spans="2:11" ht="15" customHeight="1" x14ac:dyDescent="0.2">
      <c r="B599" s="38"/>
      <c r="C599" s="399"/>
      <c r="D599" s="400"/>
      <c r="E599" s="400"/>
      <c r="F599" s="400"/>
      <c r="G599" s="400"/>
      <c r="H599" s="400"/>
      <c r="I599" s="400"/>
      <c r="J599" s="401"/>
      <c r="K599" s="41"/>
    </row>
    <row r="600" spans="2:11" x14ac:dyDescent="0.2">
      <c r="B600" s="38"/>
      <c r="C600" s="40"/>
      <c r="D600" s="40"/>
      <c r="E600" s="40"/>
      <c r="F600" s="40"/>
      <c r="G600" s="40"/>
      <c r="H600" s="40"/>
      <c r="I600" s="40"/>
      <c r="J600" s="40"/>
      <c r="K600" s="41"/>
    </row>
    <row r="601" spans="2:11" x14ac:dyDescent="0.2">
      <c r="B601" s="38"/>
      <c r="C601" s="179" t="s">
        <v>325</v>
      </c>
      <c r="D601" s="40"/>
      <c r="E601" s="40"/>
      <c r="F601" s="40"/>
      <c r="G601" s="40"/>
      <c r="H601" s="40"/>
      <c r="I601" s="40"/>
      <c r="J601" s="245">
        <f>IF(J590="Not Calculated","Not Calculated",AVERAGE(J590,J597))</f>
        <v>0</v>
      </c>
      <c r="K601" s="41"/>
    </row>
    <row r="602" spans="2:11" x14ac:dyDescent="0.2">
      <c r="B602" s="38"/>
      <c r="C602" s="40"/>
      <c r="D602" s="40"/>
      <c r="E602" s="40"/>
      <c r="F602" s="40"/>
      <c r="G602" s="40"/>
      <c r="H602" s="40"/>
      <c r="I602" s="40"/>
      <c r="J602" s="40"/>
      <c r="K602" s="41"/>
    </row>
    <row r="603" spans="2:11" x14ac:dyDescent="0.2">
      <c r="B603" s="38"/>
      <c r="C603" s="40"/>
      <c r="D603" s="40"/>
      <c r="E603" s="40"/>
      <c r="F603" s="40"/>
      <c r="G603" s="40"/>
      <c r="H603" s="40"/>
      <c r="I603" s="40"/>
      <c r="J603" s="40"/>
      <c r="K603" s="41"/>
    </row>
    <row r="604" spans="2:11" ht="16" x14ac:dyDescent="0.2">
      <c r="B604" s="38"/>
      <c r="C604" s="45" t="s">
        <v>326</v>
      </c>
      <c r="D604" s="40"/>
      <c r="E604" s="40"/>
      <c r="F604" s="40"/>
      <c r="G604" s="40"/>
      <c r="H604" s="40"/>
      <c r="I604" s="40"/>
      <c r="J604" s="40"/>
      <c r="K604" s="41"/>
    </row>
    <row r="605" spans="2:11" x14ac:dyDescent="0.2">
      <c r="B605" s="38"/>
      <c r="C605" s="40" t="s">
        <v>336</v>
      </c>
      <c r="D605" s="40"/>
      <c r="E605" s="40"/>
      <c r="F605" s="40"/>
      <c r="G605" s="40"/>
      <c r="H605" s="40"/>
      <c r="I605" s="40"/>
      <c r="J605" s="271"/>
      <c r="K605" s="41"/>
    </row>
    <row r="606" spans="2:11" x14ac:dyDescent="0.2">
      <c r="B606" s="38"/>
      <c r="C606" s="40" t="s">
        <v>260</v>
      </c>
      <c r="D606" s="40"/>
      <c r="E606" s="40"/>
      <c r="F606" s="40"/>
      <c r="G606" s="40"/>
      <c r="H606" s="40"/>
      <c r="I606" s="40"/>
      <c r="J606" s="248">
        <f>IF(J605&lt;=0,0,IF(J605&lt;=10,1,IF(J605&lt;=25,2,IF(J605&lt;=50,3,4))))</f>
        <v>0</v>
      </c>
      <c r="K606" s="41"/>
    </row>
    <row r="607" spans="2:11" ht="9.75" customHeight="1" x14ac:dyDescent="0.2">
      <c r="B607" s="38"/>
      <c r="C607" s="279" t="str">
        <f>"0:"</f>
        <v>0:</v>
      </c>
      <c r="D607" s="290" t="s">
        <v>944</v>
      </c>
      <c r="E607" s="40"/>
      <c r="F607" s="40"/>
      <c r="G607" s="40"/>
      <c r="H607" s="40"/>
      <c r="I607" s="40"/>
      <c r="J607" s="244"/>
      <c r="K607" s="41"/>
    </row>
    <row r="608" spans="2:11" ht="9.75" customHeight="1" x14ac:dyDescent="0.2">
      <c r="B608" s="38"/>
      <c r="C608" s="280" t="str">
        <f>"1:"</f>
        <v>1:</v>
      </c>
      <c r="D608" s="290" t="s">
        <v>947</v>
      </c>
      <c r="E608" s="40"/>
      <c r="F608" s="40"/>
      <c r="G608" s="40"/>
      <c r="H608" s="40"/>
      <c r="I608" s="40"/>
      <c r="J608" s="244"/>
      <c r="K608" s="41"/>
    </row>
    <row r="609" spans="2:11" ht="9.75" customHeight="1" x14ac:dyDescent="0.2">
      <c r="B609" s="38"/>
      <c r="C609" s="280" t="str">
        <f>"2:"</f>
        <v>2:</v>
      </c>
      <c r="D609" s="290" t="s">
        <v>972</v>
      </c>
      <c r="E609" s="40"/>
      <c r="F609" s="40"/>
      <c r="G609" s="40"/>
      <c r="H609" s="40"/>
      <c r="I609" s="40"/>
      <c r="J609" s="244"/>
      <c r="K609" s="41"/>
    </row>
    <row r="610" spans="2:11" ht="9.75" customHeight="1" x14ac:dyDescent="0.2">
      <c r="B610" s="38"/>
      <c r="C610" s="280" t="str">
        <f>"3:"</f>
        <v>3:</v>
      </c>
      <c r="D610" s="290" t="s">
        <v>973</v>
      </c>
      <c r="E610" s="40"/>
      <c r="F610" s="40"/>
      <c r="G610" s="40"/>
      <c r="H610" s="40"/>
      <c r="I610" s="40"/>
      <c r="J610" s="244"/>
      <c r="K610" s="41"/>
    </row>
    <row r="611" spans="2:11" ht="9.75" customHeight="1" x14ac:dyDescent="0.2">
      <c r="B611" s="38"/>
      <c r="C611" s="280" t="str">
        <f>"4:"</f>
        <v>4:</v>
      </c>
      <c r="D611" s="290" t="s">
        <v>974</v>
      </c>
      <c r="E611" s="40"/>
      <c r="F611" s="40"/>
      <c r="G611" s="40"/>
      <c r="H611" s="40"/>
      <c r="I611" s="40"/>
      <c r="J611" s="40"/>
      <c r="K611" s="41"/>
    </row>
    <row r="612" spans="2:11" x14ac:dyDescent="0.2">
      <c r="B612" s="38"/>
      <c r="C612" s="40" t="s">
        <v>893</v>
      </c>
      <c r="D612" s="40"/>
      <c r="E612" s="40"/>
      <c r="F612" s="40"/>
      <c r="G612" s="40"/>
      <c r="H612" s="40"/>
      <c r="I612" s="40"/>
      <c r="J612" s="40"/>
      <c r="K612" s="41"/>
    </row>
    <row r="613" spans="2:11" ht="15" customHeight="1" x14ac:dyDescent="0.2">
      <c r="B613" s="38"/>
      <c r="C613" s="399"/>
      <c r="D613" s="400"/>
      <c r="E613" s="400"/>
      <c r="F613" s="400"/>
      <c r="G613" s="400"/>
      <c r="H613" s="400"/>
      <c r="I613" s="400"/>
      <c r="J613" s="401"/>
      <c r="K613" s="41"/>
    </row>
    <row r="614" spans="2:11" x14ac:dyDescent="0.2">
      <c r="B614" s="38"/>
      <c r="C614" s="40"/>
      <c r="D614" s="40"/>
      <c r="E614" s="40"/>
      <c r="F614" s="40"/>
      <c r="G614" s="40"/>
      <c r="H614" s="40"/>
      <c r="I614" s="40"/>
      <c r="J614" s="40"/>
      <c r="K614" s="41"/>
    </row>
    <row r="615" spans="2:11" x14ac:dyDescent="0.2">
      <c r="B615" s="38"/>
      <c r="C615" s="179" t="s">
        <v>327</v>
      </c>
      <c r="D615" s="40"/>
      <c r="E615" s="40"/>
      <c r="F615" s="40"/>
      <c r="G615" s="40"/>
      <c r="H615" s="40"/>
      <c r="I615" s="40"/>
      <c r="J615" s="245">
        <f>J606</f>
        <v>0</v>
      </c>
      <c r="K615" s="41"/>
    </row>
    <row r="616" spans="2:11" x14ac:dyDescent="0.2">
      <c r="B616" s="38"/>
      <c r="C616" s="40"/>
      <c r="D616" s="40"/>
      <c r="E616" s="40"/>
      <c r="F616" s="40"/>
      <c r="G616" s="40"/>
      <c r="H616" s="40"/>
      <c r="I616" s="40"/>
      <c r="J616" s="40"/>
      <c r="K616" s="41"/>
    </row>
    <row r="617" spans="2:11" x14ac:dyDescent="0.2">
      <c r="B617" s="38"/>
      <c r="C617" s="40"/>
      <c r="D617" s="40"/>
      <c r="E617" s="40"/>
      <c r="F617" s="40"/>
      <c r="G617" s="40"/>
      <c r="H617" s="40"/>
      <c r="I617" s="40"/>
      <c r="J617" s="40"/>
      <c r="K617" s="41"/>
    </row>
    <row r="618" spans="2:11" ht="16" x14ac:dyDescent="0.2">
      <c r="B618" s="38"/>
      <c r="C618" s="45" t="s">
        <v>92</v>
      </c>
      <c r="D618" s="40"/>
      <c r="E618" s="40"/>
      <c r="F618" s="40"/>
      <c r="G618" s="40"/>
      <c r="H618" s="40"/>
      <c r="I618" s="40"/>
      <c r="J618" s="40"/>
      <c r="K618" s="41"/>
    </row>
    <row r="619" spans="2:11" x14ac:dyDescent="0.2">
      <c r="B619" s="38"/>
      <c r="C619" s="40" t="s">
        <v>337</v>
      </c>
      <c r="D619" s="40"/>
      <c r="E619" s="40"/>
      <c r="F619" s="40"/>
      <c r="G619" s="40"/>
      <c r="H619" s="40"/>
      <c r="I619" s="40"/>
      <c r="J619" s="251">
        <f>'Baseline Health'!G137</f>
        <v>1</v>
      </c>
      <c r="K619" s="41"/>
    </row>
    <row r="620" spans="2:11" ht="15" customHeight="1" x14ac:dyDescent="0.2">
      <c r="B620" s="38"/>
      <c r="C620" s="380" t="s">
        <v>338</v>
      </c>
      <c r="D620" s="380"/>
      <c r="E620" s="380"/>
      <c r="F620" s="380"/>
      <c r="G620" s="380"/>
      <c r="H620" s="380"/>
      <c r="I620" s="380"/>
      <c r="J620" s="251"/>
      <c r="K620" s="41"/>
    </row>
    <row r="621" spans="2:11" x14ac:dyDescent="0.2">
      <c r="B621" s="38"/>
      <c r="C621" s="380"/>
      <c r="D621" s="380"/>
      <c r="E621" s="380"/>
      <c r="F621" s="380"/>
      <c r="G621" s="380"/>
      <c r="H621" s="380"/>
      <c r="I621" s="380"/>
      <c r="J621" s="264"/>
      <c r="K621" s="41"/>
    </row>
    <row r="622" spans="2:11" x14ac:dyDescent="0.2">
      <c r="B622" s="38"/>
      <c r="C622" s="40" t="s">
        <v>260</v>
      </c>
      <c r="D622" s="40"/>
      <c r="E622" s="40"/>
      <c r="F622" s="40"/>
      <c r="G622" s="40"/>
      <c r="H622" s="40"/>
      <c r="I622" s="40"/>
      <c r="J622" s="245">
        <f>IF(OR(J619=0,J619="Not Calculated")=TRUE,"Not Calculated",IF(((J619+J621)/J619)&lt;=1,0,IF(((J619+J621)/J619)&lt;=1.05,1,IF(((J619+J621)/J619)&lt;=1.5, 2,IF(((J619+J621)/J619)&lt;=2,3,4)))))</f>
        <v>0</v>
      </c>
      <c r="K622" s="41"/>
    </row>
    <row r="623" spans="2:11" ht="9.75" customHeight="1" x14ac:dyDescent="0.2">
      <c r="B623" s="38"/>
      <c r="C623" s="279" t="str">
        <f>"0:"</f>
        <v>0:</v>
      </c>
      <c r="D623" s="281" t="s">
        <v>918</v>
      </c>
      <c r="E623" s="291"/>
      <c r="F623" s="291"/>
      <c r="G623" s="291"/>
      <c r="H623" s="291"/>
      <c r="I623" s="291"/>
      <c r="J623" s="251"/>
      <c r="K623" s="41"/>
    </row>
    <row r="624" spans="2:11" ht="9.75" customHeight="1" x14ac:dyDescent="0.2">
      <c r="B624" s="38"/>
      <c r="C624" s="280" t="str">
        <f>"1:"</f>
        <v>1:</v>
      </c>
      <c r="D624" s="281" t="s">
        <v>919</v>
      </c>
      <c r="E624" s="291"/>
      <c r="F624" s="291"/>
      <c r="G624" s="291"/>
      <c r="H624" s="291"/>
      <c r="I624" s="291"/>
      <c r="J624" s="251"/>
      <c r="K624" s="41"/>
    </row>
    <row r="625" spans="2:14" ht="9.75" customHeight="1" x14ac:dyDescent="0.2">
      <c r="B625" s="38"/>
      <c r="C625" s="280" t="str">
        <f>"2:"</f>
        <v>2:</v>
      </c>
      <c r="D625" s="281" t="s">
        <v>920</v>
      </c>
      <c r="E625" s="291"/>
      <c r="F625" s="291"/>
      <c r="G625" s="291"/>
      <c r="H625" s="291"/>
      <c r="I625" s="291"/>
      <c r="J625" s="251"/>
      <c r="K625" s="41"/>
    </row>
    <row r="626" spans="2:14" ht="9.75" customHeight="1" x14ac:dyDescent="0.2">
      <c r="B626" s="38"/>
      <c r="C626" s="280" t="str">
        <f>"3:"</f>
        <v>3:</v>
      </c>
      <c r="D626" s="281" t="s">
        <v>921</v>
      </c>
      <c r="E626" s="291"/>
      <c r="F626" s="291"/>
      <c r="G626" s="291"/>
      <c r="H626" s="291"/>
      <c r="I626" s="291"/>
      <c r="J626" s="251"/>
      <c r="K626" s="41"/>
    </row>
    <row r="627" spans="2:14" ht="9.75" customHeight="1" x14ac:dyDescent="0.2">
      <c r="B627" s="38"/>
      <c r="C627" s="280" t="str">
        <f>"4:"</f>
        <v>4:</v>
      </c>
      <c r="D627" s="281" t="s">
        <v>922</v>
      </c>
      <c r="E627" s="40"/>
      <c r="F627" s="40"/>
      <c r="G627" s="40"/>
      <c r="H627" s="40"/>
      <c r="I627" s="40"/>
      <c r="J627" s="40"/>
      <c r="K627" s="41"/>
      <c r="N627" s="12" t="s">
        <v>661</v>
      </c>
    </row>
    <row r="628" spans="2:14" x14ac:dyDescent="0.2">
      <c r="B628" s="38"/>
      <c r="C628" s="174" t="s">
        <v>662</v>
      </c>
      <c r="D628" s="40"/>
      <c r="E628" s="40"/>
      <c r="F628" s="40"/>
      <c r="G628" s="40"/>
      <c r="H628" s="40"/>
      <c r="I628" s="40"/>
      <c r="J628" s="265" t="s">
        <v>661</v>
      </c>
      <c r="K628" s="41"/>
      <c r="N628" s="12" t="s">
        <v>894</v>
      </c>
    </row>
    <row r="629" spans="2:14" x14ac:dyDescent="0.2">
      <c r="B629" s="38"/>
      <c r="C629" s="174" t="s">
        <v>660</v>
      </c>
      <c r="D629" s="40"/>
      <c r="E629" s="40"/>
      <c r="F629" s="40"/>
      <c r="G629" s="40"/>
      <c r="H629" s="40"/>
      <c r="I629" s="40"/>
      <c r="J629" s="247" t="str">
        <f>IF(J628=N627,"N/A",IF(J628=N628,0,IF(J628=N629,1,IF(J628=N630,2,IF(J628=N631,3,IF(J628=N632,4,"N/A"))))))</f>
        <v>N/A</v>
      </c>
      <c r="K629" s="41"/>
      <c r="N629" s="12" t="s">
        <v>895</v>
      </c>
    </row>
    <row r="630" spans="2:14" x14ac:dyDescent="0.2">
      <c r="B630" s="38"/>
      <c r="C630" s="40" t="s">
        <v>257</v>
      </c>
      <c r="D630" s="40"/>
      <c r="E630" s="40"/>
      <c r="F630" s="40"/>
      <c r="G630" s="40"/>
      <c r="H630" s="40"/>
      <c r="I630" s="40"/>
      <c r="J630" s="266"/>
      <c r="K630" s="41"/>
      <c r="N630" s="12" t="s">
        <v>896</v>
      </c>
    </row>
    <row r="631" spans="2:14" x14ac:dyDescent="0.2">
      <c r="B631" s="38"/>
      <c r="C631" s="40" t="s">
        <v>261</v>
      </c>
      <c r="D631" s="40"/>
      <c r="E631" s="40"/>
      <c r="F631" s="40"/>
      <c r="G631" s="40"/>
      <c r="H631" s="40"/>
      <c r="I631" s="40"/>
      <c r="J631" s="245" t="str">
        <f>IF(J630=$B$973,$A$973,IF(J630=$B$974,$A$974,IF(J630=$B$975,$A$975,IF(J630=$B$976,$A$976,IF(J630=$B$977,$A$977,"Not Calculated")))))</f>
        <v>Not Calculated</v>
      </c>
      <c r="K631" s="41"/>
      <c r="N631" s="12" t="s">
        <v>897</v>
      </c>
    </row>
    <row r="632" spans="2:14" x14ac:dyDescent="0.2">
      <c r="B632" s="38"/>
      <c r="C632" s="40" t="s">
        <v>893</v>
      </c>
      <c r="D632" s="40"/>
      <c r="E632" s="40"/>
      <c r="F632" s="40"/>
      <c r="G632" s="40"/>
      <c r="H632" s="40"/>
      <c r="I632" s="40"/>
      <c r="J632" s="40"/>
      <c r="K632" s="41"/>
      <c r="N632" s="12" t="s">
        <v>898</v>
      </c>
    </row>
    <row r="633" spans="2:14" ht="15" customHeight="1" x14ac:dyDescent="0.2">
      <c r="B633" s="38"/>
      <c r="C633" s="399"/>
      <c r="D633" s="400"/>
      <c r="E633" s="400"/>
      <c r="F633" s="400"/>
      <c r="G633" s="400"/>
      <c r="H633" s="400"/>
      <c r="I633" s="400"/>
      <c r="J633" s="401"/>
      <c r="K633" s="41"/>
    </row>
    <row r="634" spans="2:14" x14ac:dyDescent="0.2">
      <c r="B634" s="38"/>
      <c r="C634" s="40"/>
      <c r="D634" s="40"/>
      <c r="E634" s="40"/>
      <c r="F634" s="40"/>
      <c r="G634" s="40"/>
      <c r="H634" s="40"/>
      <c r="I634" s="40"/>
      <c r="J634" s="40"/>
      <c r="K634" s="41"/>
    </row>
    <row r="635" spans="2:14" x14ac:dyDescent="0.2">
      <c r="B635" s="38"/>
      <c r="C635" s="179" t="s">
        <v>328</v>
      </c>
      <c r="D635" s="40"/>
      <c r="E635" s="40"/>
      <c r="F635" s="40"/>
      <c r="G635" s="40"/>
      <c r="H635" s="40"/>
      <c r="I635" s="40"/>
      <c r="J635" s="245" t="str">
        <f>IF(J629="N/A",IF(OR(J622="Not Calculated",J631="Not Calculated")=TRUE,"Not Calculated",AVERAGE(J622,J631)),AVERAGE(J629,J631))</f>
        <v>Not Calculated</v>
      </c>
      <c r="K635" s="41"/>
    </row>
    <row r="636" spans="2:14" x14ac:dyDescent="0.2">
      <c r="B636" s="38"/>
      <c r="C636" s="40"/>
      <c r="D636" s="40"/>
      <c r="E636" s="40"/>
      <c r="F636" s="40"/>
      <c r="G636" s="40"/>
      <c r="H636" s="40"/>
      <c r="I636" s="40"/>
      <c r="J636" s="40"/>
      <c r="K636" s="41"/>
    </row>
    <row r="637" spans="2:14" x14ac:dyDescent="0.2">
      <c r="B637" s="38"/>
      <c r="C637" s="40"/>
      <c r="D637" s="40"/>
      <c r="E637" s="40"/>
      <c r="F637" s="40"/>
      <c r="G637" s="40"/>
      <c r="H637" s="40"/>
      <c r="I637" s="40"/>
      <c r="J637" s="40"/>
      <c r="K637" s="41"/>
    </row>
    <row r="638" spans="2:14" ht="16" x14ac:dyDescent="0.2">
      <c r="B638" s="38"/>
      <c r="C638" s="45" t="s">
        <v>329</v>
      </c>
      <c r="D638" s="40"/>
      <c r="E638" s="40"/>
      <c r="F638" s="40"/>
      <c r="G638" s="40"/>
      <c r="H638" s="40"/>
      <c r="I638" s="40"/>
      <c r="J638" s="40"/>
      <c r="K638" s="41"/>
    </row>
    <row r="639" spans="2:14" ht="15" customHeight="1" x14ac:dyDescent="0.2">
      <c r="B639" s="38"/>
      <c r="C639" s="380" t="s">
        <v>339</v>
      </c>
      <c r="D639" s="380"/>
      <c r="E639" s="380"/>
      <c r="F639" s="380"/>
      <c r="G639" s="380"/>
      <c r="H639" s="380"/>
      <c r="I639" s="380"/>
      <c r="J639" s="40"/>
      <c r="K639" s="41"/>
    </row>
    <row r="640" spans="2:14" x14ac:dyDescent="0.2">
      <c r="B640" s="38"/>
      <c r="C640" s="380"/>
      <c r="D640" s="380"/>
      <c r="E640" s="380"/>
      <c r="F640" s="380"/>
      <c r="G640" s="380"/>
      <c r="H640" s="380"/>
      <c r="I640" s="380"/>
      <c r="J640" s="250">
        <f>'Baseline Health'!G145</f>
        <v>0</v>
      </c>
      <c r="K640" s="41"/>
    </row>
    <row r="641" spans="2:14" ht="15" customHeight="1" x14ac:dyDescent="0.2">
      <c r="B641" s="38"/>
      <c r="C641" s="380" t="s">
        <v>340</v>
      </c>
      <c r="D641" s="380"/>
      <c r="E641" s="380"/>
      <c r="F641" s="380"/>
      <c r="G641" s="380"/>
      <c r="H641" s="380"/>
      <c r="I641" s="380"/>
      <c r="J641" s="245"/>
      <c r="K641" s="41"/>
    </row>
    <row r="642" spans="2:14" x14ac:dyDescent="0.2">
      <c r="B642" s="38"/>
      <c r="C642" s="380"/>
      <c r="D642" s="380"/>
      <c r="E642" s="380"/>
      <c r="F642" s="380"/>
      <c r="G642" s="380"/>
      <c r="H642" s="380"/>
      <c r="I642" s="380"/>
      <c r="J642" s="245"/>
      <c r="K642" s="41"/>
    </row>
    <row r="643" spans="2:14" x14ac:dyDescent="0.2">
      <c r="B643" s="38"/>
      <c r="C643" s="380"/>
      <c r="D643" s="380"/>
      <c r="E643" s="380"/>
      <c r="F643" s="380"/>
      <c r="G643" s="380"/>
      <c r="H643" s="380"/>
      <c r="I643" s="380"/>
      <c r="J643" s="272"/>
      <c r="K643" s="41"/>
    </row>
    <row r="644" spans="2:14" x14ac:dyDescent="0.2">
      <c r="B644" s="38"/>
      <c r="C644" s="40" t="s">
        <v>260</v>
      </c>
      <c r="D644" s="40"/>
      <c r="E644" s="40"/>
      <c r="F644" s="40"/>
      <c r="G644" s="40"/>
      <c r="H644" s="40"/>
      <c r="I644" s="40"/>
      <c r="J644" s="245" t="str">
        <f>IF(OR(J640=0,J640="Not Calculated")=TRUE,"Not Calculated",IF(((J640+J643)/J640)&lt;=1,0,IF(((J640+J643)/J640)&lt;=1.05,1,IF(((J640+J643)/J640)&lt;=1.5, 2,IF(((J640+J643)/J640)&lt;=2,3,4)))))</f>
        <v>Not Calculated</v>
      </c>
      <c r="K644" s="41"/>
    </row>
    <row r="645" spans="2:14" ht="9.75" customHeight="1" x14ac:dyDescent="0.2">
      <c r="B645" s="38"/>
      <c r="C645" s="279" t="str">
        <f>"0:"</f>
        <v>0:</v>
      </c>
      <c r="D645" s="281" t="s">
        <v>918</v>
      </c>
      <c r="E645" s="291"/>
      <c r="F645" s="291"/>
      <c r="G645" s="291"/>
      <c r="H645" s="291"/>
      <c r="I645" s="291"/>
      <c r="J645" s="250"/>
      <c r="K645" s="41"/>
    </row>
    <row r="646" spans="2:14" ht="9.75" customHeight="1" x14ac:dyDescent="0.2">
      <c r="B646" s="38"/>
      <c r="C646" s="280" t="str">
        <f>"1:"</f>
        <v>1:</v>
      </c>
      <c r="D646" s="281" t="s">
        <v>919</v>
      </c>
      <c r="E646" s="291"/>
      <c r="F646" s="291"/>
      <c r="G646" s="291"/>
      <c r="H646" s="291"/>
      <c r="I646" s="291"/>
      <c r="J646" s="250"/>
      <c r="K646" s="41"/>
    </row>
    <row r="647" spans="2:14" ht="9.75" customHeight="1" x14ac:dyDescent="0.2">
      <c r="B647" s="38"/>
      <c r="C647" s="280" t="str">
        <f>"2:"</f>
        <v>2:</v>
      </c>
      <c r="D647" s="281" t="s">
        <v>920</v>
      </c>
      <c r="E647" s="291"/>
      <c r="F647" s="291"/>
      <c r="G647" s="291"/>
      <c r="H647" s="291"/>
      <c r="I647" s="291"/>
      <c r="J647" s="250"/>
      <c r="K647" s="41"/>
    </row>
    <row r="648" spans="2:14" ht="9.75" customHeight="1" x14ac:dyDescent="0.2">
      <c r="B648" s="38"/>
      <c r="C648" s="280" t="str">
        <f>"3:"</f>
        <v>3:</v>
      </c>
      <c r="D648" s="281" t="s">
        <v>921</v>
      </c>
      <c r="E648" s="291"/>
      <c r="F648" s="291"/>
      <c r="G648" s="291"/>
      <c r="H648" s="291"/>
      <c r="I648" s="291"/>
      <c r="J648" s="250"/>
      <c r="K648" s="41"/>
    </row>
    <row r="649" spans="2:14" ht="9.75" customHeight="1" x14ac:dyDescent="0.2">
      <c r="B649" s="38"/>
      <c r="C649" s="280" t="str">
        <f>"4:"</f>
        <v>4:</v>
      </c>
      <c r="D649" s="281" t="s">
        <v>922</v>
      </c>
      <c r="E649" s="40"/>
      <c r="F649" s="40"/>
      <c r="G649" s="40"/>
      <c r="H649" s="40"/>
      <c r="I649" s="40"/>
      <c r="J649" s="40"/>
      <c r="K649" s="41"/>
      <c r="N649" s="12" t="s">
        <v>661</v>
      </c>
    </row>
    <row r="650" spans="2:14" x14ac:dyDescent="0.2">
      <c r="B650" s="38"/>
      <c r="C650" s="174" t="s">
        <v>662</v>
      </c>
      <c r="D650" s="40"/>
      <c r="E650" s="40"/>
      <c r="F650" s="40"/>
      <c r="G650" s="40"/>
      <c r="H650" s="40"/>
      <c r="I650" s="40"/>
      <c r="J650" s="265" t="s">
        <v>661</v>
      </c>
      <c r="K650" s="41"/>
      <c r="N650" s="12" t="s">
        <v>894</v>
      </c>
    </row>
    <row r="651" spans="2:14" x14ac:dyDescent="0.2">
      <c r="B651" s="38"/>
      <c r="C651" s="174" t="s">
        <v>660</v>
      </c>
      <c r="D651" s="40"/>
      <c r="E651" s="40"/>
      <c r="F651" s="40"/>
      <c r="G651" s="40"/>
      <c r="H651" s="40"/>
      <c r="I651" s="40"/>
      <c r="J651" s="247" t="str">
        <f>IF(J650=N649,"N/A",IF(J650=N650,0,IF(J650=N651,1,IF(J650=N652,2,IF(J650=N653,3,IF(J650=N654,4,"N/A"))))))</f>
        <v>N/A</v>
      </c>
      <c r="K651" s="41"/>
      <c r="N651" s="12" t="s">
        <v>895</v>
      </c>
    </row>
    <row r="652" spans="2:14" ht="15" customHeight="1" x14ac:dyDescent="0.2">
      <c r="B652" s="38"/>
      <c r="C652" s="40" t="s">
        <v>257</v>
      </c>
      <c r="D652" s="40"/>
      <c r="E652" s="40"/>
      <c r="F652" s="40"/>
      <c r="G652" s="40"/>
      <c r="H652" s="40"/>
      <c r="I652" s="40"/>
      <c r="J652" s="266"/>
      <c r="K652" s="41"/>
      <c r="N652" s="12" t="s">
        <v>896</v>
      </c>
    </row>
    <row r="653" spans="2:14" x14ac:dyDescent="0.2">
      <c r="B653" s="38"/>
      <c r="C653" s="40" t="s">
        <v>261</v>
      </c>
      <c r="D653" s="40"/>
      <c r="E653" s="40"/>
      <c r="F653" s="40"/>
      <c r="G653" s="40"/>
      <c r="H653" s="40"/>
      <c r="I653" s="40"/>
      <c r="J653" s="245" t="str">
        <f>IF(J652=$B$973,$A$973,IF(J652=$B$974,$A$974,IF(J652=$B$975,$A$975,IF(J652=$B$976,$A$976,IF(J652=$B$977,$A$977,"Not Calculated")))))</f>
        <v>Not Calculated</v>
      </c>
      <c r="K653" s="41"/>
      <c r="N653" s="12" t="s">
        <v>897</v>
      </c>
    </row>
    <row r="654" spans="2:14" x14ac:dyDescent="0.2">
      <c r="B654" s="38"/>
      <c r="C654" s="40" t="s">
        <v>893</v>
      </c>
      <c r="D654" s="40"/>
      <c r="E654" s="40"/>
      <c r="F654" s="40"/>
      <c r="G654" s="40"/>
      <c r="H654" s="40"/>
      <c r="I654" s="40"/>
      <c r="J654" s="40"/>
      <c r="K654" s="41"/>
      <c r="N654" s="12" t="s">
        <v>898</v>
      </c>
    </row>
    <row r="655" spans="2:14" x14ac:dyDescent="0.2">
      <c r="B655" s="38"/>
      <c r="C655" s="399"/>
      <c r="D655" s="400"/>
      <c r="E655" s="400"/>
      <c r="F655" s="400"/>
      <c r="G655" s="400"/>
      <c r="H655" s="400"/>
      <c r="I655" s="400"/>
      <c r="J655" s="401"/>
      <c r="K655" s="41"/>
    </row>
    <row r="656" spans="2:14" x14ac:dyDescent="0.2">
      <c r="B656" s="38"/>
      <c r="C656" s="40"/>
      <c r="D656" s="40"/>
      <c r="E656" s="40"/>
      <c r="F656" s="40"/>
      <c r="G656" s="40"/>
      <c r="H656" s="40"/>
      <c r="I656" s="40"/>
      <c r="J656" s="40"/>
      <c r="K656" s="41"/>
    </row>
    <row r="657" spans="2:14" x14ac:dyDescent="0.2">
      <c r="B657" s="38"/>
      <c r="C657" s="179" t="s">
        <v>330</v>
      </c>
      <c r="D657" s="40"/>
      <c r="E657" s="40"/>
      <c r="F657" s="40"/>
      <c r="G657" s="40"/>
      <c r="H657" s="40"/>
      <c r="I657" s="40"/>
      <c r="J657" s="245" t="str">
        <f>IF(J651="N/A",IF(OR(J644="Not Calculated",J653="Not Calculated")=TRUE,"Not Calculated",AVERAGE(J644,J653)),AVERAGE(J651,J653))</f>
        <v>Not Calculated</v>
      </c>
      <c r="K657" s="41"/>
    </row>
    <row r="658" spans="2:14" x14ac:dyDescent="0.2">
      <c r="B658" s="38"/>
      <c r="C658" s="40"/>
      <c r="D658" s="40"/>
      <c r="E658" s="40"/>
      <c r="F658" s="40"/>
      <c r="G658" s="40"/>
      <c r="H658" s="40"/>
      <c r="I658" s="40"/>
      <c r="J658" s="40"/>
      <c r="K658" s="41"/>
    </row>
    <row r="659" spans="2:14" x14ac:dyDescent="0.2">
      <c r="B659" s="38"/>
      <c r="C659" s="40"/>
      <c r="D659" s="40"/>
      <c r="E659" s="40"/>
      <c r="F659" s="40"/>
      <c r="G659" s="40"/>
      <c r="H659" s="40"/>
      <c r="I659" s="40"/>
      <c r="J659" s="40"/>
      <c r="K659" s="41"/>
    </row>
    <row r="660" spans="2:14" ht="16" x14ac:dyDescent="0.2">
      <c r="B660" s="38"/>
      <c r="C660" s="45" t="s">
        <v>97</v>
      </c>
      <c r="D660" s="40"/>
      <c r="E660" s="40"/>
      <c r="F660" s="40"/>
      <c r="G660" s="40"/>
      <c r="H660" s="40"/>
      <c r="I660" s="40"/>
      <c r="J660" s="40"/>
      <c r="K660" s="41"/>
    </row>
    <row r="661" spans="2:14" x14ac:dyDescent="0.2">
      <c r="B661" s="38"/>
      <c r="C661" s="40" t="s">
        <v>449</v>
      </c>
      <c r="D661" s="40"/>
      <c r="E661" s="40"/>
      <c r="F661" s="40"/>
      <c r="G661" s="40"/>
      <c r="H661" s="40"/>
      <c r="I661" s="40"/>
      <c r="J661" s="263">
        <f>'Baseline Health'!G150</f>
        <v>0</v>
      </c>
      <c r="K661" s="41"/>
    </row>
    <row r="662" spans="2:14" x14ac:dyDescent="0.2">
      <c r="B662" s="38"/>
      <c r="C662" s="40" t="s">
        <v>341</v>
      </c>
      <c r="D662" s="40"/>
      <c r="E662" s="40"/>
      <c r="F662" s="40"/>
      <c r="G662" s="40"/>
      <c r="H662" s="40"/>
      <c r="I662" s="40"/>
      <c r="J662" s="273"/>
      <c r="K662" s="41"/>
    </row>
    <row r="663" spans="2:14" x14ac:dyDescent="0.2">
      <c r="B663" s="38"/>
      <c r="C663" s="40" t="s">
        <v>450</v>
      </c>
      <c r="D663" s="40"/>
      <c r="E663" s="40"/>
      <c r="F663" s="40"/>
      <c r="G663" s="40"/>
      <c r="H663" s="40"/>
      <c r="I663" s="40"/>
      <c r="J663" s="263">
        <f>J26</f>
        <v>0</v>
      </c>
      <c r="K663" s="41"/>
    </row>
    <row r="664" spans="2:14" ht="15" customHeight="1" x14ac:dyDescent="0.2">
      <c r="B664" s="38"/>
      <c r="C664" s="291"/>
      <c r="D664" s="380" t="s">
        <v>342</v>
      </c>
      <c r="E664" s="380"/>
      <c r="F664" s="380"/>
      <c r="G664" s="380"/>
      <c r="H664" s="380"/>
      <c r="I664" s="380"/>
      <c r="J664" s="245"/>
      <c r="K664" s="41"/>
    </row>
    <row r="665" spans="2:14" x14ac:dyDescent="0.2">
      <c r="B665" s="38"/>
      <c r="C665" s="291"/>
      <c r="D665" s="380"/>
      <c r="E665" s="380"/>
      <c r="F665" s="380"/>
      <c r="G665" s="380"/>
      <c r="H665" s="380"/>
      <c r="I665" s="380"/>
      <c r="J665" s="245"/>
      <c r="K665" s="41"/>
    </row>
    <row r="666" spans="2:14" x14ac:dyDescent="0.2">
      <c r="B666" s="38"/>
      <c r="C666" s="40" t="s">
        <v>260</v>
      </c>
      <c r="D666" s="40"/>
      <c r="E666" s="40"/>
      <c r="F666" s="40"/>
      <c r="G666" s="40"/>
      <c r="H666" s="40"/>
      <c r="I666" s="40"/>
      <c r="J666" s="245" t="str">
        <f>IF(OR(J661=0,J661="Not Calculated")=TRUE,"Not Calculated",IF(((J661+J663)/(J661-J662))&lt;=1,0,IF(((J661+J663)/(J661-J662))&lt;=1.1,1,IF(((J661+J663)/(J661-J662))&lt;=1.5, 2,IF(((J661+J663)/(J661-J662))&lt;=2,3,4)))))</f>
        <v>Not Calculated</v>
      </c>
      <c r="K666" s="41"/>
    </row>
    <row r="667" spans="2:14" ht="9.75" customHeight="1" x14ac:dyDescent="0.2">
      <c r="B667" s="38"/>
      <c r="C667" s="279" t="str">
        <f>"0:"</f>
        <v>0:</v>
      </c>
      <c r="D667" s="278" t="s">
        <v>918</v>
      </c>
      <c r="E667" s="291"/>
      <c r="F667" s="291"/>
      <c r="G667" s="291"/>
      <c r="H667" s="291"/>
      <c r="I667" s="291"/>
      <c r="J667" s="245"/>
      <c r="K667" s="41"/>
    </row>
    <row r="668" spans="2:14" ht="9.75" customHeight="1" x14ac:dyDescent="0.2">
      <c r="B668" s="38"/>
      <c r="C668" s="280" t="str">
        <f>"1:"</f>
        <v>1:</v>
      </c>
      <c r="D668" s="278" t="s">
        <v>923</v>
      </c>
      <c r="E668" s="291"/>
      <c r="F668" s="291"/>
      <c r="G668" s="291"/>
      <c r="H668" s="291"/>
      <c r="I668" s="291"/>
      <c r="J668" s="245"/>
      <c r="K668" s="41"/>
    </row>
    <row r="669" spans="2:14" ht="9.75" customHeight="1" x14ac:dyDescent="0.2">
      <c r="B669" s="38"/>
      <c r="C669" s="280" t="str">
        <f>"2:"</f>
        <v>2:</v>
      </c>
      <c r="D669" s="278" t="s">
        <v>924</v>
      </c>
      <c r="E669" s="291"/>
      <c r="F669" s="291"/>
      <c r="G669" s="291"/>
      <c r="H669" s="291"/>
      <c r="I669" s="291"/>
      <c r="J669" s="245"/>
      <c r="K669" s="41"/>
    </row>
    <row r="670" spans="2:14" ht="9.75" customHeight="1" x14ac:dyDescent="0.2">
      <c r="B670" s="38"/>
      <c r="C670" s="280" t="str">
        <f>"3:"</f>
        <v>3:</v>
      </c>
      <c r="D670" s="278" t="s">
        <v>925</v>
      </c>
      <c r="E670" s="291"/>
      <c r="F670" s="291"/>
      <c r="G670" s="291"/>
      <c r="H670" s="291"/>
      <c r="I670" s="291"/>
      <c r="J670" s="245"/>
      <c r="K670" s="41"/>
    </row>
    <row r="671" spans="2:14" ht="9.75" customHeight="1" x14ac:dyDescent="0.2">
      <c r="B671" s="38"/>
      <c r="C671" s="280" t="str">
        <f>"4:"</f>
        <v>4:</v>
      </c>
      <c r="D671" s="278" t="s">
        <v>926</v>
      </c>
      <c r="E671" s="40"/>
      <c r="F671" s="40"/>
      <c r="G671" s="40"/>
      <c r="H671" s="40"/>
      <c r="I671" s="40"/>
      <c r="J671" s="40"/>
      <c r="K671" s="41"/>
      <c r="N671" s="12" t="s">
        <v>661</v>
      </c>
    </row>
    <row r="672" spans="2:14" ht="15" customHeight="1" x14ac:dyDescent="0.2">
      <c r="B672" s="38"/>
      <c r="C672" s="174" t="s">
        <v>662</v>
      </c>
      <c r="D672" s="40"/>
      <c r="E672" s="40"/>
      <c r="F672" s="40"/>
      <c r="G672" s="40"/>
      <c r="H672" s="40"/>
      <c r="I672" s="40"/>
      <c r="J672" s="265" t="s">
        <v>661</v>
      </c>
      <c r="K672" s="41"/>
      <c r="N672" s="12" t="s">
        <v>894</v>
      </c>
    </row>
    <row r="673" spans="2:14" ht="15" customHeight="1" x14ac:dyDescent="0.2">
      <c r="B673" s="38"/>
      <c r="C673" s="174" t="s">
        <v>660</v>
      </c>
      <c r="D673" s="40"/>
      <c r="E673" s="40"/>
      <c r="F673" s="40"/>
      <c r="G673" s="40"/>
      <c r="H673" s="40"/>
      <c r="I673" s="40"/>
      <c r="J673" s="246" t="str">
        <f>IF(J672=N671,"N/A",IF(J672=N672,0,IF(J672=N673,1,IF(J672=N674,2,IF(J672=N675,3,IF(J672=N676,4,"N/A"))))))</f>
        <v>N/A</v>
      </c>
      <c r="K673" s="41"/>
      <c r="N673" s="12" t="s">
        <v>908</v>
      </c>
    </row>
    <row r="674" spans="2:14" ht="15" customHeight="1" x14ac:dyDescent="0.2">
      <c r="B674" s="38"/>
      <c r="C674" s="40" t="s">
        <v>257</v>
      </c>
      <c r="D674" s="40"/>
      <c r="E674" s="40"/>
      <c r="F674" s="40"/>
      <c r="G674" s="40"/>
      <c r="H674" s="40"/>
      <c r="I674" s="40"/>
      <c r="J674" s="266"/>
      <c r="K674" s="41"/>
      <c r="N674" s="12" t="s">
        <v>900</v>
      </c>
    </row>
    <row r="675" spans="2:14" x14ac:dyDescent="0.2">
      <c r="B675" s="38"/>
      <c r="C675" s="40" t="s">
        <v>261</v>
      </c>
      <c r="D675" s="40"/>
      <c r="E675" s="40"/>
      <c r="F675" s="40"/>
      <c r="G675" s="40"/>
      <c r="H675" s="40"/>
      <c r="I675" s="40"/>
      <c r="J675" s="245" t="str">
        <f>IF(J674=$B$973,$A$973,IF(J674=$B$974,$A$974,IF(J674=$B$975,$A$975,IF(J674=$B$976,$A$976,IF(J674=$B$977,$A$977,"Not Calculated")))))</f>
        <v>Not Calculated</v>
      </c>
      <c r="K675" s="41"/>
      <c r="N675" s="12" t="s">
        <v>901</v>
      </c>
    </row>
    <row r="676" spans="2:14" ht="15" customHeight="1" x14ac:dyDescent="0.2">
      <c r="B676" s="38"/>
      <c r="C676" s="40" t="s">
        <v>893</v>
      </c>
      <c r="D676" s="40"/>
      <c r="E676" s="40"/>
      <c r="F676" s="40"/>
      <c r="G676" s="40"/>
      <c r="H676" s="40"/>
      <c r="I676" s="40"/>
      <c r="J676" s="40"/>
      <c r="K676" s="41"/>
      <c r="N676" s="12" t="s">
        <v>909</v>
      </c>
    </row>
    <row r="677" spans="2:14" ht="15" customHeight="1" x14ac:dyDescent="0.2">
      <c r="B677" s="38"/>
      <c r="C677" s="399"/>
      <c r="D677" s="400"/>
      <c r="E677" s="400"/>
      <c r="F677" s="400"/>
      <c r="G677" s="400"/>
      <c r="H677" s="400"/>
      <c r="I677" s="400"/>
      <c r="J677" s="401"/>
      <c r="K677" s="41"/>
    </row>
    <row r="678" spans="2:14" x14ac:dyDescent="0.2">
      <c r="B678" s="38"/>
      <c r="C678" s="40"/>
      <c r="D678" s="40"/>
      <c r="E678" s="40"/>
      <c r="F678" s="40"/>
      <c r="G678" s="40"/>
      <c r="H678" s="40"/>
      <c r="I678" s="40"/>
      <c r="J678" s="40"/>
      <c r="K678" s="41"/>
    </row>
    <row r="679" spans="2:14" x14ac:dyDescent="0.2">
      <c r="B679" s="38"/>
      <c r="C679" s="179" t="s">
        <v>331</v>
      </c>
      <c r="D679" s="40"/>
      <c r="E679" s="40"/>
      <c r="F679" s="40"/>
      <c r="G679" s="40"/>
      <c r="H679" s="40"/>
      <c r="I679" s="40"/>
      <c r="J679" s="245" t="str">
        <f>IF(J673="N/A",IF(OR(J666="Not Calculated",J675="Not Calculated")=TRUE,"Not Calculated",AVERAGE(J666,J675)),AVERAGE(J673,J675))</f>
        <v>Not Calculated</v>
      </c>
      <c r="K679" s="41"/>
    </row>
    <row r="680" spans="2:14" x14ac:dyDescent="0.2">
      <c r="B680" s="38"/>
      <c r="C680" s="40"/>
      <c r="D680" s="40"/>
      <c r="E680" s="40"/>
      <c r="F680" s="40"/>
      <c r="G680" s="40"/>
      <c r="H680" s="40"/>
      <c r="I680" s="40"/>
      <c r="J680" s="40"/>
      <c r="K680" s="41"/>
    </row>
    <row r="681" spans="2:14" ht="18" x14ac:dyDescent="0.2">
      <c r="B681" s="38"/>
      <c r="C681" s="180" t="s">
        <v>332</v>
      </c>
      <c r="D681" s="40"/>
      <c r="E681" s="40"/>
      <c r="F681" s="40"/>
      <c r="G681" s="40"/>
      <c r="H681" s="40"/>
      <c r="I681" s="40"/>
      <c r="J681" s="244" t="str">
        <f>IF(OR(J562="Not Calculated",J585="Not Calculated",J601="Not Calculated",J615="Not Calculated",J635="Not Calculated",J657="Not Calculated",J679="Not Calculated")=TRUE,"Not Calculated",AVERAGE(J562,J585,J601,J615,J635,J657,J679))</f>
        <v>Not Calculated</v>
      </c>
      <c r="K681" s="41"/>
    </row>
    <row r="682" spans="2:14" ht="16" thickBot="1" x14ac:dyDescent="0.25">
      <c r="B682" s="46"/>
      <c r="C682" s="47"/>
      <c r="D682" s="47"/>
      <c r="E682" s="47"/>
      <c r="F682" s="47"/>
      <c r="G682" s="47"/>
      <c r="H682" s="47"/>
      <c r="I682" s="47"/>
      <c r="J682" s="47"/>
      <c r="K682" s="49"/>
    </row>
    <row r="683" spans="2:14" ht="16" thickBot="1" x14ac:dyDescent="0.25"/>
    <row r="684" spans="2:14" x14ac:dyDescent="0.2">
      <c r="B684" s="33"/>
      <c r="C684" s="34"/>
      <c r="D684" s="34"/>
      <c r="E684" s="34"/>
      <c r="F684" s="34"/>
      <c r="G684" s="34"/>
      <c r="H684" s="34"/>
      <c r="I684" s="34"/>
      <c r="J684" s="34"/>
      <c r="K684" s="37"/>
    </row>
    <row r="685" spans="2:14" ht="21" x14ac:dyDescent="0.25">
      <c r="B685" s="38"/>
      <c r="C685" s="40"/>
      <c r="D685" s="40"/>
      <c r="E685" s="40"/>
      <c r="F685" s="40"/>
      <c r="G685" s="172" t="s">
        <v>346</v>
      </c>
      <c r="H685" s="40"/>
      <c r="I685" s="40"/>
      <c r="J685" s="40"/>
      <c r="K685" s="41"/>
    </row>
    <row r="686" spans="2:14" x14ac:dyDescent="0.2">
      <c r="B686" s="38"/>
      <c r="C686" s="40"/>
      <c r="D686" s="40"/>
      <c r="E686" s="40"/>
      <c r="F686" s="40"/>
      <c r="G686" s="40"/>
      <c r="H686" s="40"/>
      <c r="I686" s="40"/>
      <c r="J686" s="40"/>
      <c r="K686" s="41"/>
    </row>
    <row r="687" spans="2:14" ht="16" x14ac:dyDescent="0.2">
      <c r="B687" s="38"/>
      <c r="C687" s="182" t="s">
        <v>986</v>
      </c>
      <c r="D687" s="40"/>
      <c r="E687" s="40"/>
      <c r="F687" s="40"/>
      <c r="G687" s="40"/>
      <c r="H687" s="40"/>
      <c r="I687" s="40"/>
      <c r="J687" s="257" t="str">
        <f>IF(OR($J$133="Not Calculated",$J$261="Not Calculated",$J$421="Not Calculated",$J$539="Not Calculated",$J$681="Not Calculated")=TRUE,"Not Calculated",AVERAGE($J$133,$J$261,$J$421,$J$539,$J$681))</f>
        <v>Not Calculated</v>
      </c>
      <c r="K687" s="41"/>
    </row>
    <row r="688" spans="2:14" x14ac:dyDescent="0.2">
      <c r="B688" s="38"/>
      <c r="C688" s="40"/>
      <c r="D688" s="40" t="s">
        <v>343</v>
      </c>
      <c r="E688" s="40"/>
      <c r="F688" s="40"/>
      <c r="G688" s="40"/>
      <c r="H688" s="40"/>
      <c r="I688" s="40"/>
      <c r="J688" s="40"/>
      <c r="K688" s="41"/>
    </row>
    <row r="689" spans="2:11" ht="15" customHeight="1" x14ac:dyDescent="0.2">
      <c r="B689" s="38"/>
      <c r="C689" s="40"/>
      <c r="D689" s="40"/>
      <c r="E689" s="40"/>
      <c r="F689" s="40"/>
      <c r="G689" s="40"/>
      <c r="H689" s="40"/>
      <c r="I689" s="40"/>
      <c r="J689" s="40"/>
      <c r="K689" s="41"/>
    </row>
    <row r="690" spans="2:11" ht="16" x14ac:dyDescent="0.2">
      <c r="B690" s="38"/>
      <c r="C690" s="182" t="s">
        <v>987</v>
      </c>
      <c r="D690" s="40"/>
      <c r="E690" s="40"/>
      <c r="F690" s="40"/>
      <c r="G690" s="40"/>
      <c r="H690" s="40"/>
      <c r="I690" s="40"/>
      <c r="J690" s="257" t="str">
        <f>IF(OR($J$133="Not Calculated",$J$261="Not Calculated",$J$539="Not Calculated",$J$681="Not Calculated")=TRUE,"Not Calculated",AVERAGE($J$133,$J$261,$J$539,$J$681))</f>
        <v>Not Calculated</v>
      </c>
      <c r="K690" s="41"/>
    </row>
    <row r="691" spans="2:11" ht="15" customHeight="1" x14ac:dyDescent="0.2">
      <c r="B691" s="38"/>
      <c r="C691" s="40"/>
      <c r="D691" s="40" t="s">
        <v>344</v>
      </c>
      <c r="E691" s="40"/>
      <c r="F691" s="40"/>
      <c r="G691" s="40"/>
      <c r="H691" s="40"/>
      <c r="I691" s="40"/>
      <c r="J691" s="40"/>
      <c r="K691" s="41"/>
    </row>
    <row r="692" spans="2:11" x14ac:dyDescent="0.2">
      <c r="B692" s="38"/>
      <c r="C692" s="40"/>
      <c r="D692" s="40"/>
      <c r="E692" s="40"/>
      <c r="F692" s="40"/>
      <c r="G692" s="40"/>
      <c r="H692" s="40"/>
      <c r="I692" s="40"/>
      <c r="J692" s="40"/>
      <c r="K692" s="41"/>
    </row>
    <row r="693" spans="2:11" ht="16" x14ac:dyDescent="0.2">
      <c r="B693" s="38"/>
      <c r="C693" s="182" t="s">
        <v>988</v>
      </c>
      <c r="D693" s="40"/>
      <c r="E693" s="40"/>
      <c r="F693" s="40"/>
      <c r="G693" s="40"/>
      <c r="H693" s="40"/>
      <c r="I693" s="40"/>
      <c r="J693" s="257" t="str">
        <f>IF(OR($J$133="Not Calculated",$J$261="Not Calculated",$J$421="Not Calculated")=TRUE,"Not Calculated",AVERAGE($J$133,$J$261,$J$421))</f>
        <v>Not Calculated</v>
      </c>
      <c r="K693" s="41"/>
    </row>
    <row r="694" spans="2:11" x14ac:dyDescent="0.2">
      <c r="B694" s="38"/>
      <c r="C694" s="40"/>
      <c r="D694" s="40" t="s">
        <v>345</v>
      </c>
      <c r="E694" s="40"/>
      <c r="F694" s="40"/>
      <c r="G694" s="40"/>
      <c r="H694" s="40"/>
      <c r="I694" s="40"/>
      <c r="J694" s="40"/>
      <c r="K694" s="41"/>
    </row>
    <row r="695" spans="2:11" ht="16" thickBot="1" x14ac:dyDescent="0.25">
      <c r="B695" s="46"/>
      <c r="C695" s="47"/>
      <c r="D695" s="47"/>
      <c r="E695" s="47"/>
      <c r="F695" s="47"/>
      <c r="G695" s="47"/>
      <c r="H695" s="47"/>
      <c r="I695" s="47"/>
      <c r="J695" s="47"/>
      <c r="K695" s="49"/>
    </row>
    <row r="696" spans="2:11" ht="16" thickBot="1" x14ac:dyDescent="0.25"/>
    <row r="697" spans="2:11" x14ac:dyDescent="0.2">
      <c r="B697" s="183"/>
      <c r="C697" s="184"/>
      <c r="D697" s="184"/>
      <c r="E697" s="184"/>
      <c r="F697" s="184"/>
      <c r="G697" s="184"/>
      <c r="H697" s="184"/>
      <c r="I697" s="184"/>
      <c r="J697" s="184"/>
      <c r="K697" s="185"/>
    </row>
    <row r="698" spans="2:11" ht="21" x14ac:dyDescent="0.25">
      <c r="B698" s="186"/>
      <c r="C698" s="187"/>
      <c r="D698" s="187"/>
      <c r="E698" s="187"/>
      <c r="F698" s="187"/>
      <c r="G698" s="188" t="s">
        <v>231</v>
      </c>
      <c r="H698" s="187"/>
      <c r="I698" s="187"/>
      <c r="J698" s="187"/>
      <c r="K698" s="189"/>
    </row>
    <row r="699" spans="2:11" x14ac:dyDescent="0.2">
      <c r="B699" s="186"/>
      <c r="C699" s="187"/>
      <c r="D699" s="187"/>
      <c r="E699" s="187"/>
      <c r="F699" s="187"/>
      <c r="G699" s="187"/>
      <c r="H699" s="187"/>
      <c r="I699" s="187"/>
      <c r="J699" s="187"/>
      <c r="K699" s="189"/>
    </row>
    <row r="700" spans="2:11" ht="16" x14ac:dyDescent="0.2">
      <c r="B700" s="186"/>
      <c r="C700" s="190" t="s">
        <v>989</v>
      </c>
      <c r="D700" s="187"/>
      <c r="E700" s="187"/>
      <c r="F700" s="187"/>
      <c r="G700" s="187"/>
      <c r="H700" s="187"/>
      <c r="I700" s="187"/>
      <c r="J700" s="256" t="str">
        <f>IF(OR(J687="Not Calculated",$E$17="Not Calculated")=TRUE,"Not Calculated",(J687*$E$17*100/16))</f>
        <v>Not Calculated</v>
      </c>
      <c r="K700" s="189"/>
    </row>
    <row r="701" spans="2:11" x14ac:dyDescent="0.2">
      <c r="B701" s="186"/>
      <c r="C701" s="187"/>
      <c r="D701" s="187" t="s">
        <v>377</v>
      </c>
      <c r="E701" s="187"/>
      <c r="F701" s="187"/>
      <c r="G701" s="187"/>
      <c r="H701" s="187"/>
      <c r="I701" s="187"/>
      <c r="J701" s="187"/>
      <c r="K701" s="189"/>
    </row>
    <row r="702" spans="2:11" x14ac:dyDescent="0.2">
      <c r="B702" s="186"/>
      <c r="C702" s="187"/>
      <c r="D702" s="187"/>
      <c r="E702" s="187"/>
      <c r="F702" s="187"/>
      <c r="G702" s="187"/>
      <c r="H702" s="187"/>
      <c r="I702" s="187"/>
      <c r="J702" s="187"/>
      <c r="K702" s="189"/>
    </row>
    <row r="703" spans="2:11" ht="16" x14ac:dyDescent="0.2">
      <c r="B703" s="186"/>
      <c r="C703" s="190" t="s">
        <v>990</v>
      </c>
      <c r="D703" s="187"/>
      <c r="E703" s="187"/>
      <c r="F703" s="187"/>
      <c r="G703" s="187"/>
      <c r="H703" s="187"/>
      <c r="I703" s="187"/>
      <c r="J703" s="256" t="str">
        <f>IF(OR(J690="Not Calculated",$E$17="Not Calculated")=TRUE,"Not Calculated",(J690*$E$17*100/16))</f>
        <v>Not Calculated</v>
      </c>
      <c r="K703" s="189"/>
    </row>
    <row r="704" spans="2:11" x14ac:dyDescent="0.2">
      <c r="B704" s="186"/>
      <c r="C704" s="187"/>
      <c r="D704" s="187" t="s">
        <v>378</v>
      </c>
      <c r="E704" s="187"/>
      <c r="F704" s="187"/>
      <c r="G704" s="187"/>
      <c r="H704" s="187"/>
      <c r="I704" s="187"/>
      <c r="J704" s="187"/>
      <c r="K704" s="189"/>
    </row>
    <row r="705" spans="2:11" x14ac:dyDescent="0.2">
      <c r="B705" s="186"/>
      <c r="C705" s="187"/>
      <c r="D705" s="187"/>
      <c r="E705" s="187"/>
      <c r="F705" s="187"/>
      <c r="G705" s="187"/>
      <c r="H705" s="187"/>
      <c r="I705" s="187"/>
      <c r="J705" s="187"/>
      <c r="K705" s="189"/>
    </row>
    <row r="706" spans="2:11" ht="16" x14ac:dyDescent="0.2">
      <c r="B706" s="186"/>
      <c r="C706" s="190" t="s">
        <v>991</v>
      </c>
      <c r="D706" s="187"/>
      <c r="E706" s="187"/>
      <c r="F706" s="187"/>
      <c r="G706" s="187"/>
      <c r="H706" s="187"/>
      <c r="I706" s="187"/>
      <c r="J706" s="256" t="str">
        <f>IF(OR(J693="Not Calculated",$E$17="Not Calculated")=TRUE,"Not Calculated",(J693*$E$17*100/16))</f>
        <v>Not Calculated</v>
      </c>
      <c r="K706" s="189"/>
    </row>
    <row r="707" spans="2:11" x14ac:dyDescent="0.2">
      <c r="B707" s="186"/>
      <c r="C707" s="187"/>
      <c r="D707" s="187" t="s">
        <v>379</v>
      </c>
      <c r="E707" s="187"/>
      <c r="F707" s="187"/>
      <c r="G707" s="187"/>
      <c r="H707" s="187"/>
      <c r="I707" s="187"/>
      <c r="J707" s="187"/>
      <c r="K707" s="189"/>
    </row>
    <row r="708" spans="2:11" ht="16" thickBot="1" x14ac:dyDescent="0.25">
      <c r="B708" s="191"/>
      <c r="C708" s="192"/>
      <c r="D708" s="192"/>
      <c r="E708" s="192"/>
      <c r="F708" s="192"/>
      <c r="G708" s="192"/>
      <c r="H708" s="192"/>
      <c r="I708" s="192"/>
      <c r="J708" s="192"/>
      <c r="K708" s="193"/>
    </row>
    <row r="709" spans="2:11" ht="16" thickBot="1" x14ac:dyDescent="0.25"/>
    <row r="710" spans="2:11" x14ac:dyDescent="0.2">
      <c r="B710" s="53"/>
      <c r="C710" s="54"/>
      <c r="D710" s="54"/>
      <c r="E710" s="54"/>
      <c r="F710" s="54"/>
      <c r="G710" s="54"/>
      <c r="H710" s="54"/>
      <c r="I710" s="54"/>
      <c r="J710" s="54"/>
      <c r="K710" s="56"/>
    </row>
    <row r="711" spans="2:11" ht="21" x14ac:dyDescent="0.25">
      <c r="B711" s="57"/>
      <c r="C711" s="59"/>
      <c r="D711" s="59"/>
      <c r="E711" s="59"/>
      <c r="F711" s="59"/>
      <c r="G711" s="194" t="s">
        <v>232</v>
      </c>
      <c r="H711" s="59"/>
      <c r="I711" s="59"/>
      <c r="J711" s="59"/>
      <c r="K711" s="61"/>
    </row>
    <row r="712" spans="2:11" x14ac:dyDescent="0.2">
      <c r="B712" s="57"/>
      <c r="C712" s="59"/>
      <c r="D712" s="59"/>
      <c r="E712" s="59"/>
      <c r="F712" s="59"/>
      <c r="G712" s="59"/>
      <c r="H712" s="59"/>
      <c r="I712" s="59"/>
      <c r="J712" s="59"/>
      <c r="K712" s="61"/>
    </row>
    <row r="713" spans="2:11" ht="16" x14ac:dyDescent="0.2">
      <c r="B713" s="57"/>
      <c r="C713" s="195" t="s">
        <v>363</v>
      </c>
      <c r="D713" s="59"/>
      <c r="E713" s="59"/>
      <c r="F713" s="59"/>
      <c r="G713" s="59"/>
      <c r="H713" s="59"/>
      <c r="I713" s="59"/>
      <c r="J713" s="59"/>
      <c r="K713" s="61"/>
    </row>
    <row r="714" spans="2:11" ht="15" customHeight="1" x14ac:dyDescent="0.2">
      <c r="B714" s="57"/>
      <c r="C714" s="411" t="s">
        <v>364</v>
      </c>
      <c r="D714" s="411"/>
      <c r="E714" s="411"/>
      <c r="F714" s="411"/>
      <c r="G714" s="411"/>
      <c r="H714" s="411"/>
      <c r="I714" s="411"/>
      <c r="J714" s="411"/>
      <c r="K714" s="61"/>
    </row>
    <row r="715" spans="2:11" x14ac:dyDescent="0.2">
      <c r="B715" s="57"/>
      <c r="C715" s="411"/>
      <c r="D715" s="411"/>
      <c r="E715" s="411"/>
      <c r="F715" s="411"/>
      <c r="G715" s="411"/>
      <c r="H715" s="411"/>
      <c r="I715" s="411"/>
      <c r="J715" s="411"/>
      <c r="K715" s="61"/>
    </row>
    <row r="716" spans="2:11" x14ac:dyDescent="0.2">
      <c r="B716" s="57"/>
      <c r="C716" s="411"/>
      <c r="D716" s="411"/>
      <c r="E716" s="411"/>
      <c r="F716" s="411"/>
      <c r="G716" s="411"/>
      <c r="H716" s="411"/>
      <c r="I716" s="411"/>
      <c r="J716" s="411"/>
      <c r="K716" s="61"/>
    </row>
    <row r="717" spans="2:11" x14ac:dyDescent="0.2">
      <c r="B717" s="57"/>
      <c r="C717" s="196" t="s">
        <v>30</v>
      </c>
      <c r="D717" s="59"/>
      <c r="E717" s="59"/>
      <c r="F717" s="59"/>
      <c r="G717" s="431"/>
      <c r="H717" s="431"/>
      <c r="I717" s="59"/>
      <c r="J717" s="260" t="str">
        <f>IF(G717=$B$994,$A$994,IF(G717=$B$995,$A$995,"Not Calculated"))</f>
        <v>Not Calculated</v>
      </c>
      <c r="K717" s="61"/>
    </row>
    <row r="718" spans="2:11" x14ac:dyDescent="0.2">
      <c r="B718" s="57"/>
      <c r="C718" s="196" t="s">
        <v>32</v>
      </c>
      <c r="D718" s="59"/>
      <c r="E718" s="59"/>
      <c r="F718" s="59"/>
      <c r="G718" s="431"/>
      <c r="H718" s="431"/>
      <c r="I718" s="59"/>
      <c r="J718" s="260" t="str">
        <f t="shared" ref="J718:J725" si="0">IF(G718=$B$994,$A$994,IF(G718=$B$995,$A$995,"Not Calculated"))</f>
        <v>Not Calculated</v>
      </c>
      <c r="K718" s="61"/>
    </row>
    <row r="719" spans="2:11" x14ac:dyDescent="0.2">
      <c r="B719" s="57"/>
      <c r="C719" s="196" t="s">
        <v>34</v>
      </c>
      <c r="D719" s="59"/>
      <c r="E719" s="59"/>
      <c r="F719" s="59"/>
      <c r="G719" s="431"/>
      <c r="H719" s="431"/>
      <c r="I719" s="59"/>
      <c r="J719" s="260" t="str">
        <f t="shared" si="0"/>
        <v>Not Calculated</v>
      </c>
      <c r="K719" s="61"/>
    </row>
    <row r="720" spans="2:11" x14ac:dyDescent="0.2">
      <c r="B720" s="57"/>
      <c r="C720" s="196" t="s">
        <v>35</v>
      </c>
      <c r="D720" s="59"/>
      <c r="E720" s="59"/>
      <c r="F720" s="59"/>
      <c r="G720" s="431"/>
      <c r="H720" s="431"/>
      <c r="I720" s="59"/>
      <c r="J720" s="260" t="str">
        <f t="shared" si="0"/>
        <v>Not Calculated</v>
      </c>
      <c r="K720" s="61"/>
    </row>
    <row r="721" spans="2:11" x14ac:dyDescent="0.2">
      <c r="B721" s="57"/>
      <c r="C721" s="196" t="s">
        <v>37</v>
      </c>
      <c r="D721" s="59"/>
      <c r="E721" s="59"/>
      <c r="F721" s="59"/>
      <c r="G721" s="431"/>
      <c r="H721" s="431"/>
      <c r="I721" s="59"/>
      <c r="J721" s="260" t="str">
        <f t="shared" si="0"/>
        <v>Not Calculated</v>
      </c>
      <c r="K721" s="61"/>
    </row>
    <row r="722" spans="2:11" x14ac:dyDescent="0.2">
      <c r="B722" s="57"/>
      <c r="C722" s="196" t="s">
        <v>38</v>
      </c>
      <c r="D722" s="59"/>
      <c r="E722" s="59"/>
      <c r="F722" s="59"/>
      <c r="G722" s="431"/>
      <c r="H722" s="431"/>
      <c r="I722" s="59"/>
      <c r="J722" s="260" t="str">
        <f t="shared" si="0"/>
        <v>Not Calculated</v>
      </c>
      <c r="K722" s="61"/>
    </row>
    <row r="723" spans="2:11" x14ac:dyDescent="0.2">
      <c r="B723" s="57"/>
      <c r="C723" s="196" t="s">
        <v>40</v>
      </c>
      <c r="D723" s="59"/>
      <c r="E723" s="59"/>
      <c r="F723" s="59"/>
      <c r="G723" s="431"/>
      <c r="H723" s="431"/>
      <c r="I723" s="59"/>
      <c r="J723" s="260" t="str">
        <f t="shared" si="0"/>
        <v>Not Calculated</v>
      </c>
      <c r="K723" s="61"/>
    </row>
    <row r="724" spans="2:11" x14ac:dyDescent="0.2">
      <c r="B724" s="57"/>
      <c r="C724" s="196" t="s">
        <v>41</v>
      </c>
      <c r="D724" s="59"/>
      <c r="E724" s="59"/>
      <c r="F724" s="59"/>
      <c r="G724" s="431"/>
      <c r="H724" s="431"/>
      <c r="I724" s="59"/>
      <c r="J724" s="260" t="str">
        <f t="shared" si="0"/>
        <v>Not Calculated</v>
      </c>
      <c r="K724" s="61"/>
    </row>
    <row r="725" spans="2:11" x14ac:dyDescent="0.2">
      <c r="B725" s="57"/>
      <c r="C725" s="196" t="s">
        <v>43</v>
      </c>
      <c r="D725" s="59"/>
      <c r="E725" s="59"/>
      <c r="F725" s="59"/>
      <c r="G725" s="431"/>
      <c r="H725" s="431"/>
      <c r="I725" s="59"/>
      <c r="J725" s="260" t="str">
        <f t="shared" si="0"/>
        <v>Not Calculated</v>
      </c>
      <c r="K725" s="61"/>
    </row>
    <row r="726" spans="2:11" x14ac:dyDescent="0.2">
      <c r="B726" s="57"/>
      <c r="C726" s="59"/>
      <c r="D726" s="59"/>
      <c r="E726" s="59"/>
      <c r="F726" s="59"/>
      <c r="G726" s="59"/>
      <c r="H726" s="59"/>
      <c r="I726" s="59"/>
      <c r="J726" s="59"/>
      <c r="K726" s="61"/>
    </row>
    <row r="727" spans="2:11" x14ac:dyDescent="0.2">
      <c r="B727" s="57"/>
      <c r="C727" s="59"/>
      <c r="D727" s="59"/>
      <c r="E727" s="59"/>
      <c r="F727" s="59"/>
      <c r="G727" s="59"/>
      <c r="H727" s="59"/>
      <c r="I727" s="59"/>
      <c r="J727" s="59"/>
      <c r="K727" s="61"/>
    </row>
    <row r="728" spans="2:11" ht="16" x14ac:dyDescent="0.2">
      <c r="B728" s="57"/>
      <c r="C728" s="195" t="s">
        <v>115</v>
      </c>
      <c r="D728" s="59"/>
      <c r="E728" s="59"/>
      <c r="F728" s="59"/>
      <c r="G728" s="59"/>
      <c r="H728" s="59"/>
      <c r="I728" s="59"/>
      <c r="J728" s="59"/>
      <c r="K728" s="61"/>
    </row>
    <row r="729" spans="2:11" ht="15" customHeight="1" x14ac:dyDescent="0.2">
      <c r="B729" s="57"/>
      <c r="C729" s="411" t="s">
        <v>365</v>
      </c>
      <c r="D729" s="411"/>
      <c r="E729" s="411"/>
      <c r="F729" s="411"/>
      <c r="G729" s="411"/>
      <c r="H729" s="411"/>
      <c r="I729" s="411"/>
      <c r="J729" s="411"/>
      <c r="K729" s="61"/>
    </row>
    <row r="730" spans="2:11" x14ac:dyDescent="0.2">
      <c r="B730" s="57"/>
      <c r="C730" s="411"/>
      <c r="D730" s="411"/>
      <c r="E730" s="411"/>
      <c r="F730" s="411"/>
      <c r="G730" s="411"/>
      <c r="H730" s="411"/>
      <c r="I730" s="411"/>
      <c r="J730" s="411"/>
      <c r="K730" s="61"/>
    </row>
    <row r="731" spans="2:11" x14ac:dyDescent="0.2">
      <c r="B731" s="57"/>
      <c r="C731" s="411"/>
      <c r="D731" s="411"/>
      <c r="E731" s="411"/>
      <c r="F731" s="411"/>
      <c r="G731" s="411"/>
      <c r="H731" s="411"/>
      <c r="I731" s="411"/>
      <c r="J731" s="411"/>
      <c r="K731" s="61"/>
    </row>
    <row r="732" spans="2:11" x14ac:dyDescent="0.2">
      <c r="B732" s="57"/>
      <c r="C732" s="196" t="s">
        <v>30</v>
      </c>
      <c r="D732" s="59"/>
      <c r="E732" s="59"/>
      <c r="F732" s="59"/>
      <c r="G732" s="431"/>
      <c r="H732" s="431"/>
      <c r="I732" s="59"/>
      <c r="J732" s="260" t="str">
        <f>IF(G732=$B$994,$A$994,IF(G732=$B$995,$A$995,"Not Calculated"))</f>
        <v>Not Calculated</v>
      </c>
      <c r="K732" s="61"/>
    </row>
    <row r="733" spans="2:11" x14ac:dyDescent="0.2">
      <c r="B733" s="57"/>
      <c r="C733" s="196" t="s">
        <v>32</v>
      </c>
      <c r="D733" s="59"/>
      <c r="E733" s="59"/>
      <c r="F733" s="59"/>
      <c r="G733" s="431"/>
      <c r="H733" s="431"/>
      <c r="I733" s="59"/>
      <c r="J733" s="260" t="str">
        <f t="shared" ref="J733:J740" si="1">IF(G733=$B$994,$A$994,IF(G733=$B$995,$A$995,"Not Calculated"))</f>
        <v>Not Calculated</v>
      </c>
      <c r="K733" s="61"/>
    </row>
    <row r="734" spans="2:11" ht="15" customHeight="1" x14ac:dyDescent="0.2">
      <c r="B734" s="57"/>
      <c r="C734" s="196" t="s">
        <v>34</v>
      </c>
      <c r="D734" s="59"/>
      <c r="E734" s="59"/>
      <c r="F734" s="59"/>
      <c r="G734" s="431"/>
      <c r="H734" s="431"/>
      <c r="I734" s="59"/>
      <c r="J734" s="260" t="str">
        <f t="shared" si="1"/>
        <v>Not Calculated</v>
      </c>
      <c r="K734" s="61"/>
    </row>
    <row r="735" spans="2:11" x14ac:dyDescent="0.2">
      <c r="B735" s="57"/>
      <c r="C735" s="196" t="s">
        <v>35</v>
      </c>
      <c r="D735" s="59"/>
      <c r="E735" s="59"/>
      <c r="F735" s="59"/>
      <c r="G735" s="431"/>
      <c r="H735" s="431"/>
      <c r="I735" s="59"/>
      <c r="J735" s="260" t="str">
        <f t="shared" si="1"/>
        <v>Not Calculated</v>
      </c>
      <c r="K735" s="61"/>
    </row>
    <row r="736" spans="2:11" x14ac:dyDescent="0.2">
      <c r="B736" s="57"/>
      <c r="C736" s="196" t="s">
        <v>37</v>
      </c>
      <c r="D736" s="59"/>
      <c r="E736" s="59"/>
      <c r="F736" s="59"/>
      <c r="G736" s="431"/>
      <c r="H736" s="431"/>
      <c r="I736" s="59"/>
      <c r="J736" s="260" t="str">
        <f t="shared" si="1"/>
        <v>Not Calculated</v>
      </c>
      <c r="K736" s="61"/>
    </row>
    <row r="737" spans="2:11" x14ac:dyDescent="0.2">
      <c r="B737" s="57"/>
      <c r="C737" s="196" t="s">
        <v>38</v>
      </c>
      <c r="D737" s="59"/>
      <c r="E737" s="59"/>
      <c r="F737" s="59"/>
      <c r="G737" s="431"/>
      <c r="H737" s="431"/>
      <c r="I737" s="59"/>
      <c r="J737" s="260" t="str">
        <f t="shared" si="1"/>
        <v>Not Calculated</v>
      </c>
      <c r="K737" s="61"/>
    </row>
    <row r="738" spans="2:11" x14ac:dyDescent="0.2">
      <c r="B738" s="57"/>
      <c r="C738" s="196" t="s">
        <v>40</v>
      </c>
      <c r="D738" s="59"/>
      <c r="E738" s="59"/>
      <c r="F738" s="59"/>
      <c r="G738" s="431"/>
      <c r="H738" s="431"/>
      <c r="I738" s="59"/>
      <c r="J738" s="260" t="str">
        <f t="shared" si="1"/>
        <v>Not Calculated</v>
      </c>
      <c r="K738" s="61"/>
    </row>
    <row r="739" spans="2:11" x14ac:dyDescent="0.2">
      <c r="B739" s="57"/>
      <c r="C739" s="196" t="s">
        <v>41</v>
      </c>
      <c r="D739" s="59"/>
      <c r="E739" s="59"/>
      <c r="F739" s="59"/>
      <c r="G739" s="431"/>
      <c r="H739" s="431"/>
      <c r="I739" s="59"/>
      <c r="J739" s="260" t="str">
        <f t="shared" si="1"/>
        <v>Not Calculated</v>
      </c>
      <c r="K739" s="61"/>
    </row>
    <row r="740" spans="2:11" x14ac:dyDescent="0.2">
      <c r="B740" s="57"/>
      <c r="C740" s="196" t="s">
        <v>43</v>
      </c>
      <c r="D740" s="59"/>
      <c r="E740" s="59"/>
      <c r="F740" s="59"/>
      <c r="G740" s="431"/>
      <c r="H740" s="431"/>
      <c r="I740" s="59"/>
      <c r="J740" s="260" t="str">
        <f t="shared" si="1"/>
        <v>Not Calculated</v>
      </c>
      <c r="K740" s="61"/>
    </row>
    <row r="741" spans="2:11" x14ac:dyDescent="0.2">
      <c r="B741" s="57"/>
      <c r="C741" s="59"/>
      <c r="D741" s="59"/>
      <c r="E741" s="59"/>
      <c r="F741" s="59"/>
      <c r="G741" s="59"/>
      <c r="H741" s="59"/>
      <c r="I741" s="59"/>
      <c r="J741" s="59"/>
      <c r="K741" s="61"/>
    </row>
    <row r="742" spans="2:11" x14ac:dyDescent="0.2">
      <c r="B742" s="57"/>
      <c r="C742" s="59"/>
      <c r="D742" s="59"/>
      <c r="E742" s="59"/>
      <c r="F742" s="59"/>
      <c r="G742" s="59"/>
      <c r="H742" s="59"/>
      <c r="I742" s="59"/>
      <c r="J742" s="59"/>
      <c r="K742" s="61"/>
    </row>
    <row r="743" spans="2:11" ht="16" x14ac:dyDescent="0.2">
      <c r="B743" s="57"/>
      <c r="C743" s="195" t="s">
        <v>366</v>
      </c>
      <c r="D743" s="59"/>
      <c r="E743" s="59"/>
      <c r="F743" s="59"/>
      <c r="G743" s="59"/>
      <c r="H743" s="59"/>
      <c r="I743" s="59"/>
      <c r="J743" s="59"/>
      <c r="K743" s="61"/>
    </row>
    <row r="744" spans="2:11" ht="15" customHeight="1" x14ac:dyDescent="0.2">
      <c r="B744" s="57"/>
      <c r="C744" s="411" t="s">
        <v>367</v>
      </c>
      <c r="D744" s="411"/>
      <c r="E744" s="411"/>
      <c r="F744" s="411"/>
      <c r="G744" s="411"/>
      <c r="H744" s="411"/>
      <c r="I744" s="411"/>
      <c r="J744" s="411"/>
      <c r="K744" s="61"/>
    </row>
    <row r="745" spans="2:11" x14ac:dyDescent="0.2">
      <c r="B745" s="57"/>
      <c r="C745" s="411"/>
      <c r="D745" s="411"/>
      <c r="E745" s="411"/>
      <c r="F745" s="411"/>
      <c r="G745" s="411"/>
      <c r="H745" s="411"/>
      <c r="I745" s="411"/>
      <c r="J745" s="411"/>
      <c r="K745" s="61"/>
    </row>
    <row r="746" spans="2:11" x14ac:dyDescent="0.2">
      <c r="B746" s="57"/>
      <c r="C746" s="411"/>
      <c r="D746" s="411"/>
      <c r="E746" s="411"/>
      <c r="F746" s="411"/>
      <c r="G746" s="411"/>
      <c r="H746" s="411"/>
      <c r="I746" s="411"/>
      <c r="J746" s="411"/>
      <c r="K746" s="61"/>
    </row>
    <row r="747" spans="2:11" x14ac:dyDescent="0.2">
      <c r="B747" s="57"/>
      <c r="C747" s="196" t="s">
        <v>30</v>
      </c>
      <c r="D747" s="59"/>
      <c r="E747" s="59"/>
      <c r="F747" s="59"/>
      <c r="G747" s="431"/>
      <c r="H747" s="431"/>
      <c r="I747" s="59"/>
      <c r="J747" s="260" t="str">
        <f>IF(G747=$B$994,$A$994,IF(G747=$B$995,$A$995,"Not Calculated"))</f>
        <v>Not Calculated</v>
      </c>
      <c r="K747" s="61"/>
    </row>
    <row r="748" spans="2:11" x14ac:dyDescent="0.2">
      <c r="B748" s="57"/>
      <c r="C748" s="196" t="s">
        <v>32</v>
      </c>
      <c r="D748" s="59"/>
      <c r="E748" s="59"/>
      <c r="F748" s="59"/>
      <c r="G748" s="431"/>
      <c r="H748" s="431"/>
      <c r="I748" s="59"/>
      <c r="J748" s="260" t="str">
        <f t="shared" ref="J748:J755" si="2">IF(G748=$B$994,$A$994,IF(G748=$B$995,$A$995,"Not Calculated"))</f>
        <v>Not Calculated</v>
      </c>
      <c r="K748" s="61"/>
    </row>
    <row r="749" spans="2:11" ht="15" customHeight="1" x14ac:dyDescent="0.2">
      <c r="B749" s="57"/>
      <c r="C749" s="196" t="s">
        <v>34</v>
      </c>
      <c r="D749" s="59"/>
      <c r="E749" s="59"/>
      <c r="F749" s="59"/>
      <c r="G749" s="431"/>
      <c r="H749" s="431"/>
      <c r="I749" s="59"/>
      <c r="J749" s="260" t="str">
        <f t="shared" si="2"/>
        <v>Not Calculated</v>
      </c>
      <c r="K749" s="61"/>
    </row>
    <row r="750" spans="2:11" x14ac:dyDescent="0.2">
      <c r="B750" s="57"/>
      <c r="C750" s="196" t="s">
        <v>35</v>
      </c>
      <c r="D750" s="59"/>
      <c r="E750" s="59"/>
      <c r="F750" s="59"/>
      <c r="G750" s="431"/>
      <c r="H750" s="431"/>
      <c r="I750" s="59"/>
      <c r="J750" s="260" t="str">
        <f t="shared" si="2"/>
        <v>Not Calculated</v>
      </c>
      <c r="K750" s="61"/>
    </row>
    <row r="751" spans="2:11" x14ac:dyDescent="0.2">
      <c r="B751" s="57"/>
      <c r="C751" s="196" t="s">
        <v>37</v>
      </c>
      <c r="D751" s="59"/>
      <c r="E751" s="59"/>
      <c r="F751" s="59"/>
      <c r="G751" s="431"/>
      <c r="H751" s="431"/>
      <c r="I751" s="59"/>
      <c r="J751" s="260" t="str">
        <f t="shared" si="2"/>
        <v>Not Calculated</v>
      </c>
      <c r="K751" s="61"/>
    </row>
    <row r="752" spans="2:11" x14ac:dyDescent="0.2">
      <c r="B752" s="57"/>
      <c r="C752" s="196" t="s">
        <v>38</v>
      </c>
      <c r="D752" s="59"/>
      <c r="E752" s="59"/>
      <c r="F752" s="59"/>
      <c r="G752" s="431"/>
      <c r="H752" s="431"/>
      <c r="I752" s="59"/>
      <c r="J752" s="260" t="str">
        <f t="shared" si="2"/>
        <v>Not Calculated</v>
      </c>
      <c r="K752" s="61"/>
    </row>
    <row r="753" spans="2:11" x14ac:dyDescent="0.2">
      <c r="B753" s="57"/>
      <c r="C753" s="196" t="s">
        <v>40</v>
      </c>
      <c r="D753" s="59"/>
      <c r="E753" s="59"/>
      <c r="F753" s="59"/>
      <c r="G753" s="431"/>
      <c r="H753" s="431"/>
      <c r="I753" s="59"/>
      <c r="J753" s="260" t="str">
        <f t="shared" si="2"/>
        <v>Not Calculated</v>
      </c>
      <c r="K753" s="61"/>
    </row>
    <row r="754" spans="2:11" x14ac:dyDescent="0.2">
      <c r="B754" s="57"/>
      <c r="C754" s="196" t="s">
        <v>41</v>
      </c>
      <c r="D754" s="59"/>
      <c r="E754" s="59"/>
      <c r="F754" s="59"/>
      <c r="G754" s="431"/>
      <c r="H754" s="431"/>
      <c r="I754" s="59"/>
      <c r="J754" s="260" t="str">
        <f t="shared" si="2"/>
        <v>Not Calculated</v>
      </c>
      <c r="K754" s="61"/>
    </row>
    <row r="755" spans="2:11" x14ac:dyDescent="0.2">
      <c r="B755" s="57"/>
      <c r="C755" s="196" t="s">
        <v>43</v>
      </c>
      <c r="D755" s="59"/>
      <c r="E755" s="59"/>
      <c r="F755" s="59"/>
      <c r="G755" s="431"/>
      <c r="H755" s="431"/>
      <c r="I755" s="59"/>
      <c r="J755" s="260" t="str">
        <f t="shared" si="2"/>
        <v>Not Calculated</v>
      </c>
      <c r="K755" s="61"/>
    </row>
    <row r="756" spans="2:11" x14ac:dyDescent="0.2">
      <c r="B756" s="57"/>
      <c r="C756" s="59"/>
      <c r="D756" s="59"/>
      <c r="E756" s="59"/>
      <c r="F756" s="59"/>
      <c r="G756" s="59"/>
      <c r="H756" s="59"/>
      <c r="I756" s="59"/>
      <c r="J756" s="59"/>
      <c r="K756" s="61"/>
    </row>
    <row r="757" spans="2:11" x14ac:dyDescent="0.2">
      <c r="B757" s="57"/>
      <c r="C757" s="59"/>
      <c r="D757" s="59"/>
      <c r="E757" s="59"/>
      <c r="F757" s="59"/>
      <c r="G757" s="59"/>
      <c r="H757" s="59"/>
      <c r="I757" s="59"/>
      <c r="J757" s="59"/>
      <c r="K757" s="61"/>
    </row>
    <row r="758" spans="2:11" ht="16" x14ac:dyDescent="0.2">
      <c r="B758" s="57"/>
      <c r="C758" s="195" t="s">
        <v>368</v>
      </c>
      <c r="D758" s="59"/>
      <c r="E758" s="59"/>
      <c r="F758" s="59"/>
      <c r="G758" s="59"/>
      <c r="H758" s="59"/>
      <c r="I758" s="59"/>
      <c r="J758" s="59"/>
      <c r="K758" s="61"/>
    </row>
    <row r="759" spans="2:11" ht="15" customHeight="1" x14ac:dyDescent="0.2">
      <c r="B759" s="57"/>
      <c r="C759" s="411" t="s">
        <v>369</v>
      </c>
      <c r="D759" s="411"/>
      <c r="E759" s="411"/>
      <c r="F759" s="411"/>
      <c r="G759" s="411"/>
      <c r="H759" s="411"/>
      <c r="I759" s="411"/>
      <c r="J759" s="411"/>
      <c r="K759" s="61"/>
    </row>
    <row r="760" spans="2:11" x14ac:dyDescent="0.2">
      <c r="B760" s="57"/>
      <c r="C760" s="411"/>
      <c r="D760" s="411"/>
      <c r="E760" s="411"/>
      <c r="F760" s="411"/>
      <c r="G760" s="411"/>
      <c r="H760" s="411"/>
      <c r="I760" s="411"/>
      <c r="J760" s="411"/>
      <c r="K760" s="61"/>
    </row>
    <row r="761" spans="2:11" x14ac:dyDescent="0.2">
      <c r="B761" s="57"/>
      <c r="C761" s="411"/>
      <c r="D761" s="411"/>
      <c r="E761" s="411"/>
      <c r="F761" s="411"/>
      <c r="G761" s="411"/>
      <c r="H761" s="411"/>
      <c r="I761" s="411"/>
      <c r="J761" s="411"/>
      <c r="K761" s="61"/>
    </row>
    <row r="762" spans="2:11" x14ac:dyDescent="0.2">
      <c r="B762" s="57"/>
      <c r="C762" s="196" t="s">
        <v>30</v>
      </c>
      <c r="D762" s="59"/>
      <c r="E762" s="59"/>
      <c r="F762" s="59"/>
      <c r="G762" s="431"/>
      <c r="H762" s="431"/>
      <c r="I762" s="59"/>
      <c r="J762" s="260" t="str">
        <f>IF(G762=$B$994,$A$994,IF(G762=$B$995,$A$995,"Not Calculated"))</f>
        <v>Not Calculated</v>
      </c>
      <c r="K762" s="61"/>
    </row>
    <row r="763" spans="2:11" x14ac:dyDescent="0.2">
      <c r="B763" s="57"/>
      <c r="C763" s="196" t="s">
        <v>32</v>
      </c>
      <c r="D763" s="59"/>
      <c r="E763" s="59"/>
      <c r="F763" s="59"/>
      <c r="G763" s="431"/>
      <c r="H763" s="431"/>
      <c r="I763" s="59"/>
      <c r="J763" s="260" t="str">
        <f t="shared" ref="J763:J770" si="3">IF(G763=$B$994,$A$994,IF(G763=$B$995,$A$995,"Not Calculated"))</f>
        <v>Not Calculated</v>
      </c>
      <c r="K763" s="61"/>
    </row>
    <row r="764" spans="2:11" ht="15" customHeight="1" x14ac:dyDescent="0.2">
      <c r="B764" s="57"/>
      <c r="C764" s="196" t="s">
        <v>34</v>
      </c>
      <c r="D764" s="59"/>
      <c r="E764" s="59"/>
      <c r="F764" s="59"/>
      <c r="G764" s="431"/>
      <c r="H764" s="431"/>
      <c r="I764" s="59"/>
      <c r="J764" s="260" t="str">
        <f t="shared" si="3"/>
        <v>Not Calculated</v>
      </c>
      <c r="K764" s="61"/>
    </row>
    <row r="765" spans="2:11" x14ac:dyDescent="0.2">
      <c r="B765" s="57"/>
      <c r="C765" s="196" t="s">
        <v>35</v>
      </c>
      <c r="D765" s="59"/>
      <c r="E765" s="59"/>
      <c r="F765" s="59"/>
      <c r="G765" s="431"/>
      <c r="H765" s="431"/>
      <c r="I765" s="59"/>
      <c r="J765" s="260" t="str">
        <f t="shared" si="3"/>
        <v>Not Calculated</v>
      </c>
      <c r="K765" s="61"/>
    </row>
    <row r="766" spans="2:11" x14ac:dyDescent="0.2">
      <c r="B766" s="57"/>
      <c r="C766" s="196" t="s">
        <v>37</v>
      </c>
      <c r="D766" s="59"/>
      <c r="E766" s="59"/>
      <c r="F766" s="59"/>
      <c r="G766" s="431"/>
      <c r="H766" s="431"/>
      <c r="I766" s="59"/>
      <c r="J766" s="260" t="str">
        <f t="shared" si="3"/>
        <v>Not Calculated</v>
      </c>
      <c r="K766" s="61"/>
    </row>
    <row r="767" spans="2:11" x14ac:dyDescent="0.2">
      <c r="B767" s="57"/>
      <c r="C767" s="196" t="s">
        <v>38</v>
      </c>
      <c r="D767" s="59"/>
      <c r="E767" s="59"/>
      <c r="F767" s="59"/>
      <c r="G767" s="431"/>
      <c r="H767" s="431"/>
      <c r="I767" s="59"/>
      <c r="J767" s="260" t="str">
        <f t="shared" si="3"/>
        <v>Not Calculated</v>
      </c>
      <c r="K767" s="61"/>
    </row>
    <row r="768" spans="2:11" x14ac:dyDescent="0.2">
      <c r="B768" s="57"/>
      <c r="C768" s="196" t="s">
        <v>40</v>
      </c>
      <c r="D768" s="59"/>
      <c r="E768" s="59"/>
      <c r="F768" s="59"/>
      <c r="G768" s="431"/>
      <c r="H768" s="431"/>
      <c r="I768" s="59"/>
      <c r="J768" s="260" t="str">
        <f t="shared" si="3"/>
        <v>Not Calculated</v>
      </c>
      <c r="K768" s="61"/>
    </row>
    <row r="769" spans="2:11" x14ac:dyDescent="0.2">
      <c r="B769" s="57"/>
      <c r="C769" s="196" t="s">
        <v>41</v>
      </c>
      <c r="D769" s="59"/>
      <c r="E769" s="59"/>
      <c r="F769" s="59"/>
      <c r="G769" s="431"/>
      <c r="H769" s="431"/>
      <c r="I769" s="59"/>
      <c r="J769" s="260" t="str">
        <f t="shared" si="3"/>
        <v>Not Calculated</v>
      </c>
      <c r="K769" s="61"/>
    </row>
    <row r="770" spans="2:11" x14ac:dyDescent="0.2">
      <c r="B770" s="57"/>
      <c r="C770" s="196" t="s">
        <v>43</v>
      </c>
      <c r="D770" s="59"/>
      <c r="E770" s="59"/>
      <c r="F770" s="59"/>
      <c r="G770" s="431"/>
      <c r="H770" s="431"/>
      <c r="I770" s="59"/>
      <c r="J770" s="260" t="str">
        <f t="shared" si="3"/>
        <v>Not Calculated</v>
      </c>
      <c r="K770" s="61"/>
    </row>
    <row r="771" spans="2:11" x14ac:dyDescent="0.2">
      <c r="B771" s="57"/>
      <c r="C771" s="59"/>
      <c r="D771" s="59"/>
      <c r="E771" s="59"/>
      <c r="F771" s="59"/>
      <c r="G771" s="59"/>
      <c r="H771" s="59"/>
      <c r="I771" s="59"/>
      <c r="J771" s="59"/>
      <c r="K771" s="61"/>
    </row>
    <row r="772" spans="2:11" x14ac:dyDescent="0.2">
      <c r="B772" s="57"/>
      <c r="C772" s="59"/>
      <c r="D772" s="59"/>
      <c r="E772" s="59"/>
      <c r="F772" s="59"/>
      <c r="G772" s="59"/>
      <c r="H772" s="59"/>
      <c r="I772" s="59"/>
      <c r="J772" s="59"/>
      <c r="K772" s="61"/>
    </row>
    <row r="773" spans="2:11" ht="16" x14ac:dyDescent="0.2">
      <c r="B773" s="57"/>
      <c r="C773" s="197" t="s">
        <v>30</v>
      </c>
      <c r="D773" s="59"/>
      <c r="E773" s="59"/>
      <c r="F773" s="59"/>
      <c r="G773" s="59"/>
      <c r="H773" s="59"/>
      <c r="I773" s="59"/>
      <c r="J773" s="59"/>
      <c r="K773" s="61"/>
    </row>
    <row r="774" spans="2:11" x14ac:dyDescent="0.2">
      <c r="B774" s="57"/>
      <c r="C774" s="59"/>
      <c r="D774" s="59" t="s">
        <v>370</v>
      </c>
      <c r="E774" s="59"/>
      <c r="F774" s="59"/>
      <c r="G774" s="59"/>
      <c r="H774" s="59"/>
      <c r="I774" s="59"/>
      <c r="J774" s="60">
        <f>'Baseline At-Risk Pops'!H8</f>
        <v>0</v>
      </c>
      <c r="K774" s="61"/>
    </row>
    <row r="775" spans="2:11" x14ac:dyDescent="0.2">
      <c r="B775" s="57"/>
      <c r="C775" s="59"/>
      <c r="D775" s="59" t="s">
        <v>371</v>
      </c>
      <c r="E775" s="59"/>
      <c r="F775" s="59"/>
      <c r="G775" s="59"/>
      <c r="H775" s="59"/>
      <c r="I775" s="59"/>
      <c r="J775" s="60">
        <f>SUM(J717,J732,J747,J762)</f>
        <v>0</v>
      </c>
      <c r="K775" s="61"/>
    </row>
    <row r="776" spans="2:11" x14ac:dyDescent="0.2">
      <c r="B776" s="57"/>
      <c r="C776" s="59"/>
      <c r="D776" s="196" t="s">
        <v>372</v>
      </c>
      <c r="E776" s="59"/>
      <c r="F776" s="59"/>
      <c r="G776" s="59"/>
      <c r="H776" s="59"/>
      <c r="I776" s="59"/>
      <c r="J776" s="60">
        <f>AVERAGE(J774,J775)</f>
        <v>0</v>
      </c>
      <c r="K776" s="61"/>
    </row>
    <row r="777" spans="2:11" ht="16" x14ac:dyDescent="0.2">
      <c r="B777" s="57"/>
      <c r="C777" s="197" t="s">
        <v>32</v>
      </c>
      <c r="D777" s="59"/>
      <c r="E777" s="59"/>
      <c r="F777" s="59"/>
      <c r="G777" s="59"/>
      <c r="H777" s="59"/>
      <c r="I777" s="59"/>
      <c r="J777" s="60"/>
      <c r="K777" s="61"/>
    </row>
    <row r="778" spans="2:11" x14ac:dyDescent="0.2">
      <c r="B778" s="57"/>
      <c r="C778" s="59"/>
      <c r="D778" s="59" t="s">
        <v>370</v>
      </c>
      <c r="E778" s="59"/>
      <c r="F778" s="59"/>
      <c r="G778" s="59"/>
      <c r="H778" s="59"/>
      <c r="I778" s="59"/>
      <c r="J778" s="60">
        <f>'Baseline At-Risk Pops'!H14</f>
        <v>0</v>
      </c>
      <c r="K778" s="61"/>
    </row>
    <row r="779" spans="2:11" ht="15" customHeight="1" x14ac:dyDescent="0.2">
      <c r="B779" s="57"/>
      <c r="C779" s="59"/>
      <c r="D779" s="59" t="s">
        <v>371</v>
      </c>
      <c r="E779" s="59"/>
      <c r="F779" s="59"/>
      <c r="G779" s="59"/>
      <c r="H779" s="59"/>
      <c r="I779" s="59"/>
      <c r="J779" s="60">
        <f>SUM(J718,J733,J748,J763)</f>
        <v>0</v>
      </c>
      <c r="K779" s="61"/>
    </row>
    <row r="780" spans="2:11" x14ac:dyDescent="0.2">
      <c r="B780" s="57"/>
      <c r="C780" s="59"/>
      <c r="D780" s="196" t="s">
        <v>372</v>
      </c>
      <c r="E780" s="59"/>
      <c r="F780" s="59"/>
      <c r="G780" s="59"/>
      <c r="H780" s="59"/>
      <c r="I780" s="59"/>
      <c r="J780" s="60">
        <f>AVERAGE(J778,J779)</f>
        <v>0</v>
      </c>
      <c r="K780" s="61"/>
    </row>
    <row r="781" spans="2:11" ht="16" x14ac:dyDescent="0.2">
      <c r="B781" s="57"/>
      <c r="C781" s="197" t="s">
        <v>34</v>
      </c>
      <c r="D781" s="59"/>
      <c r="E781" s="59"/>
      <c r="F781" s="59"/>
      <c r="G781" s="59"/>
      <c r="H781" s="59"/>
      <c r="I781" s="59"/>
      <c r="J781" s="60"/>
      <c r="K781" s="61"/>
    </row>
    <row r="782" spans="2:11" ht="16" x14ac:dyDescent="0.2">
      <c r="B782" s="57"/>
      <c r="C782" s="197"/>
      <c r="D782" s="59" t="s">
        <v>370</v>
      </c>
      <c r="E782" s="59"/>
      <c r="F782" s="59"/>
      <c r="G782" s="59"/>
      <c r="H782" s="59"/>
      <c r="I782" s="59"/>
      <c r="J782" s="60">
        <f>'Baseline At-Risk Pops'!H21</f>
        <v>0</v>
      </c>
      <c r="K782" s="61"/>
    </row>
    <row r="783" spans="2:11" x14ac:dyDescent="0.2">
      <c r="B783" s="57"/>
      <c r="C783" s="59"/>
      <c r="D783" s="59" t="s">
        <v>371</v>
      </c>
      <c r="E783" s="59"/>
      <c r="F783" s="59"/>
      <c r="G783" s="59"/>
      <c r="H783" s="59"/>
      <c r="I783" s="59"/>
      <c r="J783" s="60">
        <f>SUM(J719,J734,J749,J764)</f>
        <v>0</v>
      </c>
      <c r="K783" s="61"/>
    </row>
    <row r="784" spans="2:11" x14ac:dyDescent="0.2">
      <c r="B784" s="57"/>
      <c r="C784" s="59"/>
      <c r="D784" s="196" t="s">
        <v>372</v>
      </c>
      <c r="E784" s="59"/>
      <c r="F784" s="59"/>
      <c r="G784" s="59"/>
      <c r="H784" s="59"/>
      <c r="I784" s="59"/>
      <c r="J784" s="60">
        <f>AVERAGE(J782,J783)</f>
        <v>0</v>
      </c>
      <c r="K784" s="61"/>
    </row>
    <row r="785" spans="2:11" ht="16" x14ac:dyDescent="0.2">
      <c r="B785" s="57"/>
      <c r="C785" s="197" t="s">
        <v>35</v>
      </c>
      <c r="D785" s="59"/>
      <c r="E785" s="59"/>
      <c r="F785" s="59"/>
      <c r="G785" s="59"/>
      <c r="H785" s="59"/>
      <c r="I785" s="59"/>
      <c r="J785" s="60"/>
      <c r="K785" s="61"/>
    </row>
    <row r="786" spans="2:11" x14ac:dyDescent="0.2">
      <c r="B786" s="57"/>
      <c r="C786" s="59"/>
      <c r="D786" s="59" t="s">
        <v>370</v>
      </c>
      <c r="E786" s="59"/>
      <c r="F786" s="59"/>
      <c r="G786" s="59"/>
      <c r="H786" s="59"/>
      <c r="I786" s="59"/>
      <c r="J786" s="60">
        <f>'Baseline At-Risk Pops'!H27</f>
        <v>0</v>
      </c>
      <c r="K786" s="61"/>
    </row>
    <row r="787" spans="2:11" x14ac:dyDescent="0.2">
      <c r="B787" s="57"/>
      <c r="C787" s="59"/>
      <c r="D787" s="59" t="s">
        <v>371</v>
      </c>
      <c r="E787" s="59"/>
      <c r="F787" s="59"/>
      <c r="G787" s="59"/>
      <c r="H787" s="59"/>
      <c r="I787" s="59"/>
      <c r="J787" s="60">
        <f>SUM(J720,J735,J750,J765)</f>
        <v>0</v>
      </c>
      <c r="K787" s="61"/>
    </row>
    <row r="788" spans="2:11" x14ac:dyDescent="0.2">
      <c r="B788" s="57"/>
      <c r="C788" s="59"/>
      <c r="D788" s="196" t="s">
        <v>372</v>
      </c>
      <c r="E788" s="59"/>
      <c r="F788" s="59"/>
      <c r="G788" s="59"/>
      <c r="H788" s="59"/>
      <c r="I788" s="59"/>
      <c r="J788" s="60">
        <f>AVERAGE(J786,J787)</f>
        <v>0</v>
      </c>
      <c r="K788" s="61"/>
    </row>
    <row r="789" spans="2:11" ht="16" x14ac:dyDescent="0.2">
      <c r="B789" s="57"/>
      <c r="C789" s="197" t="s">
        <v>37</v>
      </c>
      <c r="D789" s="59"/>
      <c r="E789" s="59"/>
      <c r="F789" s="59"/>
      <c r="G789" s="59"/>
      <c r="H789" s="59"/>
      <c r="I789" s="59"/>
      <c r="J789" s="60"/>
      <c r="K789" s="61"/>
    </row>
    <row r="790" spans="2:11" x14ac:dyDescent="0.2">
      <c r="B790" s="57"/>
      <c r="C790" s="59"/>
      <c r="D790" s="59" t="s">
        <v>370</v>
      </c>
      <c r="E790" s="59"/>
      <c r="F790" s="59"/>
      <c r="G790" s="59"/>
      <c r="H790" s="59"/>
      <c r="I790" s="59"/>
      <c r="J790" s="60">
        <f>'Baseline At-Risk Pops'!H34</f>
        <v>0</v>
      </c>
      <c r="K790" s="61"/>
    </row>
    <row r="791" spans="2:11" x14ac:dyDescent="0.2">
      <c r="B791" s="57"/>
      <c r="C791" s="59"/>
      <c r="D791" s="59" t="s">
        <v>371</v>
      </c>
      <c r="E791" s="59"/>
      <c r="F791" s="59"/>
      <c r="G791" s="59"/>
      <c r="H791" s="59"/>
      <c r="I791" s="59"/>
      <c r="J791" s="60">
        <f>SUM(J721,J736,J751,J766)</f>
        <v>0</v>
      </c>
      <c r="K791" s="61"/>
    </row>
    <row r="792" spans="2:11" x14ac:dyDescent="0.2">
      <c r="B792" s="57"/>
      <c r="C792" s="59"/>
      <c r="D792" s="196" t="s">
        <v>372</v>
      </c>
      <c r="E792" s="59"/>
      <c r="F792" s="59"/>
      <c r="G792" s="59"/>
      <c r="H792" s="59"/>
      <c r="I792" s="59"/>
      <c r="J792" s="60">
        <f>AVERAGE(J790,J791)</f>
        <v>0</v>
      </c>
      <c r="K792" s="61"/>
    </row>
    <row r="793" spans="2:11" ht="16" x14ac:dyDescent="0.2">
      <c r="B793" s="57"/>
      <c r="C793" s="197" t="s">
        <v>38</v>
      </c>
      <c r="D793" s="59"/>
      <c r="E793" s="59"/>
      <c r="F793" s="59"/>
      <c r="G793" s="59"/>
      <c r="H793" s="59"/>
      <c r="I793" s="59"/>
      <c r="J793" s="60"/>
      <c r="K793" s="61"/>
    </row>
    <row r="794" spans="2:11" x14ac:dyDescent="0.2">
      <c r="B794" s="57"/>
      <c r="C794" s="59"/>
      <c r="D794" s="59" t="s">
        <v>370</v>
      </c>
      <c r="E794" s="59"/>
      <c r="F794" s="59"/>
      <c r="G794" s="59"/>
      <c r="H794" s="59"/>
      <c r="I794" s="59"/>
      <c r="J794" s="60">
        <f>'Baseline At-Risk Pops'!H40</f>
        <v>0</v>
      </c>
      <c r="K794" s="61"/>
    </row>
    <row r="795" spans="2:11" x14ac:dyDescent="0.2">
      <c r="B795" s="57"/>
      <c r="C795" s="59"/>
      <c r="D795" s="59" t="s">
        <v>371</v>
      </c>
      <c r="E795" s="59"/>
      <c r="F795" s="59"/>
      <c r="G795" s="59"/>
      <c r="H795" s="59"/>
      <c r="I795" s="59"/>
      <c r="J795" s="60">
        <f>SUM(J722,J737,J752,J767)</f>
        <v>0</v>
      </c>
      <c r="K795" s="61"/>
    </row>
    <row r="796" spans="2:11" x14ac:dyDescent="0.2">
      <c r="B796" s="57"/>
      <c r="C796" s="59"/>
      <c r="D796" s="196" t="s">
        <v>372</v>
      </c>
      <c r="E796" s="59"/>
      <c r="F796" s="59"/>
      <c r="G796" s="59"/>
      <c r="H796" s="59"/>
      <c r="I796" s="59"/>
      <c r="J796" s="60">
        <f>AVERAGE(J794,J795)</f>
        <v>0</v>
      </c>
      <c r="K796" s="61"/>
    </row>
    <row r="797" spans="2:11" ht="16" x14ac:dyDescent="0.2">
      <c r="B797" s="57"/>
      <c r="C797" s="197" t="s">
        <v>40</v>
      </c>
      <c r="D797" s="59"/>
      <c r="E797" s="59"/>
      <c r="F797" s="59"/>
      <c r="G797" s="59"/>
      <c r="H797" s="59"/>
      <c r="I797" s="59"/>
      <c r="J797" s="60"/>
      <c r="K797" s="61"/>
    </row>
    <row r="798" spans="2:11" x14ac:dyDescent="0.2">
      <c r="B798" s="57"/>
      <c r="C798" s="59"/>
      <c r="D798" s="59" t="s">
        <v>370</v>
      </c>
      <c r="E798" s="59"/>
      <c r="F798" s="59"/>
      <c r="G798" s="59"/>
      <c r="H798" s="59"/>
      <c r="I798" s="59"/>
      <c r="J798" s="60">
        <f>'Baseline At-Risk Pops'!H46</f>
        <v>0</v>
      </c>
      <c r="K798" s="61"/>
    </row>
    <row r="799" spans="2:11" x14ac:dyDescent="0.2">
      <c r="B799" s="57"/>
      <c r="C799" s="59"/>
      <c r="D799" s="59" t="s">
        <v>371</v>
      </c>
      <c r="E799" s="59"/>
      <c r="F799" s="59"/>
      <c r="G799" s="59"/>
      <c r="H799" s="59"/>
      <c r="I799" s="59"/>
      <c r="J799" s="60">
        <f>SUM(J723,J738,J753,J768)</f>
        <v>0</v>
      </c>
      <c r="K799" s="61"/>
    </row>
    <row r="800" spans="2:11" x14ac:dyDescent="0.2">
      <c r="B800" s="57"/>
      <c r="C800" s="59"/>
      <c r="D800" s="196" t="s">
        <v>372</v>
      </c>
      <c r="E800" s="59"/>
      <c r="F800" s="59"/>
      <c r="G800" s="59"/>
      <c r="H800" s="59"/>
      <c r="I800" s="59"/>
      <c r="J800" s="60">
        <f>AVERAGE(J798,J799)</f>
        <v>0</v>
      </c>
      <c r="K800" s="61"/>
    </row>
    <row r="801" spans="2:11" ht="16" x14ac:dyDescent="0.2">
      <c r="B801" s="57"/>
      <c r="C801" s="197" t="s">
        <v>41</v>
      </c>
      <c r="D801" s="59"/>
      <c r="E801" s="59"/>
      <c r="F801" s="59"/>
      <c r="G801" s="59"/>
      <c r="H801" s="59"/>
      <c r="I801" s="59"/>
      <c r="J801" s="60"/>
      <c r="K801" s="61"/>
    </row>
    <row r="802" spans="2:11" ht="16" x14ac:dyDescent="0.2">
      <c r="B802" s="57"/>
      <c r="C802" s="197"/>
      <c r="D802" s="59" t="s">
        <v>370</v>
      </c>
      <c r="E802" s="59"/>
      <c r="F802" s="59"/>
      <c r="G802" s="59"/>
      <c r="H802" s="59"/>
      <c r="I802" s="59"/>
      <c r="J802" s="60">
        <f>'Baseline At-Risk Pops'!H52</f>
        <v>0</v>
      </c>
      <c r="K802" s="61"/>
    </row>
    <row r="803" spans="2:11" x14ac:dyDescent="0.2">
      <c r="B803" s="57"/>
      <c r="C803" s="59"/>
      <c r="D803" s="59" t="s">
        <v>371</v>
      </c>
      <c r="E803" s="59"/>
      <c r="F803" s="59"/>
      <c r="G803" s="59"/>
      <c r="H803" s="59"/>
      <c r="I803" s="59"/>
      <c r="J803" s="60">
        <f>SUM(J724,J739,J754,J769)</f>
        <v>0</v>
      </c>
      <c r="K803" s="61"/>
    </row>
    <row r="804" spans="2:11" x14ac:dyDescent="0.2">
      <c r="B804" s="57"/>
      <c r="C804" s="59"/>
      <c r="D804" s="196" t="s">
        <v>372</v>
      </c>
      <c r="E804" s="59"/>
      <c r="F804" s="59"/>
      <c r="G804" s="59"/>
      <c r="H804" s="59"/>
      <c r="I804" s="59"/>
      <c r="J804" s="60">
        <f>AVERAGE(J802,J803)</f>
        <v>0</v>
      </c>
      <c r="K804" s="61"/>
    </row>
    <row r="805" spans="2:11" ht="16" x14ac:dyDescent="0.2">
      <c r="B805" s="57"/>
      <c r="C805" s="197" t="s">
        <v>43</v>
      </c>
      <c r="D805" s="59"/>
      <c r="E805" s="59"/>
      <c r="F805" s="59"/>
      <c r="G805" s="59"/>
      <c r="H805" s="59"/>
      <c r="I805" s="59"/>
      <c r="J805" s="60"/>
      <c r="K805" s="61"/>
    </row>
    <row r="806" spans="2:11" x14ac:dyDescent="0.2">
      <c r="B806" s="57"/>
      <c r="C806" s="59"/>
      <c r="D806" s="59" t="s">
        <v>370</v>
      </c>
      <c r="E806" s="59"/>
      <c r="F806" s="59"/>
      <c r="G806" s="59"/>
      <c r="H806" s="59"/>
      <c r="I806" s="59"/>
      <c r="J806" s="60">
        <f>'Baseline At-Risk Pops'!H58</f>
        <v>0</v>
      </c>
      <c r="K806" s="61"/>
    </row>
    <row r="807" spans="2:11" x14ac:dyDescent="0.2">
      <c r="B807" s="57"/>
      <c r="C807" s="59"/>
      <c r="D807" s="59" t="s">
        <v>371</v>
      </c>
      <c r="E807" s="59"/>
      <c r="F807" s="59"/>
      <c r="G807" s="59"/>
      <c r="H807" s="59"/>
      <c r="I807" s="59"/>
      <c r="J807" s="60">
        <f>SUM(J725,J740,J755,J770)</f>
        <v>0</v>
      </c>
      <c r="K807" s="61"/>
    </row>
    <row r="808" spans="2:11" x14ac:dyDescent="0.2">
      <c r="B808" s="57"/>
      <c r="C808" s="59"/>
      <c r="D808" s="196" t="s">
        <v>372</v>
      </c>
      <c r="E808" s="59"/>
      <c r="F808" s="59"/>
      <c r="G808" s="59"/>
      <c r="H808" s="59"/>
      <c r="I808" s="59"/>
      <c r="J808" s="60">
        <f>AVERAGE(J806,J807)</f>
        <v>0</v>
      </c>
      <c r="K808" s="61"/>
    </row>
    <row r="809" spans="2:11" x14ac:dyDescent="0.2">
      <c r="B809" s="57"/>
      <c r="C809" s="59"/>
      <c r="D809" s="59"/>
      <c r="E809" s="59"/>
      <c r="F809" s="59"/>
      <c r="G809" s="59"/>
      <c r="H809" s="59"/>
      <c r="I809" s="59"/>
      <c r="J809" s="59"/>
      <c r="K809" s="61"/>
    </row>
    <row r="810" spans="2:11" x14ac:dyDescent="0.2">
      <c r="B810" s="57"/>
      <c r="C810" s="59"/>
      <c r="D810" s="59"/>
      <c r="E810" s="59"/>
      <c r="F810" s="59"/>
      <c r="G810" s="59"/>
      <c r="H810" s="59"/>
      <c r="I810" s="59"/>
      <c r="J810" s="59"/>
      <c r="K810" s="61"/>
    </row>
    <row r="811" spans="2:11" ht="16" x14ac:dyDescent="0.2">
      <c r="B811" s="57"/>
      <c r="C811" s="198" t="s">
        <v>373</v>
      </c>
      <c r="D811" s="59"/>
      <c r="E811" s="59"/>
      <c r="F811" s="59"/>
      <c r="G811" s="59"/>
      <c r="H811" s="59"/>
      <c r="I811" s="59"/>
      <c r="J811" s="261">
        <f>AVERAGE(J776,J780,J784,J788,J792,J796,J800,J804,J808)</f>
        <v>0</v>
      </c>
      <c r="K811" s="61"/>
    </row>
    <row r="812" spans="2:11" ht="16" thickBot="1" x14ac:dyDescent="0.25">
      <c r="B812" s="73"/>
      <c r="C812" s="74"/>
      <c r="D812" s="74"/>
      <c r="E812" s="74"/>
      <c r="F812" s="74"/>
      <c r="G812" s="74"/>
      <c r="H812" s="74"/>
      <c r="I812" s="74"/>
      <c r="J812" s="74"/>
      <c r="K812" s="76"/>
    </row>
    <row r="813" spans="2:11" ht="16" thickBot="1" x14ac:dyDescent="0.25"/>
    <row r="814" spans="2:11" x14ac:dyDescent="0.2">
      <c r="B814" s="199"/>
      <c r="C814" s="200"/>
      <c r="D814" s="200"/>
      <c r="E814" s="200"/>
      <c r="F814" s="200"/>
      <c r="G814" s="200"/>
      <c r="H814" s="200"/>
      <c r="I814" s="200"/>
      <c r="J814" s="200"/>
      <c r="K814" s="201"/>
    </row>
    <row r="815" spans="2:11" ht="21" x14ac:dyDescent="0.25">
      <c r="B815" s="202"/>
      <c r="C815" s="203"/>
      <c r="D815" s="203"/>
      <c r="E815" s="203"/>
      <c r="F815" s="203"/>
      <c r="G815" s="204" t="s">
        <v>233</v>
      </c>
      <c r="H815" s="203"/>
      <c r="I815" s="203"/>
      <c r="J815" s="203"/>
      <c r="K815" s="205"/>
    </row>
    <row r="816" spans="2:11" x14ac:dyDescent="0.2">
      <c r="B816" s="202"/>
      <c r="C816" s="203"/>
      <c r="D816" s="203"/>
      <c r="E816" s="203"/>
      <c r="F816" s="203"/>
      <c r="G816" s="203"/>
      <c r="H816" s="203"/>
      <c r="I816" s="203"/>
      <c r="J816" s="203"/>
      <c r="K816" s="205"/>
    </row>
    <row r="817" spans="2:11" ht="16" x14ac:dyDescent="0.2">
      <c r="B817" s="202"/>
      <c r="C817" s="206" t="s">
        <v>992</v>
      </c>
      <c r="D817" s="203"/>
      <c r="E817" s="203"/>
      <c r="F817" s="203"/>
      <c r="G817" s="203"/>
      <c r="H817" s="203"/>
      <c r="I817" s="203"/>
      <c r="J817" s="262" t="str">
        <f>IF(J700="Not Calculated","Not Calculated",J700*(($J$811/4)+1))</f>
        <v>Not Calculated</v>
      </c>
      <c r="K817" s="205"/>
    </row>
    <row r="818" spans="2:11" x14ac:dyDescent="0.2">
      <c r="B818" s="202"/>
      <c r="C818" s="203"/>
      <c r="D818" s="203" t="s">
        <v>374</v>
      </c>
      <c r="E818" s="203"/>
      <c r="F818" s="203"/>
      <c r="G818" s="203"/>
      <c r="H818" s="203"/>
      <c r="I818" s="203"/>
      <c r="J818" s="203"/>
      <c r="K818" s="205"/>
    </row>
    <row r="819" spans="2:11" x14ac:dyDescent="0.2">
      <c r="B819" s="202"/>
      <c r="C819" s="203"/>
      <c r="D819" s="203"/>
      <c r="E819" s="203"/>
      <c r="F819" s="203"/>
      <c r="G819" s="203"/>
      <c r="H819" s="203"/>
      <c r="I819" s="203"/>
      <c r="J819" s="203"/>
      <c r="K819" s="205"/>
    </row>
    <row r="820" spans="2:11" ht="16" x14ac:dyDescent="0.2">
      <c r="B820" s="202"/>
      <c r="C820" s="206" t="s">
        <v>993</v>
      </c>
      <c r="D820" s="203"/>
      <c r="E820" s="203"/>
      <c r="F820" s="203"/>
      <c r="G820" s="203"/>
      <c r="H820" s="203"/>
      <c r="I820" s="203"/>
      <c r="J820" s="262" t="str">
        <f>IF(J703="Not Calculated","Not Calculated",J703*(($J$811/4)+1))</f>
        <v>Not Calculated</v>
      </c>
      <c r="K820" s="205"/>
    </row>
    <row r="821" spans="2:11" x14ac:dyDescent="0.2">
      <c r="B821" s="202"/>
      <c r="C821" s="203"/>
      <c r="D821" s="203" t="s">
        <v>375</v>
      </c>
      <c r="E821" s="203"/>
      <c r="F821" s="203"/>
      <c r="G821" s="203"/>
      <c r="H821" s="203"/>
      <c r="I821" s="203"/>
      <c r="J821" s="203"/>
      <c r="K821" s="205"/>
    </row>
    <row r="822" spans="2:11" x14ac:dyDescent="0.2">
      <c r="B822" s="202"/>
      <c r="C822" s="203"/>
      <c r="D822" s="203"/>
      <c r="E822" s="203"/>
      <c r="F822" s="203"/>
      <c r="G822" s="203"/>
      <c r="H822" s="203"/>
      <c r="I822" s="203"/>
      <c r="J822" s="203"/>
      <c r="K822" s="205"/>
    </row>
    <row r="823" spans="2:11" ht="16" x14ac:dyDescent="0.2">
      <c r="B823" s="202"/>
      <c r="C823" s="206" t="s">
        <v>994</v>
      </c>
      <c r="D823" s="203"/>
      <c r="E823" s="203"/>
      <c r="F823" s="203"/>
      <c r="G823" s="203"/>
      <c r="H823" s="203"/>
      <c r="I823" s="203"/>
      <c r="J823" s="262" t="str">
        <f>IF(J706="Not Calculated","Not Calculated",J706*(($J$811/4)+1))</f>
        <v>Not Calculated</v>
      </c>
      <c r="K823" s="205"/>
    </row>
    <row r="824" spans="2:11" x14ac:dyDescent="0.2">
      <c r="B824" s="202"/>
      <c r="C824" s="203"/>
      <c r="D824" s="203" t="s">
        <v>376</v>
      </c>
      <c r="E824" s="203"/>
      <c r="F824" s="203"/>
      <c r="G824" s="203"/>
      <c r="H824" s="203"/>
      <c r="I824" s="203"/>
      <c r="J824" s="203"/>
      <c r="K824" s="205"/>
    </row>
    <row r="825" spans="2:11" ht="16" thickBot="1" x14ac:dyDescent="0.25">
      <c r="B825" s="207"/>
      <c r="C825" s="208"/>
      <c r="D825" s="208"/>
      <c r="E825" s="208"/>
      <c r="F825" s="208"/>
      <c r="G825" s="208"/>
      <c r="H825" s="208"/>
      <c r="I825" s="208"/>
      <c r="J825" s="208"/>
      <c r="K825" s="209"/>
    </row>
    <row r="826" spans="2:11" ht="16" thickBot="1" x14ac:dyDescent="0.25"/>
    <row r="827" spans="2:11" x14ac:dyDescent="0.2">
      <c r="B827" s="77"/>
      <c r="C827" s="78"/>
      <c r="D827" s="78"/>
      <c r="E827" s="78"/>
      <c r="F827" s="78"/>
      <c r="G827" s="78"/>
      <c r="H827" s="78"/>
      <c r="I827" s="78"/>
      <c r="J827" s="78"/>
      <c r="K827" s="80"/>
    </row>
    <row r="828" spans="2:11" ht="21" x14ac:dyDescent="0.25">
      <c r="B828" s="81"/>
      <c r="C828" s="85"/>
      <c r="D828" s="85"/>
      <c r="E828" s="85"/>
      <c r="F828" s="85"/>
      <c r="G828" s="210" t="s">
        <v>806</v>
      </c>
      <c r="H828" s="85"/>
      <c r="I828" s="85"/>
      <c r="J828" s="85"/>
      <c r="K828" s="87"/>
    </row>
    <row r="829" spans="2:11" x14ac:dyDescent="0.2">
      <c r="B829" s="81"/>
      <c r="C829" s="85"/>
      <c r="D829" s="85"/>
      <c r="E829" s="85"/>
      <c r="F829" s="85"/>
      <c r="G829" s="85"/>
      <c r="H829" s="85"/>
      <c r="I829" s="85"/>
      <c r="J829" s="85"/>
      <c r="K829" s="87"/>
    </row>
    <row r="830" spans="2:11" ht="15" customHeight="1" x14ac:dyDescent="0.2">
      <c r="B830" s="81"/>
      <c r="C830" s="424" t="s">
        <v>808</v>
      </c>
      <c r="D830" s="424"/>
      <c r="E830" s="424"/>
      <c r="F830" s="424"/>
      <c r="G830" s="424"/>
      <c r="H830" s="424"/>
      <c r="I830" s="424"/>
      <c r="J830" s="424"/>
      <c r="K830" s="87"/>
    </row>
    <row r="831" spans="2:11" x14ac:dyDescent="0.2">
      <c r="B831" s="81"/>
      <c r="C831" s="424"/>
      <c r="D831" s="424"/>
      <c r="E831" s="424"/>
      <c r="F831" s="424"/>
      <c r="G831" s="424"/>
      <c r="H831" s="424"/>
      <c r="I831" s="424"/>
      <c r="J831" s="424"/>
      <c r="K831" s="87"/>
    </row>
    <row r="832" spans="2:11" x14ac:dyDescent="0.2">
      <c r="B832" s="81"/>
      <c r="C832" s="85"/>
      <c r="D832" s="85"/>
      <c r="E832" s="85"/>
      <c r="F832" s="85"/>
      <c r="G832" s="85"/>
      <c r="H832" s="85"/>
      <c r="I832" s="85"/>
      <c r="J832" s="85"/>
      <c r="K832" s="87"/>
    </row>
    <row r="833" spans="2:11" ht="16" x14ac:dyDescent="0.2">
      <c r="B833" s="81"/>
      <c r="C833" s="211" t="s">
        <v>654</v>
      </c>
      <c r="D833" s="85"/>
      <c r="E833" s="85"/>
      <c r="F833" s="85"/>
      <c r="G833" s="85"/>
      <c r="H833" s="85"/>
      <c r="I833" s="85"/>
      <c r="J833" s="85"/>
      <c r="K833" s="87"/>
    </row>
    <row r="834" spans="2:11" x14ac:dyDescent="0.2">
      <c r="B834" s="81"/>
      <c r="C834" s="85" t="s">
        <v>380</v>
      </c>
      <c r="D834" s="85"/>
      <c r="E834" s="85"/>
      <c r="F834" s="85"/>
      <c r="G834" s="406"/>
      <c r="H834" s="407"/>
      <c r="I834" s="85"/>
      <c r="J834" s="83" t="str">
        <f>IF(G834=$B$998,$A$998,IF(G834=$B$999,$A$999,IF(G834=$B$1000,$A$1000,IF(G834=$B$1001,$A$1001,IF(G834=$B$1002,$A$1002,"Not Calculated")))))</f>
        <v>Not Calculated</v>
      </c>
      <c r="K834" s="87"/>
    </row>
    <row r="835" spans="2:11" x14ac:dyDescent="0.2">
      <c r="B835" s="81"/>
      <c r="C835" s="85" t="s">
        <v>134</v>
      </c>
      <c r="D835" s="85"/>
      <c r="E835" s="85"/>
      <c r="F835" s="85"/>
      <c r="G835" s="85"/>
      <c r="H835" s="85"/>
      <c r="I835" s="85"/>
      <c r="J835" s="240">
        <f>'Baseline PHP'!J16</f>
        <v>0</v>
      </c>
      <c r="K835" s="87"/>
    </row>
    <row r="836" spans="2:11" x14ac:dyDescent="0.2">
      <c r="B836" s="81"/>
      <c r="C836" s="85"/>
      <c r="D836" s="85"/>
      <c r="E836" s="85"/>
      <c r="F836" s="85"/>
      <c r="G836" s="85"/>
      <c r="H836" s="85"/>
      <c r="I836" s="85"/>
      <c r="J836" s="85"/>
      <c r="K836" s="87"/>
    </row>
    <row r="837" spans="2:11" ht="16" x14ac:dyDescent="0.2">
      <c r="B837" s="81"/>
      <c r="C837" s="211" t="s">
        <v>655</v>
      </c>
      <c r="D837" s="85"/>
      <c r="E837" s="85"/>
      <c r="F837" s="85"/>
      <c r="G837" s="85"/>
      <c r="H837" s="85"/>
      <c r="I837" s="85"/>
      <c r="J837" s="85"/>
      <c r="K837" s="87"/>
    </row>
    <row r="838" spans="2:11" x14ac:dyDescent="0.2">
      <c r="B838" s="81"/>
      <c r="C838" s="85" t="s">
        <v>380</v>
      </c>
      <c r="D838" s="85"/>
      <c r="E838" s="85"/>
      <c r="F838" s="85"/>
      <c r="G838" s="406"/>
      <c r="H838" s="407"/>
      <c r="I838" s="85"/>
      <c r="J838" s="83" t="str">
        <f>IF(G838=$B$998,$A$998,IF(G838=$B$999,$A$999,IF(G838=$B$1000,$A$1000,IF(G838=$B$1001,$A$1001,IF(G838=$B$1002,$A$1002,"Not Calculated")))))</f>
        <v>Not Calculated</v>
      </c>
      <c r="K838" s="87"/>
    </row>
    <row r="839" spans="2:11" x14ac:dyDescent="0.2">
      <c r="B839" s="81"/>
      <c r="C839" s="85" t="s">
        <v>134</v>
      </c>
      <c r="D839" s="85"/>
      <c r="E839" s="85"/>
      <c r="F839" s="85"/>
      <c r="G839" s="85"/>
      <c r="H839" s="85"/>
      <c r="I839" s="85"/>
      <c r="J839" s="240">
        <f>'Baseline PHP'!J28</f>
        <v>0</v>
      </c>
      <c r="K839" s="87"/>
    </row>
    <row r="840" spans="2:11" x14ac:dyDescent="0.2">
      <c r="B840" s="81"/>
      <c r="C840" s="85"/>
      <c r="D840" s="85"/>
      <c r="E840" s="85"/>
      <c r="F840" s="85"/>
      <c r="G840" s="85"/>
      <c r="H840" s="85"/>
      <c r="I840" s="85"/>
      <c r="J840" s="85"/>
      <c r="K840" s="87"/>
    </row>
    <row r="841" spans="2:11" ht="16" x14ac:dyDescent="0.2">
      <c r="B841" s="81"/>
      <c r="C841" s="211" t="s">
        <v>645</v>
      </c>
      <c r="D841" s="85"/>
      <c r="E841" s="85"/>
      <c r="F841" s="85"/>
      <c r="G841" s="85"/>
      <c r="H841" s="85"/>
      <c r="I841" s="85"/>
      <c r="J841" s="85"/>
      <c r="K841" s="87"/>
    </row>
    <row r="842" spans="2:11" x14ac:dyDescent="0.2">
      <c r="B842" s="81"/>
      <c r="C842" s="85" t="s">
        <v>380</v>
      </c>
      <c r="D842" s="85"/>
      <c r="E842" s="85"/>
      <c r="F842" s="85"/>
      <c r="G842" s="406"/>
      <c r="H842" s="407"/>
      <c r="I842" s="85"/>
      <c r="J842" s="83" t="str">
        <f>IF(G842=$B$998,$A$998,IF(G842=$B$999,$A$999,IF(G842=$B$1000,$A$1000,IF(G842=$B$1001,$A$1001,IF(G842=$B$1002,$A$1002,"Not Calculated")))))</f>
        <v>Not Calculated</v>
      </c>
      <c r="K842" s="87"/>
    </row>
    <row r="843" spans="2:11" x14ac:dyDescent="0.2">
      <c r="B843" s="81"/>
      <c r="C843" s="85" t="s">
        <v>134</v>
      </c>
      <c r="D843" s="85"/>
      <c r="E843" s="85"/>
      <c r="F843" s="85"/>
      <c r="G843" s="85"/>
      <c r="H843" s="85"/>
      <c r="I843" s="85"/>
      <c r="J843" s="240">
        <f>'Baseline PHP'!J44</f>
        <v>0</v>
      </c>
      <c r="K843" s="87"/>
    </row>
    <row r="844" spans="2:11" x14ac:dyDescent="0.2">
      <c r="B844" s="81"/>
      <c r="C844" s="85"/>
      <c r="D844" s="85"/>
      <c r="E844" s="85"/>
      <c r="F844" s="85"/>
      <c r="G844" s="85"/>
      <c r="H844" s="85"/>
      <c r="I844" s="85"/>
      <c r="J844" s="85"/>
      <c r="K844" s="87"/>
    </row>
    <row r="845" spans="2:11" ht="16" x14ac:dyDescent="0.2">
      <c r="B845" s="81"/>
      <c r="C845" s="211" t="s">
        <v>646</v>
      </c>
      <c r="D845" s="85"/>
      <c r="E845" s="85"/>
      <c r="F845" s="85"/>
      <c r="G845" s="85"/>
      <c r="H845" s="85"/>
      <c r="I845" s="85"/>
      <c r="J845" s="85"/>
      <c r="K845" s="87"/>
    </row>
    <row r="846" spans="2:11" x14ac:dyDescent="0.2">
      <c r="B846" s="81"/>
      <c r="C846" s="85" t="s">
        <v>380</v>
      </c>
      <c r="D846" s="85"/>
      <c r="E846" s="85"/>
      <c r="F846" s="85"/>
      <c r="G846" s="406"/>
      <c r="H846" s="407"/>
      <c r="I846" s="85"/>
      <c r="J846" s="83" t="str">
        <f>IF(G846=$B$998,$A$998,IF(G846=$B$999,$A$999,IF(G846=$B$1000,$A$1000,IF(G846=$B$1001,$A$1001,IF(G846=$B$1002,$A$1002,"Not Calculated")))))</f>
        <v>Not Calculated</v>
      </c>
      <c r="K846" s="87"/>
    </row>
    <row r="847" spans="2:11" x14ac:dyDescent="0.2">
      <c r="B847" s="81"/>
      <c r="C847" s="85" t="s">
        <v>134</v>
      </c>
      <c r="D847" s="85"/>
      <c r="E847" s="85"/>
      <c r="F847" s="85"/>
      <c r="G847" s="85"/>
      <c r="H847" s="85"/>
      <c r="I847" s="85"/>
      <c r="J847" s="240">
        <f>'Baseline PHP'!J60</f>
        <v>0</v>
      </c>
      <c r="K847" s="87"/>
    </row>
    <row r="848" spans="2:11" x14ac:dyDescent="0.2">
      <c r="B848" s="81"/>
      <c r="C848" s="85"/>
      <c r="D848" s="85"/>
      <c r="E848" s="85"/>
      <c r="F848" s="85"/>
      <c r="G848" s="85"/>
      <c r="H848" s="85"/>
      <c r="I848" s="85"/>
      <c r="J848" s="85"/>
      <c r="K848" s="87"/>
    </row>
    <row r="849" spans="2:11" ht="16" x14ac:dyDescent="0.2">
      <c r="B849" s="81"/>
      <c r="C849" s="211" t="s">
        <v>648</v>
      </c>
      <c r="D849" s="85"/>
      <c r="E849" s="85"/>
      <c r="F849" s="85"/>
      <c r="G849" s="85"/>
      <c r="H849" s="85"/>
      <c r="I849" s="85"/>
      <c r="J849" s="85"/>
      <c r="K849" s="87"/>
    </row>
    <row r="850" spans="2:11" ht="15" customHeight="1" x14ac:dyDescent="0.2">
      <c r="B850" s="81"/>
      <c r="C850" s="85" t="s">
        <v>380</v>
      </c>
      <c r="D850" s="85"/>
      <c r="E850" s="85"/>
      <c r="F850" s="85"/>
      <c r="G850" s="406"/>
      <c r="H850" s="407"/>
      <c r="I850" s="85"/>
      <c r="J850" s="83" t="str">
        <f>IF(G850=$B$998,$A$998,IF(G850=$B$999,$A$999,IF(G850=$B$1000,$A$1000,IF(G850=$B$1001,$A$1001,IF(G850=$B$1002,$A$1002,"Not Calculated")))))</f>
        <v>Not Calculated</v>
      </c>
      <c r="K850" s="87"/>
    </row>
    <row r="851" spans="2:11" x14ac:dyDescent="0.2">
      <c r="B851" s="81"/>
      <c r="C851" s="85" t="s">
        <v>134</v>
      </c>
      <c r="D851" s="85"/>
      <c r="E851" s="85"/>
      <c r="F851" s="85"/>
      <c r="G851" s="85"/>
      <c r="H851" s="85"/>
      <c r="I851" s="85"/>
      <c r="J851" s="240">
        <f>'Baseline PHP'!J76</f>
        <v>0</v>
      </c>
      <c r="K851" s="87"/>
    </row>
    <row r="852" spans="2:11" x14ac:dyDescent="0.2">
      <c r="B852" s="81"/>
      <c r="C852" s="85"/>
      <c r="D852" s="85"/>
      <c r="E852" s="85"/>
      <c r="F852" s="85"/>
      <c r="G852" s="85"/>
      <c r="H852" s="85"/>
      <c r="I852" s="85"/>
      <c r="J852" s="85"/>
      <c r="K852" s="87"/>
    </row>
    <row r="853" spans="2:11" ht="16" x14ac:dyDescent="0.2">
      <c r="B853" s="81"/>
      <c r="C853" s="211" t="s">
        <v>647</v>
      </c>
      <c r="D853" s="85"/>
      <c r="E853" s="85"/>
      <c r="F853" s="85"/>
      <c r="G853" s="85"/>
      <c r="H853" s="85"/>
      <c r="I853" s="85"/>
      <c r="J853" s="85"/>
      <c r="K853" s="87"/>
    </row>
    <row r="854" spans="2:11" x14ac:dyDescent="0.2">
      <c r="B854" s="81"/>
      <c r="C854" s="85" t="s">
        <v>380</v>
      </c>
      <c r="D854" s="85"/>
      <c r="E854" s="85"/>
      <c r="F854" s="85"/>
      <c r="G854" s="406"/>
      <c r="H854" s="407"/>
      <c r="I854" s="85"/>
      <c r="J854" s="83" t="str">
        <f>IF(G854=$B$998,$A$998,IF(G854=$B$999,$A$999,IF(G854=$B$1000,$A$1000,IF(G854=$B$1001,$A$1001,IF(G854=$B$1002,$A$1002,"Not Calculated")))))</f>
        <v>Not Calculated</v>
      </c>
      <c r="K854" s="87"/>
    </row>
    <row r="855" spans="2:11" x14ac:dyDescent="0.2">
      <c r="B855" s="81"/>
      <c r="C855" s="85" t="s">
        <v>134</v>
      </c>
      <c r="D855" s="85"/>
      <c r="E855" s="85"/>
      <c r="F855" s="85"/>
      <c r="G855" s="85"/>
      <c r="H855" s="85"/>
      <c r="I855" s="85"/>
      <c r="J855" s="240">
        <f>'Baseline PHP'!J88</f>
        <v>0</v>
      </c>
      <c r="K855" s="87"/>
    </row>
    <row r="856" spans="2:11" x14ac:dyDescent="0.2">
      <c r="B856" s="81"/>
      <c r="C856" s="85"/>
      <c r="D856" s="85"/>
      <c r="E856" s="85"/>
      <c r="F856" s="85"/>
      <c r="G856" s="85"/>
      <c r="H856" s="85"/>
      <c r="I856" s="85"/>
      <c r="J856" s="85"/>
      <c r="K856" s="87"/>
    </row>
    <row r="857" spans="2:11" ht="16" x14ac:dyDescent="0.2">
      <c r="B857" s="81"/>
      <c r="C857" s="211" t="s">
        <v>115</v>
      </c>
      <c r="D857" s="85"/>
      <c r="E857" s="85"/>
      <c r="F857" s="85"/>
      <c r="G857" s="85"/>
      <c r="H857" s="85"/>
      <c r="I857" s="85"/>
      <c r="J857" s="85"/>
      <c r="K857" s="87"/>
    </row>
    <row r="858" spans="2:11" x14ac:dyDescent="0.2">
      <c r="B858" s="81"/>
      <c r="C858" s="85" t="s">
        <v>380</v>
      </c>
      <c r="D858" s="85"/>
      <c r="E858" s="85"/>
      <c r="F858" s="85"/>
      <c r="G858" s="406"/>
      <c r="H858" s="407"/>
      <c r="I858" s="85"/>
      <c r="J858" s="83" t="str">
        <f>IF(G858=$B$998,$A$998,IF(G858=$B$999,$A$999,IF(G858=$B$1000,$A$1000,IF(G858=$B$1001,$A$1001,IF(G858=$B$1002,$A$1002,"Not Calculated")))))</f>
        <v>Not Calculated</v>
      </c>
      <c r="K858" s="87"/>
    </row>
    <row r="859" spans="2:11" x14ac:dyDescent="0.2">
      <c r="B859" s="81"/>
      <c r="C859" s="85" t="s">
        <v>134</v>
      </c>
      <c r="D859" s="85"/>
      <c r="E859" s="85"/>
      <c r="F859" s="85"/>
      <c r="G859" s="85"/>
      <c r="H859" s="85"/>
      <c r="I859" s="85"/>
      <c r="J859" s="240">
        <f>'Baseline PHP'!J102</f>
        <v>0</v>
      </c>
      <c r="K859" s="87"/>
    </row>
    <row r="860" spans="2:11" x14ac:dyDescent="0.2">
      <c r="B860" s="81"/>
      <c r="C860" s="85"/>
      <c r="D860" s="85"/>
      <c r="E860" s="85"/>
      <c r="F860" s="85"/>
      <c r="G860" s="85"/>
      <c r="H860" s="85"/>
      <c r="I860" s="85"/>
      <c r="J860" s="85"/>
      <c r="K860" s="87"/>
    </row>
    <row r="861" spans="2:11" ht="16" x14ac:dyDescent="0.2">
      <c r="B861" s="81"/>
      <c r="C861" s="211" t="s">
        <v>649</v>
      </c>
      <c r="D861" s="85"/>
      <c r="E861" s="85"/>
      <c r="F861" s="85"/>
      <c r="G861" s="85"/>
      <c r="H861" s="85"/>
      <c r="I861" s="85"/>
      <c r="J861" s="85"/>
      <c r="K861" s="87"/>
    </row>
    <row r="862" spans="2:11" x14ac:dyDescent="0.2">
      <c r="B862" s="81"/>
      <c r="C862" s="85" t="s">
        <v>380</v>
      </c>
      <c r="D862" s="85"/>
      <c r="E862" s="85"/>
      <c r="F862" s="85"/>
      <c r="G862" s="406"/>
      <c r="H862" s="407"/>
      <c r="I862" s="85"/>
      <c r="J862" s="83" t="str">
        <f>IF(G862=$B$998,$A$998,IF(G862=$B$999,$A$999,IF(G862=$B$1000,$A$1000,IF(G862=$B$1001,$A$1001,IF(G862=$B$1002,$A$1002,"Not Calculated")))))</f>
        <v>Not Calculated</v>
      </c>
      <c r="K862" s="87"/>
    </row>
    <row r="863" spans="2:11" x14ac:dyDescent="0.2">
      <c r="B863" s="81"/>
      <c r="C863" s="85" t="s">
        <v>134</v>
      </c>
      <c r="D863" s="85"/>
      <c r="E863" s="85"/>
      <c r="F863" s="85"/>
      <c r="G863" s="85"/>
      <c r="H863" s="85"/>
      <c r="I863" s="85"/>
      <c r="J863" s="240">
        <f>'Baseline PHP'!J118</f>
        <v>0</v>
      </c>
      <c r="K863" s="87"/>
    </row>
    <row r="864" spans="2:11" x14ac:dyDescent="0.2">
      <c r="B864" s="81"/>
      <c r="C864" s="85"/>
      <c r="D864" s="85"/>
      <c r="E864" s="85"/>
      <c r="F864" s="85"/>
      <c r="G864" s="85"/>
      <c r="H864" s="85"/>
      <c r="I864" s="85"/>
      <c r="J864" s="85"/>
      <c r="K864" s="87"/>
    </row>
    <row r="865" spans="2:11" ht="16" x14ac:dyDescent="0.2">
      <c r="B865" s="81"/>
      <c r="C865" s="211" t="s">
        <v>656</v>
      </c>
      <c r="D865" s="85"/>
      <c r="E865" s="85"/>
      <c r="F865" s="85"/>
      <c r="G865" s="85"/>
      <c r="H865" s="85"/>
      <c r="I865" s="85"/>
      <c r="J865" s="85"/>
      <c r="K865" s="87"/>
    </row>
    <row r="866" spans="2:11" x14ac:dyDescent="0.2">
      <c r="B866" s="81"/>
      <c r="C866" s="85" t="s">
        <v>380</v>
      </c>
      <c r="D866" s="85"/>
      <c r="E866" s="85"/>
      <c r="F866" s="85"/>
      <c r="G866" s="406"/>
      <c r="H866" s="407"/>
      <c r="I866" s="85"/>
      <c r="J866" s="83" t="str">
        <f>IF(G866=$B$998,$A$998,IF(G866=$B$999,$A$999,IF(G866=$B$1000,$A$1000,IF(G866=$B$1001,$A$1001,IF(G866=$B$1002,$A$1002,"Not Calculated")))))</f>
        <v>Not Calculated</v>
      </c>
      <c r="K866" s="87"/>
    </row>
    <row r="867" spans="2:11" x14ac:dyDescent="0.2">
      <c r="B867" s="81"/>
      <c r="C867" s="85" t="s">
        <v>134</v>
      </c>
      <c r="D867" s="85"/>
      <c r="E867" s="85"/>
      <c r="F867" s="85"/>
      <c r="G867" s="85"/>
      <c r="H867" s="85"/>
      <c r="I867" s="85"/>
      <c r="J867" s="240">
        <f>'Baseline PHP'!J136</f>
        <v>0</v>
      </c>
      <c r="K867" s="87"/>
    </row>
    <row r="868" spans="2:11" x14ac:dyDescent="0.2">
      <c r="B868" s="81"/>
      <c r="C868" s="85"/>
      <c r="D868" s="85"/>
      <c r="E868" s="85"/>
      <c r="F868" s="85"/>
      <c r="G868" s="85"/>
      <c r="H868" s="85"/>
      <c r="I868" s="85"/>
      <c r="J868" s="85"/>
      <c r="K868" s="87"/>
    </row>
    <row r="869" spans="2:11" ht="16" x14ac:dyDescent="0.2">
      <c r="B869" s="81"/>
      <c r="C869" s="211" t="s">
        <v>121</v>
      </c>
      <c r="D869" s="85"/>
      <c r="E869" s="85"/>
      <c r="F869" s="85"/>
      <c r="G869" s="85"/>
      <c r="H869" s="85"/>
      <c r="I869" s="85"/>
      <c r="J869" s="85"/>
      <c r="K869" s="87"/>
    </row>
    <row r="870" spans="2:11" x14ac:dyDescent="0.2">
      <c r="B870" s="81"/>
      <c r="C870" s="85" t="s">
        <v>380</v>
      </c>
      <c r="D870" s="85"/>
      <c r="E870" s="85"/>
      <c r="F870" s="85"/>
      <c r="G870" s="406"/>
      <c r="H870" s="407"/>
      <c r="I870" s="85"/>
      <c r="J870" s="83" t="str">
        <f>IF(G870=$B$998,$A$998,IF(G870=$B$999,$A$999,IF(G870=$B$1000,$A$1000,IF(G870=$B$1001,$A$1001,IF(G870=$B$1002,$A$1002,"Not Calculated")))))</f>
        <v>Not Calculated</v>
      </c>
      <c r="K870" s="87"/>
    </row>
    <row r="871" spans="2:11" x14ac:dyDescent="0.2">
      <c r="B871" s="81"/>
      <c r="C871" s="85" t="s">
        <v>134</v>
      </c>
      <c r="D871" s="85"/>
      <c r="E871" s="85"/>
      <c r="F871" s="85"/>
      <c r="G871" s="85"/>
      <c r="H871" s="85"/>
      <c r="I871" s="85"/>
      <c r="J871" s="240">
        <f>'Baseline PHP'!J150</f>
        <v>0</v>
      </c>
      <c r="K871" s="87"/>
    </row>
    <row r="872" spans="2:11" x14ac:dyDescent="0.2">
      <c r="B872" s="81"/>
      <c r="C872" s="85"/>
      <c r="D872" s="85"/>
      <c r="E872" s="85"/>
      <c r="F872" s="85"/>
      <c r="G872" s="85"/>
      <c r="H872" s="85"/>
      <c r="I872" s="85"/>
      <c r="J872" s="85"/>
      <c r="K872" s="87"/>
    </row>
    <row r="873" spans="2:11" ht="16" x14ac:dyDescent="0.2">
      <c r="B873" s="81"/>
      <c r="C873" s="211" t="s">
        <v>657</v>
      </c>
      <c r="D873" s="85"/>
      <c r="E873" s="85"/>
      <c r="F873" s="85"/>
      <c r="G873" s="85"/>
      <c r="H873" s="85"/>
      <c r="I873" s="85"/>
      <c r="J873" s="85"/>
      <c r="K873" s="87"/>
    </row>
    <row r="874" spans="2:11" x14ac:dyDescent="0.2">
      <c r="B874" s="81"/>
      <c r="C874" s="85" t="s">
        <v>380</v>
      </c>
      <c r="D874" s="85"/>
      <c r="E874" s="85"/>
      <c r="F874" s="85"/>
      <c r="G874" s="406"/>
      <c r="H874" s="407"/>
      <c r="I874" s="85"/>
      <c r="J874" s="83" t="str">
        <f>IF(G874=$B$998,$A$998,IF(G874=$B$999,$A$999,IF(G874=$B$1000,$A$1000,IF(G874=$B$1001,$A$1001,IF(G874=$B$1002,$A$1002,"Not Calculated")))))</f>
        <v>Not Calculated</v>
      </c>
      <c r="K874" s="87"/>
    </row>
    <row r="875" spans="2:11" x14ac:dyDescent="0.2">
      <c r="B875" s="81"/>
      <c r="C875" s="85" t="s">
        <v>134</v>
      </c>
      <c r="D875" s="85"/>
      <c r="E875" s="85"/>
      <c r="F875" s="85"/>
      <c r="G875" s="85"/>
      <c r="H875" s="85"/>
      <c r="I875" s="85"/>
      <c r="J875" s="240">
        <f>'Baseline PHP'!J164</f>
        <v>0</v>
      </c>
      <c r="K875" s="87"/>
    </row>
    <row r="876" spans="2:11" x14ac:dyDescent="0.2">
      <c r="B876" s="81"/>
      <c r="C876" s="85"/>
      <c r="D876" s="85"/>
      <c r="E876" s="85"/>
      <c r="F876" s="85"/>
      <c r="G876" s="85"/>
      <c r="H876" s="85"/>
      <c r="I876" s="85"/>
      <c r="J876" s="85"/>
      <c r="K876" s="87"/>
    </row>
    <row r="877" spans="2:11" ht="16" x14ac:dyDescent="0.2">
      <c r="B877" s="81"/>
      <c r="C877" s="211" t="s">
        <v>650</v>
      </c>
      <c r="D877" s="85"/>
      <c r="E877" s="85"/>
      <c r="F877" s="85"/>
      <c r="G877" s="85"/>
      <c r="H877" s="85"/>
      <c r="I877" s="85"/>
      <c r="J877" s="85"/>
      <c r="K877" s="87"/>
    </row>
    <row r="878" spans="2:11" x14ac:dyDescent="0.2">
      <c r="B878" s="81"/>
      <c r="C878" s="85" t="s">
        <v>380</v>
      </c>
      <c r="D878" s="85"/>
      <c r="E878" s="85"/>
      <c r="F878" s="85"/>
      <c r="G878" s="406"/>
      <c r="H878" s="407"/>
      <c r="I878" s="85"/>
      <c r="J878" s="83" t="str">
        <f>IF(G878=$B$998,$A$998,IF(G878=$B$999,$A$999,IF(G878=$B$1000,$A$1000,IF(G878=$B$1001,$A$1001,IF(G878=$B$1002,$A$1002,"Not Calculated")))))</f>
        <v>Not Calculated</v>
      </c>
      <c r="K878" s="87"/>
    </row>
    <row r="879" spans="2:11" x14ac:dyDescent="0.2">
      <c r="B879" s="81"/>
      <c r="C879" s="85" t="s">
        <v>134</v>
      </c>
      <c r="D879" s="85"/>
      <c r="E879" s="85"/>
      <c r="F879" s="85"/>
      <c r="G879" s="85"/>
      <c r="H879" s="85"/>
      <c r="I879" s="85"/>
      <c r="J879" s="240">
        <f>'Baseline PHP'!J180</f>
        <v>0</v>
      </c>
      <c r="K879" s="87"/>
    </row>
    <row r="880" spans="2:11" x14ac:dyDescent="0.2">
      <c r="B880" s="81"/>
      <c r="C880" s="85"/>
      <c r="D880" s="85"/>
      <c r="E880" s="85"/>
      <c r="F880" s="85"/>
      <c r="G880" s="85"/>
      <c r="H880" s="85"/>
      <c r="I880" s="85"/>
      <c r="J880" s="85"/>
      <c r="K880" s="87"/>
    </row>
    <row r="881" spans="2:11" ht="16" x14ac:dyDescent="0.2">
      <c r="B881" s="81"/>
      <c r="C881" s="211" t="s">
        <v>651</v>
      </c>
      <c r="D881" s="85"/>
      <c r="E881" s="85"/>
      <c r="F881" s="85"/>
      <c r="G881" s="85"/>
      <c r="H881" s="85"/>
      <c r="I881" s="85"/>
      <c r="J881" s="85"/>
      <c r="K881" s="87"/>
    </row>
    <row r="882" spans="2:11" x14ac:dyDescent="0.2">
      <c r="B882" s="81"/>
      <c r="C882" s="85" t="s">
        <v>380</v>
      </c>
      <c r="D882" s="85"/>
      <c r="E882" s="85"/>
      <c r="F882" s="85"/>
      <c r="G882" s="406"/>
      <c r="H882" s="407"/>
      <c r="I882" s="85"/>
      <c r="J882" s="83" t="str">
        <f>IF(G882=$B$998,$A$998,IF(G882=$B$999,$A$999,IF(G882=$B$1000,$A$1000,IF(G882=$B$1001,$A$1001,IF(G882=$B$1002,$A$1002,"Not Calculated")))))</f>
        <v>Not Calculated</v>
      </c>
      <c r="K882" s="87"/>
    </row>
    <row r="883" spans="2:11" x14ac:dyDescent="0.2">
      <c r="B883" s="81"/>
      <c r="C883" s="85" t="s">
        <v>134</v>
      </c>
      <c r="D883" s="85"/>
      <c r="E883" s="85"/>
      <c r="F883" s="85"/>
      <c r="G883" s="85"/>
      <c r="H883" s="85"/>
      <c r="I883" s="85"/>
      <c r="J883" s="240">
        <f>'Baseline PHP'!J194</f>
        <v>0</v>
      </c>
      <c r="K883" s="87"/>
    </row>
    <row r="884" spans="2:11" x14ac:dyDescent="0.2">
      <c r="B884" s="81"/>
      <c r="C884" s="85"/>
      <c r="D884" s="85"/>
      <c r="E884" s="85"/>
      <c r="F884" s="85"/>
      <c r="G884" s="85"/>
      <c r="H884" s="85"/>
      <c r="I884" s="85"/>
      <c r="J884" s="85"/>
      <c r="K884" s="87"/>
    </row>
    <row r="885" spans="2:11" ht="16" x14ac:dyDescent="0.2">
      <c r="B885" s="81"/>
      <c r="C885" s="211" t="s">
        <v>652</v>
      </c>
      <c r="D885" s="85"/>
      <c r="E885" s="85"/>
      <c r="F885" s="85"/>
      <c r="G885" s="85"/>
      <c r="H885" s="85"/>
      <c r="I885" s="85"/>
      <c r="J885" s="85"/>
      <c r="K885" s="87"/>
    </row>
    <row r="886" spans="2:11" x14ac:dyDescent="0.2">
      <c r="B886" s="81"/>
      <c r="C886" s="85" t="s">
        <v>380</v>
      </c>
      <c r="D886" s="85"/>
      <c r="E886" s="85"/>
      <c r="F886" s="85"/>
      <c r="G886" s="406"/>
      <c r="H886" s="407"/>
      <c r="I886" s="85"/>
      <c r="J886" s="83" t="str">
        <f>IF(G886=$B$998,$A$998,IF(G886=$B$999,$A$999,IF(G886=$B$1000,$A$1000,IF(G886=$B$1001,$A$1001,IF(G886=$B$1002,$A$1002,"Not Calculated")))))</f>
        <v>Not Calculated</v>
      </c>
      <c r="K886" s="87"/>
    </row>
    <row r="887" spans="2:11" x14ac:dyDescent="0.2">
      <c r="B887" s="81"/>
      <c r="C887" s="85" t="s">
        <v>134</v>
      </c>
      <c r="D887" s="85"/>
      <c r="E887" s="85"/>
      <c r="F887" s="85"/>
      <c r="G887" s="85"/>
      <c r="H887" s="85"/>
      <c r="I887" s="85"/>
      <c r="J887" s="240">
        <f>'Baseline PHP'!J208</f>
        <v>0</v>
      </c>
      <c r="K887" s="87"/>
    </row>
    <row r="888" spans="2:11" x14ac:dyDescent="0.2">
      <c r="B888" s="81"/>
      <c r="C888" s="85"/>
      <c r="D888" s="85"/>
      <c r="E888" s="85"/>
      <c r="F888" s="85"/>
      <c r="G888" s="85"/>
      <c r="H888" s="85"/>
      <c r="I888" s="85"/>
      <c r="J888" s="85"/>
      <c r="K888" s="87"/>
    </row>
    <row r="889" spans="2:11" ht="16" x14ac:dyDescent="0.2">
      <c r="B889" s="81"/>
      <c r="C889" s="211" t="s">
        <v>653</v>
      </c>
      <c r="D889" s="85"/>
      <c r="E889" s="85"/>
      <c r="F889" s="85"/>
      <c r="G889" s="85"/>
      <c r="H889" s="85"/>
      <c r="I889" s="85"/>
      <c r="J889" s="85"/>
      <c r="K889" s="87"/>
    </row>
    <row r="890" spans="2:11" x14ac:dyDescent="0.2">
      <c r="B890" s="81"/>
      <c r="C890" s="85" t="s">
        <v>380</v>
      </c>
      <c r="D890" s="85"/>
      <c r="E890" s="85"/>
      <c r="F890" s="85"/>
      <c r="G890" s="406"/>
      <c r="H890" s="407"/>
      <c r="I890" s="85"/>
      <c r="J890" s="83" t="str">
        <f>IF(G890=$B$998,$A$998,IF(G890=$B$999,$A$999,IF(G890=$B$1000,$A$1000,IF(G890=$B$1001,$A$1001,IF(G890=$B$1002,$A$1002,"Not Calculated")))))</f>
        <v>Not Calculated</v>
      </c>
      <c r="K890" s="87"/>
    </row>
    <row r="891" spans="2:11" x14ac:dyDescent="0.2">
      <c r="B891" s="81"/>
      <c r="C891" s="85" t="s">
        <v>134</v>
      </c>
      <c r="D891" s="85"/>
      <c r="E891" s="85"/>
      <c r="F891" s="85"/>
      <c r="G891" s="85"/>
      <c r="H891" s="85"/>
      <c r="I891" s="85"/>
      <c r="J891" s="240">
        <f>'Baseline PHP'!J222</f>
        <v>0</v>
      </c>
      <c r="K891" s="87"/>
    </row>
    <row r="892" spans="2:11" x14ac:dyDescent="0.2">
      <c r="B892" s="81"/>
      <c r="C892" s="85"/>
      <c r="D892" s="85"/>
      <c r="E892" s="85"/>
      <c r="F892" s="85"/>
      <c r="G892" s="85"/>
      <c r="H892" s="85"/>
      <c r="I892" s="85"/>
      <c r="J892" s="85"/>
      <c r="K892" s="87"/>
    </row>
    <row r="893" spans="2:11" x14ac:dyDescent="0.2">
      <c r="B893" s="81"/>
      <c r="C893" s="85"/>
      <c r="D893" s="85"/>
      <c r="E893" s="85"/>
      <c r="F893" s="85"/>
      <c r="G893" s="85"/>
      <c r="H893" s="85"/>
      <c r="I893" s="85"/>
      <c r="J893" s="85"/>
      <c r="K893" s="87"/>
    </row>
    <row r="894" spans="2:11" ht="16" x14ac:dyDescent="0.2">
      <c r="B894" s="81"/>
      <c r="C894" s="212" t="s">
        <v>813</v>
      </c>
      <c r="D894" s="85"/>
      <c r="E894" s="85"/>
      <c r="F894" s="85"/>
      <c r="G894" s="85"/>
      <c r="H894" s="85"/>
      <c r="I894" s="85"/>
      <c r="J894" s="241" t="str">
        <f>IF(OR(J854="Not Calculated",J858="Not Calculated",J862="Not Calculated",J866="Not Calculated",J870="Not Calculated",J874="Not Calculated",J878="Not Calculated",J882="Not Calculated",J886="Not Calculated",J890="Not Calculated",J834="Not Calculated",J838="Not Calculated",J842="Not Calculated",J846="Not Calculated",J850="Not Calculated",J855="Not Calculated",J859="Not Calculated",J863="Not Calculated",J867="Not Calculated",J871="Not Calculated",J875="Not Calculated",J879="Not Calculated",J883="Not Calculated",J887="Not Calculated",J891="Not Calculated",J835="Not Calculated",J839="Not Calculated",J843="Not Calculated",J847="Not Calculated",J851="Not Calculated")=TRUE,"Not Calculated",((J834*J835)+(J838*J839)+(J842*J843)+(J846*J847)+(J850*J851)+(J854*J855)+(J858*J859)+(J862*J863)+(J866*J867)+(J870*J871)+(J874*J875)+(J878*J879)+(J882*J883)+(J886*J887)+(J890*J891))/(J834+J838+J842+J846+J850+J854+J858+J862+J866+J870+J874+J878+J882+J886+J890))</f>
        <v>Not Calculated</v>
      </c>
      <c r="K894" s="87"/>
    </row>
    <row r="895" spans="2:11" ht="16" thickBot="1" x14ac:dyDescent="0.25">
      <c r="B895" s="213"/>
      <c r="C895" s="94"/>
      <c r="D895" s="94"/>
      <c r="E895" s="94"/>
      <c r="F895" s="94"/>
      <c r="G895" s="94"/>
      <c r="H895" s="94"/>
      <c r="I895" s="94"/>
      <c r="J895" s="94"/>
      <c r="K895" s="96"/>
    </row>
    <row r="896" spans="2:11" ht="16" thickBot="1" x14ac:dyDescent="0.25"/>
    <row r="897" spans="2:11" x14ac:dyDescent="0.2">
      <c r="B897" s="77"/>
      <c r="C897" s="78"/>
      <c r="D897" s="78"/>
      <c r="E897" s="78"/>
      <c r="F897" s="78"/>
      <c r="G897" s="78"/>
      <c r="H897" s="78"/>
      <c r="I897" s="78"/>
      <c r="J897" s="78"/>
      <c r="K897" s="80"/>
    </row>
    <row r="898" spans="2:11" ht="21" x14ac:dyDescent="0.25">
      <c r="B898" s="81"/>
      <c r="C898" s="85"/>
      <c r="D898" s="85"/>
      <c r="E898" s="85"/>
      <c r="F898" s="85"/>
      <c r="G898" s="210" t="s">
        <v>807</v>
      </c>
      <c r="H898" s="85"/>
      <c r="I898" s="85"/>
      <c r="J898" s="85"/>
      <c r="K898" s="87"/>
    </row>
    <row r="899" spans="2:11" x14ac:dyDescent="0.2">
      <c r="B899" s="81"/>
      <c r="C899" s="85"/>
      <c r="D899" s="85"/>
      <c r="E899" s="85"/>
      <c r="F899" s="85"/>
      <c r="G899" s="85"/>
      <c r="H899" s="85"/>
      <c r="I899" s="85"/>
      <c r="J899" s="85"/>
      <c r="K899" s="87"/>
    </row>
    <row r="900" spans="2:11" ht="15" customHeight="1" x14ac:dyDescent="0.2">
      <c r="B900" s="81"/>
      <c r="C900" s="424" t="s">
        <v>809</v>
      </c>
      <c r="D900" s="424"/>
      <c r="E900" s="424"/>
      <c r="F900" s="424"/>
      <c r="G900" s="424"/>
      <c r="H900" s="424"/>
      <c r="I900" s="424"/>
      <c r="J900" s="424"/>
      <c r="K900" s="87"/>
    </row>
    <row r="901" spans="2:11" x14ac:dyDescent="0.2">
      <c r="B901" s="81"/>
      <c r="C901" s="424"/>
      <c r="D901" s="424"/>
      <c r="E901" s="424"/>
      <c r="F901" s="424"/>
      <c r="G901" s="424"/>
      <c r="H901" s="424"/>
      <c r="I901" s="424"/>
      <c r="J901" s="424"/>
      <c r="K901" s="87"/>
    </row>
    <row r="902" spans="2:11" x14ac:dyDescent="0.2">
      <c r="B902" s="81"/>
      <c r="C902" s="85"/>
      <c r="D902" s="85"/>
      <c r="E902" s="85"/>
      <c r="F902" s="85"/>
      <c r="G902" s="85"/>
      <c r="H902" s="85"/>
      <c r="I902" s="85"/>
      <c r="J902" s="85"/>
      <c r="K902" s="87"/>
    </row>
    <row r="903" spans="2:11" ht="16" x14ac:dyDescent="0.2">
      <c r="B903" s="81"/>
      <c r="C903" s="211" t="s">
        <v>810</v>
      </c>
      <c r="D903" s="85"/>
      <c r="E903" s="85"/>
      <c r="F903" s="85"/>
      <c r="G903" s="85"/>
      <c r="H903" s="85"/>
      <c r="I903" s="85"/>
      <c r="J903" s="85"/>
      <c r="K903" s="87"/>
    </row>
    <row r="904" spans="2:11" x14ac:dyDescent="0.2">
      <c r="B904" s="81"/>
      <c r="C904" s="85" t="s">
        <v>380</v>
      </c>
      <c r="D904" s="85"/>
      <c r="E904" s="85"/>
      <c r="F904" s="85"/>
      <c r="G904" s="406"/>
      <c r="H904" s="407"/>
      <c r="I904" s="85"/>
      <c r="J904" s="83" t="str">
        <f>IF(G904=$B$998,$A$998,IF(G904=$B$999,$A$999,IF(G904=$B$1000,$A$1000,IF(G904=$B$1001,$A$1001,IF(G904=$B$1002,$A$1002,"Not Calculated")))))</f>
        <v>Not Calculated</v>
      </c>
      <c r="K904" s="87"/>
    </row>
    <row r="905" spans="2:11" x14ac:dyDescent="0.2">
      <c r="B905" s="81"/>
      <c r="C905" s="85" t="s">
        <v>134</v>
      </c>
      <c r="D905" s="85"/>
      <c r="E905" s="85"/>
      <c r="F905" s="85"/>
      <c r="G905" s="85"/>
      <c r="H905" s="85"/>
      <c r="I905" s="85"/>
      <c r="J905" s="240">
        <f>'Baseline HP'!J22</f>
        <v>0</v>
      </c>
      <c r="K905" s="87"/>
    </row>
    <row r="906" spans="2:11" x14ac:dyDescent="0.2">
      <c r="B906" s="81"/>
      <c r="C906" s="85"/>
      <c r="D906" s="85"/>
      <c r="E906" s="85"/>
      <c r="F906" s="85"/>
      <c r="G906" s="85"/>
      <c r="H906" s="85"/>
      <c r="I906" s="85"/>
      <c r="J906" s="85"/>
      <c r="K906" s="87"/>
    </row>
    <row r="907" spans="2:11" ht="16" x14ac:dyDescent="0.2">
      <c r="B907" s="81"/>
      <c r="C907" s="211" t="s">
        <v>811</v>
      </c>
      <c r="D907" s="85"/>
      <c r="E907" s="85"/>
      <c r="F907" s="85"/>
      <c r="G907" s="85"/>
      <c r="H907" s="85"/>
      <c r="I907" s="85"/>
      <c r="J907" s="85"/>
      <c r="K907" s="87"/>
    </row>
    <row r="908" spans="2:11" x14ac:dyDescent="0.2">
      <c r="B908" s="81"/>
      <c r="C908" s="85" t="s">
        <v>380</v>
      </c>
      <c r="D908" s="85"/>
      <c r="E908" s="85"/>
      <c r="F908" s="85"/>
      <c r="G908" s="406"/>
      <c r="H908" s="407"/>
      <c r="I908" s="85"/>
      <c r="J908" s="83" t="str">
        <f>IF(G908=$B$998,$A$998,IF(G908=$B$999,$A$999,IF(G908=$B$1000,$A$1000,IF(G908=$B$1001,$A$1001,IF(G908=$B$1002,$A$1002,"Not Calculated")))))</f>
        <v>Not Calculated</v>
      </c>
      <c r="K908" s="87"/>
    </row>
    <row r="909" spans="2:11" x14ac:dyDescent="0.2">
      <c r="B909" s="81"/>
      <c r="C909" s="85" t="s">
        <v>134</v>
      </c>
      <c r="D909" s="85"/>
      <c r="E909" s="85"/>
      <c r="F909" s="85"/>
      <c r="G909" s="85"/>
      <c r="H909" s="85"/>
      <c r="I909" s="85"/>
      <c r="J909" s="240">
        <f>'Baseline HP'!J32</f>
        <v>0</v>
      </c>
      <c r="K909" s="87"/>
    </row>
    <row r="910" spans="2:11" x14ac:dyDescent="0.2">
      <c r="B910" s="81"/>
      <c r="C910" s="85"/>
      <c r="D910" s="85"/>
      <c r="E910" s="85"/>
      <c r="F910" s="85"/>
      <c r="G910" s="85"/>
      <c r="H910" s="85"/>
      <c r="I910" s="85"/>
      <c r="J910" s="85"/>
      <c r="K910" s="87"/>
    </row>
    <row r="911" spans="2:11" ht="16" x14ac:dyDescent="0.2">
      <c r="B911" s="81"/>
      <c r="C911" s="211" t="s">
        <v>645</v>
      </c>
      <c r="D911" s="85"/>
      <c r="E911" s="85"/>
      <c r="F911" s="85"/>
      <c r="G911" s="85"/>
      <c r="H911" s="85"/>
      <c r="I911" s="85"/>
      <c r="J911" s="85"/>
      <c r="K911" s="87"/>
    </row>
    <row r="912" spans="2:11" x14ac:dyDescent="0.2">
      <c r="B912" s="81"/>
      <c r="C912" s="85" t="s">
        <v>380</v>
      </c>
      <c r="D912" s="85"/>
      <c r="E912" s="85"/>
      <c r="F912" s="85"/>
      <c r="G912" s="406"/>
      <c r="H912" s="407"/>
      <c r="I912" s="85"/>
      <c r="J912" s="83" t="str">
        <f>IF(G912=$B$998,$A$998,IF(G912=$B$999,$A$999,IF(G912=$B$1000,$A$1000,IF(G912=$B$1001,$A$1001,IF(G912=$B$1002,$A$1002,"Not Calculated")))))</f>
        <v>Not Calculated</v>
      </c>
      <c r="K912" s="87"/>
    </row>
    <row r="913" spans="2:11" x14ac:dyDescent="0.2">
      <c r="B913" s="81"/>
      <c r="C913" s="85" t="s">
        <v>134</v>
      </c>
      <c r="D913" s="85"/>
      <c r="E913" s="85"/>
      <c r="F913" s="85"/>
      <c r="G913" s="85"/>
      <c r="H913" s="85"/>
      <c r="I913" s="85"/>
      <c r="J913" s="240">
        <f>'Baseline HP'!J46</f>
        <v>0</v>
      </c>
      <c r="K913" s="87"/>
    </row>
    <row r="914" spans="2:11" x14ac:dyDescent="0.2">
      <c r="B914" s="81"/>
      <c r="C914" s="85"/>
      <c r="D914" s="85"/>
      <c r="E914" s="85"/>
      <c r="F914" s="85"/>
      <c r="G914" s="85"/>
      <c r="H914" s="85"/>
      <c r="I914" s="85"/>
      <c r="J914" s="85"/>
      <c r="K914" s="87"/>
    </row>
    <row r="915" spans="2:11" ht="16" x14ac:dyDescent="0.2">
      <c r="B915" s="81"/>
      <c r="C915" s="211" t="s">
        <v>648</v>
      </c>
      <c r="D915" s="85"/>
      <c r="E915" s="85"/>
      <c r="F915" s="85"/>
      <c r="G915" s="85"/>
      <c r="H915" s="85"/>
      <c r="I915" s="85"/>
      <c r="J915" s="85"/>
      <c r="K915" s="87"/>
    </row>
    <row r="916" spans="2:11" ht="15" customHeight="1" x14ac:dyDescent="0.2">
      <c r="B916" s="81"/>
      <c r="C916" s="85" t="s">
        <v>380</v>
      </c>
      <c r="D916" s="85"/>
      <c r="E916" s="85"/>
      <c r="F916" s="85"/>
      <c r="G916" s="406"/>
      <c r="H916" s="407"/>
      <c r="I916" s="85"/>
      <c r="J916" s="83" t="str">
        <f>IF(G916=$B$998,$A$998,IF(G916=$B$999,$A$999,IF(G916=$B$1000,$A$1000,IF(G916=$B$1001,$A$1001,IF(G916=$B$1002,$A$1002,"Not Calculated")))))</f>
        <v>Not Calculated</v>
      </c>
      <c r="K916" s="87"/>
    </row>
    <row r="917" spans="2:11" x14ac:dyDescent="0.2">
      <c r="B917" s="81"/>
      <c r="C917" s="85" t="s">
        <v>134</v>
      </c>
      <c r="D917" s="85"/>
      <c r="E917" s="85"/>
      <c r="F917" s="85"/>
      <c r="G917" s="85"/>
      <c r="H917" s="85"/>
      <c r="I917" s="85"/>
      <c r="J917" s="240">
        <f>'Baseline HP'!J58</f>
        <v>0</v>
      </c>
      <c r="K917" s="87"/>
    </row>
    <row r="918" spans="2:11" x14ac:dyDescent="0.2">
      <c r="B918" s="81"/>
      <c r="C918" s="85"/>
      <c r="D918" s="85"/>
      <c r="E918" s="85"/>
      <c r="F918" s="85"/>
      <c r="G918" s="85"/>
      <c r="H918" s="85"/>
      <c r="I918" s="85"/>
      <c r="J918" s="85"/>
      <c r="K918" s="87"/>
    </row>
    <row r="919" spans="2:11" ht="16" x14ac:dyDescent="0.2">
      <c r="B919" s="81"/>
      <c r="C919" s="211" t="s">
        <v>647</v>
      </c>
      <c r="D919" s="85"/>
      <c r="E919" s="85"/>
      <c r="F919" s="85"/>
      <c r="G919" s="85"/>
      <c r="H919" s="85"/>
      <c r="I919" s="85"/>
      <c r="J919" s="85"/>
      <c r="K919" s="87"/>
    </row>
    <row r="920" spans="2:11" x14ac:dyDescent="0.2">
      <c r="B920" s="81"/>
      <c r="C920" s="85" t="s">
        <v>380</v>
      </c>
      <c r="D920" s="85"/>
      <c r="E920" s="85"/>
      <c r="F920" s="85"/>
      <c r="G920" s="406"/>
      <c r="H920" s="407"/>
      <c r="I920" s="85"/>
      <c r="J920" s="83" t="str">
        <f>IF(G920=$B$998,$A$998,IF(G920=$B$999,$A$999,IF(G920=$B$1000,$A$1000,IF(G920=$B$1001,$A$1001,IF(G920=$B$1002,$A$1002,"Not Calculated")))))</f>
        <v>Not Calculated</v>
      </c>
      <c r="K920" s="87"/>
    </row>
    <row r="921" spans="2:11" x14ac:dyDescent="0.2">
      <c r="B921" s="81"/>
      <c r="C921" s="85" t="s">
        <v>134</v>
      </c>
      <c r="D921" s="85"/>
      <c r="E921" s="85"/>
      <c r="F921" s="85"/>
      <c r="G921" s="85"/>
      <c r="H921" s="85"/>
      <c r="I921" s="85"/>
      <c r="J921" s="240">
        <f>'Baseline HP'!J68</f>
        <v>0</v>
      </c>
      <c r="K921" s="87"/>
    </row>
    <row r="922" spans="2:11" x14ac:dyDescent="0.2">
      <c r="B922" s="81"/>
      <c r="C922" s="85"/>
      <c r="D922" s="85"/>
      <c r="E922" s="85"/>
      <c r="F922" s="85"/>
      <c r="G922" s="85"/>
      <c r="H922" s="85"/>
      <c r="I922" s="85"/>
      <c r="J922" s="85"/>
      <c r="K922" s="87"/>
    </row>
    <row r="923" spans="2:11" ht="16" x14ac:dyDescent="0.2">
      <c r="B923" s="81"/>
      <c r="C923" s="211" t="s">
        <v>121</v>
      </c>
      <c r="D923" s="85"/>
      <c r="E923" s="85"/>
      <c r="F923" s="85"/>
      <c r="G923" s="85"/>
      <c r="H923" s="85"/>
      <c r="I923" s="85"/>
      <c r="J923" s="85"/>
      <c r="K923" s="87"/>
    </row>
    <row r="924" spans="2:11" x14ac:dyDescent="0.2">
      <c r="B924" s="81"/>
      <c r="C924" s="85" t="s">
        <v>380</v>
      </c>
      <c r="D924" s="85"/>
      <c r="E924" s="85"/>
      <c r="F924" s="85"/>
      <c r="G924" s="406"/>
      <c r="H924" s="407"/>
      <c r="I924" s="85"/>
      <c r="J924" s="83" t="str">
        <f>IF(G924=$B$998,$A$998,IF(G924=$B$999,$A$999,IF(G924=$B$1000,$A$1000,IF(G924=$B$1001,$A$1001,IF(G924=$B$1002,$A$1002,"Not Calculated")))))</f>
        <v>Not Calculated</v>
      </c>
      <c r="K924" s="87"/>
    </row>
    <row r="925" spans="2:11" x14ac:dyDescent="0.2">
      <c r="B925" s="81"/>
      <c r="C925" s="85" t="s">
        <v>134</v>
      </c>
      <c r="D925" s="85"/>
      <c r="E925" s="85"/>
      <c r="F925" s="85"/>
      <c r="G925" s="85"/>
      <c r="H925" s="85"/>
      <c r="I925" s="85"/>
      <c r="J925" s="240">
        <f>'Baseline HP'!J84</f>
        <v>0</v>
      </c>
      <c r="K925" s="87"/>
    </row>
    <row r="926" spans="2:11" x14ac:dyDescent="0.2">
      <c r="B926" s="81"/>
      <c r="C926" s="85"/>
      <c r="D926" s="85"/>
      <c r="E926" s="85"/>
      <c r="F926" s="85"/>
      <c r="G926" s="85"/>
      <c r="H926" s="85"/>
      <c r="I926" s="85"/>
      <c r="J926" s="85"/>
      <c r="K926" s="87"/>
    </row>
    <row r="927" spans="2:11" ht="16" x14ac:dyDescent="0.2">
      <c r="B927" s="81"/>
      <c r="C927" s="211" t="s">
        <v>652</v>
      </c>
      <c r="D927" s="85"/>
      <c r="E927" s="85"/>
      <c r="F927" s="85"/>
      <c r="G927" s="85"/>
      <c r="H927" s="85"/>
      <c r="I927" s="85"/>
      <c r="J927" s="85"/>
      <c r="K927" s="87"/>
    </row>
    <row r="928" spans="2:11" x14ac:dyDescent="0.2">
      <c r="B928" s="81"/>
      <c r="C928" s="85" t="s">
        <v>380</v>
      </c>
      <c r="D928" s="85"/>
      <c r="E928" s="85"/>
      <c r="F928" s="85"/>
      <c r="G928" s="406"/>
      <c r="H928" s="407"/>
      <c r="I928" s="85"/>
      <c r="J928" s="83" t="str">
        <f>IF(G928=$B$998,$A$998,IF(G928=$B$999,$A$999,IF(G928=$B$1000,$A$1000,IF(G928=$B$1001,$A$1001,IF(G928=$B$1002,$A$1002,"Not Calculated")))))</f>
        <v>Not Calculated</v>
      </c>
      <c r="K928" s="87"/>
    </row>
    <row r="929" spans="2:11" x14ac:dyDescent="0.2">
      <c r="B929" s="81"/>
      <c r="C929" s="85" t="s">
        <v>134</v>
      </c>
      <c r="D929" s="85"/>
      <c r="E929" s="85"/>
      <c r="F929" s="85"/>
      <c r="G929" s="85"/>
      <c r="H929" s="85"/>
      <c r="I929" s="85"/>
      <c r="J929" s="240">
        <f>'Baseline HP'!J94</f>
        <v>0</v>
      </c>
      <c r="K929" s="87"/>
    </row>
    <row r="930" spans="2:11" x14ac:dyDescent="0.2">
      <c r="B930" s="81"/>
      <c r="C930" s="85"/>
      <c r="D930" s="85"/>
      <c r="E930" s="85"/>
      <c r="F930" s="85"/>
      <c r="G930" s="85"/>
      <c r="H930" s="85"/>
      <c r="I930" s="85"/>
      <c r="J930" s="85"/>
      <c r="K930" s="87"/>
    </row>
    <row r="931" spans="2:11" ht="16" x14ac:dyDescent="0.2">
      <c r="B931" s="81"/>
      <c r="C931" s="211" t="s">
        <v>653</v>
      </c>
      <c r="D931" s="85"/>
      <c r="E931" s="85"/>
      <c r="F931" s="85"/>
      <c r="G931" s="85"/>
      <c r="H931" s="85"/>
      <c r="I931" s="85"/>
      <c r="J931" s="85"/>
      <c r="K931" s="87"/>
    </row>
    <row r="932" spans="2:11" x14ac:dyDescent="0.2">
      <c r="B932" s="81"/>
      <c r="C932" s="85" t="s">
        <v>380</v>
      </c>
      <c r="D932" s="85"/>
      <c r="E932" s="85"/>
      <c r="F932" s="85"/>
      <c r="G932" s="406"/>
      <c r="H932" s="407"/>
      <c r="I932" s="85"/>
      <c r="J932" s="83" t="str">
        <f>IF(G932=$B$998,$A$998,IF(G932=$B$999,$A$999,IF(G932=$B$1000,$A$1000,IF(G932=$B$1001,$A$1001,IF(G932=$B$1002,$A$1002,"Not Calculated")))))</f>
        <v>Not Calculated</v>
      </c>
      <c r="K932" s="87"/>
    </row>
    <row r="933" spans="2:11" x14ac:dyDescent="0.2">
      <c r="B933" s="81"/>
      <c r="C933" s="85" t="s">
        <v>134</v>
      </c>
      <c r="D933" s="85"/>
      <c r="E933" s="85"/>
      <c r="F933" s="85"/>
      <c r="G933" s="85"/>
      <c r="H933" s="85"/>
      <c r="I933" s="85"/>
      <c r="J933" s="240">
        <f>'Baseline HP'!J108</f>
        <v>0</v>
      </c>
      <c r="K933" s="87"/>
    </row>
    <row r="934" spans="2:11" x14ac:dyDescent="0.2">
      <c r="B934" s="81"/>
      <c r="C934" s="85"/>
      <c r="D934" s="85"/>
      <c r="E934" s="85"/>
      <c r="F934" s="85"/>
      <c r="G934" s="85"/>
      <c r="H934" s="85"/>
      <c r="I934" s="85"/>
      <c r="J934" s="85"/>
      <c r="K934" s="87"/>
    </row>
    <row r="935" spans="2:11" x14ac:dyDescent="0.2">
      <c r="B935" s="81"/>
      <c r="C935" s="85"/>
      <c r="D935" s="85"/>
      <c r="E935" s="85"/>
      <c r="F935" s="85"/>
      <c r="G935" s="85"/>
      <c r="H935" s="85"/>
      <c r="I935" s="85"/>
      <c r="J935" s="85"/>
      <c r="K935" s="87"/>
    </row>
    <row r="936" spans="2:11" ht="16" x14ac:dyDescent="0.2">
      <c r="B936" s="81"/>
      <c r="C936" s="212" t="s">
        <v>812</v>
      </c>
      <c r="D936" s="85"/>
      <c r="E936" s="85"/>
      <c r="F936" s="85"/>
      <c r="G936" s="85"/>
      <c r="H936" s="85"/>
      <c r="I936" s="85"/>
      <c r="J936" s="241" t="str">
        <f>IF(OR(J920="Not Calculated",J924="Not Calculated",J928="Not Calculated",J932="Not Calculated",J904="Not Calculated",J908="Not Calculated",J912="Not Calculated",J916="Not Calculated",J921="Not Calculated",J925="Not Calculated",J929="Not Calculated",J933="Not Calculated",J905="Not Calculated",J909="Not Calculated",J913="Not Calculated",J917="Not Calculated")=TRUE,"Not Calculated",((J904*J905)+(J908*J909)+(J912*J913)+(J916*J917)+(J920*J921)+(J924*J925)+(J928*J929)+(J932*J933))/(J904+J908+J912+J916+J920+J924+J928+J932))</f>
        <v>Not Calculated</v>
      </c>
      <c r="K936" s="87"/>
    </row>
    <row r="937" spans="2:11" ht="16" thickBot="1" x14ac:dyDescent="0.25">
      <c r="B937" s="213"/>
      <c r="C937" s="94"/>
      <c r="D937" s="94"/>
      <c r="E937" s="94"/>
      <c r="F937" s="94"/>
      <c r="G937" s="94"/>
      <c r="H937" s="94"/>
      <c r="I937" s="94"/>
      <c r="J937" s="94"/>
      <c r="K937" s="96"/>
    </row>
    <row r="938" spans="2:11" ht="16" thickBot="1" x14ac:dyDescent="0.25"/>
    <row r="939" spans="2:11" x14ac:dyDescent="0.2">
      <c r="B939" s="77"/>
      <c r="C939" s="78"/>
      <c r="D939" s="78"/>
      <c r="E939" s="78"/>
      <c r="F939" s="78"/>
      <c r="G939" s="78"/>
      <c r="H939" s="78"/>
      <c r="I939" s="78"/>
      <c r="J939" s="78"/>
      <c r="K939" s="80"/>
    </row>
    <row r="940" spans="2:11" ht="21" x14ac:dyDescent="0.25">
      <c r="B940" s="81"/>
      <c r="C940" s="85"/>
      <c r="D940" s="85"/>
      <c r="E940" s="85"/>
      <c r="F940" s="85"/>
      <c r="G940" s="210" t="s">
        <v>815</v>
      </c>
      <c r="H940" s="85"/>
      <c r="I940" s="85"/>
      <c r="J940" s="85"/>
      <c r="K940" s="87"/>
    </row>
    <row r="941" spans="2:11" ht="21" x14ac:dyDescent="0.25">
      <c r="B941" s="81"/>
      <c r="C941" s="85"/>
      <c r="D941" s="85"/>
      <c r="E941" s="85"/>
      <c r="F941" s="85"/>
      <c r="G941" s="210"/>
      <c r="H941" s="85"/>
      <c r="I941" s="85"/>
      <c r="J941" s="85"/>
      <c r="K941" s="87"/>
    </row>
    <row r="942" spans="2:11" ht="16" x14ac:dyDescent="0.2">
      <c r="B942" s="81"/>
      <c r="C942" s="212" t="s">
        <v>995</v>
      </c>
      <c r="D942" s="85"/>
      <c r="E942" s="85"/>
      <c r="F942" s="85"/>
      <c r="G942" s="85"/>
      <c r="H942" s="85"/>
      <c r="I942" s="85"/>
      <c r="J942" s="241" t="str">
        <f>IF(OR(J936="Not Calculated",J894="Not Calculated")=TRUE,"Not Calculated",AVERAGE(J936,J894))</f>
        <v>Not Calculated</v>
      </c>
      <c r="K942" s="87"/>
    </row>
    <row r="943" spans="2:11" ht="16" x14ac:dyDescent="0.2">
      <c r="B943" s="81"/>
      <c r="C943" s="212"/>
      <c r="D943" s="85" t="s">
        <v>814</v>
      </c>
      <c r="E943" s="85"/>
      <c r="F943" s="85"/>
      <c r="G943" s="85"/>
      <c r="H943" s="85"/>
      <c r="I943" s="85"/>
      <c r="J943" s="241"/>
      <c r="K943" s="87"/>
    </row>
    <row r="944" spans="2:11" ht="17" thickBot="1" x14ac:dyDescent="0.25">
      <c r="B944" s="213"/>
      <c r="C944" s="227"/>
      <c r="D944" s="94"/>
      <c r="E944" s="94"/>
      <c r="F944" s="94"/>
      <c r="G944" s="94"/>
      <c r="H944" s="94"/>
      <c r="I944" s="94"/>
      <c r="J944" s="228"/>
      <c r="K944" s="96"/>
    </row>
    <row r="945" spans="2:11" ht="16" thickBot="1" x14ac:dyDescent="0.25"/>
    <row r="946" spans="2:11" x14ac:dyDescent="0.2">
      <c r="B946" s="214"/>
      <c r="C946" s="215"/>
      <c r="D946" s="215"/>
      <c r="E946" s="215"/>
      <c r="F946" s="215"/>
      <c r="G946" s="215"/>
      <c r="H946" s="215"/>
      <c r="I946" s="215"/>
      <c r="J946" s="215"/>
      <c r="K946" s="216"/>
    </row>
    <row r="947" spans="2:11" ht="21" x14ac:dyDescent="0.25">
      <c r="B947" s="217"/>
      <c r="C947" s="218"/>
      <c r="D947" s="218"/>
      <c r="E947" s="218"/>
      <c r="F947" s="218"/>
      <c r="G947" s="219" t="s">
        <v>239</v>
      </c>
      <c r="H947" s="218"/>
      <c r="I947" s="218"/>
      <c r="J947" s="218"/>
      <c r="K947" s="220"/>
    </row>
    <row r="948" spans="2:11" x14ac:dyDescent="0.2">
      <c r="B948" s="217"/>
      <c r="C948" s="218"/>
      <c r="D948" s="218"/>
      <c r="E948" s="218"/>
      <c r="F948" s="218"/>
      <c r="G948" s="218"/>
      <c r="H948" s="218"/>
      <c r="I948" s="218"/>
      <c r="J948" s="218"/>
      <c r="K948" s="220"/>
    </row>
    <row r="949" spans="2:11" ht="16" x14ac:dyDescent="0.2">
      <c r="B949" s="217"/>
      <c r="C949" s="221" t="s">
        <v>393</v>
      </c>
      <c r="D949" s="218"/>
      <c r="E949" s="218"/>
      <c r="F949" s="218"/>
      <c r="G949" s="218"/>
      <c r="H949" s="218"/>
      <c r="I949" s="218"/>
      <c r="J949" s="242" t="str">
        <f>IF(OR(J817="Not Calculated",J942="Not Calculated")=TRUE,"Not Calculated",J817/J942)</f>
        <v>Not Calculated</v>
      </c>
      <c r="K949" s="220"/>
    </row>
    <row r="950" spans="2:11" x14ac:dyDescent="0.2">
      <c r="B950" s="217"/>
      <c r="C950" s="218"/>
      <c r="D950" s="218" t="s">
        <v>816</v>
      </c>
      <c r="E950" s="218"/>
      <c r="F950" s="218"/>
      <c r="G950" s="218"/>
      <c r="H950" s="218"/>
      <c r="I950" s="218"/>
      <c r="J950" s="218"/>
      <c r="K950" s="220"/>
    </row>
    <row r="951" spans="2:11" x14ac:dyDescent="0.2">
      <c r="B951" s="217"/>
      <c r="C951" s="218"/>
      <c r="D951" s="218"/>
      <c r="E951" s="218"/>
      <c r="F951" s="218"/>
      <c r="G951" s="218"/>
      <c r="H951" s="218"/>
      <c r="I951" s="218"/>
      <c r="J951" s="218"/>
      <c r="K951" s="220"/>
    </row>
    <row r="952" spans="2:11" ht="16" x14ac:dyDescent="0.2">
      <c r="B952" s="217"/>
      <c r="C952" s="221" t="s">
        <v>996</v>
      </c>
      <c r="D952" s="218"/>
      <c r="E952" s="218"/>
      <c r="F952" s="218"/>
      <c r="G952" s="218"/>
      <c r="H952" s="218"/>
      <c r="I952" s="218"/>
      <c r="J952" s="242" t="str">
        <f>IF(OR(J820="Not Calculated",J894="Not Calculated")=TRUE,"Not Calculated",J820/J894)</f>
        <v>Not Calculated</v>
      </c>
      <c r="K952" s="220"/>
    </row>
    <row r="953" spans="2:11" x14ac:dyDescent="0.2">
      <c r="B953" s="217"/>
      <c r="C953" s="218"/>
      <c r="D953" s="218" t="s">
        <v>817</v>
      </c>
      <c r="E953" s="218"/>
      <c r="F953" s="218"/>
      <c r="G953" s="218"/>
      <c r="H953" s="218"/>
      <c r="I953" s="218"/>
      <c r="J953" s="218"/>
      <c r="K953" s="220"/>
    </row>
    <row r="954" spans="2:11" x14ac:dyDescent="0.2">
      <c r="B954" s="217"/>
      <c r="C954" s="218"/>
      <c r="D954" s="218"/>
      <c r="E954" s="218"/>
      <c r="F954" s="218"/>
      <c r="G954" s="218"/>
      <c r="H954" s="218"/>
      <c r="I954" s="218"/>
      <c r="J954" s="218"/>
      <c r="K954" s="220"/>
    </row>
    <row r="955" spans="2:11" ht="16" x14ac:dyDescent="0.2">
      <c r="B955" s="217"/>
      <c r="C955" s="221" t="s">
        <v>997</v>
      </c>
      <c r="D955" s="218"/>
      <c r="E955" s="218"/>
      <c r="F955" s="218"/>
      <c r="G955" s="218"/>
      <c r="H955" s="218"/>
      <c r="I955" s="218"/>
      <c r="J955" s="242" t="str">
        <f>IF(OR(J936="Not Calculated",J823="Not Calculated")=TRUE,"Not Calculated",J823/J936)</f>
        <v>Not Calculated</v>
      </c>
      <c r="K955" s="220"/>
    </row>
    <row r="956" spans="2:11" x14ac:dyDescent="0.2">
      <c r="B956" s="217"/>
      <c r="C956" s="218"/>
      <c r="D956" s="218" t="s">
        <v>818</v>
      </c>
      <c r="E956" s="218"/>
      <c r="F956" s="218"/>
      <c r="G956" s="218"/>
      <c r="H956" s="218"/>
      <c r="I956" s="218"/>
      <c r="J956" s="218"/>
      <c r="K956" s="220"/>
    </row>
    <row r="957" spans="2:11" ht="16" thickBot="1" x14ac:dyDescent="0.25">
      <c r="B957" s="222"/>
      <c r="C957" s="223"/>
      <c r="D957" s="223"/>
      <c r="E957" s="223"/>
      <c r="F957" s="223"/>
      <c r="G957" s="223"/>
      <c r="H957" s="223"/>
      <c r="I957" s="223"/>
      <c r="J957" s="223"/>
      <c r="K957" s="224"/>
    </row>
    <row r="959" spans="2:11" ht="15" customHeight="1" x14ac:dyDescent="0.2">
      <c r="F959" s="405"/>
      <c r="G959" s="405"/>
      <c r="H959" s="405"/>
    </row>
    <row r="960" spans="2:11" x14ac:dyDescent="0.2">
      <c r="F960" s="405"/>
      <c r="G960" s="405"/>
      <c r="H960" s="405"/>
    </row>
    <row r="965" spans="1:3" ht="15" hidden="1" customHeight="1" x14ac:dyDescent="0.2">
      <c r="A965" s="12" t="s">
        <v>228</v>
      </c>
    </row>
    <row r="966" spans="1:3" ht="15" hidden="1" customHeight="1" x14ac:dyDescent="0.2">
      <c r="A966" s="12">
        <v>0</v>
      </c>
      <c r="B966" s="12" t="s">
        <v>250</v>
      </c>
      <c r="C966" s="12" t="s">
        <v>240</v>
      </c>
    </row>
    <row r="967" spans="1:3" ht="15" hidden="1" customHeight="1" x14ac:dyDescent="0.2">
      <c r="A967" s="12">
        <v>1</v>
      </c>
      <c r="B967" s="12" t="s">
        <v>251</v>
      </c>
      <c r="C967" s="12" t="s">
        <v>241</v>
      </c>
    </row>
    <row r="968" spans="1:3" ht="15" hidden="1" customHeight="1" x14ac:dyDescent="0.2">
      <c r="A968" s="12">
        <v>2</v>
      </c>
      <c r="B968" s="12" t="s">
        <v>252</v>
      </c>
      <c r="C968" s="12" t="s">
        <v>242</v>
      </c>
    </row>
    <row r="969" spans="1:3" ht="15" hidden="1" customHeight="1" x14ac:dyDescent="0.2">
      <c r="A969" s="12">
        <v>3</v>
      </c>
      <c r="B969" s="12" t="s">
        <v>253</v>
      </c>
      <c r="C969" s="12" t="s">
        <v>227</v>
      </c>
    </row>
    <row r="970" spans="1:3" ht="15" hidden="1" customHeight="1" x14ac:dyDescent="0.2">
      <c r="A970" s="12">
        <v>4</v>
      </c>
      <c r="B970" s="12" t="s">
        <v>254</v>
      </c>
      <c r="C970" s="12" t="s">
        <v>243</v>
      </c>
    </row>
    <row r="971" spans="1:3" ht="15" hidden="1" customHeight="1" x14ac:dyDescent="0.2"/>
    <row r="972" spans="1:3" ht="15" hidden="1" customHeight="1" x14ac:dyDescent="0.2">
      <c r="A972" s="12" t="s">
        <v>259</v>
      </c>
    </row>
    <row r="973" spans="1:3" ht="15" hidden="1" customHeight="1" x14ac:dyDescent="0.2">
      <c r="A973" s="12">
        <v>0</v>
      </c>
      <c r="B973" s="225" t="s">
        <v>870</v>
      </c>
    </row>
    <row r="974" spans="1:3" ht="15" hidden="1" customHeight="1" x14ac:dyDescent="0.2">
      <c r="A974" s="12">
        <v>1</v>
      </c>
      <c r="B974" s="12" t="s">
        <v>880</v>
      </c>
    </row>
    <row r="975" spans="1:3" ht="15" hidden="1" customHeight="1" x14ac:dyDescent="0.2">
      <c r="A975" s="12">
        <v>2</v>
      </c>
      <c r="B975" s="12" t="s">
        <v>872</v>
      </c>
    </row>
    <row r="976" spans="1:3" ht="15" hidden="1" customHeight="1" x14ac:dyDescent="0.2">
      <c r="A976" s="12">
        <v>3</v>
      </c>
      <c r="B976" s="12" t="s">
        <v>873</v>
      </c>
    </row>
    <row r="977" spans="1:2" ht="15" hidden="1" customHeight="1" x14ac:dyDescent="0.2">
      <c r="A977" s="12">
        <v>4</v>
      </c>
      <c r="B977" s="12" t="s">
        <v>874</v>
      </c>
    </row>
    <row r="978" spans="1:2" ht="15" hidden="1" customHeight="1" x14ac:dyDescent="0.2"/>
    <row r="979" spans="1:2" ht="15" hidden="1" customHeight="1" x14ac:dyDescent="0.2">
      <c r="A979" s="12" t="s">
        <v>294</v>
      </c>
    </row>
    <row r="980" spans="1:2" ht="15" hidden="1" customHeight="1" x14ac:dyDescent="0.2">
      <c r="A980" s="12">
        <v>0</v>
      </c>
      <c r="B980" s="225" t="s">
        <v>870</v>
      </c>
    </row>
    <row r="981" spans="1:2" ht="15" hidden="1" customHeight="1" x14ac:dyDescent="0.2">
      <c r="A981" s="12">
        <v>1</v>
      </c>
      <c r="B981" s="12" t="s">
        <v>875</v>
      </c>
    </row>
    <row r="982" spans="1:2" ht="15" hidden="1" customHeight="1" x14ac:dyDescent="0.2">
      <c r="A982" s="12">
        <v>2</v>
      </c>
      <c r="B982" s="12" t="s">
        <v>876</v>
      </c>
    </row>
    <row r="983" spans="1:2" ht="15" hidden="1" customHeight="1" x14ac:dyDescent="0.2">
      <c r="A983" s="12">
        <v>3</v>
      </c>
      <c r="B983" s="12" t="s">
        <v>877</v>
      </c>
    </row>
    <row r="984" spans="1:2" ht="15" hidden="1" customHeight="1" x14ac:dyDescent="0.2">
      <c r="A984" s="12">
        <v>4</v>
      </c>
      <c r="B984" s="12" t="s">
        <v>878</v>
      </c>
    </row>
    <row r="985" spans="1:2" ht="15" hidden="1" customHeight="1" x14ac:dyDescent="0.2"/>
    <row r="986" spans="1:2" ht="15" hidden="1" customHeight="1" x14ac:dyDescent="0.2">
      <c r="A986" s="12" t="s">
        <v>244</v>
      </c>
    </row>
    <row r="987" spans="1:2" ht="15" hidden="1" customHeight="1" x14ac:dyDescent="0.2">
      <c r="A987" s="12">
        <v>0</v>
      </c>
      <c r="B987" s="12" t="s">
        <v>245</v>
      </c>
    </row>
    <row r="988" spans="1:2" ht="15" hidden="1" customHeight="1" x14ac:dyDescent="0.2">
      <c r="A988" s="12">
        <v>1</v>
      </c>
      <c r="B988" s="12" t="s">
        <v>246</v>
      </c>
    </row>
    <row r="989" spans="1:2" ht="15" hidden="1" customHeight="1" x14ac:dyDescent="0.2">
      <c r="A989" s="12">
        <v>2</v>
      </c>
      <c r="B989" s="12" t="s">
        <v>247</v>
      </c>
    </row>
    <row r="990" spans="1:2" ht="15" hidden="1" customHeight="1" x14ac:dyDescent="0.2">
      <c r="A990" s="12">
        <v>3</v>
      </c>
      <c r="B990" s="12" t="s">
        <v>229</v>
      </c>
    </row>
    <row r="991" spans="1:2" ht="15" hidden="1" customHeight="1" x14ac:dyDescent="0.2">
      <c r="A991" s="12">
        <v>4</v>
      </c>
      <c r="B991" s="12" t="s">
        <v>248</v>
      </c>
    </row>
    <row r="992" spans="1:2" ht="15" hidden="1" customHeight="1" x14ac:dyDescent="0.2"/>
    <row r="993" spans="1:11" ht="15" hidden="1" customHeight="1" x14ac:dyDescent="0.2">
      <c r="A993" s="12" t="s">
        <v>381</v>
      </c>
    </row>
    <row r="994" spans="1:11" ht="15" hidden="1" customHeight="1" x14ac:dyDescent="0.2">
      <c r="A994" s="12">
        <v>0</v>
      </c>
      <c r="B994" s="12" t="s">
        <v>202</v>
      </c>
    </row>
    <row r="995" spans="1:11" ht="15" hidden="1" customHeight="1" x14ac:dyDescent="0.2">
      <c r="A995" s="12">
        <v>1</v>
      </c>
      <c r="B995" s="12" t="s">
        <v>190</v>
      </c>
    </row>
    <row r="996" spans="1:11" ht="15" hidden="1" customHeight="1" x14ac:dyDescent="0.2"/>
    <row r="997" spans="1:11" ht="15" hidden="1" customHeight="1" x14ac:dyDescent="0.2">
      <c r="A997" s="12" t="s">
        <v>249</v>
      </c>
    </row>
    <row r="998" spans="1:11" ht="15" hidden="1" customHeight="1" x14ac:dyDescent="0.2">
      <c r="A998" s="12">
        <v>0</v>
      </c>
      <c r="B998" s="12" t="s">
        <v>236</v>
      </c>
    </row>
    <row r="999" spans="1:11" ht="15" hidden="1" customHeight="1" x14ac:dyDescent="0.2">
      <c r="A999" s="12">
        <v>1</v>
      </c>
      <c r="B999" s="12" t="s">
        <v>237</v>
      </c>
    </row>
    <row r="1000" spans="1:11" ht="15" hidden="1" customHeight="1" x14ac:dyDescent="0.2">
      <c r="A1000" s="12">
        <v>2</v>
      </c>
      <c r="B1000" s="12" t="s">
        <v>235</v>
      </c>
    </row>
    <row r="1001" spans="1:11" ht="15" hidden="1" customHeight="1" x14ac:dyDescent="0.2">
      <c r="A1001" s="12">
        <v>3</v>
      </c>
      <c r="B1001" s="12" t="s">
        <v>238</v>
      </c>
    </row>
    <row r="1002" spans="1:11" ht="15" hidden="1" customHeight="1" x14ac:dyDescent="0.2">
      <c r="A1002" s="12">
        <v>4</v>
      </c>
      <c r="B1002" s="12" t="s">
        <v>234</v>
      </c>
    </row>
    <row r="1003" spans="1:11" ht="15" customHeight="1" x14ac:dyDescent="0.2">
      <c r="B1003" s="12" t="s">
        <v>685</v>
      </c>
    </row>
    <row r="1004" spans="1:11" ht="15" customHeight="1" x14ac:dyDescent="0.2">
      <c r="B1004" s="402"/>
      <c r="C1004" s="403"/>
      <c r="D1004" s="403"/>
      <c r="E1004" s="403"/>
      <c r="F1004" s="403"/>
      <c r="G1004" s="403"/>
      <c r="H1004" s="403"/>
      <c r="I1004" s="403"/>
      <c r="J1004" s="403"/>
      <c r="K1004" s="404"/>
    </row>
    <row r="1005" spans="1:11" ht="15" customHeight="1" x14ac:dyDescent="0.2">
      <c r="B1005" s="396"/>
      <c r="C1005" s="397"/>
      <c r="D1005" s="397"/>
      <c r="E1005" s="397"/>
      <c r="F1005" s="397"/>
      <c r="G1005" s="397"/>
      <c r="H1005" s="397"/>
      <c r="I1005" s="397"/>
      <c r="J1005" s="397"/>
      <c r="K1005" s="398"/>
    </row>
    <row r="1006" spans="1:11" ht="15" customHeight="1" x14ac:dyDescent="0.2">
      <c r="B1006" s="396"/>
      <c r="C1006" s="397"/>
      <c r="D1006" s="397"/>
      <c r="E1006" s="397"/>
      <c r="F1006" s="397"/>
      <c r="G1006" s="397"/>
      <c r="H1006" s="397"/>
      <c r="I1006" s="397"/>
      <c r="J1006" s="397"/>
      <c r="K1006" s="398"/>
    </row>
    <row r="1007" spans="1:11" ht="15" customHeight="1" x14ac:dyDescent="0.2">
      <c r="B1007" s="396"/>
      <c r="C1007" s="397"/>
      <c r="D1007" s="397"/>
      <c r="E1007" s="397"/>
      <c r="F1007" s="397"/>
      <c r="G1007" s="397"/>
      <c r="H1007" s="397"/>
      <c r="I1007" s="397"/>
      <c r="J1007" s="397"/>
      <c r="K1007" s="398"/>
    </row>
    <row r="1008" spans="1:11" ht="15" customHeight="1" x14ac:dyDescent="0.2">
      <c r="B1008" s="396"/>
      <c r="C1008" s="397"/>
      <c r="D1008" s="397"/>
      <c r="E1008" s="397"/>
      <c r="F1008" s="397"/>
      <c r="G1008" s="397"/>
      <c r="H1008" s="397"/>
      <c r="I1008" s="397"/>
      <c r="J1008" s="397"/>
      <c r="K1008" s="398"/>
    </row>
    <row r="1009" spans="2:11" ht="15" customHeight="1" x14ac:dyDescent="0.2">
      <c r="B1009" s="396"/>
      <c r="C1009" s="397"/>
      <c r="D1009" s="397"/>
      <c r="E1009" s="397"/>
      <c r="F1009" s="397"/>
      <c r="G1009" s="397"/>
      <c r="H1009" s="397"/>
      <c r="I1009" s="397"/>
      <c r="J1009" s="397"/>
      <c r="K1009" s="398"/>
    </row>
    <row r="1010" spans="2:11" x14ac:dyDescent="0.2">
      <c r="B1010" s="396"/>
      <c r="C1010" s="397"/>
      <c r="D1010" s="397"/>
      <c r="E1010" s="397"/>
      <c r="F1010" s="397"/>
      <c r="G1010" s="397"/>
      <c r="H1010" s="397"/>
      <c r="I1010" s="397"/>
      <c r="J1010" s="397"/>
      <c r="K1010" s="398"/>
    </row>
    <row r="1011" spans="2:11" ht="15" customHeight="1" x14ac:dyDescent="0.2">
      <c r="B1011" s="396"/>
      <c r="C1011" s="397"/>
      <c r="D1011" s="397"/>
      <c r="E1011" s="397"/>
      <c r="F1011" s="397"/>
      <c r="G1011" s="397"/>
      <c r="H1011" s="397"/>
      <c r="I1011" s="397"/>
      <c r="J1011" s="397"/>
      <c r="K1011" s="398"/>
    </row>
    <row r="1012" spans="2:11" ht="30" customHeight="1" x14ac:dyDescent="0.2">
      <c r="B1012" s="396"/>
      <c r="C1012" s="397"/>
      <c r="D1012" s="397"/>
      <c r="E1012" s="397"/>
      <c r="F1012" s="397"/>
      <c r="G1012" s="397"/>
      <c r="H1012" s="397"/>
      <c r="I1012" s="397"/>
      <c r="J1012" s="397"/>
      <c r="K1012" s="398"/>
    </row>
    <row r="1013" spans="2:11" ht="15" customHeight="1" x14ac:dyDescent="0.2">
      <c r="B1013" s="396"/>
      <c r="C1013" s="397"/>
      <c r="D1013" s="397"/>
      <c r="E1013" s="397"/>
      <c r="F1013" s="397"/>
      <c r="G1013" s="397"/>
      <c r="H1013" s="397"/>
      <c r="I1013" s="397"/>
      <c r="J1013" s="397"/>
      <c r="K1013" s="398"/>
    </row>
    <row r="1014" spans="2:11" ht="15" customHeight="1" x14ac:dyDescent="0.2">
      <c r="B1014" s="396"/>
      <c r="C1014" s="397"/>
      <c r="D1014" s="397"/>
      <c r="E1014" s="397"/>
      <c r="F1014" s="397"/>
      <c r="G1014" s="397"/>
      <c r="H1014" s="397"/>
      <c r="I1014" s="397"/>
      <c r="J1014" s="397"/>
      <c r="K1014" s="398"/>
    </row>
    <row r="1015" spans="2:11" ht="15" customHeight="1" x14ac:dyDescent="0.2">
      <c r="B1015" s="396"/>
      <c r="C1015" s="397"/>
      <c r="D1015" s="397"/>
      <c r="E1015" s="397"/>
      <c r="F1015" s="397"/>
      <c r="G1015" s="397"/>
      <c r="H1015" s="397"/>
      <c r="I1015" s="397"/>
      <c r="J1015" s="397"/>
      <c r="K1015" s="398"/>
    </row>
    <row r="1016" spans="2:11" x14ac:dyDescent="0.2">
      <c r="B1016" s="396"/>
      <c r="C1016" s="397"/>
      <c r="D1016" s="397"/>
      <c r="E1016" s="397"/>
      <c r="F1016" s="397"/>
      <c r="G1016" s="397"/>
      <c r="H1016" s="397"/>
      <c r="I1016" s="397"/>
      <c r="J1016" s="397"/>
      <c r="K1016" s="398"/>
    </row>
    <row r="1017" spans="2:11" ht="15" customHeight="1" x14ac:dyDescent="0.2">
      <c r="B1017" s="396"/>
      <c r="C1017" s="397"/>
      <c r="D1017" s="397"/>
      <c r="E1017" s="397"/>
      <c r="F1017" s="397"/>
      <c r="G1017" s="397"/>
      <c r="H1017" s="397"/>
      <c r="I1017" s="397"/>
      <c r="J1017" s="397"/>
      <c r="K1017" s="398"/>
    </row>
    <row r="1018" spans="2:11" ht="15" customHeight="1" x14ac:dyDescent="0.2">
      <c r="B1018" s="396"/>
      <c r="C1018" s="397"/>
      <c r="D1018" s="397"/>
      <c r="E1018" s="397"/>
      <c r="F1018" s="397"/>
      <c r="G1018" s="397"/>
      <c r="H1018" s="397"/>
      <c r="I1018" s="397"/>
      <c r="J1018" s="397"/>
      <c r="K1018" s="398"/>
    </row>
    <row r="1019" spans="2:11" ht="15" customHeight="1" x14ac:dyDescent="0.2">
      <c r="B1019" s="396"/>
      <c r="C1019" s="397"/>
      <c r="D1019" s="397"/>
      <c r="E1019" s="397"/>
      <c r="F1019" s="397"/>
      <c r="G1019" s="397"/>
      <c r="H1019" s="397"/>
      <c r="I1019" s="397"/>
      <c r="J1019" s="397"/>
      <c r="K1019" s="398"/>
    </row>
    <row r="1020" spans="2:11" ht="15" customHeight="1" x14ac:dyDescent="0.2">
      <c r="B1020" s="396"/>
      <c r="C1020" s="397"/>
      <c r="D1020" s="397"/>
      <c r="E1020" s="397"/>
      <c r="F1020" s="397"/>
      <c r="G1020" s="397"/>
      <c r="H1020" s="397"/>
      <c r="I1020" s="397"/>
      <c r="J1020" s="397"/>
      <c r="K1020" s="398"/>
    </row>
    <row r="1021" spans="2:11" ht="15" customHeight="1" x14ac:dyDescent="0.2">
      <c r="B1021" s="396"/>
      <c r="C1021" s="397"/>
      <c r="D1021" s="397"/>
      <c r="E1021" s="397"/>
      <c r="F1021" s="397"/>
      <c r="G1021" s="397"/>
      <c r="H1021" s="397"/>
      <c r="I1021" s="397"/>
      <c r="J1021" s="397"/>
      <c r="K1021" s="398"/>
    </row>
    <row r="1022" spans="2:11" ht="15" customHeight="1" x14ac:dyDescent="0.2">
      <c r="B1022" s="396"/>
      <c r="C1022" s="397"/>
      <c r="D1022" s="397"/>
      <c r="E1022" s="397"/>
      <c r="F1022" s="397"/>
      <c r="G1022" s="397"/>
      <c r="H1022" s="397"/>
      <c r="I1022" s="397"/>
      <c r="J1022" s="397"/>
      <c r="K1022" s="398"/>
    </row>
    <row r="1023" spans="2:11" ht="15" customHeight="1" x14ac:dyDescent="0.2">
      <c r="B1023" s="396"/>
      <c r="C1023" s="397"/>
      <c r="D1023" s="397"/>
      <c r="E1023" s="397"/>
      <c r="F1023" s="397"/>
      <c r="G1023" s="397"/>
      <c r="H1023" s="397"/>
      <c r="I1023" s="397"/>
      <c r="J1023" s="397"/>
      <c r="K1023" s="398"/>
    </row>
    <row r="1024" spans="2:11" ht="15" customHeight="1" x14ac:dyDescent="0.2">
      <c r="B1024" s="396"/>
      <c r="C1024" s="397"/>
      <c r="D1024" s="397"/>
      <c r="E1024" s="397"/>
      <c r="F1024" s="397"/>
      <c r="G1024" s="397"/>
      <c r="H1024" s="397"/>
      <c r="I1024" s="397"/>
      <c r="J1024" s="397"/>
      <c r="K1024" s="398"/>
    </row>
    <row r="1025" spans="2:11" ht="15" customHeight="1" x14ac:dyDescent="0.2">
      <c r="B1025" s="396"/>
      <c r="C1025" s="397"/>
      <c r="D1025" s="397"/>
      <c r="E1025" s="397"/>
      <c r="F1025" s="397"/>
      <c r="G1025" s="397"/>
      <c r="H1025" s="397"/>
      <c r="I1025" s="397"/>
      <c r="J1025" s="397"/>
      <c r="K1025" s="398"/>
    </row>
    <row r="1026" spans="2:11" ht="15" customHeight="1" x14ac:dyDescent="0.2">
      <c r="B1026" s="396"/>
      <c r="C1026" s="397"/>
      <c r="D1026" s="397"/>
      <c r="E1026" s="397"/>
      <c r="F1026" s="397"/>
      <c r="G1026" s="397"/>
      <c r="H1026" s="397"/>
      <c r="I1026" s="397"/>
      <c r="J1026" s="397"/>
      <c r="K1026" s="398"/>
    </row>
    <row r="1027" spans="2:11" ht="15" customHeight="1" x14ac:dyDescent="0.2">
      <c r="B1027" s="396"/>
      <c r="C1027" s="397"/>
      <c r="D1027" s="397"/>
      <c r="E1027" s="397"/>
      <c r="F1027" s="397"/>
      <c r="G1027" s="397"/>
      <c r="H1027" s="397"/>
      <c r="I1027" s="397"/>
      <c r="J1027" s="397"/>
      <c r="K1027" s="398"/>
    </row>
    <row r="1028" spans="2:11" ht="15" customHeight="1" x14ac:dyDescent="0.2">
      <c r="B1028" s="396"/>
      <c r="C1028" s="397"/>
      <c r="D1028" s="397"/>
      <c r="E1028" s="397"/>
      <c r="F1028" s="397"/>
      <c r="G1028" s="397"/>
      <c r="H1028" s="397"/>
      <c r="I1028" s="397"/>
      <c r="J1028" s="397"/>
      <c r="K1028" s="398"/>
    </row>
    <row r="1029" spans="2:11" ht="15" customHeight="1" x14ac:dyDescent="0.2">
      <c r="B1029" s="393"/>
      <c r="C1029" s="394"/>
      <c r="D1029" s="394"/>
      <c r="E1029" s="394"/>
      <c r="F1029" s="394"/>
      <c r="G1029" s="394"/>
      <c r="H1029" s="394"/>
      <c r="I1029" s="394"/>
      <c r="J1029" s="394"/>
      <c r="K1029" s="395"/>
    </row>
  </sheetData>
  <sheetProtection password="C7B0" sheet="1" objects="1" scenarios="1" formatCells="0" formatColumns="0" formatRows="0" selectLockedCells="1"/>
  <mergeCells count="152">
    <mergeCell ref="B1027:K1027"/>
    <mergeCell ref="B1028:K1028"/>
    <mergeCell ref="B1029:K1029"/>
    <mergeCell ref="B1021:K1021"/>
    <mergeCell ref="B1022:K1022"/>
    <mergeCell ref="B1023:K1023"/>
    <mergeCell ref="B1024:K1024"/>
    <mergeCell ref="B1025:K1025"/>
    <mergeCell ref="B1026:K1026"/>
    <mergeCell ref="B1015:K1015"/>
    <mergeCell ref="B1016:K1016"/>
    <mergeCell ref="B1017:K1017"/>
    <mergeCell ref="B1018:K1018"/>
    <mergeCell ref="B1019:K1019"/>
    <mergeCell ref="B1020:K1020"/>
    <mergeCell ref="B1009:K1009"/>
    <mergeCell ref="B1010:K1010"/>
    <mergeCell ref="B1011:K1011"/>
    <mergeCell ref="B1012:K1012"/>
    <mergeCell ref="B1013:K1013"/>
    <mergeCell ref="B1014:K1014"/>
    <mergeCell ref="F959:H960"/>
    <mergeCell ref="B1004:K1004"/>
    <mergeCell ref="B1005:K1005"/>
    <mergeCell ref="B1006:K1006"/>
    <mergeCell ref="B1007:K1007"/>
    <mergeCell ref="B1008:K1008"/>
    <mergeCell ref="G912:H912"/>
    <mergeCell ref="G916:H916"/>
    <mergeCell ref="G920:H920"/>
    <mergeCell ref="G924:H924"/>
    <mergeCell ref="G928:H928"/>
    <mergeCell ref="G932:H932"/>
    <mergeCell ref="G882:H882"/>
    <mergeCell ref="G886:H886"/>
    <mergeCell ref="G890:H890"/>
    <mergeCell ref="C900:J901"/>
    <mergeCell ref="G904:H904"/>
    <mergeCell ref="G908:H908"/>
    <mergeCell ref="G858:H858"/>
    <mergeCell ref="G862:H862"/>
    <mergeCell ref="G866:H866"/>
    <mergeCell ref="G870:H870"/>
    <mergeCell ref="G874:H874"/>
    <mergeCell ref="G878:H878"/>
    <mergeCell ref="G834:H834"/>
    <mergeCell ref="G838:H838"/>
    <mergeCell ref="G842:H842"/>
    <mergeCell ref="G846:H846"/>
    <mergeCell ref="G850:H850"/>
    <mergeCell ref="G854:H854"/>
    <mergeCell ref="G766:H766"/>
    <mergeCell ref="G767:H767"/>
    <mergeCell ref="G768:H768"/>
    <mergeCell ref="G769:H769"/>
    <mergeCell ref="G770:H770"/>
    <mergeCell ref="C830:J831"/>
    <mergeCell ref="G755:H755"/>
    <mergeCell ref="C759:J761"/>
    <mergeCell ref="G762:H762"/>
    <mergeCell ref="G763:H763"/>
    <mergeCell ref="G764:H764"/>
    <mergeCell ref="G765:H765"/>
    <mergeCell ref="G749:H749"/>
    <mergeCell ref="G750:H750"/>
    <mergeCell ref="G751:H751"/>
    <mergeCell ref="G752:H752"/>
    <mergeCell ref="G753:H753"/>
    <mergeCell ref="G754:H754"/>
    <mergeCell ref="G738:H738"/>
    <mergeCell ref="G739:H739"/>
    <mergeCell ref="G740:H740"/>
    <mergeCell ref="C744:J746"/>
    <mergeCell ref="G747:H747"/>
    <mergeCell ref="G748:H748"/>
    <mergeCell ref="G732:H732"/>
    <mergeCell ref="G733:H733"/>
    <mergeCell ref="G734:H734"/>
    <mergeCell ref="G735:H735"/>
    <mergeCell ref="G736:H736"/>
    <mergeCell ref="G737:H737"/>
    <mergeCell ref="G721:H721"/>
    <mergeCell ref="G722:H722"/>
    <mergeCell ref="G723:H723"/>
    <mergeCell ref="G724:H724"/>
    <mergeCell ref="G725:H725"/>
    <mergeCell ref="C729:J731"/>
    <mergeCell ref="C677:J677"/>
    <mergeCell ref="C714:J716"/>
    <mergeCell ref="G717:H717"/>
    <mergeCell ref="G718:H718"/>
    <mergeCell ref="G719:H719"/>
    <mergeCell ref="G720:H720"/>
    <mergeCell ref="C620:I621"/>
    <mergeCell ref="C633:J633"/>
    <mergeCell ref="C639:I640"/>
    <mergeCell ref="C641:I643"/>
    <mergeCell ref="C655:J655"/>
    <mergeCell ref="D664:I665"/>
    <mergeCell ref="C560:J560"/>
    <mergeCell ref="C566:I568"/>
    <mergeCell ref="C569:I571"/>
    <mergeCell ref="C583:J583"/>
    <mergeCell ref="C599:J599"/>
    <mergeCell ref="C613:J613"/>
    <mergeCell ref="C477:I478"/>
    <mergeCell ref="C486:J486"/>
    <mergeCell ref="C502:J502"/>
    <mergeCell ref="C518:J518"/>
    <mergeCell ref="C524:I525"/>
    <mergeCell ref="C535:J535"/>
    <mergeCell ref="C416:J416"/>
    <mergeCell ref="C420:I421"/>
    <mergeCell ref="C438:J438"/>
    <mergeCell ref="C444:I445"/>
    <mergeCell ref="C455:J455"/>
    <mergeCell ref="C471:J471"/>
    <mergeCell ref="C347:J347"/>
    <mergeCell ref="C365:J365"/>
    <mergeCell ref="C371:I372"/>
    <mergeCell ref="C385:J385"/>
    <mergeCell ref="C391:I392"/>
    <mergeCell ref="C402:J402"/>
    <mergeCell ref="C305:J305"/>
    <mergeCell ref="C311:I312"/>
    <mergeCell ref="C324:J324"/>
    <mergeCell ref="C330:I331"/>
    <mergeCell ref="C340:I341"/>
    <mergeCell ref="D343:I344"/>
    <mergeCell ref="C196:J196"/>
    <mergeCell ref="C216:J216"/>
    <mergeCell ref="C237:J237"/>
    <mergeCell ref="C257:J257"/>
    <mergeCell ref="C286:J286"/>
    <mergeCell ref="C292:I293"/>
    <mergeCell ref="C114:J114"/>
    <mergeCell ref="C120:J122"/>
    <mergeCell ref="C123:J124"/>
    <mergeCell ref="C129:J129"/>
    <mergeCell ref="C155:J155"/>
    <mergeCell ref="C176:J176"/>
    <mergeCell ref="B10:K10"/>
    <mergeCell ref="E15:J15"/>
    <mergeCell ref="C38:J38"/>
    <mergeCell ref="C57:J57"/>
    <mergeCell ref="C76:J76"/>
    <mergeCell ref="C95:J95"/>
    <mergeCell ref="G3:I3"/>
    <mergeCell ref="B6:K6"/>
    <mergeCell ref="B7:K7"/>
    <mergeCell ref="B8:K8"/>
    <mergeCell ref="B9:K9"/>
  </mergeCells>
  <dataValidations count="23">
    <dataValidation type="list" allowBlank="1" showInputMessage="1" showErrorMessage="1" sqref="J672" xr:uid="{00000000-0002-0000-2300-000000000000}">
      <formula1>$N$671:$N$676</formula1>
    </dataValidation>
    <dataValidation type="list" allowBlank="1" showInputMessage="1" showErrorMessage="1" sqref="J650" xr:uid="{00000000-0002-0000-2300-000001000000}">
      <formula1>$N$649:$N$654</formula1>
    </dataValidation>
    <dataValidation type="list" allowBlank="1" showInputMessage="1" showErrorMessage="1" sqref="J628" xr:uid="{00000000-0002-0000-2300-000002000000}">
      <formula1>$N$627:$N$632</formula1>
    </dataValidation>
    <dataValidation type="list" allowBlank="1" showInputMessage="1" showErrorMessage="1" sqref="J578" xr:uid="{00000000-0002-0000-2300-000003000000}">
      <formula1>$N$577:$N$582</formula1>
    </dataValidation>
    <dataValidation type="list" allowBlank="1" showInputMessage="1" showErrorMessage="1" sqref="J555" xr:uid="{00000000-0002-0000-2300-000004000000}">
      <formula1>$N$554:$N$559</formula1>
    </dataValidation>
    <dataValidation type="list" allowBlank="1" showInputMessage="1" showErrorMessage="1" sqref="J281" xr:uid="{00000000-0002-0000-2300-000005000000}">
      <formula1>$N$280:$N$285</formula1>
    </dataValidation>
    <dataValidation type="list" allowBlank="1" showInputMessage="1" showErrorMessage="1" sqref="J252" xr:uid="{00000000-0002-0000-2300-000006000000}">
      <formula1>$N$251:$N$256</formula1>
    </dataValidation>
    <dataValidation type="list" allowBlank="1" showInputMessage="1" showErrorMessage="1" sqref="J232" xr:uid="{00000000-0002-0000-2300-000007000000}">
      <formula1>$N$231:$N$236</formula1>
    </dataValidation>
    <dataValidation type="list" allowBlank="1" showInputMessage="1" showErrorMessage="1" sqref="J211" xr:uid="{00000000-0002-0000-2300-000008000000}">
      <formula1>$N$210:$N$215</formula1>
    </dataValidation>
    <dataValidation type="list" allowBlank="1" showInputMessage="1" showErrorMessage="1" sqref="J191" xr:uid="{00000000-0002-0000-2300-000009000000}">
      <formula1>$N$190:$N$195</formula1>
    </dataValidation>
    <dataValidation type="list" allowBlank="1" showInputMessage="1" showErrorMessage="1" sqref="J171" xr:uid="{00000000-0002-0000-2300-00000A000000}">
      <formula1>$N$170:$N$175</formula1>
    </dataValidation>
    <dataValidation type="list" allowBlank="1" showInputMessage="1" showErrorMessage="1" sqref="J150" xr:uid="{00000000-0002-0000-2300-00000B000000}">
      <formula1>$N$149:$N$154</formula1>
    </dataValidation>
    <dataValidation type="list" allowBlank="1" showInputMessage="1" showErrorMessage="1" sqref="J109" xr:uid="{00000000-0002-0000-2300-00000C000000}">
      <formula1>$N$108:$N$113</formula1>
    </dataValidation>
    <dataValidation type="list" allowBlank="1" showInputMessage="1" showErrorMessage="1" sqref="J90" xr:uid="{00000000-0002-0000-2300-00000D000000}">
      <formula1>$N$89:$N$94</formula1>
    </dataValidation>
    <dataValidation type="list" allowBlank="1" showInputMessage="1" showErrorMessage="1" sqref="J71" xr:uid="{00000000-0002-0000-2300-00000E000000}">
      <formula1>$N$70:$N$75</formula1>
    </dataValidation>
    <dataValidation type="list" allowBlank="1" showInputMessage="1" showErrorMessage="1" sqref="J52" xr:uid="{00000000-0002-0000-2300-00000F000000}">
      <formula1>$N$51:$N$56</formula1>
    </dataValidation>
    <dataValidation type="list" allowBlank="1" showInputMessage="1" showErrorMessage="1" sqref="J33" xr:uid="{00000000-0002-0000-2300-000010000000}">
      <formula1>$N$32:$N$37</formula1>
    </dataValidation>
    <dataValidation type="list" allowBlank="1" showInputMessage="1" showErrorMessage="1" sqref="J35 J213 J283 J652 J234 J54 J193 J173 J152 J126 J111 J92 J73 J254 J435 J452 J468 J499 J515 J532 J557 J580 J596 J674 J630" xr:uid="{00000000-0002-0000-2300-000011000000}">
      <formula1>$B$973:$B$977</formula1>
    </dataValidation>
    <dataValidation type="list" allowBlank="1" showInputMessage="1" showErrorMessage="1" sqref="C123:J124" xr:uid="{00000000-0002-0000-2300-000012000000}">
      <formula1>$B$987:$B$991</formula1>
    </dataValidation>
    <dataValidation type="list" allowBlank="1" showInputMessage="1" showErrorMessage="1" sqref="J302 J362" xr:uid="{00000000-0002-0000-2300-000013000000}">
      <formula1>$B$980:$B$984</formula1>
    </dataValidation>
    <dataValidation type="list" allowBlank="1" showInputMessage="1" showErrorMessage="1" sqref="G717:H725 G762:H770 G732:H740 G747:H755" xr:uid="{00000000-0002-0000-2300-000014000000}">
      <formula1>$B$994:$B$995</formula1>
    </dataValidation>
    <dataValidation type="list" allowBlank="1" showInputMessage="1" showErrorMessage="1" sqref="G834:H834 G890:H890 G886:H886 G882:H882 G878:H878 G874:H874 G870:H870 G866:H866 G862:H862 G858:H858 G854:H854 G850:H850 G846:H846 G842:H842 G838:H838 G904:H904 G932:H932 G928:H928 G924:H924 G920:H920 G916:H916 G912:H912 G908:H908" xr:uid="{00000000-0002-0000-2300-000015000000}">
      <formula1>$B$998:$B$1002</formula1>
    </dataValidation>
    <dataValidation type="list" allowBlank="1" showInputMessage="1" showErrorMessage="1" sqref="E15:J15" xr:uid="{00000000-0002-0000-2300-000016000000}">
      <formula1>$C$966:$C$970</formula1>
    </dataValidation>
  </dataValidations>
  <pageMargins left="0.7" right="0.7" top="0.75" bottom="0.75" header="0.3" footer="0.3"/>
  <pageSetup scale="70"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74"/>
  <dimension ref="A1:N1029"/>
  <sheetViews>
    <sheetView showGridLines="0" showRowColHeaders="0" zoomScale="85" zoomScaleNormal="85" workbookViewId="0">
      <selection activeCell="G3" sqref="G3:I3"/>
    </sheetView>
  </sheetViews>
  <sheetFormatPr baseColWidth="10" defaultColWidth="9.1640625" defaultRowHeight="15" x14ac:dyDescent="0.2"/>
  <cols>
    <col min="1" max="1" width="9.1640625" style="12"/>
    <col min="2" max="3" width="9.1640625" style="12" customWidth="1"/>
    <col min="4" max="4" width="9.1640625" style="12"/>
    <col min="5" max="5" width="9.1640625" style="12" customWidth="1"/>
    <col min="6" max="9" width="9.1640625" style="12"/>
    <col min="10" max="10" width="25.6640625" style="12" customWidth="1"/>
    <col min="11" max="12" width="9.1640625" style="12"/>
    <col min="13" max="13" width="9.1640625" style="12" customWidth="1"/>
    <col min="14" max="14" width="9.1640625" style="12" hidden="1" customWidth="1"/>
    <col min="15" max="16384" width="9.1640625" style="12"/>
  </cols>
  <sheetData>
    <row r="1" spans="2:13" x14ac:dyDescent="0.2">
      <c r="I1" s="29"/>
    </row>
    <row r="2" spans="2:13" ht="33" x14ac:dyDescent="0.2">
      <c r="G2" s="16" t="s">
        <v>1038</v>
      </c>
      <c r="I2" s="29"/>
    </row>
    <row r="3" spans="2:13" ht="23" x14ac:dyDescent="0.25">
      <c r="F3" s="306" t="s">
        <v>1042</v>
      </c>
      <c r="G3" s="479"/>
      <c r="H3" s="480"/>
      <c r="I3" s="481"/>
      <c r="L3" s="157"/>
      <c r="M3" s="157"/>
    </row>
    <row r="4" spans="2:13" x14ac:dyDescent="0.2">
      <c r="G4" s="98"/>
      <c r="I4" s="29"/>
      <c r="L4" s="158"/>
      <c r="M4" s="157"/>
    </row>
    <row r="5" spans="2:13" x14ac:dyDescent="0.2">
      <c r="B5" s="12" t="s">
        <v>1043</v>
      </c>
      <c r="G5" s="98"/>
      <c r="I5" s="29"/>
      <c r="L5" s="158"/>
      <c r="M5" s="157"/>
    </row>
    <row r="6" spans="2:13" ht="121.5" customHeight="1" x14ac:dyDescent="0.2">
      <c r="B6" s="476"/>
      <c r="C6" s="477"/>
      <c r="D6" s="477"/>
      <c r="E6" s="477"/>
      <c r="F6" s="477"/>
      <c r="G6" s="477"/>
      <c r="H6" s="477"/>
      <c r="I6" s="477"/>
      <c r="J6" s="477"/>
      <c r="K6" s="478"/>
      <c r="L6" s="158"/>
      <c r="M6" s="157"/>
    </row>
    <row r="7" spans="2:13" x14ac:dyDescent="0.2">
      <c r="B7" s="426"/>
      <c r="C7" s="426"/>
      <c r="D7" s="426"/>
      <c r="E7" s="426"/>
      <c r="F7" s="426"/>
      <c r="G7" s="426"/>
      <c r="H7" s="426"/>
      <c r="I7" s="426"/>
      <c r="J7" s="426"/>
      <c r="K7" s="426"/>
      <c r="L7" s="158"/>
    </row>
    <row r="8" spans="2:13" ht="75" customHeight="1" x14ac:dyDescent="0.2">
      <c r="B8" s="425" t="s">
        <v>664</v>
      </c>
      <c r="C8" s="341"/>
      <c r="D8" s="341"/>
      <c r="E8" s="341"/>
      <c r="F8" s="341"/>
      <c r="G8" s="341"/>
      <c r="H8" s="341"/>
      <c r="I8" s="341"/>
      <c r="J8" s="341"/>
      <c r="K8" s="341"/>
    </row>
    <row r="9" spans="2:13" ht="30" customHeight="1" x14ac:dyDescent="0.2">
      <c r="B9" s="445" t="s">
        <v>665</v>
      </c>
      <c r="C9" s="446"/>
      <c r="D9" s="446"/>
      <c r="E9" s="446"/>
      <c r="F9" s="446"/>
      <c r="G9" s="446"/>
      <c r="H9" s="446"/>
      <c r="I9" s="446"/>
      <c r="J9" s="446"/>
      <c r="K9" s="446"/>
    </row>
    <row r="10" spans="2:13" ht="121.5" customHeight="1" x14ac:dyDescent="0.2">
      <c r="B10" s="447"/>
      <c r="C10" s="448"/>
      <c r="D10" s="448"/>
      <c r="E10" s="448"/>
      <c r="F10" s="448"/>
      <c r="G10" s="448"/>
      <c r="H10" s="448"/>
      <c r="I10" s="448"/>
      <c r="J10" s="448"/>
      <c r="K10" s="449"/>
    </row>
    <row r="11" spans="2:13" ht="16" thickBot="1" x14ac:dyDescent="0.25"/>
    <row r="12" spans="2:13" x14ac:dyDescent="0.2">
      <c r="B12" s="159"/>
      <c r="C12" s="160"/>
      <c r="D12" s="160"/>
      <c r="E12" s="160"/>
      <c r="F12" s="160"/>
      <c r="G12" s="160"/>
      <c r="H12" s="160"/>
      <c r="I12" s="160"/>
      <c r="J12" s="160"/>
      <c r="K12" s="161"/>
    </row>
    <row r="13" spans="2:13" ht="21" x14ac:dyDescent="0.25">
      <c r="B13" s="162"/>
      <c r="C13" s="163"/>
      <c r="D13" s="163"/>
      <c r="E13" s="163"/>
      <c r="F13" s="163"/>
      <c r="G13" s="164" t="s">
        <v>226</v>
      </c>
      <c r="H13" s="163"/>
      <c r="I13" s="163"/>
      <c r="J13" s="163"/>
      <c r="K13" s="165"/>
    </row>
    <row r="14" spans="2:13" ht="21" x14ac:dyDescent="0.25">
      <c r="B14" s="162"/>
      <c r="C14" s="163"/>
      <c r="D14" s="163"/>
      <c r="E14" s="163"/>
      <c r="F14" s="163"/>
      <c r="G14" s="164"/>
      <c r="H14" s="163"/>
      <c r="I14" s="163"/>
      <c r="J14" s="163"/>
      <c r="K14" s="165"/>
    </row>
    <row r="15" spans="2:13" ht="26.25" customHeight="1" x14ac:dyDescent="0.2">
      <c r="B15" s="162"/>
      <c r="C15" s="163" t="s">
        <v>255</v>
      </c>
      <c r="D15" s="163"/>
      <c r="E15" s="412"/>
      <c r="F15" s="437"/>
      <c r="G15" s="437"/>
      <c r="H15" s="437"/>
      <c r="I15" s="437"/>
      <c r="J15" s="438"/>
      <c r="K15" s="165"/>
    </row>
    <row r="16" spans="2:13" x14ac:dyDescent="0.2">
      <c r="B16" s="162"/>
      <c r="C16" s="163"/>
      <c r="D16" s="163"/>
      <c r="E16" s="163"/>
      <c r="F16" s="163"/>
      <c r="G16" s="163"/>
      <c r="H16" s="163"/>
      <c r="I16" s="163"/>
      <c r="J16" s="163"/>
      <c r="K16" s="165"/>
    </row>
    <row r="17" spans="2:14" x14ac:dyDescent="0.2">
      <c r="B17" s="162"/>
      <c r="C17" s="166" t="s">
        <v>256</v>
      </c>
      <c r="D17" s="163"/>
      <c r="E17" s="167" t="str">
        <f>IF(E15=$C$966,$A$966,IF(E15=$C$967,$A$967,IF(E15=$C$968,$A$968,IF(E15=$C$969,$A$969,IF(E15=$C$970,$A$970,"Not Calculated")))))</f>
        <v>Not Calculated</v>
      </c>
      <c r="F17" s="163"/>
      <c r="G17" s="163"/>
      <c r="H17" s="163"/>
      <c r="I17" s="163"/>
      <c r="J17" s="163"/>
      <c r="K17" s="165"/>
    </row>
    <row r="18" spans="2:14" x14ac:dyDescent="0.2">
      <c r="B18" s="162"/>
      <c r="C18" s="163"/>
      <c r="D18" s="163"/>
      <c r="E18" s="167" t="str">
        <f>IF(E15=$C$966,$B$966,IF(E15=$C$967,$B$967,IF(E15=$C$968,$B$968,IF(E15=$C$969,$B$969,IF(E15=$C$970,$B$970,"Not Calculated")))))</f>
        <v>Not Calculated</v>
      </c>
      <c r="F18" s="163"/>
      <c r="G18" s="163"/>
      <c r="H18" s="163"/>
      <c r="I18" s="163"/>
      <c r="J18" s="163"/>
      <c r="K18" s="165"/>
    </row>
    <row r="19" spans="2:14" ht="16" thickBot="1" x14ac:dyDescent="0.25">
      <c r="B19" s="168"/>
      <c r="C19" s="169"/>
      <c r="D19" s="169"/>
      <c r="E19" s="169"/>
      <c r="F19" s="169"/>
      <c r="G19" s="169"/>
      <c r="H19" s="169"/>
      <c r="I19" s="169"/>
      <c r="J19" s="169"/>
      <c r="K19" s="170"/>
    </row>
    <row r="20" spans="2:14" ht="16" thickBot="1" x14ac:dyDescent="0.25"/>
    <row r="21" spans="2:14" x14ac:dyDescent="0.2">
      <c r="B21" s="33"/>
      <c r="C21" s="34"/>
      <c r="D21" s="34"/>
      <c r="E21" s="34"/>
      <c r="F21" s="34"/>
      <c r="G21" s="34"/>
      <c r="H21" s="34"/>
      <c r="I21" s="34"/>
      <c r="J21" s="34"/>
      <c r="K21" s="37"/>
    </row>
    <row r="22" spans="2:14" ht="21" x14ac:dyDescent="0.25">
      <c r="B22" s="38"/>
      <c r="C22" s="171"/>
      <c r="D22" s="40"/>
      <c r="E22" s="40"/>
      <c r="F22" s="40"/>
      <c r="G22" s="172" t="s">
        <v>26</v>
      </c>
      <c r="H22" s="40"/>
      <c r="I22" s="40"/>
      <c r="J22" s="40"/>
      <c r="K22" s="41"/>
    </row>
    <row r="23" spans="2:14" x14ac:dyDescent="0.2">
      <c r="B23" s="38"/>
      <c r="C23" s="40"/>
      <c r="D23" s="40"/>
      <c r="E23" s="40"/>
      <c r="F23" s="40"/>
      <c r="G23" s="40"/>
      <c r="H23" s="40"/>
      <c r="I23" s="40"/>
      <c r="J23" s="40"/>
      <c r="K23" s="41"/>
    </row>
    <row r="24" spans="2:14" ht="16" x14ac:dyDescent="0.2">
      <c r="B24" s="38"/>
      <c r="C24" s="45" t="s">
        <v>61</v>
      </c>
      <c r="D24" s="40"/>
      <c r="E24" s="40"/>
      <c r="F24" s="40"/>
      <c r="G24" s="40"/>
      <c r="H24" s="40"/>
      <c r="I24" s="40"/>
      <c r="J24" s="40"/>
      <c r="K24" s="41"/>
    </row>
    <row r="25" spans="2:14" x14ac:dyDescent="0.2">
      <c r="B25" s="38"/>
      <c r="C25" s="40" t="s">
        <v>434</v>
      </c>
      <c r="D25" s="40"/>
      <c r="E25" s="40"/>
      <c r="F25" s="40"/>
      <c r="G25" s="40"/>
      <c r="H25" s="40"/>
      <c r="I25" s="40"/>
      <c r="J25" s="252">
        <f>'Baseline Health'!G11</f>
        <v>0</v>
      </c>
      <c r="K25" s="41"/>
    </row>
    <row r="26" spans="2:14" x14ac:dyDescent="0.2">
      <c r="B26" s="38"/>
      <c r="C26" s="40" t="s">
        <v>288</v>
      </c>
      <c r="D26" s="40"/>
      <c r="E26" s="40"/>
      <c r="F26" s="40"/>
      <c r="G26" s="40"/>
      <c r="H26" s="40"/>
      <c r="I26" s="40"/>
      <c r="J26" s="264"/>
      <c r="K26" s="41"/>
    </row>
    <row r="27" spans="2:14" x14ac:dyDescent="0.2">
      <c r="B27" s="38"/>
      <c r="C27" s="40" t="s">
        <v>260</v>
      </c>
      <c r="D27" s="40"/>
      <c r="E27" s="40"/>
      <c r="F27" s="40"/>
      <c r="G27" s="40"/>
      <c r="H27" s="40"/>
      <c r="I27" s="40"/>
      <c r="J27" s="248" t="str">
        <f>IF(OR(J25=0,J25="Not Calculated")=TRUE,"Not Calculated",(IF(((J26+J25)/J25)&lt;=1,0,IF(((J26+J25)/J25)&lt;=1.05,1,IF(((J26+J25)/J25)&lt;=1.5, 2,IF(((J26+J25)/J25)&lt;=2,3,4))))))</f>
        <v>Not Calculated</v>
      </c>
      <c r="K27" s="41"/>
    </row>
    <row r="28" spans="2:14" ht="9.75" customHeight="1" x14ac:dyDescent="0.2">
      <c r="B28" s="38"/>
      <c r="C28" s="279" t="str">
        <f>"0:"</f>
        <v>0:</v>
      </c>
      <c r="D28" s="281" t="s">
        <v>918</v>
      </c>
      <c r="E28" s="40"/>
      <c r="F28" s="40"/>
      <c r="G28" s="40"/>
      <c r="H28" s="40"/>
      <c r="I28" s="40"/>
      <c r="J28" s="40"/>
      <c r="K28" s="41"/>
    </row>
    <row r="29" spans="2:14" ht="9.75" customHeight="1" x14ac:dyDescent="0.2">
      <c r="B29" s="38"/>
      <c r="C29" s="280" t="str">
        <f>"1:"</f>
        <v>1:</v>
      </c>
      <c r="D29" s="281" t="s">
        <v>919</v>
      </c>
      <c r="E29" s="40"/>
      <c r="F29" s="40"/>
      <c r="G29" s="40"/>
      <c r="H29" s="40"/>
      <c r="I29" s="40"/>
      <c r="J29" s="40"/>
      <c r="K29" s="41"/>
    </row>
    <row r="30" spans="2:14" ht="9.75" customHeight="1" x14ac:dyDescent="0.2">
      <c r="B30" s="38"/>
      <c r="C30" s="280" t="str">
        <f>"2:"</f>
        <v>2:</v>
      </c>
      <c r="D30" s="281" t="s">
        <v>920</v>
      </c>
      <c r="E30" s="40"/>
      <c r="F30" s="40"/>
      <c r="G30" s="40"/>
      <c r="H30" s="40"/>
      <c r="I30" s="40"/>
      <c r="J30" s="40"/>
      <c r="K30" s="41"/>
    </row>
    <row r="31" spans="2:14" ht="9.75" customHeight="1" x14ac:dyDescent="0.2">
      <c r="B31" s="38"/>
      <c r="C31" s="280" t="str">
        <f>"3:"</f>
        <v>3:</v>
      </c>
      <c r="D31" s="281" t="s">
        <v>921</v>
      </c>
      <c r="E31" s="40"/>
      <c r="F31" s="40"/>
      <c r="G31" s="40"/>
      <c r="H31" s="40"/>
      <c r="I31" s="40"/>
      <c r="J31" s="40"/>
      <c r="K31" s="41"/>
    </row>
    <row r="32" spans="2:14" ht="9.75" customHeight="1" x14ac:dyDescent="0.2">
      <c r="B32" s="38"/>
      <c r="C32" s="280" t="str">
        <f>"4:"</f>
        <v>4:</v>
      </c>
      <c r="D32" s="281" t="s">
        <v>922</v>
      </c>
      <c r="E32" s="40"/>
      <c r="F32" s="40"/>
      <c r="G32" s="40"/>
      <c r="H32" s="40"/>
      <c r="I32" s="40"/>
      <c r="J32" s="40"/>
      <c r="K32" s="41"/>
      <c r="N32" s="12" t="s">
        <v>661</v>
      </c>
    </row>
    <row r="33" spans="2:14" x14ac:dyDescent="0.2">
      <c r="B33" s="38"/>
      <c r="C33" s="174" t="s">
        <v>662</v>
      </c>
      <c r="D33" s="40"/>
      <c r="E33" s="40"/>
      <c r="F33" s="40"/>
      <c r="G33" s="40"/>
      <c r="H33" s="40"/>
      <c r="I33" s="40"/>
      <c r="J33" s="265" t="s">
        <v>661</v>
      </c>
      <c r="K33" s="41"/>
      <c r="N33" s="12" t="s">
        <v>894</v>
      </c>
    </row>
    <row r="34" spans="2:14" x14ac:dyDescent="0.2">
      <c r="B34" s="38"/>
      <c r="C34" s="174" t="s">
        <v>660</v>
      </c>
      <c r="D34" s="40"/>
      <c r="E34" s="40"/>
      <c r="F34" s="40"/>
      <c r="G34" s="40"/>
      <c r="H34" s="40"/>
      <c r="I34" s="40"/>
      <c r="J34" s="246" t="str">
        <f>IF(J33=N32,"N/A",IF(J33=N33,0,IF(J33=N34,1,IF(J33=N35,2,IF(J33=N36,3,IF(J33=N37,4,"N/A"))))))</f>
        <v>N/A</v>
      </c>
      <c r="K34" s="41"/>
      <c r="N34" s="12" t="s">
        <v>895</v>
      </c>
    </row>
    <row r="35" spans="2:14" x14ac:dyDescent="0.2">
      <c r="B35" s="38"/>
      <c r="C35" s="40" t="s">
        <v>257</v>
      </c>
      <c r="D35" s="40"/>
      <c r="E35" s="40"/>
      <c r="F35" s="40"/>
      <c r="G35" s="40"/>
      <c r="H35" s="40"/>
      <c r="I35" s="40"/>
      <c r="J35" s="266"/>
      <c r="K35" s="41"/>
      <c r="N35" s="12" t="s">
        <v>896</v>
      </c>
    </row>
    <row r="36" spans="2:14" x14ac:dyDescent="0.2">
      <c r="B36" s="38"/>
      <c r="C36" s="40" t="s">
        <v>261</v>
      </c>
      <c r="D36" s="40"/>
      <c r="E36" s="40"/>
      <c r="F36" s="40"/>
      <c r="G36" s="40"/>
      <c r="H36" s="40"/>
      <c r="I36" s="40"/>
      <c r="J36" s="245" t="str">
        <f>IF(J35=$B$973,$A$973,IF(J35=$B$974,$A$974,IF(J35=$B$975,$A$975,IF(J35=$B$976,$A$976,IF(J35=$B$977,$A$977,"Not Calculated")))))</f>
        <v>Not Calculated</v>
      </c>
      <c r="K36" s="41"/>
      <c r="N36" s="12" t="s">
        <v>897</v>
      </c>
    </row>
    <row r="37" spans="2:14" x14ac:dyDescent="0.2">
      <c r="B37" s="38"/>
      <c r="C37" s="40" t="s">
        <v>893</v>
      </c>
      <c r="D37" s="40"/>
      <c r="E37" s="40"/>
      <c r="F37" s="40"/>
      <c r="G37" s="40"/>
      <c r="H37" s="40"/>
      <c r="I37" s="40"/>
      <c r="J37" s="175"/>
      <c r="K37" s="41"/>
      <c r="N37" s="12" t="s">
        <v>898</v>
      </c>
    </row>
    <row r="38" spans="2:14" s="178" customFormat="1" x14ac:dyDescent="0.2">
      <c r="B38" s="176"/>
      <c r="C38" s="415"/>
      <c r="D38" s="400"/>
      <c r="E38" s="400"/>
      <c r="F38" s="400"/>
      <c r="G38" s="400"/>
      <c r="H38" s="400"/>
      <c r="I38" s="400"/>
      <c r="J38" s="401"/>
      <c r="K38" s="177"/>
    </row>
    <row r="39" spans="2:14" x14ac:dyDescent="0.2">
      <c r="B39" s="38"/>
      <c r="C39" s="40"/>
      <c r="D39" s="40"/>
      <c r="E39" s="40"/>
      <c r="F39" s="40"/>
      <c r="G39" s="40"/>
      <c r="H39" s="40"/>
      <c r="I39" s="40"/>
      <c r="J39" s="40"/>
      <c r="K39" s="41"/>
    </row>
    <row r="40" spans="2:14" x14ac:dyDescent="0.2">
      <c r="B40" s="38"/>
      <c r="C40" s="179" t="s">
        <v>258</v>
      </c>
      <c r="D40" s="40"/>
      <c r="E40" s="40"/>
      <c r="F40" s="40"/>
      <c r="G40" s="40"/>
      <c r="H40" s="40"/>
      <c r="I40" s="40"/>
      <c r="J40" s="245" t="str">
        <f>IF(J34="N/A",IF(OR(J27="Not Calculated",J36="Not Calculated")=TRUE,"Not Calculated",AVERAGE(J27,J36)),AVERAGE(J34,J36))</f>
        <v>Not Calculated</v>
      </c>
      <c r="K40" s="41"/>
    </row>
    <row r="41" spans="2:14" x14ac:dyDescent="0.2">
      <c r="B41" s="38"/>
      <c r="C41" s="179"/>
      <c r="D41" s="40"/>
      <c r="E41" s="40"/>
      <c r="F41" s="40"/>
      <c r="G41" s="40"/>
      <c r="H41" s="40"/>
      <c r="I41" s="40"/>
      <c r="J41" s="245"/>
      <c r="K41" s="41"/>
    </row>
    <row r="42" spans="2:14" x14ac:dyDescent="0.2">
      <c r="B42" s="38"/>
      <c r="C42" s="40"/>
      <c r="D42" s="40"/>
      <c r="E42" s="40"/>
      <c r="F42" s="40"/>
      <c r="G42" s="40"/>
      <c r="H42" s="40"/>
      <c r="I42" s="40"/>
      <c r="J42" s="40"/>
      <c r="K42" s="41"/>
    </row>
    <row r="43" spans="2:14" ht="16" x14ac:dyDescent="0.2">
      <c r="B43" s="38"/>
      <c r="C43" s="45" t="s">
        <v>51</v>
      </c>
      <c r="D43" s="40"/>
      <c r="E43" s="40"/>
      <c r="F43" s="40"/>
      <c r="G43" s="40"/>
      <c r="H43" s="40"/>
      <c r="I43" s="40"/>
      <c r="J43" s="40"/>
      <c r="K43" s="41"/>
    </row>
    <row r="44" spans="2:14" x14ac:dyDescent="0.2">
      <c r="B44" s="38"/>
      <c r="C44" s="40" t="s">
        <v>435</v>
      </c>
      <c r="D44" s="40"/>
      <c r="E44" s="40"/>
      <c r="F44" s="40"/>
      <c r="G44" s="40"/>
      <c r="H44" s="40"/>
      <c r="I44" s="40"/>
      <c r="J44" s="252">
        <f>'Baseline Health'!G17</f>
        <v>0</v>
      </c>
      <c r="K44" s="41"/>
    </row>
    <row r="45" spans="2:14" x14ac:dyDescent="0.2">
      <c r="B45" s="38"/>
      <c r="C45" s="40" t="s">
        <v>287</v>
      </c>
      <c r="D45" s="40"/>
      <c r="E45" s="40"/>
      <c r="F45" s="40"/>
      <c r="G45" s="40"/>
      <c r="H45" s="40"/>
      <c r="I45" s="40"/>
      <c r="J45" s="264"/>
      <c r="K45" s="41"/>
    </row>
    <row r="46" spans="2:14" x14ac:dyDescent="0.2">
      <c r="B46" s="38"/>
      <c r="C46" s="40" t="s">
        <v>260</v>
      </c>
      <c r="D46" s="40"/>
      <c r="E46" s="40"/>
      <c r="F46" s="40"/>
      <c r="G46" s="40"/>
      <c r="H46" s="40"/>
      <c r="I46" s="40"/>
      <c r="J46" s="248" t="str">
        <f>IF(OR(J44=0,J44="Not Calculated")=TRUE,"Not Calculated",(IF(((J45+J44)/J44)&lt;=1,0,IF(((J45+J44)/J44)&lt;=1.05,1,IF(((J45+J44)/J44)&lt;=1.5, 2,IF(((J45+J44)/J44)&lt;=2,3,4))))))</f>
        <v>Not Calculated</v>
      </c>
      <c r="K46" s="41"/>
    </row>
    <row r="47" spans="2:14" ht="9.75" customHeight="1" x14ac:dyDescent="0.2">
      <c r="B47" s="38"/>
      <c r="C47" s="279" t="str">
        <f>"0:"</f>
        <v>0:</v>
      </c>
      <c r="D47" s="281" t="s">
        <v>918</v>
      </c>
      <c r="E47" s="40"/>
      <c r="F47" s="40"/>
      <c r="G47" s="40"/>
      <c r="H47" s="40"/>
      <c r="I47" s="40"/>
      <c r="J47" s="40"/>
      <c r="K47" s="41"/>
    </row>
    <row r="48" spans="2:14" ht="9.75" customHeight="1" x14ac:dyDescent="0.2">
      <c r="B48" s="38"/>
      <c r="C48" s="280" t="str">
        <f>"1:"</f>
        <v>1:</v>
      </c>
      <c r="D48" s="281" t="s">
        <v>919</v>
      </c>
      <c r="E48" s="40"/>
      <c r="F48" s="40"/>
      <c r="G48" s="40"/>
      <c r="H48" s="40"/>
      <c r="I48" s="40"/>
      <c r="J48" s="40"/>
      <c r="K48" s="41"/>
    </row>
    <row r="49" spans="2:14" ht="9.75" customHeight="1" x14ac:dyDescent="0.2">
      <c r="B49" s="38"/>
      <c r="C49" s="280" t="str">
        <f>"2:"</f>
        <v>2:</v>
      </c>
      <c r="D49" s="281" t="s">
        <v>920</v>
      </c>
      <c r="E49" s="40"/>
      <c r="F49" s="40"/>
      <c r="G49" s="40"/>
      <c r="H49" s="40"/>
      <c r="I49" s="40"/>
      <c r="J49" s="40"/>
      <c r="K49" s="41"/>
    </row>
    <row r="50" spans="2:14" ht="9.75" customHeight="1" x14ac:dyDescent="0.2">
      <c r="B50" s="38"/>
      <c r="C50" s="280" t="str">
        <f>"3:"</f>
        <v>3:</v>
      </c>
      <c r="D50" s="281" t="s">
        <v>921</v>
      </c>
      <c r="E50" s="40"/>
      <c r="F50" s="40"/>
      <c r="G50" s="40"/>
      <c r="H50" s="40"/>
      <c r="I50" s="40"/>
      <c r="J50" s="40"/>
      <c r="K50" s="41"/>
    </row>
    <row r="51" spans="2:14" ht="9.75" customHeight="1" x14ac:dyDescent="0.2">
      <c r="B51" s="38"/>
      <c r="C51" s="280" t="str">
        <f>"4:"</f>
        <v>4:</v>
      </c>
      <c r="D51" s="281" t="s">
        <v>922</v>
      </c>
      <c r="E51" s="40"/>
      <c r="F51" s="40"/>
      <c r="G51" s="40"/>
      <c r="H51" s="40"/>
      <c r="I51" s="40"/>
      <c r="J51" s="40"/>
      <c r="K51" s="41"/>
      <c r="N51" s="12" t="s">
        <v>661</v>
      </c>
    </row>
    <row r="52" spans="2:14" x14ac:dyDescent="0.2">
      <c r="B52" s="38"/>
      <c r="C52" s="174" t="s">
        <v>662</v>
      </c>
      <c r="D52" s="40"/>
      <c r="E52" s="40"/>
      <c r="F52" s="40"/>
      <c r="G52" s="40"/>
      <c r="H52" s="40"/>
      <c r="I52" s="40"/>
      <c r="J52" s="265" t="s">
        <v>661</v>
      </c>
      <c r="K52" s="41"/>
      <c r="N52" s="12" t="s">
        <v>894</v>
      </c>
    </row>
    <row r="53" spans="2:14" x14ac:dyDescent="0.2">
      <c r="B53" s="38"/>
      <c r="C53" s="174" t="s">
        <v>660</v>
      </c>
      <c r="D53" s="40"/>
      <c r="E53" s="40"/>
      <c r="F53" s="40"/>
      <c r="G53" s="40"/>
      <c r="H53" s="40"/>
      <c r="I53" s="40"/>
      <c r="J53" s="246" t="str">
        <f>IF(J52=N51,"N/A",IF(J52=N52,0,IF(J52=N53,1,IF(J52=N54,2,IF(J52=N55,3,IF(J52=N56,4,"N/A"))))))</f>
        <v>N/A</v>
      </c>
      <c r="K53" s="41"/>
      <c r="N53" s="12" t="s">
        <v>895</v>
      </c>
    </row>
    <row r="54" spans="2:14" x14ac:dyDescent="0.2">
      <c r="B54" s="38"/>
      <c r="C54" s="40" t="s">
        <v>257</v>
      </c>
      <c r="D54" s="40"/>
      <c r="E54" s="40"/>
      <c r="F54" s="40"/>
      <c r="G54" s="40"/>
      <c r="H54" s="40"/>
      <c r="I54" s="40"/>
      <c r="J54" s="266"/>
      <c r="K54" s="41"/>
      <c r="N54" s="12" t="s">
        <v>896</v>
      </c>
    </row>
    <row r="55" spans="2:14" x14ac:dyDescent="0.2">
      <c r="B55" s="38"/>
      <c r="C55" s="40" t="s">
        <v>261</v>
      </c>
      <c r="D55" s="40"/>
      <c r="E55" s="40"/>
      <c r="F55" s="40"/>
      <c r="G55" s="40"/>
      <c r="H55" s="40"/>
      <c r="I55" s="40"/>
      <c r="J55" s="245" t="str">
        <f>IF(J54=$B$973,$A$973,IF(J54=$B$974,$A$974,IF(J54=$B$975,$A$975,IF(J54=$B$976,$A$976,IF(J54=$B$977,$A$977,"Not Calculated")))))</f>
        <v>Not Calculated</v>
      </c>
      <c r="K55" s="41"/>
      <c r="N55" s="12" t="s">
        <v>897</v>
      </c>
    </row>
    <row r="56" spans="2:14" x14ac:dyDescent="0.2">
      <c r="B56" s="38"/>
      <c r="C56" s="40" t="s">
        <v>893</v>
      </c>
      <c r="D56" s="40"/>
      <c r="E56" s="40"/>
      <c r="F56" s="40"/>
      <c r="G56" s="40"/>
      <c r="H56" s="40"/>
      <c r="I56" s="40"/>
      <c r="J56" s="175"/>
      <c r="K56" s="41"/>
      <c r="N56" s="12" t="s">
        <v>898</v>
      </c>
    </row>
    <row r="57" spans="2:14" s="178" customFormat="1" ht="15" customHeight="1" x14ac:dyDescent="0.2">
      <c r="B57" s="176"/>
      <c r="C57" s="415"/>
      <c r="D57" s="400"/>
      <c r="E57" s="400"/>
      <c r="F57" s="400"/>
      <c r="G57" s="400"/>
      <c r="H57" s="400"/>
      <c r="I57" s="400"/>
      <c r="J57" s="401"/>
      <c r="K57" s="177"/>
    </row>
    <row r="58" spans="2:14" x14ac:dyDescent="0.2">
      <c r="B58" s="38"/>
      <c r="C58" s="40"/>
      <c r="D58" s="40"/>
      <c r="E58" s="40"/>
      <c r="F58" s="40"/>
      <c r="G58" s="40"/>
      <c r="H58" s="40"/>
      <c r="I58" s="40"/>
      <c r="J58" s="40"/>
      <c r="K58" s="41"/>
    </row>
    <row r="59" spans="2:14" x14ac:dyDescent="0.2">
      <c r="B59" s="38"/>
      <c r="C59" s="179" t="s">
        <v>263</v>
      </c>
      <c r="D59" s="40"/>
      <c r="E59" s="40"/>
      <c r="F59" s="40"/>
      <c r="G59" s="40"/>
      <c r="H59" s="40"/>
      <c r="I59" s="40"/>
      <c r="J59" s="245" t="str">
        <f>IF(J53="N/A",IF(OR(J46="Not Calculated",J55="Not Calculated")=TRUE,"Not Calculated",AVERAGE(J46,J55)),AVERAGE(J53,J55))</f>
        <v>Not Calculated</v>
      </c>
      <c r="K59" s="41"/>
    </row>
    <row r="60" spans="2:14" x14ac:dyDescent="0.2">
      <c r="B60" s="38"/>
      <c r="C60" s="40"/>
      <c r="D60" s="40"/>
      <c r="E60" s="40"/>
      <c r="F60" s="40"/>
      <c r="G60" s="40"/>
      <c r="H60" s="40"/>
      <c r="I60" s="40"/>
      <c r="J60" s="40"/>
      <c r="K60" s="41"/>
    </row>
    <row r="61" spans="2:14" x14ac:dyDescent="0.2">
      <c r="B61" s="38"/>
      <c r="C61" s="40"/>
      <c r="D61" s="40"/>
      <c r="E61" s="40"/>
      <c r="F61" s="40"/>
      <c r="G61" s="40"/>
      <c r="H61" s="40"/>
      <c r="I61" s="40"/>
      <c r="J61" s="40"/>
      <c r="K61" s="41"/>
    </row>
    <row r="62" spans="2:14" ht="16" x14ac:dyDescent="0.2">
      <c r="B62" s="38"/>
      <c r="C62" s="45" t="s">
        <v>54</v>
      </c>
      <c r="D62" s="40"/>
      <c r="E62" s="40"/>
      <c r="F62" s="40"/>
      <c r="G62" s="40"/>
      <c r="H62" s="40"/>
      <c r="I62" s="40"/>
      <c r="J62" s="40"/>
      <c r="K62" s="41"/>
    </row>
    <row r="63" spans="2:14" x14ac:dyDescent="0.2">
      <c r="B63" s="38"/>
      <c r="C63" s="40" t="s">
        <v>436</v>
      </c>
      <c r="D63" s="40"/>
      <c r="E63" s="40"/>
      <c r="F63" s="40"/>
      <c r="G63" s="40"/>
      <c r="H63" s="40"/>
      <c r="I63" s="40"/>
      <c r="J63" s="252">
        <f>'Baseline Health'!G23</f>
        <v>0</v>
      </c>
      <c r="K63" s="41"/>
    </row>
    <row r="64" spans="2:14" x14ac:dyDescent="0.2">
      <c r="B64" s="38"/>
      <c r="C64" s="40" t="s">
        <v>289</v>
      </c>
      <c r="D64" s="40"/>
      <c r="E64" s="40"/>
      <c r="F64" s="40"/>
      <c r="G64" s="40"/>
      <c r="H64" s="40"/>
      <c r="I64" s="40"/>
      <c r="J64" s="264"/>
      <c r="K64" s="41"/>
    </row>
    <row r="65" spans="2:14" x14ac:dyDescent="0.2">
      <c r="B65" s="38"/>
      <c r="C65" s="40" t="s">
        <v>260</v>
      </c>
      <c r="D65" s="40"/>
      <c r="E65" s="40"/>
      <c r="F65" s="40"/>
      <c r="G65" s="40"/>
      <c r="H65" s="40"/>
      <c r="I65" s="40"/>
      <c r="J65" s="248" t="str">
        <f>IF(OR(J63=0,J63="Not Calculated")=TRUE,"Not Calculated",(IF(((J64+J63)/J63)&lt;=1,0,IF(((J64+J63)/J63)&lt;=1.05,1,IF(((J64+J63)/J63)&lt;=1.5, 2,IF(((J64+J63)/J63)&lt;=2,3,4))))))</f>
        <v>Not Calculated</v>
      </c>
      <c r="K65" s="41"/>
    </row>
    <row r="66" spans="2:14" ht="9.75" customHeight="1" x14ac:dyDescent="0.2">
      <c r="B66" s="38"/>
      <c r="C66" s="279" t="str">
        <f>"0:"</f>
        <v>0:</v>
      </c>
      <c r="D66" s="281" t="s">
        <v>918</v>
      </c>
      <c r="E66" s="40"/>
      <c r="F66" s="40"/>
      <c r="G66" s="40"/>
      <c r="H66" s="40"/>
      <c r="I66" s="40"/>
      <c r="J66" s="40"/>
      <c r="K66" s="41"/>
    </row>
    <row r="67" spans="2:14" ht="9.75" customHeight="1" x14ac:dyDescent="0.2">
      <c r="B67" s="38"/>
      <c r="C67" s="280" t="str">
        <f>"1:"</f>
        <v>1:</v>
      </c>
      <c r="D67" s="281" t="s">
        <v>919</v>
      </c>
      <c r="E67" s="40"/>
      <c r="F67" s="40"/>
      <c r="G67" s="40"/>
      <c r="H67" s="40"/>
      <c r="I67" s="40"/>
      <c r="J67" s="40"/>
      <c r="K67" s="41"/>
    </row>
    <row r="68" spans="2:14" ht="9.75" customHeight="1" x14ac:dyDescent="0.2">
      <c r="B68" s="38"/>
      <c r="C68" s="280" t="str">
        <f>"2:"</f>
        <v>2:</v>
      </c>
      <c r="D68" s="281" t="s">
        <v>920</v>
      </c>
      <c r="E68" s="40"/>
      <c r="F68" s="40"/>
      <c r="G68" s="40"/>
      <c r="H68" s="40"/>
      <c r="I68" s="40"/>
      <c r="J68" s="40"/>
      <c r="K68" s="41"/>
    </row>
    <row r="69" spans="2:14" ht="9.75" customHeight="1" x14ac:dyDescent="0.2">
      <c r="B69" s="38"/>
      <c r="C69" s="280" t="str">
        <f>"3:"</f>
        <v>3:</v>
      </c>
      <c r="D69" s="281" t="s">
        <v>921</v>
      </c>
      <c r="E69" s="40"/>
      <c r="F69" s="40"/>
      <c r="G69" s="40"/>
      <c r="H69" s="40"/>
      <c r="I69" s="40"/>
      <c r="J69" s="40"/>
      <c r="K69" s="41"/>
    </row>
    <row r="70" spans="2:14" ht="9.75" customHeight="1" x14ac:dyDescent="0.2">
      <c r="B70" s="38"/>
      <c r="C70" s="280" t="str">
        <f>"4:"</f>
        <v>4:</v>
      </c>
      <c r="D70" s="281" t="s">
        <v>922</v>
      </c>
      <c r="E70" s="40"/>
      <c r="F70" s="40"/>
      <c r="G70" s="40"/>
      <c r="H70" s="40"/>
      <c r="I70" s="40"/>
      <c r="J70" s="40"/>
      <c r="K70" s="41"/>
      <c r="N70" s="12" t="s">
        <v>661</v>
      </c>
    </row>
    <row r="71" spans="2:14" x14ac:dyDescent="0.2">
      <c r="B71" s="38"/>
      <c r="C71" s="174" t="s">
        <v>662</v>
      </c>
      <c r="D71" s="40"/>
      <c r="E71" s="40"/>
      <c r="F71" s="40"/>
      <c r="G71" s="40"/>
      <c r="H71" s="40"/>
      <c r="I71" s="40"/>
      <c r="J71" s="265" t="s">
        <v>661</v>
      </c>
      <c r="K71" s="41"/>
      <c r="N71" s="12" t="s">
        <v>894</v>
      </c>
    </row>
    <row r="72" spans="2:14" x14ac:dyDescent="0.2">
      <c r="B72" s="38"/>
      <c r="C72" s="174" t="s">
        <v>660</v>
      </c>
      <c r="D72" s="40"/>
      <c r="E72" s="40"/>
      <c r="F72" s="40"/>
      <c r="G72" s="40"/>
      <c r="H72" s="40"/>
      <c r="I72" s="40"/>
      <c r="J72" s="246" t="str">
        <f>IF(J71=N70,"N/A",IF(J71=N71,0,IF(J71=N72,1,IF(J71=N73,2,IF(J71=N74,3,IF(J71=N75,4,"N/A"))))))</f>
        <v>N/A</v>
      </c>
      <c r="K72" s="41"/>
      <c r="N72" s="12" t="s">
        <v>895</v>
      </c>
    </row>
    <row r="73" spans="2:14" x14ac:dyDescent="0.2">
      <c r="B73" s="38"/>
      <c r="C73" s="40" t="s">
        <v>257</v>
      </c>
      <c r="D73" s="40"/>
      <c r="E73" s="40"/>
      <c r="F73" s="40"/>
      <c r="G73" s="40"/>
      <c r="H73" s="40"/>
      <c r="I73" s="40"/>
      <c r="J73" s="266"/>
      <c r="K73" s="41"/>
      <c r="N73" s="12" t="s">
        <v>896</v>
      </c>
    </row>
    <row r="74" spans="2:14" x14ac:dyDescent="0.2">
      <c r="B74" s="38"/>
      <c r="C74" s="40" t="s">
        <v>261</v>
      </c>
      <c r="D74" s="40"/>
      <c r="E74" s="40"/>
      <c r="F74" s="40"/>
      <c r="G74" s="40"/>
      <c r="H74" s="40"/>
      <c r="I74" s="40"/>
      <c r="J74" s="245" t="str">
        <f>IF(J73=$B$973,$A$973,IF(J73=$B$974,$A$974,IF(J73=$B$975,$A$975,IF(J73=$B$976,$A$976,IF(J73=$B$977,$A$977,"Not Calculated")))))</f>
        <v>Not Calculated</v>
      </c>
      <c r="K74" s="41"/>
      <c r="N74" s="12" t="s">
        <v>897</v>
      </c>
    </row>
    <row r="75" spans="2:14" x14ac:dyDescent="0.2">
      <c r="B75" s="38"/>
      <c r="C75" s="40" t="s">
        <v>893</v>
      </c>
      <c r="D75" s="40"/>
      <c r="E75" s="40"/>
      <c r="F75" s="40"/>
      <c r="G75" s="40"/>
      <c r="H75" s="40"/>
      <c r="I75" s="40"/>
      <c r="J75" s="175"/>
      <c r="K75" s="41"/>
      <c r="N75" s="12" t="s">
        <v>898</v>
      </c>
    </row>
    <row r="76" spans="2:14" s="178" customFormat="1" x14ac:dyDescent="0.2">
      <c r="B76" s="176"/>
      <c r="C76" s="415"/>
      <c r="D76" s="400"/>
      <c r="E76" s="400"/>
      <c r="F76" s="400"/>
      <c r="G76" s="400"/>
      <c r="H76" s="400"/>
      <c r="I76" s="400"/>
      <c r="J76" s="401"/>
      <c r="K76" s="177"/>
    </row>
    <row r="77" spans="2:14" x14ac:dyDescent="0.2">
      <c r="B77" s="38"/>
      <c r="C77" s="40"/>
      <c r="D77" s="40"/>
      <c r="E77" s="40"/>
      <c r="F77" s="40"/>
      <c r="G77" s="40"/>
      <c r="H77" s="40"/>
      <c r="I77" s="40"/>
      <c r="J77" s="40"/>
      <c r="K77" s="41"/>
    </row>
    <row r="78" spans="2:14" x14ac:dyDescent="0.2">
      <c r="B78" s="38"/>
      <c r="C78" s="179" t="s">
        <v>264</v>
      </c>
      <c r="D78" s="40"/>
      <c r="E78" s="40"/>
      <c r="F78" s="40"/>
      <c r="G78" s="40"/>
      <c r="H78" s="40"/>
      <c r="I78" s="40"/>
      <c r="J78" s="245" t="str">
        <f>IF(J72="N/A",IF(OR(J65="Not Calculated",J74="Not Calculated")=TRUE,"Not Calculated",AVERAGE(J65,J74)),AVERAGE(J72,J74))</f>
        <v>Not Calculated</v>
      </c>
      <c r="K78" s="41"/>
    </row>
    <row r="79" spans="2:14" x14ac:dyDescent="0.2">
      <c r="B79" s="38"/>
      <c r="C79" s="40"/>
      <c r="D79" s="40"/>
      <c r="E79" s="40"/>
      <c r="F79" s="40"/>
      <c r="G79" s="40"/>
      <c r="H79" s="40"/>
      <c r="I79" s="40"/>
      <c r="J79" s="40"/>
      <c r="K79" s="41"/>
    </row>
    <row r="80" spans="2:14" x14ac:dyDescent="0.2">
      <c r="B80" s="38"/>
      <c r="C80" s="40"/>
      <c r="D80" s="40"/>
      <c r="E80" s="40"/>
      <c r="F80" s="40"/>
      <c r="G80" s="40"/>
      <c r="H80" s="40"/>
      <c r="I80" s="40"/>
      <c r="J80" s="40"/>
      <c r="K80" s="41"/>
    </row>
    <row r="81" spans="2:14" ht="16" x14ac:dyDescent="0.2">
      <c r="B81" s="38"/>
      <c r="C81" s="45" t="s">
        <v>57</v>
      </c>
      <c r="D81" s="40"/>
      <c r="E81" s="40"/>
      <c r="F81" s="40"/>
      <c r="G81" s="40"/>
      <c r="H81" s="40"/>
      <c r="I81" s="40"/>
      <c r="J81" s="40"/>
      <c r="K81" s="41"/>
    </row>
    <row r="82" spans="2:14" x14ac:dyDescent="0.2">
      <c r="B82" s="38"/>
      <c r="C82" s="40" t="s">
        <v>437</v>
      </c>
      <c r="D82" s="40"/>
      <c r="E82" s="40"/>
      <c r="F82" s="40"/>
      <c r="G82" s="40"/>
      <c r="H82" s="40"/>
      <c r="I82" s="40"/>
      <c r="J82" s="252">
        <f>'Baseline Health'!G29</f>
        <v>0</v>
      </c>
      <c r="K82" s="41"/>
    </row>
    <row r="83" spans="2:14" x14ac:dyDescent="0.2">
      <c r="B83" s="38"/>
      <c r="C83" s="40" t="s">
        <v>290</v>
      </c>
      <c r="D83" s="40"/>
      <c r="E83" s="40"/>
      <c r="F83" s="40"/>
      <c r="G83" s="40"/>
      <c r="H83" s="40"/>
      <c r="I83" s="40"/>
      <c r="J83" s="264"/>
      <c r="K83" s="41"/>
    </row>
    <row r="84" spans="2:14" x14ac:dyDescent="0.2">
      <c r="B84" s="38"/>
      <c r="C84" s="40" t="s">
        <v>260</v>
      </c>
      <c r="D84" s="40"/>
      <c r="E84" s="40"/>
      <c r="F84" s="40"/>
      <c r="G84" s="40"/>
      <c r="H84" s="40"/>
      <c r="I84" s="40"/>
      <c r="J84" s="248" t="str">
        <f>IF(OR(J82=0,J82="Not Calculated")=TRUE,"Not Calculated",(IF(((J83+J82)/J82)&lt;=1,0,IF(((J83+J82)/J82)&lt;=1.05,1,IF(((J83+J82)/J82)&lt;=1.5, 2,IF(((J83+J82)/J82)&lt;=2,3,4))))))</f>
        <v>Not Calculated</v>
      </c>
      <c r="K84" s="41"/>
    </row>
    <row r="85" spans="2:14" ht="9.75" customHeight="1" x14ac:dyDescent="0.2">
      <c r="B85" s="38"/>
      <c r="C85" s="279" t="str">
        <f>"0:"</f>
        <v>0:</v>
      </c>
      <c r="D85" s="281" t="s">
        <v>918</v>
      </c>
      <c r="E85" s="40"/>
      <c r="F85" s="40"/>
      <c r="G85" s="40"/>
      <c r="H85" s="40"/>
      <c r="I85" s="40"/>
      <c r="J85" s="40"/>
      <c r="K85" s="41"/>
    </row>
    <row r="86" spans="2:14" ht="9.75" customHeight="1" x14ac:dyDescent="0.2">
      <c r="B86" s="38"/>
      <c r="C86" s="280" t="str">
        <f>"1:"</f>
        <v>1:</v>
      </c>
      <c r="D86" s="281" t="s">
        <v>919</v>
      </c>
      <c r="E86" s="40"/>
      <c r="F86" s="40"/>
      <c r="G86" s="40"/>
      <c r="H86" s="40"/>
      <c r="I86" s="40"/>
      <c r="J86" s="40"/>
      <c r="K86" s="41"/>
    </row>
    <row r="87" spans="2:14" ht="9.75" customHeight="1" x14ac:dyDescent="0.2">
      <c r="B87" s="38"/>
      <c r="C87" s="280" t="str">
        <f>"2:"</f>
        <v>2:</v>
      </c>
      <c r="D87" s="281" t="s">
        <v>920</v>
      </c>
      <c r="E87" s="40"/>
      <c r="F87" s="40"/>
      <c r="G87" s="40"/>
      <c r="H87" s="40"/>
      <c r="I87" s="40"/>
      <c r="J87" s="40"/>
      <c r="K87" s="41"/>
    </row>
    <row r="88" spans="2:14" ht="9.75" customHeight="1" x14ac:dyDescent="0.2">
      <c r="B88" s="38"/>
      <c r="C88" s="280" t="str">
        <f>"3:"</f>
        <v>3:</v>
      </c>
      <c r="D88" s="281" t="s">
        <v>921</v>
      </c>
      <c r="E88" s="40"/>
      <c r="F88" s="40"/>
      <c r="G88" s="40"/>
      <c r="H88" s="40"/>
      <c r="I88" s="40"/>
      <c r="J88" s="40"/>
      <c r="K88" s="41"/>
    </row>
    <row r="89" spans="2:14" ht="9.75" customHeight="1" x14ac:dyDescent="0.2">
      <c r="B89" s="38"/>
      <c r="C89" s="280" t="str">
        <f>"4:"</f>
        <v>4:</v>
      </c>
      <c r="D89" s="281" t="s">
        <v>922</v>
      </c>
      <c r="E89" s="40"/>
      <c r="F89" s="40"/>
      <c r="G89" s="40"/>
      <c r="H89" s="40"/>
      <c r="I89" s="40"/>
      <c r="J89" s="40"/>
      <c r="K89" s="41"/>
      <c r="N89" s="12" t="s">
        <v>661</v>
      </c>
    </row>
    <row r="90" spans="2:14" x14ac:dyDescent="0.2">
      <c r="B90" s="38"/>
      <c r="C90" s="174" t="s">
        <v>662</v>
      </c>
      <c r="D90" s="40"/>
      <c r="E90" s="40"/>
      <c r="F90" s="40"/>
      <c r="G90" s="40"/>
      <c r="H90" s="40"/>
      <c r="I90" s="40"/>
      <c r="J90" s="265" t="s">
        <v>661</v>
      </c>
      <c r="K90" s="41"/>
      <c r="N90" s="12" t="s">
        <v>894</v>
      </c>
    </row>
    <row r="91" spans="2:14" x14ac:dyDescent="0.2">
      <c r="B91" s="38"/>
      <c r="C91" s="174" t="s">
        <v>660</v>
      </c>
      <c r="D91" s="40"/>
      <c r="E91" s="40"/>
      <c r="F91" s="40"/>
      <c r="G91" s="40"/>
      <c r="H91" s="40"/>
      <c r="I91" s="40"/>
      <c r="J91" s="246" t="str">
        <f>IF(J90=N89,"N/A",IF(J90=N90,0,IF(J90=N91,1,IF(J90=N92,2,IF(J90=N93,3,IF(J90=N94,4,"N/A"))))))</f>
        <v>N/A</v>
      </c>
      <c r="K91" s="41"/>
      <c r="N91" s="12" t="s">
        <v>895</v>
      </c>
    </row>
    <row r="92" spans="2:14" x14ac:dyDescent="0.2">
      <c r="B92" s="38"/>
      <c r="C92" s="40" t="s">
        <v>257</v>
      </c>
      <c r="D92" s="40"/>
      <c r="E92" s="40"/>
      <c r="F92" s="40"/>
      <c r="G92" s="40"/>
      <c r="H92" s="40"/>
      <c r="I92" s="40"/>
      <c r="J92" s="266"/>
      <c r="K92" s="41"/>
      <c r="N92" s="12" t="s">
        <v>896</v>
      </c>
    </row>
    <row r="93" spans="2:14" x14ac:dyDescent="0.2">
      <c r="B93" s="38"/>
      <c r="C93" s="40" t="s">
        <v>261</v>
      </c>
      <c r="D93" s="40"/>
      <c r="E93" s="40"/>
      <c r="F93" s="40"/>
      <c r="G93" s="40"/>
      <c r="H93" s="40"/>
      <c r="I93" s="40"/>
      <c r="J93" s="245" t="str">
        <f>IF(J92=$B$973,$A$973,IF(J92=$B$974,$A$974,IF(J92=$B$975,$A$975,IF(J92=$B$976,$A$976,IF(J92=$B$977,$A$977,"Not Calculated")))))</f>
        <v>Not Calculated</v>
      </c>
      <c r="K93" s="41"/>
      <c r="N93" s="12" t="s">
        <v>897</v>
      </c>
    </row>
    <row r="94" spans="2:14" x14ac:dyDescent="0.2">
      <c r="B94" s="38"/>
      <c r="C94" s="40" t="s">
        <v>893</v>
      </c>
      <c r="D94" s="40"/>
      <c r="E94" s="40"/>
      <c r="F94" s="40"/>
      <c r="G94" s="40"/>
      <c r="H94" s="40"/>
      <c r="I94" s="40"/>
      <c r="J94" s="175"/>
      <c r="K94" s="41"/>
      <c r="N94" s="12" t="s">
        <v>898</v>
      </c>
    </row>
    <row r="95" spans="2:14" s="178" customFormat="1" x14ac:dyDescent="0.2">
      <c r="B95" s="176"/>
      <c r="C95" s="415"/>
      <c r="D95" s="400"/>
      <c r="E95" s="400"/>
      <c r="F95" s="400"/>
      <c r="G95" s="400"/>
      <c r="H95" s="400"/>
      <c r="I95" s="400"/>
      <c r="J95" s="401"/>
      <c r="K95" s="177"/>
    </row>
    <row r="96" spans="2:14" x14ac:dyDescent="0.2">
      <c r="B96" s="38"/>
      <c r="C96" s="40"/>
      <c r="D96" s="40"/>
      <c r="E96" s="40"/>
      <c r="F96" s="40"/>
      <c r="G96" s="40"/>
      <c r="H96" s="40"/>
      <c r="I96" s="40"/>
      <c r="J96" s="40"/>
      <c r="K96" s="41"/>
    </row>
    <row r="97" spans="2:14" x14ac:dyDescent="0.2">
      <c r="B97" s="38"/>
      <c r="C97" s="179" t="s">
        <v>265</v>
      </c>
      <c r="D97" s="40"/>
      <c r="E97" s="40"/>
      <c r="F97" s="40"/>
      <c r="G97" s="40"/>
      <c r="H97" s="40"/>
      <c r="I97" s="40"/>
      <c r="J97" s="245" t="str">
        <f>IF(J91="N/A",IF(OR(J84="Not Calculated",J93="Not Calculated")=TRUE,"Not Calculated",AVERAGE(J84,J93)),AVERAGE(J91,J93))</f>
        <v>Not Calculated</v>
      </c>
      <c r="K97" s="41"/>
    </row>
    <row r="98" spans="2:14" x14ac:dyDescent="0.2">
      <c r="B98" s="38"/>
      <c r="C98" s="40"/>
      <c r="D98" s="40"/>
      <c r="E98" s="40"/>
      <c r="F98" s="40"/>
      <c r="G98" s="40"/>
      <c r="H98" s="40"/>
      <c r="I98" s="40"/>
      <c r="J98" s="40"/>
      <c r="K98" s="41"/>
    </row>
    <row r="99" spans="2:14" x14ac:dyDescent="0.2">
      <c r="B99" s="38"/>
      <c r="C99" s="40"/>
      <c r="D99" s="40"/>
      <c r="E99" s="40"/>
      <c r="F99" s="40"/>
      <c r="G99" s="40"/>
      <c r="H99" s="40"/>
      <c r="I99" s="40"/>
      <c r="J99" s="40"/>
      <c r="K99" s="41"/>
    </row>
    <row r="100" spans="2:14" ht="16" x14ac:dyDescent="0.2">
      <c r="B100" s="38"/>
      <c r="C100" s="45" t="s">
        <v>60</v>
      </c>
      <c r="D100" s="40"/>
      <c r="E100" s="40"/>
      <c r="F100" s="40"/>
      <c r="G100" s="40"/>
      <c r="H100" s="40"/>
      <c r="I100" s="40"/>
      <c r="J100" s="40"/>
      <c r="K100" s="41"/>
    </row>
    <row r="101" spans="2:14" x14ac:dyDescent="0.2">
      <c r="B101" s="38"/>
      <c r="C101" s="40" t="s">
        <v>438</v>
      </c>
      <c r="D101" s="40"/>
      <c r="E101" s="40"/>
      <c r="F101" s="40"/>
      <c r="G101" s="40"/>
      <c r="H101" s="40"/>
      <c r="I101" s="40"/>
      <c r="J101" s="252">
        <f>'Baseline Health'!G35</f>
        <v>0</v>
      </c>
      <c r="K101" s="41"/>
    </row>
    <row r="102" spans="2:14" x14ac:dyDescent="0.2">
      <c r="B102" s="38"/>
      <c r="C102" s="40" t="s">
        <v>291</v>
      </c>
      <c r="D102" s="40"/>
      <c r="E102" s="40"/>
      <c r="F102" s="40"/>
      <c r="G102" s="40"/>
      <c r="H102" s="40"/>
      <c r="I102" s="40"/>
      <c r="J102" s="264"/>
      <c r="K102" s="41"/>
    </row>
    <row r="103" spans="2:14" x14ac:dyDescent="0.2">
      <c r="B103" s="38"/>
      <c r="C103" s="40" t="s">
        <v>260</v>
      </c>
      <c r="D103" s="40"/>
      <c r="E103" s="40"/>
      <c r="F103" s="40"/>
      <c r="G103" s="40"/>
      <c r="H103" s="40"/>
      <c r="I103" s="40"/>
      <c r="J103" s="248" t="str">
        <f>IF(OR(J101=0,J101="Not Calculated")=TRUE,"Not Calculated",(IF(((J102+J101)/J101)&lt;=1,0,IF(((J102+J101)/J101)&lt;=1.05,1,IF(((J102+J101)/J101)&lt;=1.5, 2,IF(((J102+J101)/J101)&lt;=2,3,4))))))</f>
        <v>Not Calculated</v>
      </c>
      <c r="K103" s="41"/>
    </row>
    <row r="104" spans="2:14" ht="9.75" customHeight="1" x14ac:dyDescent="0.2">
      <c r="B104" s="38"/>
      <c r="C104" s="279" t="str">
        <f>"0:"</f>
        <v>0:</v>
      </c>
      <c r="D104" s="281" t="s">
        <v>918</v>
      </c>
      <c r="E104" s="40"/>
      <c r="F104" s="40"/>
      <c r="G104" s="40"/>
      <c r="H104" s="40"/>
      <c r="I104" s="40"/>
      <c r="J104" s="40"/>
      <c r="K104" s="41"/>
    </row>
    <row r="105" spans="2:14" ht="9.75" customHeight="1" x14ac:dyDescent="0.2">
      <c r="B105" s="38"/>
      <c r="C105" s="280" t="str">
        <f>"1:"</f>
        <v>1:</v>
      </c>
      <c r="D105" s="281" t="s">
        <v>919</v>
      </c>
      <c r="E105" s="40"/>
      <c r="F105" s="40"/>
      <c r="G105" s="40"/>
      <c r="H105" s="40"/>
      <c r="I105" s="40"/>
      <c r="J105" s="40"/>
      <c r="K105" s="41"/>
    </row>
    <row r="106" spans="2:14" ht="9.75" customHeight="1" x14ac:dyDescent="0.2">
      <c r="B106" s="38"/>
      <c r="C106" s="280" t="str">
        <f>"2:"</f>
        <v>2:</v>
      </c>
      <c r="D106" s="281" t="s">
        <v>920</v>
      </c>
      <c r="E106" s="40"/>
      <c r="F106" s="40"/>
      <c r="G106" s="40"/>
      <c r="H106" s="40"/>
      <c r="I106" s="40"/>
      <c r="J106" s="40"/>
      <c r="K106" s="41"/>
    </row>
    <row r="107" spans="2:14" ht="9.75" customHeight="1" x14ac:dyDescent="0.2">
      <c r="B107" s="38"/>
      <c r="C107" s="280" t="str">
        <f>"3:"</f>
        <v>3:</v>
      </c>
      <c r="D107" s="281" t="s">
        <v>921</v>
      </c>
      <c r="E107" s="40"/>
      <c r="F107" s="40"/>
      <c r="G107" s="40"/>
      <c r="H107" s="40"/>
      <c r="I107" s="40"/>
      <c r="J107" s="40"/>
      <c r="K107" s="41"/>
    </row>
    <row r="108" spans="2:14" ht="9.75" customHeight="1" x14ac:dyDescent="0.2">
      <c r="B108" s="38"/>
      <c r="C108" s="280" t="str">
        <f>"4:"</f>
        <v>4:</v>
      </c>
      <c r="D108" s="281" t="s">
        <v>922</v>
      </c>
      <c r="E108" s="40"/>
      <c r="F108" s="40"/>
      <c r="G108" s="40"/>
      <c r="H108" s="40"/>
      <c r="I108" s="40"/>
      <c r="J108" s="40"/>
      <c r="K108" s="41"/>
      <c r="N108" s="12" t="s">
        <v>661</v>
      </c>
    </row>
    <row r="109" spans="2:14" x14ac:dyDescent="0.2">
      <c r="B109" s="38"/>
      <c r="C109" s="174" t="s">
        <v>662</v>
      </c>
      <c r="D109" s="40"/>
      <c r="E109" s="40"/>
      <c r="F109" s="40"/>
      <c r="G109" s="40"/>
      <c r="H109" s="40"/>
      <c r="I109" s="40"/>
      <c r="J109" s="265" t="s">
        <v>661</v>
      </c>
      <c r="K109" s="41"/>
      <c r="N109" s="12" t="s">
        <v>894</v>
      </c>
    </row>
    <row r="110" spans="2:14" x14ac:dyDescent="0.2">
      <c r="B110" s="38"/>
      <c r="C110" s="174" t="s">
        <v>660</v>
      </c>
      <c r="D110" s="40"/>
      <c r="E110" s="40"/>
      <c r="F110" s="40"/>
      <c r="G110" s="40"/>
      <c r="H110" s="40"/>
      <c r="I110" s="40"/>
      <c r="J110" s="246" t="str">
        <f>IF(J109=N108,"N/A",IF(J109=N109,0,IF(J109=N110,1,IF(J109=N111,2,IF(J109=N112,3,IF(J109=N113,4,"N/A"))))))</f>
        <v>N/A</v>
      </c>
      <c r="K110" s="41"/>
      <c r="N110" s="12" t="s">
        <v>895</v>
      </c>
    </row>
    <row r="111" spans="2:14" x14ac:dyDescent="0.2">
      <c r="B111" s="38"/>
      <c r="C111" s="40" t="s">
        <v>257</v>
      </c>
      <c r="D111" s="40"/>
      <c r="E111" s="40"/>
      <c r="F111" s="40"/>
      <c r="G111" s="40"/>
      <c r="H111" s="40"/>
      <c r="I111" s="40"/>
      <c r="J111" s="266"/>
      <c r="K111" s="41"/>
      <c r="N111" s="12" t="s">
        <v>896</v>
      </c>
    </row>
    <row r="112" spans="2:14" x14ac:dyDescent="0.2">
      <c r="B112" s="38"/>
      <c r="C112" s="40" t="s">
        <v>261</v>
      </c>
      <c r="D112" s="40"/>
      <c r="E112" s="40"/>
      <c r="F112" s="40"/>
      <c r="G112" s="40"/>
      <c r="H112" s="40"/>
      <c r="I112" s="40"/>
      <c r="J112" s="245" t="str">
        <f>IF(J111=$B$973,$A$973,IF(J111=$B$974,$A$974,IF(J111=$B$975,$A$975,IF(J111=$B$976,$A$976,IF(J111=$B$977,$A$977,"Not Calculated")))))</f>
        <v>Not Calculated</v>
      </c>
      <c r="K112" s="41"/>
      <c r="N112" s="12" t="s">
        <v>897</v>
      </c>
    </row>
    <row r="113" spans="2:14" x14ac:dyDescent="0.2">
      <c r="B113" s="38"/>
      <c r="C113" s="40" t="s">
        <v>893</v>
      </c>
      <c r="D113" s="40"/>
      <c r="E113" s="40"/>
      <c r="F113" s="40"/>
      <c r="G113" s="40"/>
      <c r="H113" s="40"/>
      <c r="I113" s="40"/>
      <c r="J113" s="175"/>
      <c r="K113" s="41"/>
      <c r="N113" s="12" t="s">
        <v>898</v>
      </c>
    </row>
    <row r="114" spans="2:14" s="178" customFormat="1" x14ac:dyDescent="0.2">
      <c r="B114" s="176"/>
      <c r="C114" s="415"/>
      <c r="D114" s="400"/>
      <c r="E114" s="400"/>
      <c r="F114" s="400"/>
      <c r="G114" s="400"/>
      <c r="H114" s="400"/>
      <c r="I114" s="400"/>
      <c r="J114" s="401"/>
      <c r="K114" s="177"/>
    </row>
    <row r="115" spans="2:14" x14ac:dyDescent="0.2">
      <c r="B115" s="38"/>
      <c r="C115" s="40"/>
      <c r="D115" s="40"/>
      <c r="E115" s="40"/>
      <c r="F115" s="40"/>
      <c r="G115" s="40"/>
      <c r="H115" s="40"/>
      <c r="I115" s="40"/>
      <c r="J115" s="40"/>
      <c r="K115" s="41"/>
    </row>
    <row r="116" spans="2:14" x14ac:dyDescent="0.2">
      <c r="B116" s="38"/>
      <c r="C116" s="179" t="s">
        <v>266</v>
      </c>
      <c r="D116" s="40"/>
      <c r="E116" s="40"/>
      <c r="F116" s="40"/>
      <c r="G116" s="40"/>
      <c r="H116" s="40"/>
      <c r="I116" s="40"/>
      <c r="J116" s="245" t="str">
        <f>IF(J110="N/A",IF(OR(J103="Not Calculated",J112="Not Calculated")=TRUE,"Not Calculated",AVERAGE(J103,J112)),AVERAGE(J110,J112))</f>
        <v>Not Calculated</v>
      </c>
      <c r="K116" s="41"/>
    </row>
    <row r="117" spans="2:14" x14ac:dyDescent="0.2">
      <c r="B117" s="38"/>
      <c r="C117" s="40"/>
      <c r="D117" s="40"/>
      <c r="E117" s="40"/>
      <c r="F117" s="40"/>
      <c r="G117" s="40"/>
      <c r="H117" s="40"/>
      <c r="I117" s="40"/>
      <c r="J117" s="40"/>
      <c r="K117" s="41"/>
    </row>
    <row r="118" spans="2:14" x14ac:dyDescent="0.2">
      <c r="B118" s="38"/>
      <c r="C118" s="40"/>
      <c r="D118" s="40"/>
      <c r="E118" s="40"/>
      <c r="F118" s="40"/>
      <c r="G118" s="40"/>
      <c r="H118" s="40"/>
      <c r="I118" s="40"/>
      <c r="J118" s="40"/>
      <c r="K118" s="41"/>
    </row>
    <row r="119" spans="2:14" ht="16" x14ac:dyDescent="0.2">
      <c r="B119" s="38"/>
      <c r="C119" s="45" t="s">
        <v>262</v>
      </c>
      <c r="D119" s="40"/>
      <c r="E119" s="40"/>
      <c r="F119" s="40"/>
      <c r="G119" s="40"/>
      <c r="H119" s="40"/>
      <c r="I119" s="40"/>
      <c r="J119" s="40"/>
      <c r="K119" s="41"/>
    </row>
    <row r="120" spans="2:14" ht="15" customHeight="1" x14ac:dyDescent="0.2">
      <c r="B120" s="38"/>
      <c r="C120" s="422" t="s">
        <v>268</v>
      </c>
      <c r="D120" s="422"/>
      <c r="E120" s="422"/>
      <c r="F120" s="422"/>
      <c r="G120" s="422"/>
      <c r="H120" s="422"/>
      <c r="I120" s="422"/>
      <c r="J120" s="422"/>
      <c r="K120" s="41"/>
    </row>
    <row r="121" spans="2:14" x14ac:dyDescent="0.2">
      <c r="B121" s="38"/>
      <c r="C121" s="422"/>
      <c r="D121" s="422"/>
      <c r="E121" s="422"/>
      <c r="F121" s="422"/>
      <c r="G121" s="422"/>
      <c r="H121" s="422"/>
      <c r="I121" s="422"/>
      <c r="J121" s="422"/>
      <c r="K121" s="41"/>
    </row>
    <row r="122" spans="2:14" x14ac:dyDescent="0.2">
      <c r="B122" s="38"/>
      <c r="C122" s="423"/>
      <c r="D122" s="423"/>
      <c r="E122" s="423"/>
      <c r="F122" s="423"/>
      <c r="G122" s="423"/>
      <c r="H122" s="423"/>
      <c r="I122" s="423"/>
      <c r="J122" s="423"/>
      <c r="K122" s="41"/>
    </row>
    <row r="123" spans="2:14" ht="15" customHeight="1" x14ac:dyDescent="0.2">
      <c r="B123" s="38"/>
      <c r="C123" s="416"/>
      <c r="D123" s="417"/>
      <c r="E123" s="417"/>
      <c r="F123" s="417"/>
      <c r="G123" s="417"/>
      <c r="H123" s="417"/>
      <c r="I123" s="417"/>
      <c r="J123" s="418"/>
      <c r="K123" s="41"/>
    </row>
    <row r="124" spans="2:14" x14ac:dyDescent="0.2">
      <c r="B124" s="38"/>
      <c r="C124" s="419"/>
      <c r="D124" s="420"/>
      <c r="E124" s="420"/>
      <c r="F124" s="420"/>
      <c r="G124" s="420"/>
      <c r="H124" s="420"/>
      <c r="I124" s="420"/>
      <c r="J124" s="421"/>
      <c r="K124" s="41"/>
    </row>
    <row r="125" spans="2:14" ht="15" customHeight="1" x14ac:dyDescent="0.2">
      <c r="B125" s="38"/>
      <c r="C125" s="40" t="s">
        <v>260</v>
      </c>
      <c r="D125" s="40"/>
      <c r="E125" s="40"/>
      <c r="F125" s="40"/>
      <c r="G125" s="40"/>
      <c r="H125" s="40"/>
      <c r="I125" s="40"/>
      <c r="J125" s="247" t="str">
        <f>IF(C123=B987,A987,IF(C123=B988,A988,IF(C123=B989,A989,IF(C123=B990,A990,IF(C123=B991,A991,"Not Calculated")))))</f>
        <v>Not Calculated</v>
      </c>
      <c r="K125" s="41"/>
    </row>
    <row r="126" spans="2:14" ht="15" customHeight="1" x14ac:dyDescent="0.2">
      <c r="B126" s="38"/>
      <c r="C126" s="40" t="s">
        <v>257</v>
      </c>
      <c r="D126" s="40"/>
      <c r="E126" s="40"/>
      <c r="F126" s="40"/>
      <c r="G126" s="40"/>
      <c r="H126" s="40"/>
      <c r="I126" s="40"/>
      <c r="J126" s="266"/>
      <c r="K126" s="41"/>
    </row>
    <row r="127" spans="2:14" x14ac:dyDescent="0.2">
      <c r="B127" s="38"/>
      <c r="C127" s="40" t="s">
        <v>261</v>
      </c>
      <c r="D127" s="40"/>
      <c r="E127" s="40"/>
      <c r="F127" s="40"/>
      <c r="G127" s="40"/>
      <c r="H127" s="40"/>
      <c r="I127" s="40"/>
      <c r="J127" s="245" t="str">
        <f>IF(J126=$B$973,$A$973,IF(J126=$B$974,$A$974,IF(J126=$B$975,$A$975,IF(J126=$B$976,$A$976,IF(J126=$B$977,$A$977,"Not Calculated")))))</f>
        <v>Not Calculated</v>
      </c>
      <c r="K127" s="41"/>
    </row>
    <row r="128" spans="2:14" ht="15" customHeight="1" x14ac:dyDescent="0.2">
      <c r="B128" s="38"/>
      <c r="C128" s="40" t="s">
        <v>893</v>
      </c>
      <c r="D128" s="40"/>
      <c r="E128" s="40"/>
      <c r="F128" s="40"/>
      <c r="G128" s="40"/>
      <c r="H128" s="40"/>
      <c r="I128" s="40"/>
      <c r="J128" s="175"/>
      <c r="K128" s="41"/>
    </row>
    <row r="129" spans="2:11" s="178" customFormat="1" ht="15" customHeight="1" x14ac:dyDescent="0.2">
      <c r="B129" s="176"/>
      <c r="C129" s="415"/>
      <c r="D129" s="400"/>
      <c r="E129" s="400"/>
      <c r="F129" s="400"/>
      <c r="G129" s="400"/>
      <c r="H129" s="400"/>
      <c r="I129" s="400"/>
      <c r="J129" s="401"/>
      <c r="K129" s="177"/>
    </row>
    <row r="130" spans="2:11" x14ac:dyDescent="0.2">
      <c r="B130" s="38"/>
      <c r="C130" s="40"/>
      <c r="D130" s="40"/>
      <c r="E130" s="40"/>
      <c r="F130" s="40"/>
      <c r="G130" s="40"/>
      <c r="H130" s="40"/>
      <c r="I130" s="40"/>
      <c r="J130" s="40"/>
      <c r="K130" s="41"/>
    </row>
    <row r="131" spans="2:11" x14ac:dyDescent="0.2">
      <c r="B131" s="38"/>
      <c r="C131" s="179" t="s">
        <v>267</v>
      </c>
      <c r="D131" s="40"/>
      <c r="E131" s="40"/>
      <c r="F131" s="40"/>
      <c r="G131" s="40"/>
      <c r="H131" s="40"/>
      <c r="I131" s="40"/>
      <c r="J131" s="245" t="str">
        <f>IF(OR(J125="Not Calculated",J127="Not Calculated")=TRUE,"Not Calculated",AVERAGE(J125,J127))</f>
        <v>Not Calculated</v>
      </c>
      <c r="K131" s="41"/>
    </row>
    <row r="132" spans="2:11" x14ac:dyDescent="0.2">
      <c r="B132" s="38"/>
      <c r="C132" s="179"/>
      <c r="D132" s="40"/>
      <c r="E132" s="40"/>
      <c r="F132" s="40"/>
      <c r="G132" s="40"/>
      <c r="H132" s="40"/>
      <c r="I132" s="40"/>
      <c r="J132" s="245"/>
      <c r="K132" s="41"/>
    </row>
    <row r="133" spans="2:11" ht="18" x14ac:dyDescent="0.2">
      <c r="B133" s="38"/>
      <c r="C133" s="180" t="s">
        <v>269</v>
      </c>
      <c r="D133" s="40"/>
      <c r="E133" s="40"/>
      <c r="F133" s="40"/>
      <c r="G133" s="40"/>
      <c r="H133" s="40"/>
      <c r="I133" s="40"/>
      <c r="J133" s="244" t="str">
        <f>IF(OR(J40="Not Calculated",J59="Not Calculated",J78="Not Calculated",J97="Not Calculated",J116="Not Calculated",J131="Not Calculated",)=TRUE,"Not Calculated",AVERAGE(J40,J59,J78,J97,J116,J131))</f>
        <v>Not Calculated</v>
      </c>
      <c r="K133" s="41"/>
    </row>
    <row r="134" spans="2:11" ht="16" thickBot="1" x14ac:dyDescent="0.25">
      <c r="B134" s="46"/>
      <c r="C134" s="47"/>
      <c r="D134" s="47"/>
      <c r="E134" s="47"/>
      <c r="F134" s="47"/>
      <c r="G134" s="47"/>
      <c r="H134" s="47"/>
      <c r="I134" s="47"/>
      <c r="J134" s="47"/>
      <c r="K134" s="49"/>
    </row>
    <row r="135" spans="2:11" ht="16" thickBot="1" x14ac:dyDescent="0.25"/>
    <row r="136" spans="2:11" x14ac:dyDescent="0.2">
      <c r="B136" s="33"/>
      <c r="C136" s="34"/>
      <c r="D136" s="34"/>
      <c r="E136" s="34"/>
      <c r="F136" s="34"/>
      <c r="G136" s="34"/>
      <c r="H136" s="34"/>
      <c r="I136" s="34"/>
      <c r="J136" s="34"/>
      <c r="K136" s="37"/>
    </row>
    <row r="137" spans="2:11" ht="21" x14ac:dyDescent="0.25">
      <c r="B137" s="38"/>
      <c r="C137" s="171"/>
      <c r="D137" s="40"/>
      <c r="E137" s="40"/>
      <c r="F137" s="40"/>
      <c r="G137" s="172" t="s">
        <v>27</v>
      </c>
      <c r="H137" s="40"/>
      <c r="I137" s="40"/>
      <c r="J137" s="40"/>
      <c r="K137" s="41"/>
    </row>
    <row r="138" spans="2:11" x14ac:dyDescent="0.2">
      <c r="B138" s="38"/>
      <c r="C138" s="40"/>
      <c r="D138" s="40"/>
      <c r="E138" s="40"/>
      <c r="F138" s="40"/>
      <c r="G138" s="40"/>
      <c r="H138" s="40"/>
      <c r="I138" s="40"/>
      <c r="J138" s="40"/>
      <c r="K138" s="41"/>
    </row>
    <row r="139" spans="2:11" ht="16" x14ac:dyDescent="0.2">
      <c r="B139" s="38"/>
      <c r="C139" s="45" t="s">
        <v>72</v>
      </c>
      <c r="D139" s="40"/>
      <c r="E139" s="40"/>
      <c r="F139" s="40"/>
      <c r="G139" s="40"/>
      <c r="H139" s="40"/>
      <c r="I139" s="40"/>
      <c r="J139" s="40"/>
      <c r="K139" s="41"/>
    </row>
    <row r="140" spans="2:11" x14ac:dyDescent="0.2">
      <c r="B140" s="38"/>
      <c r="C140" s="40" t="s">
        <v>440</v>
      </c>
      <c r="D140" s="40"/>
      <c r="E140" s="40"/>
      <c r="F140" s="40"/>
      <c r="G140" s="40"/>
      <c r="H140" s="40"/>
      <c r="I140" s="40"/>
      <c r="J140" s="252">
        <f>'Baseline Health'!G45</f>
        <v>0</v>
      </c>
      <c r="K140" s="41"/>
    </row>
    <row r="141" spans="2:11" x14ac:dyDescent="0.2">
      <c r="B141" s="38"/>
      <c r="C141" s="40" t="s">
        <v>270</v>
      </c>
      <c r="D141" s="40"/>
      <c r="E141" s="40"/>
      <c r="F141" s="40"/>
      <c r="G141" s="40"/>
      <c r="H141" s="40"/>
      <c r="I141" s="40"/>
      <c r="J141" s="264"/>
      <c r="K141" s="41"/>
    </row>
    <row r="142" spans="2:11" x14ac:dyDescent="0.2">
      <c r="B142" s="38"/>
      <c r="C142" s="40" t="s">
        <v>439</v>
      </c>
      <c r="D142" s="40"/>
      <c r="E142" s="40"/>
      <c r="F142" s="40"/>
      <c r="G142" s="40"/>
      <c r="H142" s="40"/>
      <c r="I142" s="40"/>
      <c r="J142" s="251">
        <f>J83/20</f>
        <v>0</v>
      </c>
      <c r="K142" s="41"/>
    </row>
    <row r="143" spans="2:11" x14ac:dyDescent="0.2">
      <c r="B143" s="38"/>
      <c r="C143" s="40"/>
      <c r="D143" s="40" t="s">
        <v>351</v>
      </c>
      <c r="E143" s="40"/>
      <c r="F143" s="40"/>
      <c r="G143" s="40"/>
      <c r="H143" s="40"/>
      <c r="I143" s="40"/>
      <c r="J143" s="40"/>
      <c r="K143" s="41"/>
    </row>
    <row r="144" spans="2:11" x14ac:dyDescent="0.2">
      <c r="B144" s="38"/>
      <c r="C144" s="40" t="s">
        <v>260</v>
      </c>
      <c r="D144" s="40"/>
      <c r="E144" s="40"/>
      <c r="F144" s="40"/>
      <c r="G144" s="40"/>
      <c r="H144" s="40"/>
      <c r="I144" s="40"/>
      <c r="J144" s="245" t="str">
        <f>IF(OR(J140=0,J140="Not Calculated")=TRUE,"Not Calculated",IF((J140-J141)&lt;=0,4,IF(((J140+J142)/(J140-J141))&lt;=1,0,IF(((J140+J142)/(J140-J141))&lt;=1.05,1,IF(((J140+J142)/(J140-J141))&lt;=1.5, 2,IF(((J140+J142)/(J140-J141))&lt;=2,3,4))))))</f>
        <v>Not Calculated</v>
      </c>
      <c r="K144" s="41"/>
    </row>
    <row r="145" spans="2:14" ht="9.75" customHeight="1" x14ac:dyDescent="0.2">
      <c r="B145" s="38"/>
      <c r="C145" s="279" t="str">
        <f>"0:"</f>
        <v>0:</v>
      </c>
      <c r="D145" s="278" t="s">
        <v>918</v>
      </c>
      <c r="E145" s="40"/>
      <c r="F145" s="40"/>
      <c r="G145" s="40"/>
      <c r="H145" s="40"/>
      <c r="I145" s="40"/>
      <c r="J145" s="40"/>
      <c r="K145" s="41"/>
    </row>
    <row r="146" spans="2:14" ht="9.75" customHeight="1" x14ac:dyDescent="0.2">
      <c r="B146" s="38"/>
      <c r="C146" s="280" t="str">
        <f>"1:"</f>
        <v>1:</v>
      </c>
      <c r="D146" s="278" t="s">
        <v>923</v>
      </c>
      <c r="E146" s="40"/>
      <c r="F146" s="40"/>
      <c r="G146" s="40"/>
      <c r="H146" s="40"/>
      <c r="I146" s="40"/>
      <c r="J146" s="40"/>
      <c r="K146" s="41"/>
    </row>
    <row r="147" spans="2:14" ht="9.75" customHeight="1" x14ac:dyDescent="0.2">
      <c r="B147" s="38"/>
      <c r="C147" s="280" t="str">
        <f>"2:"</f>
        <v>2:</v>
      </c>
      <c r="D147" s="278" t="s">
        <v>924</v>
      </c>
      <c r="E147" s="40"/>
      <c r="F147" s="40"/>
      <c r="G147" s="40"/>
      <c r="H147" s="40"/>
      <c r="I147" s="40"/>
      <c r="J147" s="40"/>
      <c r="K147" s="41"/>
    </row>
    <row r="148" spans="2:14" ht="9.75" customHeight="1" x14ac:dyDescent="0.2">
      <c r="B148" s="38"/>
      <c r="C148" s="280" t="str">
        <f>"3:"</f>
        <v>3:</v>
      </c>
      <c r="D148" s="278" t="s">
        <v>925</v>
      </c>
      <c r="E148" s="40"/>
      <c r="F148" s="40"/>
      <c r="G148" s="40"/>
      <c r="H148" s="40"/>
      <c r="I148" s="40"/>
      <c r="J148" s="40"/>
      <c r="K148" s="41"/>
    </row>
    <row r="149" spans="2:14" ht="9.75" customHeight="1" x14ac:dyDescent="0.2">
      <c r="B149" s="38"/>
      <c r="C149" s="280" t="str">
        <f>"4:"</f>
        <v>4:</v>
      </c>
      <c r="D149" s="278" t="s">
        <v>926</v>
      </c>
      <c r="E149" s="40"/>
      <c r="F149" s="40"/>
      <c r="G149" s="40"/>
      <c r="H149" s="40"/>
      <c r="I149" s="40"/>
      <c r="J149" s="40"/>
      <c r="K149" s="41"/>
      <c r="N149" s="12" t="s">
        <v>661</v>
      </c>
    </row>
    <row r="150" spans="2:14" x14ac:dyDescent="0.2">
      <c r="B150" s="38"/>
      <c r="C150" s="174" t="s">
        <v>662</v>
      </c>
      <c r="D150" s="40"/>
      <c r="E150" s="40"/>
      <c r="F150" s="40"/>
      <c r="G150" s="40"/>
      <c r="H150" s="40"/>
      <c r="I150" s="40"/>
      <c r="J150" s="265" t="s">
        <v>661</v>
      </c>
      <c r="K150" s="41"/>
      <c r="N150" s="12" t="s">
        <v>894</v>
      </c>
    </row>
    <row r="151" spans="2:14" x14ac:dyDescent="0.2">
      <c r="B151" s="38"/>
      <c r="C151" s="174" t="s">
        <v>660</v>
      </c>
      <c r="D151" s="40"/>
      <c r="E151" s="40"/>
      <c r="F151" s="40"/>
      <c r="G151" s="40"/>
      <c r="H151" s="40"/>
      <c r="I151" s="40"/>
      <c r="J151" s="246" t="str">
        <f>IF(J150=N149,"N/A",IF(J150=N150,0,IF(J150=N151,1,IF(J150=N152,2,IF(J150=N153,3,IF(J150=N154,4,"N/A"))))))</f>
        <v>N/A</v>
      </c>
      <c r="K151" s="41"/>
      <c r="N151" s="12" t="s">
        <v>899</v>
      </c>
    </row>
    <row r="152" spans="2:14" x14ac:dyDescent="0.2">
      <c r="B152" s="38"/>
      <c r="C152" s="40" t="s">
        <v>257</v>
      </c>
      <c r="D152" s="40"/>
      <c r="E152" s="40"/>
      <c r="F152" s="40"/>
      <c r="G152" s="40"/>
      <c r="H152" s="40"/>
      <c r="I152" s="40"/>
      <c r="J152" s="266"/>
      <c r="K152" s="41"/>
      <c r="N152" s="12" t="s">
        <v>900</v>
      </c>
    </row>
    <row r="153" spans="2:14" x14ac:dyDescent="0.2">
      <c r="B153" s="38"/>
      <c r="C153" s="40" t="s">
        <v>261</v>
      </c>
      <c r="D153" s="40"/>
      <c r="E153" s="40"/>
      <c r="F153" s="40"/>
      <c r="G153" s="40"/>
      <c r="H153" s="40"/>
      <c r="I153" s="40"/>
      <c r="J153" s="245" t="str">
        <f>IF(J152=$B$973,$A$973,IF(J152=$B$974,$A$974,IF(J152=$B$975,$A$975,IF(J152=$B$976,$A$976,IF(J152=$B$977,$A$977,"Not Calculated")))))</f>
        <v>Not Calculated</v>
      </c>
      <c r="K153" s="41"/>
      <c r="N153" s="12" t="s">
        <v>901</v>
      </c>
    </row>
    <row r="154" spans="2:14" x14ac:dyDescent="0.2">
      <c r="B154" s="38"/>
      <c r="C154" s="40" t="s">
        <v>893</v>
      </c>
      <c r="D154" s="40"/>
      <c r="E154" s="40"/>
      <c r="F154" s="40"/>
      <c r="G154" s="40"/>
      <c r="H154" s="40"/>
      <c r="I154" s="40"/>
      <c r="J154" s="40"/>
      <c r="K154" s="41"/>
      <c r="N154" s="12" t="s">
        <v>902</v>
      </c>
    </row>
    <row r="155" spans="2:14" ht="15" customHeight="1" x14ac:dyDescent="0.2">
      <c r="B155" s="38"/>
      <c r="C155" s="399"/>
      <c r="D155" s="400"/>
      <c r="E155" s="400"/>
      <c r="F155" s="400"/>
      <c r="G155" s="400"/>
      <c r="H155" s="400"/>
      <c r="I155" s="400"/>
      <c r="J155" s="401"/>
      <c r="K155" s="41"/>
    </row>
    <row r="156" spans="2:14" x14ac:dyDescent="0.2">
      <c r="B156" s="38"/>
      <c r="C156" s="40"/>
      <c r="D156" s="40"/>
      <c r="E156" s="40"/>
      <c r="F156" s="40"/>
      <c r="G156" s="40"/>
      <c r="H156" s="40"/>
      <c r="I156" s="40"/>
      <c r="J156" s="40"/>
      <c r="K156" s="41"/>
    </row>
    <row r="157" spans="2:14" x14ac:dyDescent="0.2">
      <c r="B157" s="38"/>
      <c r="C157" s="179" t="s">
        <v>271</v>
      </c>
      <c r="D157" s="40"/>
      <c r="E157" s="40"/>
      <c r="F157" s="40"/>
      <c r="G157" s="40"/>
      <c r="H157" s="40"/>
      <c r="I157" s="40"/>
      <c r="J157" s="245" t="str">
        <f>IF(J151="N/A",IF(OR(J144="Not Calculated",J153="Not Calculated")=TRUE,"Not Calculated",AVERAGE(J144,J153)),AVERAGE(J151,J153))</f>
        <v>Not Calculated</v>
      </c>
      <c r="K157" s="41"/>
    </row>
    <row r="158" spans="2:14" x14ac:dyDescent="0.2">
      <c r="B158" s="38"/>
      <c r="C158" s="40"/>
      <c r="D158" s="40"/>
      <c r="E158" s="40"/>
      <c r="F158" s="40"/>
      <c r="G158" s="40"/>
      <c r="H158" s="40"/>
      <c r="I158" s="40"/>
      <c r="J158" s="40"/>
      <c r="K158" s="41"/>
    </row>
    <row r="159" spans="2:14" x14ac:dyDescent="0.2">
      <c r="B159" s="38"/>
      <c r="C159" s="40"/>
      <c r="D159" s="40"/>
      <c r="E159" s="40"/>
      <c r="F159" s="40"/>
      <c r="G159" s="40"/>
      <c r="H159" s="40"/>
      <c r="I159" s="40"/>
      <c r="J159" s="40"/>
      <c r="K159" s="41"/>
    </row>
    <row r="160" spans="2:14" ht="16" x14ac:dyDescent="0.2">
      <c r="B160" s="38"/>
      <c r="C160" s="45" t="s">
        <v>273</v>
      </c>
      <c r="D160" s="40"/>
      <c r="E160" s="40"/>
      <c r="F160" s="40"/>
      <c r="G160" s="40"/>
      <c r="H160" s="40"/>
      <c r="I160" s="40"/>
      <c r="J160" s="40"/>
      <c r="K160" s="41"/>
    </row>
    <row r="161" spans="2:14" x14ac:dyDescent="0.2">
      <c r="B161" s="38"/>
      <c r="C161" s="40" t="s">
        <v>441</v>
      </c>
      <c r="D161" s="40"/>
      <c r="E161" s="40"/>
      <c r="F161" s="40"/>
      <c r="G161" s="40"/>
      <c r="H161" s="40"/>
      <c r="I161" s="40"/>
      <c r="J161" s="252">
        <f>'Baseline Health'!G51</f>
        <v>0</v>
      </c>
      <c r="K161" s="41"/>
    </row>
    <row r="162" spans="2:14" x14ac:dyDescent="0.2">
      <c r="B162" s="38"/>
      <c r="C162" s="40" t="s">
        <v>280</v>
      </c>
      <c r="D162" s="40"/>
      <c r="E162" s="40"/>
      <c r="F162" s="40"/>
      <c r="G162" s="40"/>
      <c r="H162" s="40"/>
      <c r="I162" s="40"/>
      <c r="J162" s="264"/>
      <c r="K162" s="41"/>
    </row>
    <row r="163" spans="2:14" x14ac:dyDescent="0.2">
      <c r="B163" s="38"/>
      <c r="C163" s="40" t="s">
        <v>442</v>
      </c>
      <c r="D163" s="40"/>
      <c r="E163" s="40"/>
      <c r="F163" s="40"/>
      <c r="G163" s="40"/>
      <c r="H163" s="40"/>
      <c r="I163" s="40"/>
      <c r="J163" s="251">
        <f>(J64)/4.5</f>
        <v>0</v>
      </c>
      <c r="K163" s="41"/>
    </row>
    <row r="164" spans="2:14" x14ac:dyDescent="0.2">
      <c r="B164" s="38"/>
      <c r="C164" s="40"/>
      <c r="D164" s="40" t="s">
        <v>353</v>
      </c>
      <c r="E164" s="40"/>
      <c r="F164" s="40"/>
      <c r="G164" s="40"/>
      <c r="H164" s="40"/>
      <c r="I164" s="40"/>
      <c r="J164" s="40"/>
      <c r="K164" s="41"/>
    </row>
    <row r="165" spans="2:14" x14ac:dyDescent="0.2">
      <c r="B165" s="38"/>
      <c r="C165" s="40" t="s">
        <v>260</v>
      </c>
      <c r="D165" s="40"/>
      <c r="E165" s="40"/>
      <c r="F165" s="40"/>
      <c r="G165" s="40"/>
      <c r="H165" s="40"/>
      <c r="I165" s="40"/>
      <c r="J165" s="245" t="str">
        <f>IF(OR(J161=0,J161="Not Calculated")=TRUE,"Not Calculated",IF((J161-J162)&lt;=0,4,IF(((J161+J163)/(J161-J162))&lt;=1,0,IF(((J161+J163)/(J161-J162))&lt;=1.05,1,IF(((J161+J163)/(J161-J162))&lt;=1.5, 2,IF(((J161+J163)/(J161-J162))&lt;=2,3,4))))))</f>
        <v>Not Calculated</v>
      </c>
      <c r="K165" s="41"/>
    </row>
    <row r="166" spans="2:14" ht="9.75" customHeight="1" x14ac:dyDescent="0.2">
      <c r="B166" s="38"/>
      <c r="C166" s="279" t="str">
        <f>"0:"</f>
        <v>0:</v>
      </c>
      <c r="D166" s="278" t="s">
        <v>918</v>
      </c>
      <c r="E166" s="40"/>
      <c r="F166" s="40"/>
      <c r="G166" s="40"/>
      <c r="H166" s="40"/>
      <c r="I166" s="40"/>
      <c r="J166" s="40"/>
      <c r="K166" s="41"/>
    </row>
    <row r="167" spans="2:14" ht="9.75" customHeight="1" x14ac:dyDescent="0.2">
      <c r="B167" s="38"/>
      <c r="C167" s="280" t="str">
        <f>"1:"</f>
        <v>1:</v>
      </c>
      <c r="D167" s="278" t="s">
        <v>923</v>
      </c>
      <c r="E167" s="40"/>
      <c r="F167" s="40"/>
      <c r="G167" s="40"/>
      <c r="H167" s="40"/>
      <c r="I167" s="40"/>
      <c r="J167" s="40"/>
      <c r="K167" s="41"/>
    </row>
    <row r="168" spans="2:14" ht="9.75" customHeight="1" x14ac:dyDescent="0.2">
      <c r="B168" s="38"/>
      <c r="C168" s="280" t="str">
        <f>"2:"</f>
        <v>2:</v>
      </c>
      <c r="D168" s="278" t="s">
        <v>924</v>
      </c>
      <c r="E168" s="40"/>
      <c r="F168" s="40"/>
      <c r="G168" s="40"/>
      <c r="H168" s="40"/>
      <c r="I168" s="40"/>
      <c r="J168" s="40"/>
      <c r="K168" s="41"/>
    </row>
    <row r="169" spans="2:14" ht="9.75" customHeight="1" x14ac:dyDescent="0.2">
      <c r="B169" s="38"/>
      <c r="C169" s="280" t="str">
        <f>"3:"</f>
        <v>3:</v>
      </c>
      <c r="D169" s="278" t="s">
        <v>925</v>
      </c>
      <c r="E169" s="40"/>
      <c r="F169" s="40"/>
      <c r="G169" s="40"/>
      <c r="H169" s="40"/>
      <c r="I169" s="40"/>
      <c r="J169" s="40"/>
      <c r="K169" s="41"/>
    </row>
    <row r="170" spans="2:14" ht="9.75" customHeight="1" x14ac:dyDescent="0.2">
      <c r="B170" s="38"/>
      <c r="C170" s="280" t="str">
        <f>"4:"</f>
        <v>4:</v>
      </c>
      <c r="D170" s="278" t="s">
        <v>926</v>
      </c>
      <c r="E170" s="40"/>
      <c r="F170" s="40"/>
      <c r="G170" s="40"/>
      <c r="H170" s="40"/>
      <c r="I170" s="40"/>
      <c r="J170" s="40"/>
      <c r="K170" s="41"/>
      <c r="N170" s="12" t="s">
        <v>661</v>
      </c>
    </row>
    <row r="171" spans="2:14" x14ac:dyDescent="0.2">
      <c r="B171" s="38"/>
      <c r="C171" s="174" t="s">
        <v>662</v>
      </c>
      <c r="D171" s="40"/>
      <c r="E171" s="40"/>
      <c r="F171" s="40"/>
      <c r="G171" s="40"/>
      <c r="H171" s="40"/>
      <c r="I171" s="40"/>
      <c r="J171" s="265" t="s">
        <v>661</v>
      </c>
      <c r="K171" s="41"/>
      <c r="N171" s="12" t="s">
        <v>894</v>
      </c>
    </row>
    <row r="172" spans="2:14" x14ac:dyDescent="0.2">
      <c r="B172" s="38"/>
      <c r="C172" s="174" t="s">
        <v>660</v>
      </c>
      <c r="D172" s="40"/>
      <c r="E172" s="40"/>
      <c r="F172" s="40"/>
      <c r="G172" s="40"/>
      <c r="H172" s="40"/>
      <c r="I172" s="40"/>
      <c r="J172" s="246" t="str">
        <f>IF(J171=N170,"N/A",IF(J171=N171,0,IF(J171=N172,1,IF(J171=N173,2,IF(J171=N174,3,IF(J171=N175,4,"N/A"))))))</f>
        <v>N/A</v>
      </c>
      <c r="K172" s="41"/>
      <c r="N172" s="12" t="s">
        <v>899</v>
      </c>
    </row>
    <row r="173" spans="2:14" x14ac:dyDescent="0.2">
      <c r="B173" s="38"/>
      <c r="C173" s="40" t="s">
        <v>257</v>
      </c>
      <c r="D173" s="40"/>
      <c r="E173" s="40"/>
      <c r="F173" s="40"/>
      <c r="G173" s="40"/>
      <c r="H173" s="40"/>
      <c r="I173" s="40"/>
      <c r="J173" s="266"/>
      <c r="K173" s="41"/>
      <c r="N173" s="12" t="s">
        <v>900</v>
      </c>
    </row>
    <row r="174" spans="2:14" x14ac:dyDescent="0.2">
      <c r="B174" s="38"/>
      <c r="C174" s="40" t="s">
        <v>261</v>
      </c>
      <c r="D174" s="40"/>
      <c r="E174" s="40"/>
      <c r="F174" s="40"/>
      <c r="G174" s="40"/>
      <c r="H174" s="40"/>
      <c r="I174" s="40"/>
      <c r="J174" s="245" t="str">
        <f>IF(J173=$B$973,$A$973,IF(J173=$B$974,$A$974,IF(J173=$B$975,$A$975,IF(J173=$B$976,$A$976,IF(J173=$B$977,$A$977,"Not Calculated")))))</f>
        <v>Not Calculated</v>
      </c>
      <c r="K174" s="41"/>
      <c r="N174" s="12" t="s">
        <v>901</v>
      </c>
    </row>
    <row r="175" spans="2:14" x14ac:dyDescent="0.2">
      <c r="B175" s="38"/>
      <c r="C175" s="40" t="s">
        <v>893</v>
      </c>
      <c r="D175" s="40"/>
      <c r="E175" s="40"/>
      <c r="F175" s="40"/>
      <c r="G175" s="40"/>
      <c r="H175" s="40"/>
      <c r="I175" s="40"/>
      <c r="J175" s="40"/>
      <c r="K175" s="41"/>
      <c r="N175" s="12" t="s">
        <v>902</v>
      </c>
    </row>
    <row r="176" spans="2:14" ht="15" customHeight="1" x14ac:dyDescent="0.2">
      <c r="B176" s="38"/>
      <c r="C176" s="399"/>
      <c r="D176" s="400"/>
      <c r="E176" s="400"/>
      <c r="F176" s="400"/>
      <c r="G176" s="400"/>
      <c r="H176" s="400"/>
      <c r="I176" s="400"/>
      <c r="J176" s="401"/>
      <c r="K176" s="41"/>
    </row>
    <row r="177" spans="2:14" x14ac:dyDescent="0.2">
      <c r="B177" s="38"/>
      <c r="C177" s="40"/>
      <c r="D177" s="40"/>
      <c r="E177" s="40"/>
      <c r="F177" s="40"/>
      <c r="G177" s="40"/>
      <c r="H177" s="40"/>
      <c r="I177" s="40"/>
      <c r="J177" s="40"/>
      <c r="K177" s="41"/>
    </row>
    <row r="178" spans="2:14" x14ac:dyDescent="0.2">
      <c r="B178" s="38"/>
      <c r="C178" s="179" t="s">
        <v>274</v>
      </c>
      <c r="D178" s="40"/>
      <c r="E178" s="40"/>
      <c r="F178" s="40"/>
      <c r="G178" s="40"/>
      <c r="H178" s="40"/>
      <c r="I178" s="40"/>
      <c r="J178" s="245" t="str">
        <f>IF(J172="N/A",IF(OR(J165="Not Calculated",J174="Not Calculated")=TRUE,"Not Calculated",AVERAGE(J165,J174)),AVERAGE(J172,J174))</f>
        <v>Not Calculated</v>
      </c>
      <c r="K178" s="41"/>
    </row>
    <row r="179" spans="2:14" x14ac:dyDescent="0.2">
      <c r="B179" s="38"/>
      <c r="C179" s="40"/>
      <c r="D179" s="40"/>
      <c r="E179" s="40"/>
      <c r="F179" s="40"/>
      <c r="G179" s="40"/>
      <c r="H179" s="40"/>
      <c r="I179" s="40"/>
      <c r="J179" s="40"/>
      <c r="K179" s="41"/>
    </row>
    <row r="180" spans="2:14" x14ac:dyDescent="0.2">
      <c r="B180" s="38"/>
      <c r="C180" s="40"/>
      <c r="D180" s="40"/>
      <c r="E180" s="40"/>
      <c r="F180" s="40"/>
      <c r="G180" s="40"/>
      <c r="H180" s="40"/>
      <c r="I180" s="40"/>
      <c r="J180" s="40"/>
      <c r="K180" s="41"/>
    </row>
    <row r="181" spans="2:14" ht="16" x14ac:dyDescent="0.2">
      <c r="B181" s="38"/>
      <c r="C181" s="45" t="s">
        <v>74</v>
      </c>
      <c r="D181" s="40"/>
      <c r="E181" s="40"/>
      <c r="F181" s="40"/>
      <c r="G181" s="40"/>
      <c r="H181" s="40"/>
      <c r="I181" s="40"/>
      <c r="J181" s="40"/>
      <c r="K181" s="41"/>
    </row>
    <row r="182" spans="2:14" x14ac:dyDescent="0.2">
      <c r="B182" s="38"/>
      <c r="C182" s="40" t="s">
        <v>443</v>
      </c>
      <c r="D182" s="40"/>
      <c r="E182" s="40"/>
      <c r="F182" s="40"/>
      <c r="G182" s="40"/>
      <c r="H182" s="40"/>
      <c r="I182" s="40"/>
      <c r="J182" s="252">
        <f>'Baseline Health'!G59</f>
        <v>0</v>
      </c>
      <c r="K182" s="41"/>
    </row>
    <row r="183" spans="2:14" x14ac:dyDescent="0.2">
      <c r="B183" s="38"/>
      <c r="C183" s="40" t="s">
        <v>281</v>
      </c>
      <c r="D183" s="40"/>
      <c r="E183" s="40"/>
      <c r="F183" s="40"/>
      <c r="G183" s="40"/>
      <c r="H183" s="40"/>
      <c r="I183" s="40"/>
      <c r="J183" s="264"/>
      <c r="K183" s="41"/>
    </row>
    <row r="184" spans="2:14" x14ac:dyDescent="0.2">
      <c r="B184" s="38"/>
      <c r="C184" s="40" t="s">
        <v>354</v>
      </c>
      <c r="D184" s="40"/>
      <c r="E184" s="40"/>
      <c r="F184" s="40"/>
      <c r="G184" s="40"/>
      <c r="H184" s="40"/>
      <c r="I184" s="40"/>
      <c r="J184" s="264"/>
      <c r="K184" s="41"/>
    </row>
    <row r="185" spans="2:14" x14ac:dyDescent="0.2">
      <c r="B185" s="38"/>
      <c r="C185" s="40" t="s">
        <v>260</v>
      </c>
      <c r="D185" s="40"/>
      <c r="E185" s="40"/>
      <c r="F185" s="40"/>
      <c r="G185" s="40"/>
      <c r="H185" s="40"/>
      <c r="I185" s="40"/>
      <c r="J185" s="245" t="str">
        <f>IF(OR(J182=0,J182="Not Calculated")=TRUE,"Not Calculated",IF(J182-J183=0,4,IF(((J182+J184)/(J182-J183))&lt;=1,0,IF(((J182+J184)/(J182-J183))&lt;=1.05,1,IF(((J182+J184)/(J182-J183))&lt;=1.5, 2,IF(((J182+J184)/(J182-J183))&lt;=2,3,4))))))</f>
        <v>Not Calculated</v>
      </c>
      <c r="K185" s="41"/>
    </row>
    <row r="186" spans="2:14" ht="9.75" customHeight="1" x14ac:dyDescent="0.2">
      <c r="B186" s="38"/>
      <c r="C186" s="279" t="str">
        <f>"0:"</f>
        <v>0:</v>
      </c>
      <c r="D186" s="278" t="s">
        <v>918</v>
      </c>
      <c r="E186" s="40"/>
      <c r="F186" s="40"/>
      <c r="G186" s="40"/>
      <c r="H186" s="40"/>
      <c r="I186" s="40"/>
      <c r="J186" s="40"/>
      <c r="K186" s="41"/>
    </row>
    <row r="187" spans="2:14" ht="9.75" customHeight="1" x14ac:dyDescent="0.2">
      <c r="B187" s="38"/>
      <c r="C187" s="280" t="str">
        <f>"1:"</f>
        <v>1:</v>
      </c>
      <c r="D187" s="278" t="s">
        <v>923</v>
      </c>
      <c r="E187" s="40"/>
      <c r="F187" s="40"/>
      <c r="G187" s="40"/>
      <c r="H187" s="40"/>
      <c r="I187" s="40"/>
      <c r="J187" s="40"/>
      <c r="K187" s="41"/>
    </row>
    <row r="188" spans="2:14" ht="9.75" customHeight="1" x14ac:dyDescent="0.2">
      <c r="B188" s="38"/>
      <c r="C188" s="280" t="str">
        <f>"2:"</f>
        <v>2:</v>
      </c>
      <c r="D188" s="278" t="s">
        <v>924</v>
      </c>
      <c r="E188" s="40"/>
      <c r="F188" s="40"/>
      <c r="G188" s="40"/>
      <c r="H188" s="40"/>
      <c r="I188" s="40"/>
      <c r="J188" s="40"/>
      <c r="K188" s="41"/>
    </row>
    <row r="189" spans="2:14" ht="9.75" customHeight="1" x14ac:dyDescent="0.2">
      <c r="B189" s="38"/>
      <c r="C189" s="280" t="str">
        <f>"3:"</f>
        <v>3:</v>
      </c>
      <c r="D189" s="278" t="s">
        <v>925</v>
      </c>
      <c r="E189" s="40"/>
      <c r="F189" s="40"/>
      <c r="G189" s="40"/>
      <c r="H189" s="40"/>
      <c r="I189" s="40"/>
      <c r="J189" s="40"/>
      <c r="K189" s="41"/>
    </row>
    <row r="190" spans="2:14" ht="9.75" customHeight="1" x14ac:dyDescent="0.2">
      <c r="B190" s="38"/>
      <c r="C190" s="280" t="str">
        <f>"4:"</f>
        <v>4:</v>
      </c>
      <c r="D190" s="278" t="s">
        <v>926</v>
      </c>
      <c r="E190" s="40"/>
      <c r="F190" s="40"/>
      <c r="G190" s="40"/>
      <c r="H190" s="40"/>
      <c r="I190" s="40"/>
      <c r="J190" s="40"/>
      <c r="K190" s="41"/>
      <c r="N190" s="12" t="s">
        <v>661</v>
      </c>
    </row>
    <row r="191" spans="2:14" x14ac:dyDescent="0.2">
      <c r="B191" s="38"/>
      <c r="C191" s="174" t="s">
        <v>662</v>
      </c>
      <c r="D191" s="40"/>
      <c r="E191" s="40"/>
      <c r="F191" s="40"/>
      <c r="G191" s="40"/>
      <c r="H191" s="40"/>
      <c r="I191" s="40"/>
      <c r="J191" s="265" t="s">
        <v>661</v>
      </c>
      <c r="K191" s="41"/>
      <c r="N191" s="12" t="s">
        <v>894</v>
      </c>
    </row>
    <row r="192" spans="2:14" x14ac:dyDescent="0.2">
      <c r="B192" s="38"/>
      <c r="C192" s="174" t="s">
        <v>660</v>
      </c>
      <c r="D192" s="40"/>
      <c r="E192" s="40"/>
      <c r="F192" s="40"/>
      <c r="G192" s="40"/>
      <c r="H192" s="40"/>
      <c r="I192" s="40"/>
      <c r="J192" s="246" t="str">
        <f>IF(J191=N190,"N/A",IF(J191=N191,0,IF(J191=N192,1,IF(J191=N193,2,IF(J191=N194,3,IF(J191=N195,4,"N/A"))))))</f>
        <v>N/A</v>
      </c>
      <c r="K192" s="41"/>
      <c r="N192" s="12" t="s">
        <v>899</v>
      </c>
    </row>
    <row r="193" spans="2:14" x14ac:dyDescent="0.2">
      <c r="B193" s="38"/>
      <c r="C193" s="40" t="s">
        <v>257</v>
      </c>
      <c r="D193" s="40"/>
      <c r="E193" s="40"/>
      <c r="F193" s="40"/>
      <c r="G193" s="40"/>
      <c r="H193" s="40"/>
      <c r="I193" s="40"/>
      <c r="J193" s="266"/>
      <c r="K193" s="41"/>
      <c r="N193" s="12" t="s">
        <v>900</v>
      </c>
    </row>
    <row r="194" spans="2:14" x14ac:dyDescent="0.2">
      <c r="B194" s="38"/>
      <c r="C194" s="40" t="s">
        <v>261</v>
      </c>
      <c r="D194" s="40"/>
      <c r="E194" s="40"/>
      <c r="F194" s="40"/>
      <c r="G194" s="40"/>
      <c r="H194" s="40"/>
      <c r="I194" s="40"/>
      <c r="J194" s="245" t="str">
        <f>IF(J193=$B$973,$A$973,IF(J193=$B$974,$A$974,IF(J193=$B$975,$A$975,IF(J193=$B$976,$A$976,IF(J193=$B$977,$A$977,"Not Calculated")))))</f>
        <v>Not Calculated</v>
      </c>
      <c r="K194" s="41"/>
      <c r="N194" s="12" t="s">
        <v>901</v>
      </c>
    </row>
    <row r="195" spans="2:14" x14ac:dyDescent="0.2">
      <c r="B195" s="38"/>
      <c r="C195" s="40" t="s">
        <v>893</v>
      </c>
      <c r="D195" s="40"/>
      <c r="E195" s="40"/>
      <c r="F195" s="40"/>
      <c r="G195" s="40"/>
      <c r="H195" s="40"/>
      <c r="I195" s="40"/>
      <c r="J195" s="40"/>
      <c r="K195" s="41"/>
      <c r="N195" s="12" t="s">
        <v>902</v>
      </c>
    </row>
    <row r="196" spans="2:14" x14ac:dyDescent="0.2">
      <c r="B196" s="38"/>
      <c r="C196" s="399"/>
      <c r="D196" s="400"/>
      <c r="E196" s="400"/>
      <c r="F196" s="400"/>
      <c r="G196" s="400"/>
      <c r="H196" s="400"/>
      <c r="I196" s="400"/>
      <c r="J196" s="401"/>
      <c r="K196" s="41"/>
    </row>
    <row r="197" spans="2:14" x14ac:dyDescent="0.2">
      <c r="B197" s="38"/>
      <c r="C197" s="40"/>
      <c r="D197" s="40"/>
      <c r="E197" s="40"/>
      <c r="F197" s="40"/>
      <c r="G197" s="40"/>
      <c r="H197" s="40"/>
      <c r="I197" s="40"/>
      <c r="J197" s="40"/>
      <c r="K197" s="41"/>
    </row>
    <row r="198" spans="2:14" x14ac:dyDescent="0.2">
      <c r="B198" s="38"/>
      <c r="C198" s="179" t="s">
        <v>275</v>
      </c>
      <c r="D198" s="40"/>
      <c r="E198" s="40"/>
      <c r="F198" s="40"/>
      <c r="G198" s="40"/>
      <c r="H198" s="40"/>
      <c r="I198" s="40"/>
      <c r="J198" s="245" t="str">
        <f>IF(J192="N/A",IF(OR(J185="Not Calculated",J194="Not Calculated")=TRUE,"Not Calculated",AVERAGE(J185,J194)),AVERAGE(J192,J194))</f>
        <v>Not Calculated</v>
      </c>
      <c r="K198" s="41"/>
    </row>
    <row r="199" spans="2:14" x14ac:dyDescent="0.2">
      <c r="B199" s="38"/>
      <c r="C199" s="40"/>
      <c r="D199" s="40"/>
      <c r="E199" s="40"/>
      <c r="F199" s="40"/>
      <c r="G199" s="40"/>
      <c r="H199" s="40"/>
      <c r="I199" s="40"/>
      <c r="J199" s="40"/>
      <c r="K199" s="41"/>
    </row>
    <row r="200" spans="2:14" x14ac:dyDescent="0.2">
      <c r="B200" s="38"/>
      <c r="C200" s="40"/>
      <c r="D200" s="40"/>
      <c r="E200" s="40"/>
      <c r="F200" s="40"/>
      <c r="G200" s="40"/>
      <c r="H200" s="40"/>
      <c r="I200" s="40"/>
      <c r="J200" s="40"/>
      <c r="K200" s="41"/>
    </row>
    <row r="201" spans="2:14" ht="16" x14ac:dyDescent="0.2">
      <c r="B201" s="38"/>
      <c r="C201" s="45" t="s">
        <v>75</v>
      </c>
      <c r="D201" s="40"/>
      <c r="E201" s="40"/>
      <c r="F201" s="40"/>
      <c r="G201" s="40"/>
      <c r="H201" s="40"/>
      <c r="I201" s="40"/>
      <c r="J201" s="40"/>
      <c r="K201" s="41"/>
    </row>
    <row r="202" spans="2:14" x14ac:dyDescent="0.2">
      <c r="B202" s="38"/>
      <c r="C202" s="40" t="s">
        <v>444</v>
      </c>
      <c r="D202" s="40"/>
      <c r="E202" s="40"/>
      <c r="F202" s="40"/>
      <c r="G202" s="40"/>
      <c r="H202" s="40"/>
      <c r="I202" s="40"/>
      <c r="J202" s="252">
        <f>'Baseline Health'!G65</f>
        <v>0</v>
      </c>
      <c r="K202" s="41"/>
    </row>
    <row r="203" spans="2:14" x14ac:dyDescent="0.2">
      <c r="B203" s="38"/>
      <c r="C203" s="40" t="s">
        <v>282</v>
      </c>
      <c r="D203" s="40"/>
      <c r="E203" s="40"/>
      <c r="F203" s="40"/>
      <c r="G203" s="40"/>
      <c r="H203" s="40"/>
      <c r="I203" s="40"/>
      <c r="J203" s="264"/>
      <c r="K203" s="41"/>
    </row>
    <row r="204" spans="2:14" x14ac:dyDescent="0.2">
      <c r="B204" s="38"/>
      <c r="C204" s="40" t="s">
        <v>355</v>
      </c>
      <c r="D204" s="40"/>
      <c r="E204" s="40"/>
      <c r="F204" s="40"/>
      <c r="G204" s="40"/>
      <c r="H204" s="40"/>
      <c r="I204" s="40"/>
      <c r="J204" s="264"/>
      <c r="K204" s="41"/>
    </row>
    <row r="205" spans="2:14" x14ac:dyDescent="0.2">
      <c r="B205" s="38"/>
      <c r="C205" s="40" t="s">
        <v>260</v>
      </c>
      <c r="D205" s="40"/>
      <c r="E205" s="40"/>
      <c r="F205" s="40"/>
      <c r="G205" s="40"/>
      <c r="H205" s="40"/>
      <c r="I205" s="40"/>
      <c r="J205" s="245" t="str">
        <f>IF(OR(J202=0,J202="Not Calculated")=TRUE,"Not Calculated",IF(J202-J203=0,4,IF(((J202+J204)/(J202-J203))&lt;=1,0,IF(((J202+J204)/(J202-J203))&lt;=1.05,1,IF(((J202+J204)/(J202-J203))&lt;=1.5, 2,IF(((J202+J204)/(J202-J203))&lt;=2,3,4))))))</f>
        <v>Not Calculated</v>
      </c>
      <c r="K205" s="41"/>
    </row>
    <row r="206" spans="2:14" ht="9.75" customHeight="1" x14ac:dyDescent="0.2">
      <c r="B206" s="38"/>
      <c r="C206" s="279" t="str">
        <f>"0:"</f>
        <v>0:</v>
      </c>
      <c r="D206" s="278" t="s">
        <v>918</v>
      </c>
      <c r="E206" s="40"/>
      <c r="F206" s="40"/>
      <c r="G206" s="40"/>
      <c r="H206" s="40"/>
      <c r="I206" s="40"/>
      <c r="J206" s="40"/>
      <c r="K206" s="41"/>
    </row>
    <row r="207" spans="2:14" ht="9.75" customHeight="1" x14ac:dyDescent="0.2">
      <c r="B207" s="38"/>
      <c r="C207" s="280" t="str">
        <f>"1:"</f>
        <v>1:</v>
      </c>
      <c r="D207" s="278" t="s">
        <v>923</v>
      </c>
      <c r="E207" s="40"/>
      <c r="F207" s="40"/>
      <c r="G207" s="40"/>
      <c r="H207" s="40"/>
      <c r="I207" s="40"/>
      <c r="J207" s="40"/>
      <c r="K207" s="41"/>
    </row>
    <row r="208" spans="2:14" ht="9.75" customHeight="1" x14ac:dyDescent="0.2">
      <c r="B208" s="38"/>
      <c r="C208" s="280" t="str">
        <f>"2:"</f>
        <v>2:</v>
      </c>
      <c r="D208" s="278" t="s">
        <v>924</v>
      </c>
      <c r="E208" s="40"/>
      <c r="F208" s="40"/>
      <c r="G208" s="40"/>
      <c r="H208" s="40"/>
      <c r="I208" s="40"/>
      <c r="J208" s="40"/>
      <c r="K208" s="41"/>
    </row>
    <row r="209" spans="2:14" ht="9.75" customHeight="1" x14ac:dyDescent="0.2">
      <c r="B209" s="38"/>
      <c r="C209" s="280" t="str">
        <f>"3:"</f>
        <v>3:</v>
      </c>
      <c r="D209" s="278" t="s">
        <v>925</v>
      </c>
      <c r="E209" s="40"/>
      <c r="F209" s="40"/>
      <c r="G209" s="40"/>
      <c r="H209" s="40"/>
      <c r="I209" s="40"/>
      <c r="J209" s="40"/>
      <c r="K209" s="41"/>
    </row>
    <row r="210" spans="2:14" ht="9.75" customHeight="1" x14ac:dyDescent="0.2">
      <c r="B210" s="38"/>
      <c r="C210" s="280" t="str">
        <f>"4:"</f>
        <v>4:</v>
      </c>
      <c r="D210" s="278" t="s">
        <v>926</v>
      </c>
      <c r="E210" s="40"/>
      <c r="F210" s="40"/>
      <c r="G210" s="40"/>
      <c r="H210" s="40"/>
      <c r="I210" s="40"/>
      <c r="J210" s="40"/>
      <c r="K210" s="41"/>
      <c r="N210" s="12" t="s">
        <v>661</v>
      </c>
    </row>
    <row r="211" spans="2:14" x14ac:dyDescent="0.2">
      <c r="B211" s="38"/>
      <c r="C211" s="174" t="s">
        <v>662</v>
      </c>
      <c r="D211" s="40"/>
      <c r="E211" s="40"/>
      <c r="F211" s="40"/>
      <c r="G211" s="40"/>
      <c r="H211" s="40"/>
      <c r="I211" s="40"/>
      <c r="J211" s="265" t="s">
        <v>661</v>
      </c>
      <c r="K211" s="41"/>
      <c r="N211" s="12" t="s">
        <v>894</v>
      </c>
    </row>
    <row r="212" spans="2:14" x14ac:dyDescent="0.2">
      <c r="B212" s="38"/>
      <c r="C212" s="174" t="s">
        <v>660</v>
      </c>
      <c r="D212" s="40"/>
      <c r="E212" s="40"/>
      <c r="F212" s="40"/>
      <c r="G212" s="40"/>
      <c r="H212" s="40"/>
      <c r="I212" s="40"/>
      <c r="J212" s="246" t="str">
        <f>IF(J211=N210,"N/A",IF(J211=N211,0,IF(J211=N212,1,IF(J211=N213,2,IF(J211=N214,3,IF(J211=N215,4,"N/A"))))))</f>
        <v>N/A</v>
      </c>
      <c r="K212" s="41"/>
      <c r="N212" s="12" t="s">
        <v>899</v>
      </c>
    </row>
    <row r="213" spans="2:14" x14ac:dyDescent="0.2">
      <c r="B213" s="38"/>
      <c r="C213" s="40" t="s">
        <v>257</v>
      </c>
      <c r="D213" s="40"/>
      <c r="E213" s="40"/>
      <c r="F213" s="40"/>
      <c r="G213" s="40"/>
      <c r="H213" s="40"/>
      <c r="I213" s="40"/>
      <c r="J213" s="266"/>
      <c r="K213" s="41"/>
      <c r="N213" s="12" t="s">
        <v>900</v>
      </c>
    </row>
    <row r="214" spans="2:14" x14ac:dyDescent="0.2">
      <c r="B214" s="38"/>
      <c r="C214" s="40" t="s">
        <v>261</v>
      </c>
      <c r="D214" s="40"/>
      <c r="E214" s="40"/>
      <c r="F214" s="40"/>
      <c r="G214" s="40"/>
      <c r="H214" s="40"/>
      <c r="I214" s="40"/>
      <c r="J214" s="245" t="str">
        <f>IF(J213=$B$973,$A$973,IF(J213=$B$974,$A$974,IF(J213=$B$975,$A$975,IF(J213=$B$976,$A$976,IF(J213=$B$977,$A$977,"Not Calculated")))))</f>
        <v>Not Calculated</v>
      </c>
      <c r="K214" s="41"/>
      <c r="N214" s="12" t="s">
        <v>901</v>
      </c>
    </row>
    <row r="215" spans="2:14" x14ac:dyDescent="0.2">
      <c r="B215" s="38"/>
      <c r="C215" s="40" t="s">
        <v>893</v>
      </c>
      <c r="D215" s="40"/>
      <c r="E215" s="40"/>
      <c r="F215" s="40"/>
      <c r="G215" s="40"/>
      <c r="H215" s="40"/>
      <c r="I215" s="40"/>
      <c r="J215" s="40"/>
      <c r="K215" s="41"/>
      <c r="N215" s="12" t="s">
        <v>902</v>
      </c>
    </row>
    <row r="216" spans="2:14" ht="15" customHeight="1" x14ac:dyDescent="0.2">
      <c r="B216" s="38"/>
      <c r="C216" s="399"/>
      <c r="D216" s="400"/>
      <c r="E216" s="400"/>
      <c r="F216" s="400"/>
      <c r="G216" s="400"/>
      <c r="H216" s="400"/>
      <c r="I216" s="400"/>
      <c r="J216" s="401"/>
      <c r="K216" s="41"/>
    </row>
    <row r="217" spans="2:14" x14ac:dyDescent="0.2">
      <c r="B217" s="38"/>
      <c r="C217" s="40"/>
      <c r="D217" s="40"/>
      <c r="E217" s="40"/>
      <c r="F217" s="40"/>
      <c r="G217" s="40"/>
      <c r="H217" s="40"/>
      <c r="I217" s="40"/>
      <c r="J217" s="40"/>
      <c r="K217" s="41"/>
    </row>
    <row r="218" spans="2:14" x14ac:dyDescent="0.2">
      <c r="B218" s="38"/>
      <c r="C218" s="179" t="s">
        <v>276</v>
      </c>
      <c r="D218" s="40"/>
      <c r="E218" s="40"/>
      <c r="F218" s="40"/>
      <c r="G218" s="40"/>
      <c r="H218" s="40"/>
      <c r="I218" s="40"/>
      <c r="J218" s="245" t="str">
        <f>IF(J212="N/A",IF(OR(J205="Not Calculated",J214="Not Calculated")=TRUE,"Not Calculated",AVERAGE(J205,J214)),AVERAGE(J212,J214))</f>
        <v>Not Calculated</v>
      </c>
      <c r="K218" s="41"/>
    </row>
    <row r="219" spans="2:14" x14ac:dyDescent="0.2">
      <c r="B219" s="38"/>
      <c r="C219" s="40"/>
      <c r="D219" s="40"/>
      <c r="E219" s="40"/>
      <c r="F219" s="40"/>
      <c r="G219" s="40"/>
      <c r="H219" s="40"/>
      <c r="I219" s="40"/>
      <c r="J219" s="40"/>
      <c r="K219" s="41"/>
    </row>
    <row r="220" spans="2:14" x14ac:dyDescent="0.2">
      <c r="B220" s="38"/>
      <c r="C220" s="40"/>
      <c r="D220" s="40"/>
      <c r="E220" s="40"/>
      <c r="F220" s="40"/>
      <c r="G220" s="40"/>
      <c r="H220" s="40"/>
      <c r="I220" s="40"/>
      <c r="J220" s="40"/>
      <c r="K220" s="41"/>
    </row>
    <row r="221" spans="2:14" ht="16" x14ac:dyDescent="0.2">
      <c r="B221" s="38"/>
      <c r="C221" s="45" t="s">
        <v>76</v>
      </c>
      <c r="D221" s="40"/>
      <c r="E221" s="40"/>
      <c r="F221" s="40"/>
      <c r="G221" s="40"/>
      <c r="H221" s="40"/>
      <c r="I221" s="40"/>
      <c r="J221" s="40"/>
      <c r="K221" s="41"/>
    </row>
    <row r="222" spans="2:14" ht="15" customHeight="1" x14ac:dyDescent="0.2">
      <c r="B222" s="38"/>
      <c r="C222" s="40" t="s">
        <v>356</v>
      </c>
      <c r="D222" s="40"/>
      <c r="E222" s="40"/>
      <c r="F222" s="40"/>
      <c r="G222" s="40"/>
      <c r="H222" s="40"/>
      <c r="I222" s="40"/>
      <c r="J222" s="252">
        <f>'Baseline Health'!G71</f>
        <v>0</v>
      </c>
      <c r="K222" s="41"/>
    </row>
    <row r="223" spans="2:14" x14ac:dyDescent="0.2">
      <c r="B223" s="38"/>
      <c r="C223" s="40" t="s">
        <v>357</v>
      </c>
      <c r="D223" s="40"/>
      <c r="E223" s="40"/>
      <c r="F223" s="40"/>
      <c r="G223" s="40"/>
      <c r="H223" s="40"/>
      <c r="I223" s="40"/>
      <c r="J223" s="264"/>
      <c r="K223" s="41"/>
    </row>
    <row r="224" spans="2:14" x14ac:dyDescent="0.2">
      <c r="B224" s="38"/>
      <c r="C224" s="40" t="s">
        <v>445</v>
      </c>
      <c r="D224" s="40"/>
      <c r="E224" s="40"/>
      <c r="F224" s="40"/>
      <c r="G224" s="40"/>
      <c r="H224" s="40"/>
      <c r="I224" s="40"/>
      <c r="J224" s="251">
        <f>J102</f>
        <v>0</v>
      </c>
      <c r="K224" s="41"/>
    </row>
    <row r="225" spans="2:14" x14ac:dyDescent="0.2">
      <c r="B225" s="38"/>
      <c r="C225" s="40"/>
      <c r="D225" s="40" t="s">
        <v>446</v>
      </c>
      <c r="E225" s="40"/>
      <c r="F225" s="40"/>
      <c r="G225" s="40"/>
      <c r="H225" s="40"/>
      <c r="I225" s="40"/>
      <c r="J225" s="40"/>
      <c r="K225" s="41"/>
    </row>
    <row r="226" spans="2:14" x14ac:dyDescent="0.2">
      <c r="B226" s="38"/>
      <c r="C226" s="40" t="s">
        <v>260</v>
      </c>
      <c r="D226" s="40"/>
      <c r="E226" s="40"/>
      <c r="F226" s="40"/>
      <c r="G226" s="40"/>
      <c r="H226" s="40"/>
      <c r="I226" s="40"/>
      <c r="J226" s="245" t="str">
        <f>IF(OR(J222=0,J222="Not Calculated")=TRUE,"Not Calculated",IF(J222-J223=0,4,IF(((J222+J224)/(J222-J223))&lt;=1,0,IF(((J222+J224)/(J222-J223))&lt;=1.05,1,IF(((J222+J224)/(J222-J223))&lt;=1.5, 2,IF(((J222+J224)/(J222-J223))&lt;=2,3,4))))))</f>
        <v>Not Calculated</v>
      </c>
      <c r="K226" s="41"/>
    </row>
    <row r="227" spans="2:14" ht="9.75" customHeight="1" x14ac:dyDescent="0.2">
      <c r="B227" s="38"/>
      <c r="C227" s="279" t="str">
        <f>"0:"</f>
        <v>0:</v>
      </c>
      <c r="D227" s="278" t="s">
        <v>918</v>
      </c>
      <c r="E227" s="40"/>
      <c r="F227" s="40"/>
      <c r="G227" s="40"/>
      <c r="H227" s="40"/>
      <c r="I227" s="40"/>
      <c r="J227" s="40"/>
      <c r="K227" s="41"/>
    </row>
    <row r="228" spans="2:14" ht="9.75" customHeight="1" x14ac:dyDescent="0.2">
      <c r="B228" s="38"/>
      <c r="C228" s="280" t="str">
        <f>"1:"</f>
        <v>1:</v>
      </c>
      <c r="D228" s="278" t="s">
        <v>923</v>
      </c>
      <c r="E228" s="40"/>
      <c r="F228" s="40"/>
      <c r="G228" s="40"/>
      <c r="H228" s="40"/>
      <c r="I228" s="40"/>
      <c r="J228" s="40"/>
      <c r="K228" s="41"/>
    </row>
    <row r="229" spans="2:14" ht="9.75" customHeight="1" x14ac:dyDescent="0.2">
      <c r="B229" s="38"/>
      <c r="C229" s="280" t="str">
        <f>"2:"</f>
        <v>2:</v>
      </c>
      <c r="D229" s="278" t="s">
        <v>924</v>
      </c>
      <c r="E229" s="40"/>
      <c r="F229" s="40"/>
      <c r="G229" s="40"/>
      <c r="H229" s="40"/>
      <c r="I229" s="40"/>
      <c r="J229" s="40"/>
      <c r="K229" s="41"/>
    </row>
    <row r="230" spans="2:14" ht="9.75" customHeight="1" x14ac:dyDescent="0.2">
      <c r="B230" s="38"/>
      <c r="C230" s="280" t="str">
        <f>"3:"</f>
        <v>3:</v>
      </c>
      <c r="D230" s="278" t="s">
        <v>925</v>
      </c>
      <c r="E230" s="40"/>
      <c r="F230" s="40"/>
      <c r="G230" s="40"/>
      <c r="H230" s="40"/>
      <c r="I230" s="40"/>
      <c r="J230" s="40"/>
      <c r="K230" s="41"/>
    </row>
    <row r="231" spans="2:14" ht="9.75" customHeight="1" x14ac:dyDescent="0.2">
      <c r="B231" s="38"/>
      <c r="C231" s="280" t="str">
        <f>"4:"</f>
        <v>4:</v>
      </c>
      <c r="D231" s="278" t="s">
        <v>926</v>
      </c>
      <c r="E231" s="40"/>
      <c r="F231" s="40"/>
      <c r="G231" s="40"/>
      <c r="H231" s="40"/>
      <c r="I231" s="40"/>
      <c r="J231" s="40"/>
      <c r="K231" s="41"/>
      <c r="N231" s="12" t="s">
        <v>661</v>
      </c>
    </row>
    <row r="232" spans="2:14" x14ac:dyDescent="0.2">
      <c r="B232" s="38"/>
      <c r="C232" s="174" t="s">
        <v>662</v>
      </c>
      <c r="D232" s="40"/>
      <c r="E232" s="40"/>
      <c r="F232" s="40"/>
      <c r="G232" s="40"/>
      <c r="H232" s="40"/>
      <c r="I232" s="40"/>
      <c r="J232" s="265" t="s">
        <v>661</v>
      </c>
      <c r="K232" s="41"/>
      <c r="N232" s="12" t="s">
        <v>894</v>
      </c>
    </row>
    <row r="233" spans="2:14" x14ac:dyDescent="0.2">
      <c r="B233" s="38"/>
      <c r="C233" s="174" t="s">
        <v>660</v>
      </c>
      <c r="D233" s="40"/>
      <c r="E233" s="40"/>
      <c r="F233" s="40"/>
      <c r="G233" s="40"/>
      <c r="H233" s="40"/>
      <c r="I233" s="40"/>
      <c r="J233" s="246" t="str">
        <f>IF(J232=N231,"N/A",IF(J232=N232,0,IF(J232=N233,1,IF(J232=N234,2,IF(J232=N235,3,IF(J232=N236,4,"N/A"))))))</f>
        <v>N/A</v>
      </c>
      <c r="K233" s="41"/>
      <c r="N233" s="12" t="s">
        <v>899</v>
      </c>
    </row>
    <row r="234" spans="2:14" x14ac:dyDescent="0.2">
      <c r="B234" s="38"/>
      <c r="C234" s="40" t="s">
        <v>257</v>
      </c>
      <c r="D234" s="40"/>
      <c r="E234" s="40"/>
      <c r="F234" s="40"/>
      <c r="G234" s="40"/>
      <c r="H234" s="40"/>
      <c r="I234" s="40"/>
      <c r="J234" s="266"/>
      <c r="K234" s="41"/>
      <c r="N234" s="12" t="s">
        <v>900</v>
      </c>
    </row>
    <row r="235" spans="2:14" x14ac:dyDescent="0.2">
      <c r="B235" s="38"/>
      <c r="C235" s="40" t="s">
        <v>261</v>
      </c>
      <c r="D235" s="40"/>
      <c r="E235" s="40"/>
      <c r="F235" s="40"/>
      <c r="G235" s="40"/>
      <c r="H235" s="40"/>
      <c r="I235" s="40"/>
      <c r="J235" s="245" t="str">
        <f>IF(J234=$B$973,$A$973,IF(J234=$B$974,$A$974,IF(J234=$B$975,$A$975,IF(J234=$B$976,$A$976,IF(J234=$B$977,$A$977,"Not Calculated")))))</f>
        <v>Not Calculated</v>
      </c>
      <c r="K235" s="41"/>
      <c r="N235" s="12" t="s">
        <v>901</v>
      </c>
    </row>
    <row r="236" spans="2:14" x14ac:dyDescent="0.2">
      <c r="B236" s="38"/>
      <c r="C236" s="40" t="s">
        <v>893</v>
      </c>
      <c r="D236" s="40"/>
      <c r="E236" s="40"/>
      <c r="F236" s="40"/>
      <c r="G236" s="40"/>
      <c r="H236" s="40"/>
      <c r="I236" s="40"/>
      <c r="J236" s="40"/>
      <c r="K236" s="41"/>
      <c r="N236" s="12" t="s">
        <v>902</v>
      </c>
    </row>
    <row r="237" spans="2:14" ht="15" customHeight="1" x14ac:dyDescent="0.2">
      <c r="B237" s="38"/>
      <c r="C237" s="399"/>
      <c r="D237" s="400"/>
      <c r="E237" s="400"/>
      <c r="F237" s="400"/>
      <c r="G237" s="400"/>
      <c r="H237" s="400"/>
      <c r="I237" s="400"/>
      <c r="J237" s="401"/>
      <c r="K237" s="41"/>
    </row>
    <row r="238" spans="2:14" x14ac:dyDescent="0.2">
      <c r="B238" s="38"/>
      <c r="C238" s="40"/>
      <c r="D238" s="40"/>
      <c r="E238" s="40"/>
      <c r="F238" s="40"/>
      <c r="G238" s="40"/>
      <c r="H238" s="40"/>
      <c r="I238" s="40"/>
      <c r="J238" s="40"/>
      <c r="K238" s="41"/>
    </row>
    <row r="239" spans="2:14" x14ac:dyDescent="0.2">
      <c r="B239" s="38"/>
      <c r="C239" s="179" t="s">
        <v>277</v>
      </c>
      <c r="D239" s="40"/>
      <c r="E239" s="40"/>
      <c r="F239" s="40"/>
      <c r="G239" s="40"/>
      <c r="H239" s="40"/>
      <c r="I239" s="40"/>
      <c r="J239" s="245" t="str">
        <f>IF(J233="N/A",IF(OR(J226="Not Calculated",J235="Not Calculated")=TRUE,"Not Calculated",AVERAGE(J226,J235)),AVERAGE(J233,J235))</f>
        <v>Not Calculated</v>
      </c>
      <c r="K239" s="41"/>
    </row>
    <row r="240" spans="2:14" x14ac:dyDescent="0.2">
      <c r="B240" s="38"/>
      <c r="C240" s="40"/>
      <c r="D240" s="40"/>
      <c r="E240" s="40"/>
      <c r="F240" s="40"/>
      <c r="G240" s="40"/>
      <c r="H240" s="40"/>
      <c r="I240" s="40"/>
      <c r="J240" s="40"/>
      <c r="K240" s="41"/>
    </row>
    <row r="241" spans="2:14" x14ac:dyDescent="0.2">
      <c r="B241" s="38"/>
      <c r="C241" s="40"/>
      <c r="D241" s="40"/>
      <c r="E241" s="40"/>
      <c r="F241" s="40"/>
      <c r="G241" s="40"/>
      <c r="H241" s="40"/>
      <c r="I241" s="40"/>
      <c r="J241" s="40"/>
      <c r="K241" s="41"/>
    </row>
    <row r="242" spans="2:14" ht="16" x14ac:dyDescent="0.2">
      <c r="B242" s="38"/>
      <c r="C242" s="45" t="s">
        <v>278</v>
      </c>
      <c r="D242" s="40"/>
      <c r="E242" s="40"/>
      <c r="F242" s="40"/>
      <c r="G242" s="40"/>
      <c r="H242" s="40"/>
      <c r="I242" s="40"/>
      <c r="J242" s="40"/>
      <c r="K242" s="41"/>
    </row>
    <row r="243" spans="2:14" ht="15" customHeight="1" x14ac:dyDescent="0.2">
      <c r="B243" s="38"/>
      <c r="C243" s="40" t="s">
        <v>447</v>
      </c>
      <c r="D243" s="40"/>
      <c r="E243" s="40"/>
      <c r="F243" s="40"/>
      <c r="G243" s="40"/>
      <c r="H243" s="40"/>
      <c r="I243" s="40"/>
      <c r="J243" s="254">
        <f>'Baseline Health'!G77</f>
        <v>0</v>
      </c>
      <c r="K243" s="41"/>
    </row>
    <row r="244" spans="2:14" x14ac:dyDescent="0.2">
      <c r="B244" s="38"/>
      <c r="C244" s="40" t="s">
        <v>358</v>
      </c>
      <c r="D244" s="40"/>
      <c r="E244" s="40"/>
      <c r="F244" s="40"/>
      <c r="G244" s="40"/>
      <c r="H244" s="40"/>
      <c r="I244" s="40"/>
      <c r="J244" s="264"/>
      <c r="K244" s="41"/>
    </row>
    <row r="245" spans="2:14" x14ac:dyDescent="0.2">
      <c r="B245" s="38"/>
      <c r="C245" s="40" t="s">
        <v>360</v>
      </c>
      <c r="D245" s="291"/>
      <c r="E245" s="291"/>
      <c r="F245" s="291"/>
      <c r="G245" s="291"/>
      <c r="H245" s="291"/>
      <c r="I245" s="291"/>
      <c r="J245" s="264"/>
      <c r="K245" s="41"/>
    </row>
    <row r="246" spans="2:14" x14ac:dyDescent="0.2">
      <c r="B246" s="38"/>
      <c r="C246" s="40" t="s">
        <v>260</v>
      </c>
      <c r="D246" s="40"/>
      <c r="E246" s="40"/>
      <c r="F246" s="40"/>
      <c r="G246" s="40"/>
      <c r="H246" s="40"/>
      <c r="I246" s="40"/>
      <c r="J246" s="245" t="str">
        <f>IF(OR(J243=0,J243="Not Calculated")=TRUE,"Not Calculated",IF(J243-J244=0,4,(IF(((J243+J245)/(J243-J244))&lt;=1,0,IF(((J243+J245)/(J243-J244))&lt;=1.05,1,IF(((J243+J245)/(J243-J244))&lt;=1.5,2,IF(((J243+J245)/(J243-J244))&lt;=2,3,4)))))))</f>
        <v>Not Calculated</v>
      </c>
      <c r="K246" s="41"/>
    </row>
    <row r="247" spans="2:14" ht="9.75" customHeight="1" x14ac:dyDescent="0.2">
      <c r="B247" s="38"/>
      <c r="C247" s="279" t="str">
        <f>"0:"</f>
        <v>0:</v>
      </c>
      <c r="D247" s="278" t="s">
        <v>918</v>
      </c>
      <c r="E247" s="40"/>
      <c r="F247" s="40"/>
      <c r="G247" s="40"/>
      <c r="H247" s="40"/>
      <c r="I247" s="40"/>
      <c r="J247" s="40"/>
      <c r="K247" s="41"/>
    </row>
    <row r="248" spans="2:14" ht="9.75" customHeight="1" x14ac:dyDescent="0.2">
      <c r="B248" s="38"/>
      <c r="C248" s="280" t="str">
        <f>"1:"</f>
        <v>1:</v>
      </c>
      <c r="D248" s="278" t="s">
        <v>923</v>
      </c>
      <c r="E248" s="40"/>
      <c r="F248" s="40"/>
      <c r="G248" s="40"/>
      <c r="H248" s="40"/>
      <c r="I248" s="40"/>
      <c r="J248" s="40"/>
      <c r="K248" s="41"/>
    </row>
    <row r="249" spans="2:14" ht="9.75" customHeight="1" x14ac:dyDescent="0.2">
      <c r="B249" s="38"/>
      <c r="C249" s="280" t="str">
        <f>"2:"</f>
        <v>2:</v>
      </c>
      <c r="D249" s="278" t="s">
        <v>924</v>
      </c>
      <c r="E249" s="40"/>
      <c r="F249" s="40"/>
      <c r="G249" s="40"/>
      <c r="H249" s="40"/>
      <c r="I249" s="40"/>
      <c r="J249" s="40"/>
      <c r="K249" s="41"/>
    </row>
    <row r="250" spans="2:14" ht="9.75" customHeight="1" x14ac:dyDescent="0.2">
      <c r="B250" s="38"/>
      <c r="C250" s="280" t="str">
        <f>"3:"</f>
        <v>3:</v>
      </c>
      <c r="D250" s="278" t="s">
        <v>925</v>
      </c>
      <c r="E250" s="40"/>
      <c r="F250" s="40"/>
      <c r="G250" s="40"/>
      <c r="H250" s="40"/>
      <c r="I250" s="40"/>
      <c r="J250" s="40"/>
      <c r="K250" s="41"/>
    </row>
    <row r="251" spans="2:14" ht="9.75" customHeight="1" x14ac:dyDescent="0.2">
      <c r="B251" s="38"/>
      <c r="C251" s="280" t="str">
        <f>"4:"</f>
        <v>4:</v>
      </c>
      <c r="D251" s="278" t="s">
        <v>926</v>
      </c>
      <c r="E251" s="40"/>
      <c r="F251" s="40"/>
      <c r="G251" s="40"/>
      <c r="H251" s="40"/>
      <c r="I251" s="40"/>
      <c r="J251" s="40"/>
      <c r="K251" s="41"/>
      <c r="N251" s="12" t="s">
        <v>661</v>
      </c>
    </row>
    <row r="252" spans="2:14" x14ac:dyDescent="0.2">
      <c r="B252" s="38"/>
      <c r="C252" s="174" t="s">
        <v>662</v>
      </c>
      <c r="D252" s="40"/>
      <c r="E252" s="40"/>
      <c r="F252" s="40"/>
      <c r="G252" s="40"/>
      <c r="H252" s="40"/>
      <c r="I252" s="40"/>
      <c r="J252" s="265" t="s">
        <v>661</v>
      </c>
      <c r="K252" s="41"/>
      <c r="N252" s="12" t="s">
        <v>894</v>
      </c>
    </row>
    <row r="253" spans="2:14" x14ac:dyDescent="0.2">
      <c r="B253" s="38"/>
      <c r="C253" s="174" t="s">
        <v>660</v>
      </c>
      <c r="D253" s="40"/>
      <c r="E253" s="40"/>
      <c r="F253" s="40"/>
      <c r="G253" s="40"/>
      <c r="H253" s="40"/>
      <c r="I253" s="40"/>
      <c r="J253" s="246" t="str">
        <f>IF(J252=N251,"N/A",IF(J252=N252,0,IF(J252=N253,1,IF(J252=N254,2,IF(J252=N255,3,IF(J252=N256,4,"N/A"))))))</f>
        <v>N/A</v>
      </c>
      <c r="K253" s="41"/>
      <c r="N253" s="12" t="s">
        <v>899</v>
      </c>
    </row>
    <row r="254" spans="2:14" x14ac:dyDescent="0.2">
      <c r="B254" s="38"/>
      <c r="C254" s="40" t="s">
        <v>257</v>
      </c>
      <c r="D254" s="40"/>
      <c r="E254" s="40"/>
      <c r="F254" s="40"/>
      <c r="G254" s="40"/>
      <c r="H254" s="40"/>
      <c r="I254" s="40"/>
      <c r="J254" s="266"/>
      <c r="K254" s="41"/>
      <c r="N254" s="12" t="s">
        <v>900</v>
      </c>
    </row>
    <row r="255" spans="2:14" x14ac:dyDescent="0.2">
      <c r="B255" s="38"/>
      <c r="C255" s="40" t="s">
        <v>261</v>
      </c>
      <c r="D255" s="40"/>
      <c r="E255" s="40"/>
      <c r="F255" s="40"/>
      <c r="G255" s="40"/>
      <c r="H255" s="40"/>
      <c r="I255" s="40"/>
      <c r="J255" s="245" t="str">
        <f>IF(J254=$B$973,$A$973,IF(J254=$B$974,$A$974,IF(J254=$B$975,$A$975,IF(J254=$B$976,$A$976,IF(J254=$B$977,$A$977,"Not Calculated")))))</f>
        <v>Not Calculated</v>
      </c>
      <c r="K255" s="41"/>
      <c r="N255" s="12" t="s">
        <v>901</v>
      </c>
    </row>
    <row r="256" spans="2:14" x14ac:dyDescent="0.2">
      <c r="B256" s="38"/>
      <c r="C256" s="40" t="s">
        <v>893</v>
      </c>
      <c r="D256" s="40"/>
      <c r="E256" s="40"/>
      <c r="F256" s="40"/>
      <c r="G256" s="40"/>
      <c r="H256" s="40"/>
      <c r="I256" s="40"/>
      <c r="J256" s="40"/>
      <c r="K256" s="41"/>
      <c r="N256" s="12" t="s">
        <v>902</v>
      </c>
    </row>
    <row r="257" spans="2:11" x14ac:dyDescent="0.2">
      <c r="B257" s="38"/>
      <c r="C257" s="399"/>
      <c r="D257" s="400"/>
      <c r="E257" s="400"/>
      <c r="F257" s="400"/>
      <c r="G257" s="400"/>
      <c r="H257" s="400"/>
      <c r="I257" s="400"/>
      <c r="J257" s="401"/>
      <c r="K257" s="41"/>
    </row>
    <row r="258" spans="2:11" x14ac:dyDescent="0.2">
      <c r="B258" s="38"/>
      <c r="C258" s="40"/>
      <c r="D258" s="40"/>
      <c r="E258" s="40"/>
      <c r="F258" s="40"/>
      <c r="G258" s="40"/>
      <c r="H258" s="40"/>
      <c r="I258" s="40"/>
      <c r="J258" s="40"/>
      <c r="K258" s="41"/>
    </row>
    <row r="259" spans="2:11" x14ac:dyDescent="0.2">
      <c r="B259" s="38"/>
      <c r="C259" s="179" t="s">
        <v>279</v>
      </c>
      <c r="D259" s="40"/>
      <c r="E259" s="40"/>
      <c r="F259" s="40"/>
      <c r="G259" s="40"/>
      <c r="H259" s="40"/>
      <c r="I259" s="40"/>
      <c r="J259" s="245" t="str">
        <f>IF(J253="N/A",IF(OR(J246="Not Calculated",J255="Not Calculated")=TRUE,"Not Calculated",AVERAGE(J246,J255)),AVERAGE(J253,J255))</f>
        <v>Not Calculated</v>
      </c>
      <c r="K259" s="41"/>
    </row>
    <row r="260" spans="2:11" x14ac:dyDescent="0.2">
      <c r="B260" s="38"/>
      <c r="C260" s="40"/>
      <c r="D260" s="40"/>
      <c r="E260" s="40"/>
      <c r="F260" s="40"/>
      <c r="G260" s="40"/>
      <c r="H260" s="40"/>
      <c r="I260" s="40"/>
      <c r="J260" s="40"/>
      <c r="K260" s="41"/>
    </row>
    <row r="261" spans="2:11" ht="18" x14ac:dyDescent="0.2">
      <c r="B261" s="38"/>
      <c r="C261" s="180" t="s">
        <v>272</v>
      </c>
      <c r="D261" s="40"/>
      <c r="E261" s="40"/>
      <c r="F261" s="40"/>
      <c r="G261" s="40"/>
      <c r="H261" s="40"/>
      <c r="I261" s="40"/>
      <c r="J261" s="244" t="str">
        <f>IF(OR(J157="Not Calculated",J178="Not Calculated",J198="Not Calculated",J218="Not Calculated",J239="Not Calculated",J259="Not Calculated",)=TRUE,"Not Calculated",AVERAGE(J157,J178,J198,J218,J239,J259))</f>
        <v>Not Calculated</v>
      </c>
      <c r="K261" s="41"/>
    </row>
    <row r="262" spans="2:11" ht="16" thickBot="1" x14ac:dyDescent="0.25">
      <c r="B262" s="46"/>
      <c r="C262" s="47"/>
      <c r="D262" s="47"/>
      <c r="E262" s="47"/>
      <c r="F262" s="47"/>
      <c r="G262" s="47"/>
      <c r="H262" s="47"/>
      <c r="I262" s="47"/>
      <c r="J262" s="47"/>
      <c r="K262" s="49"/>
    </row>
    <row r="263" spans="2:11" ht="16" thickBot="1" x14ac:dyDescent="0.25"/>
    <row r="264" spans="2:11" x14ac:dyDescent="0.2">
      <c r="B264" s="33"/>
      <c r="C264" s="34"/>
      <c r="D264" s="34"/>
      <c r="E264" s="34"/>
      <c r="F264" s="34"/>
      <c r="G264" s="34"/>
      <c r="H264" s="34"/>
      <c r="I264" s="34"/>
      <c r="J264" s="34"/>
      <c r="K264" s="37"/>
    </row>
    <row r="265" spans="2:11" ht="21" x14ac:dyDescent="0.25">
      <c r="B265" s="38"/>
      <c r="C265" s="40"/>
      <c r="D265" s="40"/>
      <c r="E265" s="40"/>
      <c r="F265" s="40"/>
      <c r="G265" s="172" t="s">
        <v>864</v>
      </c>
      <c r="H265" s="40"/>
      <c r="I265" s="40"/>
      <c r="J265" s="40"/>
      <c r="K265" s="41"/>
    </row>
    <row r="266" spans="2:11" ht="15" customHeight="1" x14ac:dyDescent="0.2">
      <c r="B266" s="38"/>
      <c r="C266" s="40"/>
      <c r="D266" s="40"/>
      <c r="E266" s="40"/>
      <c r="F266" s="40"/>
      <c r="G266" s="40"/>
      <c r="H266" s="40"/>
      <c r="I266" s="40"/>
      <c r="J266" s="40"/>
      <c r="K266" s="41"/>
    </row>
    <row r="267" spans="2:11" ht="16" x14ac:dyDescent="0.2">
      <c r="B267" s="38"/>
      <c r="C267" s="45" t="s">
        <v>80</v>
      </c>
      <c r="D267" s="40"/>
      <c r="E267" s="40"/>
      <c r="F267" s="40"/>
      <c r="G267" s="40"/>
      <c r="H267" s="40"/>
      <c r="I267" s="40"/>
      <c r="J267" s="40"/>
      <c r="K267" s="41"/>
    </row>
    <row r="268" spans="2:11" x14ac:dyDescent="0.2">
      <c r="B268" s="38"/>
      <c r="C268" s="40" t="s">
        <v>283</v>
      </c>
      <c r="D268" s="40"/>
      <c r="E268" s="40"/>
      <c r="F268" s="40"/>
      <c r="G268" s="40"/>
      <c r="H268" s="40"/>
      <c r="I268" s="40"/>
      <c r="J268" s="250">
        <f>'Baseline Health'!G88</f>
        <v>0</v>
      </c>
      <c r="K268" s="41"/>
    </row>
    <row r="269" spans="2:11" x14ac:dyDescent="0.2">
      <c r="B269" s="38"/>
      <c r="C269" s="40" t="s">
        <v>284</v>
      </c>
      <c r="D269" s="40"/>
      <c r="E269" s="40"/>
      <c r="F269" s="40"/>
      <c r="G269" s="40"/>
      <c r="H269" s="40"/>
      <c r="I269" s="40"/>
      <c r="J269" s="264"/>
      <c r="K269" s="41"/>
    </row>
    <row r="270" spans="2:11" x14ac:dyDescent="0.2">
      <c r="B270" s="38"/>
      <c r="C270" s="40" t="s">
        <v>285</v>
      </c>
      <c r="D270" s="40"/>
      <c r="E270" s="40"/>
      <c r="F270" s="40"/>
      <c r="G270" s="40"/>
      <c r="H270" s="40"/>
      <c r="I270" s="40"/>
      <c r="J270" s="259">
        <f>'Baseline Health'!G93</f>
        <v>0</v>
      </c>
      <c r="K270" s="41"/>
    </row>
    <row r="271" spans="2:11" x14ac:dyDescent="0.2">
      <c r="B271" s="38"/>
      <c r="C271" s="40" t="s">
        <v>286</v>
      </c>
      <c r="D271" s="40"/>
      <c r="E271" s="40"/>
      <c r="F271" s="40"/>
      <c r="G271" s="40"/>
      <c r="H271" s="40"/>
      <c r="I271" s="40"/>
      <c r="J271" s="250">
        <f>J184</f>
        <v>0</v>
      </c>
      <c r="K271" s="41"/>
    </row>
    <row r="272" spans="2:11" x14ac:dyDescent="0.2">
      <c r="B272" s="38"/>
      <c r="C272" s="40"/>
      <c r="D272" s="40" t="s">
        <v>432</v>
      </c>
      <c r="E272" s="40"/>
      <c r="F272" s="40"/>
      <c r="G272" s="40"/>
      <c r="H272" s="40"/>
      <c r="I272" s="40"/>
      <c r="J272" s="40"/>
      <c r="K272" s="41"/>
    </row>
    <row r="273" spans="2:14" x14ac:dyDescent="0.2">
      <c r="B273" s="38"/>
      <c r="C273" s="40" t="s">
        <v>292</v>
      </c>
      <c r="D273" s="40"/>
      <c r="E273" s="40"/>
      <c r="F273" s="40"/>
      <c r="G273" s="40"/>
      <c r="H273" s="40"/>
      <c r="I273" s="40"/>
      <c r="J273" s="258" t="str">
        <f>'Baseline Health'!G97</f>
        <v>N/A</v>
      </c>
      <c r="K273" s="41"/>
    </row>
    <row r="274" spans="2:14" x14ac:dyDescent="0.2">
      <c r="B274" s="38"/>
      <c r="C274" s="40" t="s">
        <v>293</v>
      </c>
      <c r="D274" s="40"/>
      <c r="E274" s="40"/>
      <c r="F274" s="40"/>
      <c r="G274" s="40"/>
      <c r="H274" s="40"/>
      <c r="I274" s="40"/>
      <c r="J274" s="258" t="str">
        <f>IF(J273="N/A","N/A",IF(J268-J269=0,"No Nurses",((J270+J271)/(J268-J269))))</f>
        <v>N/A</v>
      </c>
      <c r="K274" s="41"/>
    </row>
    <row r="275" spans="2:14" x14ac:dyDescent="0.2">
      <c r="B275" s="38"/>
      <c r="C275" s="40" t="s">
        <v>260</v>
      </c>
      <c r="D275" s="40"/>
      <c r="E275" s="40"/>
      <c r="F275" s="40"/>
      <c r="G275" s="40"/>
      <c r="H275" s="40"/>
      <c r="I275" s="40"/>
      <c r="J275" s="245">
        <f>IF(J273=0,"Not Calculated",IF(J274="N/A",0,IF(J274="No Nurses",4,IF((J274/J273)&lt;=1,0,IF((J274/J273)&lt;=1.1,1,IF((J274/J273)&lt;=1=1.25,2,IF((J274/J273)&lt;=1.5,3,4)))))))</f>
        <v>0</v>
      </c>
      <c r="K275" s="41"/>
    </row>
    <row r="276" spans="2:14" ht="9.75" customHeight="1" x14ac:dyDescent="0.2">
      <c r="B276" s="38"/>
      <c r="C276" s="279" t="str">
        <f>"0:"</f>
        <v>0:</v>
      </c>
      <c r="D276" s="278" t="s">
        <v>927</v>
      </c>
      <c r="E276" s="40"/>
      <c r="F276" s="40"/>
      <c r="G276" s="40"/>
      <c r="H276" s="40"/>
      <c r="I276" s="40"/>
      <c r="J276" s="258"/>
      <c r="K276" s="41"/>
    </row>
    <row r="277" spans="2:14" ht="9.75" customHeight="1" x14ac:dyDescent="0.2">
      <c r="B277" s="38"/>
      <c r="C277" s="280" t="str">
        <f>"1:"</f>
        <v>1:</v>
      </c>
      <c r="D277" s="278" t="s">
        <v>928</v>
      </c>
      <c r="E277" s="40"/>
      <c r="F277" s="40"/>
      <c r="G277" s="40"/>
      <c r="H277" s="40"/>
      <c r="I277" s="40"/>
      <c r="J277" s="258"/>
      <c r="K277" s="41"/>
    </row>
    <row r="278" spans="2:14" ht="9.75" customHeight="1" x14ac:dyDescent="0.2">
      <c r="B278" s="38"/>
      <c r="C278" s="280" t="str">
        <f>"2:"</f>
        <v>2:</v>
      </c>
      <c r="D278" s="278" t="s">
        <v>929</v>
      </c>
      <c r="E278" s="40"/>
      <c r="F278" s="40"/>
      <c r="G278" s="40"/>
      <c r="H278" s="40"/>
      <c r="I278" s="40"/>
      <c r="J278" s="258"/>
      <c r="K278" s="41"/>
    </row>
    <row r="279" spans="2:14" ht="9.75" customHeight="1" x14ac:dyDescent="0.2">
      <c r="B279" s="38"/>
      <c r="C279" s="280" t="str">
        <f>"3:"</f>
        <v>3:</v>
      </c>
      <c r="D279" s="278" t="s">
        <v>930</v>
      </c>
      <c r="E279" s="40"/>
      <c r="F279" s="40"/>
      <c r="G279" s="40"/>
      <c r="H279" s="40"/>
      <c r="I279" s="40"/>
      <c r="J279" s="258"/>
      <c r="K279" s="41"/>
    </row>
    <row r="280" spans="2:14" ht="9.75" customHeight="1" x14ac:dyDescent="0.2">
      <c r="B280" s="38"/>
      <c r="C280" s="280" t="str">
        <f>"4:"</f>
        <v>4:</v>
      </c>
      <c r="D280" s="278" t="s">
        <v>931</v>
      </c>
      <c r="E280" s="40"/>
      <c r="F280" s="40"/>
      <c r="G280" s="40"/>
      <c r="H280" s="40"/>
      <c r="I280" s="40"/>
      <c r="J280" s="40"/>
      <c r="K280" s="41"/>
      <c r="N280" s="12" t="s">
        <v>661</v>
      </c>
    </row>
    <row r="281" spans="2:14" x14ac:dyDescent="0.2">
      <c r="B281" s="38"/>
      <c r="C281" s="174" t="s">
        <v>662</v>
      </c>
      <c r="D281" s="40"/>
      <c r="E281" s="40"/>
      <c r="F281" s="40"/>
      <c r="G281" s="40"/>
      <c r="H281" s="40"/>
      <c r="I281" s="40"/>
      <c r="J281" s="265" t="s">
        <v>661</v>
      </c>
      <c r="K281" s="41"/>
      <c r="N281" s="12" t="s">
        <v>903</v>
      </c>
    </row>
    <row r="282" spans="2:14" x14ac:dyDescent="0.2">
      <c r="B282" s="38"/>
      <c r="C282" s="174" t="s">
        <v>660</v>
      </c>
      <c r="D282" s="40"/>
      <c r="E282" s="40"/>
      <c r="F282" s="40"/>
      <c r="G282" s="40"/>
      <c r="H282" s="40"/>
      <c r="I282" s="40"/>
      <c r="J282" s="246" t="str">
        <f>IF(J281=N280,"N/A",IF(J281=N281,0,IF(J281=N282,1,IF(J281=N283,2,IF(J281=N284,3,IF(J281=N285,4,"N/A"))))))</f>
        <v>N/A</v>
      </c>
      <c r="K282" s="41"/>
      <c r="N282" s="12" t="s">
        <v>904</v>
      </c>
    </row>
    <row r="283" spans="2:14" x14ac:dyDescent="0.2">
      <c r="B283" s="38"/>
      <c r="C283" s="40" t="s">
        <v>257</v>
      </c>
      <c r="D283" s="40"/>
      <c r="E283" s="40"/>
      <c r="F283" s="40"/>
      <c r="G283" s="40"/>
      <c r="H283" s="40"/>
      <c r="I283" s="40"/>
      <c r="J283" s="266"/>
      <c r="K283" s="41"/>
      <c r="N283" s="12" t="s">
        <v>905</v>
      </c>
    </row>
    <row r="284" spans="2:14" x14ac:dyDescent="0.2">
      <c r="B284" s="38"/>
      <c r="C284" s="40" t="s">
        <v>261</v>
      </c>
      <c r="D284" s="40"/>
      <c r="E284" s="40"/>
      <c r="F284" s="40"/>
      <c r="G284" s="40"/>
      <c r="H284" s="40"/>
      <c r="I284" s="40"/>
      <c r="J284" s="248" t="str">
        <f>IF(J283=$B$973,$A$973,IF(J283=$B$974,$A$974,IF(J283=$B$975,$A$975,IF(J283=$B$976,$A$976,IF(J283=$B$977,$A$977,"Not Calculated")))))</f>
        <v>Not Calculated</v>
      </c>
      <c r="K284" s="41"/>
      <c r="N284" s="12" t="s">
        <v>906</v>
      </c>
    </row>
    <row r="285" spans="2:14" x14ac:dyDescent="0.2">
      <c r="B285" s="38"/>
      <c r="C285" s="40" t="s">
        <v>893</v>
      </c>
      <c r="D285" s="40"/>
      <c r="E285" s="40"/>
      <c r="F285" s="40"/>
      <c r="G285" s="40"/>
      <c r="H285" s="40"/>
      <c r="I285" s="40"/>
      <c r="J285" s="40"/>
      <c r="K285" s="41"/>
      <c r="N285" s="12" t="s">
        <v>907</v>
      </c>
    </row>
    <row r="286" spans="2:14" x14ac:dyDescent="0.2">
      <c r="B286" s="38"/>
      <c r="C286" s="399"/>
      <c r="D286" s="400"/>
      <c r="E286" s="400"/>
      <c r="F286" s="400"/>
      <c r="G286" s="400"/>
      <c r="H286" s="400"/>
      <c r="I286" s="400"/>
      <c r="J286" s="401"/>
      <c r="K286" s="41"/>
    </row>
    <row r="287" spans="2:14" x14ac:dyDescent="0.2">
      <c r="B287" s="38"/>
      <c r="C287" s="40"/>
      <c r="D287" s="40"/>
      <c r="E287" s="40"/>
      <c r="F287" s="40"/>
      <c r="G287" s="40"/>
      <c r="H287" s="40"/>
      <c r="I287" s="40"/>
      <c r="J287" s="40"/>
      <c r="K287" s="41"/>
    </row>
    <row r="288" spans="2:14" x14ac:dyDescent="0.2">
      <c r="B288" s="38"/>
      <c r="C288" s="179" t="s">
        <v>295</v>
      </c>
      <c r="D288" s="40"/>
      <c r="E288" s="40"/>
      <c r="F288" s="40"/>
      <c r="G288" s="40"/>
      <c r="H288" s="40"/>
      <c r="I288" s="40"/>
      <c r="J288" s="245" t="str">
        <f>IF(J282="N/A",IF(OR(J275="Not Calculated",J284="Not Calculated")=TRUE,"Not Calculated",AVERAGE(J275,J284)),AVERAGE(J282,J284))</f>
        <v>Not Calculated</v>
      </c>
      <c r="K288" s="41"/>
    </row>
    <row r="289" spans="2:11" x14ac:dyDescent="0.2">
      <c r="B289" s="38"/>
      <c r="C289" s="40"/>
      <c r="D289" s="40"/>
      <c r="E289" s="40"/>
      <c r="F289" s="40"/>
      <c r="G289" s="40"/>
      <c r="H289" s="40"/>
      <c r="I289" s="40"/>
      <c r="J289" s="245"/>
      <c r="K289" s="41"/>
    </row>
    <row r="290" spans="2:11" x14ac:dyDescent="0.2">
      <c r="B290" s="38"/>
      <c r="C290" s="40"/>
      <c r="D290" s="40"/>
      <c r="E290" s="40"/>
      <c r="F290" s="40"/>
      <c r="G290" s="40"/>
      <c r="H290" s="40"/>
      <c r="I290" s="40"/>
      <c r="J290" s="40"/>
      <c r="K290" s="41"/>
    </row>
    <row r="291" spans="2:11" ht="16" x14ac:dyDescent="0.2">
      <c r="B291" s="38"/>
      <c r="C291" s="45" t="s">
        <v>856</v>
      </c>
      <c r="D291" s="40"/>
      <c r="E291" s="40"/>
      <c r="F291" s="40"/>
      <c r="G291" s="40"/>
      <c r="H291" s="40"/>
      <c r="I291" s="40"/>
      <c r="J291" s="40"/>
      <c r="K291" s="41"/>
    </row>
    <row r="292" spans="2:11" ht="15" customHeight="1" x14ac:dyDescent="0.2">
      <c r="B292" s="38"/>
      <c r="C292" s="380" t="s">
        <v>855</v>
      </c>
      <c r="D292" s="380"/>
      <c r="E292" s="380"/>
      <c r="F292" s="380"/>
      <c r="G292" s="380"/>
      <c r="H292" s="380"/>
      <c r="I292" s="380"/>
      <c r="J292" s="40"/>
      <c r="K292" s="41"/>
    </row>
    <row r="293" spans="2:11" x14ac:dyDescent="0.2">
      <c r="B293" s="38"/>
      <c r="C293" s="380"/>
      <c r="D293" s="380"/>
      <c r="E293" s="380"/>
      <c r="F293" s="380"/>
      <c r="G293" s="380"/>
      <c r="H293" s="380"/>
      <c r="I293" s="380"/>
      <c r="J293" s="264"/>
      <c r="K293" s="41"/>
    </row>
    <row r="294" spans="2:11" x14ac:dyDescent="0.2">
      <c r="B294" s="38"/>
      <c r="C294" s="40" t="s">
        <v>853</v>
      </c>
      <c r="D294" s="291"/>
      <c r="E294" s="291"/>
      <c r="F294" s="291"/>
      <c r="G294" s="291"/>
      <c r="H294" s="291"/>
      <c r="I294" s="291"/>
      <c r="J294" s="255">
        <f>'Baseline Health'!$G$102</f>
        <v>0</v>
      </c>
      <c r="K294" s="41"/>
    </row>
    <row r="295" spans="2:11" x14ac:dyDescent="0.2">
      <c r="B295" s="38"/>
      <c r="C295" s="40" t="s">
        <v>842</v>
      </c>
      <c r="D295" s="40"/>
      <c r="E295" s="40"/>
      <c r="F295" s="40"/>
      <c r="G295" s="40"/>
      <c r="H295" s="40"/>
      <c r="I295" s="40"/>
      <c r="J295" s="244" t="str">
        <f>IF('Baseline Health'!$G$102=0,"Not Calculated",100*J293/'Baseline Health'!$G$102)</f>
        <v>Not Calculated</v>
      </c>
      <c r="K295" s="41"/>
    </row>
    <row r="296" spans="2:11" x14ac:dyDescent="0.2">
      <c r="B296" s="38"/>
      <c r="C296" s="40" t="s">
        <v>260</v>
      </c>
      <c r="D296" s="40"/>
      <c r="E296" s="40"/>
      <c r="F296" s="40"/>
      <c r="G296" s="40"/>
      <c r="H296" s="40"/>
      <c r="I296" s="40"/>
      <c r="J296" s="245">
        <f>IF(J295&lt;=0,0,IF(J295&lt;=1,1,IF(J295&lt;=5,2,IF(J295&lt;=10,3,4))))</f>
        <v>4</v>
      </c>
      <c r="K296" s="41"/>
    </row>
    <row r="297" spans="2:11" ht="9.75" customHeight="1" x14ac:dyDescent="0.2">
      <c r="B297" s="38"/>
      <c r="C297" s="279" t="str">
        <f>"0:"</f>
        <v>0:</v>
      </c>
      <c r="D297" s="278" t="s">
        <v>932</v>
      </c>
      <c r="E297" s="40"/>
      <c r="F297" s="40"/>
      <c r="G297" s="40"/>
      <c r="H297" s="40"/>
      <c r="I297" s="40"/>
      <c r="J297" s="244"/>
      <c r="K297" s="41"/>
    </row>
    <row r="298" spans="2:11" ht="9.75" customHeight="1" x14ac:dyDescent="0.2">
      <c r="B298" s="38"/>
      <c r="C298" s="280" t="str">
        <f>"1:"</f>
        <v>1:</v>
      </c>
      <c r="D298" s="278" t="s">
        <v>934</v>
      </c>
      <c r="E298" s="40"/>
      <c r="F298" s="40"/>
      <c r="G298" s="40"/>
      <c r="H298" s="40"/>
      <c r="I298" s="40"/>
      <c r="J298" s="244"/>
      <c r="K298" s="41"/>
    </row>
    <row r="299" spans="2:11" ht="9.75" customHeight="1" x14ac:dyDescent="0.2">
      <c r="B299" s="38"/>
      <c r="C299" s="280" t="str">
        <f>"2:"</f>
        <v>2:</v>
      </c>
      <c r="D299" s="278" t="s">
        <v>933</v>
      </c>
      <c r="E299" s="40"/>
      <c r="F299" s="40"/>
      <c r="G299" s="40"/>
      <c r="H299" s="40"/>
      <c r="I299" s="40"/>
      <c r="J299" s="244"/>
      <c r="K299" s="41"/>
    </row>
    <row r="300" spans="2:11" ht="9.75" customHeight="1" x14ac:dyDescent="0.2">
      <c r="B300" s="38"/>
      <c r="C300" s="280" t="str">
        <f>"3:"</f>
        <v>3:</v>
      </c>
      <c r="D300" s="278" t="s">
        <v>935</v>
      </c>
      <c r="E300" s="40"/>
      <c r="F300" s="40"/>
      <c r="G300" s="40"/>
      <c r="H300" s="40"/>
      <c r="I300" s="40"/>
      <c r="J300" s="244"/>
      <c r="K300" s="41"/>
    </row>
    <row r="301" spans="2:11" ht="9.75" customHeight="1" x14ac:dyDescent="0.2">
      <c r="B301" s="38"/>
      <c r="C301" s="280" t="str">
        <f>"4:"</f>
        <v>4:</v>
      </c>
      <c r="D301" s="278" t="s">
        <v>936</v>
      </c>
      <c r="E301" s="40"/>
      <c r="F301" s="40"/>
      <c r="G301" s="40"/>
      <c r="H301" s="40"/>
      <c r="I301" s="40"/>
      <c r="J301" s="40"/>
      <c r="K301" s="41"/>
    </row>
    <row r="302" spans="2:11" x14ac:dyDescent="0.2">
      <c r="B302" s="38"/>
      <c r="C302" s="40" t="s">
        <v>257</v>
      </c>
      <c r="D302" s="40"/>
      <c r="E302" s="40"/>
      <c r="F302" s="40"/>
      <c r="G302" s="40"/>
      <c r="H302" s="40"/>
      <c r="I302" s="40"/>
      <c r="J302" s="266"/>
      <c r="K302" s="41"/>
    </row>
    <row r="303" spans="2:11" x14ac:dyDescent="0.2">
      <c r="B303" s="38"/>
      <c r="C303" s="40" t="s">
        <v>261</v>
      </c>
      <c r="D303" s="40"/>
      <c r="E303" s="40"/>
      <c r="F303" s="40"/>
      <c r="G303" s="40"/>
      <c r="H303" s="40"/>
      <c r="I303" s="40"/>
      <c r="J303" s="245" t="str">
        <f>IF(J302=$B$980,$A$980,IF(J302=$B$981,$A$981,IF(J302=$B$982,$A$982,IF(J302=$B$983,$A$983,IF(J302=$B$984,$A$984,"Not Calculated")))))</f>
        <v>Not Calculated</v>
      </c>
      <c r="K303" s="41"/>
    </row>
    <row r="304" spans="2:11" x14ac:dyDescent="0.2">
      <c r="B304" s="38"/>
      <c r="C304" s="40" t="s">
        <v>893</v>
      </c>
      <c r="D304" s="40"/>
      <c r="E304" s="40"/>
      <c r="F304" s="40"/>
      <c r="G304" s="40"/>
      <c r="H304" s="40"/>
      <c r="I304" s="40"/>
      <c r="J304" s="40"/>
      <c r="K304" s="41"/>
    </row>
    <row r="305" spans="2:11" ht="15" customHeight="1" x14ac:dyDescent="0.2">
      <c r="B305" s="38"/>
      <c r="C305" s="399"/>
      <c r="D305" s="400"/>
      <c r="E305" s="400"/>
      <c r="F305" s="400"/>
      <c r="G305" s="400"/>
      <c r="H305" s="400"/>
      <c r="I305" s="400"/>
      <c r="J305" s="401"/>
      <c r="K305" s="41"/>
    </row>
    <row r="306" spans="2:11" x14ac:dyDescent="0.2">
      <c r="B306" s="38"/>
      <c r="C306" s="40"/>
      <c r="D306" s="40"/>
      <c r="E306" s="40"/>
      <c r="F306" s="40"/>
      <c r="G306" s="40"/>
      <c r="H306" s="40"/>
      <c r="I306" s="40"/>
      <c r="J306" s="40"/>
      <c r="K306" s="41"/>
    </row>
    <row r="307" spans="2:11" x14ac:dyDescent="0.2">
      <c r="B307" s="38"/>
      <c r="C307" s="179" t="s">
        <v>885</v>
      </c>
      <c r="D307" s="40"/>
      <c r="E307" s="40"/>
      <c r="F307" s="40"/>
      <c r="G307" s="40"/>
      <c r="H307" s="40"/>
      <c r="I307" s="40"/>
      <c r="J307" s="245" t="str">
        <f>IF(OR(J296="Not Calculated",J303="Not Calculated")=TRUE,"Not Calculated",AVERAGE(J296,J303))</f>
        <v>Not Calculated</v>
      </c>
      <c r="K307" s="41"/>
    </row>
    <row r="308" spans="2:11" x14ac:dyDescent="0.2">
      <c r="B308" s="38"/>
      <c r="C308" s="40"/>
      <c r="D308" s="40"/>
      <c r="E308" s="40"/>
      <c r="F308" s="40"/>
      <c r="G308" s="40"/>
      <c r="H308" s="40"/>
      <c r="I308" s="40"/>
      <c r="J308" s="40"/>
      <c r="K308" s="41"/>
    </row>
    <row r="309" spans="2:11" x14ac:dyDescent="0.2">
      <c r="B309" s="38"/>
      <c r="C309" s="40"/>
      <c r="D309" s="40"/>
      <c r="E309" s="40"/>
      <c r="F309" s="40"/>
      <c r="G309" s="40"/>
      <c r="H309" s="40"/>
      <c r="I309" s="40"/>
      <c r="J309" s="40"/>
      <c r="K309" s="41"/>
    </row>
    <row r="310" spans="2:11" ht="16" x14ac:dyDescent="0.2">
      <c r="B310" s="38"/>
      <c r="C310" s="45" t="s">
        <v>857</v>
      </c>
      <c r="D310" s="40"/>
      <c r="E310" s="40"/>
      <c r="F310" s="40"/>
      <c r="G310" s="40"/>
      <c r="H310" s="40"/>
      <c r="I310" s="40"/>
      <c r="J310" s="40"/>
      <c r="K310" s="41"/>
    </row>
    <row r="311" spans="2:11" x14ac:dyDescent="0.2">
      <c r="B311" s="38"/>
      <c r="C311" s="380" t="s">
        <v>843</v>
      </c>
      <c r="D311" s="380"/>
      <c r="E311" s="380"/>
      <c r="F311" s="380"/>
      <c r="G311" s="380"/>
      <c r="H311" s="380"/>
      <c r="I311" s="380"/>
      <c r="J311" s="40"/>
      <c r="K311" s="41"/>
    </row>
    <row r="312" spans="2:11" x14ac:dyDescent="0.2">
      <c r="B312" s="38"/>
      <c r="C312" s="380"/>
      <c r="D312" s="380"/>
      <c r="E312" s="380"/>
      <c r="F312" s="380"/>
      <c r="G312" s="380"/>
      <c r="H312" s="380"/>
      <c r="I312" s="380"/>
      <c r="J312" s="264"/>
      <c r="K312" s="41"/>
    </row>
    <row r="313" spans="2:11" x14ac:dyDescent="0.2">
      <c r="B313" s="38"/>
      <c r="C313" s="40" t="s">
        <v>853</v>
      </c>
      <c r="D313" s="291"/>
      <c r="E313" s="291"/>
      <c r="F313" s="291"/>
      <c r="G313" s="291"/>
      <c r="H313" s="291"/>
      <c r="I313" s="291"/>
      <c r="J313" s="255">
        <f>'Baseline Health'!$G$102</f>
        <v>0</v>
      </c>
      <c r="K313" s="41"/>
    </row>
    <row r="314" spans="2:11" x14ac:dyDescent="0.2">
      <c r="B314" s="38"/>
      <c r="C314" s="40" t="s">
        <v>842</v>
      </c>
      <c r="D314" s="40"/>
      <c r="E314" s="40"/>
      <c r="F314" s="40"/>
      <c r="G314" s="40"/>
      <c r="H314" s="40"/>
      <c r="I314" s="40"/>
      <c r="J314" s="244" t="str">
        <f>IF('Baseline Health'!$G$102=0,"Not Calculated",100*J312/'Baseline Health'!$G$102)</f>
        <v>Not Calculated</v>
      </c>
      <c r="K314" s="41"/>
    </row>
    <row r="315" spans="2:11" x14ac:dyDescent="0.2">
      <c r="B315" s="38"/>
      <c r="C315" s="40" t="s">
        <v>260</v>
      </c>
      <c r="D315" s="40"/>
      <c r="E315" s="40"/>
      <c r="F315" s="40"/>
      <c r="G315" s="40"/>
      <c r="H315" s="40"/>
      <c r="I315" s="40"/>
      <c r="J315" s="245">
        <f>IF(J314&lt;=0,0,IF(J314&lt;=1,1,IF(J314&lt;=5,2,IF(J314&lt;=10,3,4))))</f>
        <v>4</v>
      </c>
      <c r="K315" s="41"/>
    </row>
    <row r="316" spans="2:11" ht="9.75" customHeight="1" x14ac:dyDescent="0.2">
      <c r="B316" s="38"/>
      <c r="C316" s="279" t="str">
        <f>"0:"</f>
        <v>0:</v>
      </c>
      <c r="D316" s="278" t="s">
        <v>932</v>
      </c>
      <c r="E316" s="40"/>
      <c r="F316" s="40"/>
      <c r="G316" s="40"/>
      <c r="H316" s="40"/>
      <c r="I316" s="40"/>
      <c r="J316" s="244"/>
      <c r="K316" s="41"/>
    </row>
    <row r="317" spans="2:11" ht="9.75" customHeight="1" x14ac:dyDescent="0.2">
      <c r="B317" s="38"/>
      <c r="C317" s="280" t="str">
        <f>"1:"</f>
        <v>1:</v>
      </c>
      <c r="D317" s="278" t="s">
        <v>934</v>
      </c>
      <c r="E317" s="40"/>
      <c r="F317" s="40"/>
      <c r="G317" s="40"/>
      <c r="H317" s="40"/>
      <c r="I317" s="40"/>
      <c r="J317" s="244"/>
      <c r="K317" s="41"/>
    </row>
    <row r="318" spans="2:11" ht="9.75" customHeight="1" x14ac:dyDescent="0.2">
      <c r="B318" s="38"/>
      <c r="C318" s="280" t="str">
        <f>"2:"</f>
        <v>2:</v>
      </c>
      <c r="D318" s="278" t="s">
        <v>933</v>
      </c>
      <c r="E318" s="40"/>
      <c r="F318" s="40"/>
      <c r="G318" s="40"/>
      <c r="H318" s="40"/>
      <c r="I318" s="40"/>
      <c r="J318" s="244"/>
      <c r="K318" s="41"/>
    </row>
    <row r="319" spans="2:11" ht="9.75" customHeight="1" x14ac:dyDescent="0.2">
      <c r="B319" s="38"/>
      <c r="C319" s="280" t="str">
        <f>"3:"</f>
        <v>3:</v>
      </c>
      <c r="D319" s="278" t="s">
        <v>935</v>
      </c>
      <c r="E319" s="40"/>
      <c r="F319" s="40"/>
      <c r="G319" s="40"/>
      <c r="H319" s="40"/>
      <c r="I319" s="40"/>
      <c r="J319" s="244"/>
      <c r="K319" s="41"/>
    </row>
    <row r="320" spans="2:11" ht="9.75" customHeight="1" x14ac:dyDescent="0.2">
      <c r="B320" s="38"/>
      <c r="C320" s="280" t="str">
        <f>"4:"</f>
        <v>4:</v>
      </c>
      <c r="D320" s="278" t="s">
        <v>936</v>
      </c>
      <c r="E320" s="40"/>
      <c r="F320" s="40"/>
      <c r="G320" s="40"/>
      <c r="H320" s="40"/>
      <c r="I320" s="40"/>
      <c r="J320" s="40"/>
      <c r="K320" s="41"/>
    </row>
    <row r="321" spans="2:11" x14ac:dyDescent="0.2">
      <c r="B321" s="38"/>
      <c r="C321" s="40" t="s">
        <v>296</v>
      </c>
      <c r="D321" s="40"/>
      <c r="E321" s="40"/>
      <c r="F321" s="40"/>
      <c r="G321" s="40"/>
      <c r="H321" s="40"/>
      <c r="I321" s="40"/>
      <c r="J321" s="266"/>
      <c r="K321" s="41"/>
    </row>
    <row r="322" spans="2:11" x14ac:dyDescent="0.2">
      <c r="B322" s="38"/>
      <c r="C322" s="40" t="s">
        <v>261</v>
      </c>
      <c r="D322" s="40"/>
      <c r="E322" s="40"/>
      <c r="F322" s="40"/>
      <c r="G322" s="40"/>
      <c r="H322" s="40"/>
      <c r="I322" s="40"/>
      <c r="J322" s="245">
        <f>IF(J321&lt;=0,0,IF(J321&lt;=2,1,IF(J321&lt;=6,2,IF(J321&lt;=12,3,4))))</f>
        <v>0</v>
      </c>
      <c r="K322" s="41"/>
    </row>
    <row r="323" spans="2:11" x14ac:dyDescent="0.2">
      <c r="B323" s="38"/>
      <c r="C323" s="40" t="s">
        <v>893</v>
      </c>
      <c r="D323" s="40"/>
      <c r="E323" s="40"/>
      <c r="F323" s="40"/>
      <c r="G323" s="40"/>
      <c r="H323" s="40"/>
      <c r="I323" s="40"/>
      <c r="J323" s="40"/>
      <c r="K323" s="41"/>
    </row>
    <row r="324" spans="2:11" ht="15" customHeight="1" x14ac:dyDescent="0.2">
      <c r="B324" s="38"/>
      <c r="C324" s="399"/>
      <c r="D324" s="400"/>
      <c r="E324" s="400"/>
      <c r="F324" s="400"/>
      <c r="G324" s="400"/>
      <c r="H324" s="400"/>
      <c r="I324" s="400"/>
      <c r="J324" s="401"/>
      <c r="K324" s="41"/>
    </row>
    <row r="325" spans="2:11" x14ac:dyDescent="0.2">
      <c r="B325" s="38"/>
      <c r="C325" s="40"/>
      <c r="D325" s="40"/>
      <c r="E325" s="40"/>
      <c r="F325" s="40"/>
      <c r="G325" s="40"/>
      <c r="H325" s="40"/>
      <c r="I325" s="40"/>
      <c r="J325" s="40"/>
      <c r="K325" s="41"/>
    </row>
    <row r="326" spans="2:11" x14ac:dyDescent="0.2">
      <c r="B326" s="38"/>
      <c r="C326" s="179" t="s">
        <v>886</v>
      </c>
      <c r="D326" s="40"/>
      <c r="E326" s="40"/>
      <c r="F326" s="40"/>
      <c r="G326" s="40"/>
      <c r="H326" s="40"/>
      <c r="I326" s="40"/>
      <c r="J326" s="245">
        <f>IF(OR(J315="Not Calculated",J322="Not Calculated")=TRUE,"Not Calculated",AVERAGE(J315,J322))</f>
        <v>2</v>
      </c>
      <c r="K326" s="41"/>
    </row>
    <row r="327" spans="2:11" x14ac:dyDescent="0.2">
      <c r="B327" s="38"/>
      <c r="C327" s="40"/>
      <c r="D327" s="40"/>
      <c r="E327" s="40"/>
      <c r="F327" s="40"/>
      <c r="G327" s="40"/>
      <c r="H327" s="40"/>
      <c r="I327" s="40"/>
      <c r="J327" s="40"/>
      <c r="K327" s="41"/>
    </row>
    <row r="328" spans="2:11" x14ac:dyDescent="0.2">
      <c r="B328" s="38"/>
      <c r="C328" s="40"/>
      <c r="D328" s="40"/>
      <c r="E328" s="40"/>
      <c r="F328" s="40"/>
      <c r="G328" s="40"/>
      <c r="H328" s="40"/>
      <c r="I328" s="40"/>
      <c r="J328" s="40"/>
      <c r="K328" s="41"/>
    </row>
    <row r="329" spans="2:11" ht="16" x14ac:dyDescent="0.2">
      <c r="B329" s="38"/>
      <c r="C329" s="45" t="s">
        <v>858</v>
      </c>
      <c r="D329" s="40"/>
      <c r="E329" s="40"/>
      <c r="F329" s="40"/>
      <c r="G329" s="40"/>
      <c r="H329" s="40"/>
      <c r="I329" s="40"/>
      <c r="J329" s="40"/>
      <c r="K329" s="41"/>
    </row>
    <row r="330" spans="2:11" ht="15" customHeight="1" x14ac:dyDescent="0.2">
      <c r="B330" s="38"/>
      <c r="C330" s="380" t="s">
        <v>844</v>
      </c>
      <c r="D330" s="380"/>
      <c r="E330" s="380"/>
      <c r="F330" s="380"/>
      <c r="G330" s="380"/>
      <c r="H330" s="380"/>
      <c r="I330" s="380"/>
      <c r="J330" s="40"/>
      <c r="K330" s="41"/>
    </row>
    <row r="331" spans="2:11" x14ac:dyDescent="0.2">
      <c r="B331" s="38"/>
      <c r="C331" s="380"/>
      <c r="D331" s="380"/>
      <c r="E331" s="380"/>
      <c r="F331" s="380"/>
      <c r="G331" s="380"/>
      <c r="H331" s="380"/>
      <c r="I331" s="380"/>
      <c r="J331" s="264"/>
      <c r="K331" s="41"/>
    </row>
    <row r="332" spans="2:11" x14ac:dyDescent="0.2">
      <c r="B332" s="38"/>
      <c r="C332" s="40" t="s">
        <v>853</v>
      </c>
      <c r="D332" s="291"/>
      <c r="E332" s="291"/>
      <c r="F332" s="291"/>
      <c r="G332" s="291"/>
      <c r="H332" s="291"/>
      <c r="I332" s="291"/>
      <c r="J332" s="255">
        <f>'Baseline Health'!$G$102</f>
        <v>0</v>
      </c>
      <c r="K332" s="41"/>
    </row>
    <row r="333" spans="2:11" x14ac:dyDescent="0.2">
      <c r="B333" s="38"/>
      <c r="C333" s="40" t="s">
        <v>845</v>
      </c>
      <c r="D333" s="40"/>
      <c r="E333" s="40"/>
      <c r="F333" s="40"/>
      <c r="G333" s="40"/>
      <c r="H333" s="40"/>
      <c r="I333" s="40"/>
      <c r="J333" s="244" t="str">
        <f>IF('Baseline Health'!$G$102=0,"Not Calculated",100*J331/'Baseline Health'!$G$102)</f>
        <v>Not Calculated</v>
      </c>
      <c r="K333" s="41"/>
    </row>
    <row r="334" spans="2:11" x14ac:dyDescent="0.2">
      <c r="B334" s="38"/>
      <c r="C334" s="40" t="s">
        <v>260</v>
      </c>
      <c r="D334" s="40"/>
      <c r="E334" s="40"/>
      <c r="F334" s="40"/>
      <c r="G334" s="40"/>
      <c r="H334" s="40"/>
      <c r="I334" s="40"/>
      <c r="J334" s="245">
        <f>IF(J333&lt;=0,0,IF(J333&lt;=1,1,IF(J333&lt;=5,2,IF(J333&lt;=10,3,4))))</f>
        <v>4</v>
      </c>
      <c r="K334" s="41"/>
    </row>
    <row r="335" spans="2:11" ht="9.75" customHeight="1" x14ac:dyDescent="0.2">
      <c r="B335" s="38"/>
      <c r="C335" s="279" t="str">
        <f>"0:"</f>
        <v>0:</v>
      </c>
      <c r="D335" s="278" t="s">
        <v>932</v>
      </c>
      <c r="E335" s="40"/>
      <c r="F335" s="40"/>
      <c r="G335" s="40"/>
      <c r="H335" s="40"/>
      <c r="I335" s="40"/>
      <c r="J335" s="244"/>
      <c r="K335" s="41"/>
    </row>
    <row r="336" spans="2:11" ht="9.75" customHeight="1" x14ac:dyDescent="0.2">
      <c r="B336" s="38"/>
      <c r="C336" s="280" t="str">
        <f>"1:"</f>
        <v>1:</v>
      </c>
      <c r="D336" s="278" t="s">
        <v>934</v>
      </c>
      <c r="E336" s="40"/>
      <c r="F336" s="40"/>
      <c r="G336" s="40"/>
      <c r="H336" s="40"/>
      <c r="I336" s="40"/>
      <c r="J336" s="244"/>
      <c r="K336" s="41"/>
    </row>
    <row r="337" spans="2:11" ht="9.75" customHeight="1" x14ac:dyDescent="0.2">
      <c r="B337" s="38"/>
      <c r="C337" s="280" t="str">
        <f>"2:"</f>
        <v>2:</v>
      </c>
      <c r="D337" s="278" t="s">
        <v>933</v>
      </c>
      <c r="E337" s="40"/>
      <c r="F337" s="40"/>
      <c r="G337" s="40"/>
      <c r="H337" s="40"/>
      <c r="I337" s="40"/>
      <c r="J337" s="244"/>
      <c r="K337" s="41"/>
    </row>
    <row r="338" spans="2:11" ht="9.75" customHeight="1" x14ac:dyDescent="0.2">
      <c r="B338" s="38"/>
      <c r="C338" s="280" t="str">
        <f>"3:"</f>
        <v>3:</v>
      </c>
      <c r="D338" s="278" t="s">
        <v>935</v>
      </c>
      <c r="E338" s="40"/>
      <c r="F338" s="40"/>
      <c r="G338" s="40"/>
      <c r="H338" s="40"/>
      <c r="I338" s="40"/>
      <c r="J338" s="244"/>
      <c r="K338" s="41"/>
    </row>
    <row r="339" spans="2:11" ht="9.75" customHeight="1" x14ac:dyDescent="0.2">
      <c r="B339" s="38"/>
      <c r="C339" s="280" t="str">
        <f>"4:"</f>
        <v>4:</v>
      </c>
      <c r="D339" s="278" t="s">
        <v>936</v>
      </c>
      <c r="E339" s="40"/>
      <c r="F339" s="40"/>
      <c r="G339" s="40"/>
      <c r="H339" s="40"/>
      <c r="I339" s="40"/>
      <c r="J339" s="40"/>
      <c r="K339" s="41"/>
    </row>
    <row r="340" spans="2:11" x14ac:dyDescent="0.2">
      <c r="B340" s="38"/>
      <c r="C340" s="380" t="s">
        <v>84</v>
      </c>
      <c r="D340" s="380"/>
      <c r="E340" s="380"/>
      <c r="F340" s="380"/>
      <c r="G340" s="380"/>
      <c r="H340" s="380"/>
      <c r="I340" s="380"/>
      <c r="J340" s="245"/>
      <c r="K340" s="41"/>
    </row>
    <row r="341" spans="2:11" x14ac:dyDescent="0.2">
      <c r="B341" s="38"/>
      <c r="C341" s="380"/>
      <c r="D341" s="380"/>
      <c r="E341" s="380"/>
      <c r="F341" s="380"/>
      <c r="G341" s="380"/>
      <c r="H341" s="380"/>
      <c r="I341" s="380"/>
      <c r="J341" s="245">
        <f>'Baseline Health'!G108</f>
        <v>40</v>
      </c>
      <c r="K341" s="41"/>
    </row>
    <row r="342" spans="2:11" ht="15" customHeight="1" x14ac:dyDescent="0.2">
      <c r="B342" s="38"/>
      <c r="C342" s="40" t="s">
        <v>833</v>
      </c>
      <c r="D342" s="40"/>
      <c r="E342" s="40"/>
      <c r="F342" s="40"/>
      <c r="G342" s="40"/>
      <c r="H342" s="40"/>
      <c r="I342" s="40"/>
      <c r="J342" s="245">
        <f>IF(J341&gt;J321,0,J321-J341)</f>
        <v>0</v>
      </c>
      <c r="K342" s="41"/>
    </row>
    <row r="343" spans="2:11" x14ac:dyDescent="0.2">
      <c r="B343" s="38"/>
      <c r="C343" s="40"/>
      <c r="D343" s="380" t="s">
        <v>834</v>
      </c>
      <c r="E343" s="380"/>
      <c r="F343" s="380"/>
      <c r="G343" s="380"/>
      <c r="H343" s="380"/>
      <c r="I343" s="380"/>
      <c r="J343" s="40"/>
      <c r="K343" s="41"/>
    </row>
    <row r="344" spans="2:11" x14ac:dyDescent="0.2">
      <c r="B344" s="38"/>
      <c r="C344" s="40"/>
      <c r="D344" s="380"/>
      <c r="E344" s="380"/>
      <c r="F344" s="380"/>
      <c r="G344" s="380"/>
      <c r="H344" s="380"/>
      <c r="I344" s="380"/>
      <c r="J344" s="40"/>
      <c r="K344" s="41"/>
    </row>
    <row r="345" spans="2:11" x14ac:dyDescent="0.2">
      <c r="B345" s="38"/>
      <c r="C345" s="40" t="s">
        <v>261</v>
      </c>
      <c r="D345" s="40"/>
      <c r="E345" s="40"/>
      <c r="F345" s="40"/>
      <c r="G345" s="40"/>
      <c r="H345" s="40"/>
      <c r="I345" s="40"/>
      <c r="J345" s="245">
        <f>IF(J342&lt;=0,0,IF(J342&lt;=2,1,IF(J342&lt;=6,2,IF(J342&lt;=12,3,4))))</f>
        <v>0</v>
      </c>
      <c r="K345" s="41"/>
    </row>
    <row r="346" spans="2:11" x14ac:dyDescent="0.2">
      <c r="B346" s="38"/>
      <c r="C346" s="40" t="s">
        <v>893</v>
      </c>
      <c r="D346" s="40"/>
      <c r="E346" s="40"/>
      <c r="F346" s="40"/>
      <c r="G346" s="40"/>
      <c r="H346" s="40"/>
      <c r="I346" s="40"/>
      <c r="J346" s="40"/>
      <c r="K346" s="41"/>
    </row>
    <row r="347" spans="2:11" ht="15" customHeight="1" x14ac:dyDescent="0.2">
      <c r="B347" s="38"/>
      <c r="C347" s="399"/>
      <c r="D347" s="400"/>
      <c r="E347" s="400"/>
      <c r="F347" s="400"/>
      <c r="G347" s="400"/>
      <c r="H347" s="400"/>
      <c r="I347" s="400"/>
      <c r="J347" s="401"/>
      <c r="K347" s="41"/>
    </row>
    <row r="348" spans="2:11" x14ac:dyDescent="0.2">
      <c r="B348" s="38"/>
      <c r="C348" s="40"/>
      <c r="D348" s="40"/>
      <c r="E348" s="40"/>
      <c r="F348" s="40"/>
      <c r="G348" s="40"/>
      <c r="H348" s="40"/>
      <c r="I348" s="40"/>
      <c r="J348" s="40"/>
      <c r="K348" s="41"/>
    </row>
    <row r="349" spans="2:11" x14ac:dyDescent="0.2">
      <c r="B349" s="38"/>
      <c r="C349" s="179" t="s">
        <v>887</v>
      </c>
      <c r="D349" s="40"/>
      <c r="E349" s="40"/>
      <c r="F349" s="40"/>
      <c r="G349" s="40"/>
      <c r="H349" s="40"/>
      <c r="I349" s="40"/>
      <c r="J349" s="245">
        <f>IF(OR(J334="Not Calculated",J345="Not Calculated")=TRUE,"Not Calculated",AVERAGE(J334,J345))</f>
        <v>2</v>
      </c>
      <c r="K349" s="41"/>
    </row>
    <row r="350" spans="2:11" x14ac:dyDescent="0.2">
      <c r="B350" s="38"/>
      <c r="C350" s="40"/>
      <c r="D350" s="40"/>
      <c r="E350" s="40"/>
      <c r="F350" s="40"/>
      <c r="G350" s="40"/>
      <c r="H350" s="40"/>
      <c r="I350" s="40"/>
      <c r="J350" s="40"/>
      <c r="K350" s="41"/>
    </row>
    <row r="351" spans="2:11" x14ac:dyDescent="0.2">
      <c r="B351" s="38"/>
      <c r="C351" s="40"/>
      <c r="D351" s="40"/>
      <c r="E351" s="40"/>
      <c r="F351" s="40"/>
      <c r="G351" s="40"/>
      <c r="H351" s="40"/>
      <c r="I351" s="40"/>
      <c r="J351" s="40"/>
      <c r="K351" s="41"/>
    </row>
    <row r="352" spans="2:11" ht="15" customHeight="1" x14ac:dyDescent="0.2">
      <c r="B352" s="38"/>
      <c r="C352" s="45" t="s">
        <v>859</v>
      </c>
      <c r="D352" s="40"/>
      <c r="E352" s="40"/>
      <c r="F352" s="40"/>
      <c r="G352" s="40"/>
      <c r="H352" s="40"/>
      <c r="I352" s="40"/>
      <c r="J352" s="40"/>
      <c r="K352" s="41"/>
    </row>
    <row r="353" spans="2:11" x14ac:dyDescent="0.2">
      <c r="B353" s="38"/>
      <c r="C353" s="40" t="s">
        <v>846</v>
      </c>
      <c r="D353" s="40"/>
      <c r="E353" s="40"/>
      <c r="F353" s="40"/>
      <c r="G353" s="40"/>
      <c r="H353" s="40"/>
      <c r="I353" s="40"/>
      <c r="J353" s="264"/>
      <c r="K353" s="41"/>
    </row>
    <row r="354" spans="2:11" x14ac:dyDescent="0.2">
      <c r="B354" s="38"/>
      <c r="C354" s="40" t="s">
        <v>854</v>
      </c>
      <c r="D354" s="40"/>
      <c r="E354" s="40"/>
      <c r="F354" s="40"/>
      <c r="G354" s="40"/>
      <c r="H354" s="40"/>
      <c r="I354" s="40"/>
      <c r="J354" s="255">
        <f>'Baseline Health'!$G$59</f>
        <v>0</v>
      </c>
      <c r="K354" s="41"/>
    </row>
    <row r="355" spans="2:11" x14ac:dyDescent="0.2">
      <c r="B355" s="38"/>
      <c r="C355" s="40" t="s">
        <v>847</v>
      </c>
      <c r="D355" s="40"/>
      <c r="E355" s="40"/>
      <c r="F355" s="40"/>
      <c r="G355" s="40"/>
      <c r="H355" s="40"/>
      <c r="I355" s="40"/>
      <c r="J355" s="244">
        <f>IF(J353=0,0,IF('Baseline Health'!G$59=0,"Not Calculated",100*J353/'Baseline Health'!$G$59))</f>
        <v>0</v>
      </c>
      <c r="K355" s="41"/>
    </row>
    <row r="356" spans="2:11" x14ac:dyDescent="0.2">
      <c r="B356" s="38"/>
      <c r="C356" s="40" t="s">
        <v>260</v>
      </c>
      <c r="D356" s="40"/>
      <c r="E356" s="40"/>
      <c r="F356" s="40"/>
      <c r="G356" s="40"/>
      <c r="H356" s="40"/>
      <c r="I356" s="40"/>
      <c r="J356" s="245">
        <f>IF(J355&lt;=0,0,IF(J355&lt;=5,1,IF(J355&lt;=10,2,IF(J355&lt;=25,3,4))))</f>
        <v>0</v>
      </c>
      <c r="K356" s="41"/>
    </row>
    <row r="357" spans="2:11" ht="9.75" customHeight="1" x14ac:dyDescent="0.2">
      <c r="B357" s="38"/>
      <c r="C357" s="279" t="str">
        <f>"0:"</f>
        <v>0:</v>
      </c>
      <c r="D357" s="278" t="s">
        <v>932</v>
      </c>
      <c r="E357" s="40"/>
      <c r="F357" s="40"/>
      <c r="G357" s="40"/>
      <c r="H357" s="40"/>
      <c r="I357" s="40"/>
      <c r="J357" s="244"/>
      <c r="K357" s="41"/>
    </row>
    <row r="358" spans="2:11" ht="9.75" customHeight="1" x14ac:dyDescent="0.2">
      <c r="B358" s="38"/>
      <c r="C358" s="280" t="str">
        <f>"1:"</f>
        <v>1:</v>
      </c>
      <c r="D358" s="278" t="s">
        <v>933</v>
      </c>
      <c r="E358" s="40"/>
      <c r="F358" s="40"/>
      <c r="G358" s="40"/>
      <c r="H358" s="40"/>
      <c r="I358" s="40"/>
      <c r="J358" s="244"/>
      <c r="K358" s="41"/>
    </row>
    <row r="359" spans="2:11" ht="9.75" customHeight="1" x14ac:dyDescent="0.2">
      <c r="B359" s="38"/>
      <c r="C359" s="280" t="str">
        <f>"2:"</f>
        <v>2:</v>
      </c>
      <c r="D359" s="278" t="s">
        <v>935</v>
      </c>
      <c r="E359" s="40"/>
      <c r="F359" s="40"/>
      <c r="G359" s="40"/>
      <c r="H359" s="40"/>
      <c r="I359" s="40"/>
      <c r="J359" s="244"/>
      <c r="K359" s="41"/>
    </row>
    <row r="360" spans="2:11" ht="9.75" customHeight="1" x14ac:dyDescent="0.2">
      <c r="B360" s="38"/>
      <c r="C360" s="280" t="str">
        <f>"3:"</f>
        <v>3:</v>
      </c>
      <c r="D360" s="278" t="s">
        <v>937</v>
      </c>
      <c r="E360" s="40"/>
      <c r="F360" s="40"/>
      <c r="G360" s="40"/>
      <c r="H360" s="40"/>
      <c r="I360" s="40"/>
      <c r="J360" s="244"/>
      <c r="K360" s="41"/>
    </row>
    <row r="361" spans="2:11" ht="9.75" customHeight="1" x14ac:dyDescent="0.2">
      <c r="B361" s="38"/>
      <c r="C361" s="280" t="str">
        <f>"4:"</f>
        <v>4:</v>
      </c>
      <c r="D361" s="278" t="s">
        <v>938</v>
      </c>
      <c r="E361" s="40"/>
      <c r="F361" s="40"/>
      <c r="G361" s="40"/>
      <c r="H361" s="40"/>
      <c r="I361" s="40"/>
      <c r="J361" s="40"/>
      <c r="K361" s="41"/>
    </row>
    <row r="362" spans="2:11" x14ac:dyDescent="0.2">
      <c r="B362" s="38"/>
      <c r="C362" s="40" t="s">
        <v>257</v>
      </c>
      <c r="D362" s="40"/>
      <c r="E362" s="40"/>
      <c r="F362" s="40"/>
      <c r="G362" s="40"/>
      <c r="H362" s="40"/>
      <c r="I362" s="40"/>
      <c r="J362" s="266"/>
      <c r="K362" s="41"/>
    </row>
    <row r="363" spans="2:11" x14ac:dyDescent="0.2">
      <c r="B363" s="38"/>
      <c r="C363" s="40" t="s">
        <v>261</v>
      </c>
      <c r="D363" s="40"/>
      <c r="E363" s="40"/>
      <c r="F363" s="40"/>
      <c r="G363" s="40"/>
      <c r="H363" s="40"/>
      <c r="I363" s="40"/>
      <c r="J363" s="245" t="str">
        <f>IF(J362=$B$980,$A$980,IF(J362=$B$981,$A$981,IF(J362=$B$982,$A$982,IF(J362=$B$983,$A$983,IF(J362=$B$984,$A$984,"Not Calculated")))))</f>
        <v>Not Calculated</v>
      </c>
      <c r="K363" s="41"/>
    </row>
    <row r="364" spans="2:11" x14ac:dyDescent="0.2">
      <c r="B364" s="38"/>
      <c r="C364" s="40" t="s">
        <v>893</v>
      </c>
      <c r="D364" s="40"/>
      <c r="E364" s="40"/>
      <c r="F364" s="40"/>
      <c r="G364" s="40"/>
      <c r="H364" s="40"/>
      <c r="I364" s="40"/>
      <c r="J364" s="40"/>
      <c r="K364" s="41"/>
    </row>
    <row r="365" spans="2:11" ht="15" customHeight="1" x14ac:dyDescent="0.2">
      <c r="B365" s="38"/>
      <c r="C365" s="399"/>
      <c r="D365" s="400"/>
      <c r="E365" s="400"/>
      <c r="F365" s="400"/>
      <c r="G365" s="400"/>
      <c r="H365" s="400"/>
      <c r="I365" s="400"/>
      <c r="J365" s="401"/>
      <c r="K365" s="41"/>
    </row>
    <row r="366" spans="2:11" x14ac:dyDescent="0.2">
      <c r="B366" s="38"/>
      <c r="C366" s="40"/>
      <c r="D366" s="40"/>
      <c r="E366" s="40"/>
      <c r="F366" s="40"/>
      <c r="G366" s="40"/>
      <c r="H366" s="40"/>
      <c r="I366" s="40"/>
      <c r="J366" s="40"/>
      <c r="K366" s="41"/>
    </row>
    <row r="367" spans="2:11" x14ac:dyDescent="0.2">
      <c r="B367" s="38"/>
      <c r="C367" s="179" t="s">
        <v>888</v>
      </c>
      <c r="D367" s="40"/>
      <c r="E367" s="40"/>
      <c r="F367" s="40"/>
      <c r="G367" s="40"/>
      <c r="H367" s="40"/>
      <c r="I367" s="40"/>
      <c r="J367" s="245" t="str">
        <f>IF(OR(J356="Not Calculated",J363="Not Calculated")=TRUE,"Not Calculated",AVERAGE(J356,J363))</f>
        <v>Not Calculated</v>
      </c>
      <c r="K367" s="41"/>
    </row>
    <row r="368" spans="2:11" x14ac:dyDescent="0.2">
      <c r="B368" s="38"/>
      <c r="C368" s="40"/>
      <c r="D368" s="40"/>
      <c r="E368" s="40"/>
      <c r="F368" s="40"/>
      <c r="G368" s="40"/>
      <c r="H368" s="40"/>
      <c r="I368" s="40"/>
      <c r="J368" s="40"/>
      <c r="K368" s="41"/>
    </row>
    <row r="369" spans="2:11" x14ac:dyDescent="0.2">
      <c r="B369" s="38"/>
      <c r="C369" s="40"/>
      <c r="D369" s="40"/>
      <c r="E369" s="40"/>
      <c r="F369" s="40"/>
      <c r="G369" s="40"/>
      <c r="H369" s="40"/>
      <c r="I369" s="40"/>
      <c r="J369" s="40"/>
      <c r="K369" s="41"/>
    </row>
    <row r="370" spans="2:11" ht="16" x14ac:dyDescent="0.2">
      <c r="B370" s="38"/>
      <c r="C370" s="45" t="s">
        <v>863</v>
      </c>
      <c r="D370" s="40"/>
      <c r="E370" s="40"/>
      <c r="F370" s="40"/>
      <c r="G370" s="40"/>
      <c r="H370" s="40"/>
      <c r="I370" s="40"/>
      <c r="J370" s="40"/>
      <c r="K370" s="41"/>
    </row>
    <row r="371" spans="2:11" ht="15" customHeight="1" x14ac:dyDescent="0.2">
      <c r="B371" s="38"/>
      <c r="C371" s="380" t="s">
        <v>848</v>
      </c>
      <c r="D371" s="380"/>
      <c r="E371" s="380"/>
      <c r="F371" s="380"/>
      <c r="G371" s="380"/>
      <c r="H371" s="380"/>
      <c r="I371" s="380"/>
      <c r="J371" s="181"/>
      <c r="K371" s="41"/>
    </row>
    <row r="372" spans="2:11" x14ac:dyDescent="0.2">
      <c r="B372" s="38"/>
      <c r="C372" s="380"/>
      <c r="D372" s="380"/>
      <c r="E372" s="380"/>
      <c r="F372" s="380"/>
      <c r="G372" s="380"/>
      <c r="H372" s="380"/>
      <c r="I372" s="380"/>
      <c r="J372" s="264"/>
      <c r="K372" s="41"/>
    </row>
    <row r="373" spans="2:11" x14ac:dyDescent="0.2">
      <c r="B373" s="38"/>
      <c r="C373" s="40" t="s">
        <v>853</v>
      </c>
      <c r="D373" s="291"/>
      <c r="E373" s="291"/>
      <c r="F373" s="291"/>
      <c r="G373" s="291"/>
      <c r="H373" s="291"/>
      <c r="I373" s="291"/>
      <c r="J373" s="255">
        <f>'Baseline Health'!$G$102</f>
        <v>0</v>
      </c>
      <c r="K373" s="41"/>
    </row>
    <row r="374" spans="2:11" x14ac:dyDescent="0.2">
      <c r="B374" s="38"/>
      <c r="C374" s="40" t="s">
        <v>842</v>
      </c>
      <c r="D374" s="291"/>
      <c r="E374" s="291"/>
      <c r="F374" s="291"/>
      <c r="G374" s="291"/>
      <c r="H374" s="291"/>
      <c r="I374" s="291"/>
      <c r="J374" s="244" t="str">
        <f>IF('Baseline Health'!$G$102=0,"Not Calculated",100*J372/'Baseline Health'!$G$102)</f>
        <v>Not Calculated</v>
      </c>
      <c r="K374" s="41"/>
    </row>
    <row r="375" spans="2:11" x14ac:dyDescent="0.2">
      <c r="B375" s="38"/>
      <c r="C375" s="40" t="s">
        <v>260</v>
      </c>
      <c r="D375" s="40"/>
      <c r="E375" s="40"/>
      <c r="F375" s="40"/>
      <c r="G375" s="40"/>
      <c r="H375" s="40"/>
      <c r="I375" s="40"/>
      <c r="J375" s="251">
        <f>IF(J374&lt;=0,0,IF(J374&lt;=1,1,IF(J374&lt;=5,2,IF(J374&lt;=10,3,4))))</f>
        <v>4</v>
      </c>
      <c r="K375" s="41"/>
    </row>
    <row r="376" spans="2:11" ht="9.75" customHeight="1" x14ac:dyDescent="0.2">
      <c r="B376" s="38"/>
      <c r="C376" s="279" t="str">
        <f>"0:"</f>
        <v>0:</v>
      </c>
      <c r="D376" s="278" t="s">
        <v>932</v>
      </c>
      <c r="E376" s="291"/>
      <c r="F376" s="291"/>
      <c r="G376" s="291"/>
      <c r="H376" s="291"/>
      <c r="I376" s="291"/>
      <c r="J376" s="244"/>
      <c r="K376" s="41"/>
    </row>
    <row r="377" spans="2:11" ht="9.75" customHeight="1" x14ac:dyDescent="0.2">
      <c r="B377" s="38"/>
      <c r="C377" s="280" t="str">
        <f>"1:"</f>
        <v>1:</v>
      </c>
      <c r="D377" s="278" t="s">
        <v>934</v>
      </c>
      <c r="E377" s="291"/>
      <c r="F377" s="291"/>
      <c r="G377" s="291"/>
      <c r="H377" s="291"/>
      <c r="I377" s="291"/>
      <c r="J377" s="244"/>
      <c r="K377" s="41"/>
    </row>
    <row r="378" spans="2:11" ht="9.75" customHeight="1" x14ac:dyDescent="0.2">
      <c r="B378" s="38"/>
      <c r="C378" s="280" t="str">
        <f>"2:"</f>
        <v>2:</v>
      </c>
      <c r="D378" s="278" t="s">
        <v>933</v>
      </c>
      <c r="E378" s="291"/>
      <c r="F378" s="291"/>
      <c r="G378" s="291"/>
      <c r="H378" s="291"/>
      <c r="I378" s="291"/>
      <c r="J378" s="244"/>
      <c r="K378" s="41"/>
    </row>
    <row r="379" spans="2:11" ht="9.75" customHeight="1" x14ac:dyDescent="0.2">
      <c r="B379" s="38"/>
      <c r="C379" s="280" t="str">
        <f>"3:"</f>
        <v>3:</v>
      </c>
      <c r="D379" s="278" t="s">
        <v>935</v>
      </c>
      <c r="E379" s="291"/>
      <c r="F379" s="291"/>
      <c r="G379" s="291"/>
      <c r="H379" s="291"/>
      <c r="I379" s="291"/>
      <c r="J379" s="244"/>
      <c r="K379" s="41"/>
    </row>
    <row r="380" spans="2:11" ht="9.75" customHeight="1" x14ac:dyDescent="0.2">
      <c r="B380" s="38"/>
      <c r="C380" s="280" t="str">
        <f>"4:"</f>
        <v>4:</v>
      </c>
      <c r="D380" s="278" t="s">
        <v>936</v>
      </c>
      <c r="E380" s="40"/>
      <c r="F380" s="40"/>
      <c r="G380" s="40"/>
      <c r="H380" s="40"/>
      <c r="I380" s="40"/>
      <c r="J380" s="40"/>
      <c r="K380" s="41"/>
    </row>
    <row r="381" spans="2:11" x14ac:dyDescent="0.2">
      <c r="B381" s="38"/>
      <c r="C381" s="40" t="s">
        <v>85</v>
      </c>
      <c r="D381" s="40"/>
      <c r="E381" s="40"/>
      <c r="F381" s="40"/>
      <c r="G381" s="40"/>
      <c r="H381" s="40"/>
      <c r="I381" s="40"/>
      <c r="J381" s="252">
        <f>'Baseline Health'!G114</f>
        <v>7</v>
      </c>
      <c r="K381" s="41"/>
    </row>
    <row r="382" spans="2:11" x14ac:dyDescent="0.2">
      <c r="B382" s="38"/>
      <c r="C382" s="40" t="s">
        <v>297</v>
      </c>
      <c r="D382" s="40"/>
      <c r="E382" s="40"/>
      <c r="F382" s="40"/>
      <c r="G382" s="40"/>
      <c r="H382" s="40"/>
      <c r="I382" s="40"/>
      <c r="J382" s="266"/>
      <c r="K382" s="41"/>
    </row>
    <row r="383" spans="2:11" x14ac:dyDescent="0.2">
      <c r="B383" s="38"/>
      <c r="C383" s="40" t="s">
        <v>261</v>
      </c>
      <c r="D383" s="40"/>
      <c r="E383" s="40"/>
      <c r="F383" s="40"/>
      <c r="G383" s="40"/>
      <c r="H383" s="40"/>
      <c r="I383" s="40"/>
      <c r="J383" s="248">
        <f>IF((J382-J381)&lt;1,0,IF((J382-J381)&lt;3,1,IF((J382-J381)&lt;5,2,IF((J382-J381)&lt;7,3,4))))</f>
        <v>0</v>
      </c>
      <c r="K383" s="41"/>
    </row>
    <row r="384" spans="2:11" x14ac:dyDescent="0.2">
      <c r="B384" s="38"/>
      <c r="C384" s="40" t="s">
        <v>893</v>
      </c>
      <c r="D384" s="40"/>
      <c r="E384" s="40"/>
      <c r="F384" s="40"/>
      <c r="G384" s="40"/>
      <c r="H384" s="40"/>
      <c r="I384" s="40"/>
      <c r="J384" s="40"/>
      <c r="K384" s="41"/>
    </row>
    <row r="385" spans="2:11" x14ac:dyDescent="0.2">
      <c r="B385" s="38"/>
      <c r="C385" s="399"/>
      <c r="D385" s="400"/>
      <c r="E385" s="400"/>
      <c r="F385" s="400"/>
      <c r="G385" s="400"/>
      <c r="H385" s="400"/>
      <c r="I385" s="400"/>
      <c r="J385" s="401"/>
      <c r="K385" s="41"/>
    </row>
    <row r="386" spans="2:11" x14ac:dyDescent="0.2">
      <c r="B386" s="38"/>
      <c r="C386" s="40"/>
      <c r="D386" s="40"/>
      <c r="E386" s="40"/>
      <c r="F386" s="40"/>
      <c r="G386" s="40"/>
      <c r="H386" s="40"/>
      <c r="I386" s="40"/>
      <c r="J386" s="40"/>
      <c r="K386" s="41"/>
    </row>
    <row r="387" spans="2:11" x14ac:dyDescent="0.2">
      <c r="B387" s="38"/>
      <c r="C387" s="179" t="s">
        <v>889</v>
      </c>
      <c r="D387" s="40"/>
      <c r="E387" s="40"/>
      <c r="F387" s="40"/>
      <c r="G387" s="40"/>
      <c r="H387" s="40"/>
      <c r="I387" s="40"/>
      <c r="J387" s="245">
        <f>IF(OR(J375="Not Calculated",J383="Not Calculated")=TRUE,"Not Calculated",AVERAGE(J375,J383))</f>
        <v>2</v>
      </c>
      <c r="K387" s="41"/>
    </row>
    <row r="388" spans="2:11" x14ac:dyDescent="0.2">
      <c r="B388" s="38"/>
      <c r="C388" s="40"/>
      <c r="D388" s="40"/>
      <c r="E388" s="40"/>
      <c r="F388" s="40"/>
      <c r="G388" s="40"/>
      <c r="H388" s="40"/>
      <c r="I388" s="40"/>
      <c r="J388" s="40"/>
      <c r="K388" s="41"/>
    </row>
    <row r="389" spans="2:11" x14ac:dyDescent="0.2">
      <c r="B389" s="38"/>
      <c r="C389" s="40"/>
      <c r="D389" s="40"/>
      <c r="E389" s="40"/>
      <c r="F389" s="40"/>
      <c r="G389" s="40"/>
      <c r="H389" s="40"/>
      <c r="I389" s="40"/>
      <c r="J389" s="40"/>
      <c r="K389" s="41"/>
    </row>
    <row r="390" spans="2:11" ht="16" x14ac:dyDescent="0.2">
      <c r="B390" s="38"/>
      <c r="C390" s="45" t="s">
        <v>860</v>
      </c>
      <c r="D390" s="40"/>
      <c r="E390" s="40"/>
      <c r="F390" s="40"/>
      <c r="G390" s="40"/>
      <c r="H390" s="40"/>
      <c r="I390" s="40"/>
      <c r="J390" s="40"/>
      <c r="K390" s="41"/>
    </row>
    <row r="391" spans="2:11" x14ac:dyDescent="0.2">
      <c r="B391" s="38"/>
      <c r="C391" s="380" t="s">
        <v>849</v>
      </c>
      <c r="D391" s="380"/>
      <c r="E391" s="380"/>
      <c r="F391" s="380"/>
      <c r="G391" s="380"/>
      <c r="H391" s="380"/>
      <c r="I391" s="380"/>
      <c r="J391" s="181"/>
      <c r="K391" s="41"/>
    </row>
    <row r="392" spans="2:11" x14ac:dyDescent="0.2">
      <c r="B392" s="38"/>
      <c r="C392" s="380"/>
      <c r="D392" s="380"/>
      <c r="E392" s="380"/>
      <c r="F392" s="380"/>
      <c r="G392" s="380"/>
      <c r="H392" s="380"/>
      <c r="I392" s="380"/>
      <c r="J392" s="264"/>
      <c r="K392" s="41"/>
    </row>
    <row r="393" spans="2:11" x14ac:dyDescent="0.2">
      <c r="B393" s="38"/>
      <c r="C393" s="40" t="s">
        <v>853</v>
      </c>
      <c r="D393" s="291"/>
      <c r="E393" s="291"/>
      <c r="F393" s="291"/>
      <c r="G393" s="291"/>
      <c r="H393" s="291"/>
      <c r="I393" s="291"/>
      <c r="J393" s="255">
        <f>'Baseline Health'!$G$102</f>
        <v>0</v>
      </c>
      <c r="K393" s="41"/>
    </row>
    <row r="394" spans="2:11" ht="15" customHeight="1" x14ac:dyDescent="0.2">
      <c r="B394" s="38"/>
      <c r="C394" s="40" t="s">
        <v>850</v>
      </c>
      <c r="D394" s="291"/>
      <c r="E394" s="291"/>
      <c r="F394" s="291"/>
      <c r="G394" s="291"/>
      <c r="H394" s="291"/>
      <c r="I394" s="291"/>
      <c r="J394" s="244" t="str">
        <f>IF('Baseline Health'!$G$102=0,"Not Calculated",100*J392/'Baseline Health'!$G$102)</f>
        <v>Not Calculated</v>
      </c>
      <c r="K394" s="41"/>
    </row>
    <row r="395" spans="2:11" ht="15" customHeight="1" x14ac:dyDescent="0.2">
      <c r="B395" s="38"/>
      <c r="C395" s="40" t="s">
        <v>260</v>
      </c>
      <c r="D395" s="40"/>
      <c r="E395" s="40"/>
      <c r="F395" s="40"/>
      <c r="G395" s="40"/>
      <c r="H395" s="40"/>
      <c r="I395" s="40"/>
      <c r="J395" s="43">
        <f>IF(J394&lt;=0,0,IF(J394&lt;=1,1,IF(J394&lt;=5,2,IF(J394&lt;=10,3,4))))</f>
        <v>4</v>
      </c>
      <c r="K395" s="41"/>
    </row>
    <row r="396" spans="2:11" ht="9.75" customHeight="1" x14ac:dyDescent="0.2">
      <c r="B396" s="38"/>
      <c r="C396" s="279" t="str">
        <f>"0:"</f>
        <v>0:</v>
      </c>
      <c r="D396" s="278" t="s">
        <v>932</v>
      </c>
      <c r="E396" s="291"/>
      <c r="F396" s="291"/>
      <c r="G396" s="291"/>
      <c r="H396" s="291"/>
      <c r="I396" s="291"/>
      <c r="J396" s="244"/>
      <c r="K396" s="41"/>
    </row>
    <row r="397" spans="2:11" ht="9.75" customHeight="1" x14ac:dyDescent="0.2">
      <c r="B397" s="38"/>
      <c r="C397" s="280" t="str">
        <f>"1:"</f>
        <v>1:</v>
      </c>
      <c r="D397" s="278" t="s">
        <v>934</v>
      </c>
      <c r="E397" s="291"/>
      <c r="F397" s="291"/>
      <c r="G397" s="291"/>
      <c r="H397" s="291"/>
      <c r="I397" s="291"/>
      <c r="J397" s="244"/>
      <c r="K397" s="41"/>
    </row>
    <row r="398" spans="2:11" ht="9.75" customHeight="1" x14ac:dyDescent="0.2">
      <c r="B398" s="38"/>
      <c r="C398" s="280" t="str">
        <f>"2:"</f>
        <v>2:</v>
      </c>
      <c r="D398" s="278" t="s">
        <v>933</v>
      </c>
      <c r="E398" s="291"/>
      <c r="F398" s="291"/>
      <c r="G398" s="291"/>
      <c r="H398" s="291"/>
      <c r="I398" s="291"/>
      <c r="J398" s="244"/>
      <c r="K398" s="41"/>
    </row>
    <row r="399" spans="2:11" ht="9.75" customHeight="1" x14ac:dyDescent="0.2">
      <c r="B399" s="38"/>
      <c r="C399" s="280" t="str">
        <f>"3:"</f>
        <v>3:</v>
      </c>
      <c r="D399" s="278" t="s">
        <v>935</v>
      </c>
      <c r="E399" s="291"/>
      <c r="F399" s="291"/>
      <c r="G399" s="291"/>
      <c r="H399" s="291"/>
      <c r="I399" s="291"/>
      <c r="J399" s="244"/>
      <c r="K399" s="41"/>
    </row>
    <row r="400" spans="2:11" ht="9.75" customHeight="1" x14ac:dyDescent="0.2">
      <c r="B400" s="38"/>
      <c r="C400" s="280" t="str">
        <f>"4:"</f>
        <v>4:</v>
      </c>
      <c r="D400" s="278" t="s">
        <v>936</v>
      </c>
      <c r="E400" s="40"/>
      <c r="F400" s="40"/>
      <c r="G400" s="40"/>
      <c r="H400" s="40"/>
      <c r="I400" s="40"/>
      <c r="J400" s="40"/>
      <c r="K400" s="41"/>
    </row>
    <row r="401" spans="2:11" x14ac:dyDescent="0.2">
      <c r="B401" s="38"/>
      <c r="C401" s="40" t="s">
        <v>893</v>
      </c>
      <c r="D401" s="40"/>
      <c r="E401" s="40"/>
      <c r="F401" s="40"/>
      <c r="G401" s="40"/>
      <c r="H401" s="40"/>
      <c r="I401" s="40"/>
      <c r="J401" s="40"/>
      <c r="K401" s="41"/>
    </row>
    <row r="402" spans="2:11" ht="15" customHeight="1" x14ac:dyDescent="0.2">
      <c r="B402" s="38"/>
      <c r="C402" s="399"/>
      <c r="D402" s="400"/>
      <c r="E402" s="400"/>
      <c r="F402" s="400"/>
      <c r="G402" s="400"/>
      <c r="H402" s="400"/>
      <c r="I402" s="400"/>
      <c r="J402" s="401"/>
      <c r="K402" s="41"/>
    </row>
    <row r="403" spans="2:11" x14ac:dyDescent="0.2">
      <c r="B403" s="38"/>
      <c r="C403" s="40"/>
      <c r="D403" s="40"/>
      <c r="E403" s="40"/>
      <c r="F403" s="40"/>
      <c r="G403" s="40"/>
      <c r="H403" s="40"/>
      <c r="I403" s="40"/>
      <c r="J403" s="40"/>
      <c r="K403" s="41"/>
    </row>
    <row r="404" spans="2:11" x14ac:dyDescent="0.2">
      <c r="B404" s="38"/>
      <c r="C404" s="179" t="s">
        <v>890</v>
      </c>
      <c r="D404" s="40"/>
      <c r="E404" s="40"/>
      <c r="F404" s="40"/>
      <c r="G404" s="40"/>
      <c r="H404" s="40"/>
      <c r="I404" s="40"/>
      <c r="J404" s="245">
        <f>J395</f>
        <v>4</v>
      </c>
      <c r="K404" s="41"/>
    </row>
    <row r="405" spans="2:11" x14ac:dyDescent="0.2">
      <c r="B405" s="38"/>
      <c r="C405" s="40"/>
      <c r="D405" s="40"/>
      <c r="E405" s="40"/>
      <c r="F405" s="40"/>
      <c r="G405" s="40"/>
      <c r="H405" s="40"/>
      <c r="I405" s="40"/>
      <c r="J405" s="40"/>
      <c r="K405" s="41"/>
    </row>
    <row r="406" spans="2:11" x14ac:dyDescent="0.2">
      <c r="B406" s="38"/>
      <c r="C406" s="40"/>
      <c r="D406" s="40"/>
      <c r="E406" s="40"/>
      <c r="F406" s="40"/>
      <c r="G406" s="40"/>
      <c r="H406" s="40"/>
      <c r="I406" s="40"/>
      <c r="J406" s="40"/>
      <c r="K406" s="41"/>
    </row>
    <row r="407" spans="2:11" ht="16" x14ac:dyDescent="0.2">
      <c r="B407" s="38"/>
      <c r="C407" s="45" t="s">
        <v>861</v>
      </c>
      <c r="D407" s="40"/>
      <c r="E407" s="40"/>
      <c r="F407" s="40"/>
      <c r="G407" s="40"/>
      <c r="H407" s="40"/>
      <c r="I407" s="40"/>
      <c r="J407" s="40"/>
      <c r="K407" s="41"/>
    </row>
    <row r="408" spans="2:11" x14ac:dyDescent="0.2">
      <c r="B408" s="38"/>
      <c r="C408" s="40" t="s">
        <v>298</v>
      </c>
      <c r="D408" s="40"/>
      <c r="E408" s="40"/>
      <c r="F408" s="40"/>
      <c r="G408" s="40"/>
      <c r="H408" s="40"/>
      <c r="I408" s="40"/>
      <c r="J408" s="269"/>
      <c r="K408" s="41"/>
    </row>
    <row r="409" spans="2:11" x14ac:dyDescent="0.2">
      <c r="B409" s="38"/>
      <c r="C409" s="40" t="s">
        <v>260</v>
      </c>
      <c r="D409" s="40"/>
      <c r="E409" s="40"/>
      <c r="F409" s="40"/>
      <c r="G409" s="40"/>
      <c r="H409" s="40"/>
      <c r="I409" s="40"/>
      <c r="J409" s="253">
        <f>IF(J408&lt;=0,0,IF(J408&lt;=(J161*0.01),1,IF(J408&lt;=(J161*0.05),2,IF(J408&lt;=(J161*0.1),3,4))))</f>
        <v>0</v>
      </c>
      <c r="K409" s="41"/>
    </row>
    <row r="410" spans="2:11" ht="9.75" customHeight="1" x14ac:dyDescent="0.2">
      <c r="B410" s="38"/>
      <c r="C410" s="279" t="str">
        <f>"0:"</f>
        <v>0:</v>
      </c>
      <c r="D410" s="278" t="s">
        <v>939</v>
      </c>
      <c r="E410" s="40"/>
      <c r="F410" s="40"/>
      <c r="G410" s="40"/>
      <c r="H410" s="40"/>
      <c r="I410" s="40"/>
      <c r="J410" s="282"/>
      <c r="K410" s="41"/>
    </row>
    <row r="411" spans="2:11" ht="9.75" customHeight="1" x14ac:dyDescent="0.2">
      <c r="B411" s="38"/>
      <c r="C411" s="280" t="str">
        <f>"1:"</f>
        <v>1:</v>
      </c>
      <c r="D411" s="278" t="s">
        <v>940</v>
      </c>
      <c r="E411" s="40"/>
      <c r="F411" s="40"/>
      <c r="G411" s="40"/>
      <c r="H411" s="40"/>
      <c r="I411" s="40"/>
      <c r="J411" s="282"/>
      <c r="K411" s="41"/>
    </row>
    <row r="412" spans="2:11" ht="9.75" customHeight="1" x14ac:dyDescent="0.2">
      <c r="B412" s="38"/>
      <c r="C412" s="280" t="str">
        <f>"2:"</f>
        <v>2:</v>
      </c>
      <c r="D412" s="278" t="s">
        <v>941</v>
      </c>
      <c r="E412" s="40"/>
      <c r="F412" s="40"/>
      <c r="G412" s="40"/>
      <c r="H412" s="40"/>
      <c r="I412" s="40"/>
      <c r="J412" s="282"/>
      <c r="K412" s="41"/>
    </row>
    <row r="413" spans="2:11" ht="9.75" customHeight="1" x14ac:dyDescent="0.2">
      <c r="B413" s="38"/>
      <c r="C413" s="280" t="str">
        <f>"3:"</f>
        <v>3:</v>
      </c>
      <c r="D413" s="278" t="s">
        <v>942</v>
      </c>
      <c r="E413" s="40"/>
      <c r="F413" s="40"/>
      <c r="G413" s="40"/>
      <c r="H413" s="40"/>
      <c r="I413" s="40"/>
      <c r="J413" s="282"/>
      <c r="K413" s="41"/>
    </row>
    <row r="414" spans="2:11" ht="9.75" customHeight="1" x14ac:dyDescent="0.2">
      <c r="B414" s="38"/>
      <c r="C414" s="280" t="str">
        <f>"4:"</f>
        <v>4:</v>
      </c>
      <c r="D414" s="278" t="s">
        <v>943</v>
      </c>
      <c r="E414" s="40"/>
      <c r="F414" s="40"/>
      <c r="G414" s="40"/>
      <c r="H414" s="40"/>
      <c r="I414" s="40"/>
      <c r="J414" s="40"/>
      <c r="K414" s="41"/>
    </row>
    <row r="415" spans="2:11" x14ac:dyDescent="0.2">
      <c r="B415" s="38"/>
      <c r="C415" s="40" t="s">
        <v>893</v>
      </c>
      <c r="D415" s="40"/>
      <c r="E415" s="40"/>
      <c r="F415" s="40"/>
      <c r="G415" s="40"/>
      <c r="H415" s="40"/>
      <c r="I415" s="40"/>
      <c r="J415" s="40"/>
      <c r="K415" s="41"/>
    </row>
    <row r="416" spans="2:11" ht="15" customHeight="1" x14ac:dyDescent="0.2">
      <c r="B416" s="38"/>
      <c r="C416" s="399"/>
      <c r="D416" s="400"/>
      <c r="E416" s="400"/>
      <c r="F416" s="400"/>
      <c r="G416" s="400"/>
      <c r="H416" s="400"/>
      <c r="I416" s="400"/>
      <c r="J416" s="401"/>
      <c r="K416" s="41"/>
    </row>
    <row r="417" spans="2:11" x14ac:dyDescent="0.2">
      <c r="B417" s="38"/>
      <c r="C417" s="40"/>
      <c r="D417" s="40"/>
      <c r="E417" s="40"/>
      <c r="F417" s="40"/>
      <c r="G417" s="40"/>
      <c r="H417" s="40"/>
      <c r="I417" s="40"/>
      <c r="J417" s="40"/>
      <c r="K417" s="41"/>
    </row>
    <row r="418" spans="2:11" x14ac:dyDescent="0.2">
      <c r="B418" s="38"/>
      <c r="C418" s="179" t="s">
        <v>891</v>
      </c>
      <c r="D418" s="40"/>
      <c r="E418" s="40"/>
      <c r="F418" s="40"/>
      <c r="G418" s="40"/>
      <c r="H418" s="40"/>
      <c r="I418" s="40"/>
      <c r="J418" s="245">
        <f>J409</f>
        <v>0</v>
      </c>
      <c r="K418" s="41"/>
    </row>
    <row r="419" spans="2:11" x14ac:dyDescent="0.2">
      <c r="B419" s="38"/>
      <c r="C419" s="40"/>
      <c r="D419" s="40"/>
      <c r="E419" s="40"/>
      <c r="F419" s="40"/>
      <c r="G419" s="40"/>
      <c r="H419" s="40"/>
      <c r="I419" s="40"/>
      <c r="J419" s="40"/>
      <c r="K419" s="41"/>
    </row>
    <row r="420" spans="2:11" x14ac:dyDescent="0.2">
      <c r="B420" s="38"/>
      <c r="C420" s="410" t="s">
        <v>881</v>
      </c>
      <c r="D420" s="410"/>
      <c r="E420" s="410"/>
      <c r="F420" s="410"/>
      <c r="G420" s="410"/>
      <c r="H420" s="410"/>
      <c r="I420" s="410"/>
      <c r="J420" s="40"/>
      <c r="K420" s="41"/>
    </row>
    <row r="421" spans="2:11" x14ac:dyDescent="0.2">
      <c r="B421" s="38"/>
      <c r="C421" s="410"/>
      <c r="D421" s="410"/>
      <c r="E421" s="410"/>
      <c r="F421" s="410"/>
      <c r="G421" s="410"/>
      <c r="H421" s="410"/>
      <c r="I421" s="410"/>
      <c r="J421" s="244" t="str">
        <f>IF(OR(J288="Not Calculated",J307="Not Calculated",J326="Not Calculated",J349="Not Calculated",J367="Not Calculated",J387="Not Calculated",J404="Not Calculated",J418="Not Calculated")=TRUE,"Not Calculated",AVERAGE(J288,J307,J326,J349,J367,J387,J404,J418))</f>
        <v>Not Calculated</v>
      </c>
      <c r="K421" s="41"/>
    </row>
    <row r="422" spans="2:11" ht="16" thickBot="1" x14ac:dyDescent="0.25">
      <c r="B422" s="46"/>
      <c r="C422" s="47"/>
      <c r="D422" s="47"/>
      <c r="E422" s="47"/>
      <c r="F422" s="47"/>
      <c r="G422" s="47"/>
      <c r="H422" s="47"/>
      <c r="I422" s="47"/>
      <c r="J422" s="47"/>
      <c r="K422" s="49"/>
    </row>
    <row r="423" spans="2:11" ht="16" thickBot="1" x14ac:dyDescent="0.25"/>
    <row r="424" spans="2:11" x14ac:dyDescent="0.2">
      <c r="B424" s="33"/>
      <c r="C424" s="34"/>
      <c r="D424" s="34"/>
      <c r="E424" s="34"/>
      <c r="F424" s="34"/>
      <c r="G424" s="34"/>
      <c r="H424" s="34"/>
      <c r="I424" s="34"/>
      <c r="J424" s="34"/>
      <c r="K424" s="37"/>
    </row>
    <row r="425" spans="2:11" ht="21" x14ac:dyDescent="0.25">
      <c r="B425" s="38"/>
      <c r="C425" s="40"/>
      <c r="D425" s="40"/>
      <c r="E425" s="40"/>
      <c r="F425" s="40"/>
      <c r="G425" s="172" t="s">
        <v>230</v>
      </c>
      <c r="H425" s="40"/>
      <c r="I425" s="40"/>
      <c r="J425" s="40"/>
      <c r="K425" s="41"/>
    </row>
    <row r="426" spans="2:11" x14ac:dyDescent="0.2">
      <c r="B426" s="38"/>
      <c r="C426" s="40"/>
      <c r="D426" s="40"/>
      <c r="E426" s="40"/>
      <c r="F426" s="40"/>
      <c r="G426" s="40"/>
      <c r="H426" s="40"/>
      <c r="I426" s="40"/>
      <c r="J426" s="40"/>
      <c r="K426" s="41"/>
    </row>
    <row r="427" spans="2:11" ht="16" x14ac:dyDescent="0.2">
      <c r="B427" s="38"/>
      <c r="C427" s="45" t="s">
        <v>299</v>
      </c>
      <c r="D427" s="40"/>
      <c r="E427" s="40"/>
      <c r="F427" s="40"/>
      <c r="G427" s="40"/>
      <c r="H427" s="40"/>
      <c r="I427" s="40"/>
      <c r="J427" s="40"/>
      <c r="K427" s="41"/>
    </row>
    <row r="428" spans="2:11" x14ac:dyDescent="0.2">
      <c r="B428" s="38"/>
      <c r="C428" s="40" t="s">
        <v>300</v>
      </c>
      <c r="D428" s="40"/>
      <c r="E428" s="40"/>
      <c r="F428" s="40"/>
      <c r="G428" s="40"/>
      <c r="H428" s="40"/>
      <c r="I428" s="40"/>
      <c r="J428" s="270"/>
      <c r="K428" s="41"/>
    </row>
    <row r="429" spans="2:11" x14ac:dyDescent="0.2">
      <c r="B429" s="38"/>
      <c r="C429" s="40" t="s">
        <v>260</v>
      </c>
      <c r="D429" s="40"/>
      <c r="E429" s="40"/>
      <c r="F429" s="40"/>
      <c r="G429" s="40"/>
      <c r="H429" s="40"/>
      <c r="I429" s="40"/>
      <c r="J429" s="248">
        <f>IF(J428&lt;=0,0,IF(J428&lt;=1,1,IF(J428&lt;=5,2,IF(J428&lt;=10,3,4))))</f>
        <v>0</v>
      </c>
      <c r="K429" s="41"/>
    </row>
    <row r="430" spans="2:11" s="98" customFormat="1" ht="9.75" customHeight="1" x14ac:dyDescent="0.2">
      <c r="B430" s="288"/>
      <c r="C430" s="279" t="str">
        <f>"0:"</f>
        <v>0:</v>
      </c>
      <c r="D430" s="290" t="s">
        <v>944</v>
      </c>
      <c r="E430" s="245"/>
      <c r="F430" s="245"/>
      <c r="G430" s="245"/>
      <c r="H430" s="245"/>
      <c r="I430" s="245"/>
      <c r="J430" s="245"/>
      <c r="K430" s="289"/>
    </row>
    <row r="431" spans="2:11" s="98" customFormat="1" ht="9.75" customHeight="1" x14ac:dyDescent="0.2">
      <c r="B431" s="288"/>
      <c r="C431" s="280" t="str">
        <f>"1:"</f>
        <v>1:</v>
      </c>
      <c r="D431" s="290" t="s">
        <v>945</v>
      </c>
      <c r="E431" s="245"/>
      <c r="F431" s="245"/>
      <c r="G431" s="245"/>
      <c r="H431" s="245"/>
      <c r="I431" s="245"/>
      <c r="J431" s="245"/>
      <c r="K431" s="289"/>
    </row>
    <row r="432" spans="2:11" s="98" customFormat="1" ht="9.75" customHeight="1" x14ac:dyDescent="0.2">
      <c r="B432" s="288"/>
      <c r="C432" s="280" t="str">
        <f>"2:"</f>
        <v>2:</v>
      </c>
      <c r="D432" s="290" t="s">
        <v>946</v>
      </c>
      <c r="E432" s="245"/>
      <c r="F432" s="245"/>
      <c r="G432" s="245"/>
      <c r="H432" s="245"/>
      <c r="I432" s="245"/>
      <c r="J432" s="245"/>
      <c r="K432" s="289"/>
    </row>
    <row r="433" spans="2:11" s="98" customFormat="1" ht="9.75" customHeight="1" x14ac:dyDescent="0.2">
      <c r="B433" s="288"/>
      <c r="C433" s="280" t="str">
        <f>"3:"</f>
        <v>3:</v>
      </c>
      <c r="D433" s="290" t="s">
        <v>947</v>
      </c>
      <c r="E433" s="245"/>
      <c r="F433" s="245"/>
      <c r="G433" s="245"/>
      <c r="H433" s="245"/>
      <c r="I433" s="245"/>
      <c r="J433" s="245"/>
      <c r="K433" s="289"/>
    </row>
    <row r="434" spans="2:11" s="98" customFormat="1" ht="9.75" customHeight="1" x14ac:dyDescent="0.2">
      <c r="B434" s="288"/>
      <c r="C434" s="280" t="str">
        <f>"4:"</f>
        <v>4:</v>
      </c>
      <c r="D434" s="290" t="s">
        <v>948</v>
      </c>
      <c r="E434" s="245"/>
      <c r="F434" s="245"/>
      <c r="G434" s="245"/>
      <c r="H434" s="245"/>
      <c r="I434" s="245"/>
      <c r="J434" s="247"/>
      <c r="K434" s="289"/>
    </row>
    <row r="435" spans="2:11" x14ac:dyDescent="0.2">
      <c r="B435" s="38"/>
      <c r="C435" s="40" t="s">
        <v>257</v>
      </c>
      <c r="D435" s="40"/>
      <c r="E435" s="40"/>
      <c r="F435" s="40"/>
      <c r="G435" s="40"/>
      <c r="H435" s="40"/>
      <c r="I435" s="40"/>
      <c r="J435" s="266"/>
      <c r="K435" s="41"/>
    </row>
    <row r="436" spans="2:11" x14ac:dyDescent="0.2">
      <c r="B436" s="38"/>
      <c r="C436" s="40" t="s">
        <v>261</v>
      </c>
      <c r="D436" s="40"/>
      <c r="E436" s="40"/>
      <c r="F436" s="40"/>
      <c r="G436" s="40"/>
      <c r="H436" s="40"/>
      <c r="I436" s="40"/>
      <c r="J436" s="245" t="str">
        <f>IF(J435=$B$973,$A$973,IF(J435=$B$974,$A$974,IF(J435=$B$975,$A$975,IF(J435=$B$976,$A$976,IF(J435=$B$977,$A$977,"Not Calculated")))))</f>
        <v>Not Calculated</v>
      </c>
      <c r="K436" s="41"/>
    </row>
    <row r="437" spans="2:11" x14ac:dyDescent="0.2">
      <c r="B437" s="38"/>
      <c r="C437" s="40" t="s">
        <v>893</v>
      </c>
      <c r="D437" s="40"/>
      <c r="E437" s="40"/>
      <c r="F437" s="40"/>
      <c r="G437" s="40"/>
      <c r="H437" s="40"/>
      <c r="I437" s="40"/>
      <c r="J437" s="40"/>
      <c r="K437" s="41"/>
    </row>
    <row r="438" spans="2:11" x14ac:dyDescent="0.2">
      <c r="B438" s="38"/>
      <c r="C438" s="399"/>
      <c r="D438" s="400"/>
      <c r="E438" s="400"/>
      <c r="F438" s="400"/>
      <c r="G438" s="400"/>
      <c r="H438" s="400"/>
      <c r="I438" s="400"/>
      <c r="J438" s="401"/>
      <c r="K438" s="41"/>
    </row>
    <row r="439" spans="2:11" x14ac:dyDescent="0.2">
      <c r="B439" s="38"/>
      <c r="C439" s="40"/>
      <c r="D439" s="40"/>
      <c r="E439" s="40"/>
      <c r="F439" s="40"/>
      <c r="G439" s="40"/>
      <c r="H439" s="40"/>
      <c r="I439" s="40"/>
      <c r="J439" s="40"/>
      <c r="K439" s="41"/>
    </row>
    <row r="440" spans="2:11" x14ac:dyDescent="0.2">
      <c r="B440" s="38"/>
      <c r="C440" s="179" t="s">
        <v>301</v>
      </c>
      <c r="D440" s="40"/>
      <c r="E440" s="40"/>
      <c r="F440" s="40"/>
      <c r="G440" s="40"/>
      <c r="H440" s="40"/>
      <c r="I440" s="40"/>
      <c r="J440" s="245" t="str">
        <f>IF(OR(J429="Not Calculated",J436="Not Calculated")=TRUE,"Not Calculated",AVERAGE(J429,J436))</f>
        <v>Not Calculated</v>
      </c>
      <c r="K440" s="41"/>
    </row>
    <row r="441" spans="2:11" x14ac:dyDescent="0.2">
      <c r="B441" s="38"/>
      <c r="C441" s="40"/>
      <c r="D441" s="40"/>
      <c r="E441" s="40"/>
      <c r="F441" s="40"/>
      <c r="G441" s="40"/>
      <c r="H441" s="40"/>
      <c r="I441" s="40"/>
      <c r="J441" s="40"/>
      <c r="K441" s="41"/>
    </row>
    <row r="442" spans="2:11" x14ac:dyDescent="0.2">
      <c r="B442" s="38"/>
      <c r="C442" s="40"/>
      <c r="D442" s="40"/>
      <c r="E442" s="40"/>
      <c r="F442" s="40"/>
      <c r="G442" s="40"/>
      <c r="H442" s="40"/>
      <c r="I442" s="40"/>
      <c r="J442" s="40"/>
      <c r="K442" s="41"/>
    </row>
    <row r="443" spans="2:11" ht="16" x14ac:dyDescent="0.2">
      <c r="B443" s="38"/>
      <c r="C443" s="45" t="s">
        <v>303</v>
      </c>
      <c r="D443" s="40"/>
      <c r="E443" s="40"/>
      <c r="F443" s="40"/>
      <c r="G443" s="40"/>
      <c r="H443" s="40"/>
      <c r="I443" s="40"/>
      <c r="J443" s="40"/>
      <c r="K443" s="41"/>
    </row>
    <row r="444" spans="2:11" ht="15" customHeight="1" x14ac:dyDescent="0.2">
      <c r="B444" s="38"/>
      <c r="C444" s="380" t="s">
        <v>305</v>
      </c>
      <c r="D444" s="380"/>
      <c r="E444" s="380"/>
      <c r="F444" s="380"/>
      <c r="G444" s="380"/>
      <c r="H444" s="380"/>
      <c r="I444" s="380"/>
      <c r="J444" s="40"/>
      <c r="K444" s="41"/>
    </row>
    <row r="445" spans="2:11" x14ac:dyDescent="0.2">
      <c r="B445" s="38"/>
      <c r="C445" s="380"/>
      <c r="D445" s="380"/>
      <c r="E445" s="380"/>
      <c r="F445" s="380"/>
      <c r="G445" s="380"/>
      <c r="H445" s="380"/>
      <c r="I445" s="380"/>
      <c r="J445" s="270"/>
      <c r="K445" s="41"/>
    </row>
    <row r="446" spans="2:11" x14ac:dyDescent="0.2">
      <c r="B446" s="38"/>
      <c r="C446" s="40" t="s">
        <v>260</v>
      </c>
      <c r="D446" s="40"/>
      <c r="E446" s="40"/>
      <c r="F446" s="40"/>
      <c r="G446" s="40"/>
      <c r="H446" s="40"/>
      <c r="I446" s="40"/>
      <c r="J446" s="248">
        <f>IF(J445&lt;=0,0,IF(J445&lt;=1,1,IF(J445&lt;=5,2,IF(J445&lt;=10,3,4))))</f>
        <v>0</v>
      </c>
      <c r="K446" s="41"/>
    </row>
    <row r="447" spans="2:11" ht="9.75" customHeight="1" x14ac:dyDescent="0.2">
      <c r="B447" s="38"/>
      <c r="C447" s="279" t="str">
        <f>"0:"</f>
        <v>0:</v>
      </c>
      <c r="D447" s="278" t="s">
        <v>944</v>
      </c>
      <c r="E447" s="40"/>
      <c r="F447" s="40"/>
      <c r="G447" s="40"/>
      <c r="H447" s="40"/>
      <c r="I447" s="40"/>
      <c r="J447" s="245"/>
      <c r="K447" s="41"/>
    </row>
    <row r="448" spans="2:11" ht="9.75" customHeight="1" x14ac:dyDescent="0.2">
      <c r="B448" s="38"/>
      <c r="C448" s="280" t="str">
        <f>"1:"</f>
        <v>1:</v>
      </c>
      <c r="D448" s="278" t="s">
        <v>945</v>
      </c>
      <c r="E448" s="40"/>
      <c r="F448" s="40"/>
      <c r="G448" s="40"/>
      <c r="H448" s="40"/>
      <c r="I448" s="40"/>
      <c r="J448" s="245"/>
      <c r="K448" s="41"/>
    </row>
    <row r="449" spans="2:11" ht="9.75" customHeight="1" x14ac:dyDescent="0.2">
      <c r="B449" s="38"/>
      <c r="C449" s="280" t="str">
        <f>"2:"</f>
        <v>2:</v>
      </c>
      <c r="D449" s="278" t="s">
        <v>946</v>
      </c>
      <c r="E449" s="40"/>
      <c r="F449" s="40"/>
      <c r="G449" s="40"/>
      <c r="H449" s="40"/>
      <c r="I449" s="40"/>
      <c r="J449" s="245"/>
      <c r="K449" s="41"/>
    </row>
    <row r="450" spans="2:11" ht="9.75" customHeight="1" x14ac:dyDescent="0.2">
      <c r="B450" s="38"/>
      <c r="C450" s="280" t="str">
        <f>"3:"</f>
        <v>3:</v>
      </c>
      <c r="D450" s="278" t="s">
        <v>947</v>
      </c>
      <c r="E450" s="40"/>
      <c r="F450" s="40"/>
      <c r="G450" s="40"/>
      <c r="H450" s="40"/>
      <c r="I450" s="40"/>
      <c r="J450" s="245"/>
      <c r="K450" s="41"/>
    </row>
    <row r="451" spans="2:11" ht="9.75" customHeight="1" x14ac:dyDescent="0.2">
      <c r="B451" s="38"/>
      <c r="C451" s="280" t="str">
        <f>"4:"</f>
        <v>4:</v>
      </c>
      <c r="D451" s="278" t="s">
        <v>948</v>
      </c>
      <c r="E451" s="40"/>
      <c r="F451" s="40"/>
      <c r="G451" s="40"/>
      <c r="H451" s="40"/>
      <c r="I451" s="40"/>
      <c r="J451" s="247"/>
      <c r="K451" s="41"/>
    </row>
    <row r="452" spans="2:11" x14ac:dyDescent="0.2">
      <c r="B452" s="38"/>
      <c r="C452" s="40" t="s">
        <v>257</v>
      </c>
      <c r="D452" s="40"/>
      <c r="E452" s="40"/>
      <c r="F452" s="40"/>
      <c r="G452" s="40"/>
      <c r="H452" s="40"/>
      <c r="I452" s="40"/>
      <c r="J452" s="266"/>
      <c r="K452" s="41"/>
    </row>
    <row r="453" spans="2:11" x14ac:dyDescent="0.2">
      <c r="B453" s="38"/>
      <c r="C453" s="40" t="s">
        <v>261</v>
      </c>
      <c r="D453" s="40"/>
      <c r="E453" s="40"/>
      <c r="F453" s="40"/>
      <c r="G453" s="40"/>
      <c r="H453" s="40"/>
      <c r="I453" s="40"/>
      <c r="J453" s="245" t="str">
        <f>IF(J452=$B$973,$A$973,IF(J452=$B$974,$A$974,IF(J452=$B$975,$A$975,IF(J452=$B$976,$A$976,IF(J452=$B$977,$A$977,"Not Calculated")))))</f>
        <v>Not Calculated</v>
      </c>
      <c r="K453" s="41"/>
    </row>
    <row r="454" spans="2:11" x14ac:dyDescent="0.2">
      <c r="B454" s="38"/>
      <c r="C454" s="40" t="s">
        <v>893</v>
      </c>
      <c r="D454" s="40"/>
      <c r="E454" s="40"/>
      <c r="F454" s="40"/>
      <c r="G454" s="40"/>
      <c r="H454" s="40"/>
      <c r="I454" s="40"/>
      <c r="J454" s="40"/>
      <c r="K454" s="41"/>
    </row>
    <row r="455" spans="2:11" ht="15" customHeight="1" x14ac:dyDescent="0.2">
      <c r="B455" s="38"/>
      <c r="C455" s="399"/>
      <c r="D455" s="400"/>
      <c r="E455" s="400"/>
      <c r="F455" s="400"/>
      <c r="G455" s="400"/>
      <c r="H455" s="400"/>
      <c r="I455" s="400"/>
      <c r="J455" s="401"/>
      <c r="K455" s="41"/>
    </row>
    <row r="456" spans="2:11" x14ac:dyDescent="0.2">
      <c r="B456" s="38"/>
      <c r="C456" s="40"/>
      <c r="D456" s="40"/>
      <c r="E456" s="40"/>
      <c r="F456" s="40"/>
      <c r="G456" s="40"/>
      <c r="H456" s="40"/>
      <c r="I456" s="40"/>
      <c r="J456" s="40"/>
      <c r="K456" s="41"/>
    </row>
    <row r="457" spans="2:11" x14ac:dyDescent="0.2">
      <c r="B457" s="38"/>
      <c r="C457" s="179" t="s">
        <v>304</v>
      </c>
      <c r="D457" s="40"/>
      <c r="E457" s="40"/>
      <c r="F457" s="40"/>
      <c r="G457" s="40"/>
      <c r="H457" s="40"/>
      <c r="I457" s="40"/>
      <c r="J457" s="245" t="str">
        <f>IF(OR(J446="Not Calculated",J453="Not Calculated")=TRUE,"Not Calculated",AVERAGE(J446,J453))</f>
        <v>Not Calculated</v>
      </c>
      <c r="K457" s="41"/>
    </row>
    <row r="458" spans="2:11" x14ac:dyDescent="0.2">
      <c r="B458" s="38"/>
      <c r="C458" s="40"/>
      <c r="D458" s="40"/>
      <c r="E458" s="40"/>
      <c r="F458" s="40"/>
      <c r="G458" s="40"/>
      <c r="H458" s="40"/>
      <c r="I458" s="40"/>
      <c r="J458" s="40"/>
      <c r="K458" s="41"/>
    </row>
    <row r="459" spans="2:11" x14ac:dyDescent="0.2">
      <c r="B459" s="38"/>
      <c r="C459" s="40"/>
      <c r="D459" s="40"/>
      <c r="E459" s="40"/>
      <c r="F459" s="40"/>
      <c r="G459" s="40"/>
      <c r="H459" s="40"/>
      <c r="I459" s="40"/>
      <c r="J459" s="40"/>
      <c r="K459" s="41"/>
    </row>
    <row r="460" spans="2:11" ht="16" x14ac:dyDescent="0.2">
      <c r="B460" s="38"/>
      <c r="C460" s="45" t="s">
        <v>306</v>
      </c>
      <c r="D460" s="40"/>
      <c r="E460" s="40"/>
      <c r="F460" s="40"/>
      <c r="G460" s="40"/>
      <c r="H460" s="40"/>
      <c r="I460" s="40"/>
      <c r="J460" s="40"/>
      <c r="K460" s="41"/>
    </row>
    <row r="461" spans="2:11" x14ac:dyDescent="0.2">
      <c r="B461" s="38"/>
      <c r="C461" s="40" t="s">
        <v>949</v>
      </c>
      <c r="D461" s="40"/>
      <c r="E461" s="40"/>
      <c r="F461" s="40"/>
      <c r="G461" s="40"/>
      <c r="H461" s="40"/>
      <c r="I461" s="40"/>
      <c r="J461" s="270"/>
      <c r="K461" s="41"/>
    </row>
    <row r="462" spans="2:11" x14ac:dyDescent="0.2">
      <c r="B462" s="38"/>
      <c r="C462" s="40" t="s">
        <v>260</v>
      </c>
      <c r="D462" s="40"/>
      <c r="E462" s="40"/>
      <c r="F462" s="40"/>
      <c r="G462" s="40"/>
      <c r="H462" s="40"/>
      <c r="I462" s="40"/>
      <c r="J462" s="248">
        <f>IF(J461&lt;=0,0,IF(J461&lt;=1,1,IF(J461&lt;=5,2,IF(J461&lt;=10,3,4))))</f>
        <v>0</v>
      </c>
      <c r="K462" s="41"/>
    </row>
    <row r="463" spans="2:11" ht="9.75" customHeight="1" x14ac:dyDescent="0.2">
      <c r="B463" s="38"/>
      <c r="C463" s="279" t="str">
        <f>"0:"</f>
        <v>0:</v>
      </c>
      <c r="D463" s="290" t="s">
        <v>944</v>
      </c>
      <c r="E463" s="40"/>
      <c r="F463" s="40"/>
      <c r="G463" s="40"/>
      <c r="H463" s="40"/>
      <c r="I463" s="40"/>
      <c r="J463" s="245"/>
      <c r="K463" s="41"/>
    </row>
    <row r="464" spans="2:11" ht="9.75" customHeight="1" x14ac:dyDescent="0.2">
      <c r="B464" s="38"/>
      <c r="C464" s="280" t="str">
        <f>"1:"</f>
        <v>1:</v>
      </c>
      <c r="D464" s="290" t="s">
        <v>945</v>
      </c>
      <c r="E464" s="40"/>
      <c r="F464" s="40"/>
      <c r="G464" s="40"/>
      <c r="H464" s="40"/>
      <c r="I464" s="40"/>
      <c r="J464" s="245"/>
      <c r="K464" s="41"/>
    </row>
    <row r="465" spans="2:11" ht="9.75" customHeight="1" x14ac:dyDescent="0.2">
      <c r="B465" s="38"/>
      <c r="C465" s="280" t="str">
        <f>"2:"</f>
        <v>2:</v>
      </c>
      <c r="D465" s="290" t="s">
        <v>946</v>
      </c>
      <c r="E465" s="40"/>
      <c r="F465" s="40"/>
      <c r="G465" s="40"/>
      <c r="H465" s="40"/>
      <c r="I465" s="40"/>
      <c r="J465" s="245"/>
      <c r="K465" s="41"/>
    </row>
    <row r="466" spans="2:11" ht="9.75" customHeight="1" x14ac:dyDescent="0.2">
      <c r="B466" s="38"/>
      <c r="C466" s="280" t="str">
        <f>"3:"</f>
        <v>3:</v>
      </c>
      <c r="D466" s="290" t="s">
        <v>947</v>
      </c>
      <c r="E466" s="40"/>
      <c r="F466" s="40"/>
      <c r="G466" s="40"/>
      <c r="H466" s="40"/>
      <c r="I466" s="40"/>
      <c r="J466" s="245"/>
      <c r="K466" s="41"/>
    </row>
    <row r="467" spans="2:11" ht="9.75" customHeight="1" x14ac:dyDescent="0.2">
      <c r="B467" s="38"/>
      <c r="C467" s="280" t="str">
        <f>"4:"</f>
        <v>4:</v>
      </c>
      <c r="D467" s="290" t="s">
        <v>948</v>
      </c>
      <c r="E467" s="40"/>
      <c r="F467" s="40"/>
      <c r="G467" s="40"/>
      <c r="H467" s="40"/>
      <c r="I467" s="40"/>
      <c r="J467" s="247"/>
      <c r="K467" s="41"/>
    </row>
    <row r="468" spans="2:11" x14ac:dyDescent="0.2">
      <c r="B468" s="38"/>
      <c r="C468" s="40" t="s">
        <v>257</v>
      </c>
      <c r="D468" s="40"/>
      <c r="E468" s="40"/>
      <c r="F468" s="40"/>
      <c r="G468" s="40"/>
      <c r="H468" s="40"/>
      <c r="I468" s="40"/>
      <c r="J468" s="266"/>
      <c r="K468" s="41"/>
    </row>
    <row r="469" spans="2:11" ht="15" customHeight="1" x14ac:dyDescent="0.2">
      <c r="B469" s="38"/>
      <c r="C469" s="40" t="s">
        <v>261</v>
      </c>
      <c r="D469" s="40"/>
      <c r="E469" s="40"/>
      <c r="F469" s="40"/>
      <c r="G469" s="40"/>
      <c r="H469" s="40"/>
      <c r="I469" s="40"/>
      <c r="J469" s="245" t="str">
        <f>IF(J468=$B$973,$A$973,IF(J468=$B$974,$A$974,IF(J468=$B$975,$A$975,IF(J468=$B$976,$A$976,IF(J468=$B$977,$A$977,"Not Calculated")))))</f>
        <v>Not Calculated</v>
      </c>
      <c r="K469" s="41"/>
    </row>
    <row r="470" spans="2:11" x14ac:dyDescent="0.2">
      <c r="B470" s="38"/>
      <c r="C470" s="40" t="s">
        <v>893</v>
      </c>
      <c r="D470" s="40"/>
      <c r="E470" s="40"/>
      <c r="F470" s="40"/>
      <c r="G470" s="40"/>
      <c r="H470" s="40"/>
      <c r="I470" s="40"/>
      <c r="J470" s="40"/>
      <c r="K470" s="41"/>
    </row>
    <row r="471" spans="2:11" x14ac:dyDescent="0.2">
      <c r="B471" s="38"/>
      <c r="C471" s="399"/>
      <c r="D471" s="400"/>
      <c r="E471" s="400"/>
      <c r="F471" s="400"/>
      <c r="G471" s="400"/>
      <c r="H471" s="400"/>
      <c r="I471" s="400"/>
      <c r="J471" s="401"/>
      <c r="K471" s="41"/>
    </row>
    <row r="472" spans="2:11" x14ac:dyDescent="0.2">
      <c r="B472" s="38"/>
      <c r="C472" s="40"/>
      <c r="D472" s="40"/>
      <c r="E472" s="40"/>
      <c r="F472" s="40"/>
      <c r="G472" s="40"/>
      <c r="H472" s="40"/>
      <c r="I472" s="40"/>
      <c r="J472" s="40"/>
      <c r="K472" s="41"/>
    </row>
    <row r="473" spans="2:11" x14ac:dyDescent="0.2">
      <c r="B473" s="38"/>
      <c r="C473" s="179" t="s">
        <v>307</v>
      </c>
      <c r="D473" s="40"/>
      <c r="E473" s="40"/>
      <c r="F473" s="40"/>
      <c r="G473" s="40"/>
      <c r="H473" s="40"/>
      <c r="I473" s="40"/>
      <c r="J473" s="245" t="str">
        <f>IF(OR(J462="Not Calculated",J469="Not Calculated")=TRUE,"Not Calculated",AVERAGE(J462,J469))</f>
        <v>Not Calculated</v>
      </c>
      <c r="K473" s="41"/>
    </row>
    <row r="474" spans="2:11" x14ac:dyDescent="0.2">
      <c r="B474" s="38"/>
      <c r="C474" s="40"/>
      <c r="D474" s="40"/>
      <c r="E474" s="40"/>
      <c r="F474" s="40"/>
      <c r="G474" s="40"/>
      <c r="H474" s="40"/>
      <c r="I474" s="40"/>
      <c r="J474" s="40"/>
      <c r="K474" s="41"/>
    </row>
    <row r="475" spans="2:11" x14ac:dyDescent="0.2">
      <c r="B475" s="38"/>
      <c r="C475" s="40"/>
      <c r="D475" s="40"/>
      <c r="E475" s="40"/>
      <c r="F475" s="40"/>
      <c r="G475" s="40"/>
      <c r="H475" s="40"/>
      <c r="I475" s="40"/>
      <c r="J475" s="40"/>
      <c r="K475" s="41"/>
    </row>
    <row r="476" spans="2:11" ht="16" x14ac:dyDescent="0.2">
      <c r="B476" s="38"/>
      <c r="C476" s="45" t="s">
        <v>308</v>
      </c>
      <c r="D476" s="40"/>
      <c r="E476" s="40"/>
      <c r="F476" s="40"/>
      <c r="G476" s="40"/>
      <c r="H476" s="40"/>
      <c r="I476" s="40"/>
      <c r="J476" s="40"/>
      <c r="K476" s="41"/>
    </row>
    <row r="477" spans="2:11" ht="15" customHeight="1" x14ac:dyDescent="0.2">
      <c r="B477" s="38"/>
      <c r="C477" s="380" t="s">
        <v>310</v>
      </c>
      <c r="D477" s="380"/>
      <c r="E477" s="380"/>
      <c r="F477" s="380"/>
      <c r="G477" s="380"/>
      <c r="H477" s="380"/>
      <c r="I477" s="380"/>
      <c r="J477" s="40"/>
      <c r="K477" s="41"/>
    </row>
    <row r="478" spans="2:11" x14ac:dyDescent="0.2">
      <c r="B478" s="38"/>
      <c r="C478" s="380"/>
      <c r="D478" s="380"/>
      <c r="E478" s="380"/>
      <c r="F478" s="380"/>
      <c r="G478" s="380"/>
      <c r="H478" s="380"/>
      <c r="I478" s="380"/>
      <c r="J478" s="131"/>
      <c r="K478" s="41"/>
    </row>
    <row r="479" spans="2:11" x14ac:dyDescent="0.2">
      <c r="B479" s="38"/>
      <c r="C479" s="40" t="s">
        <v>261</v>
      </c>
      <c r="D479" s="40"/>
      <c r="E479" s="40"/>
      <c r="F479" s="40"/>
      <c r="G479" s="40"/>
      <c r="H479" s="40"/>
      <c r="I479" s="40"/>
      <c r="J479" s="245">
        <f>IF(J478&lt;=0,0,IF(J478&lt;=1,1,IF(J478&lt;=7,2,IF(J478&lt;=14,3,4))))</f>
        <v>0</v>
      </c>
      <c r="K479" s="41"/>
    </row>
    <row r="480" spans="2:11" s="51" customFormat="1" ht="9.75" customHeight="1" x14ac:dyDescent="0.2">
      <c r="B480" s="283"/>
      <c r="C480" s="279" t="str">
        <f>"0:"</f>
        <v>0:</v>
      </c>
      <c r="D480" s="284" t="s">
        <v>950</v>
      </c>
      <c r="E480" s="285"/>
      <c r="F480" s="285"/>
      <c r="G480" s="285"/>
      <c r="H480" s="285"/>
      <c r="I480" s="285"/>
      <c r="J480" s="43"/>
      <c r="K480" s="286"/>
    </row>
    <row r="481" spans="2:11" s="51" customFormat="1" ht="9.75" customHeight="1" x14ac:dyDescent="0.2">
      <c r="B481" s="283"/>
      <c r="C481" s="280" t="str">
        <f>"1:"</f>
        <v>1:</v>
      </c>
      <c r="D481" s="284" t="s">
        <v>951</v>
      </c>
      <c r="E481" s="285"/>
      <c r="F481" s="285"/>
      <c r="G481" s="285"/>
      <c r="H481" s="285"/>
      <c r="I481" s="285"/>
      <c r="J481" s="43"/>
      <c r="K481" s="286"/>
    </row>
    <row r="482" spans="2:11" s="51" customFormat="1" ht="9.75" customHeight="1" x14ac:dyDescent="0.2">
      <c r="B482" s="283"/>
      <c r="C482" s="280" t="str">
        <f>"2:"</f>
        <v>2:</v>
      </c>
      <c r="D482" s="284" t="s">
        <v>952</v>
      </c>
      <c r="E482" s="285"/>
      <c r="F482" s="285"/>
      <c r="G482" s="285"/>
      <c r="H482" s="285"/>
      <c r="I482" s="285"/>
      <c r="J482" s="43"/>
      <c r="K482" s="286"/>
    </row>
    <row r="483" spans="2:11" s="51" customFormat="1" ht="9.75" customHeight="1" x14ac:dyDescent="0.2">
      <c r="B483" s="283"/>
      <c r="C483" s="280" t="str">
        <f>"3:"</f>
        <v>3:</v>
      </c>
      <c r="D483" s="284" t="s">
        <v>953</v>
      </c>
      <c r="E483" s="285"/>
      <c r="F483" s="285"/>
      <c r="G483" s="285"/>
      <c r="H483" s="285"/>
      <c r="I483" s="285"/>
      <c r="J483" s="43"/>
      <c r="K483" s="286"/>
    </row>
    <row r="484" spans="2:11" s="51" customFormat="1" ht="9.75" customHeight="1" x14ac:dyDescent="0.2">
      <c r="B484" s="283"/>
      <c r="C484" s="280" t="str">
        <f>"4:"</f>
        <v>4:</v>
      </c>
      <c r="D484" s="284" t="s">
        <v>954</v>
      </c>
      <c r="E484" s="285"/>
      <c r="F484" s="285"/>
      <c r="G484" s="285"/>
      <c r="H484" s="285"/>
      <c r="I484" s="285"/>
      <c r="J484" s="43"/>
      <c r="K484" s="286"/>
    </row>
    <row r="485" spans="2:11" x14ac:dyDescent="0.2">
      <c r="B485" s="38"/>
      <c r="C485" s="40" t="s">
        <v>893</v>
      </c>
      <c r="D485" s="40"/>
      <c r="E485" s="40"/>
      <c r="F485" s="40"/>
      <c r="G485" s="40"/>
      <c r="H485" s="40"/>
      <c r="I485" s="40"/>
      <c r="J485" s="40"/>
      <c r="K485" s="41"/>
    </row>
    <row r="486" spans="2:11" x14ac:dyDescent="0.2">
      <c r="B486" s="38"/>
      <c r="C486" s="399"/>
      <c r="D486" s="400"/>
      <c r="E486" s="400"/>
      <c r="F486" s="400"/>
      <c r="G486" s="400"/>
      <c r="H486" s="400"/>
      <c r="I486" s="400"/>
      <c r="J486" s="401"/>
      <c r="K486" s="41"/>
    </row>
    <row r="487" spans="2:11" x14ac:dyDescent="0.2">
      <c r="B487" s="38"/>
      <c r="C487" s="40"/>
      <c r="D487" s="40"/>
      <c r="E487" s="40"/>
      <c r="F487" s="40"/>
      <c r="G487" s="40"/>
      <c r="H487" s="40"/>
      <c r="I487" s="40"/>
      <c r="J487" s="40"/>
      <c r="K487" s="41"/>
    </row>
    <row r="488" spans="2:11" x14ac:dyDescent="0.2">
      <c r="B488" s="38"/>
      <c r="C488" s="179" t="s">
        <v>309</v>
      </c>
      <c r="D488" s="40"/>
      <c r="E488" s="40"/>
      <c r="F488" s="40"/>
      <c r="G488" s="40"/>
      <c r="H488" s="40"/>
      <c r="I488" s="40"/>
      <c r="J488" s="245">
        <f>J479</f>
        <v>0</v>
      </c>
      <c r="K488" s="41"/>
    </row>
    <row r="489" spans="2:11" x14ac:dyDescent="0.2">
      <c r="B489" s="38"/>
      <c r="C489" s="40"/>
      <c r="D489" s="40"/>
      <c r="E489" s="40"/>
      <c r="F489" s="40"/>
      <c r="G489" s="40"/>
      <c r="H489" s="40"/>
      <c r="I489" s="40"/>
      <c r="J489" s="40"/>
      <c r="K489" s="41"/>
    </row>
    <row r="490" spans="2:11" x14ac:dyDescent="0.2">
      <c r="B490" s="38"/>
      <c r="C490" s="40"/>
      <c r="D490" s="40"/>
      <c r="E490" s="40"/>
      <c r="F490" s="40"/>
      <c r="G490" s="40"/>
      <c r="H490" s="40"/>
      <c r="I490" s="40"/>
      <c r="J490" s="40"/>
      <c r="K490" s="41"/>
    </row>
    <row r="491" spans="2:11" ht="16" x14ac:dyDescent="0.2">
      <c r="B491" s="38"/>
      <c r="C491" s="45" t="s">
        <v>311</v>
      </c>
      <c r="D491" s="40"/>
      <c r="E491" s="40"/>
      <c r="F491" s="40"/>
      <c r="G491" s="40"/>
      <c r="H491" s="40"/>
      <c r="I491" s="40"/>
      <c r="J491" s="40"/>
      <c r="K491" s="41"/>
    </row>
    <row r="492" spans="2:11" x14ac:dyDescent="0.2">
      <c r="B492" s="38"/>
      <c r="C492" s="40" t="s">
        <v>312</v>
      </c>
      <c r="D492" s="40"/>
      <c r="E492" s="40"/>
      <c r="F492" s="40"/>
      <c r="G492" s="40"/>
      <c r="H492" s="40"/>
      <c r="I492" s="40"/>
      <c r="J492" s="270"/>
      <c r="K492" s="41"/>
    </row>
    <row r="493" spans="2:11" x14ac:dyDescent="0.2">
      <c r="B493" s="38"/>
      <c r="C493" s="40" t="s">
        <v>260</v>
      </c>
      <c r="D493" s="40"/>
      <c r="E493" s="40"/>
      <c r="F493" s="40"/>
      <c r="G493" s="40"/>
      <c r="H493" s="40"/>
      <c r="I493" s="40"/>
      <c r="J493" s="248">
        <f>IF(J492&lt;=0,0,IF(J492&lt;=1,1,IF(J492&lt;=5,2,IF(J492&lt;=10,3,4))))</f>
        <v>0</v>
      </c>
      <c r="K493" s="41"/>
    </row>
    <row r="494" spans="2:11" ht="9.75" customHeight="1" x14ac:dyDescent="0.2">
      <c r="B494" s="38"/>
      <c r="C494" s="279" t="str">
        <f>"0:"</f>
        <v>0:</v>
      </c>
      <c r="D494" s="290" t="s">
        <v>955</v>
      </c>
      <c r="E494" s="40"/>
      <c r="F494" s="40"/>
      <c r="G494" s="40"/>
      <c r="H494" s="40"/>
      <c r="I494" s="40"/>
      <c r="J494" s="245"/>
      <c r="K494" s="41"/>
    </row>
    <row r="495" spans="2:11" ht="9.75" customHeight="1" x14ac:dyDescent="0.2">
      <c r="B495" s="38"/>
      <c r="C495" s="280" t="str">
        <f>"1:"</f>
        <v>1:</v>
      </c>
      <c r="D495" s="290" t="s">
        <v>956</v>
      </c>
      <c r="E495" s="40"/>
      <c r="F495" s="40"/>
      <c r="G495" s="40"/>
      <c r="H495" s="40"/>
      <c r="I495" s="40"/>
      <c r="J495" s="245"/>
      <c r="K495" s="41"/>
    </row>
    <row r="496" spans="2:11" ht="9.75" customHeight="1" x14ac:dyDescent="0.2">
      <c r="B496" s="38"/>
      <c r="C496" s="280" t="str">
        <f>"2:"</f>
        <v>2:</v>
      </c>
      <c r="D496" s="290" t="s">
        <v>957</v>
      </c>
      <c r="E496" s="40"/>
      <c r="F496" s="40"/>
      <c r="G496" s="40"/>
      <c r="H496" s="40"/>
      <c r="I496" s="40"/>
      <c r="J496" s="245"/>
      <c r="K496" s="41"/>
    </row>
    <row r="497" spans="2:11" ht="9.75" customHeight="1" x14ac:dyDescent="0.2">
      <c r="B497" s="38"/>
      <c r="C497" s="280" t="str">
        <f>"3:"</f>
        <v>3:</v>
      </c>
      <c r="D497" s="290" t="s">
        <v>958</v>
      </c>
      <c r="E497" s="40"/>
      <c r="F497" s="40"/>
      <c r="G497" s="40"/>
      <c r="H497" s="40"/>
      <c r="I497" s="40"/>
      <c r="J497" s="245"/>
      <c r="K497" s="41"/>
    </row>
    <row r="498" spans="2:11" ht="9.75" customHeight="1" x14ac:dyDescent="0.2">
      <c r="B498" s="38"/>
      <c r="C498" s="280" t="str">
        <f>"4:"</f>
        <v>4:</v>
      </c>
      <c r="D498" s="290" t="s">
        <v>959</v>
      </c>
      <c r="E498" s="40"/>
      <c r="F498" s="40"/>
      <c r="G498" s="40"/>
      <c r="H498" s="40"/>
      <c r="I498" s="40"/>
      <c r="J498" s="247"/>
      <c r="K498" s="41"/>
    </row>
    <row r="499" spans="2:11" x14ac:dyDescent="0.2">
      <c r="B499" s="38"/>
      <c r="C499" s="40" t="s">
        <v>313</v>
      </c>
      <c r="D499" s="40"/>
      <c r="E499" s="40"/>
      <c r="F499" s="40"/>
      <c r="G499" s="40"/>
      <c r="H499" s="40"/>
      <c r="I499" s="40"/>
      <c r="J499" s="266"/>
      <c r="K499" s="41"/>
    </row>
    <row r="500" spans="2:11" x14ac:dyDescent="0.2">
      <c r="B500" s="38"/>
      <c r="C500" s="40" t="s">
        <v>261</v>
      </c>
      <c r="D500" s="40"/>
      <c r="E500" s="40"/>
      <c r="F500" s="40"/>
      <c r="G500" s="40"/>
      <c r="H500" s="40"/>
      <c r="I500" s="40"/>
      <c r="J500" s="245" t="str">
        <f>IF(J499=$B$973,$A$973,IF(J499=$B$974,$A$974,IF(J499=$B$975,$A$975,IF(J499=$B$976,$A$976,IF(J499=$B$977,$A$977,"Not Calculated")))))</f>
        <v>Not Calculated</v>
      </c>
      <c r="K500" s="41"/>
    </row>
    <row r="501" spans="2:11" x14ac:dyDescent="0.2">
      <c r="B501" s="38"/>
      <c r="C501" s="40" t="s">
        <v>893</v>
      </c>
      <c r="D501" s="40"/>
      <c r="E501" s="40"/>
      <c r="F501" s="40"/>
      <c r="G501" s="40"/>
      <c r="H501" s="40"/>
      <c r="I501" s="40"/>
      <c r="J501" s="40"/>
      <c r="K501" s="41"/>
    </row>
    <row r="502" spans="2:11" x14ac:dyDescent="0.2">
      <c r="B502" s="38"/>
      <c r="C502" s="399"/>
      <c r="D502" s="400"/>
      <c r="E502" s="400"/>
      <c r="F502" s="400"/>
      <c r="G502" s="400"/>
      <c r="H502" s="400"/>
      <c r="I502" s="400"/>
      <c r="J502" s="401"/>
      <c r="K502" s="41"/>
    </row>
    <row r="503" spans="2:11" x14ac:dyDescent="0.2">
      <c r="B503" s="38"/>
      <c r="C503" s="40"/>
      <c r="D503" s="40"/>
      <c r="E503" s="40"/>
      <c r="F503" s="40"/>
      <c r="G503" s="40"/>
      <c r="H503" s="40"/>
      <c r="I503" s="40"/>
      <c r="J503" s="40"/>
      <c r="K503" s="41"/>
    </row>
    <row r="504" spans="2:11" x14ac:dyDescent="0.2">
      <c r="B504" s="38"/>
      <c r="C504" s="179" t="s">
        <v>321</v>
      </c>
      <c r="D504" s="40"/>
      <c r="E504" s="40"/>
      <c r="F504" s="40"/>
      <c r="G504" s="40"/>
      <c r="H504" s="40"/>
      <c r="I504" s="40"/>
      <c r="J504" s="245" t="str">
        <f>IF(OR(J493="Not Calculated",J500="Not Calculated")=TRUE,"Not Calculated",AVERAGE(J493,J500))</f>
        <v>Not Calculated</v>
      </c>
      <c r="K504" s="41"/>
    </row>
    <row r="505" spans="2:11" x14ac:dyDescent="0.2">
      <c r="B505" s="38"/>
      <c r="C505" s="40"/>
      <c r="D505" s="40"/>
      <c r="E505" s="40"/>
      <c r="F505" s="40"/>
      <c r="G505" s="40"/>
      <c r="H505" s="40"/>
      <c r="I505" s="40"/>
      <c r="J505" s="40"/>
      <c r="K505" s="41"/>
    </row>
    <row r="506" spans="2:11" x14ac:dyDescent="0.2">
      <c r="B506" s="38"/>
      <c r="C506" s="40"/>
      <c r="D506" s="40"/>
      <c r="E506" s="40"/>
      <c r="F506" s="40"/>
      <c r="G506" s="40"/>
      <c r="H506" s="40"/>
      <c r="I506" s="40"/>
      <c r="J506" s="40"/>
      <c r="K506" s="41"/>
    </row>
    <row r="507" spans="2:11" ht="16" x14ac:dyDescent="0.2">
      <c r="B507" s="38"/>
      <c r="C507" s="45" t="s">
        <v>314</v>
      </c>
      <c r="D507" s="40"/>
      <c r="E507" s="40"/>
      <c r="F507" s="40"/>
      <c r="G507" s="40"/>
      <c r="H507" s="40"/>
      <c r="I507" s="40"/>
      <c r="J507" s="40"/>
      <c r="K507" s="41"/>
    </row>
    <row r="508" spans="2:11" x14ac:dyDescent="0.2">
      <c r="B508" s="38"/>
      <c r="C508" s="40" t="s">
        <v>316</v>
      </c>
      <c r="D508" s="40"/>
      <c r="E508" s="40"/>
      <c r="F508" s="40"/>
      <c r="G508" s="40"/>
      <c r="H508" s="40"/>
      <c r="I508" s="40"/>
      <c r="J508" s="269"/>
      <c r="K508" s="41"/>
    </row>
    <row r="509" spans="2:11" x14ac:dyDescent="0.2">
      <c r="B509" s="38"/>
      <c r="C509" s="40" t="s">
        <v>260</v>
      </c>
      <c r="D509" s="40"/>
      <c r="E509" s="40"/>
      <c r="F509" s="40"/>
      <c r="G509" s="40"/>
      <c r="H509" s="40"/>
      <c r="I509" s="40"/>
      <c r="J509" s="248">
        <f>IF(J508&lt;=0,0,IF(J508&lt;=1000,1,IF(J508&lt;=5000,2,IF(J508&lt;=25000,3,4))))</f>
        <v>0</v>
      </c>
      <c r="K509" s="41"/>
    </row>
    <row r="510" spans="2:11" s="51" customFormat="1" ht="9.75" customHeight="1" x14ac:dyDescent="0.2">
      <c r="B510" s="283"/>
      <c r="C510" s="279" t="str">
        <f>"0:"</f>
        <v>0:</v>
      </c>
      <c r="D510" s="284" t="s">
        <v>960</v>
      </c>
      <c r="E510" s="285"/>
      <c r="F510" s="285"/>
      <c r="G510" s="285"/>
      <c r="H510" s="285"/>
      <c r="I510" s="285"/>
      <c r="J510" s="43"/>
      <c r="K510" s="286"/>
    </row>
    <row r="511" spans="2:11" s="51" customFormat="1" ht="9.75" customHeight="1" x14ac:dyDescent="0.2">
      <c r="B511" s="283"/>
      <c r="C511" s="280" t="str">
        <f>"1:"</f>
        <v>1:</v>
      </c>
      <c r="D511" s="284" t="s">
        <v>961</v>
      </c>
      <c r="E511" s="285"/>
      <c r="F511" s="285"/>
      <c r="G511" s="285"/>
      <c r="H511" s="285"/>
      <c r="I511" s="285"/>
      <c r="J511" s="43"/>
      <c r="K511" s="286"/>
    </row>
    <row r="512" spans="2:11" s="51" customFormat="1" ht="9.75" customHeight="1" x14ac:dyDescent="0.2">
      <c r="B512" s="283"/>
      <c r="C512" s="280" t="str">
        <f>"2:"</f>
        <v>2:</v>
      </c>
      <c r="D512" s="284" t="s">
        <v>962</v>
      </c>
      <c r="E512" s="285"/>
      <c r="F512" s="285"/>
      <c r="G512" s="285"/>
      <c r="H512" s="285"/>
      <c r="I512" s="285"/>
      <c r="J512" s="43"/>
      <c r="K512" s="286"/>
    </row>
    <row r="513" spans="2:11" s="51" customFormat="1" ht="9.75" customHeight="1" x14ac:dyDescent="0.2">
      <c r="B513" s="283"/>
      <c r="C513" s="280" t="str">
        <f>"3:"</f>
        <v>3:</v>
      </c>
      <c r="D513" s="284" t="s">
        <v>963</v>
      </c>
      <c r="E513" s="285"/>
      <c r="F513" s="285"/>
      <c r="G513" s="285"/>
      <c r="H513" s="285"/>
      <c r="I513" s="285"/>
      <c r="J513" s="43"/>
      <c r="K513" s="286"/>
    </row>
    <row r="514" spans="2:11" s="51" customFormat="1" ht="9.75" customHeight="1" x14ac:dyDescent="0.2">
      <c r="B514" s="283"/>
      <c r="C514" s="280" t="str">
        <f>"4:"</f>
        <v>4:</v>
      </c>
      <c r="D514" s="284" t="s">
        <v>964</v>
      </c>
      <c r="E514" s="285"/>
      <c r="F514" s="285"/>
      <c r="G514" s="285"/>
      <c r="H514" s="285"/>
      <c r="I514" s="285"/>
      <c r="J514" s="287"/>
      <c r="K514" s="286"/>
    </row>
    <row r="515" spans="2:11" x14ac:dyDescent="0.2">
      <c r="B515" s="38"/>
      <c r="C515" s="40" t="s">
        <v>315</v>
      </c>
      <c r="D515" s="40"/>
      <c r="E515" s="40"/>
      <c r="F515" s="40"/>
      <c r="G515" s="40"/>
      <c r="H515" s="40"/>
      <c r="I515" s="40"/>
      <c r="J515" s="266"/>
      <c r="K515" s="41"/>
    </row>
    <row r="516" spans="2:11" x14ac:dyDescent="0.2">
      <c r="B516" s="38"/>
      <c r="C516" s="40" t="s">
        <v>261</v>
      </c>
      <c r="D516" s="40"/>
      <c r="E516" s="40"/>
      <c r="F516" s="40"/>
      <c r="G516" s="40"/>
      <c r="H516" s="40"/>
      <c r="I516" s="40"/>
      <c r="J516" s="245" t="str">
        <f>IF(J515=$B$973,$A$973,IF(J515=$B$974,$A$974,IF(J515=$B$975,$A$975,IF(J515=$B$976,$A$976,IF(J515=$B$977,$A$977,"Not Calculated")))))</f>
        <v>Not Calculated</v>
      </c>
      <c r="K516" s="41"/>
    </row>
    <row r="517" spans="2:11" x14ac:dyDescent="0.2">
      <c r="B517" s="38"/>
      <c r="C517" s="40" t="s">
        <v>893</v>
      </c>
      <c r="D517" s="40"/>
      <c r="E517" s="40"/>
      <c r="F517" s="40"/>
      <c r="G517" s="40"/>
      <c r="H517" s="40"/>
      <c r="I517" s="40"/>
      <c r="J517" s="40"/>
      <c r="K517" s="41"/>
    </row>
    <row r="518" spans="2:11" ht="15" customHeight="1" x14ac:dyDescent="0.2">
      <c r="B518" s="38"/>
      <c r="C518" s="399"/>
      <c r="D518" s="400"/>
      <c r="E518" s="400"/>
      <c r="F518" s="400"/>
      <c r="G518" s="400"/>
      <c r="H518" s="400"/>
      <c r="I518" s="400"/>
      <c r="J518" s="401"/>
      <c r="K518" s="41"/>
    </row>
    <row r="519" spans="2:11" x14ac:dyDescent="0.2">
      <c r="B519" s="38"/>
      <c r="C519" s="40"/>
      <c r="D519" s="40"/>
      <c r="E519" s="40"/>
      <c r="F519" s="40"/>
      <c r="G519" s="40"/>
      <c r="H519" s="40"/>
      <c r="I519" s="40"/>
      <c r="J519" s="40"/>
      <c r="K519" s="41"/>
    </row>
    <row r="520" spans="2:11" x14ac:dyDescent="0.2">
      <c r="B520" s="38"/>
      <c r="C520" s="179" t="s">
        <v>320</v>
      </c>
      <c r="D520" s="40"/>
      <c r="E520" s="40"/>
      <c r="F520" s="40"/>
      <c r="G520" s="40"/>
      <c r="H520" s="40"/>
      <c r="I520" s="40"/>
      <c r="J520" s="245" t="str">
        <f>IF(OR(J509="Not Calculated",J516="Not Calculated")=TRUE,"Not Calculated",AVERAGE(J509,J516))</f>
        <v>Not Calculated</v>
      </c>
      <c r="K520" s="41"/>
    </row>
    <row r="521" spans="2:11" x14ac:dyDescent="0.2">
      <c r="B521" s="38"/>
      <c r="C521" s="40"/>
      <c r="D521" s="40"/>
      <c r="E521" s="40"/>
      <c r="F521" s="40"/>
      <c r="G521" s="40"/>
      <c r="H521" s="40"/>
      <c r="I521" s="40"/>
      <c r="J521" s="40"/>
      <c r="K521" s="41"/>
    </row>
    <row r="522" spans="2:11" x14ac:dyDescent="0.2">
      <c r="B522" s="38"/>
      <c r="C522" s="40"/>
      <c r="D522" s="40"/>
      <c r="E522" s="40"/>
      <c r="F522" s="40"/>
      <c r="G522" s="40"/>
      <c r="H522" s="40"/>
      <c r="I522" s="40"/>
      <c r="J522" s="40"/>
      <c r="K522" s="41"/>
    </row>
    <row r="523" spans="2:11" ht="16" x14ac:dyDescent="0.2">
      <c r="B523" s="38"/>
      <c r="C523" s="45" t="s">
        <v>317</v>
      </c>
      <c r="D523" s="40"/>
      <c r="E523" s="40"/>
      <c r="F523" s="40"/>
      <c r="G523" s="40"/>
      <c r="H523" s="40"/>
      <c r="I523" s="40"/>
      <c r="J523" s="40"/>
      <c r="K523" s="41"/>
    </row>
    <row r="524" spans="2:11" ht="15" customHeight="1" x14ac:dyDescent="0.2">
      <c r="B524" s="38"/>
      <c r="C524" s="380" t="s">
        <v>318</v>
      </c>
      <c r="D524" s="380"/>
      <c r="E524" s="380"/>
      <c r="F524" s="380"/>
      <c r="G524" s="380"/>
      <c r="H524" s="380"/>
      <c r="I524" s="380"/>
      <c r="J524" s="40"/>
      <c r="K524" s="41"/>
    </row>
    <row r="525" spans="2:11" x14ac:dyDescent="0.2">
      <c r="B525" s="38"/>
      <c r="C525" s="380"/>
      <c r="D525" s="380"/>
      <c r="E525" s="380"/>
      <c r="F525" s="380"/>
      <c r="G525" s="380"/>
      <c r="H525" s="380"/>
      <c r="I525" s="380"/>
      <c r="J525" s="274"/>
      <c r="K525" s="41"/>
    </row>
    <row r="526" spans="2:11" x14ac:dyDescent="0.2">
      <c r="B526" s="38"/>
      <c r="C526" s="40" t="s">
        <v>260</v>
      </c>
      <c r="D526" s="40"/>
      <c r="E526" s="40"/>
      <c r="F526" s="40"/>
      <c r="G526" s="40"/>
      <c r="H526" s="40"/>
      <c r="I526" s="40"/>
      <c r="J526" s="248">
        <f>IF(J525&lt;=0,0,IF(J525&lt;=1,1,IF(J525&lt;=5,2,IF(J525&lt;=10,3,4))))</f>
        <v>0</v>
      </c>
      <c r="K526" s="41"/>
    </row>
    <row r="527" spans="2:11" s="51" customFormat="1" ht="9.75" customHeight="1" x14ac:dyDescent="0.2">
      <c r="B527" s="283"/>
      <c r="C527" s="279" t="str">
        <f>"0:"</f>
        <v>0:</v>
      </c>
      <c r="D527" s="284" t="s">
        <v>965</v>
      </c>
      <c r="E527" s="285"/>
      <c r="F527" s="285"/>
      <c r="G527" s="285"/>
      <c r="H527" s="285"/>
      <c r="I527" s="285"/>
      <c r="J527" s="43"/>
      <c r="K527" s="286"/>
    </row>
    <row r="528" spans="2:11" s="51" customFormat="1" ht="9.75" customHeight="1" x14ac:dyDescent="0.2">
      <c r="B528" s="283"/>
      <c r="C528" s="280" t="str">
        <f>"1:"</f>
        <v>1:</v>
      </c>
      <c r="D528" s="284" t="s">
        <v>966</v>
      </c>
      <c r="E528" s="285"/>
      <c r="F528" s="285"/>
      <c r="G528" s="285"/>
      <c r="H528" s="285"/>
      <c r="I528" s="285"/>
      <c r="J528" s="43"/>
      <c r="K528" s="286"/>
    </row>
    <row r="529" spans="2:11" s="51" customFormat="1" ht="9.75" customHeight="1" x14ac:dyDescent="0.2">
      <c r="B529" s="283"/>
      <c r="C529" s="280" t="str">
        <f>"2:"</f>
        <v>2:</v>
      </c>
      <c r="D529" s="284" t="s">
        <v>967</v>
      </c>
      <c r="E529" s="285"/>
      <c r="F529" s="285"/>
      <c r="G529" s="285"/>
      <c r="H529" s="285"/>
      <c r="I529" s="285"/>
      <c r="J529" s="43"/>
      <c r="K529" s="286"/>
    </row>
    <row r="530" spans="2:11" s="51" customFormat="1" ht="9.75" customHeight="1" x14ac:dyDescent="0.2">
      <c r="B530" s="283"/>
      <c r="C530" s="280" t="str">
        <f>"3:"</f>
        <v>3:</v>
      </c>
      <c r="D530" s="284" t="s">
        <v>968</v>
      </c>
      <c r="E530" s="285"/>
      <c r="F530" s="285"/>
      <c r="G530" s="285"/>
      <c r="H530" s="285"/>
      <c r="I530" s="285"/>
      <c r="J530" s="43"/>
      <c r="K530" s="286"/>
    </row>
    <row r="531" spans="2:11" s="51" customFormat="1" ht="9.75" customHeight="1" x14ac:dyDescent="0.2">
      <c r="B531" s="283"/>
      <c r="C531" s="280" t="str">
        <f>"4:"</f>
        <v>4:</v>
      </c>
      <c r="D531" s="284" t="s">
        <v>969</v>
      </c>
      <c r="E531" s="285"/>
      <c r="F531" s="285"/>
      <c r="G531" s="285"/>
      <c r="H531" s="285"/>
      <c r="I531" s="285"/>
      <c r="J531" s="287"/>
      <c r="K531" s="286"/>
    </row>
    <row r="532" spans="2:11" x14ac:dyDescent="0.2">
      <c r="B532" s="38"/>
      <c r="C532" s="40" t="s">
        <v>257</v>
      </c>
      <c r="D532" s="40"/>
      <c r="E532" s="40"/>
      <c r="F532" s="40"/>
      <c r="G532" s="40"/>
      <c r="H532" s="40"/>
      <c r="I532" s="40"/>
      <c r="J532" s="266"/>
      <c r="K532" s="41"/>
    </row>
    <row r="533" spans="2:11" x14ac:dyDescent="0.2">
      <c r="B533" s="38"/>
      <c r="C533" s="40" t="s">
        <v>261</v>
      </c>
      <c r="D533" s="40"/>
      <c r="E533" s="40"/>
      <c r="F533" s="40"/>
      <c r="G533" s="40"/>
      <c r="H533" s="40"/>
      <c r="I533" s="40"/>
      <c r="J533" s="245" t="str">
        <f>IF(J532=$B$973,$A$973,IF(J532=$B$974,$A$974,IF(J532=$B$975,$A$975,IF(J532=$B$976,$A$976,IF(J532=$B$977,$A$977,"Not Calculated")))))</f>
        <v>Not Calculated</v>
      </c>
      <c r="K533" s="41"/>
    </row>
    <row r="534" spans="2:11" x14ac:dyDescent="0.2">
      <c r="B534" s="38"/>
      <c r="C534" s="40" t="s">
        <v>893</v>
      </c>
      <c r="D534" s="40"/>
      <c r="E534" s="40"/>
      <c r="F534" s="40"/>
      <c r="G534" s="40"/>
      <c r="H534" s="40"/>
      <c r="I534" s="40"/>
      <c r="J534" s="40"/>
      <c r="K534" s="41"/>
    </row>
    <row r="535" spans="2:11" ht="15" customHeight="1" x14ac:dyDescent="0.2">
      <c r="B535" s="38"/>
      <c r="C535" s="399"/>
      <c r="D535" s="400"/>
      <c r="E535" s="400"/>
      <c r="F535" s="400"/>
      <c r="G535" s="400"/>
      <c r="H535" s="400"/>
      <c r="I535" s="400"/>
      <c r="J535" s="401"/>
      <c r="K535" s="41"/>
    </row>
    <row r="536" spans="2:11" x14ac:dyDescent="0.2">
      <c r="B536" s="38"/>
      <c r="C536" s="40"/>
      <c r="D536" s="40"/>
      <c r="E536" s="40"/>
      <c r="F536" s="40"/>
      <c r="G536" s="40"/>
      <c r="H536" s="40"/>
      <c r="I536" s="40"/>
      <c r="J536" s="40"/>
      <c r="K536" s="41"/>
    </row>
    <row r="537" spans="2:11" x14ac:dyDescent="0.2">
      <c r="B537" s="38"/>
      <c r="C537" s="179" t="s">
        <v>319</v>
      </c>
      <c r="D537" s="40"/>
      <c r="E537" s="40"/>
      <c r="F537" s="40"/>
      <c r="G537" s="40"/>
      <c r="H537" s="40"/>
      <c r="I537" s="40"/>
      <c r="J537" s="245" t="str">
        <f>IF(OR(J526="Not Calculated",J533="Not Calculated")=TRUE,"Not Calculated",AVERAGE(J526,J533))</f>
        <v>Not Calculated</v>
      </c>
      <c r="K537" s="41"/>
    </row>
    <row r="538" spans="2:11" x14ac:dyDescent="0.2">
      <c r="B538" s="38"/>
      <c r="C538" s="40"/>
      <c r="D538" s="40"/>
      <c r="E538" s="40"/>
      <c r="F538" s="40"/>
      <c r="G538" s="40"/>
      <c r="H538" s="40"/>
      <c r="I538" s="40"/>
      <c r="J538" s="40"/>
      <c r="K538" s="41"/>
    </row>
    <row r="539" spans="2:11" ht="18" x14ac:dyDescent="0.2">
      <c r="B539" s="38"/>
      <c r="C539" s="180" t="s">
        <v>302</v>
      </c>
      <c r="D539" s="40"/>
      <c r="E539" s="40"/>
      <c r="F539" s="40"/>
      <c r="G539" s="40"/>
      <c r="H539" s="40"/>
      <c r="I539" s="40"/>
      <c r="J539" s="244" t="str">
        <f>IF(OR(J440="Not Calculated",J457="Not Calculated",J473="Not Calculated",J488="Not Calculated",J504="Not Calculated",J520="Not Calculated",J537="Not Calculated")=TRUE,"Not Calculated",AVERAGE(J440,J457,J473,J488,J504,J520,J537))</f>
        <v>Not Calculated</v>
      </c>
      <c r="K539" s="41"/>
    </row>
    <row r="540" spans="2:11" ht="16" thickBot="1" x14ac:dyDescent="0.25">
      <c r="B540" s="46"/>
      <c r="C540" s="47"/>
      <c r="D540" s="47"/>
      <c r="E540" s="47"/>
      <c r="F540" s="47"/>
      <c r="G540" s="47"/>
      <c r="H540" s="47"/>
      <c r="I540" s="47"/>
      <c r="J540" s="47"/>
      <c r="K540" s="49"/>
    </row>
    <row r="541" spans="2:11" ht="16" thickBot="1" x14ac:dyDescent="0.25"/>
    <row r="542" spans="2:11" x14ac:dyDescent="0.2">
      <c r="B542" s="33"/>
      <c r="C542" s="34"/>
      <c r="D542" s="34"/>
      <c r="E542" s="34"/>
      <c r="F542" s="34"/>
      <c r="G542" s="34"/>
      <c r="H542" s="34"/>
      <c r="I542" s="34"/>
      <c r="J542" s="34"/>
      <c r="K542" s="37"/>
    </row>
    <row r="543" spans="2:11" ht="21" x14ac:dyDescent="0.25">
      <c r="B543" s="38"/>
      <c r="C543" s="40"/>
      <c r="D543" s="40"/>
      <c r="E543" s="40"/>
      <c r="F543" s="40"/>
      <c r="G543" s="172" t="s">
        <v>29</v>
      </c>
      <c r="H543" s="40"/>
      <c r="I543" s="40"/>
      <c r="J543" s="40"/>
      <c r="K543" s="41"/>
    </row>
    <row r="544" spans="2:11" ht="15" customHeight="1" x14ac:dyDescent="0.2">
      <c r="B544" s="38"/>
      <c r="C544" s="40"/>
      <c r="D544" s="40"/>
      <c r="E544" s="40"/>
      <c r="F544" s="40"/>
      <c r="G544" s="40"/>
      <c r="H544" s="40"/>
      <c r="I544" s="40"/>
      <c r="J544" s="40"/>
      <c r="K544" s="41"/>
    </row>
    <row r="545" spans="2:14" ht="16" x14ac:dyDescent="0.2">
      <c r="B545" s="38"/>
      <c r="C545" s="45" t="s">
        <v>88</v>
      </c>
      <c r="D545" s="40"/>
      <c r="E545" s="40"/>
      <c r="F545" s="40"/>
      <c r="G545" s="40"/>
      <c r="H545" s="40"/>
      <c r="I545" s="40"/>
      <c r="J545" s="40"/>
      <c r="K545" s="41"/>
    </row>
    <row r="546" spans="2:14" x14ac:dyDescent="0.2">
      <c r="B546" s="38"/>
      <c r="C546" s="40" t="s">
        <v>448</v>
      </c>
      <c r="D546" s="40"/>
      <c r="E546" s="40"/>
      <c r="F546" s="40"/>
      <c r="G546" s="40"/>
      <c r="H546" s="40"/>
      <c r="I546" s="40"/>
      <c r="J546" s="251">
        <f>'Baseline Health'!G123</f>
        <v>0</v>
      </c>
      <c r="K546" s="41"/>
    </row>
    <row r="547" spans="2:14" x14ac:dyDescent="0.2">
      <c r="B547" s="38"/>
      <c r="C547" s="40" t="s">
        <v>322</v>
      </c>
      <c r="D547" s="40"/>
      <c r="E547" s="40"/>
      <c r="F547" s="40"/>
      <c r="G547" s="40"/>
      <c r="H547" s="40"/>
      <c r="I547" s="40"/>
      <c r="J547" s="264"/>
      <c r="K547" s="41"/>
    </row>
    <row r="548" spans="2:14" x14ac:dyDescent="0.2">
      <c r="B548" s="38"/>
      <c r="C548" s="40" t="s">
        <v>428</v>
      </c>
      <c r="D548" s="40"/>
      <c r="E548" s="40"/>
      <c r="F548" s="40"/>
      <c r="G548" s="40"/>
      <c r="H548" s="40"/>
      <c r="I548" s="40"/>
      <c r="J548" s="264"/>
      <c r="K548" s="41"/>
    </row>
    <row r="549" spans="2:14" x14ac:dyDescent="0.2">
      <c r="B549" s="38"/>
      <c r="C549" s="40" t="s">
        <v>260</v>
      </c>
      <c r="D549" s="40"/>
      <c r="E549" s="40"/>
      <c r="F549" s="40"/>
      <c r="G549" s="40"/>
      <c r="H549" s="40"/>
      <c r="I549" s="40"/>
      <c r="J549" s="245" t="str">
        <f>IF(OR(J546=0,J546="Not Calculated")=TRUE,"Not Calculated",IF(J546-J547=0,4,(IF(((J546+J548)/(J546-J547))&lt;=1,0,IF(((J546+J548)/(J546-J547))&lt;=1.05,1,IF(((J546+J548)/(J546-J547))&lt;=1.5, 2,IF(((J546+J548)/(J546-J547))&lt;=2,3,4)))))))</f>
        <v>Not Calculated</v>
      </c>
      <c r="K549" s="41"/>
    </row>
    <row r="550" spans="2:14" ht="9.75" customHeight="1" x14ac:dyDescent="0.2">
      <c r="B550" s="38"/>
      <c r="C550" s="279" t="str">
        <f>"0:"</f>
        <v>0:</v>
      </c>
      <c r="D550" s="278" t="s">
        <v>918</v>
      </c>
      <c r="E550" s="40"/>
      <c r="F550" s="40"/>
      <c r="G550" s="40"/>
      <c r="H550" s="40"/>
      <c r="I550" s="40"/>
      <c r="J550" s="251"/>
      <c r="K550" s="41"/>
    </row>
    <row r="551" spans="2:14" ht="9.75" customHeight="1" x14ac:dyDescent="0.2">
      <c r="B551" s="38"/>
      <c r="C551" s="280" t="str">
        <f>"1:"</f>
        <v>1:</v>
      </c>
      <c r="D551" s="278" t="s">
        <v>923</v>
      </c>
      <c r="E551" s="40"/>
      <c r="F551" s="40"/>
      <c r="G551" s="40"/>
      <c r="H551" s="40"/>
      <c r="I551" s="40"/>
      <c r="J551" s="251"/>
      <c r="K551" s="41"/>
    </row>
    <row r="552" spans="2:14" ht="9.75" customHeight="1" x14ac:dyDescent="0.2">
      <c r="B552" s="38"/>
      <c r="C552" s="280" t="str">
        <f>"2:"</f>
        <v>2:</v>
      </c>
      <c r="D552" s="278" t="s">
        <v>924</v>
      </c>
      <c r="E552" s="40"/>
      <c r="F552" s="40"/>
      <c r="G552" s="40"/>
      <c r="H552" s="40"/>
      <c r="I552" s="40"/>
      <c r="J552" s="251"/>
      <c r="K552" s="41"/>
    </row>
    <row r="553" spans="2:14" ht="9.75" customHeight="1" x14ac:dyDescent="0.2">
      <c r="B553" s="38"/>
      <c r="C553" s="280" t="str">
        <f>"3:"</f>
        <v>3:</v>
      </c>
      <c r="D553" s="278" t="s">
        <v>925</v>
      </c>
      <c r="E553" s="40"/>
      <c r="F553" s="40"/>
      <c r="G553" s="40"/>
      <c r="H553" s="40"/>
      <c r="I553" s="40"/>
      <c r="J553" s="251"/>
      <c r="K553" s="41"/>
    </row>
    <row r="554" spans="2:14" ht="9.75" customHeight="1" x14ac:dyDescent="0.2">
      <c r="B554" s="38"/>
      <c r="C554" s="280" t="str">
        <f>"4:"</f>
        <v>4:</v>
      </c>
      <c r="D554" s="278" t="s">
        <v>926</v>
      </c>
      <c r="E554" s="40"/>
      <c r="F554" s="40"/>
      <c r="G554" s="40"/>
      <c r="H554" s="40"/>
      <c r="I554" s="40"/>
      <c r="J554" s="40"/>
      <c r="K554" s="41"/>
      <c r="N554" s="12" t="s">
        <v>661</v>
      </c>
    </row>
    <row r="555" spans="2:14" x14ac:dyDescent="0.2">
      <c r="B555" s="38"/>
      <c r="C555" s="174" t="s">
        <v>662</v>
      </c>
      <c r="D555" s="40"/>
      <c r="E555" s="40"/>
      <c r="F555" s="40"/>
      <c r="G555" s="40"/>
      <c r="H555" s="40"/>
      <c r="I555" s="40"/>
      <c r="J555" s="265" t="s">
        <v>661</v>
      </c>
      <c r="K555" s="41"/>
      <c r="N555" s="12" t="s">
        <v>894</v>
      </c>
    </row>
    <row r="556" spans="2:14" x14ac:dyDescent="0.2">
      <c r="B556" s="38"/>
      <c r="C556" s="174" t="s">
        <v>660</v>
      </c>
      <c r="D556" s="40"/>
      <c r="E556" s="40"/>
      <c r="F556" s="40"/>
      <c r="G556" s="40"/>
      <c r="H556" s="40"/>
      <c r="I556" s="40"/>
      <c r="J556" s="247" t="str">
        <f>IF(J555=N554,"N/A",IF(J555=N555,0,IF(J555=N556,1,IF(J555=N557,2,IF(J555=N558,3,IF(J555=N559,4,"N/A"))))))</f>
        <v>N/A</v>
      </c>
      <c r="K556" s="41"/>
      <c r="N556" s="12" t="s">
        <v>899</v>
      </c>
    </row>
    <row r="557" spans="2:14" x14ac:dyDescent="0.2">
      <c r="B557" s="38"/>
      <c r="C557" s="40" t="s">
        <v>257</v>
      </c>
      <c r="D557" s="40"/>
      <c r="E557" s="40"/>
      <c r="F557" s="40"/>
      <c r="G557" s="40"/>
      <c r="H557" s="40"/>
      <c r="I557" s="40"/>
      <c r="J557" s="266"/>
      <c r="K557" s="41"/>
      <c r="N557" s="12" t="s">
        <v>900</v>
      </c>
    </row>
    <row r="558" spans="2:14" x14ac:dyDescent="0.2">
      <c r="B558" s="38"/>
      <c r="C558" s="40" t="s">
        <v>261</v>
      </c>
      <c r="D558" s="40"/>
      <c r="E558" s="40"/>
      <c r="F558" s="40"/>
      <c r="G558" s="40"/>
      <c r="H558" s="40"/>
      <c r="I558" s="40"/>
      <c r="J558" s="245" t="str">
        <f>IF(J557=$B$973,$A$973,IF(J557=$B$974,$A$974,IF(J557=$B$975,$A$975,IF(J557=$B$976,$A$976,IF(J557=$B$977,$A$977,"Not Calculated")))))</f>
        <v>Not Calculated</v>
      </c>
      <c r="K558" s="41"/>
      <c r="N558" s="12" t="s">
        <v>901</v>
      </c>
    </row>
    <row r="559" spans="2:14" x14ac:dyDescent="0.2">
      <c r="B559" s="38"/>
      <c r="C559" s="40" t="s">
        <v>893</v>
      </c>
      <c r="D559" s="40"/>
      <c r="E559" s="40"/>
      <c r="F559" s="40"/>
      <c r="G559" s="40"/>
      <c r="H559" s="40"/>
      <c r="I559" s="40"/>
      <c r="J559" s="40"/>
      <c r="K559" s="41"/>
      <c r="N559" s="12" t="s">
        <v>902</v>
      </c>
    </row>
    <row r="560" spans="2:14" ht="15" customHeight="1" x14ac:dyDescent="0.2">
      <c r="B560" s="38"/>
      <c r="C560" s="399"/>
      <c r="D560" s="400"/>
      <c r="E560" s="400"/>
      <c r="F560" s="400"/>
      <c r="G560" s="400"/>
      <c r="H560" s="400"/>
      <c r="I560" s="400"/>
      <c r="J560" s="401"/>
      <c r="K560" s="41"/>
    </row>
    <row r="561" spans="2:11" x14ac:dyDescent="0.2">
      <c r="B561" s="38"/>
      <c r="C561" s="40"/>
      <c r="D561" s="40"/>
      <c r="E561" s="40"/>
      <c r="F561" s="40"/>
      <c r="G561" s="40"/>
      <c r="H561" s="40"/>
      <c r="I561" s="40"/>
      <c r="J561" s="40"/>
      <c r="K561" s="41"/>
    </row>
    <row r="562" spans="2:11" x14ac:dyDescent="0.2">
      <c r="B562" s="38"/>
      <c r="C562" s="179" t="s">
        <v>323</v>
      </c>
      <c r="D562" s="40"/>
      <c r="E562" s="40"/>
      <c r="F562" s="40"/>
      <c r="G562" s="40"/>
      <c r="H562" s="40"/>
      <c r="I562" s="40"/>
      <c r="J562" s="245" t="str">
        <f>IF(J556="N/A",IF(OR(J549="Not Calculated",J558="Not Calculated")=TRUE,"Not Calculated",AVERAGE(J549,J558)),AVERAGE(J556,J558))</f>
        <v>Not Calculated</v>
      </c>
      <c r="K562" s="41"/>
    </row>
    <row r="563" spans="2:11" x14ac:dyDescent="0.2">
      <c r="B563" s="38"/>
      <c r="C563" s="40"/>
      <c r="D563" s="40"/>
      <c r="E563" s="40"/>
      <c r="F563" s="40"/>
      <c r="G563" s="40"/>
      <c r="H563" s="40"/>
      <c r="I563" s="40"/>
      <c r="J563" s="40"/>
      <c r="K563" s="41"/>
    </row>
    <row r="564" spans="2:11" x14ac:dyDescent="0.2">
      <c r="B564" s="38"/>
      <c r="C564" s="40"/>
      <c r="D564" s="40"/>
      <c r="E564" s="40"/>
      <c r="F564" s="40"/>
      <c r="G564" s="40"/>
      <c r="H564" s="40"/>
      <c r="I564" s="40"/>
      <c r="J564" s="40"/>
      <c r="K564" s="41"/>
    </row>
    <row r="565" spans="2:11" ht="16" x14ac:dyDescent="0.2">
      <c r="B565" s="38"/>
      <c r="C565" s="45" t="s">
        <v>89</v>
      </c>
      <c r="D565" s="40"/>
      <c r="E565" s="40"/>
      <c r="F565" s="40"/>
      <c r="G565" s="40"/>
      <c r="H565" s="40"/>
      <c r="I565" s="40"/>
      <c r="J565" s="40"/>
      <c r="K565" s="41"/>
    </row>
    <row r="566" spans="2:11" ht="15" customHeight="1" x14ac:dyDescent="0.2">
      <c r="B566" s="38"/>
      <c r="C566" s="380" t="s">
        <v>333</v>
      </c>
      <c r="D566" s="380"/>
      <c r="E566" s="380"/>
      <c r="F566" s="380"/>
      <c r="G566" s="380"/>
      <c r="H566" s="380"/>
      <c r="I566" s="380"/>
      <c r="J566" s="40"/>
      <c r="K566" s="41"/>
    </row>
    <row r="567" spans="2:11" x14ac:dyDescent="0.2">
      <c r="B567" s="38"/>
      <c r="C567" s="380"/>
      <c r="D567" s="380"/>
      <c r="E567" s="380"/>
      <c r="F567" s="380"/>
      <c r="G567" s="380"/>
      <c r="H567" s="380"/>
      <c r="I567" s="380"/>
      <c r="J567" s="40"/>
      <c r="K567" s="41"/>
    </row>
    <row r="568" spans="2:11" x14ac:dyDescent="0.2">
      <c r="B568" s="38"/>
      <c r="C568" s="380"/>
      <c r="D568" s="380"/>
      <c r="E568" s="380"/>
      <c r="F568" s="380"/>
      <c r="G568" s="380"/>
      <c r="H568" s="380"/>
      <c r="I568" s="380"/>
      <c r="J568" s="251">
        <f>'Baseline Health'!G132</f>
        <v>0</v>
      </c>
      <c r="K568" s="41"/>
    </row>
    <row r="569" spans="2:11" ht="15" customHeight="1" x14ac:dyDescent="0.2">
      <c r="B569" s="38"/>
      <c r="C569" s="380" t="s">
        <v>334</v>
      </c>
      <c r="D569" s="380"/>
      <c r="E569" s="380"/>
      <c r="F569" s="380"/>
      <c r="G569" s="380"/>
      <c r="H569" s="380"/>
      <c r="I569" s="380"/>
      <c r="J569" s="245"/>
      <c r="K569" s="41"/>
    </row>
    <row r="570" spans="2:11" x14ac:dyDescent="0.2">
      <c r="B570" s="38"/>
      <c r="C570" s="380"/>
      <c r="D570" s="380"/>
      <c r="E570" s="380"/>
      <c r="F570" s="380"/>
      <c r="G570" s="380"/>
      <c r="H570" s="380"/>
      <c r="I570" s="380"/>
      <c r="J570" s="245"/>
      <c r="K570" s="41"/>
    </row>
    <row r="571" spans="2:11" x14ac:dyDescent="0.2">
      <c r="B571" s="38"/>
      <c r="C571" s="380"/>
      <c r="D571" s="380"/>
      <c r="E571" s="380"/>
      <c r="F571" s="380"/>
      <c r="G571" s="380"/>
      <c r="H571" s="380"/>
      <c r="I571" s="380"/>
      <c r="J571" s="264"/>
      <c r="K571" s="41"/>
    </row>
    <row r="572" spans="2:11" x14ac:dyDescent="0.2">
      <c r="B572" s="38"/>
      <c r="C572" s="40" t="s">
        <v>260</v>
      </c>
      <c r="D572" s="40"/>
      <c r="E572" s="40"/>
      <c r="F572" s="40"/>
      <c r="G572" s="40"/>
      <c r="H572" s="40"/>
      <c r="I572" s="40"/>
      <c r="J572" s="245" t="str">
        <f>IF(OR(J568=0,J568="Not Calculated")=TRUE,"Not Calculated",IF(((J568+J571)/J568)&lt;=1,0,IF(((J568+J571)/J568)&lt;=1.05,1,IF(((J568+J571)/J568)&lt;=1.5, 2,IF(((J568+J571)/J568)&lt;=2,3,4)))))</f>
        <v>Not Calculated</v>
      </c>
      <c r="K572" s="41"/>
    </row>
    <row r="573" spans="2:11" ht="9.75" customHeight="1" x14ac:dyDescent="0.2">
      <c r="B573" s="38"/>
      <c r="C573" s="279" t="str">
        <f>"0:"</f>
        <v>0:</v>
      </c>
      <c r="D573" s="281" t="s">
        <v>918</v>
      </c>
      <c r="E573" s="291"/>
      <c r="F573" s="291"/>
      <c r="G573" s="291"/>
      <c r="H573" s="291"/>
      <c r="I573" s="291"/>
      <c r="J573" s="251"/>
      <c r="K573" s="41"/>
    </row>
    <row r="574" spans="2:11" ht="9.75" customHeight="1" x14ac:dyDescent="0.2">
      <c r="B574" s="38"/>
      <c r="C574" s="280" t="str">
        <f>"1:"</f>
        <v>1:</v>
      </c>
      <c r="D574" s="281" t="s">
        <v>919</v>
      </c>
      <c r="E574" s="291"/>
      <c r="F574" s="291"/>
      <c r="G574" s="291"/>
      <c r="H574" s="291"/>
      <c r="I574" s="291"/>
      <c r="J574" s="251"/>
      <c r="K574" s="41"/>
    </row>
    <row r="575" spans="2:11" ht="9.75" customHeight="1" x14ac:dyDescent="0.2">
      <c r="B575" s="38"/>
      <c r="C575" s="280" t="str">
        <f>"2:"</f>
        <v>2:</v>
      </c>
      <c r="D575" s="281" t="s">
        <v>920</v>
      </c>
      <c r="E575" s="291"/>
      <c r="F575" s="291"/>
      <c r="G575" s="291"/>
      <c r="H575" s="291"/>
      <c r="I575" s="291"/>
      <c r="J575" s="251"/>
      <c r="K575" s="41"/>
    </row>
    <row r="576" spans="2:11" ht="9.75" customHeight="1" x14ac:dyDescent="0.2">
      <c r="B576" s="38"/>
      <c r="C576" s="280" t="str">
        <f>"3:"</f>
        <v>3:</v>
      </c>
      <c r="D576" s="281" t="s">
        <v>921</v>
      </c>
      <c r="E576" s="291"/>
      <c r="F576" s="291"/>
      <c r="G576" s="291"/>
      <c r="H576" s="291"/>
      <c r="I576" s="291"/>
      <c r="J576" s="251"/>
      <c r="K576" s="41"/>
    </row>
    <row r="577" spans="2:14" ht="9.75" customHeight="1" x14ac:dyDescent="0.2">
      <c r="B577" s="38"/>
      <c r="C577" s="280" t="str">
        <f>"4:"</f>
        <v>4:</v>
      </c>
      <c r="D577" s="281" t="s">
        <v>922</v>
      </c>
      <c r="E577" s="40"/>
      <c r="F577" s="40"/>
      <c r="G577" s="40"/>
      <c r="H577" s="40"/>
      <c r="I577" s="40"/>
      <c r="J577" s="40"/>
      <c r="K577" s="41"/>
      <c r="N577" s="12" t="s">
        <v>661</v>
      </c>
    </row>
    <row r="578" spans="2:14" ht="15" customHeight="1" x14ac:dyDescent="0.2">
      <c r="B578" s="38"/>
      <c r="C578" s="174" t="s">
        <v>662</v>
      </c>
      <c r="D578" s="40"/>
      <c r="E578" s="40"/>
      <c r="F578" s="40"/>
      <c r="G578" s="40"/>
      <c r="H578" s="40"/>
      <c r="I578" s="40"/>
      <c r="J578" s="265" t="s">
        <v>661</v>
      </c>
      <c r="K578" s="41"/>
      <c r="N578" s="12" t="s">
        <v>894</v>
      </c>
    </row>
    <row r="579" spans="2:14" ht="15" customHeight="1" x14ac:dyDescent="0.2">
      <c r="B579" s="38"/>
      <c r="C579" s="174" t="s">
        <v>660</v>
      </c>
      <c r="D579" s="40"/>
      <c r="E579" s="40"/>
      <c r="F579" s="40"/>
      <c r="G579" s="40"/>
      <c r="H579" s="40"/>
      <c r="I579" s="40"/>
      <c r="J579" s="247" t="str">
        <f>IF(J578=N577,"N/A",IF(J578=N578,0,IF(J578=N579,1,IF(J578=N580,2,IF(J578=N581,3,IF(J578=N582,4,"N/A"))))))</f>
        <v>N/A</v>
      </c>
      <c r="K579" s="41"/>
      <c r="N579" s="12" t="s">
        <v>895</v>
      </c>
    </row>
    <row r="580" spans="2:14" x14ac:dyDescent="0.2">
      <c r="B580" s="38"/>
      <c r="C580" s="40" t="s">
        <v>257</v>
      </c>
      <c r="D580" s="40"/>
      <c r="E580" s="40"/>
      <c r="F580" s="40"/>
      <c r="G580" s="40"/>
      <c r="H580" s="40"/>
      <c r="I580" s="40"/>
      <c r="J580" s="266"/>
      <c r="K580" s="41"/>
      <c r="N580" s="12" t="s">
        <v>896</v>
      </c>
    </row>
    <row r="581" spans="2:14" x14ac:dyDescent="0.2">
      <c r="B581" s="38"/>
      <c r="C581" s="40" t="s">
        <v>261</v>
      </c>
      <c r="D581" s="40"/>
      <c r="E581" s="40"/>
      <c r="F581" s="40"/>
      <c r="G581" s="40"/>
      <c r="H581" s="40"/>
      <c r="I581" s="40"/>
      <c r="J581" s="245" t="str">
        <f>IF(J580=$B$973,$A$973,IF(J580=$B$974,$A$974,IF(J580=$B$975,$A$975,IF(J580=$B$976,$A$976,IF(J580=$B$977,$A$977,"Not Calculated")))))</f>
        <v>Not Calculated</v>
      </c>
      <c r="K581" s="41"/>
      <c r="N581" s="12" t="s">
        <v>897</v>
      </c>
    </row>
    <row r="582" spans="2:14" x14ac:dyDescent="0.2">
      <c r="B582" s="38"/>
      <c r="C582" s="40" t="s">
        <v>893</v>
      </c>
      <c r="D582" s="40"/>
      <c r="E582" s="40"/>
      <c r="F582" s="40"/>
      <c r="G582" s="40"/>
      <c r="H582" s="40"/>
      <c r="I582" s="40"/>
      <c r="J582" s="40"/>
      <c r="K582" s="41"/>
      <c r="N582" s="12" t="s">
        <v>898</v>
      </c>
    </row>
    <row r="583" spans="2:14" ht="15" customHeight="1" x14ac:dyDescent="0.2">
      <c r="B583" s="38"/>
      <c r="C583" s="399"/>
      <c r="D583" s="400"/>
      <c r="E583" s="400"/>
      <c r="F583" s="400"/>
      <c r="G583" s="400"/>
      <c r="H583" s="400"/>
      <c r="I583" s="400"/>
      <c r="J583" s="401"/>
      <c r="K583" s="41"/>
    </row>
    <row r="584" spans="2:14" x14ac:dyDescent="0.2">
      <c r="B584" s="38"/>
      <c r="C584" s="40"/>
      <c r="D584" s="40"/>
      <c r="E584" s="40"/>
      <c r="F584" s="40"/>
      <c r="G584" s="40"/>
      <c r="H584" s="40"/>
      <c r="I584" s="40"/>
      <c r="J584" s="40"/>
      <c r="K584" s="41"/>
    </row>
    <row r="585" spans="2:14" x14ac:dyDescent="0.2">
      <c r="B585" s="38"/>
      <c r="C585" s="179" t="s">
        <v>324</v>
      </c>
      <c r="D585" s="40"/>
      <c r="E585" s="40"/>
      <c r="F585" s="40"/>
      <c r="G585" s="40"/>
      <c r="H585" s="40"/>
      <c r="I585" s="40"/>
      <c r="J585" s="245" t="str">
        <f>IF(J579="N/A",IF(OR(J572="Not Calculated",J581="Not Calculated")=TRUE,"Not Calculated",AVERAGE(J572,J581)),AVERAGE(J579,J581))</f>
        <v>Not Calculated</v>
      </c>
      <c r="K585" s="41"/>
    </row>
    <row r="586" spans="2:14" x14ac:dyDescent="0.2">
      <c r="B586" s="38"/>
      <c r="C586" s="40"/>
      <c r="D586" s="40"/>
      <c r="E586" s="40"/>
      <c r="F586" s="40"/>
      <c r="G586" s="40"/>
      <c r="H586" s="40"/>
      <c r="I586" s="40"/>
      <c r="J586" s="40"/>
      <c r="K586" s="41"/>
    </row>
    <row r="587" spans="2:14" x14ac:dyDescent="0.2">
      <c r="B587" s="38"/>
      <c r="C587" s="40"/>
      <c r="D587" s="40"/>
      <c r="E587" s="40"/>
      <c r="F587" s="40"/>
      <c r="G587" s="40"/>
      <c r="H587" s="40"/>
      <c r="I587" s="40"/>
      <c r="J587" s="40"/>
      <c r="K587" s="41"/>
    </row>
    <row r="588" spans="2:14" ht="16" x14ac:dyDescent="0.2">
      <c r="B588" s="38"/>
      <c r="C588" s="45" t="s">
        <v>115</v>
      </c>
      <c r="D588" s="40"/>
      <c r="E588" s="40"/>
      <c r="F588" s="40"/>
      <c r="G588" s="40"/>
      <c r="H588" s="40"/>
      <c r="I588" s="40"/>
      <c r="J588" s="40"/>
      <c r="K588" s="41"/>
    </row>
    <row r="589" spans="2:14" x14ac:dyDescent="0.2">
      <c r="B589" s="38"/>
      <c r="C589" s="40" t="s">
        <v>335</v>
      </c>
      <c r="D589" s="40"/>
      <c r="E589" s="40"/>
      <c r="F589" s="40"/>
      <c r="G589" s="40"/>
      <c r="H589" s="40"/>
      <c r="I589" s="40"/>
      <c r="J589" s="264"/>
      <c r="K589" s="41"/>
    </row>
    <row r="590" spans="2:14" x14ac:dyDescent="0.2">
      <c r="B590" s="38"/>
      <c r="C590" s="40" t="s">
        <v>260</v>
      </c>
      <c r="D590" s="40"/>
      <c r="E590" s="40"/>
      <c r="F590" s="40"/>
      <c r="G590" s="40"/>
      <c r="H590" s="40"/>
      <c r="I590" s="40"/>
      <c r="J590" s="255">
        <f>IF(J589&lt;=0,0,IF(J589&lt;=1000,1,IF(J589&lt;=5000,2,IF(J589&lt;=25000,3,4))))</f>
        <v>0</v>
      </c>
      <c r="K590" s="41"/>
    </row>
    <row r="591" spans="2:14" ht="9.75" customHeight="1" x14ac:dyDescent="0.2">
      <c r="B591" s="38"/>
      <c r="C591" s="279" t="str">
        <f>"0:"</f>
        <v>0:</v>
      </c>
      <c r="D591" s="284" t="s">
        <v>970</v>
      </c>
      <c r="E591" s="40"/>
      <c r="F591" s="40"/>
      <c r="G591" s="40"/>
      <c r="H591" s="40"/>
      <c r="I591" s="40"/>
      <c r="J591" s="251"/>
      <c r="K591" s="41"/>
    </row>
    <row r="592" spans="2:14" ht="9.75" customHeight="1" x14ac:dyDescent="0.2">
      <c r="B592" s="38"/>
      <c r="C592" s="280" t="str">
        <f>"1:"</f>
        <v>1:</v>
      </c>
      <c r="D592" s="284" t="s">
        <v>961</v>
      </c>
      <c r="E592" s="40"/>
      <c r="F592" s="40"/>
      <c r="G592" s="40"/>
      <c r="H592" s="40"/>
      <c r="I592" s="40"/>
      <c r="J592" s="251"/>
      <c r="K592" s="41"/>
    </row>
    <row r="593" spans="2:11" ht="9.75" customHeight="1" x14ac:dyDescent="0.2">
      <c r="B593" s="38"/>
      <c r="C593" s="280" t="str">
        <f>"2:"</f>
        <v>2:</v>
      </c>
      <c r="D593" s="284" t="s">
        <v>971</v>
      </c>
      <c r="E593" s="40"/>
      <c r="F593" s="40"/>
      <c r="G593" s="40"/>
      <c r="H593" s="40"/>
      <c r="I593" s="40"/>
      <c r="J593" s="251"/>
      <c r="K593" s="41"/>
    </row>
    <row r="594" spans="2:11" ht="9.75" customHeight="1" x14ac:dyDescent="0.2">
      <c r="B594" s="38"/>
      <c r="C594" s="280" t="str">
        <f>"3:"</f>
        <v>3:</v>
      </c>
      <c r="D594" s="284" t="s">
        <v>963</v>
      </c>
      <c r="E594" s="40"/>
      <c r="F594" s="40"/>
      <c r="G594" s="40"/>
      <c r="H594" s="40"/>
      <c r="I594" s="40"/>
      <c r="J594" s="251"/>
      <c r="K594" s="41"/>
    </row>
    <row r="595" spans="2:11" ht="9.75" customHeight="1" x14ac:dyDescent="0.2">
      <c r="B595" s="38"/>
      <c r="C595" s="280" t="str">
        <f>"4:"</f>
        <v>4:</v>
      </c>
      <c r="D595" s="284" t="s">
        <v>964</v>
      </c>
      <c r="E595" s="40"/>
      <c r="F595" s="40"/>
      <c r="G595" s="40"/>
      <c r="H595" s="40"/>
      <c r="I595" s="40"/>
      <c r="J595" s="40"/>
      <c r="K595" s="41"/>
    </row>
    <row r="596" spans="2:11" ht="15" customHeight="1" x14ac:dyDescent="0.2">
      <c r="B596" s="38"/>
      <c r="C596" s="40" t="s">
        <v>257</v>
      </c>
      <c r="D596" s="40"/>
      <c r="E596" s="40"/>
      <c r="F596" s="40"/>
      <c r="G596" s="40"/>
      <c r="H596" s="40"/>
      <c r="I596" s="40"/>
      <c r="J596" s="266"/>
      <c r="K596" s="41"/>
    </row>
    <row r="597" spans="2:11" ht="15" customHeight="1" x14ac:dyDescent="0.2">
      <c r="B597" s="38"/>
      <c r="C597" s="40" t="s">
        <v>261</v>
      </c>
      <c r="D597" s="40"/>
      <c r="E597" s="40"/>
      <c r="F597" s="40"/>
      <c r="G597" s="40"/>
      <c r="H597" s="40"/>
      <c r="I597" s="40"/>
      <c r="J597" s="245" t="str">
        <f>IF(J596=$B$973,$A$973,IF(J596=$B$974,$A$974,IF(J596=$B$975,$A$975,IF(J596=$B$976,$A$976,IF(J596=$B$977,$A$977,"Not Calculated")))))</f>
        <v>Not Calculated</v>
      </c>
      <c r="K597" s="41"/>
    </row>
    <row r="598" spans="2:11" x14ac:dyDescent="0.2">
      <c r="B598" s="38"/>
      <c r="C598" s="40" t="s">
        <v>893</v>
      </c>
      <c r="D598" s="40"/>
      <c r="E598" s="40"/>
      <c r="F598" s="40"/>
      <c r="G598" s="40"/>
      <c r="H598" s="40"/>
      <c r="I598" s="40"/>
      <c r="J598" s="40"/>
      <c r="K598" s="41"/>
    </row>
    <row r="599" spans="2:11" ht="15" customHeight="1" x14ac:dyDescent="0.2">
      <c r="B599" s="38"/>
      <c r="C599" s="399"/>
      <c r="D599" s="400"/>
      <c r="E599" s="400"/>
      <c r="F599" s="400"/>
      <c r="G599" s="400"/>
      <c r="H599" s="400"/>
      <c r="I599" s="400"/>
      <c r="J599" s="401"/>
      <c r="K599" s="41"/>
    </row>
    <row r="600" spans="2:11" x14ac:dyDescent="0.2">
      <c r="B600" s="38"/>
      <c r="C600" s="40"/>
      <c r="D600" s="40"/>
      <c r="E600" s="40"/>
      <c r="F600" s="40"/>
      <c r="G600" s="40"/>
      <c r="H600" s="40"/>
      <c r="I600" s="40"/>
      <c r="J600" s="40"/>
      <c r="K600" s="41"/>
    </row>
    <row r="601" spans="2:11" x14ac:dyDescent="0.2">
      <c r="B601" s="38"/>
      <c r="C601" s="179" t="s">
        <v>325</v>
      </c>
      <c r="D601" s="40"/>
      <c r="E601" s="40"/>
      <c r="F601" s="40"/>
      <c r="G601" s="40"/>
      <c r="H601" s="40"/>
      <c r="I601" s="40"/>
      <c r="J601" s="245">
        <f>IF(J590="Not Calculated","Not Calculated",AVERAGE(J590,J597))</f>
        <v>0</v>
      </c>
      <c r="K601" s="41"/>
    </row>
    <row r="602" spans="2:11" x14ac:dyDescent="0.2">
      <c r="B602" s="38"/>
      <c r="C602" s="40"/>
      <c r="D602" s="40"/>
      <c r="E602" s="40"/>
      <c r="F602" s="40"/>
      <c r="G602" s="40"/>
      <c r="H602" s="40"/>
      <c r="I602" s="40"/>
      <c r="J602" s="40"/>
      <c r="K602" s="41"/>
    </row>
    <row r="603" spans="2:11" x14ac:dyDescent="0.2">
      <c r="B603" s="38"/>
      <c r="C603" s="40"/>
      <c r="D603" s="40"/>
      <c r="E603" s="40"/>
      <c r="F603" s="40"/>
      <c r="G603" s="40"/>
      <c r="H603" s="40"/>
      <c r="I603" s="40"/>
      <c r="J603" s="40"/>
      <c r="K603" s="41"/>
    </row>
    <row r="604" spans="2:11" ht="16" x14ac:dyDescent="0.2">
      <c r="B604" s="38"/>
      <c r="C604" s="45" t="s">
        <v>326</v>
      </c>
      <c r="D604" s="40"/>
      <c r="E604" s="40"/>
      <c r="F604" s="40"/>
      <c r="G604" s="40"/>
      <c r="H604" s="40"/>
      <c r="I604" s="40"/>
      <c r="J604" s="40"/>
      <c r="K604" s="41"/>
    </row>
    <row r="605" spans="2:11" x14ac:dyDescent="0.2">
      <c r="B605" s="38"/>
      <c r="C605" s="40" t="s">
        <v>336</v>
      </c>
      <c r="D605" s="40"/>
      <c r="E605" s="40"/>
      <c r="F605" s="40"/>
      <c r="G605" s="40"/>
      <c r="H605" s="40"/>
      <c r="I605" s="40"/>
      <c r="J605" s="271"/>
      <c r="K605" s="41"/>
    </row>
    <row r="606" spans="2:11" x14ac:dyDescent="0.2">
      <c r="B606" s="38"/>
      <c r="C606" s="40" t="s">
        <v>260</v>
      </c>
      <c r="D606" s="40"/>
      <c r="E606" s="40"/>
      <c r="F606" s="40"/>
      <c r="G606" s="40"/>
      <c r="H606" s="40"/>
      <c r="I606" s="40"/>
      <c r="J606" s="248">
        <f>IF(J605&lt;=0,0,IF(J605&lt;=10,1,IF(J605&lt;=25,2,IF(J605&lt;=50,3,4))))</f>
        <v>0</v>
      </c>
      <c r="K606" s="41"/>
    </row>
    <row r="607" spans="2:11" ht="9.75" customHeight="1" x14ac:dyDescent="0.2">
      <c r="B607" s="38"/>
      <c r="C607" s="279" t="str">
        <f>"0:"</f>
        <v>0:</v>
      </c>
      <c r="D607" s="290" t="s">
        <v>944</v>
      </c>
      <c r="E607" s="40"/>
      <c r="F607" s="40"/>
      <c r="G607" s="40"/>
      <c r="H607" s="40"/>
      <c r="I607" s="40"/>
      <c r="J607" s="244"/>
      <c r="K607" s="41"/>
    </row>
    <row r="608" spans="2:11" ht="9.75" customHeight="1" x14ac:dyDescent="0.2">
      <c r="B608" s="38"/>
      <c r="C608" s="280" t="str">
        <f>"1:"</f>
        <v>1:</v>
      </c>
      <c r="D608" s="290" t="s">
        <v>947</v>
      </c>
      <c r="E608" s="40"/>
      <c r="F608" s="40"/>
      <c r="G608" s="40"/>
      <c r="H608" s="40"/>
      <c r="I608" s="40"/>
      <c r="J608" s="244"/>
      <c r="K608" s="41"/>
    </row>
    <row r="609" spans="2:11" ht="9.75" customHeight="1" x14ac:dyDescent="0.2">
      <c r="B609" s="38"/>
      <c r="C609" s="280" t="str">
        <f>"2:"</f>
        <v>2:</v>
      </c>
      <c r="D609" s="290" t="s">
        <v>972</v>
      </c>
      <c r="E609" s="40"/>
      <c r="F609" s="40"/>
      <c r="G609" s="40"/>
      <c r="H609" s="40"/>
      <c r="I609" s="40"/>
      <c r="J609" s="244"/>
      <c r="K609" s="41"/>
    </row>
    <row r="610" spans="2:11" ht="9.75" customHeight="1" x14ac:dyDescent="0.2">
      <c r="B610" s="38"/>
      <c r="C610" s="280" t="str">
        <f>"3:"</f>
        <v>3:</v>
      </c>
      <c r="D610" s="290" t="s">
        <v>973</v>
      </c>
      <c r="E610" s="40"/>
      <c r="F610" s="40"/>
      <c r="G610" s="40"/>
      <c r="H610" s="40"/>
      <c r="I610" s="40"/>
      <c r="J610" s="244"/>
      <c r="K610" s="41"/>
    </row>
    <row r="611" spans="2:11" ht="9.75" customHeight="1" x14ac:dyDescent="0.2">
      <c r="B611" s="38"/>
      <c r="C611" s="280" t="str">
        <f>"4:"</f>
        <v>4:</v>
      </c>
      <c r="D611" s="290" t="s">
        <v>974</v>
      </c>
      <c r="E611" s="40"/>
      <c r="F611" s="40"/>
      <c r="G611" s="40"/>
      <c r="H611" s="40"/>
      <c r="I611" s="40"/>
      <c r="J611" s="40"/>
      <c r="K611" s="41"/>
    </row>
    <row r="612" spans="2:11" x14ac:dyDescent="0.2">
      <c r="B612" s="38"/>
      <c r="C612" s="40" t="s">
        <v>893</v>
      </c>
      <c r="D612" s="40"/>
      <c r="E612" s="40"/>
      <c r="F612" s="40"/>
      <c r="G612" s="40"/>
      <c r="H612" s="40"/>
      <c r="I612" s="40"/>
      <c r="J612" s="40"/>
      <c r="K612" s="41"/>
    </row>
    <row r="613" spans="2:11" ht="15" customHeight="1" x14ac:dyDescent="0.2">
      <c r="B613" s="38"/>
      <c r="C613" s="399"/>
      <c r="D613" s="400"/>
      <c r="E613" s="400"/>
      <c r="F613" s="400"/>
      <c r="G613" s="400"/>
      <c r="H613" s="400"/>
      <c r="I613" s="400"/>
      <c r="J613" s="401"/>
      <c r="K613" s="41"/>
    </row>
    <row r="614" spans="2:11" x14ac:dyDescent="0.2">
      <c r="B614" s="38"/>
      <c r="C614" s="40"/>
      <c r="D614" s="40"/>
      <c r="E614" s="40"/>
      <c r="F614" s="40"/>
      <c r="G614" s="40"/>
      <c r="H614" s="40"/>
      <c r="I614" s="40"/>
      <c r="J614" s="40"/>
      <c r="K614" s="41"/>
    </row>
    <row r="615" spans="2:11" x14ac:dyDescent="0.2">
      <c r="B615" s="38"/>
      <c r="C615" s="179" t="s">
        <v>327</v>
      </c>
      <c r="D615" s="40"/>
      <c r="E615" s="40"/>
      <c r="F615" s="40"/>
      <c r="G615" s="40"/>
      <c r="H615" s="40"/>
      <c r="I615" s="40"/>
      <c r="J615" s="245">
        <f>J606</f>
        <v>0</v>
      </c>
      <c r="K615" s="41"/>
    </row>
    <row r="616" spans="2:11" x14ac:dyDescent="0.2">
      <c r="B616" s="38"/>
      <c r="C616" s="40"/>
      <c r="D616" s="40"/>
      <c r="E616" s="40"/>
      <c r="F616" s="40"/>
      <c r="G616" s="40"/>
      <c r="H616" s="40"/>
      <c r="I616" s="40"/>
      <c r="J616" s="40"/>
      <c r="K616" s="41"/>
    </row>
    <row r="617" spans="2:11" x14ac:dyDescent="0.2">
      <c r="B617" s="38"/>
      <c r="C617" s="40"/>
      <c r="D617" s="40"/>
      <c r="E617" s="40"/>
      <c r="F617" s="40"/>
      <c r="G617" s="40"/>
      <c r="H617" s="40"/>
      <c r="I617" s="40"/>
      <c r="J617" s="40"/>
      <c r="K617" s="41"/>
    </row>
    <row r="618" spans="2:11" ht="16" x14ac:dyDescent="0.2">
      <c r="B618" s="38"/>
      <c r="C618" s="45" t="s">
        <v>92</v>
      </c>
      <c r="D618" s="40"/>
      <c r="E618" s="40"/>
      <c r="F618" s="40"/>
      <c r="G618" s="40"/>
      <c r="H618" s="40"/>
      <c r="I618" s="40"/>
      <c r="J618" s="40"/>
      <c r="K618" s="41"/>
    </row>
    <row r="619" spans="2:11" x14ac:dyDescent="0.2">
      <c r="B619" s="38"/>
      <c r="C619" s="40" t="s">
        <v>337</v>
      </c>
      <c r="D619" s="40"/>
      <c r="E619" s="40"/>
      <c r="F619" s="40"/>
      <c r="G619" s="40"/>
      <c r="H619" s="40"/>
      <c r="I619" s="40"/>
      <c r="J619" s="251">
        <f>'Baseline Health'!G137</f>
        <v>1</v>
      </c>
      <c r="K619" s="41"/>
    </row>
    <row r="620" spans="2:11" ht="15" customHeight="1" x14ac:dyDescent="0.2">
      <c r="B620" s="38"/>
      <c r="C620" s="380" t="s">
        <v>338</v>
      </c>
      <c r="D620" s="380"/>
      <c r="E620" s="380"/>
      <c r="F620" s="380"/>
      <c r="G620" s="380"/>
      <c r="H620" s="380"/>
      <c r="I620" s="380"/>
      <c r="J620" s="251"/>
      <c r="K620" s="41"/>
    </row>
    <row r="621" spans="2:11" x14ac:dyDescent="0.2">
      <c r="B621" s="38"/>
      <c r="C621" s="380"/>
      <c r="D621" s="380"/>
      <c r="E621" s="380"/>
      <c r="F621" s="380"/>
      <c r="G621" s="380"/>
      <c r="H621" s="380"/>
      <c r="I621" s="380"/>
      <c r="J621" s="264"/>
      <c r="K621" s="41"/>
    </row>
    <row r="622" spans="2:11" x14ac:dyDescent="0.2">
      <c r="B622" s="38"/>
      <c r="C622" s="40" t="s">
        <v>260</v>
      </c>
      <c r="D622" s="40"/>
      <c r="E622" s="40"/>
      <c r="F622" s="40"/>
      <c r="G622" s="40"/>
      <c r="H622" s="40"/>
      <c r="I622" s="40"/>
      <c r="J622" s="245">
        <f>IF(OR(J619=0,J619="Not Calculated")=TRUE,"Not Calculated",IF(((J619+J621)/J619)&lt;=1,0,IF(((J619+J621)/J619)&lt;=1.05,1,IF(((J619+J621)/J619)&lt;=1.5, 2,IF(((J619+J621)/J619)&lt;=2,3,4)))))</f>
        <v>0</v>
      </c>
      <c r="K622" s="41"/>
    </row>
    <row r="623" spans="2:11" ht="9.75" customHeight="1" x14ac:dyDescent="0.2">
      <c r="B623" s="38"/>
      <c r="C623" s="279" t="str">
        <f>"0:"</f>
        <v>0:</v>
      </c>
      <c r="D623" s="281" t="s">
        <v>918</v>
      </c>
      <c r="E623" s="291"/>
      <c r="F623" s="291"/>
      <c r="G623" s="291"/>
      <c r="H623" s="291"/>
      <c r="I623" s="291"/>
      <c r="J623" s="251"/>
      <c r="K623" s="41"/>
    </row>
    <row r="624" spans="2:11" ht="9.75" customHeight="1" x14ac:dyDescent="0.2">
      <c r="B624" s="38"/>
      <c r="C624" s="280" t="str">
        <f>"1:"</f>
        <v>1:</v>
      </c>
      <c r="D624" s="281" t="s">
        <v>919</v>
      </c>
      <c r="E624" s="291"/>
      <c r="F624" s="291"/>
      <c r="G624" s="291"/>
      <c r="H624" s="291"/>
      <c r="I624" s="291"/>
      <c r="J624" s="251"/>
      <c r="K624" s="41"/>
    </row>
    <row r="625" spans="2:14" ht="9.75" customHeight="1" x14ac:dyDescent="0.2">
      <c r="B625" s="38"/>
      <c r="C625" s="280" t="str">
        <f>"2:"</f>
        <v>2:</v>
      </c>
      <c r="D625" s="281" t="s">
        <v>920</v>
      </c>
      <c r="E625" s="291"/>
      <c r="F625" s="291"/>
      <c r="G625" s="291"/>
      <c r="H625" s="291"/>
      <c r="I625" s="291"/>
      <c r="J625" s="251"/>
      <c r="K625" s="41"/>
    </row>
    <row r="626" spans="2:14" ht="9.75" customHeight="1" x14ac:dyDescent="0.2">
      <c r="B626" s="38"/>
      <c r="C626" s="280" t="str">
        <f>"3:"</f>
        <v>3:</v>
      </c>
      <c r="D626" s="281" t="s">
        <v>921</v>
      </c>
      <c r="E626" s="291"/>
      <c r="F626" s="291"/>
      <c r="G626" s="291"/>
      <c r="H626" s="291"/>
      <c r="I626" s="291"/>
      <c r="J626" s="251"/>
      <c r="K626" s="41"/>
    </row>
    <row r="627" spans="2:14" ht="9.75" customHeight="1" x14ac:dyDescent="0.2">
      <c r="B627" s="38"/>
      <c r="C627" s="280" t="str">
        <f>"4:"</f>
        <v>4:</v>
      </c>
      <c r="D627" s="281" t="s">
        <v>922</v>
      </c>
      <c r="E627" s="40"/>
      <c r="F627" s="40"/>
      <c r="G627" s="40"/>
      <c r="H627" s="40"/>
      <c r="I627" s="40"/>
      <c r="J627" s="40"/>
      <c r="K627" s="41"/>
      <c r="N627" s="12" t="s">
        <v>661</v>
      </c>
    </row>
    <row r="628" spans="2:14" x14ac:dyDescent="0.2">
      <c r="B628" s="38"/>
      <c r="C628" s="174" t="s">
        <v>662</v>
      </c>
      <c r="D628" s="40"/>
      <c r="E628" s="40"/>
      <c r="F628" s="40"/>
      <c r="G628" s="40"/>
      <c r="H628" s="40"/>
      <c r="I628" s="40"/>
      <c r="J628" s="265" t="s">
        <v>661</v>
      </c>
      <c r="K628" s="41"/>
      <c r="N628" s="12" t="s">
        <v>894</v>
      </c>
    </row>
    <row r="629" spans="2:14" x14ac:dyDescent="0.2">
      <c r="B629" s="38"/>
      <c r="C629" s="174" t="s">
        <v>660</v>
      </c>
      <c r="D629" s="40"/>
      <c r="E629" s="40"/>
      <c r="F629" s="40"/>
      <c r="G629" s="40"/>
      <c r="H629" s="40"/>
      <c r="I629" s="40"/>
      <c r="J629" s="247" t="str">
        <f>IF(J628=N627,"N/A",IF(J628=N628,0,IF(J628=N629,1,IF(J628=N630,2,IF(J628=N631,3,IF(J628=N632,4,"N/A"))))))</f>
        <v>N/A</v>
      </c>
      <c r="K629" s="41"/>
      <c r="N629" s="12" t="s">
        <v>895</v>
      </c>
    </row>
    <row r="630" spans="2:14" x14ac:dyDescent="0.2">
      <c r="B630" s="38"/>
      <c r="C630" s="40" t="s">
        <v>257</v>
      </c>
      <c r="D630" s="40"/>
      <c r="E630" s="40"/>
      <c r="F630" s="40"/>
      <c r="G630" s="40"/>
      <c r="H630" s="40"/>
      <c r="I630" s="40"/>
      <c r="J630" s="266"/>
      <c r="K630" s="41"/>
      <c r="N630" s="12" t="s">
        <v>896</v>
      </c>
    </row>
    <row r="631" spans="2:14" x14ac:dyDescent="0.2">
      <c r="B631" s="38"/>
      <c r="C631" s="40" t="s">
        <v>261</v>
      </c>
      <c r="D631" s="40"/>
      <c r="E631" s="40"/>
      <c r="F631" s="40"/>
      <c r="G631" s="40"/>
      <c r="H631" s="40"/>
      <c r="I631" s="40"/>
      <c r="J631" s="245" t="str">
        <f>IF(J630=$B$973,$A$973,IF(J630=$B$974,$A$974,IF(J630=$B$975,$A$975,IF(J630=$B$976,$A$976,IF(J630=$B$977,$A$977,"Not Calculated")))))</f>
        <v>Not Calculated</v>
      </c>
      <c r="K631" s="41"/>
      <c r="N631" s="12" t="s">
        <v>897</v>
      </c>
    </row>
    <row r="632" spans="2:14" x14ac:dyDescent="0.2">
      <c r="B632" s="38"/>
      <c r="C632" s="40" t="s">
        <v>893</v>
      </c>
      <c r="D632" s="40"/>
      <c r="E632" s="40"/>
      <c r="F632" s="40"/>
      <c r="G632" s="40"/>
      <c r="H632" s="40"/>
      <c r="I632" s="40"/>
      <c r="J632" s="40"/>
      <c r="K632" s="41"/>
      <c r="N632" s="12" t="s">
        <v>898</v>
      </c>
    </row>
    <row r="633" spans="2:14" ht="15" customHeight="1" x14ac:dyDescent="0.2">
      <c r="B633" s="38"/>
      <c r="C633" s="399"/>
      <c r="D633" s="400"/>
      <c r="E633" s="400"/>
      <c r="F633" s="400"/>
      <c r="G633" s="400"/>
      <c r="H633" s="400"/>
      <c r="I633" s="400"/>
      <c r="J633" s="401"/>
      <c r="K633" s="41"/>
    </row>
    <row r="634" spans="2:14" x14ac:dyDescent="0.2">
      <c r="B634" s="38"/>
      <c r="C634" s="40"/>
      <c r="D634" s="40"/>
      <c r="E634" s="40"/>
      <c r="F634" s="40"/>
      <c r="G634" s="40"/>
      <c r="H634" s="40"/>
      <c r="I634" s="40"/>
      <c r="J634" s="40"/>
      <c r="K634" s="41"/>
    </row>
    <row r="635" spans="2:14" x14ac:dyDescent="0.2">
      <c r="B635" s="38"/>
      <c r="C635" s="179" t="s">
        <v>328</v>
      </c>
      <c r="D635" s="40"/>
      <c r="E635" s="40"/>
      <c r="F635" s="40"/>
      <c r="G635" s="40"/>
      <c r="H635" s="40"/>
      <c r="I635" s="40"/>
      <c r="J635" s="245" t="str">
        <f>IF(J629="N/A",IF(OR(J622="Not Calculated",J631="Not Calculated")=TRUE,"Not Calculated",AVERAGE(J622,J631)),AVERAGE(J629,J631))</f>
        <v>Not Calculated</v>
      </c>
      <c r="K635" s="41"/>
    </row>
    <row r="636" spans="2:14" x14ac:dyDescent="0.2">
      <c r="B636" s="38"/>
      <c r="C636" s="40"/>
      <c r="D636" s="40"/>
      <c r="E636" s="40"/>
      <c r="F636" s="40"/>
      <c r="G636" s="40"/>
      <c r="H636" s="40"/>
      <c r="I636" s="40"/>
      <c r="J636" s="40"/>
      <c r="K636" s="41"/>
    </row>
    <row r="637" spans="2:14" x14ac:dyDescent="0.2">
      <c r="B637" s="38"/>
      <c r="C637" s="40"/>
      <c r="D637" s="40"/>
      <c r="E637" s="40"/>
      <c r="F637" s="40"/>
      <c r="G637" s="40"/>
      <c r="H637" s="40"/>
      <c r="I637" s="40"/>
      <c r="J637" s="40"/>
      <c r="K637" s="41"/>
    </row>
    <row r="638" spans="2:14" ht="16" x14ac:dyDescent="0.2">
      <c r="B638" s="38"/>
      <c r="C638" s="45" t="s">
        <v>329</v>
      </c>
      <c r="D638" s="40"/>
      <c r="E638" s="40"/>
      <c r="F638" s="40"/>
      <c r="G638" s="40"/>
      <c r="H638" s="40"/>
      <c r="I638" s="40"/>
      <c r="J638" s="40"/>
      <c r="K638" s="41"/>
    </row>
    <row r="639" spans="2:14" ht="15" customHeight="1" x14ac:dyDescent="0.2">
      <c r="B639" s="38"/>
      <c r="C639" s="380" t="s">
        <v>339</v>
      </c>
      <c r="D639" s="380"/>
      <c r="E639" s="380"/>
      <c r="F639" s="380"/>
      <c r="G639" s="380"/>
      <c r="H639" s="380"/>
      <c r="I639" s="380"/>
      <c r="J639" s="40"/>
      <c r="K639" s="41"/>
    </row>
    <row r="640" spans="2:14" x14ac:dyDescent="0.2">
      <c r="B640" s="38"/>
      <c r="C640" s="380"/>
      <c r="D640" s="380"/>
      <c r="E640" s="380"/>
      <c r="F640" s="380"/>
      <c r="G640" s="380"/>
      <c r="H640" s="380"/>
      <c r="I640" s="380"/>
      <c r="J640" s="250">
        <f>'Baseline Health'!G145</f>
        <v>0</v>
      </c>
      <c r="K640" s="41"/>
    </row>
    <row r="641" spans="2:14" ht="15" customHeight="1" x14ac:dyDescent="0.2">
      <c r="B641" s="38"/>
      <c r="C641" s="380" t="s">
        <v>340</v>
      </c>
      <c r="D641" s="380"/>
      <c r="E641" s="380"/>
      <c r="F641" s="380"/>
      <c r="G641" s="380"/>
      <c r="H641" s="380"/>
      <c r="I641" s="380"/>
      <c r="J641" s="245"/>
      <c r="K641" s="41"/>
    </row>
    <row r="642" spans="2:14" x14ac:dyDescent="0.2">
      <c r="B642" s="38"/>
      <c r="C642" s="380"/>
      <c r="D642" s="380"/>
      <c r="E642" s="380"/>
      <c r="F642" s="380"/>
      <c r="G642" s="380"/>
      <c r="H642" s="380"/>
      <c r="I642" s="380"/>
      <c r="J642" s="245"/>
      <c r="K642" s="41"/>
    </row>
    <row r="643" spans="2:14" x14ac:dyDescent="0.2">
      <c r="B643" s="38"/>
      <c r="C643" s="380"/>
      <c r="D643" s="380"/>
      <c r="E643" s="380"/>
      <c r="F643" s="380"/>
      <c r="G643" s="380"/>
      <c r="H643" s="380"/>
      <c r="I643" s="380"/>
      <c r="J643" s="272"/>
      <c r="K643" s="41"/>
    </row>
    <row r="644" spans="2:14" x14ac:dyDescent="0.2">
      <c r="B644" s="38"/>
      <c r="C644" s="40" t="s">
        <v>260</v>
      </c>
      <c r="D644" s="40"/>
      <c r="E644" s="40"/>
      <c r="F644" s="40"/>
      <c r="G644" s="40"/>
      <c r="H644" s="40"/>
      <c r="I644" s="40"/>
      <c r="J644" s="245" t="str">
        <f>IF(OR(J640=0,J640="Not Calculated")=TRUE,"Not Calculated",IF(((J640+J643)/J640)&lt;=1,0,IF(((J640+J643)/J640)&lt;=1.05,1,IF(((J640+J643)/J640)&lt;=1.5, 2,IF(((J640+J643)/J640)&lt;=2,3,4)))))</f>
        <v>Not Calculated</v>
      </c>
      <c r="K644" s="41"/>
    </row>
    <row r="645" spans="2:14" ht="9.75" customHeight="1" x14ac:dyDescent="0.2">
      <c r="B645" s="38"/>
      <c r="C645" s="279" t="str">
        <f>"0:"</f>
        <v>0:</v>
      </c>
      <c r="D645" s="281" t="s">
        <v>918</v>
      </c>
      <c r="E645" s="291"/>
      <c r="F645" s="291"/>
      <c r="G645" s="291"/>
      <c r="H645" s="291"/>
      <c r="I645" s="291"/>
      <c r="J645" s="250"/>
      <c r="K645" s="41"/>
    </row>
    <row r="646" spans="2:14" ht="9.75" customHeight="1" x14ac:dyDescent="0.2">
      <c r="B646" s="38"/>
      <c r="C646" s="280" t="str">
        <f>"1:"</f>
        <v>1:</v>
      </c>
      <c r="D646" s="281" t="s">
        <v>919</v>
      </c>
      <c r="E646" s="291"/>
      <c r="F646" s="291"/>
      <c r="G646" s="291"/>
      <c r="H646" s="291"/>
      <c r="I646" s="291"/>
      <c r="J646" s="250"/>
      <c r="K646" s="41"/>
    </row>
    <row r="647" spans="2:14" ht="9.75" customHeight="1" x14ac:dyDescent="0.2">
      <c r="B647" s="38"/>
      <c r="C647" s="280" t="str">
        <f>"2:"</f>
        <v>2:</v>
      </c>
      <c r="D647" s="281" t="s">
        <v>920</v>
      </c>
      <c r="E647" s="291"/>
      <c r="F647" s="291"/>
      <c r="G647" s="291"/>
      <c r="H647" s="291"/>
      <c r="I647" s="291"/>
      <c r="J647" s="250"/>
      <c r="K647" s="41"/>
    </row>
    <row r="648" spans="2:14" ht="9.75" customHeight="1" x14ac:dyDescent="0.2">
      <c r="B648" s="38"/>
      <c r="C648" s="280" t="str">
        <f>"3:"</f>
        <v>3:</v>
      </c>
      <c r="D648" s="281" t="s">
        <v>921</v>
      </c>
      <c r="E648" s="291"/>
      <c r="F648" s="291"/>
      <c r="G648" s="291"/>
      <c r="H648" s="291"/>
      <c r="I648" s="291"/>
      <c r="J648" s="250"/>
      <c r="K648" s="41"/>
    </row>
    <row r="649" spans="2:14" ht="9.75" customHeight="1" x14ac:dyDescent="0.2">
      <c r="B649" s="38"/>
      <c r="C649" s="280" t="str">
        <f>"4:"</f>
        <v>4:</v>
      </c>
      <c r="D649" s="281" t="s">
        <v>922</v>
      </c>
      <c r="E649" s="40"/>
      <c r="F649" s="40"/>
      <c r="G649" s="40"/>
      <c r="H649" s="40"/>
      <c r="I649" s="40"/>
      <c r="J649" s="40"/>
      <c r="K649" s="41"/>
      <c r="N649" s="12" t="s">
        <v>661</v>
      </c>
    </row>
    <row r="650" spans="2:14" x14ac:dyDescent="0.2">
      <c r="B650" s="38"/>
      <c r="C650" s="174" t="s">
        <v>662</v>
      </c>
      <c r="D650" s="40"/>
      <c r="E650" s="40"/>
      <c r="F650" s="40"/>
      <c r="G650" s="40"/>
      <c r="H650" s="40"/>
      <c r="I650" s="40"/>
      <c r="J650" s="265" t="s">
        <v>661</v>
      </c>
      <c r="K650" s="41"/>
      <c r="N650" s="12" t="s">
        <v>894</v>
      </c>
    </row>
    <row r="651" spans="2:14" x14ac:dyDescent="0.2">
      <c r="B651" s="38"/>
      <c r="C651" s="174" t="s">
        <v>660</v>
      </c>
      <c r="D651" s="40"/>
      <c r="E651" s="40"/>
      <c r="F651" s="40"/>
      <c r="G651" s="40"/>
      <c r="H651" s="40"/>
      <c r="I651" s="40"/>
      <c r="J651" s="247" t="str">
        <f>IF(J650=N649,"N/A",IF(J650=N650,0,IF(J650=N651,1,IF(J650=N652,2,IF(J650=N653,3,IF(J650=N654,4,"N/A"))))))</f>
        <v>N/A</v>
      </c>
      <c r="K651" s="41"/>
      <c r="N651" s="12" t="s">
        <v>895</v>
      </c>
    </row>
    <row r="652" spans="2:14" ht="15" customHeight="1" x14ac:dyDescent="0.2">
      <c r="B652" s="38"/>
      <c r="C652" s="40" t="s">
        <v>257</v>
      </c>
      <c r="D652" s="40"/>
      <c r="E652" s="40"/>
      <c r="F652" s="40"/>
      <c r="G652" s="40"/>
      <c r="H652" s="40"/>
      <c r="I652" s="40"/>
      <c r="J652" s="266"/>
      <c r="K652" s="41"/>
      <c r="N652" s="12" t="s">
        <v>896</v>
      </c>
    </row>
    <row r="653" spans="2:14" x14ac:dyDescent="0.2">
      <c r="B653" s="38"/>
      <c r="C653" s="40" t="s">
        <v>261</v>
      </c>
      <c r="D653" s="40"/>
      <c r="E653" s="40"/>
      <c r="F653" s="40"/>
      <c r="G653" s="40"/>
      <c r="H653" s="40"/>
      <c r="I653" s="40"/>
      <c r="J653" s="245" t="str">
        <f>IF(J652=$B$973,$A$973,IF(J652=$B$974,$A$974,IF(J652=$B$975,$A$975,IF(J652=$B$976,$A$976,IF(J652=$B$977,$A$977,"Not Calculated")))))</f>
        <v>Not Calculated</v>
      </c>
      <c r="K653" s="41"/>
      <c r="N653" s="12" t="s">
        <v>897</v>
      </c>
    </row>
    <row r="654" spans="2:14" x14ac:dyDescent="0.2">
      <c r="B654" s="38"/>
      <c r="C654" s="40" t="s">
        <v>893</v>
      </c>
      <c r="D654" s="40"/>
      <c r="E654" s="40"/>
      <c r="F654" s="40"/>
      <c r="G654" s="40"/>
      <c r="H654" s="40"/>
      <c r="I654" s="40"/>
      <c r="J654" s="40"/>
      <c r="K654" s="41"/>
      <c r="N654" s="12" t="s">
        <v>898</v>
      </c>
    </row>
    <row r="655" spans="2:14" x14ac:dyDescent="0.2">
      <c r="B655" s="38"/>
      <c r="C655" s="399"/>
      <c r="D655" s="400"/>
      <c r="E655" s="400"/>
      <c r="F655" s="400"/>
      <c r="G655" s="400"/>
      <c r="H655" s="400"/>
      <c r="I655" s="400"/>
      <c r="J655" s="401"/>
      <c r="K655" s="41"/>
    </row>
    <row r="656" spans="2:14" x14ac:dyDescent="0.2">
      <c r="B656" s="38"/>
      <c r="C656" s="40"/>
      <c r="D656" s="40"/>
      <c r="E656" s="40"/>
      <c r="F656" s="40"/>
      <c r="G656" s="40"/>
      <c r="H656" s="40"/>
      <c r="I656" s="40"/>
      <c r="J656" s="40"/>
      <c r="K656" s="41"/>
    </row>
    <row r="657" spans="2:14" x14ac:dyDescent="0.2">
      <c r="B657" s="38"/>
      <c r="C657" s="179" t="s">
        <v>330</v>
      </c>
      <c r="D657" s="40"/>
      <c r="E657" s="40"/>
      <c r="F657" s="40"/>
      <c r="G657" s="40"/>
      <c r="H657" s="40"/>
      <c r="I657" s="40"/>
      <c r="J657" s="245" t="str">
        <f>IF(J651="N/A",IF(OR(J644="Not Calculated",J653="Not Calculated")=TRUE,"Not Calculated",AVERAGE(J644,J653)),AVERAGE(J651,J653))</f>
        <v>Not Calculated</v>
      </c>
      <c r="K657" s="41"/>
    </row>
    <row r="658" spans="2:14" x14ac:dyDescent="0.2">
      <c r="B658" s="38"/>
      <c r="C658" s="40"/>
      <c r="D658" s="40"/>
      <c r="E658" s="40"/>
      <c r="F658" s="40"/>
      <c r="G658" s="40"/>
      <c r="H658" s="40"/>
      <c r="I658" s="40"/>
      <c r="J658" s="40"/>
      <c r="K658" s="41"/>
    </row>
    <row r="659" spans="2:14" x14ac:dyDescent="0.2">
      <c r="B659" s="38"/>
      <c r="C659" s="40"/>
      <c r="D659" s="40"/>
      <c r="E659" s="40"/>
      <c r="F659" s="40"/>
      <c r="G659" s="40"/>
      <c r="H659" s="40"/>
      <c r="I659" s="40"/>
      <c r="J659" s="40"/>
      <c r="K659" s="41"/>
    </row>
    <row r="660" spans="2:14" ht="16" x14ac:dyDescent="0.2">
      <c r="B660" s="38"/>
      <c r="C660" s="45" t="s">
        <v>97</v>
      </c>
      <c r="D660" s="40"/>
      <c r="E660" s="40"/>
      <c r="F660" s="40"/>
      <c r="G660" s="40"/>
      <c r="H660" s="40"/>
      <c r="I660" s="40"/>
      <c r="J660" s="40"/>
      <c r="K660" s="41"/>
    </row>
    <row r="661" spans="2:14" x14ac:dyDescent="0.2">
      <c r="B661" s="38"/>
      <c r="C661" s="40" t="s">
        <v>449</v>
      </c>
      <c r="D661" s="40"/>
      <c r="E661" s="40"/>
      <c r="F661" s="40"/>
      <c r="G661" s="40"/>
      <c r="H661" s="40"/>
      <c r="I661" s="40"/>
      <c r="J661" s="263">
        <f>'Baseline Health'!G150</f>
        <v>0</v>
      </c>
      <c r="K661" s="41"/>
    </row>
    <row r="662" spans="2:14" x14ac:dyDescent="0.2">
      <c r="B662" s="38"/>
      <c r="C662" s="40" t="s">
        <v>341</v>
      </c>
      <c r="D662" s="40"/>
      <c r="E662" s="40"/>
      <c r="F662" s="40"/>
      <c r="G662" s="40"/>
      <c r="H662" s="40"/>
      <c r="I662" s="40"/>
      <c r="J662" s="273"/>
      <c r="K662" s="41"/>
    </row>
    <row r="663" spans="2:14" x14ac:dyDescent="0.2">
      <c r="B663" s="38"/>
      <c r="C663" s="40" t="s">
        <v>450</v>
      </c>
      <c r="D663" s="40"/>
      <c r="E663" s="40"/>
      <c r="F663" s="40"/>
      <c r="G663" s="40"/>
      <c r="H663" s="40"/>
      <c r="I663" s="40"/>
      <c r="J663" s="263">
        <f>J26</f>
        <v>0</v>
      </c>
      <c r="K663" s="41"/>
    </row>
    <row r="664" spans="2:14" ht="15" customHeight="1" x14ac:dyDescent="0.2">
      <c r="B664" s="38"/>
      <c r="C664" s="291"/>
      <c r="D664" s="380" t="s">
        <v>342</v>
      </c>
      <c r="E664" s="380"/>
      <c r="F664" s="380"/>
      <c r="G664" s="380"/>
      <c r="H664" s="380"/>
      <c r="I664" s="380"/>
      <c r="J664" s="245"/>
      <c r="K664" s="41"/>
    </row>
    <row r="665" spans="2:14" x14ac:dyDescent="0.2">
      <c r="B665" s="38"/>
      <c r="C665" s="291"/>
      <c r="D665" s="380"/>
      <c r="E665" s="380"/>
      <c r="F665" s="380"/>
      <c r="G665" s="380"/>
      <c r="H665" s="380"/>
      <c r="I665" s="380"/>
      <c r="J665" s="245"/>
      <c r="K665" s="41"/>
    </row>
    <row r="666" spans="2:14" x14ac:dyDescent="0.2">
      <c r="B666" s="38"/>
      <c r="C666" s="40" t="s">
        <v>260</v>
      </c>
      <c r="D666" s="40"/>
      <c r="E666" s="40"/>
      <c r="F666" s="40"/>
      <c r="G666" s="40"/>
      <c r="H666" s="40"/>
      <c r="I666" s="40"/>
      <c r="J666" s="245" t="str">
        <f>IF(OR(J661=0,J661="Not Calculated")=TRUE,"Not Calculated",IF(((J661+J663)/(J661-J662))&lt;=1,0,IF(((J661+J663)/(J661-J662))&lt;=1.1,1,IF(((J661+J663)/(J661-J662))&lt;=1.5, 2,IF(((J661+J663)/(J661-J662))&lt;=2,3,4)))))</f>
        <v>Not Calculated</v>
      </c>
      <c r="K666" s="41"/>
    </row>
    <row r="667" spans="2:14" ht="9.75" customHeight="1" x14ac:dyDescent="0.2">
      <c r="B667" s="38"/>
      <c r="C667" s="279" t="str">
        <f>"0:"</f>
        <v>0:</v>
      </c>
      <c r="D667" s="278" t="s">
        <v>918</v>
      </c>
      <c r="E667" s="291"/>
      <c r="F667" s="291"/>
      <c r="G667" s="291"/>
      <c r="H667" s="291"/>
      <c r="I667" s="291"/>
      <c r="J667" s="245"/>
      <c r="K667" s="41"/>
    </row>
    <row r="668" spans="2:14" ht="9.75" customHeight="1" x14ac:dyDescent="0.2">
      <c r="B668" s="38"/>
      <c r="C668" s="280" t="str">
        <f>"1:"</f>
        <v>1:</v>
      </c>
      <c r="D668" s="278" t="s">
        <v>923</v>
      </c>
      <c r="E668" s="291"/>
      <c r="F668" s="291"/>
      <c r="G668" s="291"/>
      <c r="H668" s="291"/>
      <c r="I668" s="291"/>
      <c r="J668" s="245"/>
      <c r="K668" s="41"/>
    </row>
    <row r="669" spans="2:14" ht="9.75" customHeight="1" x14ac:dyDescent="0.2">
      <c r="B669" s="38"/>
      <c r="C669" s="280" t="str">
        <f>"2:"</f>
        <v>2:</v>
      </c>
      <c r="D669" s="278" t="s">
        <v>924</v>
      </c>
      <c r="E669" s="291"/>
      <c r="F669" s="291"/>
      <c r="G669" s="291"/>
      <c r="H669" s="291"/>
      <c r="I669" s="291"/>
      <c r="J669" s="245"/>
      <c r="K669" s="41"/>
    </row>
    <row r="670" spans="2:14" ht="9.75" customHeight="1" x14ac:dyDescent="0.2">
      <c r="B670" s="38"/>
      <c r="C670" s="280" t="str">
        <f>"3:"</f>
        <v>3:</v>
      </c>
      <c r="D670" s="278" t="s">
        <v>925</v>
      </c>
      <c r="E670" s="291"/>
      <c r="F670" s="291"/>
      <c r="G670" s="291"/>
      <c r="H670" s="291"/>
      <c r="I670" s="291"/>
      <c r="J670" s="245"/>
      <c r="K670" s="41"/>
    </row>
    <row r="671" spans="2:14" ht="9.75" customHeight="1" x14ac:dyDescent="0.2">
      <c r="B671" s="38"/>
      <c r="C671" s="280" t="str">
        <f>"4:"</f>
        <v>4:</v>
      </c>
      <c r="D671" s="278" t="s">
        <v>926</v>
      </c>
      <c r="E671" s="40"/>
      <c r="F671" s="40"/>
      <c r="G671" s="40"/>
      <c r="H671" s="40"/>
      <c r="I671" s="40"/>
      <c r="J671" s="40"/>
      <c r="K671" s="41"/>
      <c r="N671" s="12" t="s">
        <v>661</v>
      </c>
    </row>
    <row r="672" spans="2:14" ht="15" customHeight="1" x14ac:dyDescent="0.2">
      <c r="B672" s="38"/>
      <c r="C672" s="174" t="s">
        <v>662</v>
      </c>
      <c r="D672" s="40"/>
      <c r="E672" s="40"/>
      <c r="F672" s="40"/>
      <c r="G672" s="40"/>
      <c r="H672" s="40"/>
      <c r="I672" s="40"/>
      <c r="J672" s="265" t="s">
        <v>661</v>
      </c>
      <c r="K672" s="41"/>
      <c r="N672" s="12" t="s">
        <v>894</v>
      </c>
    </row>
    <row r="673" spans="2:14" ht="15" customHeight="1" x14ac:dyDescent="0.2">
      <c r="B673" s="38"/>
      <c r="C673" s="174" t="s">
        <v>660</v>
      </c>
      <c r="D673" s="40"/>
      <c r="E673" s="40"/>
      <c r="F673" s="40"/>
      <c r="G673" s="40"/>
      <c r="H673" s="40"/>
      <c r="I673" s="40"/>
      <c r="J673" s="246" t="str">
        <f>IF(J672=N671,"N/A",IF(J672=N672,0,IF(J672=N673,1,IF(J672=N674,2,IF(J672=N675,3,IF(J672=N676,4,"N/A"))))))</f>
        <v>N/A</v>
      </c>
      <c r="K673" s="41"/>
      <c r="N673" s="12" t="s">
        <v>908</v>
      </c>
    </row>
    <row r="674" spans="2:14" ht="15" customHeight="1" x14ac:dyDescent="0.2">
      <c r="B674" s="38"/>
      <c r="C674" s="40" t="s">
        <v>257</v>
      </c>
      <c r="D674" s="40"/>
      <c r="E674" s="40"/>
      <c r="F674" s="40"/>
      <c r="G674" s="40"/>
      <c r="H674" s="40"/>
      <c r="I674" s="40"/>
      <c r="J674" s="266"/>
      <c r="K674" s="41"/>
      <c r="N674" s="12" t="s">
        <v>900</v>
      </c>
    </row>
    <row r="675" spans="2:14" x14ac:dyDescent="0.2">
      <c r="B675" s="38"/>
      <c r="C675" s="40" t="s">
        <v>261</v>
      </c>
      <c r="D675" s="40"/>
      <c r="E675" s="40"/>
      <c r="F675" s="40"/>
      <c r="G675" s="40"/>
      <c r="H675" s="40"/>
      <c r="I675" s="40"/>
      <c r="J675" s="245" t="str">
        <f>IF(J674=$B$973,$A$973,IF(J674=$B$974,$A$974,IF(J674=$B$975,$A$975,IF(J674=$B$976,$A$976,IF(J674=$B$977,$A$977,"Not Calculated")))))</f>
        <v>Not Calculated</v>
      </c>
      <c r="K675" s="41"/>
      <c r="N675" s="12" t="s">
        <v>901</v>
      </c>
    </row>
    <row r="676" spans="2:14" ht="15" customHeight="1" x14ac:dyDescent="0.2">
      <c r="B676" s="38"/>
      <c r="C676" s="40" t="s">
        <v>893</v>
      </c>
      <c r="D676" s="40"/>
      <c r="E676" s="40"/>
      <c r="F676" s="40"/>
      <c r="G676" s="40"/>
      <c r="H676" s="40"/>
      <c r="I676" s="40"/>
      <c r="J676" s="40"/>
      <c r="K676" s="41"/>
      <c r="N676" s="12" t="s">
        <v>909</v>
      </c>
    </row>
    <row r="677" spans="2:14" ht="15" customHeight="1" x14ac:dyDescent="0.2">
      <c r="B677" s="38"/>
      <c r="C677" s="399"/>
      <c r="D677" s="400"/>
      <c r="E677" s="400"/>
      <c r="F677" s="400"/>
      <c r="G677" s="400"/>
      <c r="H677" s="400"/>
      <c r="I677" s="400"/>
      <c r="J677" s="401"/>
      <c r="K677" s="41"/>
    </row>
    <row r="678" spans="2:14" x14ac:dyDescent="0.2">
      <c r="B678" s="38"/>
      <c r="C678" s="40"/>
      <c r="D678" s="40"/>
      <c r="E678" s="40"/>
      <c r="F678" s="40"/>
      <c r="G678" s="40"/>
      <c r="H678" s="40"/>
      <c r="I678" s="40"/>
      <c r="J678" s="40"/>
      <c r="K678" s="41"/>
    </row>
    <row r="679" spans="2:14" x14ac:dyDescent="0.2">
      <c r="B679" s="38"/>
      <c r="C679" s="179" t="s">
        <v>331</v>
      </c>
      <c r="D679" s="40"/>
      <c r="E679" s="40"/>
      <c r="F679" s="40"/>
      <c r="G679" s="40"/>
      <c r="H679" s="40"/>
      <c r="I679" s="40"/>
      <c r="J679" s="245" t="str">
        <f>IF(J673="N/A",IF(OR(J666="Not Calculated",J675="Not Calculated")=TRUE,"Not Calculated",AVERAGE(J666,J675)),AVERAGE(J673,J675))</f>
        <v>Not Calculated</v>
      </c>
      <c r="K679" s="41"/>
    </row>
    <row r="680" spans="2:14" x14ac:dyDescent="0.2">
      <c r="B680" s="38"/>
      <c r="C680" s="40"/>
      <c r="D680" s="40"/>
      <c r="E680" s="40"/>
      <c r="F680" s="40"/>
      <c r="G680" s="40"/>
      <c r="H680" s="40"/>
      <c r="I680" s="40"/>
      <c r="J680" s="40"/>
      <c r="K680" s="41"/>
    </row>
    <row r="681" spans="2:14" ht="18" x14ac:dyDescent="0.2">
      <c r="B681" s="38"/>
      <c r="C681" s="180" t="s">
        <v>332</v>
      </c>
      <c r="D681" s="40"/>
      <c r="E681" s="40"/>
      <c r="F681" s="40"/>
      <c r="G681" s="40"/>
      <c r="H681" s="40"/>
      <c r="I681" s="40"/>
      <c r="J681" s="244" t="str">
        <f>IF(OR(J562="Not Calculated",J585="Not Calculated",J601="Not Calculated",J615="Not Calculated",J635="Not Calculated",J657="Not Calculated",J679="Not Calculated")=TRUE,"Not Calculated",AVERAGE(J562,J585,J601,J615,J635,J657,J679))</f>
        <v>Not Calculated</v>
      </c>
      <c r="K681" s="41"/>
    </row>
    <row r="682" spans="2:14" ht="16" thickBot="1" x14ac:dyDescent="0.25">
      <c r="B682" s="46"/>
      <c r="C682" s="47"/>
      <c r="D682" s="47"/>
      <c r="E682" s="47"/>
      <c r="F682" s="47"/>
      <c r="G682" s="47"/>
      <c r="H682" s="47"/>
      <c r="I682" s="47"/>
      <c r="J682" s="47"/>
      <c r="K682" s="49"/>
    </row>
    <row r="683" spans="2:14" ht="16" thickBot="1" x14ac:dyDescent="0.25"/>
    <row r="684" spans="2:14" x14ac:dyDescent="0.2">
      <c r="B684" s="33"/>
      <c r="C684" s="34"/>
      <c r="D684" s="34"/>
      <c r="E684" s="34"/>
      <c r="F684" s="34"/>
      <c r="G684" s="34"/>
      <c r="H684" s="34"/>
      <c r="I684" s="34"/>
      <c r="J684" s="34"/>
      <c r="K684" s="37"/>
    </row>
    <row r="685" spans="2:14" ht="21" x14ac:dyDescent="0.25">
      <c r="B685" s="38"/>
      <c r="C685" s="40"/>
      <c r="D685" s="40"/>
      <c r="E685" s="40"/>
      <c r="F685" s="40"/>
      <c r="G685" s="172" t="s">
        <v>346</v>
      </c>
      <c r="H685" s="40"/>
      <c r="I685" s="40"/>
      <c r="J685" s="40"/>
      <c r="K685" s="41"/>
    </row>
    <row r="686" spans="2:14" x14ac:dyDescent="0.2">
      <c r="B686" s="38"/>
      <c r="C686" s="40"/>
      <c r="D686" s="40"/>
      <c r="E686" s="40"/>
      <c r="F686" s="40"/>
      <c r="G686" s="40"/>
      <c r="H686" s="40"/>
      <c r="I686" s="40"/>
      <c r="J686" s="40"/>
      <c r="K686" s="41"/>
    </row>
    <row r="687" spans="2:14" ht="16" x14ac:dyDescent="0.2">
      <c r="B687" s="38"/>
      <c r="C687" s="182" t="s">
        <v>986</v>
      </c>
      <c r="D687" s="40"/>
      <c r="E687" s="40"/>
      <c r="F687" s="40"/>
      <c r="G687" s="40"/>
      <c r="H687" s="40"/>
      <c r="I687" s="40"/>
      <c r="J687" s="257" t="str">
        <f>IF(OR($J$133="Not Calculated",$J$261="Not Calculated",$J$421="Not Calculated",$J$539="Not Calculated",$J$681="Not Calculated")=TRUE,"Not Calculated",AVERAGE($J$133,$J$261,$J$421,$J$539,$J$681))</f>
        <v>Not Calculated</v>
      </c>
      <c r="K687" s="41"/>
    </row>
    <row r="688" spans="2:14" x14ac:dyDescent="0.2">
      <c r="B688" s="38"/>
      <c r="C688" s="40"/>
      <c r="D688" s="40" t="s">
        <v>343</v>
      </c>
      <c r="E688" s="40"/>
      <c r="F688" s="40"/>
      <c r="G688" s="40"/>
      <c r="H688" s="40"/>
      <c r="I688" s="40"/>
      <c r="J688" s="40"/>
      <c r="K688" s="41"/>
    </row>
    <row r="689" spans="2:11" ht="15" customHeight="1" x14ac:dyDescent="0.2">
      <c r="B689" s="38"/>
      <c r="C689" s="40"/>
      <c r="D689" s="40"/>
      <c r="E689" s="40"/>
      <c r="F689" s="40"/>
      <c r="G689" s="40"/>
      <c r="H689" s="40"/>
      <c r="I689" s="40"/>
      <c r="J689" s="40"/>
      <c r="K689" s="41"/>
    </row>
    <row r="690" spans="2:11" ht="16" x14ac:dyDescent="0.2">
      <c r="B690" s="38"/>
      <c r="C690" s="182" t="s">
        <v>987</v>
      </c>
      <c r="D690" s="40"/>
      <c r="E690" s="40"/>
      <c r="F690" s="40"/>
      <c r="G690" s="40"/>
      <c r="H690" s="40"/>
      <c r="I690" s="40"/>
      <c r="J690" s="257" t="str">
        <f>IF(OR($J$133="Not Calculated",$J$261="Not Calculated",$J$539="Not Calculated",$J$681="Not Calculated")=TRUE,"Not Calculated",AVERAGE($J$133,$J$261,$J$539,$J$681))</f>
        <v>Not Calculated</v>
      </c>
      <c r="K690" s="41"/>
    </row>
    <row r="691" spans="2:11" ht="15" customHeight="1" x14ac:dyDescent="0.2">
      <c r="B691" s="38"/>
      <c r="C691" s="40"/>
      <c r="D691" s="40" t="s">
        <v>344</v>
      </c>
      <c r="E691" s="40"/>
      <c r="F691" s="40"/>
      <c r="G691" s="40"/>
      <c r="H691" s="40"/>
      <c r="I691" s="40"/>
      <c r="J691" s="40"/>
      <c r="K691" s="41"/>
    </row>
    <row r="692" spans="2:11" x14ac:dyDescent="0.2">
      <c r="B692" s="38"/>
      <c r="C692" s="40"/>
      <c r="D692" s="40"/>
      <c r="E692" s="40"/>
      <c r="F692" s="40"/>
      <c r="G692" s="40"/>
      <c r="H692" s="40"/>
      <c r="I692" s="40"/>
      <c r="J692" s="40"/>
      <c r="K692" s="41"/>
    </row>
    <row r="693" spans="2:11" ht="16" x14ac:dyDescent="0.2">
      <c r="B693" s="38"/>
      <c r="C693" s="182" t="s">
        <v>988</v>
      </c>
      <c r="D693" s="40"/>
      <c r="E693" s="40"/>
      <c r="F693" s="40"/>
      <c r="G693" s="40"/>
      <c r="H693" s="40"/>
      <c r="I693" s="40"/>
      <c r="J693" s="257" t="str">
        <f>IF(OR($J$133="Not Calculated",$J$261="Not Calculated",$J$421="Not Calculated")=TRUE,"Not Calculated",AVERAGE($J$133,$J$261,$J$421))</f>
        <v>Not Calculated</v>
      </c>
      <c r="K693" s="41"/>
    </row>
    <row r="694" spans="2:11" x14ac:dyDescent="0.2">
      <c r="B694" s="38"/>
      <c r="C694" s="40"/>
      <c r="D694" s="40" t="s">
        <v>345</v>
      </c>
      <c r="E694" s="40"/>
      <c r="F694" s="40"/>
      <c r="G694" s="40"/>
      <c r="H694" s="40"/>
      <c r="I694" s="40"/>
      <c r="J694" s="40"/>
      <c r="K694" s="41"/>
    </row>
    <row r="695" spans="2:11" ht="16" thickBot="1" x14ac:dyDescent="0.25">
      <c r="B695" s="46"/>
      <c r="C695" s="47"/>
      <c r="D695" s="47"/>
      <c r="E695" s="47"/>
      <c r="F695" s="47"/>
      <c r="G695" s="47"/>
      <c r="H695" s="47"/>
      <c r="I695" s="47"/>
      <c r="J695" s="47"/>
      <c r="K695" s="49"/>
    </row>
    <row r="696" spans="2:11" ht="16" thickBot="1" x14ac:dyDescent="0.25"/>
    <row r="697" spans="2:11" x14ac:dyDescent="0.2">
      <c r="B697" s="183"/>
      <c r="C697" s="184"/>
      <c r="D697" s="184"/>
      <c r="E697" s="184"/>
      <c r="F697" s="184"/>
      <c r="G697" s="184"/>
      <c r="H697" s="184"/>
      <c r="I697" s="184"/>
      <c r="J697" s="184"/>
      <c r="K697" s="185"/>
    </row>
    <row r="698" spans="2:11" ht="21" x14ac:dyDescent="0.25">
      <c r="B698" s="186"/>
      <c r="C698" s="187"/>
      <c r="D698" s="187"/>
      <c r="E698" s="187"/>
      <c r="F698" s="187"/>
      <c r="G698" s="188" t="s">
        <v>231</v>
      </c>
      <c r="H698" s="187"/>
      <c r="I698" s="187"/>
      <c r="J698" s="187"/>
      <c r="K698" s="189"/>
    </row>
    <row r="699" spans="2:11" x14ac:dyDescent="0.2">
      <c r="B699" s="186"/>
      <c r="C699" s="187"/>
      <c r="D699" s="187"/>
      <c r="E699" s="187"/>
      <c r="F699" s="187"/>
      <c r="G699" s="187"/>
      <c r="H699" s="187"/>
      <c r="I699" s="187"/>
      <c r="J699" s="187"/>
      <c r="K699" s="189"/>
    </row>
    <row r="700" spans="2:11" ht="16" x14ac:dyDescent="0.2">
      <c r="B700" s="186"/>
      <c r="C700" s="190" t="s">
        <v>989</v>
      </c>
      <c r="D700" s="187"/>
      <c r="E700" s="187"/>
      <c r="F700" s="187"/>
      <c r="G700" s="187"/>
      <c r="H700" s="187"/>
      <c r="I700" s="187"/>
      <c r="J700" s="256" t="str">
        <f>IF(OR(J687="Not Calculated",$E$17="Not Calculated")=TRUE,"Not Calculated",(J687*$E$17*100/16))</f>
        <v>Not Calculated</v>
      </c>
      <c r="K700" s="189"/>
    </row>
    <row r="701" spans="2:11" x14ac:dyDescent="0.2">
      <c r="B701" s="186"/>
      <c r="C701" s="187"/>
      <c r="D701" s="187" t="s">
        <v>377</v>
      </c>
      <c r="E701" s="187"/>
      <c r="F701" s="187"/>
      <c r="G701" s="187"/>
      <c r="H701" s="187"/>
      <c r="I701" s="187"/>
      <c r="J701" s="187"/>
      <c r="K701" s="189"/>
    </row>
    <row r="702" spans="2:11" x14ac:dyDescent="0.2">
      <c r="B702" s="186"/>
      <c r="C702" s="187"/>
      <c r="D702" s="187"/>
      <c r="E702" s="187"/>
      <c r="F702" s="187"/>
      <c r="G702" s="187"/>
      <c r="H702" s="187"/>
      <c r="I702" s="187"/>
      <c r="J702" s="187"/>
      <c r="K702" s="189"/>
    </row>
    <row r="703" spans="2:11" ht="16" x14ac:dyDescent="0.2">
      <c r="B703" s="186"/>
      <c r="C703" s="190" t="s">
        <v>990</v>
      </c>
      <c r="D703" s="187"/>
      <c r="E703" s="187"/>
      <c r="F703" s="187"/>
      <c r="G703" s="187"/>
      <c r="H703" s="187"/>
      <c r="I703" s="187"/>
      <c r="J703" s="256" t="str">
        <f>IF(OR(J690="Not Calculated",$E$17="Not Calculated")=TRUE,"Not Calculated",(J690*$E$17*100/16))</f>
        <v>Not Calculated</v>
      </c>
      <c r="K703" s="189"/>
    </row>
    <row r="704" spans="2:11" x14ac:dyDescent="0.2">
      <c r="B704" s="186"/>
      <c r="C704" s="187"/>
      <c r="D704" s="187" t="s">
        <v>378</v>
      </c>
      <c r="E704" s="187"/>
      <c r="F704" s="187"/>
      <c r="G704" s="187"/>
      <c r="H704" s="187"/>
      <c r="I704" s="187"/>
      <c r="J704" s="187"/>
      <c r="K704" s="189"/>
    </row>
    <row r="705" spans="2:11" x14ac:dyDescent="0.2">
      <c r="B705" s="186"/>
      <c r="C705" s="187"/>
      <c r="D705" s="187"/>
      <c r="E705" s="187"/>
      <c r="F705" s="187"/>
      <c r="G705" s="187"/>
      <c r="H705" s="187"/>
      <c r="I705" s="187"/>
      <c r="J705" s="187"/>
      <c r="K705" s="189"/>
    </row>
    <row r="706" spans="2:11" ht="16" x14ac:dyDescent="0.2">
      <c r="B706" s="186"/>
      <c r="C706" s="190" t="s">
        <v>991</v>
      </c>
      <c r="D706" s="187"/>
      <c r="E706" s="187"/>
      <c r="F706" s="187"/>
      <c r="G706" s="187"/>
      <c r="H706" s="187"/>
      <c r="I706" s="187"/>
      <c r="J706" s="256" t="str">
        <f>IF(OR(J693="Not Calculated",$E$17="Not Calculated")=TRUE,"Not Calculated",(J693*$E$17*100/16))</f>
        <v>Not Calculated</v>
      </c>
      <c r="K706" s="189"/>
    </row>
    <row r="707" spans="2:11" x14ac:dyDescent="0.2">
      <c r="B707" s="186"/>
      <c r="C707" s="187"/>
      <c r="D707" s="187" t="s">
        <v>379</v>
      </c>
      <c r="E707" s="187"/>
      <c r="F707" s="187"/>
      <c r="G707" s="187"/>
      <c r="H707" s="187"/>
      <c r="I707" s="187"/>
      <c r="J707" s="187"/>
      <c r="K707" s="189"/>
    </row>
    <row r="708" spans="2:11" ht="16" thickBot="1" x14ac:dyDescent="0.25">
      <c r="B708" s="191"/>
      <c r="C708" s="192"/>
      <c r="D708" s="192"/>
      <c r="E708" s="192"/>
      <c r="F708" s="192"/>
      <c r="G708" s="192"/>
      <c r="H708" s="192"/>
      <c r="I708" s="192"/>
      <c r="J708" s="192"/>
      <c r="K708" s="193"/>
    </row>
    <row r="709" spans="2:11" ht="16" thickBot="1" x14ac:dyDescent="0.25"/>
    <row r="710" spans="2:11" x14ac:dyDescent="0.2">
      <c r="B710" s="53"/>
      <c r="C710" s="54"/>
      <c r="D710" s="54"/>
      <c r="E710" s="54"/>
      <c r="F710" s="54"/>
      <c r="G710" s="54"/>
      <c r="H710" s="54"/>
      <c r="I710" s="54"/>
      <c r="J710" s="54"/>
      <c r="K710" s="56"/>
    </row>
    <row r="711" spans="2:11" ht="21" x14ac:dyDescent="0.25">
      <c r="B711" s="57"/>
      <c r="C711" s="59"/>
      <c r="D711" s="59"/>
      <c r="E711" s="59"/>
      <c r="F711" s="59"/>
      <c r="G711" s="194" t="s">
        <v>232</v>
      </c>
      <c r="H711" s="59"/>
      <c r="I711" s="59"/>
      <c r="J711" s="59"/>
      <c r="K711" s="61"/>
    </row>
    <row r="712" spans="2:11" x14ac:dyDescent="0.2">
      <c r="B712" s="57"/>
      <c r="C712" s="59"/>
      <c r="D712" s="59"/>
      <c r="E712" s="59"/>
      <c r="F712" s="59"/>
      <c r="G712" s="59"/>
      <c r="H712" s="59"/>
      <c r="I712" s="59"/>
      <c r="J712" s="59"/>
      <c r="K712" s="61"/>
    </row>
    <row r="713" spans="2:11" ht="16" x14ac:dyDescent="0.2">
      <c r="B713" s="57"/>
      <c r="C713" s="195" t="s">
        <v>363</v>
      </c>
      <c r="D713" s="59"/>
      <c r="E713" s="59"/>
      <c r="F713" s="59"/>
      <c r="G713" s="59"/>
      <c r="H713" s="59"/>
      <c r="I713" s="59"/>
      <c r="J713" s="59"/>
      <c r="K713" s="61"/>
    </row>
    <row r="714" spans="2:11" ht="15" customHeight="1" x14ac:dyDescent="0.2">
      <c r="B714" s="57"/>
      <c r="C714" s="411" t="s">
        <v>364</v>
      </c>
      <c r="D714" s="411"/>
      <c r="E714" s="411"/>
      <c r="F714" s="411"/>
      <c r="G714" s="411"/>
      <c r="H714" s="411"/>
      <c r="I714" s="411"/>
      <c r="J714" s="411"/>
      <c r="K714" s="61"/>
    </row>
    <row r="715" spans="2:11" x14ac:dyDescent="0.2">
      <c r="B715" s="57"/>
      <c r="C715" s="411"/>
      <c r="D715" s="411"/>
      <c r="E715" s="411"/>
      <c r="F715" s="411"/>
      <c r="G715" s="411"/>
      <c r="H715" s="411"/>
      <c r="I715" s="411"/>
      <c r="J715" s="411"/>
      <c r="K715" s="61"/>
    </row>
    <row r="716" spans="2:11" x14ac:dyDescent="0.2">
      <c r="B716" s="57"/>
      <c r="C716" s="411"/>
      <c r="D716" s="411"/>
      <c r="E716" s="411"/>
      <c r="F716" s="411"/>
      <c r="G716" s="411"/>
      <c r="H716" s="411"/>
      <c r="I716" s="411"/>
      <c r="J716" s="411"/>
      <c r="K716" s="61"/>
    </row>
    <row r="717" spans="2:11" x14ac:dyDescent="0.2">
      <c r="B717" s="57"/>
      <c r="C717" s="196" t="s">
        <v>30</v>
      </c>
      <c r="D717" s="59"/>
      <c r="E717" s="59"/>
      <c r="F717" s="59"/>
      <c r="G717" s="431"/>
      <c r="H717" s="431"/>
      <c r="I717" s="59"/>
      <c r="J717" s="260" t="str">
        <f>IF(G717=$B$994,$A$994,IF(G717=$B$995,$A$995,"Not Calculated"))</f>
        <v>Not Calculated</v>
      </c>
      <c r="K717" s="61"/>
    </row>
    <row r="718" spans="2:11" x14ac:dyDescent="0.2">
      <c r="B718" s="57"/>
      <c r="C718" s="196" t="s">
        <v>32</v>
      </c>
      <c r="D718" s="59"/>
      <c r="E718" s="59"/>
      <c r="F718" s="59"/>
      <c r="G718" s="431"/>
      <c r="H718" s="431"/>
      <c r="I718" s="59"/>
      <c r="J718" s="260" t="str">
        <f t="shared" ref="J718:J725" si="0">IF(G718=$B$994,$A$994,IF(G718=$B$995,$A$995,"Not Calculated"))</f>
        <v>Not Calculated</v>
      </c>
      <c r="K718" s="61"/>
    </row>
    <row r="719" spans="2:11" x14ac:dyDescent="0.2">
      <c r="B719" s="57"/>
      <c r="C719" s="196" t="s">
        <v>34</v>
      </c>
      <c r="D719" s="59"/>
      <c r="E719" s="59"/>
      <c r="F719" s="59"/>
      <c r="G719" s="431"/>
      <c r="H719" s="431"/>
      <c r="I719" s="59"/>
      <c r="J719" s="260" t="str">
        <f t="shared" si="0"/>
        <v>Not Calculated</v>
      </c>
      <c r="K719" s="61"/>
    </row>
    <row r="720" spans="2:11" x14ac:dyDescent="0.2">
      <c r="B720" s="57"/>
      <c r="C720" s="196" t="s">
        <v>35</v>
      </c>
      <c r="D720" s="59"/>
      <c r="E720" s="59"/>
      <c r="F720" s="59"/>
      <c r="G720" s="431"/>
      <c r="H720" s="431"/>
      <c r="I720" s="59"/>
      <c r="J720" s="260" t="str">
        <f t="shared" si="0"/>
        <v>Not Calculated</v>
      </c>
      <c r="K720" s="61"/>
    </row>
    <row r="721" spans="2:11" x14ac:dyDescent="0.2">
      <c r="B721" s="57"/>
      <c r="C721" s="196" t="s">
        <v>37</v>
      </c>
      <c r="D721" s="59"/>
      <c r="E721" s="59"/>
      <c r="F721" s="59"/>
      <c r="G721" s="431"/>
      <c r="H721" s="431"/>
      <c r="I721" s="59"/>
      <c r="J721" s="260" t="str">
        <f t="shared" si="0"/>
        <v>Not Calculated</v>
      </c>
      <c r="K721" s="61"/>
    </row>
    <row r="722" spans="2:11" x14ac:dyDescent="0.2">
      <c r="B722" s="57"/>
      <c r="C722" s="196" t="s">
        <v>38</v>
      </c>
      <c r="D722" s="59"/>
      <c r="E722" s="59"/>
      <c r="F722" s="59"/>
      <c r="G722" s="431"/>
      <c r="H722" s="431"/>
      <c r="I722" s="59"/>
      <c r="J722" s="260" t="str">
        <f t="shared" si="0"/>
        <v>Not Calculated</v>
      </c>
      <c r="K722" s="61"/>
    </row>
    <row r="723" spans="2:11" x14ac:dyDescent="0.2">
      <c r="B723" s="57"/>
      <c r="C723" s="196" t="s">
        <v>40</v>
      </c>
      <c r="D723" s="59"/>
      <c r="E723" s="59"/>
      <c r="F723" s="59"/>
      <c r="G723" s="431"/>
      <c r="H723" s="431"/>
      <c r="I723" s="59"/>
      <c r="J723" s="260" t="str">
        <f t="shared" si="0"/>
        <v>Not Calculated</v>
      </c>
      <c r="K723" s="61"/>
    </row>
    <row r="724" spans="2:11" x14ac:dyDescent="0.2">
      <c r="B724" s="57"/>
      <c r="C724" s="196" t="s">
        <v>41</v>
      </c>
      <c r="D724" s="59"/>
      <c r="E724" s="59"/>
      <c r="F724" s="59"/>
      <c r="G724" s="431"/>
      <c r="H724" s="431"/>
      <c r="I724" s="59"/>
      <c r="J724" s="260" t="str">
        <f t="shared" si="0"/>
        <v>Not Calculated</v>
      </c>
      <c r="K724" s="61"/>
    </row>
    <row r="725" spans="2:11" x14ac:dyDescent="0.2">
      <c r="B725" s="57"/>
      <c r="C725" s="196" t="s">
        <v>43</v>
      </c>
      <c r="D725" s="59"/>
      <c r="E725" s="59"/>
      <c r="F725" s="59"/>
      <c r="G725" s="431"/>
      <c r="H725" s="431"/>
      <c r="I725" s="59"/>
      <c r="J725" s="260" t="str">
        <f t="shared" si="0"/>
        <v>Not Calculated</v>
      </c>
      <c r="K725" s="61"/>
    </row>
    <row r="726" spans="2:11" x14ac:dyDescent="0.2">
      <c r="B726" s="57"/>
      <c r="C726" s="59"/>
      <c r="D726" s="59"/>
      <c r="E726" s="59"/>
      <c r="F726" s="59"/>
      <c r="G726" s="59"/>
      <c r="H726" s="59"/>
      <c r="I726" s="59"/>
      <c r="J726" s="59"/>
      <c r="K726" s="61"/>
    </row>
    <row r="727" spans="2:11" x14ac:dyDescent="0.2">
      <c r="B727" s="57"/>
      <c r="C727" s="59"/>
      <c r="D727" s="59"/>
      <c r="E727" s="59"/>
      <c r="F727" s="59"/>
      <c r="G727" s="59"/>
      <c r="H727" s="59"/>
      <c r="I727" s="59"/>
      <c r="J727" s="59"/>
      <c r="K727" s="61"/>
    </row>
    <row r="728" spans="2:11" ht="16" x14ac:dyDescent="0.2">
      <c r="B728" s="57"/>
      <c r="C728" s="195" t="s">
        <v>115</v>
      </c>
      <c r="D728" s="59"/>
      <c r="E728" s="59"/>
      <c r="F728" s="59"/>
      <c r="G728" s="59"/>
      <c r="H728" s="59"/>
      <c r="I728" s="59"/>
      <c r="J728" s="59"/>
      <c r="K728" s="61"/>
    </row>
    <row r="729" spans="2:11" ht="15" customHeight="1" x14ac:dyDescent="0.2">
      <c r="B729" s="57"/>
      <c r="C729" s="411" t="s">
        <v>365</v>
      </c>
      <c r="D729" s="411"/>
      <c r="E729" s="411"/>
      <c r="F729" s="411"/>
      <c r="G729" s="411"/>
      <c r="H729" s="411"/>
      <c r="I729" s="411"/>
      <c r="J729" s="411"/>
      <c r="K729" s="61"/>
    </row>
    <row r="730" spans="2:11" x14ac:dyDescent="0.2">
      <c r="B730" s="57"/>
      <c r="C730" s="411"/>
      <c r="D730" s="411"/>
      <c r="E730" s="411"/>
      <c r="F730" s="411"/>
      <c r="G730" s="411"/>
      <c r="H730" s="411"/>
      <c r="I730" s="411"/>
      <c r="J730" s="411"/>
      <c r="K730" s="61"/>
    </row>
    <row r="731" spans="2:11" x14ac:dyDescent="0.2">
      <c r="B731" s="57"/>
      <c r="C731" s="411"/>
      <c r="D731" s="411"/>
      <c r="E731" s="411"/>
      <c r="F731" s="411"/>
      <c r="G731" s="411"/>
      <c r="H731" s="411"/>
      <c r="I731" s="411"/>
      <c r="J731" s="411"/>
      <c r="K731" s="61"/>
    </row>
    <row r="732" spans="2:11" x14ac:dyDescent="0.2">
      <c r="B732" s="57"/>
      <c r="C732" s="196" t="s">
        <v>30</v>
      </c>
      <c r="D732" s="59"/>
      <c r="E732" s="59"/>
      <c r="F732" s="59"/>
      <c r="G732" s="431"/>
      <c r="H732" s="431"/>
      <c r="I732" s="59"/>
      <c r="J732" s="260" t="str">
        <f>IF(G732=$B$994,$A$994,IF(G732=$B$995,$A$995,"Not Calculated"))</f>
        <v>Not Calculated</v>
      </c>
      <c r="K732" s="61"/>
    </row>
    <row r="733" spans="2:11" x14ac:dyDescent="0.2">
      <c r="B733" s="57"/>
      <c r="C733" s="196" t="s">
        <v>32</v>
      </c>
      <c r="D733" s="59"/>
      <c r="E733" s="59"/>
      <c r="F733" s="59"/>
      <c r="G733" s="431"/>
      <c r="H733" s="431"/>
      <c r="I733" s="59"/>
      <c r="J733" s="260" t="str">
        <f t="shared" ref="J733:J740" si="1">IF(G733=$B$994,$A$994,IF(G733=$B$995,$A$995,"Not Calculated"))</f>
        <v>Not Calculated</v>
      </c>
      <c r="K733" s="61"/>
    </row>
    <row r="734" spans="2:11" ht="15" customHeight="1" x14ac:dyDescent="0.2">
      <c r="B734" s="57"/>
      <c r="C734" s="196" t="s">
        <v>34</v>
      </c>
      <c r="D734" s="59"/>
      <c r="E734" s="59"/>
      <c r="F734" s="59"/>
      <c r="G734" s="431"/>
      <c r="H734" s="431"/>
      <c r="I734" s="59"/>
      <c r="J734" s="260" t="str">
        <f t="shared" si="1"/>
        <v>Not Calculated</v>
      </c>
      <c r="K734" s="61"/>
    </row>
    <row r="735" spans="2:11" x14ac:dyDescent="0.2">
      <c r="B735" s="57"/>
      <c r="C735" s="196" t="s">
        <v>35</v>
      </c>
      <c r="D735" s="59"/>
      <c r="E735" s="59"/>
      <c r="F735" s="59"/>
      <c r="G735" s="431"/>
      <c r="H735" s="431"/>
      <c r="I735" s="59"/>
      <c r="J735" s="260" t="str">
        <f t="shared" si="1"/>
        <v>Not Calculated</v>
      </c>
      <c r="K735" s="61"/>
    </row>
    <row r="736" spans="2:11" x14ac:dyDescent="0.2">
      <c r="B736" s="57"/>
      <c r="C736" s="196" t="s">
        <v>37</v>
      </c>
      <c r="D736" s="59"/>
      <c r="E736" s="59"/>
      <c r="F736" s="59"/>
      <c r="G736" s="431"/>
      <c r="H736" s="431"/>
      <c r="I736" s="59"/>
      <c r="J736" s="260" t="str">
        <f t="shared" si="1"/>
        <v>Not Calculated</v>
      </c>
      <c r="K736" s="61"/>
    </row>
    <row r="737" spans="2:11" x14ac:dyDescent="0.2">
      <c r="B737" s="57"/>
      <c r="C737" s="196" t="s">
        <v>38</v>
      </c>
      <c r="D737" s="59"/>
      <c r="E737" s="59"/>
      <c r="F737" s="59"/>
      <c r="G737" s="431"/>
      <c r="H737" s="431"/>
      <c r="I737" s="59"/>
      <c r="J737" s="260" t="str">
        <f t="shared" si="1"/>
        <v>Not Calculated</v>
      </c>
      <c r="K737" s="61"/>
    </row>
    <row r="738" spans="2:11" x14ac:dyDescent="0.2">
      <c r="B738" s="57"/>
      <c r="C738" s="196" t="s">
        <v>40</v>
      </c>
      <c r="D738" s="59"/>
      <c r="E738" s="59"/>
      <c r="F738" s="59"/>
      <c r="G738" s="431"/>
      <c r="H738" s="431"/>
      <c r="I738" s="59"/>
      <c r="J738" s="260" t="str">
        <f t="shared" si="1"/>
        <v>Not Calculated</v>
      </c>
      <c r="K738" s="61"/>
    </row>
    <row r="739" spans="2:11" x14ac:dyDescent="0.2">
      <c r="B739" s="57"/>
      <c r="C739" s="196" t="s">
        <v>41</v>
      </c>
      <c r="D739" s="59"/>
      <c r="E739" s="59"/>
      <c r="F739" s="59"/>
      <c r="G739" s="431"/>
      <c r="H739" s="431"/>
      <c r="I739" s="59"/>
      <c r="J739" s="260" t="str">
        <f t="shared" si="1"/>
        <v>Not Calculated</v>
      </c>
      <c r="K739" s="61"/>
    </row>
    <row r="740" spans="2:11" x14ac:dyDescent="0.2">
      <c r="B740" s="57"/>
      <c r="C740" s="196" t="s">
        <v>43</v>
      </c>
      <c r="D740" s="59"/>
      <c r="E740" s="59"/>
      <c r="F740" s="59"/>
      <c r="G740" s="431"/>
      <c r="H740" s="431"/>
      <c r="I740" s="59"/>
      <c r="J740" s="260" t="str">
        <f t="shared" si="1"/>
        <v>Not Calculated</v>
      </c>
      <c r="K740" s="61"/>
    </row>
    <row r="741" spans="2:11" x14ac:dyDescent="0.2">
      <c r="B741" s="57"/>
      <c r="C741" s="59"/>
      <c r="D741" s="59"/>
      <c r="E741" s="59"/>
      <c r="F741" s="59"/>
      <c r="G741" s="59"/>
      <c r="H741" s="59"/>
      <c r="I741" s="59"/>
      <c r="J741" s="59"/>
      <c r="K741" s="61"/>
    </row>
    <row r="742" spans="2:11" x14ac:dyDescent="0.2">
      <c r="B742" s="57"/>
      <c r="C742" s="59"/>
      <c r="D742" s="59"/>
      <c r="E742" s="59"/>
      <c r="F742" s="59"/>
      <c r="G742" s="59"/>
      <c r="H742" s="59"/>
      <c r="I742" s="59"/>
      <c r="J742" s="59"/>
      <c r="K742" s="61"/>
    </row>
    <row r="743" spans="2:11" ht="16" x14ac:dyDescent="0.2">
      <c r="B743" s="57"/>
      <c r="C743" s="195" t="s">
        <v>366</v>
      </c>
      <c r="D743" s="59"/>
      <c r="E743" s="59"/>
      <c r="F743" s="59"/>
      <c r="G743" s="59"/>
      <c r="H743" s="59"/>
      <c r="I743" s="59"/>
      <c r="J743" s="59"/>
      <c r="K743" s="61"/>
    </row>
    <row r="744" spans="2:11" ht="15" customHeight="1" x14ac:dyDescent="0.2">
      <c r="B744" s="57"/>
      <c r="C744" s="411" t="s">
        <v>367</v>
      </c>
      <c r="D744" s="411"/>
      <c r="E744" s="411"/>
      <c r="F744" s="411"/>
      <c r="G744" s="411"/>
      <c r="H744" s="411"/>
      <c r="I744" s="411"/>
      <c r="J744" s="411"/>
      <c r="K744" s="61"/>
    </row>
    <row r="745" spans="2:11" x14ac:dyDescent="0.2">
      <c r="B745" s="57"/>
      <c r="C745" s="411"/>
      <c r="D745" s="411"/>
      <c r="E745" s="411"/>
      <c r="F745" s="411"/>
      <c r="G745" s="411"/>
      <c r="H745" s="411"/>
      <c r="I745" s="411"/>
      <c r="J745" s="411"/>
      <c r="K745" s="61"/>
    </row>
    <row r="746" spans="2:11" x14ac:dyDescent="0.2">
      <c r="B746" s="57"/>
      <c r="C746" s="411"/>
      <c r="D746" s="411"/>
      <c r="E746" s="411"/>
      <c r="F746" s="411"/>
      <c r="G746" s="411"/>
      <c r="H746" s="411"/>
      <c r="I746" s="411"/>
      <c r="J746" s="411"/>
      <c r="K746" s="61"/>
    </row>
    <row r="747" spans="2:11" x14ac:dyDescent="0.2">
      <c r="B747" s="57"/>
      <c r="C747" s="196" t="s">
        <v>30</v>
      </c>
      <c r="D747" s="59"/>
      <c r="E747" s="59"/>
      <c r="F747" s="59"/>
      <c r="G747" s="431"/>
      <c r="H747" s="431"/>
      <c r="I747" s="59"/>
      <c r="J747" s="260" t="str">
        <f>IF(G747=$B$994,$A$994,IF(G747=$B$995,$A$995,"Not Calculated"))</f>
        <v>Not Calculated</v>
      </c>
      <c r="K747" s="61"/>
    </row>
    <row r="748" spans="2:11" x14ac:dyDescent="0.2">
      <c r="B748" s="57"/>
      <c r="C748" s="196" t="s">
        <v>32</v>
      </c>
      <c r="D748" s="59"/>
      <c r="E748" s="59"/>
      <c r="F748" s="59"/>
      <c r="G748" s="431"/>
      <c r="H748" s="431"/>
      <c r="I748" s="59"/>
      <c r="J748" s="260" t="str">
        <f t="shared" ref="J748:J755" si="2">IF(G748=$B$994,$A$994,IF(G748=$B$995,$A$995,"Not Calculated"))</f>
        <v>Not Calculated</v>
      </c>
      <c r="K748" s="61"/>
    </row>
    <row r="749" spans="2:11" ht="15" customHeight="1" x14ac:dyDescent="0.2">
      <c r="B749" s="57"/>
      <c r="C749" s="196" t="s">
        <v>34</v>
      </c>
      <c r="D749" s="59"/>
      <c r="E749" s="59"/>
      <c r="F749" s="59"/>
      <c r="G749" s="431"/>
      <c r="H749" s="431"/>
      <c r="I749" s="59"/>
      <c r="J749" s="260" t="str">
        <f t="shared" si="2"/>
        <v>Not Calculated</v>
      </c>
      <c r="K749" s="61"/>
    </row>
    <row r="750" spans="2:11" x14ac:dyDescent="0.2">
      <c r="B750" s="57"/>
      <c r="C750" s="196" t="s">
        <v>35</v>
      </c>
      <c r="D750" s="59"/>
      <c r="E750" s="59"/>
      <c r="F750" s="59"/>
      <c r="G750" s="431"/>
      <c r="H750" s="431"/>
      <c r="I750" s="59"/>
      <c r="J750" s="260" t="str">
        <f t="shared" si="2"/>
        <v>Not Calculated</v>
      </c>
      <c r="K750" s="61"/>
    </row>
    <row r="751" spans="2:11" x14ac:dyDescent="0.2">
      <c r="B751" s="57"/>
      <c r="C751" s="196" t="s">
        <v>37</v>
      </c>
      <c r="D751" s="59"/>
      <c r="E751" s="59"/>
      <c r="F751" s="59"/>
      <c r="G751" s="431"/>
      <c r="H751" s="431"/>
      <c r="I751" s="59"/>
      <c r="J751" s="260" t="str">
        <f t="shared" si="2"/>
        <v>Not Calculated</v>
      </c>
      <c r="K751" s="61"/>
    </row>
    <row r="752" spans="2:11" x14ac:dyDescent="0.2">
      <c r="B752" s="57"/>
      <c r="C752" s="196" t="s">
        <v>38</v>
      </c>
      <c r="D752" s="59"/>
      <c r="E752" s="59"/>
      <c r="F752" s="59"/>
      <c r="G752" s="431"/>
      <c r="H752" s="431"/>
      <c r="I752" s="59"/>
      <c r="J752" s="260" t="str">
        <f t="shared" si="2"/>
        <v>Not Calculated</v>
      </c>
      <c r="K752" s="61"/>
    </row>
    <row r="753" spans="2:11" x14ac:dyDescent="0.2">
      <c r="B753" s="57"/>
      <c r="C753" s="196" t="s">
        <v>40</v>
      </c>
      <c r="D753" s="59"/>
      <c r="E753" s="59"/>
      <c r="F753" s="59"/>
      <c r="G753" s="431"/>
      <c r="H753" s="431"/>
      <c r="I753" s="59"/>
      <c r="J753" s="260" t="str">
        <f t="shared" si="2"/>
        <v>Not Calculated</v>
      </c>
      <c r="K753" s="61"/>
    </row>
    <row r="754" spans="2:11" x14ac:dyDescent="0.2">
      <c r="B754" s="57"/>
      <c r="C754" s="196" t="s">
        <v>41</v>
      </c>
      <c r="D754" s="59"/>
      <c r="E754" s="59"/>
      <c r="F754" s="59"/>
      <c r="G754" s="431"/>
      <c r="H754" s="431"/>
      <c r="I754" s="59"/>
      <c r="J754" s="260" t="str">
        <f t="shared" si="2"/>
        <v>Not Calculated</v>
      </c>
      <c r="K754" s="61"/>
    </row>
    <row r="755" spans="2:11" x14ac:dyDescent="0.2">
      <c r="B755" s="57"/>
      <c r="C755" s="196" t="s">
        <v>43</v>
      </c>
      <c r="D755" s="59"/>
      <c r="E755" s="59"/>
      <c r="F755" s="59"/>
      <c r="G755" s="431"/>
      <c r="H755" s="431"/>
      <c r="I755" s="59"/>
      <c r="J755" s="260" t="str">
        <f t="shared" si="2"/>
        <v>Not Calculated</v>
      </c>
      <c r="K755" s="61"/>
    </row>
    <row r="756" spans="2:11" x14ac:dyDescent="0.2">
      <c r="B756" s="57"/>
      <c r="C756" s="59"/>
      <c r="D756" s="59"/>
      <c r="E756" s="59"/>
      <c r="F756" s="59"/>
      <c r="G756" s="59"/>
      <c r="H756" s="59"/>
      <c r="I756" s="59"/>
      <c r="J756" s="59"/>
      <c r="K756" s="61"/>
    </row>
    <row r="757" spans="2:11" x14ac:dyDescent="0.2">
      <c r="B757" s="57"/>
      <c r="C757" s="59"/>
      <c r="D757" s="59"/>
      <c r="E757" s="59"/>
      <c r="F757" s="59"/>
      <c r="G757" s="59"/>
      <c r="H757" s="59"/>
      <c r="I757" s="59"/>
      <c r="J757" s="59"/>
      <c r="K757" s="61"/>
    </row>
    <row r="758" spans="2:11" ht="16" x14ac:dyDescent="0.2">
      <c r="B758" s="57"/>
      <c r="C758" s="195" t="s">
        <v>368</v>
      </c>
      <c r="D758" s="59"/>
      <c r="E758" s="59"/>
      <c r="F758" s="59"/>
      <c r="G758" s="59"/>
      <c r="H758" s="59"/>
      <c r="I758" s="59"/>
      <c r="J758" s="59"/>
      <c r="K758" s="61"/>
    </row>
    <row r="759" spans="2:11" ht="15" customHeight="1" x14ac:dyDescent="0.2">
      <c r="B759" s="57"/>
      <c r="C759" s="411" t="s">
        <v>369</v>
      </c>
      <c r="D759" s="411"/>
      <c r="E759" s="411"/>
      <c r="F759" s="411"/>
      <c r="G759" s="411"/>
      <c r="H759" s="411"/>
      <c r="I759" s="411"/>
      <c r="J759" s="411"/>
      <c r="K759" s="61"/>
    </row>
    <row r="760" spans="2:11" x14ac:dyDescent="0.2">
      <c r="B760" s="57"/>
      <c r="C760" s="411"/>
      <c r="D760" s="411"/>
      <c r="E760" s="411"/>
      <c r="F760" s="411"/>
      <c r="G760" s="411"/>
      <c r="H760" s="411"/>
      <c r="I760" s="411"/>
      <c r="J760" s="411"/>
      <c r="K760" s="61"/>
    </row>
    <row r="761" spans="2:11" x14ac:dyDescent="0.2">
      <c r="B761" s="57"/>
      <c r="C761" s="411"/>
      <c r="D761" s="411"/>
      <c r="E761" s="411"/>
      <c r="F761" s="411"/>
      <c r="G761" s="411"/>
      <c r="H761" s="411"/>
      <c r="I761" s="411"/>
      <c r="J761" s="411"/>
      <c r="K761" s="61"/>
    </row>
    <row r="762" spans="2:11" x14ac:dyDescent="0.2">
      <c r="B762" s="57"/>
      <c r="C762" s="196" t="s">
        <v>30</v>
      </c>
      <c r="D762" s="59"/>
      <c r="E762" s="59"/>
      <c r="F762" s="59"/>
      <c r="G762" s="431"/>
      <c r="H762" s="431"/>
      <c r="I762" s="59"/>
      <c r="J762" s="260" t="str">
        <f>IF(G762=$B$994,$A$994,IF(G762=$B$995,$A$995,"Not Calculated"))</f>
        <v>Not Calculated</v>
      </c>
      <c r="K762" s="61"/>
    </row>
    <row r="763" spans="2:11" x14ac:dyDescent="0.2">
      <c r="B763" s="57"/>
      <c r="C763" s="196" t="s">
        <v>32</v>
      </c>
      <c r="D763" s="59"/>
      <c r="E763" s="59"/>
      <c r="F763" s="59"/>
      <c r="G763" s="431"/>
      <c r="H763" s="431"/>
      <c r="I763" s="59"/>
      <c r="J763" s="260" t="str">
        <f t="shared" ref="J763:J770" si="3">IF(G763=$B$994,$A$994,IF(G763=$B$995,$A$995,"Not Calculated"))</f>
        <v>Not Calculated</v>
      </c>
      <c r="K763" s="61"/>
    </row>
    <row r="764" spans="2:11" ht="15" customHeight="1" x14ac:dyDescent="0.2">
      <c r="B764" s="57"/>
      <c r="C764" s="196" t="s">
        <v>34</v>
      </c>
      <c r="D764" s="59"/>
      <c r="E764" s="59"/>
      <c r="F764" s="59"/>
      <c r="G764" s="431"/>
      <c r="H764" s="431"/>
      <c r="I764" s="59"/>
      <c r="J764" s="260" t="str">
        <f t="shared" si="3"/>
        <v>Not Calculated</v>
      </c>
      <c r="K764" s="61"/>
    </row>
    <row r="765" spans="2:11" x14ac:dyDescent="0.2">
      <c r="B765" s="57"/>
      <c r="C765" s="196" t="s">
        <v>35</v>
      </c>
      <c r="D765" s="59"/>
      <c r="E765" s="59"/>
      <c r="F765" s="59"/>
      <c r="G765" s="431"/>
      <c r="H765" s="431"/>
      <c r="I765" s="59"/>
      <c r="J765" s="260" t="str">
        <f t="shared" si="3"/>
        <v>Not Calculated</v>
      </c>
      <c r="K765" s="61"/>
    </row>
    <row r="766" spans="2:11" x14ac:dyDescent="0.2">
      <c r="B766" s="57"/>
      <c r="C766" s="196" t="s">
        <v>37</v>
      </c>
      <c r="D766" s="59"/>
      <c r="E766" s="59"/>
      <c r="F766" s="59"/>
      <c r="G766" s="431"/>
      <c r="H766" s="431"/>
      <c r="I766" s="59"/>
      <c r="J766" s="260" t="str">
        <f t="shared" si="3"/>
        <v>Not Calculated</v>
      </c>
      <c r="K766" s="61"/>
    </row>
    <row r="767" spans="2:11" x14ac:dyDescent="0.2">
      <c r="B767" s="57"/>
      <c r="C767" s="196" t="s">
        <v>38</v>
      </c>
      <c r="D767" s="59"/>
      <c r="E767" s="59"/>
      <c r="F767" s="59"/>
      <c r="G767" s="431"/>
      <c r="H767" s="431"/>
      <c r="I767" s="59"/>
      <c r="J767" s="260" t="str">
        <f t="shared" si="3"/>
        <v>Not Calculated</v>
      </c>
      <c r="K767" s="61"/>
    </row>
    <row r="768" spans="2:11" x14ac:dyDescent="0.2">
      <c r="B768" s="57"/>
      <c r="C768" s="196" t="s">
        <v>40</v>
      </c>
      <c r="D768" s="59"/>
      <c r="E768" s="59"/>
      <c r="F768" s="59"/>
      <c r="G768" s="431"/>
      <c r="H768" s="431"/>
      <c r="I768" s="59"/>
      <c r="J768" s="260" t="str">
        <f t="shared" si="3"/>
        <v>Not Calculated</v>
      </c>
      <c r="K768" s="61"/>
    </row>
    <row r="769" spans="2:11" x14ac:dyDescent="0.2">
      <c r="B769" s="57"/>
      <c r="C769" s="196" t="s">
        <v>41</v>
      </c>
      <c r="D769" s="59"/>
      <c r="E769" s="59"/>
      <c r="F769" s="59"/>
      <c r="G769" s="431"/>
      <c r="H769" s="431"/>
      <c r="I769" s="59"/>
      <c r="J769" s="260" t="str">
        <f t="shared" si="3"/>
        <v>Not Calculated</v>
      </c>
      <c r="K769" s="61"/>
    </row>
    <row r="770" spans="2:11" x14ac:dyDescent="0.2">
      <c r="B770" s="57"/>
      <c r="C770" s="196" t="s">
        <v>43</v>
      </c>
      <c r="D770" s="59"/>
      <c r="E770" s="59"/>
      <c r="F770" s="59"/>
      <c r="G770" s="431"/>
      <c r="H770" s="431"/>
      <c r="I770" s="59"/>
      <c r="J770" s="260" t="str">
        <f t="shared" si="3"/>
        <v>Not Calculated</v>
      </c>
      <c r="K770" s="61"/>
    </row>
    <row r="771" spans="2:11" x14ac:dyDescent="0.2">
      <c r="B771" s="57"/>
      <c r="C771" s="59"/>
      <c r="D771" s="59"/>
      <c r="E771" s="59"/>
      <c r="F771" s="59"/>
      <c r="G771" s="59"/>
      <c r="H771" s="59"/>
      <c r="I771" s="59"/>
      <c r="J771" s="59"/>
      <c r="K771" s="61"/>
    </row>
    <row r="772" spans="2:11" x14ac:dyDescent="0.2">
      <c r="B772" s="57"/>
      <c r="C772" s="59"/>
      <c r="D772" s="59"/>
      <c r="E772" s="59"/>
      <c r="F772" s="59"/>
      <c r="G772" s="59"/>
      <c r="H772" s="59"/>
      <c r="I772" s="59"/>
      <c r="J772" s="59"/>
      <c r="K772" s="61"/>
    </row>
    <row r="773" spans="2:11" ht="16" x14ac:dyDescent="0.2">
      <c r="B773" s="57"/>
      <c r="C773" s="197" t="s">
        <v>30</v>
      </c>
      <c r="D773" s="59"/>
      <c r="E773" s="59"/>
      <c r="F773" s="59"/>
      <c r="G773" s="59"/>
      <c r="H773" s="59"/>
      <c r="I773" s="59"/>
      <c r="J773" s="59"/>
      <c r="K773" s="61"/>
    </row>
    <row r="774" spans="2:11" x14ac:dyDescent="0.2">
      <c r="B774" s="57"/>
      <c r="C774" s="59"/>
      <c r="D774" s="59" t="s">
        <v>370</v>
      </c>
      <c r="E774" s="59"/>
      <c r="F774" s="59"/>
      <c r="G774" s="59"/>
      <c r="H774" s="59"/>
      <c r="I774" s="59"/>
      <c r="J774" s="60">
        <f>'Baseline At-Risk Pops'!H8</f>
        <v>0</v>
      </c>
      <c r="K774" s="61"/>
    </row>
    <row r="775" spans="2:11" x14ac:dyDescent="0.2">
      <c r="B775" s="57"/>
      <c r="C775" s="59"/>
      <c r="D775" s="59" t="s">
        <v>371</v>
      </c>
      <c r="E775" s="59"/>
      <c r="F775" s="59"/>
      <c r="G775" s="59"/>
      <c r="H775" s="59"/>
      <c r="I775" s="59"/>
      <c r="J775" s="60">
        <f>SUM(J717,J732,J747,J762)</f>
        <v>0</v>
      </c>
      <c r="K775" s="61"/>
    </row>
    <row r="776" spans="2:11" x14ac:dyDescent="0.2">
      <c r="B776" s="57"/>
      <c r="C776" s="59"/>
      <c r="D776" s="196" t="s">
        <v>372</v>
      </c>
      <c r="E776" s="59"/>
      <c r="F776" s="59"/>
      <c r="G776" s="59"/>
      <c r="H776" s="59"/>
      <c r="I776" s="59"/>
      <c r="J776" s="60">
        <f>AVERAGE(J774,J775)</f>
        <v>0</v>
      </c>
      <c r="K776" s="61"/>
    </row>
    <row r="777" spans="2:11" ht="16" x14ac:dyDescent="0.2">
      <c r="B777" s="57"/>
      <c r="C777" s="197" t="s">
        <v>32</v>
      </c>
      <c r="D777" s="59"/>
      <c r="E777" s="59"/>
      <c r="F777" s="59"/>
      <c r="G777" s="59"/>
      <c r="H777" s="59"/>
      <c r="I777" s="59"/>
      <c r="J777" s="60"/>
      <c r="K777" s="61"/>
    </row>
    <row r="778" spans="2:11" x14ac:dyDescent="0.2">
      <c r="B778" s="57"/>
      <c r="C778" s="59"/>
      <c r="D778" s="59" t="s">
        <v>370</v>
      </c>
      <c r="E778" s="59"/>
      <c r="F778" s="59"/>
      <c r="G778" s="59"/>
      <c r="H778" s="59"/>
      <c r="I778" s="59"/>
      <c r="J778" s="60">
        <f>'Baseline At-Risk Pops'!H14</f>
        <v>0</v>
      </c>
      <c r="K778" s="61"/>
    </row>
    <row r="779" spans="2:11" ht="15" customHeight="1" x14ac:dyDescent="0.2">
      <c r="B779" s="57"/>
      <c r="C779" s="59"/>
      <c r="D779" s="59" t="s">
        <v>371</v>
      </c>
      <c r="E779" s="59"/>
      <c r="F779" s="59"/>
      <c r="G779" s="59"/>
      <c r="H779" s="59"/>
      <c r="I779" s="59"/>
      <c r="J779" s="60">
        <f>SUM(J718,J733,J748,J763)</f>
        <v>0</v>
      </c>
      <c r="K779" s="61"/>
    </row>
    <row r="780" spans="2:11" x14ac:dyDescent="0.2">
      <c r="B780" s="57"/>
      <c r="C780" s="59"/>
      <c r="D780" s="196" t="s">
        <v>372</v>
      </c>
      <c r="E780" s="59"/>
      <c r="F780" s="59"/>
      <c r="G780" s="59"/>
      <c r="H780" s="59"/>
      <c r="I780" s="59"/>
      <c r="J780" s="60">
        <f>AVERAGE(J778,J779)</f>
        <v>0</v>
      </c>
      <c r="K780" s="61"/>
    </row>
    <row r="781" spans="2:11" ht="16" x14ac:dyDescent="0.2">
      <c r="B781" s="57"/>
      <c r="C781" s="197" t="s">
        <v>34</v>
      </c>
      <c r="D781" s="59"/>
      <c r="E781" s="59"/>
      <c r="F781" s="59"/>
      <c r="G781" s="59"/>
      <c r="H781" s="59"/>
      <c r="I781" s="59"/>
      <c r="J781" s="60"/>
      <c r="K781" s="61"/>
    </row>
    <row r="782" spans="2:11" ht="16" x14ac:dyDescent="0.2">
      <c r="B782" s="57"/>
      <c r="C782" s="197"/>
      <c r="D782" s="59" t="s">
        <v>370</v>
      </c>
      <c r="E782" s="59"/>
      <c r="F782" s="59"/>
      <c r="G782" s="59"/>
      <c r="H782" s="59"/>
      <c r="I782" s="59"/>
      <c r="J782" s="60">
        <f>'Baseline At-Risk Pops'!H21</f>
        <v>0</v>
      </c>
      <c r="K782" s="61"/>
    </row>
    <row r="783" spans="2:11" x14ac:dyDescent="0.2">
      <c r="B783" s="57"/>
      <c r="C783" s="59"/>
      <c r="D783" s="59" t="s">
        <v>371</v>
      </c>
      <c r="E783" s="59"/>
      <c r="F783" s="59"/>
      <c r="G783" s="59"/>
      <c r="H783" s="59"/>
      <c r="I783" s="59"/>
      <c r="J783" s="60">
        <f>SUM(J719,J734,J749,J764)</f>
        <v>0</v>
      </c>
      <c r="K783" s="61"/>
    </row>
    <row r="784" spans="2:11" x14ac:dyDescent="0.2">
      <c r="B784" s="57"/>
      <c r="C784" s="59"/>
      <c r="D784" s="196" t="s">
        <v>372</v>
      </c>
      <c r="E784" s="59"/>
      <c r="F784" s="59"/>
      <c r="G784" s="59"/>
      <c r="H784" s="59"/>
      <c r="I784" s="59"/>
      <c r="J784" s="60">
        <f>AVERAGE(J782,J783)</f>
        <v>0</v>
      </c>
      <c r="K784" s="61"/>
    </row>
    <row r="785" spans="2:11" ht="16" x14ac:dyDescent="0.2">
      <c r="B785" s="57"/>
      <c r="C785" s="197" t="s">
        <v>35</v>
      </c>
      <c r="D785" s="59"/>
      <c r="E785" s="59"/>
      <c r="F785" s="59"/>
      <c r="G785" s="59"/>
      <c r="H785" s="59"/>
      <c r="I785" s="59"/>
      <c r="J785" s="60"/>
      <c r="K785" s="61"/>
    </row>
    <row r="786" spans="2:11" x14ac:dyDescent="0.2">
      <c r="B786" s="57"/>
      <c r="C786" s="59"/>
      <c r="D786" s="59" t="s">
        <v>370</v>
      </c>
      <c r="E786" s="59"/>
      <c r="F786" s="59"/>
      <c r="G786" s="59"/>
      <c r="H786" s="59"/>
      <c r="I786" s="59"/>
      <c r="J786" s="60">
        <f>'Baseline At-Risk Pops'!H27</f>
        <v>0</v>
      </c>
      <c r="K786" s="61"/>
    </row>
    <row r="787" spans="2:11" x14ac:dyDescent="0.2">
      <c r="B787" s="57"/>
      <c r="C787" s="59"/>
      <c r="D787" s="59" t="s">
        <v>371</v>
      </c>
      <c r="E787" s="59"/>
      <c r="F787" s="59"/>
      <c r="G787" s="59"/>
      <c r="H787" s="59"/>
      <c r="I787" s="59"/>
      <c r="J787" s="60">
        <f>SUM(J720,J735,J750,J765)</f>
        <v>0</v>
      </c>
      <c r="K787" s="61"/>
    </row>
    <row r="788" spans="2:11" x14ac:dyDescent="0.2">
      <c r="B788" s="57"/>
      <c r="C788" s="59"/>
      <c r="D788" s="196" t="s">
        <v>372</v>
      </c>
      <c r="E788" s="59"/>
      <c r="F788" s="59"/>
      <c r="G788" s="59"/>
      <c r="H788" s="59"/>
      <c r="I788" s="59"/>
      <c r="J788" s="60">
        <f>AVERAGE(J786,J787)</f>
        <v>0</v>
      </c>
      <c r="K788" s="61"/>
    </row>
    <row r="789" spans="2:11" ht="16" x14ac:dyDescent="0.2">
      <c r="B789" s="57"/>
      <c r="C789" s="197" t="s">
        <v>37</v>
      </c>
      <c r="D789" s="59"/>
      <c r="E789" s="59"/>
      <c r="F789" s="59"/>
      <c r="G789" s="59"/>
      <c r="H789" s="59"/>
      <c r="I789" s="59"/>
      <c r="J789" s="60"/>
      <c r="K789" s="61"/>
    </row>
    <row r="790" spans="2:11" x14ac:dyDescent="0.2">
      <c r="B790" s="57"/>
      <c r="C790" s="59"/>
      <c r="D790" s="59" t="s">
        <v>370</v>
      </c>
      <c r="E790" s="59"/>
      <c r="F790" s="59"/>
      <c r="G790" s="59"/>
      <c r="H790" s="59"/>
      <c r="I790" s="59"/>
      <c r="J790" s="60">
        <f>'Baseline At-Risk Pops'!H34</f>
        <v>0</v>
      </c>
      <c r="K790" s="61"/>
    </row>
    <row r="791" spans="2:11" x14ac:dyDescent="0.2">
      <c r="B791" s="57"/>
      <c r="C791" s="59"/>
      <c r="D791" s="59" t="s">
        <v>371</v>
      </c>
      <c r="E791" s="59"/>
      <c r="F791" s="59"/>
      <c r="G791" s="59"/>
      <c r="H791" s="59"/>
      <c r="I791" s="59"/>
      <c r="J791" s="60">
        <f>SUM(J721,J736,J751,J766)</f>
        <v>0</v>
      </c>
      <c r="K791" s="61"/>
    </row>
    <row r="792" spans="2:11" x14ac:dyDescent="0.2">
      <c r="B792" s="57"/>
      <c r="C792" s="59"/>
      <c r="D792" s="196" t="s">
        <v>372</v>
      </c>
      <c r="E792" s="59"/>
      <c r="F792" s="59"/>
      <c r="G792" s="59"/>
      <c r="H792" s="59"/>
      <c r="I792" s="59"/>
      <c r="J792" s="60">
        <f>AVERAGE(J790,J791)</f>
        <v>0</v>
      </c>
      <c r="K792" s="61"/>
    </row>
    <row r="793" spans="2:11" ht="16" x14ac:dyDescent="0.2">
      <c r="B793" s="57"/>
      <c r="C793" s="197" t="s">
        <v>38</v>
      </c>
      <c r="D793" s="59"/>
      <c r="E793" s="59"/>
      <c r="F793" s="59"/>
      <c r="G793" s="59"/>
      <c r="H793" s="59"/>
      <c r="I793" s="59"/>
      <c r="J793" s="60"/>
      <c r="K793" s="61"/>
    </row>
    <row r="794" spans="2:11" x14ac:dyDescent="0.2">
      <c r="B794" s="57"/>
      <c r="C794" s="59"/>
      <c r="D794" s="59" t="s">
        <v>370</v>
      </c>
      <c r="E794" s="59"/>
      <c r="F794" s="59"/>
      <c r="G794" s="59"/>
      <c r="H794" s="59"/>
      <c r="I794" s="59"/>
      <c r="J794" s="60">
        <f>'Baseline At-Risk Pops'!H40</f>
        <v>0</v>
      </c>
      <c r="K794" s="61"/>
    </row>
    <row r="795" spans="2:11" x14ac:dyDescent="0.2">
      <c r="B795" s="57"/>
      <c r="C795" s="59"/>
      <c r="D795" s="59" t="s">
        <v>371</v>
      </c>
      <c r="E795" s="59"/>
      <c r="F795" s="59"/>
      <c r="G795" s="59"/>
      <c r="H795" s="59"/>
      <c r="I795" s="59"/>
      <c r="J795" s="60">
        <f>SUM(J722,J737,J752,J767)</f>
        <v>0</v>
      </c>
      <c r="K795" s="61"/>
    </row>
    <row r="796" spans="2:11" x14ac:dyDescent="0.2">
      <c r="B796" s="57"/>
      <c r="C796" s="59"/>
      <c r="D796" s="196" t="s">
        <v>372</v>
      </c>
      <c r="E796" s="59"/>
      <c r="F796" s="59"/>
      <c r="G796" s="59"/>
      <c r="H796" s="59"/>
      <c r="I796" s="59"/>
      <c r="J796" s="60">
        <f>AVERAGE(J794,J795)</f>
        <v>0</v>
      </c>
      <c r="K796" s="61"/>
    </row>
    <row r="797" spans="2:11" ht="16" x14ac:dyDescent="0.2">
      <c r="B797" s="57"/>
      <c r="C797" s="197" t="s">
        <v>40</v>
      </c>
      <c r="D797" s="59"/>
      <c r="E797" s="59"/>
      <c r="F797" s="59"/>
      <c r="G797" s="59"/>
      <c r="H797" s="59"/>
      <c r="I797" s="59"/>
      <c r="J797" s="60"/>
      <c r="K797" s="61"/>
    </row>
    <row r="798" spans="2:11" x14ac:dyDescent="0.2">
      <c r="B798" s="57"/>
      <c r="C798" s="59"/>
      <c r="D798" s="59" t="s">
        <v>370</v>
      </c>
      <c r="E798" s="59"/>
      <c r="F798" s="59"/>
      <c r="G798" s="59"/>
      <c r="H798" s="59"/>
      <c r="I798" s="59"/>
      <c r="J798" s="60">
        <f>'Baseline At-Risk Pops'!H46</f>
        <v>0</v>
      </c>
      <c r="K798" s="61"/>
    </row>
    <row r="799" spans="2:11" x14ac:dyDescent="0.2">
      <c r="B799" s="57"/>
      <c r="C799" s="59"/>
      <c r="D799" s="59" t="s">
        <v>371</v>
      </c>
      <c r="E799" s="59"/>
      <c r="F799" s="59"/>
      <c r="G799" s="59"/>
      <c r="H799" s="59"/>
      <c r="I799" s="59"/>
      <c r="J799" s="60">
        <f>SUM(J723,J738,J753,J768)</f>
        <v>0</v>
      </c>
      <c r="K799" s="61"/>
    </row>
    <row r="800" spans="2:11" x14ac:dyDescent="0.2">
      <c r="B800" s="57"/>
      <c r="C800" s="59"/>
      <c r="D800" s="196" t="s">
        <v>372</v>
      </c>
      <c r="E800" s="59"/>
      <c r="F800" s="59"/>
      <c r="G800" s="59"/>
      <c r="H800" s="59"/>
      <c r="I800" s="59"/>
      <c r="J800" s="60">
        <f>AVERAGE(J798,J799)</f>
        <v>0</v>
      </c>
      <c r="K800" s="61"/>
    </row>
    <row r="801" spans="2:11" ht="16" x14ac:dyDescent="0.2">
      <c r="B801" s="57"/>
      <c r="C801" s="197" t="s">
        <v>41</v>
      </c>
      <c r="D801" s="59"/>
      <c r="E801" s="59"/>
      <c r="F801" s="59"/>
      <c r="G801" s="59"/>
      <c r="H801" s="59"/>
      <c r="I801" s="59"/>
      <c r="J801" s="60"/>
      <c r="K801" s="61"/>
    </row>
    <row r="802" spans="2:11" ht="16" x14ac:dyDescent="0.2">
      <c r="B802" s="57"/>
      <c r="C802" s="197"/>
      <c r="D802" s="59" t="s">
        <v>370</v>
      </c>
      <c r="E802" s="59"/>
      <c r="F802" s="59"/>
      <c r="G802" s="59"/>
      <c r="H802" s="59"/>
      <c r="I802" s="59"/>
      <c r="J802" s="60">
        <f>'Baseline At-Risk Pops'!H52</f>
        <v>0</v>
      </c>
      <c r="K802" s="61"/>
    </row>
    <row r="803" spans="2:11" x14ac:dyDescent="0.2">
      <c r="B803" s="57"/>
      <c r="C803" s="59"/>
      <c r="D803" s="59" t="s">
        <v>371</v>
      </c>
      <c r="E803" s="59"/>
      <c r="F803" s="59"/>
      <c r="G803" s="59"/>
      <c r="H803" s="59"/>
      <c r="I803" s="59"/>
      <c r="J803" s="60">
        <f>SUM(J724,J739,J754,J769)</f>
        <v>0</v>
      </c>
      <c r="K803" s="61"/>
    </row>
    <row r="804" spans="2:11" x14ac:dyDescent="0.2">
      <c r="B804" s="57"/>
      <c r="C804" s="59"/>
      <c r="D804" s="196" t="s">
        <v>372</v>
      </c>
      <c r="E804" s="59"/>
      <c r="F804" s="59"/>
      <c r="G804" s="59"/>
      <c r="H804" s="59"/>
      <c r="I804" s="59"/>
      <c r="J804" s="60">
        <f>AVERAGE(J802,J803)</f>
        <v>0</v>
      </c>
      <c r="K804" s="61"/>
    </row>
    <row r="805" spans="2:11" ht="16" x14ac:dyDescent="0.2">
      <c r="B805" s="57"/>
      <c r="C805" s="197" t="s">
        <v>43</v>
      </c>
      <c r="D805" s="59"/>
      <c r="E805" s="59"/>
      <c r="F805" s="59"/>
      <c r="G805" s="59"/>
      <c r="H805" s="59"/>
      <c r="I805" s="59"/>
      <c r="J805" s="60"/>
      <c r="K805" s="61"/>
    </row>
    <row r="806" spans="2:11" x14ac:dyDescent="0.2">
      <c r="B806" s="57"/>
      <c r="C806" s="59"/>
      <c r="D806" s="59" t="s">
        <v>370</v>
      </c>
      <c r="E806" s="59"/>
      <c r="F806" s="59"/>
      <c r="G806" s="59"/>
      <c r="H806" s="59"/>
      <c r="I806" s="59"/>
      <c r="J806" s="60">
        <f>'Baseline At-Risk Pops'!H58</f>
        <v>0</v>
      </c>
      <c r="K806" s="61"/>
    </row>
    <row r="807" spans="2:11" x14ac:dyDescent="0.2">
      <c r="B807" s="57"/>
      <c r="C807" s="59"/>
      <c r="D807" s="59" t="s">
        <v>371</v>
      </c>
      <c r="E807" s="59"/>
      <c r="F807" s="59"/>
      <c r="G807" s="59"/>
      <c r="H807" s="59"/>
      <c r="I807" s="59"/>
      <c r="J807" s="60">
        <f>SUM(J725,J740,J755,J770)</f>
        <v>0</v>
      </c>
      <c r="K807" s="61"/>
    </row>
    <row r="808" spans="2:11" x14ac:dyDescent="0.2">
      <c r="B808" s="57"/>
      <c r="C808" s="59"/>
      <c r="D808" s="196" t="s">
        <v>372</v>
      </c>
      <c r="E808" s="59"/>
      <c r="F808" s="59"/>
      <c r="G808" s="59"/>
      <c r="H808" s="59"/>
      <c r="I808" s="59"/>
      <c r="J808" s="60">
        <f>AVERAGE(J806,J807)</f>
        <v>0</v>
      </c>
      <c r="K808" s="61"/>
    </row>
    <row r="809" spans="2:11" x14ac:dyDescent="0.2">
      <c r="B809" s="57"/>
      <c r="C809" s="59"/>
      <c r="D809" s="59"/>
      <c r="E809" s="59"/>
      <c r="F809" s="59"/>
      <c r="G809" s="59"/>
      <c r="H809" s="59"/>
      <c r="I809" s="59"/>
      <c r="J809" s="59"/>
      <c r="K809" s="61"/>
    </row>
    <row r="810" spans="2:11" x14ac:dyDescent="0.2">
      <c r="B810" s="57"/>
      <c r="C810" s="59"/>
      <c r="D810" s="59"/>
      <c r="E810" s="59"/>
      <c r="F810" s="59"/>
      <c r="G810" s="59"/>
      <c r="H810" s="59"/>
      <c r="I810" s="59"/>
      <c r="J810" s="59"/>
      <c r="K810" s="61"/>
    </row>
    <row r="811" spans="2:11" ht="16" x14ac:dyDescent="0.2">
      <c r="B811" s="57"/>
      <c r="C811" s="198" t="s">
        <v>373</v>
      </c>
      <c r="D811" s="59"/>
      <c r="E811" s="59"/>
      <c r="F811" s="59"/>
      <c r="G811" s="59"/>
      <c r="H811" s="59"/>
      <c r="I811" s="59"/>
      <c r="J811" s="261">
        <f>AVERAGE(J776,J780,J784,J788,J792,J796,J800,J804,J808)</f>
        <v>0</v>
      </c>
      <c r="K811" s="61"/>
    </row>
    <row r="812" spans="2:11" ht="16" thickBot="1" x14ac:dyDescent="0.25">
      <c r="B812" s="73"/>
      <c r="C812" s="74"/>
      <c r="D812" s="74"/>
      <c r="E812" s="74"/>
      <c r="F812" s="74"/>
      <c r="G812" s="74"/>
      <c r="H812" s="74"/>
      <c r="I812" s="74"/>
      <c r="J812" s="74"/>
      <c r="K812" s="76"/>
    </row>
    <row r="813" spans="2:11" ht="16" thickBot="1" x14ac:dyDescent="0.25"/>
    <row r="814" spans="2:11" x14ac:dyDescent="0.2">
      <c r="B814" s="199"/>
      <c r="C814" s="200"/>
      <c r="D814" s="200"/>
      <c r="E814" s="200"/>
      <c r="F814" s="200"/>
      <c r="G814" s="200"/>
      <c r="H814" s="200"/>
      <c r="I814" s="200"/>
      <c r="J814" s="200"/>
      <c r="K814" s="201"/>
    </row>
    <row r="815" spans="2:11" ht="21" x14ac:dyDescent="0.25">
      <c r="B815" s="202"/>
      <c r="C815" s="203"/>
      <c r="D815" s="203"/>
      <c r="E815" s="203"/>
      <c r="F815" s="203"/>
      <c r="G815" s="204" t="s">
        <v>233</v>
      </c>
      <c r="H815" s="203"/>
      <c r="I815" s="203"/>
      <c r="J815" s="203"/>
      <c r="K815" s="205"/>
    </row>
    <row r="816" spans="2:11" x14ac:dyDescent="0.2">
      <c r="B816" s="202"/>
      <c r="C816" s="203"/>
      <c r="D816" s="203"/>
      <c r="E816" s="203"/>
      <c r="F816" s="203"/>
      <c r="G816" s="203"/>
      <c r="H816" s="203"/>
      <c r="I816" s="203"/>
      <c r="J816" s="203"/>
      <c r="K816" s="205"/>
    </row>
    <row r="817" spans="2:11" ht="16" x14ac:dyDescent="0.2">
      <c r="B817" s="202"/>
      <c r="C817" s="206" t="s">
        <v>992</v>
      </c>
      <c r="D817" s="203"/>
      <c r="E817" s="203"/>
      <c r="F817" s="203"/>
      <c r="G817" s="203"/>
      <c r="H817" s="203"/>
      <c r="I817" s="203"/>
      <c r="J817" s="262" t="str">
        <f>IF(J700="Not Calculated","Not Calculated",J700*(($J$811/4)+1))</f>
        <v>Not Calculated</v>
      </c>
      <c r="K817" s="205"/>
    </row>
    <row r="818" spans="2:11" x14ac:dyDescent="0.2">
      <c r="B818" s="202"/>
      <c r="C818" s="203"/>
      <c r="D818" s="203" t="s">
        <v>374</v>
      </c>
      <c r="E818" s="203"/>
      <c r="F818" s="203"/>
      <c r="G818" s="203"/>
      <c r="H818" s="203"/>
      <c r="I818" s="203"/>
      <c r="J818" s="203"/>
      <c r="K818" s="205"/>
    </row>
    <row r="819" spans="2:11" x14ac:dyDescent="0.2">
      <c r="B819" s="202"/>
      <c r="C819" s="203"/>
      <c r="D819" s="203"/>
      <c r="E819" s="203"/>
      <c r="F819" s="203"/>
      <c r="G819" s="203"/>
      <c r="H819" s="203"/>
      <c r="I819" s="203"/>
      <c r="J819" s="203"/>
      <c r="K819" s="205"/>
    </row>
    <row r="820" spans="2:11" ht="16" x14ac:dyDescent="0.2">
      <c r="B820" s="202"/>
      <c r="C820" s="206" t="s">
        <v>993</v>
      </c>
      <c r="D820" s="203"/>
      <c r="E820" s="203"/>
      <c r="F820" s="203"/>
      <c r="G820" s="203"/>
      <c r="H820" s="203"/>
      <c r="I820" s="203"/>
      <c r="J820" s="262" t="str">
        <f>IF(J703="Not Calculated","Not Calculated",J703*(($J$811/4)+1))</f>
        <v>Not Calculated</v>
      </c>
      <c r="K820" s="205"/>
    </row>
    <row r="821" spans="2:11" x14ac:dyDescent="0.2">
      <c r="B821" s="202"/>
      <c r="C821" s="203"/>
      <c r="D821" s="203" t="s">
        <v>375</v>
      </c>
      <c r="E821" s="203"/>
      <c r="F821" s="203"/>
      <c r="G821" s="203"/>
      <c r="H821" s="203"/>
      <c r="I821" s="203"/>
      <c r="J821" s="203"/>
      <c r="K821" s="205"/>
    </row>
    <row r="822" spans="2:11" x14ac:dyDescent="0.2">
      <c r="B822" s="202"/>
      <c r="C822" s="203"/>
      <c r="D822" s="203"/>
      <c r="E822" s="203"/>
      <c r="F822" s="203"/>
      <c r="G822" s="203"/>
      <c r="H822" s="203"/>
      <c r="I822" s="203"/>
      <c r="J822" s="203"/>
      <c r="K822" s="205"/>
    </row>
    <row r="823" spans="2:11" ht="16" x14ac:dyDescent="0.2">
      <c r="B823" s="202"/>
      <c r="C823" s="206" t="s">
        <v>994</v>
      </c>
      <c r="D823" s="203"/>
      <c r="E823" s="203"/>
      <c r="F823" s="203"/>
      <c r="G823" s="203"/>
      <c r="H823" s="203"/>
      <c r="I823" s="203"/>
      <c r="J823" s="262" t="str">
        <f>IF(J706="Not Calculated","Not Calculated",J706*(($J$811/4)+1))</f>
        <v>Not Calculated</v>
      </c>
      <c r="K823" s="205"/>
    </row>
    <row r="824" spans="2:11" x14ac:dyDescent="0.2">
      <c r="B824" s="202"/>
      <c r="C824" s="203"/>
      <c r="D824" s="203" t="s">
        <v>376</v>
      </c>
      <c r="E824" s="203"/>
      <c r="F824" s="203"/>
      <c r="G824" s="203"/>
      <c r="H824" s="203"/>
      <c r="I824" s="203"/>
      <c r="J824" s="203"/>
      <c r="K824" s="205"/>
    </row>
    <row r="825" spans="2:11" ht="16" thickBot="1" x14ac:dyDescent="0.25">
      <c r="B825" s="207"/>
      <c r="C825" s="208"/>
      <c r="D825" s="208"/>
      <c r="E825" s="208"/>
      <c r="F825" s="208"/>
      <c r="G825" s="208"/>
      <c r="H825" s="208"/>
      <c r="I825" s="208"/>
      <c r="J825" s="208"/>
      <c r="K825" s="209"/>
    </row>
    <row r="826" spans="2:11" ht="16" thickBot="1" x14ac:dyDescent="0.25"/>
    <row r="827" spans="2:11" x14ac:dyDescent="0.2">
      <c r="B827" s="77"/>
      <c r="C827" s="78"/>
      <c r="D827" s="78"/>
      <c r="E827" s="78"/>
      <c r="F827" s="78"/>
      <c r="G827" s="78"/>
      <c r="H827" s="78"/>
      <c r="I827" s="78"/>
      <c r="J827" s="78"/>
      <c r="K827" s="80"/>
    </row>
    <row r="828" spans="2:11" ht="21" x14ac:dyDescent="0.25">
      <c r="B828" s="81"/>
      <c r="C828" s="85"/>
      <c r="D828" s="85"/>
      <c r="E828" s="85"/>
      <c r="F828" s="85"/>
      <c r="G828" s="210" t="s">
        <v>806</v>
      </c>
      <c r="H828" s="85"/>
      <c r="I828" s="85"/>
      <c r="J828" s="85"/>
      <c r="K828" s="87"/>
    </row>
    <row r="829" spans="2:11" x14ac:dyDescent="0.2">
      <c r="B829" s="81"/>
      <c r="C829" s="85"/>
      <c r="D829" s="85"/>
      <c r="E829" s="85"/>
      <c r="F829" s="85"/>
      <c r="G829" s="85"/>
      <c r="H829" s="85"/>
      <c r="I829" s="85"/>
      <c r="J829" s="85"/>
      <c r="K829" s="87"/>
    </row>
    <row r="830" spans="2:11" ht="15" customHeight="1" x14ac:dyDescent="0.2">
      <c r="B830" s="81"/>
      <c r="C830" s="424" t="s">
        <v>808</v>
      </c>
      <c r="D830" s="424"/>
      <c r="E830" s="424"/>
      <c r="F830" s="424"/>
      <c r="G830" s="424"/>
      <c r="H830" s="424"/>
      <c r="I830" s="424"/>
      <c r="J830" s="424"/>
      <c r="K830" s="87"/>
    </row>
    <row r="831" spans="2:11" x14ac:dyDescent="0.2">
      <c r="B831" s="81"/>
      <c r="C831" s="424"/>
      <c r="D831" s="424"/>
      <c r="E831" s="424"/>
      <c r="F831" s="424"/>
      <c r="G831" s="424"/>
      <c r="H831" s="424"/>
      <c r="I831" s="424"/>
      <c r="J831" s="424"/>
      <c r="K831" s="87"/>
    </row>
    <row r="832" spans="2:11" x14ac:dyDescent="0.2">
      <c r="B832" s="81"/>
      <c r="C832" s="85"/>
      <c r="D832" s="85"/>
      <c r="E832" s="85"/>
      <c r="F832" s="85"/>
      <c r="G832" s="85"/>
      <c r="H832" s="85"/>
      <c r="I832" s="85"/>
      <c r="J832" s="85"/>
      <c r="K832" s="87"/>
    </row>
    <row r="833" spans="2:11" ht="16" x14ac:dyDescent="0.2">
      <c r="B833" s="81"/>
      <c r="C833" s="211" t="s">
        <v>654</v>
      </c>
      <c r="D833" s="85"/>
      <c r="E833" s="85"/>
      <c r="F833" s="85"/>
      <c r="G833" s="85"/>
      <c r="H833" s="85"/>
      <c r="I833" s="85"/>
      <c r="J833" s="85"/>
      <c r="K833" s="87"/>
    </row>
    <row r="834" spans="2:11" x14ac:dyDescent="0.2">
      <c r="B834" s="81"/>
      <c r="C834" s="85" t="s">
        <v>380</v>
      </c>
      <c r="D834" s="85"/>
      <c r="E834" s="85"/>
      <c r="F834" s="85"/>
      <c r="G834" s="406"/>
      <c r="H834" s="407"/>
      <c r="I834" s="85"/>
      <c r="J834" s="83" t="str">
        <f>IF(G834=$B$998,$A$998,IF(G834=$B$999,$A$999,IF(G834=$B$1000,$A$1000,IF(G834=$B$1001,$A$1001,IF(G834=$B$1002,$A$1002,"Not Calculated")))))</f>
        <v>Not Calculated</v>
      </c>
      <c r="K834" s="87"/>
    </row>
    <row r="835" spans="2:11" x14ac:dyDescent="0.2">
      <c r="B835" s="81"/>
      <c r="C835" s="85" t="s">
        <v>134</v>
      </c>
      <c r="D835" s="85"/>
      <c r="E835" s="85"/>
      <c r="F835" s="85"/>
      <c r="G835" s="85"/>
      <c r="H835" s="85"/>
      <c r="I835" s="85"/>
      <c r="J835" s="240">
        <f>'Baseline PHP'!J16</f>
        <v>0</v>
      </c>
      <c r="K835" s="87"/>
    </row>
    <row r="836" spans="2:11" x14ac:dyDescent="0.2">
      <c r="B836" s="81"/>
      <c r="C836" s="85"/>
      <c r="D836" s="85"/>
      <c r="E836" s="85"/>
      <c r="F836" s="85"/>
      <c r="G836" s="85"/>
      <c r="H836" s="85"/>
      <c r="I836" s="85"/>
      <c r="J836" s="85"/>
      <c r="K836" s="87"/>
    </row>
    <row r="837" spans="2:11" ht="16" x14ac:dyDescent="0.2">
      <c r="B837" s="81"/>
      <c r="C837" s="211" t="s">
        <v>655</v>
      </c>
      <c r="D837" s="85"/>
      <c r="E837" s="85"/>
      <c r="F837" s="85"/>
      <c r="G837" s="85"/>
      <c r="H837" s="85"/>
      <c r="I837" s="85"/>
      <c r="J837" s="85"/>
      <c r="K837" s="87"/>
    </row>
    <row r="838" spans="2:11" x14ac:dyDescent="0.2">
      <c r="B838" s="81"/>
      <c r="C838" s="85" t="s">
        <v>380</v>
      </c>
      <c r="D838" s="85"/>
      <c r="E838" s="85"/>
      <c r="F838" s="85"/>
      <c r="G838" s="406"/>
      <c r="H838" s="407"/>
      <c r="I838" s="85"/>
      <c r="J838" s="83" t="str">
        <f>IF(G838=$B$998,$A$998,IF(G838=$B$999,$A$999,IF(G838=$B$1000,$A$1000,IF(G838=$B$1001,$A$1001,IF(G838=$B$1002,$A$1002,"Not Calculated")))))</f>
        <v>Not Calculated</v>
      </c>
      <c r="K838" s="87"/>
    </row>
    <row r="839" spans="2:11" x14ac:dyDescent="0.2">
      <c r="B839" s="81"/>
      <c r="C839" s="85" t="s">
        <v>134</v>
      </c>
      <c r="D839" s="85"/>
      <c r="E839" s="85"/>
      <c r="F839" s="85"/>
      <c r="G839" s="85"/>
      <c r="H839" s="85"/>
      <c r="I839" s="85"/>
      <c r="J839" s="240">
        <f>'Baseline PHP'!J28</f>
        <v>0</v>
      </c>
      <c r="K839" s="87"/>
    </row>
    <row r="840" spans="2:11" x14ac:dyDescent="0.2">
      <c r="B840" s="81"/>
      <c r="C840" s="85"/>
      <c r="D840" s="85"/>
      <c r="E840" s="85"/>
      <c r="F840" s="85"/>
      <c r="G840" s="85"/>
      <c r="H840" s="85"/>
      <c r="I840" s="85"/>
      <c r="J840" s="85"/>
      <c r="K840" s="87"/>
    </row>
    <row r="841" spans="2:11" ht="16" x14ac:dyDescent="0.2">
      <c r="B841" s="81"/>
      <c r="C841" s="211" t="s">
        <v>645</v>
      </c>
      <c r="D841" s="85"/>
      <c r="E841" s="85"/>
      <c r="F841" s="85"/>
      <c r="G841" s="85"/>
      <c r="H841" s="85"/>
      <c r="I841" s="85"/>
      <c r="J841" s="85"/>
      <c r="K841" s="87"/>
    </row>
    <row r="842" spans="2:11" x14ac:dyDescent="0.2">
      <c r="B842" s="81"/>
      <c r="C842" s="85" t="s">
        <v>380</v>
      </c>
      <c r="D842" s="85"/>
      <c r="E842" s="85"/>
      <c r="F842" s="85"/>
      <c r="G842" s="406"/>
      <c r="H842" s="407"/>
      <c r="I842" s="85"/>
      <c r="J842" s="83" t="str">
        <f>IF(G842=$B$998,$A$998,IF(G842=$B$999,$A$999,IF(G842=$B$1000,$A$1000,IF(G842=$B$1001,$A$1001,IF(G842=$B$1002,$A$1002,"Not Calculated")))))</f>
        <v>Not Calculated</v>
      </c>
      <c r="K842" s="87"/>
    </row>
    <row r="843" spans="2:11" x14ac:dyDescent="0.2">
      <c r="B843" s="81"/>
      <c r="C843" s="85" t="s">
        <v>134</v>
      </c>
      <c r="D843" s="85"/>
      <c r="E843" s="85"/>
      <c r="F843" s="85"/>
      <c r="G843" s="85"/>
      <c r="H843" s="85"/>
      <c r="I843" s="85"/>
      <c r="J843" s="240">
        <f>'Baseline PHP'!J44</f>
        <v>0</v>
      </c>
      <c r="K843" s="87"/>
    </row>
    <row r="844" spans="2:11" x14ac:dyDescent="0.2">
      <c r="B844" s="81"/>
      <c r="C844" s="85"/>
      <c r="D844" s="85"/>
      <c r="E844" s="85"/>
      <c r="F844" s="85"/>
      <c r="G844" s="85"/>
      <c r="H844" s="85"/>
      <c r="I844" s="85"/>
      <c r="J844" s="85"/>
      <c r="K844" s="87"/>
    </row>
    <row r="845" spans="2:11" ht="16" x14ac:dyDescent="0.2">
      <c r="B845" s="81"/>
      <c r="C845" s="211" t="s">
        <v>646</v>
      </c>
      <c r="D845" s="85"/>
      <c r="E845" s="85"/>
      <c r="F845" s="85"/>
      <c r="G845" s="85"/>
      <c r="H845" s="85"/>
      <c r="I845" s="85"/>
      <c r="J845" s="85"/>
      <c r="K845" s="87"/>
    </row>
    <row r="846" spans="2:11" x14ac:dyDescent="0.2">
      <c r="B846" s="81"/>
      <c r="C846" s="85" t="s">
        <v>380</v>
      </c>
      <c r="D846" s="85"/>
      <c r="E846" s="85"/>
      <c r="F846" s="85"/>
      <c r="G846" s="406"/>
      <c r="H846" s="407"/>
      <c r="I846" s="85"/>
      <c r="J846" s="83" t="str">
        <f>IF(G846=$B$998,$A$998,IF(G846=$B$999,$A$999,IF(G846=$B$1000,$A$1000,IF(G846=$B$1001,$A$1001,IF(G846=$B$1002,$A$1002,"Not Calculated")))))</f>
        <v>Not Calculated</v>
      </c>
      <c r="K846" s="87"/>
    </row>
    <row r="847" spans="2:11" x14ac:dyDescent="0.2">
      <c r="B847" s="81"/>
      <c r="C847" s="85" t="s">
        <v>134</v>
      </c>
      <c r="D847" s="85"/>
      <c r="E847" s="85"/>
      <c r="F847" s="85"/>
      <c r="G847" s="85"/>
      <c r="H847" s="85"/>
      <c r="I847" s="85"/>
      <c r="J847" s="240">
        <f>'Baseline PHP'!J60</f>
        <v>0</v>
      </c>
      <c r="K847" s="87"/>
    </row>
    <row r="848" spans="2:11" x14ac:dyDescent="0.2">
      <c r="B848" s="81"/>
      <c r="C848" s="85"/>
      <c r="D848" s="85"/>
      <c r="E848" s="85"/>
      <c r="F848" s="85"/>
      <c r="G848" s="85"/>
      <c r="H848" s="85"/>
      <c r="I848" s="85"/>
      <c r="J848" s="85"/>
      <c r="K848" s="87"/>
    </row>
    <row r="849" spans="2:11" ht="16" x14ac:dyDescent="0.2">
      <c r="B849" s="81"/>
      <c r="C849" s="211" t="s">
        <v>648</v>
      </c>
      <c r="D849" s="85"/>
      <c r="E849" s="85"/>
      <c r="F849" s="85"/>
      <c r="G849" s="85"/>
      <c r="H849" s="85"/>
      <c r="I849" s="85"/>
      <c r="J849" s="85"/>
      <c r="K849" s="87"/>
    </row>
    <row r="850" spans="2:11" ht="15" customHeight="1" x14ac:dyDescent="0.2">
      <c r="B850" s="81"/>
      <c r="C850" s="85" t="s">
        <v>380</v>
      </c>
      <c r="D850" s="85"/>
      <c r="E850" s="85"/>
      <c r="F850" s="85"/>
      <c r="G850" s="406"/>
      <c r="H850" s="407"/>
      <c r="I850" s="85"/>
      <c r="J850" s="83" t="str">
        <f>IF(G850=$B$998,$A$998,IF(G850=$B$999,$A$999,IF(G850=$B$1000,$A$1000,IF(G850=$B$1001,$A$1001,IF(G850=$B$1002,$A$1002,"Not Calculated")))))</f>
        <v>Not Calculated</v>
      </c>
      <c r="K850" s="87"/>
    </row>
    <row r="851" spans="2:11" x14ac:dyDescent="0.2">
      <c r="B851" s="81"/>
      <c r="C851" s="85" t="s">
        <v>134</v>
      </c>
      <c r="D851" s="85"/>
      <c r="E851" s="85"/>
      <c r="F851" s="85"/>
      <c r="G851" s="85"/>
      <c r="H851" s="85"/>
      <c r="I851" s="85"/>
      <c r="J851" s="240">
        <f>'Baseline PHP'!J76</f>
        <v>0</v>
      </c>
      <c r="K851" s="87"/>
    </row>
    <row r="852" spans="2:11" x14ac:dyDescent="0.2">
      <c r="B852" s="81"/>
      <c r="C852" s="85"/>
      <c r="D852" s="85"/>
      <c r="E852" s="85"/>
      <c r="F852" s="85"/>
      <c r="G852" s="85"/>
      <c r="H852" s="85"/>
      <c r="I852" s="85"/>
      <c r="J852" s="85"/>
      <c r="K852" s="87"/>
    </row>
    <row r="853" spans="2:11" ht="16" x14ac:dyDescent="0.2">
      <c r="B853" s="81"/>
      <c r="C853" s="211" t="s">
        <v>647</v>
      </c>
      <c r="D853" s="85"/>
      <c r="E853" s="85"/>
      <c r="F853" s="85"/>
      <c r="G853" s="85"/>
      <c r="H853" s="85"/>
      <c r="I853" s="85"/>
      <c r="J853" s="85"/>
      <c r="K853" s="87"/>
    </row>
    <row r="854" spans="2:11" x14ac:dyDescent="0.2">
      <c r="B854" s="81"/>
      <c r="C854" s="85" t="s">
        <v>380</v>
      </c>
      <c r="D854" s="85"/>
      <c r="E854" s="85"/>
      <c r="F854" s="85"/>
      <c r="G854" s="406"/>
      <c r="H854" s="407"/>
      <c r="I854" s="85"/>
      <c r="J854" s="83" t="str">
        <f>IF(G854=$B$998,$A$998,IF(G854=$B$999,$A$999,IF(G854=$B$1000,$A$1000,IF(G854=$B$1001,$A$1001,IF(G854=$B$1002,$A$1002,"Not Calculated")))))</f>
        <v>Not Calculated</v>
      </c>
      <c r="K854" s="87"/>
    </row>
    <row r="855" spans="2:11" x14ac:dyDescent="0.2">
      <c r="B855" s="81"/>
      <c r="C855" s="85" t="s">
        <v>134</v>
      </c>
      <c r="D855" s="85"/>
      <c r="E855" s="85"/>
      <c r="F855" s="85"/>
      <c r="G855" s="85"/>
      <c r="H855" s="85"/>
      <c r="I855" s="85"/>
      <c r="J855" s="240">
        <f>'Baseline PHP'!J88</f>
        <v>0</v>
      </c>
      <c r="K855" s="87"/>
    </row>
    <row r="856" spans="2:11" x14ac:dyDescent="0.2">
      <c r="B856" s="81"/>
      <c r="C856" s="85"/>
      <c r="D856" s="85"/>
      <c r="E856" s="85"/>
      <c r="F856" s="85"/>
      <c r="G856" s="85"/>
      <c r="H856" s="85"/>
      <c r="I856" s="85"/>
      <c r="J856" s="85"/>
      <c r="K856" s="87"/>
    </row>
    <row r="857" spans="2:11" ht="16" x14ac:dyDescent="0.2">
      <c r="B857" s="81"/>
      <c r="C857" s="211" t="s">
        <v>115</v>
      </c>
      <c r="D857" s="85"/>
      <c r="E857" s="85"/>
      <c r="F857" s="85"/>
      <c r="G857" s="85"/>
      <c r="H857" s="85"/>
      <c r="I857" s="85"/>
      <c r="J857" s="85"/>
      <c r="K857" s="87"/>
    </row>
    <row r="858" spans="2:11" x14ac:dyDescent="0.2">
      <c r="B858" s="81"/>
      <c r="C858" s="85" t="s">
        <v>380</v>
      </c>
      <c r="D858" s="85"/>
      <c r="E858" s="85"/>
      <c r="F858" s="85"/>
      <c r="G858" s="406"/>
      <c r="H858" s="407"/>
      <c r="I858" s="85"/>
      <c r="J858" s="83" t="str">
        <f>IF(G858=$B$998,$A$998,IF(G858=$B$999,$A$999,IF(G858=$B$1000,$A$1000,IF(G858=$B$1001,$A$1001,IF(G858=$B$1002,$A$1002,"Not Calculated")))))</f>
        <v>Not Calculated</v>
      </c>
      <c r="K858" s="87"/>
    </row>
    <row r="859" spans="2:11" x14ac:dyDescent="0.2">
      <c r="B859" s="81"/>
      <c r="C859" s="85" t="s">
        <v>134</v>
      </c>
      <c r="D859" s="85"/>
      <c r="E859" s="85"/>
      <c r="F859" s="85"/>
      <c r="G859" s="85"/>
      <c r="H859" s="85"/>
      <c r="I859" s="85"/>
      <c r="J859" s="240">
        <f>'Baseline PHP'!J102</f>
        <v>0</v>
      </c>
      <c r="K859" s="87"/>
    </row>
    <row r="860" spans="2:11" x14ac:dyDescent="0.2">
      <c r="B860" s="81"/>
      <c r="C860" s="85"/>
      <c r="D860" s="85"/>
      <c r="E860" s="85"/>
      <c r="F860" s="85"/>
      <c r="G860" s="85"/>
      <c r="H860" s="85"/>
      <c r="I860" s="85"/>
      <c r="J860" s="85"/>
      <c r="K860" s="87"/>
    </row>
    <row r="861" spans="2:11" ht="16" x14ac:dyDescent="0.2">
      <c r="B861" s="81"/>
      <c r="C861" s="211" t="s">
        <v>649</v>
      </c>
      <c r="D861" s="85"/>
      <c r="E861" s="85"/>
      <c r="F861" s="85"/>
      <c r="G861" s="85"/>
      <c r="H861" s="85"/>
      <c r="I861" s="85"/>
      <c r="J861" s="85"/>
      <c r="K861" s="87"/>
    </row>
    <row r="862" spans="2:11" x14ac:dyDescent="0.2">
      <c r="B862" s="81"/>
      <c r="C862" s="85" t="s">
        <v>380</v>
      </c>
      <c r="D862" s="85"/>
      <c r="E862" s="85"/>
      <c r="F862" s="85"/>
      <c r="G862" s="406"/>
      <c r="H862" s="407"/>
      <c r="I862" s="85"/>
      <c r="J862" s="83" t="str">
        <f>IF(G862=$B$998,$A$998,IF(G862=$B$999,$A$999,IF(G862=$B$1000,$A$1000,IF(G862=$B$1001,$A$1001,IF(G862=$B$1002,$A$1002,"Not Calculated")))))</f>
        <v>Not Calculated</v>
      </c>
      <c r="K862" s="87"/>
    </row>
    <row r="863" spans="2:11" x14ac:dyDescent="0.2">
      <c r="B863" s="81"/>
      <c r="C863" s="85" t="s">
        <v>134</v>
      </c>
      <c r="D863" s="85"/>
      <c r="E863" s="85"/>
      <c r="F863" s="85"/>
      <c r="G863" s="85"/>
      <c r="H863" s="85"/>
      <c r="I863" s="85"/>
      <c r="J863" s="240">
        <f>'Baseline PHP'!J118</f>
        <v>0</v>
      </c>
      <c r="K863" s="87"/>
    </row>
    <row r="864" spans="2:11" x14ac:dyDescent="0.2">
      <c r="B864" s="81"/>
      <c r="C864" s="85"/>
      <c r="D864" s="85"/>
      <c r="E864" s="85"/>
      <c r="F864" s="85"/>
      <c r="G864" s="85"/>
      <c r="H864" s="85"/>
      <c r="I864" s="85"/>
      <c r="J864" s="85"/>
      <c r="K864" s="87"/>
    </row>
    <row r="865" spans="2:11" ht="16" x14ac:dyDescent="0.2">
      <c r="B865" s="81"/>
      <c r="C865" s="211" t="s">
        <v>656</v>
      </c>
      <c r="D865" s="85"/>
      <c r="E865" s="85"/>
      <c r="F865" s="85"/>
      <c r="G865" s="85"/>
      <c r="H865" s="85"/>
      <c r="I865" s="85"/>
      <c r="J865" s="85"/>
      <c r="K865" s="87"/>
    </row>
    <row r="866" spans="2:11" x14ac:dyDescent="0.2">
      <c r="B866" s="81"/>
      <c r="C866" s="85" t="s">
        <v>380</v>
      </c>
      <c r="D866" s="85"/>
      <c r="E866" s="85"/>
      <c r="F866" s="85"/>
      <c r="G866" s="406"/>
      <c r="H866" s="407"/>
      <c r="I866" s="85"/>
      <c r="J866" s="83" t="str">
        <f>IF(G866=$B$998,$A$998,IF(G866=$B$999,$A$999,IF(G866=$B$1000,$A$1000,IF(G866=$B$1001,$A$1001,IF(G866=$B$1002,$A$1002,"Not Calculated")))))</f>
        <v>Not Calculated</v>
      </c>
      <c r="K866" s="87"/>
    </row>
    <row r="867" spans="2:11" x14ac:dyDescent="0.2">
      <c r="B867" s="81"/>
      <c r="C867" s="85" t="s">
        <v>134</v>
      </c>
      <c r="D867" s="85"/>
      <c r="E867" s="85"/>
      <c r="F867" s="85"/>
      <c r="G867" s="85"/>
      <c r="H867" s="85"/>
      <c r="I867" s="85"/>
      <c r="J867" s="240">
        <f>'Baseline PHP'!J136</f>
        <v>0</v>
      </c>
      <c r="K867" s="87"/>
    </row>
    <row r="868" spans="2:11" x14ac:dyDescent="0.2">
      <c r="B868" s="81"/>
      <c r="C868" s="85"/>
      <c r="D868" s="85"/>
      <c r="E868" s="85"/>
      <c r="F868" s="85"/>
      <c r="G868" s="85"/>
      <c r="H868" s="85"/>
      <c r="I868" s="85"/>
      <c r="J868" s="85"/>
      <c r="K868" s="87"/>
    </row>
    <row r="869" spans="2:11" ht="16" x14ac:dyDescent="0.2">
      <c r="B869" s="81"/>
      <c r="C869" s="211" t="s">
        <v>121</v>
      </c>
      <c r="D869" s="85"/>
      <c r="E869" s="85"/>
      <c r="F869" s="85"/>
      <c r="G869" s="85"/>
      <c r="H869" s="85"/>
      <c r="I869" s="85"/>
      <c r="J869" s="85"/>
      <c r="K869" s="87"/>
    </row>
    <row r="870" spans="2:11" x14ac:dyDescent="0.2">
      <c r="B870" s="81"/>
      <c r="C870" s="85" t="s">
        <v>380</v>
      </c>
      <c r="D870" s="85"/>
      <c r="E870" s="85"/>
      <c r="F870" s="85"/>
      <c r="G870" s="406"/>
      <c r="H870" s="407"/>
      <c r="I870" s="85"/>
      <c r="J870" s="83" t="str">
        <f>IF(G870=$B$998,$A$998,IF(G870=$B$999,$A$999,IF(G870=$B$1000,$A$1000,IF(G870=$B$1001,$A$1001,IF(G870=$B$1002,$A$1002,"Not Calculated")))))</f>
        <v>Not Calculated</v>
      </c>
      <c r="K870" s="87"/>
    </row>
    <row r="871" spans="2:11" x14ac:dyDescent="0.2">
      <c r="B871" s="81"/>
      <c r="C871" s="85" t="s">
        <v>134</v>
      </c>
      <c r="D871" s="85"/>
      <c r="E871" s="85"/>
      <c r="F871" s="85"/>
      <c r="G871" s="85"/>
      <c r="H871" s="85"/>
      <c r="I871" s="85"/>
      <c r="J871" s="240">
        <f>'Baseline PHP'!J150</f>
        <v>0</v>
      </c>
      <c r="K871" s="87"/>
    </row>
    <row r="872" spans="2:11" x14ac:dyDescent="0.2">
      <c r="B872" s="81"/>
      <c r="C872" s="85"/>
      <c r="D872" s="85"/>
      <c r="E872" s="85"/>
      <c r="F872" s="85"/>
      <c r="G872" s="85"/>
      <c r="H872" s="85"/>
      <c r="I872" s="85"/>
      <c r="J872" s="85"/>
      <c r="K872" s="87"/>
    </row>
    <row r="873" spans="2:11" ht="16" x14ac:dyDescent="0.2">
      <c r="B873" s="81"/>
      <c r="C873" s="211" t="s">
        <v>657</v>
      </c>
      <c r="D873" s="85"/>
      <c r="E873" s="85"/>
      <c r="F873" s="85"/>
      <c r="G873" s="85"/>
      <c r="H873" s="85"/>
      <c r="I873" s="85"/>
      <c r="J873" s="85"/>
      <c r="K873" s="87"/>
    </row>
    <row r="874" spans="2:11" x14ac:dyDescent="0.2">
      <c r="B874" s="81"/>
      <c r="C874" s="85" t="s">
        <v>380</v>
      </c>
      <c r="D874" s="85"/>
      <c r="E874" s="85"/>
      <c r="F874" s="85"/>
      <c r="G874" s="406"/>
      <c r="H874" s="407"/>
      <c r="I874" s="85"/>
      <c r="J874" s="83" t="str">
        <f>IF(G874=$B$998,$A$998,IF(G874=$B$999,$A$999,IF(G874=$B$1000,$A$1000,IF(G874=$B$1001,$A$1001,IF(G874=$B$1002,$A$1002,"Not Calculated")))))</f>
        <v>Not Calculated</v>
      </c>
      <c r="K874" s="87"/>
    </row>
    <row r="875" spans="2:11" x14ac:dyDescent="0.2">
      <c r="B875" s="81"/>
      <c r="C875" s="85" t="s">
        <v>134</v>
      </c>
      <c r="D875" s="85"/>
      <c r="E875" s="85"/>
      <c r="F875" s="85"/>
      <c r="G875" s="85"/>
      <c r="H875" s="85"/>
      <c r="I875" s="85"/>
      <c r="J875" s="240">
        <f>'Baseline PHP'!J164</f>
        <v>0</v>
      </c>
      <c r="K875" s="87"/>
    </row>
    <row r="876" spans="2:11" x14ac:dyDescent="0.2">
      <c r="B876" s="81"/>
      <c r="C876" s="85"/>
      <c r="D876" s="85"/>
      <c r="E876" s="85"/>
      <c r="F876" s="85"/>
      <c r="G876" s="85"/>
      <c r="H876" s="85"/>
      <c r="I876" s="85"/>
      <c r="J876" s="85"/>
      <c r="K876" s="87"/>
    </row>
    <row r="877" spans="2:11" ht="16" x14ac:dyDescent="0.2">
      <c r="B877" s="81"/>
      <c r="C877" s="211" t="s">
        <v>650</v>
      </c>
      <c r="D877" s="85"/>
      <c r="E877" s="85"/>
      <c r="F877" s="85"/>
      <c r="G877" s="85"/>
      <c r="H877" s="85"/>
      <c r="I877" s="85"/>
      <c r="J877" s="85"/>
      <c r="K877" s="87"/>
    </row>
    <row r="878" spans="2:11" x14ac:dyDescent="0.2">
      <c r="B878" s="81"/>
      <c r="C878" s="85" t="s">
        <v>380</v>
      </c>
      <c r="D878" s="85"/>
      <c r="E878" s="85"/>
      <c r="F878" s="85"/>
      <c r="G878" s="406"/>
      <c r="H878" s="407"/>
      <c r="I878" s="85"/>
      <c r="J878" s="83" t="str">
        <f>IF(G878=$B$998,$A$998,IF(G878=$B$999,$A$999,IF(G878=$B$1000,$A$1000,IF(G878=$B$1001,$A$1001,IF(G878=$B$1002,$A$1002,"Not Calculated")))))</f>
        <v>Not Calculated</v>
      </c>
      <c r="K878" s="87"/>
    </row>
    <row r="879" spans="2:11" x14ac:dyDescent="0.2">
      <c r="B879" s="81"/>
      <c r="C879" s="85" t="s">
        <v>134</v>
      </c>
      <c r="D879" s="85"/>
      <c r="E879" s="85"/>
      <c r="F879" s="85"/>
      <c r="G879" s="85"/>
      <c r="H879" s="85"/>
      <c r="I879" s="85"/>
      <c r="J879" s="240">
        <f>'Baseline PHP'!J180</f>
        <v>0</v>
      </c>
      <c r="K879" s="87"/>
    </row>
    <row r="880" spans="2:11" x14ac:dyDescent="0.2">
      <c r="B880" s="81"/>
      <c r="C880" s="85"/>
      <c r="D880" s="85"/>
      <c r="E880" s="85"/>
      <c r="F880" s="85"/>
      <c r="G880" s="85"/>
      <c r="H880" s="85"/>
      <c r="I880" s="85"/>
      <c r="J880" s="85"/>
      <c r="K880" s="87"/>
    </row>
    <row r="881" spans="2:11" ht="16" x14ac:dyDescent="0.2">
      <c r="B881" s="81"/>
      <c r="C881" s="211" t="s">
        <v>651</v>
      </c>
      <c r="D881" s="85"/>
      <c r="E881" s="85"/>
      <c r="F881" s="85"/>
      <c r="G881" s="85"/>
      <c r="H881" s="85"/>
      <c r="I881" s="85"/>
      <c r="J881" s="85"/>
      <c r="K881" s="87"/>
    </row>
    <row r="882" spans="2:11" x14ac:dyDescent="0.2">
      <c r="B882" s="81"/>
      <c r="C882" s="85" t="s">
        <v>380</v>
      </c>
      <c r="D882" s="85"/>
      <c r="E882" s="85"/>
      <c r="F882" s="85"/>
      <c r="G882" s="406"/>
      <c r="H882" s="407"/>
      <c r="I882" s="85"/>
      <c r="J882" s="83" t="str">
        <f>IF(G882=$B$998,$A$998,IF(G882=$B$999,$A$999,IF(G882=$B$1000,$A$1000,IF(G882=$B$1001,$A$1001,IF(G882=$B$1002,$A$1002,"Not Calculated")))))</f>
        <v>Not Calculated</v>
      </c>
      <c r="K882" s="87"/>
    </row>
    <row r="883" spans="2:11" x14ac:dyDescent="0.2">
      <c r="B883" s="81"/>
      <c r="C883" s="85" t="s">
        <v>134</v>
      </c>
      <c r="D883" s="85"/>
      <c r="E883" s="85"/>
      <c r="F883" s="85"/>
      <c r="G883" s="85"/>
      <c r="H883" s="85"/>
      <c r="I883" s="85"/>
      <c r="J883" s="240">
        <f>'Baseline PHP'!J194</f>
        <v>0</v>
      </c>
      <c r="K883" s="87"/>
    </row>
    <row r="884" spans="2:11" x14ac:dyDescent="0.2">
      <c r="B884" s="81"/>
      <c r="C884" s="85"/>
      <c r="D884" s="85"/>
      <c r="E884" s="85"/>
      <c r="F884" s="85"/>
      <c r="G884" s="85"/>
      <c r="H884" s="85"/>
      <c r="I884" s="85"/>
      <c r="J884" s="85"/>
      <c r="K884" s="87"/>
    </row>
    <row r="885" spans="2:11" ht="16" x14ac:dyDescent="0.2">
      <c r="B885" s="81"/>
      <c r="C885" s="211" t="s">
        <v>652</v>
      </c>
      <c r="D885" s="85"/>
      <c r="E885" s="85"/>
      <c r="F885" s="85"/>
      <c r="G885" s="85"/>
      <c r="H885" s="85"/>
      <c r="I885" s="85"/>
      <c r="J885" s="85"/>
      <c r="K885" s="87"/>
    </row>
    <row r="886" spans="2:11" x14ac:dyDescent="0.2">
      <c r="B886" s="81"/>
      <c r="C886" s="85" t="s">
        <v>380</v>
      </c>
      <c r="D886" s="85"/>
      <c r="E886" s="85"/>
      <c r="F886" s="85"/>
      <c r="G886" s="406"/>
      <c r="H886" s="407"/>
      <c r="I886" s="85"/>
      <c r="J886" s="83" t="str">
        <f>IF(G886=$B$998,$A$998,IF(G886=$B$999,$A$999,IF(G886=$B$1000,$A$1000,IF(G886=$B$1001,$A$1001,IF(G886=$B$1002,$A$1002,"Not Calculated")))))</f>
        <v>Not Calculated</v>
      </c>
      <c r="K886" s="87"/>
    </row>
    <row r="887" spans="2:11" x14ac:dyDescent="0.2">
      <c r="B887" s="81"/>
      <c r="C887" s="85" t="s">
        <v>134</v>
      </c>
      <c r="D887" s="85"/>
      <c r="E887" s="85"/>
      <c r="F887" s="85"/>
      <c r="G887" s="85"/>
      <c r="H887" s="85"/>
      <c r="I887" s="85"/>
      <c r="J887" s="240">
        <f>'Baseline PHP'!J208</f>
        <v>0</v>
      </c>
      <c r="K887" s="87"/>
    </row>
    <row r="888" spans="2:11" x14ac:dyDescent="0.2">
      <c r="B888" s="81"/>
      <c r="C888" s="85"/>
      <c r="D888" s="85"/>
      <c r="E888" s="85"/>
      <c r="F888" s="85"/>
      <c r="G888" s="85"/>
      <c r="H888" s="85"/>
      <c r="I888" s="85"/>
      <c r="J888" s="85"/>
      <c r="K888" s="87"/>
    </row>
    <row r="889" spans="2:11" ht="16" x14ac:dyDescent="0.2">
      <c r="B889" s="81"/>
      <c r="C889" s="211" t="s">
        <v>653</v>
      </c>
      <c r="D889" s="85"/>
      <c r="E889" s="85"/>
      <c r="F889" s="85"/>
      <c r="G889" s="85"/>
      <c r="H889" s="85"/>
      <c r="I889" s="85"/>
      <c r="J889" s="85"/>
      <c r="K889" s="87"/>
    </row>
    <row r="890" spans="2:11" x14ac:dyDescent="0.2">
      <c r="B890" s="81"/>
      <c r="C890" s="85" t="s">
        <v>380</v>
      </c>
      <c r="D890" s="85"/>
      <c r="E890" s="85"/>
      <c r="F890" s="85"/>
      <c r="G890" s="406"/>
      <c r="H890" s="407"/>
      <c r="I890" s="85"/>
      <c r="J890" s="83" t="str">
        <f>IF(G890=$B$998,$A$998,IF(G890=$B$999,$A$999,IF(G890=$B$1000,$A$1000,IF(G890=$B$1001,$A$1001,IF(G890=$B$1002,$A$1002,"Not Calculated")))))</f>
        <v>Not Calculated</v>
      </c>
      <c r="K890" s="87"/>
    </row>
    <row r="891" spans="2:11" x14ac:dyDescent="0.2">
      <c r="B891" s="81"/>
      <c r="C891" s="85" t="s">
        <v>134</v>
      </c>
      <c r="D891" s="85"/>
      <c r="E891" s="85"/>
      <c r="F891" s="85"/>
      <c r="G891" s="85"/>
      <c r="H891" s="85"/>
      <c r="I891" s="85"/>
      <c r="J891" s="240">
        <f>'Baseline PHP'!J222</f>
        <v>0</v>
      </c>
      <c r="K891" s="87"/>
    </row>
    <row r="892" spans="2:11" x14ac:dyDescent="0.2">
      <c r="B892" s="81"/>
      <c r="C892" s="85"/>
      <c r="D892" s="85"/>
      <c r="E892" s="85"/>
      <c r="F892" s="85"/>
      <c r="G892" s="85"/>
      <c r="H892" s="85"/>
      <c r="I892" s="85"/>
      <c r="J892" s="85"/>
      <c r="K892" s="87"/>
    </row>
    <row r="893" spans="2:11" x14ac:dyDescent="0.2">
      <c r="B893" s="81"/>
      <c r="C893" s="85"/>
      <c r="D893" s="85"/>
      <c r="E893" s="85"/>
      <c r="F893" s="85"/>
      <c r="G893" s="85"/>
      <c r="H893" s="85"/>
      <c r="I893" s="85"/>
      <c r="J893" s="85"/>
      <c r="K893" s="87"/>
    </row>
    <row r="894" spans="2:11" ht="16" x14ac:dyDescent="0.2">
      <c r="B894" s="81"/>
      <c r="C894" s="212" t="s">
        <v>813</v>
      </c>
      <c r="D894" s="85"/>
      <c r="E894" s="85"/>
      <c r="F894" s="85"/>
      <c r="G894" s="85"/>
      <c r="H894" s="85"/>
      <c r="I894" s="85"/>
      <c r="J894" s="241" t="str">
        <f>IF(OR(J854="Not Calculated",J858="Not Calculated",J862="Not Calculated",J866="Not Calculated",J870="Not Calculated",J874="Not Calculated",J878="Not Calculated",J882="Not Calculated",J886="Not Calculated",J890="Not Calculated",J834="Not Calculated",J838="Not Calculated",J842="Not Calculated",J846="Not Calculated",J850="Not Calculated",J855="Not Calculated",J859="Not Calculated",J863="Not Calculated",J867="Not Calculated",J871="Not Calculated",J875="Not Calculated",J879="Not Calculated",J883="Not Calculated",J887="Not Calculated",J891="Not Calculated",J835="Not Calculated",J839="Not Calculated",J843="Not Calculated",J847="Not Calculated",J851="Not Calculated")=TRUE,"Not Calculated",((J834*J835)+(J838*J839)+(J842*J843)+(J846*J847)+(J850*J851)+(J854*J855)+(J858*J859)+(J862*J863)+(J866*J867)+(J870*J871)+(J874*J875)+(J878*J879)+(J882*J883)+(J886*J887)+(J890*J891))/(J834+J838+J842+J846+J850+J854+J858+J862+J866+J870+J874+J878+J882+J886+J890))</f>
        <v>Not Calculated</v>
      </c>
      <c r="K894" s="87"/>
    </row>
    <row r="895" spans="2:11" ht="16" thickBot="1" x14ac:dyDescent="0.25">
      <c r="B895" s="213"/>
      <c r="C895" s="94"/>
      <c r="D895" s="94"/>
      <c r="E895" s="94"/>
      <c r="F895" s="94"/>
      <c r="G895" s="94"/>
      <c r="H895" s="94"/>
      <c r="I895" s="94"/>
      <c r="J895" s="94"/>
      <c r="K895" s="96"/>
    </row>
    <row r="896" spans="2:11" ht="16" thickBot="1" x14ac:dyDescent="0.25"/>
    <row r="897" spans="2:11" x14ac:dyDescent="0.2">
      <c r="B897" s="77"/>
      <c r="C897" s="78"/>
      <c r="D897" s="78"/>
      <c r="E897" s="78"/>
      <c r="F897" s="78"/>
      <c r="G897" s="78"/>
      <c r="H897" s="78"/>
      <c r="I897" s="78"/>
      <c r="J897" s="78"/>
      <c r="K897" s="80"/>
    </row>
    <row r="898" spans="2:11" ht="21" x14ac:dyDescent="0.25">
      <c r="B898" s="81"/>
      <c r="C898" s="85"/>
      <c r="D898" s="85"/>
      <c r="E898" s="85"/>
      <c r="F898" s="85"/>
      <c r="G898" s="210" t="s">
        <v>807</v>
      </c>
      <c r="H898" s="85"/>
      <c r="I898" s="85"/>
      <c r="J898" s="85"/>
      <c r="K898" s="87"/>
    </row>
    <row r="899" spans="2:11" x14ac:dyDescent="0.2">
      <c r="B899" s="81"/>
      <c r="C899" s="85"/>
      <c r="D899" s="85"/>
      <c r="E899" s="85"/>
      <c r="F899" s="85"/>
      <c r="G899" s="85"/>
      <c r="H899" s="85"/>
      <c r="I899" s="85"/>
      <c r="J899" s="85"/>
      <c r="K899" s="87"/>
    </row>
    <row r="900" spans="2:11" ht="15" customHeight="1" x14ac:dyDescent="0.2">
      <c r="B900" s="81"/>
      <c r="C900" s="424" t="s">
        <v>809</v>
      </c>
      <c r="D900" s="424"/>
      <c r="E900" s="424"/>
      <c r="F900" s="424"/>
      <c r="G900" s="424"/>
      <c r="H900" s="424"/>
      <c r="I900" s="424"/>
      <c r="J900" s="424"/>
      <c r="K900" s="87"/>
    </row>
    <row r="901" spans="2:11" x14ac:dyDescent="0.2">
      <c r="B901" s="81"/>
      <c r="C901" s="424"/>
      <c r="D901" s="424"/>
      <c r="E901" s="424"/>
      <c r="F901" s="424"/>
      <c r="G901" s="424"/>
      <c r="H901" s="424"/>
      <c r="I901" s="424"/>
      <c r="J901" s="424"/>
      <c r="K901" s="87"/>
    </row>
    <row r="902" spans="2:11" x14ac:dyDescent="0.2">
      <c r="B902" s="81"/>
      <c r="C902" s="85"/>
      <c r="D902" s="85"/>
      <c r="E902" s="85"/>
      <c r="F902" s="85"/>
      <c r="G902" s="85"/>
      <c r="H902" s="85"/>
      <c r="I902" s="85"/>
      <c r="J902" s="85"/>
      <c r="K902" s="87"/>
    </row>
    <row r="903" spans="2:11" ht="16" x14ac:dyDescent="0.2">
      <c r="B903" s="81"/>
      <c r="C903" s="211" t="s">
        <v>810</v>
      </c>
      <c r="D903" s="85"/>
      <c r="E903" s="85"/>
      <c r="F903" s="85"/>
      <c r="G903" s="85"/>
      <c r="H903" s="85"/>
      <c r="I903" s="85"/>
      <c r="J903" s="85"/>
      <c r="K903" s="87"/>
    </row>
    <row r="904" spans="2:11" x14ac:dyDescent="0.2">
      <c r="B904" s="81"/>
      <c r="C904" s="85" t="s">
        <v>380</v>
      </c>
      <c r="D904" s="85"/>
      <c r="E904" s="85"/>
      <c r="F904" s="85"/>
      <c r="G904" s="406"/>
      <c r="H904" s="407"/>
      <c r="I904" s="85"/>
      <c r="J904" s="83" t="str">
        <f>IF(G904=$B$998,$A$998,IF(G904=$B$999,$A$999,IF(G904=$B$1000,$A$1000,IF(G904=$B$1001,$A$1001,IF(G904=$B$1002,$A$1002,"Not Calculated")))))</f>
        <v>Not Calculated</v>
      </c>
      <c r="K904" s="87"/>
    </row>
    <row r="905" spans="2:11" x14ac:dyDescent="0.2">
      <c r="B905" s="81"/>
      <c r="C905" s="85" t="s">
        <v>134</v>
      </c>
      <c r="D905" s="85"/>
      <c r="E905" s="85"/>
      <c r="F905" s="85"/>
      <c r="G905" s="85"/>
      <c r="H905" s="85"/>
      <c r="I905" s="85"/>
      <c r="J905" s="240">
        <f>'Baseline HP'!J22</f>
        <v>0</v>
      </c>
      <c r="K905" s="87"/>
    </row>
    <row r="906" spans="2:11" x14ac:dyDescent="0.2">
      <c r="B906" s="81"/>
      <c r="C906" s="85"/>
      <c r="D906" s="85"/>
      <c r="E906" s="85"/>
      <c r="F906" s="85"/>
      <c r="G906" s="85"/>
      <c r="H906" s="85"/>
      <c r="I906" s="85"/>
      <c r="J906" s="85"/>
      <c r="K906" s="87"/>
    </row>
    <row r="907" spans="2:11" ht="16" x14ac:dyDescent="0.2">
      <c r="B907" s="81"/>
      <c r="C907" s="211" t="s">
        <v>811</v>
      </c>
      <c r="D907" s="85"/>
      <c r="E907" s="85"/>
      <c r="F907" s="85"/>
      <c r="G907" s="85"/>
      <c r="H907" s="85"/>
      <c r="I907" s="85"/>
      <c r="J907" s="85"/>
      <c r="K907" s="87"/>
    </row>
    <row r="908" spans="2:11" x14ac:dyDescent="0.2">
      <c r="B908" s="81"/>
      <c r="C908" s="85" t="s">
        <v>380</v>
      </c>
      <c r="D908" s="85"/>
      <c r="E908" s="85"/>
      <c r="F908" s="85"/>
      <c r="G908" s="406"/>
      <c r="H908" s="407"/>
      <c r="I908" s="85"/>
      <c r="J908" s="83" t="str">
        <f>IF(G908=$B$998,$A$998,IF(G908=$B$999,$A$999,IF(G908=$B$1000,$A$1000,IF(G908=$B$1001,$A$1001,IF(G908=$B$1002,$A$1002,"Not Calculated")))))</f>
        <v>Not Calculated</v>
      </c>
      <c r="K908" s="87"/>
    </row>
    <row r="909" spans="2:11" x14ac:dyDescent="0.2">
      <c r="B909" s="81"/>
      <c r="C909" s="85" t="s">
        <v>134</v>
      </c>
      <c r="D909" s="85"/>
      <c r="E909" s="85"/>
      <c r="F909" s="85"/>
      <c r="G909" s="85"/>
      <c r="H909" s="85"/>
      <c r="I909" s="85"/>
      <c r="J909" s="240">
        <f>'Baseline HP'!J32</f>
        <v>0</v>
      </c>
      <c r="K909" s="87"/>
    </row>
    <row r="910" spans="2:11" x14ac:dyDescent="0.2">
      <c r="B910" s="81"/>
      <c r="C910" s="85"/>
      <c r="D910" s="85"/>
      <c r="E910" s="85"/>
      <c r="F910" s="85"/>
      <c r="G910" s="85"/>
      <c r="H910" s="85"/>
      <c r="I910" s="85"/>
      <c r="J910" s="85"/>
      <c r="K910" s="87"/>
    </row>
    <row r="911" spans="2:11" ht="16" x14ac:dyDescent="0.2">
      <c r="B911" s="81"/>
      <c r="C911" s="211" t="s">
        <v>645</v>
      </c>
      <c r="D911" s="85"/>
      <c r="E911" s="85"/>
      <c r="F911" s="85"/>
      <c r="G911" s="85"/>
      <c r="H911" s="85"/>
      <c r="I911" s="85"/>
      <c r="J911" s="85"/>
      <c r="K911" s="87"/>
    </row>
    <row r="912" spans="2:11" x14ac:dyDescent="0.2">
      <c r="B912" s="81"/>
      <c r="C912" s="85" t="s">
        <v>380</v>
      </c>
      <c r="D912" s="85"/>
      <c r="E912" s="85"/>
      <c r="F912" s="85"/>
      <c r="G912" s="406"/>
      <c r="H912" s="407"/>
      <c r="I912" s="85"/>
      <c r="J912" s="83" t="str">
        <f>IF(G912=$B$998,$A$998,IF(G912=$B$999,$A$999,IF(G912=$B$1000,$A$1000,IF(G912=$B$1001,$A$1001,IF(G912=$B$1002,$A$1002,"Not Calculated")))))</f>
        <v>Not Calculated</v>
      </c>
      <c r="K912" s="87"/>
    </row>
    <row r="913" spans="2:11" x14ac:dyDescent="0.2">
      <c r="B913" s="81"/>
      <c r="C913" s="85" t="s">
        <v>134</v>
      </c>
      <c r="D913" s="85"/>
      <c r="E913" s="85"/>
      <c r="F913" s="85"/>
      <c r="G913" s="85"/>
      <c r="H913" s="85"/>
      <c r="I913" s="85"/>
      <c r="J913" s="240">
        <f>'Baseline HP'!J46</f>
        <v>0</v>
      </c>
      <c r="K913" s="87"/>
    </row>
    <row r="914" spans="2:11" x14ac:dyDescent="0.2">
      <c r="B914" s="81"/>
      <c r="C914" s="85"/>
      <c r="D914" s="85"/>
      <c r="E914" s="85"/>
      <c r="F914" s="85"/>
      <c r="G914" s="85"/>
      <c r="H914" s="85"/>
      <c r="I914" s="85"/>
      <c r="J914" s="85"/>
      <c r="K914" s="87"/>
    </row>
    <row r="915" spans="2:11" ht="16" x14ac:dyDescent="0.2">
      <c r="B915" s="81"/>
      <c r="C915" s="211" t="s">
        <v>648</v>
      </c>
      <c r="D915" s="85"/>
      <c r="E915" s="85"/>
      <c r="F915" s="85"/>
      <c r="G915" s="85"/>
      <c r="H915" s="85"/>
      <c r="I915" s="85"/>
      <c r="J915" s="85"/>
      <c r="K915" s="87"/>
    </row>
    <row r="916" spans="2:11" ht="15" customHeight="1" x14ac:dyDescent="0.2">
      <c r="B916" s="81"/>
      <c r="C916" s="85" t="s">
        <v>380</v>
      </c>
      <c r="D916" s="85"/>
      <c r="E916" s="85"/>
      <c r="F916" s="85"/>
      <c r="G916" s="406"/>
      <c r="H916" s="407"/>
      <c r="I916" s="85"/>
      <c r="J916" s="83" t="str">
        <f>IF(G916=$B$998,$A$998,IF(G916=$B$999,$A$999,IF(G916=$B$1000,$A$1000,IF(G916=$B$1001,$A$1001,IF(G916=$B$1002,$A$1002,"Not Calculated")))))</f>
        <v>Not Calculated</v>
      </c>
      <c r="K916" s="87"/>
    </row>
    <row r="917" spans="2:11" x14ac:dyDescent="0.2">
      <c r="B917" s="81"/>
      <c r="C917" s="85" t="s">
        <v>134</v>
      </c>
      <c r="D917" s="85"/>
      <c r="E917" s="85"/>
      <c r="F917" s="85"/>
      <c r="G917" s="85"/>
      <c r="H917" s="85"/>
      <c r="I917" s="85"/>
      <c r="J917" s="240">
        <f>'Baseline HP'!J58</f>
        <v>0</v>
      </c>
      <c r="K917" s="87"/>
    </row>
    <row r="918" spans="2:11" x14ac:dyDescent="0.2">
      <c r="B918" s="81"/>
      <c r="C918" s="85"/>
      <c r="D918" s="85"/>
      <c r="E918" s="85"/>
      <c r="F918" s="85"/>
      <c r="G918" s="85"/>
      <c r="H918" s="85"/>
      <c r="I918" s="85"/>
      <c r="J918" s="85"/>
      <c r="K918" s="87"/>
    </row>
    <row r="919" spans="2:11" ht="16" x14ac:dyDescent="0.2">
      <c r="B919" s="81"/>
      <c r="C919" s="211" t="s">
        <v>647</v>
      </c>
      <c r="D919" s="85"/>
      <c r="E919" s="85"/>
      <c r="F919" s="85"/>
      <c r="G919" s="85"/>
      <c r="H919" s="85"/>
      <c r="I919" s="85"/>
      <c r="J919" s="85"/>
      <c r="K919" s="87"/>
    </row>
    <row r="920" spans="2:11" x14ac:dyDescent="0.2">
      <c r="B920" s="81"/>
      <c r="C920" s="85" t="s">
        <v>380</v>
      </c>
      <c r="D920" s="85"/>
      <c r="E920" s="85"/>
      <c r="F920" s="85"/>
      <c r="G920" s="406"/>
      <c r="H920" s="407"/>
      <c r="I920" s="85"/>
      <c r="J920" s="83" t="str">
        <f>IF(G920=$B$998,$A$998,IF(G920=$B$999,$A$999,IF(G920=$B$1000,$A$1000,IF(G920=$B$1001,$A$1001,IF(G920=$B$1002,$A$1002,"Not Calculated")))))</f>
        <v>Not Calculated</v>
      </c>
      <c r="K920" s="87"/>
    </row>
    <row r="921" spans="2:11" x14ac:dyDescent="0.2">
      <c r="B921" s="81"/>
      <c r="C921" s="85" t="s">
        <v>134</v>
      </c>
      <c r="D921" s="85"/>
      <c r="E921" s="85"/>
      <c r="F921" s="85"/>
      <c r="G921" s="85"/>
      <c r="H921" s="85"/>
      <c r="I921" s="85"/>
      <c r="J921" s="240">
        <f>'Baseline HP'!J68</f>
        <v>0</v>
      </c>
      <c r="K921" s="87"/>
    </row>
    <row r="922" spans="2:11" x14ac:dyDescent="0.2">
      <c r="B922" s="81"/>
      <c r="C922" s="85"/>
      <c r="D922" s="85"/>
      <c r="E922" s="85"/>
      <c r="F922" s="85"/>
      <c r="G922" s="85"/>
      <c r="H922" s="85"/>
      <c r="I922" s="85"/>
      <c r="J922" s="85"/>
      <c r="K922" s="87"/>
    </row>
    <row r="923" spans="2:11" ht="16" x14ac:dyDescent="0.2">
      <c r="B923" s="81"/>
      <c r="C923" s="211" t="s">
        <v>121</v>
      </c>
      <c r="D923" s="85"/>
      <c r="E923" s="85"/>
      <c r="F923" s="85"/>
      <c r="G923" s="85"/>
      <c r="H923" s="85"/>
      <c r="I923" s="85"/>
      <c r="J923" s="85"/>
      <c r="K923" s="87"/>
    </row>
    <row r="924" spans="2:11" x14ac:dyDescent="0.2">
      <c r="B924" s="81"/>
      <c r="C924" s="85" t="s">
        <v>380</v>
      </c>
      <c r="D924" s="85"/>
      <c r="E924" s="85"/>
      <c r="F924" s="85"/>
      <c r="G924" s="406"/>
      <c r="H924" s="407"/>
      <c r="I924" s="85"/>
      <c r="J924" s="83" t="str">
        <f>IF(G924=$B$998,$A$998,IF(G924=$B$999,$A$999,IF(G924=$B$1000,$A$1000,IF(G924=$B$1001,$A$1001,IF(G924=$B$1002,$A$1002,"Not Calculated")))))</f>
        <v>Not Calculated</v>
      </c>
      <c r="K924" s="87"/>
    </row>
    <row r="925" spans="2:11" x14ac:dyDescent="0.2">
      <c r="B925" s="81"/>
      <c r="C925" s="85" t="s">
        <v>134</v>
      </c>
      <c r="D925" s="85"/>
      <c r="E925" s="85"/>
      <c r="F925" s="85"/>
      <c r="G925" s="85"/>
      <c r="H925" s="85"/>
      <c r="I925" s="85"/>
      <c r="J925" s="240">
        <f>'Baseline HP'!J84</f>
        <v>0</v>
      </c>
      <c r="K925" s="87"/>
    </row>
    <row r="926" spans="2:11" x14ac:dyDescent="0.2">
      <c r="B926" s="81"/>
      <c r="C926" s="85"/>
      <c r="D926" s="85"/>
      <c r="E926" s="85"/>
      <c r="F926" s="85"/>
      <c r="G926" s="85"/>
      <c r="H926" s="85"/>
      <c r="I926" s="85"/>
      <c r="J926" s="85"/>
      <c r="K926" s="87"/>
    </row>
    <row r="927" spans="2:11" ht="16" x14ac:dyDescent="0.2">
      <c r="B927" s="81"/>
      <c r="C927" s="211" t="s">
        <v>652</v>
      </c>
      <c r="D927" s="85"/>
      <c r="E927" s="85"/>
      <c r="F927" s="85"/>
      <c r="G927" s="85"/>
      <c r="H927" s="85"/>
      <c r="I927" s="85"/>
      <c r="J927" s="85"/>
      <c r="K927" s="87"/>
    </row>
    <row r="928" spans="2:11" x14ac:dyDescent="0.2">
      <c r="B928" s="81"/>
      <c r="C928" s="85" t="s">
        <v>380</v>
      </c>
      <c r="D928" s="85"/>
      <c r="E928" s="85"/>
      <c r="F928" s="85"/>
      <c r="G928" s="406"/>
      <c r="H928" s="407"/>
      <c r="I928" s="85"/>
      <c r="J928" s="83" t="str">
        <f>IF(G928=$B$998,$A$998,IF(G928=$B$999,$A$999,IF(G928=$B$1000,$A$1000,IF(G928=$B$1001,$A$1001,IF(G928=$B$1002,$A$1002,"Not Calculated")))))</f>
        <v>Not Calculated</v>
      </c>
      <c r="K928" s="87"/>
    </row>
    <row r="929" spans="2:11" x14ac:dyDescent="0.2">
      <c r="B929" s="81"/>
      <c r="C929" s="85" t="s">
        <v>134</v>
      </c>
      <c r="D929" s="85"/>
      <c r="E929" s="85"/>
      <c r="F929" s="85"/>
      <c r="G929" s="85"/>
      <c r="H929" s="85"/>
      <c r="I929" s="85"/>
      <c r="J929" s="240">
        <f>'Baseline HP'!J94</f>
        <v>0</v>
      </c>
      <c r="K929" s="87"/>
    </row>
    <row r="930" spans="2:11" x14ac:dyDescent="0.2">
      <c r="B930" s="81"/>
      <c r="C930" s="85"/>
      <c r="D930" s="85"/>
      <c r="E930" s="85"/>
      <c r="F930" s="85"/>
      <c r="G930" s="85"/>
      <c r="H930" s="85"/>
      <c r="I930" s="85"/>
      <c r="J930" s="85"/>
      <c r="K930" s="87"/>
    </row>
    <row r="931" spans="2:11" ht="16" x14ac:dyDescent="0.2">
      <c r="B931" s="81"/>
      <c r="C931" s="211" t="s">
        <v>653</v>
      </c>
      <c r="D931" s="85"/>
      <c r="E931" s="85"/>
      <c r="F931" s="85"/>
      <c r="G931" s="85"/>
      <c r="H931" s="85"/>
      <c r="I931" s="85"/>
      <c r="J931" s="85"/>
      <c r="K931" s="87"/>
    </row>
    <row r="932" spans="2:11" x14ac:dyDescent="0.2">
      <c r="B932" s="81"/>
      <c r="C932" s="85" t="s">
        <v>380</v>
      </c>
      <c r="D932" s="85"/>
      <c r="E932" s="85"/>
      <c r="F932" s="85"/>
      <c r="G932" s="406"/>
      <c r="H932" s="407"/>
      <c r="I932" s="85"/>
      <c r="J932" s="83" t="str">
        <f>IF(G932=$B$998,$A$998,IF(G932=$B$999,$A$999,IF(G932=$B$1000,$A$1000,IF(G932=$B$1001,$A$1001,IF(G932=$B$1002,$A$1002,"Not Calculated")))))</f>
        <v>Not Calculated</v>
      </c>
      <c r="K932" s="87"/>
    </row>
    <row r="933" spans="2:11" x14ac:dyDescent="0.2">
      <c r="B933" s="81"/>
      <c r="C933" s="85" t="s">
        <v>134</v>
      </c>
      <c r="D933" s="85"/>
      <c r="E933" s="85"/>
      <c r="F933" s="85"/>
      <c r="G933" s="85"/>
      <c r="H933" s="85"/>
      <c r="I933" s="85"/>
      <c r="J933" s="240">
        <f>'Baseline HP'!J108</f>
        <v>0</v>
      </c>
      <c r="K933" s="87"/>
    </row>
    <row r="934" spans="2:11" x14ac:dyDescent="0.2">
      <c r="B934" s="81"/>
      <c r="C934" s="85"/>
      <c r="D934" s="85"/>
      <c r="E934" s="85"/>
      <c r="F934" s="85"/>
      <c r="G934" s="85"/>
      <c r="H934" s="85"/>
      <c r="I934" s="85"/>
      <c r="J934" s="85"/>
      <c r="K934" s="87"/>
    </row>
    <row r="935" spans="2:11" x14ac:dyDescent="0.2">
      <c r="B935" s="81"/>
      <c r="C935" s="85"/>
      <c r="D935" s="85"/>
      <c r="E935" s="85"/>
      <c r="F935" s="85"/>
      <c r="G935" s="85"/>
      <c r="H935" s="85"/>
      <c r="I935" s="85"/>
      <c r="J935" s="85"/>
      <c r="K935" s="87"/>
    </row>
    <row r="936" spans="2:11" ht="16" x14ac:dyDescent="0.2">
      <c r="B936" s="81"/>
      <c r="C936" s="212" t="s">
        <v>812</v>
      </c>
      <c r="D936" s="85"/>
      <c r="E936" s="85"/>
      <c r="F936" s="85"/>
      <c r="G936" s="85"/>
      <c r="H936" s="85"/>
      <c r="I936" s="85"/>
      <c r="J936" s="241" t="str">
        <f>IF(OR(J920="Not Calculated",J924="Not Calculated",J928="Not Calculated",J932="Not Calculated",J904="Not Calculated",J908="Not Calculated",J912="Not Calculated",J916="Not Calculated",J921="Not Calculated",J925="Not Calculated",J929="Not Calculated",J933="Not Calculated",J905="Not Calculated",J909="Not Calculated",J913="Not Calculated",J917="Not Calculated")=TRUE,"Not Calculated",((J904*J905)+(J908*J909)+(J912*J913)+(J916*J917)+(J920*J921)+(J924*J925)+(J928*J929)+(J932*J933))/(J904+J908+J912+J916+J920+J924+J928+J932))</f>
        <v>Not Calculated</v>
      </c>
      <c r="K936" s="87"/>
    </row>
    <row r="937" spans="2:11" ht="16" thickBot="1" x14ac:dyDescent="0.25">
      <c r="B937" s="213"/>
      <c r="C937" s="94"/>
      <c r="D937" s="94"/>
      <c r="E937" s="94"/>
      <c r="F937" s="94"/>
      <c r="G937" s="94"/>
      <c r="H937" s="94"/>
      <c r="I937" s="94"/>
      <c r="J937" s="94"/>
      <c r="K937" s="96"/>
    </row>
    <row r="938" spans="2:11" ht="16" thickBot="1" x14ac:dyDescent="0.25"/>
    <row r="939" spans="2:11" x14ac:dyDescent="0.2">
      <c r="B939" s="77"/>
      <c r="C939" s="78"/>
      <c r="D939" s="78"/>
      <c r="E939" s="78"/>
      <c r="F939" s="78"/>
      <c r="G939" s="78"/>
      <c r="H939" s="78"/>
      <c r="I939" s="78"/>
      <c r="J939" s="78"/>
      <c r="K939" s="80"/>
    </row>
    <row r="940" spans="2:11" ht="21" x14ac:dyDescent="0.25">
      <c r="B940" s="81"/>
      <c r="C940" s="85"/>
      <c r="D940" s="85"/>
      <c r="E940" s="85"/>
      <c r="F940" s="85"/>
      <c r="G940" s="210" t="s">
        <v>815</v>
      </c>
      <c r="H940" s="85"/>
      <c r="I940" s="85"/>
      <c r="J940" s="85"/>
      <c r="K940" s="87"/>
    </row>
    <row r="941" spans="2:11" ht="21" x14ac:dyDescent="0.25">
      <c r="B941" s="81"/>
      <c r="C941" s="85"/>
      <c r="D941" s="85"/>
      <c r="E941" s="85"/>
      <c r="F941" s="85"/>
      <c r="G941" s="210"/>
      <c r="H941" s="85"/>
      <c r="I941" s="85"/>
      <c r="J941" s="85"/>
      <c r="K941" s="87"/>
    </row>
    <row r="942" spans="2:11" ht="16" x14ac:dyDescent="0.2">
      <c r="B942" s="81"/>
      <c r="C942" s="212" t="s">
        <v>995</v>
      </c>
      <c r="D942" s="85"/>
      <c r="E942" s="85"/>
      <c r="F942" s="85"/>
      <c r="G942" s="85"/>
      <c r="H942" s="85"/>
      <c r="I942" s="85"/>
      <c r="J942" s="241" t="str">
        <f>IF(OR(J936="Not Calculated",J894="Not Calculated")=TRUE,"Not Calculated",AVERAGE(J936,J894))</f>
        <v>Not Calculated</v>
      </c>
      <c r="K942" s="87"/>
    </row>
    <row r="943" spans="2:11" ht="16" x14ac:dyDescent="0.2">
      <c r="B943" s="81"/>
      <c r="C943" s="212"/>
      <c r="D943" s="85" t="s">
        <v>814</v>
      </c>
      <c r="E943" s="85"/>
      <c r="F943" s="85"/>
      <c r="G943" s="85"/>
      <c r="H943" s="85"/>
      <c r="I943" s="85"/>
      <c r="J943" s="241"/>
      <c r="K943" s="87"/>
    </row>
    <row r="944" spans="2:11" ht="17" thickBot="1" x14ac:dyDescent="0.25">
      <c r="B944" s="213"/>
      <c r="C944" s="227"/>
      <c r="D944" s="94"/>
      <c r="E944" s="94"/>
      <c r="F944" s="94"/>
      <c r="G944" s="94"/>
      <c r="H944" s="94"/>
      <c r="I944" s="94"/>
      <c r="J944" s="228"/>
      <c r="K944" s="96"/>
    </row>
    <row r="945" spans="2:11" ht="16" thickBot="1" x14ac:dyDescent="0.25"/>
    <row r="946" spans="2:11" x14ac:dyDescent="0.2">
      <c r="B946" s="214"/>
      <c r="C946" s="215"/>
      <c r="D946" s="215"/>
      <c r="E946" s="215"/>
      <c r="F946" s="215"/>
      <c r="G946" s="215"/>
      <c r="H946" s="215"/>
      <c r="I946" s="215"/>
      <c r="J946" s="215"/>
      <c r="K946" s="216"/>
    </row>
    <row r="947" spans="2:11" ht="21" x14ac:dyDescent="0.25">
      <c r="B947" s="217"/>
      <c r="C947" s="218"/>
      <c r="D947" s="218"/>
      <c r="E947" s="218"/>
      <c r="F947" s="218"/>
      <c r="G947" s="219" t="s">
        <v>239</v>
      </c>
      <c r="H947" s="218"/>
      <c r="I947" s="218"/>
      <c r="J947" s="218"/>
      <c r="K947" s="220"/>
    </row>
    <row r="948" spans="2:11" x14ac:dyDescent="0.2">
      <c r="B948" s="217"/>
      <c r="C948" s="218"/>
      <c r="D948" s="218"/>
      <c r="E948" s="218"/>
      <c r="F948" s="218"/>
      <c r="G948" s="218"/>
      <c r="H948" s="218"/>
      <c r="I948" s="218"/>
      <c r="J948" s="218"/>
      <c r="K948" s="220"/>
    </row>
    <row r="949" spans="2:11" ht="16" x14ac:dyDescent="0.2">
      <c r="B949" s="217"/>
      <c r="C949" s="221" t="s">
        <v>393</v>
      </c>
      <c r="D949" s="218"/>
      <c r="E949" s="218"/>
      <c r="F949" s="218"/>
      <c r="G949" s="218"/>
      <c r="H949" s="218"/>
      <c r="I949" s="218"/>
      <c r="J949" s="242" t="str">
        <f>IF(OR(J817="Not Calculated",J942="Not Calculated")=TRUE,"Not Calculated",J817/J942)</f>
        <v>Not Calculated</v>
      </c>
      <c r="K949" s="220"/>
    </row>
    <row r="950" spans="2:11" x14ac:dyDescent="0.2">
      <c r="B950" s="217"/>
      <c r="C950" s="218"/>
      <c r="D950" s="218" t="s">
        <v>816</v>
      </c>
      <c r="E950" s="218"/>
      <c r="F950" s="218"/>
      <c r="G950" s="218"/>
      <c r="H950" s="218"/>
      <c r="I950" s="218"/>
      <c r="J950" s="218"/>
      <c r="K950" s="220"/>
    </row>
    <row r="951" spans="2:11" x14ac:dyDescent="0.2">
      <c r="B951" s="217"/>
      <c r="C951" s="218"/>
      <c r="D951" s="218"/>
      <c r="E951" s="218"/>
      <c r="F951" s="218"/>
      <c r="G951" s="218"/>
      <c r="H951" s="218"/>
      <c r="I951" s="218"/>
      <c r="J951" s="218"/>
      <c r="K951" s="220"/>
    </row>
    <row r="952" spans="2:11" ht="16" x14ac:dyDescent="0.2">
      <c r="B952" s="217"/>
      <c r="C952" s="221" t="s">
        <v>996</v>
      </c>
      <c r="D952" s="218"/>
      <c r="E952" s="218"/>
      <c r="F952" s="218"/>
      <c r="G952" s="218"/>
      <c r="H952" s="218"/>
      <c r="I952" s="218"/>
      <c r="J952" s="242" t="str">
        <f>IF(OR(J820="Not Calculated",J894="Not Calculated")=TRUE,"Not Calculated",J820/J894)</f>
        <v>Not Calculated</v>
      </c>
      <c r="K952" s="220"/>
    </row>
    <row r="953" spans="2:11" x14ac:dyDescent="0.2">
      <c r="B953" s="217"/>
      <c r="C953" s="218"/>
      <c r="D953" s="218" t="s">
        <v>817</v>
      </c>
      <c r="E953" s="218"/>
      <c r="F953" s="218"/>
      <c r="G953" s="218"/>
      <c r="H953" s="218"/>
      <c r="I953" s="218"/>
      <c r="J953" s="218"/>
      <c r="K953" s="220"/>
    </row>
    <row r="954" spans="2:11" x14ac:dyDescent="0.2">
      <c r="B954" s="217"/>
      <c r="C954" s="218"/>
      <c r="D954" s="218"/>
      <c r="E954" s="218"/>
      <c r="F954" s="218"/>
      <c r="G954" s="218"/>
      <c r="H954" s="218"/>
      <c r="I954" s="218"/>
      <c r="J954" s="218"/>
      <c r="K954" s="220"/>
    </row>
    <row r="955" spans="2:11" ht="16" x14ac:dyDescent="0.2">
      <c r="B955" s="217"/>
      <c r="C955" s="221" t="s">
        <v>997</v>
      </c>
      <c r="D955" s="218"/>
      <c r="E955" s="218"/>
      <c r="F955" s="218"/>
      <c r="G955" s="218"/>
      <c r="H955" s="218"/>
      <c r="I955" s="218"/>
      <c r="J955" s="242" t="str">
        <f>IF(OR(J936="Not Calculated",J823="Not Calculated")=TRUE,"Not Calculated",J823/J936)</f>
        <v>Not Calculated</v>
      </c>
      <c r="K955" s="220"/>
    </row>
    <row r="956" spans="2:11" x14ac:dyDescent="0.2">
      <c r="B956" s="217"/>
      <c r="C956" s="218"/>
      <c r="D956" s="218" t="s">
        <v>818</v>
      </c>
      <c r="E956" s="218"/>
      <c r="F956" s="218"/>
      <c r="G956" s="218"/>
      <c r="H956" s="218"/>
      <c r="I956" s="218"/>
      <c r="J956" s="218"/>
      <c r="K956" s="220"/>
    </row>
    <row r="957" spans="2:11" ht="16" thickBot="1" x14ac:dyDescent="0.25">
      <c r="B957" s="222"/>
      <c r="C957" s="223"/>
      <c r="D957" s="223"/>
      <c r="E957" s="223"/>
      <c r="F957" s="223"/>
      <c r="G957" s="223"/>
      <c r="H957" s="223"/>
      <c r="I957" s="223"/>
      <c r="J957" s="223"/>
      <c r="K957" s="224"/>
    </row>
    <row r="959" spans="2:11" ht="15" customHeight="1" x14ac:dyDescent="0.2">
      <c r="F959" s="405"/>
      <c r="G959" s="405"/>
      <c r="H959" s="405"/>
    </row>
    <row r="960" spans="2:11" x14ac:dyDescent="0.2">
      <c r="F960" s="405"/>
      <c r="G960" s="405"/>
      <c r="H960" s="405"/>
    </row>
    <row r="965" spans="1:3" ht="15" hidden="1" customHeight="1" x14ac:dyDescent="0.2">
      <c r="A965" s="12" t="s">
        <v>228</v>
      </c>
    </row>
    <row r="966" spans="1:3" ht="15" hidden="1" customHeight="1" x14ac:dyDescent="0.2">
      <c r="A966" s="12">
        <v>0</v>
      </c>
      <c r="B966" s="12" t="s">
        <v>250</v>
      </c>
      <c r="C966" s="12" t="s">
        <v>240</v>
      </c>
    </row>
    <row r="967" spans="1:3" ht="15" hidden="1" customHeight="1" x14ac:dyDescent="0.2">
      <c r="A967" s="12">
        <v>1</v>
      </c>
      <c r="B967" s="12" t="s">
        <v>251</v>
      </c>
      <c r="C967" s="12" t="s">
        <v>241</v>
      </c>
    </row>
    <row r="968" spans="1:3" ht="15" hidden="1" customHeight="1" x14ac:dyDescent="0.2">
      <c r="A968" s="12">
        <v>2</v>
      </c>
      <c r="B968" s="12" t="s">
        <v>252</v>
      </c>
      <c r="C968" s="12" t="s">
        <v>242</v>
      </c>
    </row>
    <row r="969" spans="1:3" ht="15" hidden="1" customHeight="1" x14ac:dyDescent="0.2">
      <c r="A969" s="12">
        <v>3</v>
      </c>
      <c r="B969" s="12" t="s">
        <v>253</v>
      </c>
      <c r="C969" s="12" t="s">
        <v>227</v>
      </c>
    </row>
    <row r="970" spans="1:3" ht="15" hidden="1" customHeight="1" x14ac:dyDescent="0.2">
      <c r="A970" s="12">
        <v>4</v>
      </c>
      <c r="B970" s="12" t="s">
        <v>254</v>
      </c>
      <c r="C970" s="12" t="s">
        <v>243</v>
      </c>
    </row>
    <row r="971" spans="1:3" ht="15" hidden="1" customHeight="1" x14ac:dyDescent="0.2"/>
    <row r="972" spans="1:3" ht="15" hidden="1" customHeight="1" x14ac:dyDescent="0.2">
      <c r="A972" s="12" t="s">
        <v>259</v>
      </c>
    </row>
    <row r="973" spans="1:3" ht="15" hidden="1" customHeight="1" x14ac:dyDescent="0.2">
      <c r="A973" s="12">
        <v>0</v>
      </c>
      <c r="B973" s="225" t="s">
        <v>870</v>
      </c>
    </row>
    <row r="974" spans="1:3" ht="15" hidden="1" customHeight="1" x14ac:dyDescent="0.2">
      <c r="A974" s="12">
        <v>1</v>
      </c>
      <c r="B974" s="12" t="s">
        <v>880</v>
      </c>
    </row>
    <row r="975" spans="1:3" ht="15" hidden="1" customHeight="1" x14ac:dyDescent="0.2">
      <c r="A975" s="12">
        <v>2</v>
      </c>
      <c r="B975" s="12" t="s">
        <v>872</v>
      </c>
    </row>
    <row r="976" spans="1:3" ht="15" hidden="1" customHeight="1" x14ac:dyDescent="0.2">
      <c r="A976" s="12">
        <v>3</v>
      </c>
      <c r="B976" s="12" t="s">
        <v>873</v>
      </c>
    </row>
    <row r="977" spans="1:2" ht="15" hidden="1" customHeight="1" x14ac:dyDescent="0.2">
      <c r="A977" s="12">
        <v>4</v>
      </c>
      <c r="B977" s="12" t="s">
        <v>874</v>
      </c>
    </row>
    <row r="978" spans="1:2" ht="15" hidden="1" customHeight="1" x14ac:dyDescent="0.2"/>
    <row r="979" spans="1:2" ht="15" hidden="1" customHeight="1" x14ac:dyDescent="0.2">
      <c r="A979" s="12" t="s">
        <v>294</v>
      </c>
    </row>
    <row r="980" spans="1:2" ht="15" hidden="1" customHeight="1" x14ac:dyDescent="0.2">
      <c r="A980" s="12">
        <v>0</v>
      </c>
      <c r="B980" s="225" t="s">
        <v>870</v>
      </c>
    </row>
    <row r="981" spans="1:2" ht="15" hidden="1" customHeight="1" x14ac:dyDescent="0.2">
      <c r="A981" s="12">
        <v>1</v>
      </c>
      <c r="B981" s="12" t="s">
        <v>875</v>
      </c>
    </row>
    <row r="982" spans="1:2" ht="15" hidden="1" customHeight="1" x14ac:dyDescent="0.2">
      <c r="A982" s="12">
        <v>2</v>
      </c>
      <c r="B982" s="12" t="s">
        <v>876</v>
      </c>
    </row>
    <row r="983" spans="1:2" ht="15" hidden="1" customHeight="1" x14ac:dyDescent="0.2">
      <c r="A983" s="12">
        <v>3</v>
      </c>
      <c r="B983" s="12" t="s">
        <v>877</v>
      </c>
    </row>
    <row r="984" spans="1:2" ht="15" hidden="1" customHeight="1" x14ac:dyDescent="0.2">
      <c r="A984" s="12">
        <v>4</v>
      </c>
      <c r="B984" s="12" t="s">
        <v>878</v>
      </c>
    </row>
    <row r="985" spans="1:2" ht="15" hidden="1" customHeight="1" x14ac:dyDescent="0.2"/>
    <row r="986" spans="1:2" ht="15" hidden="1" customHeight="1" x14ac:dyDescent="0.2">
      <c r="A986" s="12" t="s">
        <v>244</v>
      </c>
    </row>
    <row r="987" spans="1:2" ht="15" hidden="1" customHeight="1" x14ac:dyDescent="0.2">
      <c r="A987" s="12">
        <v>0</v>
      </c>
      <c r="B987" s="12" t="s">
        <v>245</v>
      </c>
    </row>
    <row r="988" spans="1:2" ht="15" hidden="1" customHeight="1" x14ac:dyDescent="0.2">
      <c r="A988" s="12">
        <v>1</v>
      </c>
      <c r="B988" s="12" t="s">
        <v>246</v>
      </c>
    </row>
    <row r="989" spans="1:2" ht="15" hidden="1" customHeight="1" x14ac:dyDescent="0.2">
      <c r="A989" s="12">
        <v>2</v>
      </c>
      <c r="B989" s="12" t="s">
        <v>247</v>
      </c>
    </row>
    <row r="990" spans="1:2" ht="15" hidden="1" customHeight="1" x14ac:dyDescent="0.2">
      <c r="A990" s="12">
        <v>3</v>
      </c>
      <c r="B990" s="12" t="s">
        <v>229</v>
      </c>
    </row>
    <row r="991" spans="1:2" ht="15" hidden="1" customHeight="1" x14ac:dyDescent="0.2">
      <c r="A991" s="12">
        <v>4</v>
      </c>
      <c r="B991" s="12" t="s">
        <v>248</v>
      </c>
    </row>
    <row r="992" spans="1:2" ht="15" hidden="1" customHeight="1" x14ac:dyDescent="0.2"/>
    <row r="993" spans="1:11" ht="15" hidden="1" customHeight="1" x14ac:dyDescent="0.2">
      <c r="A993" s="12" t="s">
        <v>381</v>
      </c>
    </row>
    <row r="994" spans="1:11" ht="15" hidden="1" customHeight="1" x14ac:dyDescent="0.2">
      <c r="A994" s="12">
        <v>0</v>
      </c>
      <c r="B994" s="12" t="s">
        <v>202</v>
      </c>
    </row>
    <row r="995" spans="1:11" ht="15" hidden="1" customHeight="1" x14ac:dyDescent="0.2">
      <c r="A995" s="12">
        <v>1</v>
      </c>
      <c r="B995" s="12" t="s">
        <v>190</v>
      </c>
    </row>
    <row r="996" spans="1:11" ht="15" hidden="1" customHeight="1" x14ac:dyDescent="0.2"/>
    <row r="997" spans="1:11" ht="15" hidden="1" customHeight="1" x14ac:dyDescent="0.2">
      <c r="A997" s="12" t="s">
        <v>249</v>
      </c>
    </row>
    <row r="998" spans="1:11" ht="15" hidden="1" customHeight="1" x14ac:dyDescent="0.2">
      <c r="A998" s="12">
        <v>0</v>
      </c>
      <c r="B998" s="12" t="s">
        <v>236</v>
      </c>
    </row>
    <row r="999" spans="1:11" ht="15" hidden="1" customHeight="1" x14ac:dyDescent="0.2">
      <c r="A999" s="12">
        <v>1</v>
      </c>
      <c r="B999" s="12" t="s">
        <v>237</v>
      </c>
    </row>
    <row r="1000" spans="1:11" ht="15" hidden="1" customHeight="1" x14ac:dyDescent="0.2">
      <c r="A1000" s="12">
        <v>2</v>
      </c>
      <c r="B1000" s="12" t="s">
        <v>235</v>
      </c>
    </row>
    <row r="1001" spans="1:11" ht="15" hidden="1" customHeight="1" x14ac:dyDescent="0.2">
      <c r="A1001" s="12">
        <v>3</v>
      </c>
      <c r="B1001" s="12" t="s">
        <v>238</v>
      </c>
    </row>
    <row r="1002" spans="1:11" ht="15" hidden="1" customHeight="1" x14ac:dyDescent="0.2">
      <c r="A1002" s="12">
        <v>4</v>
      </c>
      <c r="B1002" s="12" t="s">
        <v>234</v>
      </c>
    </row>
    <row r="1003" spans="1:11" ht="15" customHeight="1" x14ac:dyDescent="0.2">
      <c r="B1003" s="12" t="s">
        <v>685</v>
      </c>
    </row>
    <row r="1004" spans="1:11" ht="15" customHeight="1" x14ac:dyDescent="0.2">
      <c r="B1004" s="402"/>
      <c r="C1004" s="403"/>
      <c r="D1004" s="403"/>
      <c r="E1004" s="403"/>
      <c r="F1004" s="403"/>
      <c r="G1004" s="403"/>
      <c r="H1004" s="403"/>
      <c r="I1004" s="403"/>
      <c r="J1004" s="403"/>
      <c r="K1004" s="404"/>
    </row>
    <row r="1005" spans="1:11" ht="15" customHeight="1" x14ac:dyDescent="0.2">
      <c r="B1005" s="396"/>
      <c r="C1005" s="397"/>
      <c r="D1005" s="397"/>
      <c r="E1005" s="397"/>
      <c r="F1005" s="397"/>
      <c r="G1005" s="397"/>
      <c r="H1005" s="397"/>
      <c r="I1005" s="397"/>
      <c r="J1005" s="397"/>
      <c r="K1005" s="398"/>
    </row>
    <row r="1006" spans="1:11" ht="15" customHeight="1" x14ac:dyDescent="0.2">
      <c r="B1006" s="396"/>
      <c r="C1006" s="397"/>
      <c r="D1006" s="397"/>
      <c r="E1006" s="397"/>
      <c r="F1006" s="397"/>
      <c r="G1006" s="397"/>
      <c r="H1006" s="397"/>
      <c r="I1006" s="397"/>
      <c r="J1006" s="397"/>
      <c r="K1006" s="398"/>
    </row>
    <row r="1007" spans="1:11" ht="15" customHeight="1" x14ac:dyDescent="0.2">
      <c r="B1007" s="396"/>
      <c r="C1007" s="397"/>
      <c r="D1007" s="397"/>
      <c r="E1007" s="397"/>
      <c r="F1007" s="397"/>
      <c r="G1007" s="397"/>
      <c r="H1007" s="397"/>
      <c r="I1007" s="397"/>
      <c r="J1007" s="397"/>
      <c r="K1007" s="398"/>
    </row>
    <row r="1008" spans="1:11" ht="15" customHeight="1" x14ac:dyDescent="0.2">
      <c r="B1008" s="396"/>
      <c r="C1008" s="397"/>
      <c r="D1008" s="397"/>
      <c r="E1008" s="397"/>
      <c r="F1008" s="397"/>
      <c r="G1008" s="397"/>
      <c r="H1008" s="397"/>
      <c r="I1008" s="397"/>
      <c r="J1008" s="397"/>
      <c r="K1008" s="398"/>
    </row>
    <row r="1009" spans="2:11" ht="15" customHeight="1" x14ac:dyDescent="0.2">
      <c r="B1009" s="396"/>
      <c r="C1009" s="397"/>
      <c r="D1009" s="397"/>
      <c r="E1009" s="397"/>
      <c r="F1009" s="397"/>
      <c r="G1009" s="397"/>
      <c r="H1009" s="397"/>
      <c r="I1009" s="397"/>
      <c r="J1009" s="397"/>
      <c r="K1009" s="398"/>
    </row>
    <row r="1010" spans="2:11" x14ac:dyDescent="0.2">
      <c r="B1010" s="396"/>
      <c r="C1010" s="397"/>
      <c r="D1010" s="397"/>
      <c r="E1010" s="397"/>
      <c r="F1010" s="397"/>
      <c r="G1010" s="397"/>
      <c r="H1010" s="397"/>
      <c r="I1010" s="397"/>
      <c r="J1010" s="397"/>
      <c r="K1010" s="398"/>
    </row>
    <row r="1011" spans="2:11" ht="15" customHeight="1" x14ac:dyDescent="0.2">
      <c r="B1011" s="396"/>
      <c r="C1011" s="397"/>
      <c r="D1011" s="397"/>
      <c r="E1011" s="397"/>
      <c r="F1011" s="397"/>
      <c r="G1011" s="397"/>
      <c r="H1011" s="397"/>
      <c r="I1011" s="397"/>
      <c r="J1011" s="397"/>
      <c r="K1011" s="398"/>
    </row>
    <row r="1012" spans="2:11" ht="30" customHeight="1" x14ac:dyDescent="0.2">
      <c r="B1012" s="396"/>
      <c r="C1012" s="397"/>
      <c r="D1012" s="397"/>
      <c r="E1012" s="397"/>
      <c r="F1012" s="397"/>
      <c r="G1012" s="397"/>
      <c r="H1012" s="397"/>
      <c r="I1012" s="397"/>
      <c r="J1012" s="397"/>
      <c r="K1012" s="398"/>
    </row>
    <row r="1013" spans="2:11" ht="15" customHeight="1" x14ac:dyDescent="0.2">
      <c r="B1013" s="396"/>
      <c r="C1013" s="397"/>
      <c r="D1013" s="397"/>
      <c r="E1013" s="397"/>
      <c r="F1013" s="397"/>
      <c r="G1013" s="397"/>
      <c r="H1013" s="397"/>
      <c r="I1013" s="397"/>
      <c r="J1013" s="397"/>
      <c r="K1013" s="398"/>
    </row>
    <row r="1014" spans="2:11" ht="15" customHeight="1" x14ac:dyDescent="0.2">
      <c r="B1014" s="396"/>
      <c r="C1014" s="397"/>
      <c r="D1014" s="397"/>
      <c r="E1014" s="397"/>
      <c r="F1014" s="397"/>
      <c r="G1014" s="397"/>
      <c r="H1014" s="397"/>
      <c r="I1014" s="397"/>
      <c r="J1014" s="397"/>
      <c r="K1014" s="398"/>
    </row>
    <row r="1015" spans="2:11" ht="15" customHeight="1" x14ac:dyDescent="0.2">
      <c r="B1015" s="396"/>
      <c r="C1015" s="397"/>
      <c r="D1015" s="397"/>
      <c r="E1015" s="397"/>
      <c r="F1015" s="397"/>
      <c r="G1015" s="397"/>
      <c r="H1015" s="397"/>
      <c r="I1015" s="397"/>
      <c r="J1015" s="397"/>
      <c r="K1015" s="398"/>
    </row>
    <row r="1016" spans="2:11" x14ac:dyDescent="0.2">
      <c r="B1016" s="396"/>
      <c r="C1016" s="397"/>
      <c r="D1016" s="397"/>
      <c r="E1016" s="397"/>
      <c r="F1016" s="397"/>
      <c r="G1016" s="397"/>
      <c r="H1016" s="397"/>
      <c r="I1016" s="397"/>
      <c r="J1016" s="397"/>
      <c r="K1016" s="398"/>
    </row>
    <row r="1017" spans="2:11" ht="15" customHeight="1" x14ac:dyDescent="0.2">
      <c r="B1017" s="396"/>
      <c r="C1017" s="397"/>
      <c r="D1017" s="397"/>
      <c r="E1017" s="397"/>
      <c r="F1017" s="397"/>
      <c r="G1017" s="397"/>
      <c r="H1017" s="397"/>
      <c r="I1017" s="397"/>
      <c r="J1017" s="397"/>
      <c r="K1017" s="398"/>
    </row>
    <row r="1018" spans="2:11" ht="15" customHeight="1" x14ac:dyDescent="0.2">
      <c r="B1018" s="396"/>
      <c r="C1018" s="397"/>
      <c r="D1018" s="397"/>
      <c r="E1018" s="397"/>
      <c r="F1018" s="397"/>
      <c r="G1018" s="397"/>
      <c r="H1018" s="397"/>
      <c r="I1018" s="397"/>
      <c r="J1018" s="397"/>
      <c r="K1018" s="398"/>
    </row>
    <row r="1019" spans="2:11" ht="15" customHeight="1" x14ac:dyDescent="0.2">
      <c r="B1019" s="396"/>
      <c r="C1019" s="397"/>
      <c r="D1019" s="397"/>
      <c r="E1019" s="397"/>
      <c r="F1019" s="397"/>
      <c r="G1019" s="397"/>
      <c r="H1019" s="397"/>
      <c r="I1019" s="397"/>
      <c r="J1019" s="397"/>
      <c r="K1019" s="398"/>
    </row>
    <row r="1020" spans="2:11" ht="15" customHeight="1" x14ac:dyDescent="0.2">
      <c r="B1020" s="396"/>
      <c r="C1020" s="397"/>
      <c r="D1020" s="397"/>
      <c r="E1020" s="397"/>
      <c r="F1020" s="397"/>
      <c r="G1020" s="397"/>
      <c r="H1020" s="397"/>
      <c r="I1020" s="397"/>
      <c r="J1020" s="397"/>
      <c r="K1020" s="398"/>
    </row>
    <row r="1021" spans="2:11" ht="15" customHeight="1" x14ac:dyDescent="0.2">
      <c r="B1021" s="396"/>
      <c r="C1021" s="397"/>
      <c r="D1021" s="397"/>
      <c r="E1021" s="397"/>
      <c r="F1021" s="397"/>
      <c r="G1021" s="397"/>
      <c r="H1021" s="397"/>
      <c r="I1021" s="397"/>
      <c r="J1021" s="397"/>
      <c r="K1021" s="398"/>
    </row>
    <row r="1022" spans="2:11" ht="15" customHeight="1" x14ac:dyDescent="0.2">
      <c r="B1022" s="396"/>
      <c r="C1022" s="397"/>
      <c r="D1022" s="397"/>
      <c r="E1022" s="397"/>
      <c r="F1022" s="397"/>
      <c r="G1022" s="397"/>
      <c r="H1022" s="397"/>
      <c r="I1022" s="397"/>
      <c r="J1022" s="397"/>
      <c r="K1022" s="398"/>
    </row>
    <row r="1023" spans="2:11" ht="15" customHeight="1" x14ac:dyDescent="0.2">
      <c r="B1023" s="396"/>
      <c r="C1023" s="397"/>
      <c r="D1023" s="397"/>
      <c r="E1023" s="397"/>
      <c r="F1023" s="397"/>
      <c r="G1023" s="397"/>
      <c r="H1023" s="397"/>
      <c r="I1023" s="397"/>
      <c r="J1023" s="397"/>
      <c r="K1023" s="398"/>
    </row>
    <row r="1024" spans="2:11" ht="15" customHeight="1" x14ac:dyDescent="0.2">
      <c r="B1024" s="396"/>
      <c r="C1024" s="397"/>
      <c r="D1024" s="397"/>
      <c r="E1024" s="397"/>
      <c r="F1024" s="397"/>
      <c r="G1024" s="397"/>
      <c r="H1024" s="397"/>
      <c r="I1024" s="397"/>
      <c r="J1024" s="397"/>
      <c r="K1024" s="398"/>
    </row>
    <row r="1025" spans="2:11" ht="15" customHeight="1" x14ac:dyDescent="0.2">
      <c r="B1025" s="396"/>
      <c r="C1025" s="397"/>
      <c r="D1025" s="397"/>
      <c r="E1025" s="397"/>
      <c r="F1025" s="397"/>
      <c r="G1025" s="397"/>
      <c r="H1025" s="397"/>
      <c r="I1025" s="397"/>
      <c r="J1025" s="397"/>
      <c r="K1025" s="398"/>
    </row>
    <row r="1026" spans="2:11" ht="15" customHeight="1" x14ac:dyDescent="0.2">
      <c r="B1026" s="396"/>
      <c r="C1026" s="397"/>
      <c r="D1026" s="397"/>
      <c r="E1026" s="397"/>
      <c r="F1026" s="397"/>
      <c r="G1026" s="397"/>
      <c r="H1026" s="397"/>
      <c r="I1026" s="397"/>
      <c r="J1026" s="397"/>
      <c r="K1026" s="398"/>
    </row>
    <row r="1027" spans="2:11" ht="15" customHeight="1" x14ac:dyDescent="0.2">
      <c r="B1027" s="396"/>
      <c r="C1027" s="397"/>
      <c r="D1027" s="397"/>
      <c r="E1027" s="397"/>
      <c r="F1027" s="397"/>
      <c r="G1027" s="397"/>
      <c r="H1027" s="397"/>
      <c r="I1027" s="397"/>
      <c r="J1027" s="397"/>
      <c r="K1027" s="398"/>
    </row>
    <row r="1028" spans="2:11" ht="15" customHeight="1" x14ac:dyDescent="0.2">
      <c r="B1028" s="396"/>
      <c r="C1028" s="397"/>
      <c r="D1028" s="397"/>
      <c r="E1028" s="397"/>
      <c r="F1028" s="397"/>
      <c r="G1028" s="397"/>
      <c r="H1028" s="397"/>
      <c r="I1028" s="397"/>
      <c r="J1028" s="397"/>
      <c r="K1028" s="398"/>
    </row>
    <row r="1029" spans="2:11" ht="15" customHeight="1" x14ac:dyDescent="0.2">
      <c r="B1029" s="393"/>
      <c r="C1029" s="394"/>
      <c r="D1029" s="394"/>
      <c r="E1029" s="394"/>
      <c r="F1029" s="394"/>
      <c r="G1029" s="394"/>
      <c r="H1029" s="394"/>
      <c r="I1029" s="394"/>
      <c r="J1029" s="394"/>
      <c r="K1029" s="395"/>
    </row>
  </sheetData>
  <sheetProtection password="C7B0" sheet="1" objects="1" scenarios="1" formatCells="0" formatColumns="0" formatRows="0" selectLockedCells="1"/>
  <mergeCells count="152">
    <mergeCell ref="B1027:K1027"/>
    <mergeCell ref="B1028:K1028"/>
    <mergeCell ref="B1029:K1029"/>
    <mergeCell ref="B1021:K1021"/>
    <mergeCell ref="B1022:K1022"/>
    <mergeCell ref="B1023:K1023"/>
    <mergeCell ref="B1024:K1024"/>
    <mergeCell ref="B1025:K1025"/>
    <mergeCell ref="B1026:K1026"/>
    <mergeCell ref="B1015:K1015"/>
    <mergeCell ref="B1016:K1016"/>
    <mergeCell ref="B1017:K1017"/>
    <mergeCell ref="B1018:K1018"/>
    <mergeCell ref="B1019:K1019"/>
    <mergeCell ref="B1020:K1020"/>
    <mergeCell ref="B1009:K1009"/>
    <mergeCell ref="B1010:K1010"/>
    <mergeCell ref="B1011:K1011"/>
    <mergeCell ref="B1012:K1012"/>
    <mergeCell ref="B1013:K1013"/>
    <mergeCell ref="B1014:K1014"/>
    <mergeCell ref="F959:H960"/>
    <mergeCell ref="B1004:K1004"/>
    <mergeCell ref="B1005:K1005"/>
    <mergeCell ref="B1006:K1006"/>
    <mergeCell ref="B1007:K1007"/>
    <mergeCell ref="B1008:K1008"/>
    <mergeCell ref="G912:H912"/>
    <mergeCell ref="G916:H916"/>
    <mergeCell ref="G920:H920"/>
    <mergeCell ref="G924:H924"/>
    <mergeCell ref="G928:H928"/>
    <mergeCell ref="G932:H932"/>
    <mergeCell ref="G882:H882"/>
    <mergeCell ref="G886:H886"/>
    <mergeCell ref="G890:H890"/>
    <mergeCell ref="C900:J901"/>
    <mergeCell ref="G904:H904"/>
    <mergeCell ref="G908:H908"/>
    <mergeCell ref="G858:H858"/>
    <mergeCell ref="G862:H862"/>
    <mergeCell ref="G866:H866"/>
    <mergeCell ref="G870:H870"/>
    <mergeCell ref="G874:H874"/>
    <mergeCell ref="G878:H878"/>
    <mergeCell ref="G834:H834"/>
    <mergeCell ref="G838:H838"/>
    <mergeCell ref="G842:H842"/>
    <mergeCell ref="G846:H846"/>
    <mergeCell ref="G850:H850"/>
    <mergeCell ref="G854:H854"/>
    <mergeCell ref="G766:H766"/>
    <mergeCell ref="G767:H767"/>
    <mergeCell ref="G768:H768"/>
    <mergeCell ref="G769:H769"/>
    <mergeCell ref="G770:H770"/>
    <mergeCell ref="C830:J831"/>
    <mergeCell ref="G755:H755"/>
    <mergeCell ref="C759:J761"/>
    <mergeCell ref="G762:H762"/>
    <mergeCell ref="G763:H763"/>
    <mergeCell ref="G764:H764"/>
    <mergeCell ref="G765:H765"/>
    <mergeCell ref="G749:H749"/>
    <mergeCell ref="G750:H750"/>
    <mergeCell ref="G751:H751"/>
    <mergeCell ref="G752:H752"/>
    <mergeCell ref="G753:H753"/>
    <mergeCell ref="G754:H754"/>
    <mergeCell ref="G738:H738"/>
    <mergeCell ref="G739:H739"/>
    <mergeCell ref="G740:H740"/>
    <mergeCell ref="C744:J746"/>
    <mergeCell ref="G747:H747"/>
    <mergeCell ref="G748:H748"/>
    <mergeCell ref="G732:H732"/>
    <mergeCell ref="G733:H733"/>
    <mergeCell ref="G734:H734"/>
    <mergeCell ref="G735:H735"/>
    <mergeCell ref="G736:H736"/>
    <mergeCell ref="G737:H737"/>
    <mergeCell ref="G721:H721"/>
    <mergeCell ref="G722:H722"/>
    <mergeCell ref="G723:H723"/>
    <mergeCell ref="G724:H724"/>
    <mergeCell ref="G725:H725"/>
    <mergeCell ref="C729:J731"/>
    <mergeCell ref="C677:J677"/>
    <mergeCell ref="C714:J716"/>
    <mergeCell ref="G717:H717"/>
    <mergeCell ref="G718:H718"/>
    <mergeCell ref="G719:H719"/>
    <mergeCell ref="G720:H720"/>
    <mergeCell ref="C620:I621"/>
    <mergeCell ref="C633:J633"/>
    <mergeCell ref="C639:I640"/>
    <mergeCell ref="C641:I643"/>
    <mergeCell ref="C655:J655"/>
    <mergeCell ref="D664:I665"/>
    <mergeCell ref="C560:J560"/>
    <mergeCell ref="C566:I568"/>
    <mergeCell ref="C569:I571"/>
    <mergeCell ref="C583:J583"/>
    <mergeCell ref="C599:J599"/>
    <mergeCell ref="C613:J613"/>
    <mergeCell ref="C477:I478"/>
    <mergeCell ref="C486:J486"/>
    <mergeCell ref="C502:J502"/>
    <mergeCell ref="C518:J518"/>
    <mergeCell ref="C524:I525"/>
    <mergeCell ref="C535:J535"/>
    <mergeCell ref="C416:J416"/>
    <mergeCell ref="C420:I421"/>
    <mergeCell ref="C438:J438"/>
    <mergeCell ref="C444:I445"/>
    <mergeCell ref="C455:J455"/>
    <mergeCell ref="C471:J471"/>
    <mergeCell ref="C347:J347"/>
    <mergeCell ref="C365:J365"/>
    <mergeCell ref="C371:I372"/>
    <mergeCell ref="C385:J385"/>
    <mergeCell ref="C391:I392"/>
    <mergeCell ref="C402:J402"/>
    <mergeCell ref="C305:J305"/>
    <mergeCell ref="C311:I312"/>
    <mergeCell ref="C324:J324"/>
    <mergeCell ref="C330:I331"/>
    <mergeCell ref="C340:I341"/>
    <mergeCell ref="D343:I344"/>
    <mergeCell ref="C196:J196"/>
    <mergeCell ref="C216:J216"/>
    <mergeCell ref="C237:J237"/>
    <mergeCell ref="C257:J257"/>
    <mergeCell ref="C286:J286"/>
    <mergeCell ref="C292:I293"/>
    <mergeCell ref="C114:J114"/>
    <mergeCell ref="C120:J122"/>
    <mergeCell ref="C123:J124"/>
    <mergeCell ref="C129:J129"/>
    <mergeCell ref="C155:J155"/>
    <mergeCell ref="C176:J176"/>
    <mergeCell ref="B10:K10"/>
    <mergeCell ref="E15:J15"/>
    <mergeCell ref="C38:J38"/>
    <mergeCell ref="C57:J57"/>
    <mergeCell ref="C76:J76"/>
    <mergeCell ref="C95:J95"/>
    <mergeCell ref="G3:I3"/>
    <mergeCell ref="B6:K6"/>
    <mergeCell ref="B7:K7"/>
    <mergeCell ref="B8:K8"/>
    <mergeCell ref="B9:K9"/>
  </mergeCells>
  <dataValidations count="23">
    <dataValidation type="list" allowBlank="1" showInputMessage="1" showErrorMessage="1" sqref="E15:J15" xr:uid="{00000000-0002-0000-2400-000000000000}">
      <formula1>$C$966:$C$970</formula1>
    </dataValidation>
    <dataValidation type="list" allowBlank="1" showInputMessage="1" showErrorMessage="1" sqref="G834:H834 G890:H890 G886:H886 G882:H882 G878:H878 G874:H874 G870:H870 G866:H866 G862:H862 G858:H858 G854:H854 G850:H850 G846:H846 G842:H842 G838:H838 G904:H904 G932:H932 G928:H928 G924:H924 G920:H920 G916:H916 G912:H912 G908:H908" xr:uid="{00000000-0002-0000-2400-000001000000}">
      <formula1>$B$998:$B$1002</formula1>
    </dataValidation>
    <dataValidation type="list" allowBlank="1" showInputMessage="1" showErrorMessage="1" sqref="G717:H725 G762:H770 G732:H740 G747:H755" xr:uid="{00000000-0002-0000-2400-000002000000}">
      <formula1>$B$994:$B$995</formula1>
    </dataValidation>
    <dataValidation type="list" allowBlank="1" showInputMessage="1" showErrorMessage="1" sqref="J302 J362" xr:uid="{00000000-0002-0000-2400-000003000000}">
      <formula1>$B$980:$B$984</formula1>
    </dataValidation>
    <dataValidation type="list" allowBlank="1" showInputMessage="1" showErrorMessage="1" sqref="C123:J124" xr:uid="{00000000-0002-0000-2400-000004000000}">
      <formula1>$B$987:$B$991</formula1>
    </dataValidation>
    <dataValidation type="list" allowBlank="1" showInputMessage="1" showErrorMessage="1" sqref="J35 J213 J283 J652 J234 J54 J193 J173 J152 J126 J111 J92 J73 J254 J435 J452 J468 J499 J515 J532 J557 J580 J596 J674 J630" xr:uid="{00000000-0002-0000-2400-000005000000}">
      <formula1>$B$973:$B$977</formula1>
    </dataValidation>
    <dataValidation type="list" allowBlank="1" showInputMessage="1" showErrorMessage="1" sqref="J33" xr:uid="{00000000-0002-0000-2400-000006000000}">
      <formula1>$N$32:$N$37</formula1>
    </dataValidation>
    <dataValidation type="list" allowBlank="1" showInputMessage="1" showErrorMessage="1" sqref="J52" xr:uid="{00000000-0002-0000-2400-000007000000}">
      <formula1>$N$51:$N$56</formula1>
    </dataValidation>
    <dataValidation type="list" allowBlank="1" showInputMessage="1" showErrorMessage="1" sqref="J71" xr:uid="{00000000-0002-0000-2400-000008000000}">
      <formula1>$N$70:$N$75</formula1>
    </dataValidation>
    <dataValidation type="list" allowBlank="1" showInputMessage="1" showErrorMessage="1" sqref="J90" xr:uid="{00000000-0002-0000-2400-000009000000}">
      <formula1>$N$89:$N$94</formula1>
    </dataValidation>
    <dataValidation type="list" allowBlank="1" showInputMessage="1" showErrorMessage="1" sqref="J109" xr:uid="{00000000-0002-0000-2400-00000A000000}">
      <formula1>$N$108:$N$113</formula1>
    </dataValidation>
    <dataValidation type="list" allowBlank="1" showInputMessage="1" showErrorMessage="1" sqref="J150" xr:uid="{00000000-0002-0000-2400-00000B000000}">
      <formula1>$N$149:$N$154</formula1>
    </dataValidation>
    <dataValidation type="list" allowBlank="1" showInputMessage="1" showErrorMessage="1" sqref="J171" xr:uid="{00000000-0002-0000-2400-00000C000000}">
      <formula1>$N$170:$N$175</formula1>
    </dataValidation>
    <dataValidation type="list" allowBlank="1" showInputMessage="1" showErrorMessage="1" sqref="J191" xr:uid="{00000000-0002-0000-2400-00000D000000}">
      <formula1>$N$190:$N$195</formula1>
    </dataValidation>
    <dataValidation type="list" allowBlank="1" showInputMessage="1" showErrorMessage="1" sqref="J211" xr:uid="{00000000-0002-0000-2400-00000E000000}">
      <formula1>$N$210:$N$215</formula1>
    </dataValidation>
    <dataValidation type="list" allowBlank="1" showInputMessage="1" showErrorMessage="1" sqref="J232" xr:uid="{00000000-0002-0000-2400-00000F000000}">
      <formula1>$N$231:$N$236</formula1>
    </dataValidation>
    <dataValidation type="list" allowBlank="1" showInputMessage="1" showErrorMessage="1" sqref="J252" xr:uid="{00000000-0002-0000-2400-000010000000}">
      <formula1>$N$251:$N$256</formula1>
    </dataValidation>
    <dataValidation type="list" allowBlank="1" showInputMessage="1" showErrorMessage="1" sqref="J281" xr:uid="{00000000-0002-0000-2400-000011000000}">
      <formula1>$N$280:$N$285</formula1>
    </dataValidation>
    <dataValidation type="list" allowBlank="1" showInputMessage="1" showErrorMessage="1" sqref="J555" xr:uid="{00000000-0002-0000-2400-000012000000}">
      <formula1>$N$554:$N$559</formula1>
    </dataValidation>
    <dataValidation type="list" allowBlank="1" showInputMessage="1" showErrorMessage="1" sqref="J578" xr:uid="{00000000-0002-0000-2400-000013000000}">
      <formula1>$N$577:$N$582</formula1>
    </dataValidation>
    <dataValidation type="list" allowBlank="1" showInputMessage="1" showErrorMessage="1" sqref="J628" xr:uid="{00000000-0002-0000-2400-000014000000}">
      <formula1>$N$627:$N$632</formula1>
    </dataValidation>
    <dataValidation type="list" allowBlank="1" showInputMessage="1" showErrorMessage="1" sqref="J650" xr:uid="{00000000-0002-0000-2400-000015000000}">
      <formula1>$N$649:$N$654</formula1>
    </dataValidation>
    <dataValidation type="list" allowBlank="1" showInputMessage="1" showErrorMessage="1" sqref="J672" xr:uid="{00000000-0002-0000-2400-000016000000}">
      <formula1>$N$671:$N$676</formula1>
    </dataValidation>
  </dataValidations>
  <pageMargins left="0.7" right="0.7" top="0.75" bottom="0.75" header="0.3" footer="0.3"/>
  <pageSetup scale="70"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75"/>
  <dimension ref="A1:N1029"/>
  <sheetViews>
    <sheetView showGridLines="0" showRowColHeaders="0" zoomScale="85" zoomScaleNormal="85" workbookViewId="0">
      <selection activeCell="G3" sqref="G3:I3"/>
    </sheetView>
  </sheetViews>
  <sheetFormatPr baseColWidth="10" defaultColWidth="9.1640625" defaultRowHeight="15" x14ac:dyDescent="0.2"/>
  <cols>
    <col min="1" max="1" width="9.1640625" style="12"/>
    <col min="2" max="3" width="9.1640625" style="12" customWidth="1"/>
    <col min="4" max="4" width="9.1640625" style="12"/>
    <col min="5" max="5" width="9.1640625" style="12" customWidth="1"/>
    <col min="6" max="9" width="9.1640625" style="12"/>
    <col min="10" max="10" width="25.6640625" style="12" customWidth="1"/>
    <col min="11" max="12" width="9.1640625" style="12"/>
    <col min="13" max="13" width="9.1640625" style="12" customWidth="1"/>
    <col min="14" max="14" width="9.1640625" style="12" hidden="1" customWidth="1"/>
    <col min="15" max="16384" width="9.1640625" style="12"/>
  </cols>
  <sheetData>
    <row r="1" spans="2:13" x14ac:dyDescent="0.2">
      <c r="I1" s="29"/>
    </row>
    <row r="2" spans="2:13" ht="33" x14ac:dyDescent="0.2">
      <c r="G2" s="16" t="s">
        <v>1038</v>
      </c>
      <c r="I2" s="29"/>
    </row>
    <row r="3" spans="2:13" ht="23" x14ac:dyDescent="0.25">
      <c r="F3" s="306" t="s">
        <v>1042</v>
      </c>
      <c r="G3" s="479"/>
      <c r="H3" s="480"/>
      <c r="I3" s="481"/>
      <c r="L3" s="157"/>
      <c r="M3" s="157"/>
    </row>
    <row r="4" spans="2:13" x14ac:dyDescent="0.2">
      <c r="G4" s="98"/>
      <c r="I4" s="29"/>
      <c r="L4" s="158"/>
      <c r="M4" s="157"/>
    </row>
    <row r="5" spans="2:13" x14ac:dyDescent="0.2">
      <c r="B5" s="12" t="s">
        <v>1043</v>
      </c>
      <c r="G5" s="98"/>
      <c r="I5" s="29"/>
      <c r="L5" s="158"/>
      <c r="M5" s="157"/>
    </row>
    <row r="6" spans="2:13" ht="121.5" customHeight="1" x14ac:dyDescent="0.2">
      <c r="B6" s="476"/>
      <c r="C6" s="477"/>
      <c r="D6" s="477"/>
      <c r="E6" s="477"/>
      <c r="F6" s="477"/>
      <c r="G6" s="477"/>
      <c r="H6" s="477"/>
      <c r="I6" s="477"/>
      <c r="J6" s="477"/>
      <c r="K6" s="478"/>
      <c r="L6" s="158"/>
      <c r="M6" s="157"/>
    </row>
    <row r="7" spans="2:13" x14ac:dyDescent="0.2">
      <c r="B7" s="426"/>
      <c r="C7" s="426"/>
      <c r="D7" s="426"/>
      <c r="E7" s="426"/>
      <c r="F7" s="426"/>
      <c r="G7" s="426"/>
      <c r="H7" s="426"/>
      <c r="I7" s="426"/>
      <c r="J7" s="426"/>
      <c r="K7" s="426"/>
      <c r="L7" s="158"/>
    </row>
    <row r="8" spans="2:13" ht="75" customHeight="1" x14ac:dyDescent="0.2">
      <c r="B8" s="425" t="s">
        <v>664</v>
      </c>
      <c r="C8" s="341"/>
      <c r="D8" s="341"/>
      <c r="E8" s="341"/>
      <c r="F8" s="341"/>
      <c r="G8" s="341"/>
      <c r="H8" s="341"/>
      <c r="I8" s="341"/>
      <c r="J8" s="341"/>
      <c r="K8" s="341"/>
    </row>
    <row r="9" spans="2:13" ht="30" customHeight="1" x14ac:dyDescent="0.2">
      <c r="B9" s="445" t="s">
        <v>665</v>
      </c>
      <c r="C9" s="446"/>
      <c r="D9" s="446"/>
      <c r="E9" s="446"/>
      <c r="F9" s="446"/>
      <c r="G9" s="446"/>
      <c r="H9" s="446"/>
      <c r="I9" s="446"/>
      <c r="J9" s="446"/>
      <c r="K9" s="446"/>
    </row>
    <row r="10" spans="2:13" ht="121.5" customHeight="1" x14ac:dyDescent="0.2">
      <c r="B10" s="447"/>
      <c r="C10" s="448"/>
      <c r="D10" s="448"/>
      <c r="E10" s="448"/>
      <c r="F10" s="448"/>
      <c r="G10" s="448"/>
      <c r="H10" s="448"/>
      <c r="I10" s="448"/>
      <c r="J10" s="448"/>
      <c r="K10" s="449"/>
    </row>
    <row r="11" spans="2:13" ht="16" thickBot="1" x14ac:dyDescent="0.25"/>
    <row r="12" spans="2:13" x14ac:dyDescent="0.2">
      <c r="B12" s="159"/>
      <c r="C12" s="160"/>
      <c r="D12" s="160"/>
      <c r="E12" s="160"/>
      <c r="F12" s="160"/>
      <c r="G12" s="160"/>
      <c r="H12" s="160"/>
      <c r="I12" s="160"/>
      <c r="J12" s="160"/>
      <c r="K12" s="161"/>
    </row>
    <row r="13" spans="2:13" ht="21" x14ac:dyDescent="0.25">
      <c r="B13" s="162"/>
      <c r="C13" s="163"/>
      <c r="D13" s="163"/>
      <c r="E13" s="163"/>
      <c r="F13" s="163"/>
      <c r="G13" s="164" t="s">
        <v>226</v>
      </c>
      <c r="H13" s="163"/>
      <c r="I13" s="163"/>
      <c r="J13" s="163"/>
      <c r="K13" s="165"/>
    </row>
    <row r="14" spans="2:13" ht="21" x14ac:dyDescent="0.25">
      <c r="B14" s="162"/>
      <c r="C14" s="163"/>
      <c r="D14" s="163"/>
      <c r="E14" s="163"/>
      <c r="F14" s="163"/>
      <c r="G14" s="164"/>
      <c r="H14" s="163"/>
      <c r="I14" s="163"/>
      <c r="J14" s="163"/>
      <c r="K14" s="165"/>
    </row>
    <row r="15" spans="2:13" ht="26.25" customHeight="1" x14ac:dyDescent="0.2">
      <c r="B15" s="162"/>
      <c r="C15" s="163" t="s">
        <v>255</v>
      </c>
      <c r="D15" s="163"/>
      <c r="E15" s="412"/>
      <c r="F15" s="437"/>
      <c r="G15" s="437"/>
      <c r="H15" s="437"/>
      <c r="I15" s="437"/>
      <c r="J15" s="438"/>
      <c r="K15" s="165"/>
    </row>
    <row r="16" spans="2:13" x14ac:dyDescent="0.2">
      <c r="B16" s="162"/>
      <c r="C16" s="163"/>
      <c r="D16" s="163"/>
      <c r="E16" s="163"/>
      <c r="F16" s="163"/>
      <c r="G16" s="163"/>
      <c r="H16" s="163"/>
      <c r="I16" s="163"/>
      <c r="J16" s="163"/>
      <c r="K16" s="165"/>
    </row>
    <row r="17" spans="2:14" x14ac:dyDescent="0.2">
      <c r="B17" s="162"/>
      <c r="C17" s="166" t="s">
        <v>256</v>
      </c>
      <c r="D17" s="163"/>
      <c r="E17" s="167" t="str">
        <f>IF(E15=$C$966,$A$966,IF(E15=$C$967,$A$967,IF(E15=$C$968,$A$968,IF(E15=$C$969,$A$969,IF(E15=$C$970,$A$970,"Not Calculated")))))</f>
        <v>Not Calculated</v>
      </c>
      <c r="F17" s="163"/>
      <c r="G17" s="163"/>
      <c r="H17" s="163"/>
      <c r="I17" s="163"/>
      <c r="J17" s="163"/>
      <c r="K17" s="165"/>
    </row>
    <row r="18" spans="2:14" x14ac:dyDescent="0.2">
      <c r="B18" s="162"/>
      <c r="C18" s="163"/>
      <c r="D18" s="163"/>
      <c r="E18" s="167" t="str">
        <f>IF(E15=$C$966,$B$966,IF(E15=$C$967,$B$967,IF(E15=$C$968,$B$968,IF(E15=$C$969,$B$969,IF(E15=$C$970,$B$970,"Not Calculated")))))</f>
        <v>Not Calculated</v>
      </c>
      <c r="F18" s="163"/>
      <c r="G18" s="163"/>
      <c r="H18" s="163"/>
      <c r="I18" s="163"/>
      <c r="J18" s="163"/>
      <c r="K18" s="165"/>
    </row>
    <row r="19" spans="2:14" ht="16" thickBot="1" x14ac:dyDescent="0.25">
      <c r="B19" s="168"/>
      <c r="C19" s="169"/>
      <c r="D19" s="169"/>
      <c r="E19" s="169"/>
      <c r="F19" s="169"/>
      <c r="G19" s="169"/>
      <c r="H19" s="169"/>
      <c r="I19" s="169"/>
      <c r="J19" s="169"/>
      <c r="K19" s="170"/>
    </row>
    <row r="20" spans="2:14" ht="16" thickBot="1" x14ac:dyDescent="0.25"/>
    <row r="21" spans="2:14" x14ac:dyDescent="0.2">
      <c r="B21" s="33"/>
      <c r="C21" s="34"/>
      <c r="D21" s="34"/>
      <c r="E21" s="34"/>
      <c r="F21" s="34"/>
      <c r="G21" s="34"/>
      <c r="H21" s="34"/>
      <c r="I21" s="34"/>
      <c r="J21" s="34"/>
      <c r="K21" s="37"/>
    </row>
    <row r="22" spans="2:14" ht="21" x14ac:dyDescent="0.25">
      <c r="B22" s="38"/>
      <c r="C22" s="171"/>
      <c r="D22" s="40"/>
      <c r="E22" s="40"/>
      <c r="F22" s="40"/>
      <c r="G22" s="172" t="s">
        <v>26</v>
      </c>
      <c r="H22" s="40"/>
      <c r="I22" s="40"/>
      <c r="J22" s="40"/>
      <c r="K22" s="41"/>
    </row>
    <row r="23" spans="2:14" x14ac:dyDescent="0.2">
      <c r="B23" s="38"/>
      <c r="C23" s="40"/>
      <c r="D23" s="40"/>
      <c r="E23" s="40"/>
      <c r="F23" s="40"/>
      <c r="G23" s="40"/>
      <c r="H23" s="40"/>
      <c r="I23" s="40"/>
      <c r="J23" s="40"/>
      <c r="K23" s="41"/>
    </row>
    <row r="24" spans="2:14" ht="16" x14ac:dyDescent="0.2">
      <c r="B24" s="38"/>
      <c r="C24" s="45" t="s">
        <v>61</v>
      </c>
      <c r="D24" s="40"/>
      <c r="E24" s="40"/>
      <c r="F24" s="40"/>
      <c r="G24" s="40"/>
      <c r="H24" s="40"/>
      <c r="I24" s="40"/>
      <c r="J24" s="40"/>
      <c r="K24" s="41"/>
    </row>
    <row r="25" spans="2:14" x14ac:dyDescent="0.2">
      <c r="B25" s="38"/>
      <c r="C25" s="40" t="s">
        <v>434</v>
      </c>
      <c r="D25" s="40"/>
      <c r="E25" s="40"/>
      <c r="F25" s="40"/>
      <c r="G25" s="40"/>
      <c r="H25" s="40"/>
      <c r="I25" s="40"/>
      <c r="J25" s="252">
        <f>'Baseline Health'!G11</f>
        <v>0</v>
      </c>
      <c r="K25" s="41"/>
    </row>
    <row r="26" spans="2:14" x14ac:dyDescent="0.2">
      <c r="B26" s="38"/>
      <c r="C26" s="40" t="s">
        <v>288</v>
      </c>
      <c r="D26" s="40"/>
      <c r="E26" s="40"/>
      <c r="F26" s="40"/>
      <c r="G26" s="40"/>
      <c r="H26" s="40"/>
      <c r="I26" s="40"/>
      <c r="J26" s="264"/>
      <c r="K26" s="41"/>
    </row>
    <row r="27" spans="2:14" x14ac:dyDescent="0.2">
      <c r="B27" s="38"/>
      <c r="C27" s="40" t="s">
        <v>260</v>
      </c>
      <c r="D27" s="40"/>
      <c r="E27" s="40"/>
      <c r="F27" s="40"/>
      <c r="G27" s="40"/>
      <c r="H27" s="40"/>
      <c r="I27" s="40"/>
      <c r="J27" s="248" t="str">
        <f>IF(OR(J25=0,J25="Not Calculated")=TRUE,"Not Calculated",(IF(((J26+J25)/J25)&lt;=1,0,IF(((J26+J25)/J25)&lt;=1.05,1,IF(((J26+J25)/J25)&lt;=1.5, 2,IF(((J26+J25)/J25)&lt;=2,3,4))))))</f>
        <v>Not Calculated</v>
      </c>
      <c r="K27" s="41"/>
    </row>
    <row r="28" spans="2:14" ht="9.75" customHeight="1" x14ac:dyDescent="0.2">
      <c r="B28" s="38"/>
      <c r="C28" s="279" t="str">
        <f>"0:"</f>
        <v>0:</v>
      </c>
      <c r="D28" s="281" t="s">
        <v>918</v>
      </c>
      <c r="E28" s="40"/>
      <c r="F28" s="40"/>
      <c r="G28" s="40"/>
      <c r="H28" s="40"/>
      <c r="I28" s="40"/>
      <c r="J28" s="40"/>
      <c r="K28" s="41"/>
    </row>
    <row r="29" spans="2:14" ht="9.75" customHeight="1" x14ac:dyDescent="0.2">
      <c r="B29" s="38"/>
      <c r="C29" s="280" t="str">
        <f>"1:"</f>
        <v>1:</v>
      </c>
      <c r="D29" s="281" t="s">
        <v>919</v>
      </c>
      <c r="E29" s="40"/>
      <c r="F29" s="40"/>
      <c r="G29" s="40"/>
      <c r="H29" s="40"/>
      <c r="I29" s="40"/>
      <c r="J29" s="40"/>
      <c r="K29" s="41"/>
    </row>
    <row r="30" spans="2:14" ht="9.75" customHeight="1" x14ac:dyDescent="0.2">
      <c r="B30" s="38"/>
      <c r="C30" s="280" t="str">
        <f>"2:"</f>
        <v>2:</v>
      </c>
      <c r="D30" s="281" t="s">
        <v>920</v>
      </c>
      <c r="E30" s="40"/>
      <c r="F30" s="40"/>
      <c r="G30" s="40"/>
      <c r="H30" s="40"/>
      <c r="I30" s="40"/>
      <c r="J30" s="40"/>
      <c r="K30" s="41"/>
    </row>
    <row r="31" spans="2:14" ht="9.75" customHeight="1" x14ac:dyDescent="0.2">
      <c r="B31" s="38"/>
      <c r="C31" s="280" t="str">
        <f>"3:"</f>
        <v>3:</v>
      </c>
      <c r="D31" s="281" t="s">
        <v>921</v>
      </c>
      <c r="E31" s="40"/>
      <c r="F31" s="40"/>
      <c r="G31" s="40"/>
      <c r="H31" s="40"/>
      <c r="I31" s="40"/>
      <c r="J31" s="40"/>
      <c r="K31" s="41"/>
    </row>
    <row r="32" spans="2:14" ht="9.75" customHeight="1" x14ac:dyDescent="0.2">
      <c r="B32" s="38"/>
      <c r="C32" s="280" t="str">
        <f>"4:"</f>
        <v>4:</v>
      </c>
      <c r="D32" s="281" t="s">
        <v>922</v>
      </c>
      <c r="E32" s="40"/>
      <c r="F32" s="40"/>
      <c r="G32" s="40"/>
      <c r="H32" s="40"/>
      <c r="I32" s="40"/>
      <c r="J32" s="40"/>
      <c r="K32" s="41"/>
      <c r="N32" s="12" t="s">
        <v>661</v>
      </c>
    </row>
    <row r="33" spans="2:14" x14ac:dyDescent="0.2">
      <c r="B33" s="38"/>
      <c r="C33" s="174" t="s">
        <v>662</v>
      </c>
      <c r="D33" s="40"/>
      <c r="E33" s="40"/>
      <c r="F33" s="40"/>
      <c r="G33" s="40"/>
      <c r="H33" s="40"/>
      <c r="I33" s="40"/>
      <c r="J33" s="265" t="s">
        <v>661</v>
      </c>
      <c r="K33" s="41"/>
      <c r="N33" s="12" t="s">
        <v>894</v>
      </c>
    </row>
    <row r="34" spans="2:14" x14ac:dyDescent="0.2">
      <c r="B34" s="38"/>
      <c r="C34" s="174" t="s">
        <v>660</v>
      </c>
      <c r="D34" s="40"/>
      <c r="E34" s="40"/>
      <c r="F34" s="40"/>
      <c r="G34" s="40"/>
      <c r="H34" s="40"/>
      <c r="I34" s="40"/>
      <c r="J34" s="246" t="str">
        <f>IF(J33=N32,"N/A",IF(J33=N33,0,IF(J33=N34,1,IF(J33=N35,2,IF(J33=N36,3,IF(J33=N37,4,"N/A"))))))</f>
        <v>N/A</v>
      </c>
      <c r="K34" s="41"/>
      <c r="N34" s="12" t="s">
        <v>895</v>
      </c>
    </row>
    <row r="35" spans="2:14" x14ac:dyDescent="0.2">
      <c r="B35" s="38"/>
      <c r="C35" s="40" t="s">
        <v>257</v>
      </c>
      <c r="D35" s="40"/>
      <c r="E35" s="40"/>
      <c r="F35" s="40"/>
      <c r="G35" s="40"/>
      <c r="H35" s="40"/>
      <c r="I35" s="40"/>
      <c r="J35" s="266"/>
      <c r="K35" s="41"/>
      <c r="N35" s="12" t="s">
        <v>896</v>
      </c>
    </row>
    <row r="36" spans="2:14" x14ac:dyDescent="0.2">
      <c r="B36" s="38"/>
      <c r="C36" s="40" t="s">
        <v>261</v>
      </c>
      <c r="D36" s="40"/>
      <c r="E36" s="40"/>
      <c r="F36" s="40"/>
      <c r="G36" s="40"/>
      <c r="H36" s="40"/>
      <c r="I36" s="40"/>
      <c r="J36" s="245" t="str">
        <f>IF(J35=$B$973,$A$973,IF(J35=$B$974,$A$974,IF(J35=$B$975,$A$975,IF(J35=$B$976,$A$976,IF(J35=$B$977,$A$977,"Not Calculated")))))</f>
        <v>Not Calculated</v>
      </c>
      <c r="K36" s="41"/>
      <c r="N36" s="12" t="s">
        <v>897</v>
      </c>
    </row>
    <row r="37" spans="2:14" x14ac:dyDescent="0.2">
      <c r="B37" s="38"/>
      <c r="C37" s="40" t="s">
        <v>893</v>
      </c>
      <c r="D37" s="40"/>
      <c r="E37" s="40"/>
      <c r="F37" s="40"/>
      <c r="G37" s="40"/>
      <c r="H37" s="40"/>
      <c r="I37" s="40"/>
      <c r="J37" s="175"/>
      <c r="K37" s="41"/>
      <c r="N37" s="12" t="s">
        <v>898</v>
      </c>
    </row>
    <row r="38" spans="2:14" s="178" customFormat="1" x14ac:dyDescent="0.2">
      <c r="B38" s="176"/>
      <c r="C38" s="415"/>
      <c r="D38" s="400"/>
      <c r="E38" s="400"/>
      <c r="F38" s="400"/>
      <c r="G38" s="400"/>
      <c r="H38" s="400"/>
      <c r="I38" s="400"/>
      <c r="J38" s="401"/>
      <c r="K38" s="177"/>
    </row>
    <row r="39" spans="2:14" x14ac:dyDescent="0.2">
      <c r="B39" s="38"/>
      <c r="C39" s="40"/>
      <c r="D39" s="40"/>
      <c r="E39" s="40"/>
      <c r="F39" s="40"/>
      <c r="G39" s="40"/>
      <c r="H39" s="40"/>
      <c r="I39" s="40"/>
      <c r="J39" s="40"/>
      <c r="K39" s="41"/>
    </row>
    <row r="40" spans="2:14" x14ac:dyDescent="0.2">
      <c r="B40" s="38"/>
      <c r="C40" s="179" t="s">
        <v>258</v>
      </c>
      <c r="D40" s="40"/>
      <c r="E40" s="40"/>
      <c r="F40" s="40"/>
      <c r="G40" s="40"/>
      <c r="H40" s="40"/>
      <c r="I40" s="40"/>
      <c r="J40" s="245" t="str">
        <f>IF(J34="N/A",IF(OR(J27="Not Calculated",J36="Not Calculated")=TRUE,"Not Calculated",AVERAGE(J27,J36)),AVERAGE(J34,J36))</f>
        <v>Not Calculated</v>
      </c>
      <c r="K40" s="41"/>
    </row>
    <row r="41" spans="2:14" x14ac:dyDescent="0.2">
      <c r="B41" s="38"/>
      <c r="C41" s="179"/>
      <c r="D41" s="40"/>
      <c r="E41" s="40"/>
      <c r="F41" s="40"/>
      <c r="G41" s="40"/>
      <c r="H41" s="40"/>
      <c r="I41" s="40"/>
      <c r="J41" s="245"/>
      <c r="K41" s="41"/>
    </row>
    <row r="42" spans="2:14" x14ac:dyDescent="0.2">
      <c r="B42" s="38"/>
      <c r="C42" s="40"/>
      <c r="D42" s="40"/>
      <c r="E42" s="40"/>
      <c r="F42" s="40"/>
      <c r="G42" s="40"/>
      <c r="H42" s="40"/>
      <c r="I42" s="40"/>
      <c r="J42" s="40"/>
      <c r="K42" s="41"/>
    </row>
    <row r="43" spans="2:14" ht="16" x14ac:dyDescent="0.2">
      <c r="B43" s="38"/>
      <c r="C43" s="45" t="s">
        <v>51</v>
      </c>
      <c r="D43" s="40"/>
      <c r="E43" s="40"/>
      <c r="F43" s="40"/>
      <c r="G43" s="40"/>
      <c r="H43" s="40"/>
      <c r="I43" s="40"/>
      <c r="J43" s="40"/>
      <c r="K43" s="41"/>
    </row>
    <row r="44" spans="2:14" x14ac:dyDescent="0.2">
      <c r="B44" s="38"/>
      <c r="C44" s="40" t="s">
        <v>435</v>
      </c>
      <c r="D44" s="40"/>
      <c r="E44" s="40"/>
      <c r="F44" s="40"/>
      <c r="G44" s="40"/>
      <c r="H44" s="40"/>
      <c r="I44" s="40"/>
      <c r="J44" s="252">
        <f>'Baseline Health'!G17</f>
        <v>0</v>
      </c>
      <c r="K44" s="41"/>
    </row>
    <row r="45" spans="2:14" x14ac:dyDescent="0.2">
      <c r="B45" s="38"/>
      <c r="C45" s="40" t="s">
        <v>287</v>
      </c>
      <c r="D45" s="40"/>
      <c r="E45" s="40"/>
      <c r="F45" s="40"/>
      <c r="G45" s="40"/>
      <c r="H45" s="40"/>
      <c r="I45" s="40"/>
      <c r="J45" s="264"/>
      <c r="K45" s="41"/>
    </row>
    <row r="46" spans="2:14" x14ac:dyDescent="0.2">
      <c r="B46" s="38"/>
      <c r="C46" s="40" t="s">
        <v>260</v>
      </c>
      <c r="D46" s="40"/>
      <c r="E46" s="40"/>
      <c r="F46" s="40"/>
      <c r="G46" s="40"/>
      <c r="H46" s="40"/>
      <c r="I46" s="40"/>
      <c r="J46" s="248" t="str">
        <f>IF(OR(J44=0,J44="Not Calculated")=TRUE,"Not Calculated",(IF(((J45+J44)/J44)&lt;=1,0,IF(((J45+J44)/J44)&lt;=1.05,1,IF(((J45+J44)/J44)&lt;=1.5, 2,IF(((J45+J44)/J44)&lt;=2,3,4))))))</f>
        <v>Not Calculated</v>
      </c>
      <c r="K46" s="41"/>
    </row>
    <row r="47" spans="2:14" ht="9.75" customHeight="1" x14ac:dyDescent="0.2">
      <c r="B47" s="38"/>
      <c r="C47" s="279" t="str">
        <f>"0:"</f>
        <v>0:</v>
      </c>
      <c r="D47" s="281" t="s">
        <v>918</v>
      </c>
      <c r="E47" s="40"/>
      <c r="F47" s="40"/>
      <c r="G47" s="40"/>
      <c r="H47" s="40"/>
      <c r="I47" s="40"/>
      <c r="J47" s="40"/>
      <c r="K47" s="41"/>
    </row>
    <row r="48" spans="2:14" ht="9.75" customHeight="1" x14ac:dyDescent="0.2">
      <c r="B48" s="38"/>
      <c r="C48" s="280" t="str">
        <f>"1:"</f>
        <v>1:</v>
      </c>
      <c r="D48" s="281" t="s">
        <v>919</v>
      </c>
      <c r="E48" s="40"/>
      <c r="F48" s="40"/>
      <c r="G48" s="40"/>
      <c r="H48" s="40"/>
      <c r="I48" s="40"/>
      <c r="J48" s="40"/>
      <c r="K48" s="41"/>
    </row>
    <row r="49" spans="2:14" ht="9.75" customHeight="1" x14ac:dyDescent="0.2">
      <c r="B49" s="38"/>
      <c r="C49" s="280" t="str">
        <f>"2:"</f>
        <v>2:</v>
      </c>
      <c r="D49" s="281" t="s">
        <v>920</v>
      </c>
      <c r="E49" s="40"/>
      <c r="F49" s="40"/>
      <c r="G49" s="40"/>
      <c r="H49" s="40"/>
      <c r="I49" s="40"/>
      <c r="J49" s="40"/>
      <c r="K49" s="41"/>
    </row>
    <row r="50" spans="2:14" ht="9.75" customHeight="1" x14ac:dyDescent="0.2">
      <c r="B50" s="38"/>
      <c r="C50" s="280" t="str">
        <f>"3:"</f>
        <v>3:</v>
      </c>
      <c r="D50" s="281" t="s">
        <v>921</v>
      </c>
      <c r="E50" s="40"/>
      <c r="F50" s="40"/>
      <c r="G50" s="40"/>
      <c r="H50" s="40"/>
      <c r="I50" s="40"/>
      <c r="J50" s="40"/>
      <c r="K50" s="41"/>
    </row>
    <row r="51" spans="2:14" ht="9.75" customHeight="1" x14ac:dyDescent="0.2">
      <c r="B51" s="38"/>
      <c r="C51" s="280" t="str">
        <f>"4:"</f>
        <v>4:</v>
      </c>
      <c r="D51" s="281" t="s">
        <v>922</v>
      </c>
      <c r="E51" s="40"/>
      <c r="F51" s="40"/>
      <c r="G51" s="40"/>
      <c r="H51" s="40"/>
      <c r="I51" s="40"/>
      <c r="J51" s="40"/>
      <c r="K51" s="41"/>
      <c r="N51" s="12" t="s">
        <v>661</v>
      </c>
    </row>
    <row r="52" spans="2:14" x14ac:dyDescent="0.2">
      <c r="B52" s="38"/>
      <c r="C52" s="174" t="s">
        <v>662</v>
      </c>
      <c r="D52" s="40"/>
      <c r="E52" s="40"/>
      <c r="F52" s="40"/>
      <c r="G52" s="40"/>
      <c r="H52" s="40"/>
      <c r="I52" s="40"/>
      <c r="J52" s="265" t="s">
        <v>661</v>
      </c>
      <c r="K52" s="41"/>
      <c r="N52" s="12" t="s">
        <v>894</v>
      </c>
    </row>
    <row r="53" spans="2:14" x14ac:dyDescent="0.2">
      <c r="B53" s="38"/>
      <c r="C53" s="174" t="s">
        <v>660</v>
      </c>
      <c r="D53" s="40"/>
      <c r="E53" s="40"/>
      <c r="F53" s="40"/>
      <c r="G53" s="40"/>
      <c r="H53" s="40"/>
      <c r="I53" s="40"/>
      <c r="J53" s="246" t="str">
        <f>IF(J52=N51,"N/A",IF(J52=N52,0,IF(J52=N53,1,IF(J52=N54,2,IF(J52=N55,3,IF(J52=N56,4,"N/A"))))))</f>
        <v>N/A</v>
      </c>
      <c r="K53" s="41"/>
      <c r="N53" s="12" t="s">
        <v>895</v>
      </c>
    </row>
    <row r="54" spans="2:14" x14ac:dyDescent="0.2">
      <c r="B54" s="38"/>
      <c r="C54" s="40" t="s">
        <v>257</v>
      </c>
      <c r="D54" s="40"/>
      <c r="E54" s="40"/>
      <c r="F54" s="40"/>
      <c r="G54" s="40"/>
      <c r="H54" s="40"/>
      <c r="I54" s="40"/>
      <c r="J54" s="266"/>
      <c r="K54" s="41"/>
      <c r="N54" s="12" t="s">
        <v>896</v>
      </c>
    </row>
    <row r="55" spans="2:14" x14ac:dyDescent="0.2">
      <c r="B55" s="38"/>
      <c r="C55" s="40" t="s">
        <v>261</v>
      </c>
      <c r="D55" s="40"/>
      <c r="E55" s="40"/>
      <c r="F55" s="40"/>
      <c r="G55" s="40"/>
      <c r="H55" s="40"/>
      <c r="I55" s="40"/>
      <c r="J55" s="245" t="str">
        <f>IF(J54=$B$973,$A$973,IF(J54=$B$974,$A$974,IF(J54=$B$975,$A$975,IF(J54=$B$976,$A$976,IF(J54=$B$977,$A$977,"Not Calculated")))))</f>
        <v>Not Calculated</v>
      </c>
      <c r="K55" s="41"/>
      <c r="N55" s="12" t="s">
        <v>897</v>
      </c>
    </row>
    <row r="56" spans="2:14" x14ac:dyDescent="0.2">
      <c r="B56" s="38"/>
      <c r="C56" s="40" t="s">
        <v>893</v>
      </c>
      <c r="D56" s="40"/>
      <c r="E56" s="40"/>
      <c r="F56" s="40"/>
      <c r="G56" s="40"/>
      <c r="H56" s="40"/>
      <c r="I56" s="40"/>
      <c r="J56" s="175"/>
      <c r="K56" s="41"/>
      <c r="N56" s="12" t="s">
        <v>898</v>
      </c>
    </row>
    <row r="57" spans="2:14" s="178" customFormat="1" ht="15" customHeight="1" x14ac:dyDescent="0.2">
      <c r="B57" s="176"/>
      <c r="C57" s="415"/>
      <c r="D57" s="400"/>
      <c r="E57" s="400"/>
      <c r="F57" s="400"/>
      <c r="G57" s="400"/>
      <c r="H57" s="400"/>
      <c r="I57" s="400"/>
      <c r="J57" s="401"/>
      <c r="K57" s="177"/>
    </row>
    <row r="58" spans="2:14" x14ac:dyDescent="0.2">
      <c r="B58" s="38"/>
      <c r="C58" s="40"/>
      <c r="D58" s="40"/>
      <c r="E58" s="40"/>
      <c r="F58" s="40"/>
      <c r="G58" s="40"/>
      <c r="H58" s="40"/>
      <c r="I58" s="40"/>
      <c r="J58" s="40"/>
      <c r="K58" s="41"/>
    </row>
    <row r="59" spans="2:14" x14ac:dyDescent="0.2">
      <c r="B59" s="38"/>
      <c r="C59" s="179" t="s">
        <v>263</v>
      </c>
      <c r="D59" s="40"/>
      <c r="E59" s="40"/>
      <c r="F59" s="40"/>
      <c r="G59" s="40"/>
      <c r="H59" s="40"/>
      <c r="I59" s="40"/>
      <c r="J59" s="245" t="str">
        <f>IF(J53="N/A",IF(OR(J46="Not Calculated",J55="Not Calculated")=TRUE,"Not Calculated",AVERAGE(J46,J55)),AVERAGE(J53,J55))</f>
        <v>Not Calculated</v>
      </c>
      <c r="K59" s="41"/>
    </row>
    <row r="60" spans="2:14" x14ac:dyDescent="0.2">
      <c r="B60" s="38"/>
      <c r="C60" s="40"/>
      <c r="D60" s="40"/>
      <c r="E60" s="40"/>
      <c r="F60" s="40"/>
      <c r="G60" s="40"/>
      <c r="H60" s="40"/>
      <c r="I60" s="40"/>
      <c r="J60" s="40"/>
      <c r="K60" s="41"/>
    </row>
    <row r="61" spans="2:14" x14ac:dyDescent="0.2">
      <c r="B61" s="38"/>
      <c r="C61" s="40"/>
      <c r="D61" s="40"/>
      <c r="E61" s="40"/>
      <c r="F61" s="40"/>
      <c r="G61" s="40"/>
      <c r="H61" s="40"/>
      <c r="I61" s="40"/>
      <c r="J61" s="40"/>
      <c r="K61" s="41"/>
    </row>
    <row r="62" spans="2:14" ht="16" x14ac:dyDescent="0.2">
      <c r="B62" s="38"/>
      <c r="C62" s="45" t="s">
        <v>54</v>
      </c>
      <c r="D62" s="40"/>
      <c r="E62" s="40"/>
      <c r="F62" s="40"/>
      <c r="G62" s="40"/>
      <c r="H62" s="40"/>
      <c r="I62" s="40"/>
      <c r="J62" s="40"/>
      <c r="K62" s="41"/>
    </row>
    <row r="63" spans="2:14" x14ac:dyDescent="0.2">
      <c r="B63" s="38"/>
      <c r="C63" s="40" t="s">
        <v>436</v>
      </c>
      <c r="D63" s="40"/>
      <c r="E63" s="40"/>
      <c r="F63" s="40"/>
      <c r="G63" s="40"/>
      <c r="H63" s="40"/>
      <c r="I63" s="40"/>
      <c r="J63" s="252">
        <f>'Baseline Health'!G23</f>
        <v>0</v>
      </c>
      <c r="K63" s="41"/>
    </row>
    <row r="64" spans="2:14" x14ac:dyDescent="0.2">
      <c r="B64" s="38"/>
      <c r="C64" s="40" t="s">
        <v>289</v>
      </c>
      <c r="D64" s="40"/>
      <c r="E64" s="40"/>
      <c r="F64" s="40"/>
      <c r="G64" s="40"/>
      <c r="H64" s="40"/>
      <c r="I64" s="40"/>
      <c r="J64" s="264"/>
      <c r="K64" s="41"/>
    </row>
    <row r="65" spans="2:14" x14ac:dyDescent="0.2">
      <c r="B65" s="38"/>
      <c r="C65" s="40" t="s">
        <v>260</v>
      </c>
      <c r="D65" s="40"/>
      <c r="E65" s="40"/>
      <c r="F65" s="40"/>
      <c r="G65" s="40"/>
      <c r="H65" s="40"/>
      <c r="I65" s="40"/>
      <c r="J65" s="248" t="str">
        <f>IF(OR(J63=0,J63="Not Calculated")=TRUE,"Not Calculated",(IF(((J64+J63)/J63)&lt;=1,0,IF(((J64+J63)/J63)&lt;=1.05,1,IF(((J64+J63)/J63)&lt;=1.5, 2,IF(((J64+J63)/J63)&lt;=2,3,4))))))</f>
        <v>Not Calculated</v>
      </c>
      <c r="K65" s="41"/>
    </row>
    <row r="66" spans="2:14" ht="9.75" customHeight="1" x14ac:dyDescent="0.2">
      <c r="B66" s="38"/>
      <c r="C66" s="279" t="str">
        <f>"0:"</f>
        <v>0:</v>
      </c>
      <c r="D66" s="281" t="s">
        <v>918</v>
      </c>
      <c r="E66" s="40"/>
      <c r="F66" s="40"/>
      <c r="G66" s="40"/>
      <c r="H66" s="40"/>
      <c r="I66" s="40"/>
      <c r="J66" s="40"/>
      <c r="K66" s="41"/>
    </row>
    <row r="67" spans="2:14" ht="9.75" customHeight="1" x14ac:dyDescent="0.2">
      <c r="B67" s="38"/>
      <c r="C67" s="280" t="str">
        <f>"1:"</f>
        <v>1:</v>
      </c>
      <c r="D67" s="281" t="s">
        <v>919</v>
      </c>
      <c r="E67" s="40"/>
      <c r="F67" s="40"/>
      <c r="G67" s="40"/>
      <c r="H67" s="40"/>
      <c r="I67" s="40"/>
      <c r="J67" s="40"/>
      <c r="K67" s="41"/>
    </row>
    <row r="68" spans="2:14" ht="9.75" customHeight="1" x14ac:dyDescent="0.2">
      <c r="B68" s="38"/>
      <c r="C68" s="280" t="str">
        <f>"2:"</f>
        <v>2:</v>
      </c>
      <c r="D68" s="281" t="s">
        <v>920</v>
      </c>
      <c r="E68" s="40"/>
      <c r="F68" s="40"/>
      <c r="G68" s="40"/>
      <c r="H68" s="40"/>
      <c r="I68" s="40"/>
      <c r="J68" s="40"/>
      <c r="K68" s="41"/>
    </row>
    <row r="69" spans="2:14" ht="9.75" customHeight="1" x14ac:dyDescent="0.2">
      <c r="B69" s="38"/>
      <c r="C69" s="280" t="str">
        <f>"3:"</f>
        <v>3:</v>
      </c>
      <c r="D69" s="281" t="s">
        <v>921</v>
      </c>
      <c r="E69" s="40"/>
      <c r="F69" s="40"/>
      <c r="G69" s="40"/>
      <c r="H69" s="40"/>
      <c r="I69" s="40"/>
      <c r="J69" s="40"/>
      <c r="K69" s="41"/>
    </row>
    <row r="70" spans="2:14" ht="9.75" customHeight="1" x14ac:dyDescent="0.2">
      <c r="B70" s="38"/>
      <c r="C70" s="280" t="str">
        <f>"4:"</f>
        <v>4:</v>
      </c>
      <c r="D70" s="281" t="s">
        <v>922</v>
      </c>
      <c r="E70" s="40"/>
      <c r="F70" s="40"/>
      <c r="G70" s="40"/>
      <c r="H70" s="40"/>
      <c r="I70" s="40"/>
      <c r="J70" s="40"/>
      <c r="K70" s="41"/>
      <c r="N70" s="12" t="s">
        <v>661</v>
      </c>
    </row>
    <row r="71" spans="2:14" x14ac:dyDescent="0.2">
      <c r="B71" s="38"/>
      <c r="C71" s="174" t="s">
        <v>662</v>
      </c>
      <c r="D71" s="40"/>
      <c r="E71" s="40"/>
      <c r="F71" s="40"/>
      <c r="G71" s="40"/>
      <c r="H71" s="40"/>
      <c r="I71" s="40"/>
      <c r="J71" s="265" t="s">
        <v>661</v>
      </c>
      <c r="K71" s="41"/>
      <c r="N71" s="12" t="s">
        <v>894</v>
      </c>
    </row>
    <row r="72" spans="2:14" x14ac:dyDescent="0.2">
      <c r="B72" s="38"/>
      <c r="C72" s="174" t="s">
        <v>660</v>
      </c>
      <c r="D72" s="40"/>
      <c r="E72" s="40"/>
      <c r="F72" s="40"/>
      <c r="G72" s="40"/>
      <c r="H72" s="40"/>
      <c r="I72" s="40"/>
      <c r="J72" s="246" t="str">
        <f>IF(J71=N70,"N/A",IF(J71=N71,0,IF(J71=N72,1,IF(J71=N73,2,IF(J71=N74,3,IF(J71=N75,4,"N/A"))))))</f>
        <v>N/A</v>
      </c>
      <c r="K72" s="41"/>
      <c r="N72" s="12" t="s">
        <v>895</v>
      </c>
    </row>
    <row r="73" spans="2:14" x14ac:dyDescent="0.2">
      <c r="B73" s="38"/>
      <c r="C73" s="40" t="s">
        <v>257</v>
      </c>
      <c r="D73" s="40"/>
      <c r="E73" s="40"/>
      <c r="F73" s="40"/>
      <c r="G73" s="40"/>
      <c r="H73" s="40"/>
      <c r="I73" s="40"/>
      <c r="J73" s="266"/>
      <c r="K73" s="41"/>
      <c r="N73" s="12" t="s">
        <v>896</v>
      </c>
    </row>
    <row r="74" spans="2:14" x14ac:dyDescent="0.2">
      <c r="B74" s="38"/>
      <c r="C74" s="40" t="s">
        <v>261</v>
      </c>
      <c r="D74" s="40"/>
      <c r="E74" s="40"/>
      <c r="F74" s="40"/>
      <c r="G74" s="40"/>
      <c r="H74" s="40"/>
      <c r="I74" s="40"/>
      <c r="J74" s="245" t="str">
        <f>IF(J73=$B$973,$A$973,IF(J73=$B$974,$A$974,IF(J73=$B$975,$A$975,IF(J73=$B$976,$A$976,IF(J73=$B$977,$A$977,"Not Calculated")))))</f>
        <v>Not Calculated</v>
      </c>
      <c r="K74" s="41"/>
      <c r="N74" s="12" t="s">
        <v>897</v>
      </c>
    </row>
    <row r="75" spans="2:14" x14ac:dyDescent="0.2">
      <c r="B75" s="38"/>
      <c r="C75" s="40" t="s">
        <v>893</v>
      </c>
      <c r="D75" s="40"/>
      <c r="E75" s="40"/>
      <c r="F75" s="40"/>
      <c r="G75" s="40"/>
      <c r="H75" s="40"/>
      <c r="I75" s="40"/>
      <c r="J75" s="175"/>
      <c r="K75" s="41"/>
      <c r="N75" s="12" t="s">
        <v>898</v>
      </c>
    </row>
    <row r="76" spans="2:14" s="178" customFormat="1" x14ac:dyDescent="0.2">
      <c r="B76" s="176"/>
      <c r="C76" s="415"/>
      <c r="D76" s="400"/>
      <c r="E76" s="400"/>
      <c r="F76" s="400"/>
      <c r="G76" s="400"/>
      <c r="H76" s="400"/>
      <c r="I76" s="400"/>
      <c r="J76" s="401"/>
      <c r="K76" s="177"/>
    </row>
    <row r="77" spans="2:14" x14ac:dyDescent="0.2">
      <c r="B77" s="38"/>
      <c r="C77" s="40"/>
      <c r="D77" s="40"/>
      <c r="E77" s="40"/>
      <c r="F77" s="40"/>
      <c r="G77" s="40"/>
      <c r="H77" s="40"/>
      <c r="I77" s="40"/>
      <c r="J77" s="40"/>
      <c r="K77" s="41"/>
    </row>
    <row r="78" spans="2:14" x14ac:dyDescent="0.2">
      <c r="B78" s="38"/>
      <c r="C78" s="179" t="s">
        <v>264</v>
      </c>
      <c r="D78" s="40"/>
      <c r="E78" s="40"/>
      <c r="F78" s="40"/>
      <c r="G78" s="40"/>
      <c r="H78" s="40"/>
      <c r="I78" s="40"/>
      <c r="J78" s="245" t="str">
        <f>IF(J72="N/A",IF(OR(J65="Not Calculated",J74="Not Calculated")=TRUE,"Not Calculated",AVERAGE(J65,J74)),AVERAGE(J72,J74))</f>
        <v>Not Calculated</v>
      </c>
      <c r="K78" s="41"/>
    </row>
    <row r="79" spans="2:14" x14ac:dyDescent="0.2">
      <c r="B79" s="38"/>
      <c r="C79" s="40"/>
      <c r="D79" s="40"/>
      <c r="E79" s="40"/>
      <c r="F79" s="40"/>
      <c r="G79" s="40"/>
      <c r="H79" s="40"/>
      <c r="I79" s="40"/>
      <c r="J79" s="40"/>
      <c r="K79" s="41"/>
    </row>
    <row r="80" spans="2:14" x14ac:dyDescent="0.2">
      <c r="B80" s="38"/>
      <c r="C80" s="40"/>
      <c r="D80" s="40"/>
      <c r="E80" s="40"/>
      <c r="F80" s="40"/>
      <c r="G80" s="40"/>
      <c r="H80" s="40"/>
      <c r="I80" s="40"/>
      <c r="J80" s="40"/>
      <c r="K80" s="41"/>
    </row>
    <row r="81" spans="2:14" ht="16" x14ac:dyDescent="0.2">
      <c r="B81" s="38"/>
      <c r="C81" s="45" t="s">
        <v>57</v>
      </c>
      <c r="D81" s="40"/>
      <c r="E81" s="40"/>
      <c r="F81" s="40"/>
      <c r="G81" s="40"/>
      <c r="H81" s="40"/>
      <c r="I81" s="40"/>
      <c r="J81" s="40"/>
      <c r="K81" s="41"/>
    </row>
    <row r="82" spans="2:14" x14ac:dyDescent="0.2">
      <c r="B82" s="38"/>
      <c r="C82" s="40" t="s">
        <v>437</v>
      </c>
      <c r="D82" s="40"/>
      <c r="E82" s="40"/>
      <c r="F82" s="40"/>
      <c r="G82" s="40"/>
      <c r="H82" s="40"/>
      <c r="I82" s="40"/>
      <c r="J82" s="252">
        <f>'Baseline Health'!G29</f>
        <v>0</v>
      </c>
      <c r="K82" s="41"/>
    </row>
    <row r="83" spans="2:14" x14ac:dyDescent="0.2">
      <c r="B83" s="38"/>
      <c r="C83" s="40" t="s">
        <v>290</v>
      </c>
      <c r="D83" s="40"/>
      <c r="E83" s="40"/>
      <c r="F83" s="40"/>
      <c r="G83" s="40"/>
      <c r="H83" s="40"/>
      <c r="I83" s="40"/>
      <c r="J83" s="264"/>
      <c r="K83" s="41"/>
    </row>
    <row r="84" spans="2:14" x14ac:dyDescent="0.2">
      <c r="B84" s="38"/>
      <c r="C84" s="40" t="s">
        <v>260</v>
      </c>
      <c r="D84" s="40"/>
      <c r="E84" s="40"/>
      <c r="F84" s="40"/>
      <c r="G84" s="40"/>
      <c r="H84" s="40"/>
      <c r="I84" s="40"/>
      <c r="J84" s="248" t="str">
        <f>IF(OR(J82=0,J82="Not Calculated")=TRUE,"Not Calculated",(IF(((J83+J82)/J82)&lt;=1,0,IF(((J83+J82)/J82)&lt;=1.05,1,IF(((J83+J82)/J82)&lt;=1.5, 2,IF(((J83+J82)/J82)&lt;=2,3,4))))))</f>
        <v>Not Calculated</v>
      </c>
      <c r="K84" s="41"/>
    </row>
    <row r="85" spans="2:14" ht="9.75" customHeight="1" x14ac:dyDescent="0.2">
      <c r="B85" s="38"/>
      <c r="C85" s="279" t="str">
        <f>"0:"</f>
        <v>0:</v>
      </c>
      <c r="D85" s="281" t="s">
        <v>918</v>
      </c>
      <c r="E85" s="40"/>
      <c r="F85" s="40"/>
      <c r="G85" s="40"/>
      <c r="H85" s="40"/>
      <c r="I85" s="40"/>
      <c r="J85" s="40"/>
      <c r="K85" s="41"/>
    </row>
    <row r="86" spans="2:14" ht="9.75" customHeight="1" x14ac:dyDescent="0.2">
      <c r="B86" s="38"/>
      <c r="C86" s="280" t="str">
        <f>"1:"</f>
        <v>1:</v>
      </c>
      <c r="D86" s="281" t="s">
        <v>919</v>
      </c>
      <c r="E86" s="40"/>
      <c r="F86" s="40"/>
      <c r="G86" s="40"/>
      <c r="H86" s="40"/>
      <c r="I86" s="40"/>
      <c r="J86" s="40"/>
      <c r="K86" s="41"/>
    </row>
    <row r="87" spans="2:14" ht="9.75" customHeight="1" x14ac:dyDescent="0.2">
      <c r="B87" s="38"/>
      <c r="C87" s="280" t="str">
        <f>"2:"</f>
        <v>2:</v>
      </c>
      <c r="D87" s="281" t="s">
        <v>920</v>
      </c>
      <c r="E87" s="40"/>
      <c r="F87" s="40"/>
      <c r="G87" s="40"/>
      <c r="H87" s="40"/>
      <c r="I87" s="40"/>
      <c r="J87" s="40"/>
      <c r="K87" s="41"/>
    </row>
    <row r="88" spans="2:14" ht="9.75" customHeight="1" x14ac:dyDescent="0.2">
      <c r="B88" s="38"/>
      <c r="C88" s="280" t="str">
        <f>"3:"</f>
        <v>3:</v>
      </c>
      <c r="D88" s="281" t="s">
        <v>921</v>
      </c>
      <c r="E88" s="40"/>
      <c r="F88" s="40"/>
      <c r="G88" s="40"/>
      <c r="H88" s="40"/>
      <c r="I88" s="40"/>
      <c r="J88" s="40"/>
      <c r="K88" s="41"/>
    </row>
    <row r="89" spans="2:14" ht="9.75" customHeight="1" x14ac:dyDescent="0.2">
      <c r="B89" s="38"/>
      <c r="C89" s="280" t="str">
        <f>"4:"</f>
        <v>4:</v>
      </c>
      <c r="D89" s="281" t="s">
        <v>922</v>
      </c>
      <c r="E89" s="40"/>
      <c r="F89" s="40"/>
      <c r="G89" s="40"/>
      <c r="H89" s="40"/>
      <c r="I89" s="40"/>
      <c r="J89" s="40"/>
      <c r="K89" s="41"/>
      <c r="N89" s="12" t="s">
        <v>661</v>
      </c>
    </row>
    <row r="90" spans="2:14" x14ac:dyDescent="0.2">
      <c r="B90" s="38"/>
      <c r="C90" s="174" t="s">
        <v>662</v>
      </c>
      <c r="D90" s="40"/>
      <c r="E90" s="40"/>
      <c r="F90" s="40"/>
      <c r="G90" s="40"/>
      <c r="H90" s="40"/>
      <c r="I90" s="40"/>
      <c r="J90" s="265" t="s">
        <v>661</v>
      </c>
      <c r="K90" s="41"/>
      <c r="N90" s="12" t="s">
        <v>894</v>
      </c>
    </row>
    <row r="91" spans="2:14" x14ac:dyDescent="0.2">
      <c r="B91" s="38"/>
      <c r="C91" s="174" t="s">
        <v>660</v>
      </c>
      <c r="D91" s="40"/>
      <c r="E91" s="40"/>
      <c r="F91" s="40"/>
      <c r="G91" s="40"/>
      <c r="H91" s="40"/>
      <c r="I91" s="40"/>
      <c r="J91" s="246" t="str">
        <f>IF(J90=N89,"N/A",IF(J90=N90,0,IF(J90=N91,1,IF(J90=N92,2,IF(J90=N93,3,IF(J90=N94,4,"N/A"))))))</f>
        <v>N/A</v>
      </c>
      <c r="K91" s="41"/>
      <c r="N91" s="12" t="s">
        <v>895</v>
      </c>
    </row>
    <row r="92" spans="2:14" x14ac:dyDescent="0.2">
      <c r="B92" s="38"/>
      <c r="C92" s="40" t="s">
        <v>257</v>
      </c>
      <c r="D92" s="40"/>
      <c r="E92" s="40"/>
      <c r="F92" s="40"/>
      <c r="G92" s="40"/>
      <c r="H92" s="40"/>
      <c r="I92" s="40"/>
      <c r="J92" s="266"/>
      <c r="K92" s="41"/>
      <c r="N92" s="12" t="s">
        <v>896</v>
      </c>
    </row>
    <row r="93" spans="2:14" x14ac:dyDescent="0.2">
      <c r="B93" s="38"/>
      <c r="C93" s="40" t="s">
        <v>261</v>
      </c>
      <c r="D93" s="40"/>
      <c r="E93" s="40"/>
      <c r="F93" s="40"/>
      <c r="G93" s="40"/>
      <c r="H93" s="40"/>
      <c r="I93" s="40"/>
      <c r="J93" s="245" t="str">
        <f>IF(J92=$B$973,$A$973,IF(J92=$B$974,$A$974,IF(J92=$B$975,$A$975,IF(J92=$B$976,$A$976,IF(J92=$B$977,$A$977,"Not Calculated")))))</f>
        <v>Not Calculated</v>
      </c>
      <c r="K93" s="41"/>
      <c r="N93" s="12" t="s">
        <v>897</v>
      </c>
    </row>
    <row r="94" spans="2:14" x14ac:dyDescent="0.2">
      <c r="B94" s="38"/>
      <c r="C94" s="40" t="s">
        <v>893</v>
      </c>
      <c r="D94" s="40"/>
      <c r="E94" s="40"/>
      <c r="F94" s="40"/>
      <c r="G94" s="40"/>
      <c r="H94" s="40"/>
      <c r="I94" s="40"/>
      <c r="J94" s="175"/>
      <c r="K94" s="41"/>
      <c r="N94" s="12" t="s">
        <v>898</v>
      </c>
    </row>
    <row r="95" spans="2:14" s="178" customFormat="1" x14ac:dyDescent="0.2">
      <c r="B95" s="176"/>
      <c r="C95" s="415"/>
      <c r="D95" s="400"/>
      <c r="E95" s="400"/>
      <c r="F95" s="400"/>
      <c r="G95" s="400"/>
      <c r="H95" s="400"/>
      <c r="I95" s="400"/>
      <c r="J95" s="401"/>
      <c r="K95" s="177"/>
    </row>
    <row r="96" spans="2:14" x14ac:dyDescent="0.2">
      <c r="B96" s="38"/>
      <c r="C96" s="40"/>
      <c r="D96" s="40"/>
      <c r="E96" s="40"/>
      <c r="F96" s="40"/>
      <c r="G96" s="40"/>
      <c r="H96" s="40"/>
      <c r="I96" s="40"/>
      <c r="J96" s="40"/>
      <c r="K96" s="41"/>
    </row>
    <row r="97" spans="2:14" x14ac:dyDescent="0.2">
      <c r="B97" s="38"/>
      <c r="C97" s="179" t="s">
        <v>265</v>
      </c>
      <c r="D97" s="40"/>
      <c r="E97" s="40"/>
      <c r="F97" s="40"/>
      <c r="G97" s="40"/>
      <c r="H97" s="40"/>
      <c r="I97" s="40"/>
      <c r="J97" s="245" t="str">
        <f>IF(J91="N/A",IF(OR(J84="Not Calculated",J93="Not Calculated")=TRUE,"Not Calculated",AVERAGE(J84,J93)),AVERAGE(J91,J93))</f>
        <v>Not Calculated</v>
      </c>
      <c r="K97" s="41"/>
    </row>
    <row r="98" spans="2:14" x14ac:dyDescent="0.2">
      <c r="B98" s="38"/>
      <c r="C98" s="40"/>
      <c r="D98" s="40"/>
      <c r="E98" s="40"/>
      <c r="F98" s="40"/>
      <c r="G98" s="40"/>
      <c r="H98" s="40"/>
      <c r="I98" s="40"/>
      <c r="J98" s="40"/>
      <c r="K98" s="41"/>
    </row>
    <row r="99" spans="2:14" x14ac:dyDescent="0.2">
      <c r="B99" s="38"/>
      <c r="C99" s="40"/>
      <c r="D99" s="40"/>
      <c r="E99" s="40"/>
      <c r="F99" s="40"/>
      <c r="G99" s="40"/>
      <c r="H99" s="40"/>
      <c r="I99" s="40"/>
      <c r="J99" s="40"/>
      <c r="K99" s="41"/>
    </row>
    <row r="100" spans="2:14" ht="16" x14ac:dyDescent="0.2">
      <c r="B100" s="38"/>
      <c r="C100" s="45" t="s">
        <v>60</v>
      </c>
      <c r="D100" s="40"/>
      <c r="E100" s="40"/>
      <c r="F100" s="40"/>
      <c r="G100" s="40"/>
      <c r="H100" s="40"/>
      <c r="I100" s="40"/>
      <c r="J100" s="40"/>
      <c r="K100" s="41"/>
    </row>
    <row r="101" spans="2:14" x14ac:dyDescent="0.2">
      <c r="B101" s="38"/>
      <c r="C101" s="40" t="s">
        <v>438</v>
      </c>
      <c r="D101" s="40"/>
      <c r="E101" s="40"/>
      <c r="F101" s="40"/>
      <c r="G101" s="40"/>
      <c r="H101" s="40"/>
      <c r="I101" s="40"/>
      <c r="J101" s="252">
        <f>'Baseline Health'!G35</f>
        <v>0</v>
      </c>
      <c r="K101" s="41"/>
    </row>
    <row r="102" spans="2:14" x14ac:dyDescent="0.2">
      <c r="B102" s="38"/>
      <c r="C102" s="40" t="s">
        <v>291</v>
      </c>
      <c r="D102" s="40"/>
      <c r="E102" s="40"/>
      <c r="F102" s="40"/>
      <c r="G102" s="40"/>
      <c r="H102" s="40"/>
      <c r="I102" s="40"/>
      <c r="J102" s="264"/>
      <c r="K102" s="41"/>
    </row>
    <row r="103" spans="2:14" x14ac:dyDescent="0.2">
      <c r="B103" s="38"/>
      <c r="C103" s="40" t="s">
        <v>260</v>
      </c>
      <c r="D103" s="40"/>
      <c r="E103" s="40"/>
      <c r="F103" s="40"/>
      <c r="G103" s="40"/>
      <c r="H103" s="40"/>
      <c r="I103" s="40"/>
      <c r="J103" s="248" t="str">
        <f>IF(OR(J101=0,J101="Not Calculated")=TRUE,"Not Calculated",(IF(((J102+J101)/J101)&lt;=1,0,IF(((J102+J101)/J101)&lt;=1.05,1,IF(((J102+J101)/J101)&lt;=1.5, 2,IF(((J102+J101)/J101)&lt;=2,3,4))))))</f>
        <v>Not Calculated</v>
      </c>
      <c r="K103" s="41"/>
    </row>
    <row r="104" spans="2:14" ht="9.75" customHeight="1" x14ac:dyDescent="0.2">
      <c r="B104" s="38"/>
      <c r="C104" s="279" t="str">
        <f>"0:"</f>
        <v>0:</v>
      </c>
      <c r="D104" s="281" t="s">
        <v>918</v>
      </c>
      <c r="E104" s="40"/>
      <c r="F104" s="40"/>
      <c r="G104" s="40"/>
      <c r="H104" s="40"/>
      <c r="I104" s="40"/>
      <c r="J104" s="40"/>
      <c r="K104" s="41"/>
    </row>
    <row r="105" spans="2:14" ht="9.75" customHeight="1" x14ac:dyDescent="0.2">
      <c r="B105" s="38"/>
      <c r="C105" s="280" t="str">
        <f>"1:"</f>
        <v>1:</v>
      </c>
      <c r="D105" s="281" t="s">
        <v>919</v>
      </c>
      <c r="E105" s="40"/>
      <c r="F105" s="40"/>
      <c r="G105" s="40"/>
      <c r="H105" s="40"/>
      <c r="I105" s="40"/>
      <c r="J105" s="40"/>
      <c r="K105" s="41"/>
    </row>
    <row r="106" spans="2:14" ht="9.75" customHeight="1" x14ac:dyDescent="0.2">
      <c r="B106" s="38"/>
      <c r="C106" s="280" t="str">
        <f>"2:"</f>
        <v>2:</v>
      </c>
      <c r="D106" s="281" t="s">
        <v>920</v>
      </c>
      <c r="E106" s="40"/>
      <c r="F106" s="40"/>
      <c r="G106" s="40"/>
      <c r="H106" s="40"/>
      <c r="I106" s="40"/>
      <c r="J106" s="40"/>
      <c r="K106" s="41"/>
    </row>
    <row r="107" spans="2:14" ht="9.75" customHeight="1" x14ac:dyDescent="0.2">
      <c r="B107" s="38"/>
      <c r="C107" s="280" t="str">
        <f>"3:"</f>
        <v>3:</v>
      </c>
      <c r="D107" s="281" t="s">
        <v>921</v>
      </c>
      <c r="E107" s="40"/>
      <c r="F107" s="40"/>
      <c r="G107" s="40"/>
      <c r="H107" s="40"/>
      <c r="I107" s="40"/>
      <c r="J107" s="40"/>
      <c r="K107" s="41"/>
    </row>
    <row r="108" spans="2:14" ht="9.75" customHeight="1" x14ac:dyDescent="0.2">
      <c r="B108" s="38"/>
      <c r="C108" s="280" t="str">
        <f>"4:"</f>
        <v>4:</v>
      </c>
      <c r="D108" s="281" t="s">
        <v>922</v>
      </c>
      <c r="E108" s="40"/>
      <c r="F108" s="40"/>
      <c r="G108" s="40"/>
      <c r="H108" s="40"/>
      <c r="I108" s="40"/>
      <c r="J108" s="40"/>
      <c r="K108" s="41"/>
      <c r="N108" s="12" t="s">
        <v>661</v>
      </c>
    </row>
    <row r="109" spans="2:14" x14ac:dyDescent="0.2">
      <c r="B109" s="38"/>
      <c r="C109" s="174" t="s">
        <v>662</v>
      </c>
      <c r="D109" s="40"/>
      <c r="E109" s="40"/>
      <c r="F109" s="40"/>
      <c r="G109" s="40"/>
      <c r="H109" s="40"/>
      <c r="I109" s="40"/>
      <c r="J109" s="265" t="s">
        <v>661</v>
      </c>
      <c r="K109" s="41"/>
      <c r="N109" s="12" t="s">
        <v>894</v>
      </c>
    </row>
    <row r="110" spans="2:14" x14ac:dyDescent="0.2">
      <c r="B110" s="38"/>
      <c r="C110" s="174" t="s">
        <v>660</v>
      </c>
      <c r="D110" s="40"/>
      <c r="E110" s="40"/>
      <c r="F110" s="40"/>
      <c r="G110" s="40"/>
      <c r="H110" s="40"/>
      <c r="I110" s="40"/>
      <c r="J110" s="246" t="str">
        <f>IF(J109=N108,"N/A",IF(J109=N109,0,IF(J109=N110,1,IF(J109=N111,2,IF(J109=N112,3,IF(J109=N113,4,"N/A"))))))</f>
        <v>N/A</v>
      </c>
      <c r="K110" s="41"/>
      <c r="N110" s="12" t="s">
        <v>895</v>
      </c>
    </row>
    <row r="111" spans="2:14" x14ac:dyDescent="0.2">
      <c r="B111" s="38"/>
      <c r="C111" s="40" t="s">
        <v>257</v>
      </c>
      <c r="D111" s="40"/>
      <c r="E111" s="40"/>
      <c r="F111" s="40"/>
      <c r="G111" s="40"/>
      <c r="H111" s="40"/>
      <c r="I111" s="40"/>
      <c r="J111" s="266"/>
      <c r="K111" s="41"/>
      <c r="N111" s="12" t="s">
        <v>896</v>
      </c>
    </row>
    <row r="112" spans="2:14" x14ac:dyDescent="0.2">
      <c r="B112" s="38"/>
      <c r="C112" s="40" t="s">
        <v>261</v>
      </c>
      <c r="D112" s="40"/>
      <c r="E112" s="40"/>
      <c r="F112" s="40"/>
      <c r="G112" s="40"/>
      <c r="H112" s="40"/>
      <c r="I112" s="40"/>
      <c r="J112" s="245" t="str">
        <f>IF(J111=$B$973,$A$973,IF(J111=$B$974,$A$974,IF(J111=$B$975,$A$975,IF(J111=$B$976,$A$976,IF(J111=$B$977,$A$977,"Not Calculated")))))</f>
        <v>Not Calculated</v>
      </c>
      <c r="K112" s="41"/>
      <c r="N112" s="12" t="s">
        <v>897</v>
      </c>
    </row>
    <row r="113" spans="2:14" x14ac:dyDescent="0.2">
      <c r="B113" s="38"/>
      <c r="C113" s="40" t="s">
        <v>893</v>
      </c>
      <c r="D113" s="40"/>
      <c r="E113" s="40"/>
      <c r="F113" s="40"/>
      <c r="G113" s="40"/>
      <c r="H113" s="40"/>
      <c r="I113" s="40"/>
      <c r="J113" s="175"/>
      <c r="K113" s="41"/>
      <c r="N113" s="12" t="s">
        <v>898</v>
      </c>
    </row>
    <row r="114" spans="2:14" s="178" customFormat="1" x14ac:dyDescent="0.2">
      <c r="B114" s="176"/>
      <c r="C114" s="415"/>
      <c r="D114" s="400"/>
      <c r="E114" s="400"/>
      <c r="F114" s="400"/>
      <c r="G114" s="400"/>
      <c r="H114" s="400"/>
      <c r="I114" s="400"/>
      <c r="J114" s="401"/>
      <c r="K114" s="177"/>
    </row>
    <row r="115" spans="2:14" x14ac:dyDescent="0.2">
      <c r="B115" s="38"/>
      <c r="C115" s="40"/>
      <c r="D115" s="40"/>
      <c r="E115" s="40"/>
      <c r="F115" s="40"/>
      <c r="G115" s="40"/>
      <c r="H115" s="40"/>
      <c r="I115" s="40"/>
      <c r="J115" s="40"/>
      <c r="K115" s="41"/>
    </row>
    <row r="116" spans="2:14" x14ac:dyDescent="0.2">
      <c r="B116" s="38"/>
      <c r="C116" s="179" t="s">
        <v>266</v>
      </c>
      <c r="D116" s="40"/>
      <c r="E116" s="40"/>
      <c r="F116" s="40"/>
      <c r="G116" s="40"/>
      <c r="H116" s="40"/>
      <c r="I116" s="40"/>
      <c r="J116" s="245" t="str">
        <f>IF(J110="N/A",IF(OR(J103="Not Calculated",J112="Not Calculated")=TRUE,"Not Calculated",AVERAGE(J103,J112)),AVERAGE(J110,J112))</f>
        <v>Not Calculated</v>
      </c>
      <c r="K116" s="41"/>
    </row>
    <row r="117" spans="2:14" x14ac:dyDescent="0.2">
      <c r="B117" s="38"/>
      <c r="C117" s="40"/>
      <c r="D117" s="40"/>
      <c r="E117" s="40"/>
      <c r="F117" s="40"/>
      <c r="G117" s="40"/>
      <c r="H117" s="40"/>
      <c r="I117" s="40"/>
      <c r="J117" s="40"/>
      <c r="K117" s="41"/>
    </row>
    <row r="118" spans="2:14" x14ac:dyDescent="0.2">
      <c r="B118" s="38"/>
      <c r="C118" s="40"/>
      <c r="D118" s="40"/>
      <c r="E118" s="40"/>
      <c r="F118" s="40"/>
      <c r="G118" s="40"/>
      <c r="H118" s="40"/>
      <c r="I118" s="40"/>
      <c r="J118" s="40"/>
      <c r="K118" s="41"/>
    </row>
    <row r="119" spans="2:14" ht="16" x14ac:dyDescent="0.2">
      <c r="B119" s="38"/>
      <c r="C119" s="45" t="s">
        <v>262</v>
      </c>
      <c r="D119" s="40"/>
      <c r="E119" s="40"/>
      <c r="F119" s="40"/>
      <c r="G119" s="40"/>
      <c r="H119" s="40"/>
      <c r="I119" s="40"/>
      <c r="J119" s="40"/>
      <c r="K119" s="41"/>
    </row>
    <row r="120" spans="2:14" ht="15" customHeight="1" x14ac:dyDescent="0.2">
      <c r="B120" s="38"/>
      <c r="C120" s="422" t="s">
        <v>268</v>
      </c>
      <c r="D120" s="422"/>
      <c r="E120" s="422"/>
      <c r="F120" s="422"/>
      <c r="G120" s="422"/>
      <c r="H120" s="422"/>
      <c r="I120" s="422"/>
      <c r="J120" s="422"/>
      <c r="K120" s="41"/>
    </row>
    <row r="121" spans="2:14" x14ac:dyDescent="0.2">
      <c r="B121" s="38"/>
      <c r="C121" s="422"/>
      <c r="D121" s="422"/>
      <c r="E121" s="422"/>
      <c r="F121" s="422"/>
      <c r="G121" s="422"/>
      <c r="H121" s="422"/>
      <c r="I121" s="422"/>
      <c r="J121" s="422"/>
      <c r="K121" s="41"/>
    </row>
    <row r="122" spans="2:14" x14ac:dyDescent="0.2">
      <c r="B122" s="38"/>
      <c r="C122" s="423"/>
      <c r="D122" s="423"/>
      <c r="E122" s="423"/>
      <c r="F122" s="423"/>
      <c r="G122" s="423"/>
      <c r="H122" s="423"/>
      <c r="I122" s="423"/>
      <c r="J122" s="423"/>
      <c r="K122" s="41"/>
    </row>
    <row r="123" spans="2:14" ht="15" customHeight="1" x14ac:dyDescent="0.2">
      <c r="B123" s="38"/>
      <c r="C123" s="416"/>
      <c r="D123" s="417"/>
      <c r="E123" s="417"/>
      <c r="F123" s="417"/>
      <c r="G123" s="417"/>
      <c r="H123" s="417"/>
      <c r="I123" s="417"/>
      <c r="J123" s="418"/>
      <c r="K123" s="41"/>
    </row>
    <row r="124" spans="2:14" x14ac:dyDescent="0.2">
      <c r="B124" s="38"/>
      <c r="C124" s="419"/>
      <c r="D124" s="420"/>
      <c r="E124" s="420"/>
      <c r="F124" s="420"/>
      <c r="G124" s="420"/>
      <c r="H124" s="420"/>
      <c r="I124" s="420"/>
      <c r="J124" s="421"/>
      <c r="K124" s="41"/>
    </row>
    <row r="125" spans="2:14" ht="15" customHeight="1" x14ac:dyDescent="0.2">
      <c r="B125" s="38"/>
      <c r="C125" s="40" t="s">
        <v>260</v>
      </c>
      <c r="D125" s="40"/>
      <c r="E125" s="40"/>
      <c r="F125" s="40"/>
      <c r="G125" s="40"/>
      <c r="H125" s="40"/>
      <c r="I125" s="40"/>
      <c r="J125" s="247" t="str">
        <f>IF(C123=B987,A987,IF(C123=B988,A988,IF(C123=B989,A989,IF(C123=B990,A990,IF(C123=B991,A991,"Not Calculated")))))</f>
        <v>Not Calculated</v>
      </c>
      <c r="K125" s="41"/>
    </row>
    <row r="126" spans="2:14" ht="15" customHeight="1" x14ac:dyDescent="0.2">
      <c r="B126" s="38"/>
      <c r="C126" s="40" t="s">
        <v>257</v>
      </c>
      <c r="D126" s="40"/>
      <c r="E126" s="40"/>
      <c r="F126" s="40"/>
      <c r="G126" s="40"/>
      <c r="H126" s="40"/>
      <c r="I126" s="40"/>
      <c r="J126" s="266"/>
      <c r="K126" s="41"/>
    </row>
    <row r="127" spans="2:14" x14ac:dyDescent="0.2">
      <c r="B127" s="38"/>
      <c r="C127" s="40" t="s">
        <v>261</v>
      </c>
      <c r="D127" s="40"/>
      <c r="E127" s="40"/>
      <c r="F127" s="40"/>
      <c r="G127" s="40"/>
      <c r="H127" s="40"/>
      <c r="I127" s="40"/>
      <c r="J127" s="245" t="str">
        <f>IF(J126=$B$973,$A$973,IF(J126=$B$974,$A$974,IF(J126=$B$975,$A$975,IF(J126=$B$976,$A$976,IF(J126=$B$977,$A$977,"Not Calculated")))))</f>
        <v>Not Calculated</v>
      </c>
      <c r="K127" s="41"/>
    </row>
    <row r="128" spans="2:14" ht="15" customHeight="1" x14ac:dyDescent="0.2">
      <c r="B128" s="38"/>
      <c r="C128" s="40" t="s">
        <v>893</v>
      </c>
      <c r="D128" s="40"/>
      <c r="E128" s="40"/>
      <c r="F128" s="40"/>
      <c r="G128" s="40"/>
      <c r="H128" s="40"/>
      <c r="I128" s="40"/>
      <c r="J128" s="175"/>
      <c r="K128" s="41"/>
    </row>
    <row r="129" spans="2:11" s="178" customFormat="1" ht="15" customHeight="1" x14ac:dyDescent="0.2">
      <c r="B129" s="176"/>
      <c r="C129" s="415"/>
      <c r="D129" s="400"/>
      <c r="E129" s="400"/>
      <c r="F129" s="400"/>
      <c r="G129" s="400"/>
      <c r="H129" s="400"/>
      <c r="I129" s="400"/>
      <c r="J129" s="401"/>
      <c r="K129" s="177"/>
    </row>
    <row r="130" spans="2:11" x14ac:dyDescent="0.2">
      <c r="B130" s="38"/>
      <c r="C130" s="40"/>
      <c r="D130" s="40"/>
      <c r="E130" s="40"/>
      <c r="F130" s="40"/>
      <c r="G130" s="40"/>
      <c r="H130" s="40"/>
      <c r="I130" s="40"/>
      <c r="J130" s="40"/>
      <c r="K130" s="41"/>
    </row>
    <row r="131" spans="2:11" x14ac:dyDescent="0.2">
      <c r="B131" s="38"/>
      <c r="C131" s="179" t="s">
        <v>267</v>
      </c>
      <c r="D131" s="40"/>
      <c r="E131" s="40"/>
      <c r="F131" s="40"/>
      <c r="G131" s="40"/>
      <c r="H131" s="40"/>
      <c r="I131" s="40"/>
      <c r="J131" s="245" t="str">
        <f>IF(OR(J125="Not Calculated",J127="Not Calculated")=TRUE,"Not Calculated",AVERAGE(J125,J127))</f>
        <v>Not Calculated</v>
      </c>
      <c r="K131" s="41"/>
    </row>
    <row r="132" spans="2:11" x14ac:dyDescent="0.2">
      <c r="B132" s="38"/>
      <c r="C132" s="179"/>
      <c r="D132" s="40"/>
      <c r="E132" s="40"/>
      <c r="F132" s="40"/>
      <c r="G132" s="40"/>
      <c r="H132" s="40"/>
      <c r="I132" s="40"/>
      <c r="J132" s="245"/>
      <c r="K132" s="41"/>
    </row>
    <row r="133" spans="2:11" ht="18" x14ac:dyDescent="0.2">
      <c r="B133" s="38"/>
      <c r="C133" s="180" t="s">
        <v>269</v>
      </c>
      <c r="D133" s="40"/>
      <c r="E133" s="40"/>
      <c r="F133" s="40"/>
      <c r="G133" s="40"/>
      <c r="H133" s="40"/>
      <c r="I133" s="40"/>
      <c r="J133" s="244" t="str">
        <f>IF(OR(J40="Not Calculated",J59="Not Calculated",J78="Not Calculated",J97="Not Calculated",J116="Not Calculated",J131="Not Calculated",)=TRUE,"Not Calculated",AVERAGE(J40,J59,J78,J97,J116,J131))</f>
        <v>Not Calculated</v>
      </c>
      <c r="K133" s="41"/>
    </row>
    <row r="134" spans="2:11" ht="16" thickBot="1" x14ac:dyDescent="0.25">
      <c r="B134" s="46"/>
      <c r="C134" s="47"/>
      <c r="D134" s="47"/>
      <c r="E134" s="47"/>
      <c r="F134" s="47"/>
      <c r="G134" s="47"/>
      <c r="H134" s="47"/>
      <c r="I134" s="47"/>
      <c r="J134" s="47"/>
      <c r="K134" s="49"/>
    </row>
    <row r="135" spans="2:11" ht="16" thickBot="1" x14ac:dyDescent="0.25"/>
    <row r="136" spans="2:11" x14ac:dyDescent="0.2">
      <c r="B136" s="33"/>
      <c r="C136" s="34"/>
      <c r="D136" s="34"/>
      <c r="E136" s="34"/>
      <c r="F136" s="34"/>
      <c r="G136" s="34"/>
      <c r="H136" s="34"/>
      <c r="I136" s="34"/>
      <c r="J136" s="34"/>
      <c r="K136" s="37"/>
    </row>
    <row r="137" spans="2:11" ht="21" x14ac:dyDescent="0.25">
      <c r="B137" s="38"/>
      <c r="C137" s="171"/>
      <c r="D137" s="40"/>
      <c r="E137" s="40"/>
      <c r="F137" s="40"/>
      <c r="G137" s="172" t="s">
        <v>27</v>
      </c>
      <c r="H137" s="40"/>
      <c r="I137" s="40"/>
      <c r="J137" s="40"/>
      <c r="K137" s="41"/>
    </row>
    <row r="138" spans="2:11" x14ac:dyDescent="0.2">
      <c r="B138" s="38"/>
      <c r="C138" s="40"/>
      <c r="D138" s="40"/>
      <c r="E138" s="40"/>
      <c r="F138" s="40"/>
      <c r="G138" s="40"/>
      <c r="H138" s="40"/>
      <c r="I138" s="40"/>
      <c r="J138" s="40"/>
      <c r="K138" s="41"/>
    </row>
    <row r="139" spans="2:11" ht="16" x14ac:dyDescent="0.2">
      <c r="B139" s="38"/>
      <c r="C139" s="45" t="s">
        <v>72</v>
      </c>
      <c r="D139" s="40"/>
      <c r="E139" s="40"/>
      <c r="F139" s="40"/>
      <c r="G139" s="40"/>
      <c r="H139" s="40"/>
      <c r="I139" s="40"/>
      <c r="J139" s="40"/>
      <c r="K139" s="41"/>
    </row>
    <row r="140" spans="2:11" x14ac:dyDescent="0.2">
      <c r="B140" s="38"/>
      <c r="C140" s="40" t="s">
        <v>440</v>
      </c>
      <c r="D140" s="40"/>
      <c r="E140" s="40"/>
      <c r="F140" s="40"/>
      <c r="G140" s="40"/>
      <c r="H140" s="40"/>
      <c r="I140" s="40"/>
      <c r="J140" s="252">
        <f>'Baseline Health'!G45</f>
        <v>0</v>
      </c>
      <c r="K140" s="41"/>
    </row>
    <row r="141" spans="2:11" x14ac:dyDescent="0.2">
      <c r="B141" s="38"/>
      <c r="C141" s="40" t="s">
        <v>270</v>
      </c>
      <c r="D141" s="40"/>
      <c r="E141" s="40"/>
      <c r="F141" s="40"/>
      <c r="G141" s="40"/>
      <c r="H141" s="40"/>
      <c r="I141" s="40"/>
      <c r="J141" s="264"/>
      <c r="K141" s="41"/>
    </row>
    <row r="142" spans="2:11" x14ac:dyDescent="0.2">
      <c r="B142" s="38"/>
      <c r="C142" s="40" t="s">
        <v>439</v>
      </c>
      <c r="D142" s="40"/>
      <c r="E142" s="40"/>
      <c r="F142" s="40"/>
      <c r="G142" s="40"/>
      <c r="H142" s="40"/>
      <c r="I142" s="40"/>
      <c r="J142" s="251">
        <f>J83/20</f>
        <v>0</v>
      </c>
      <c r="K142" s="41"/>
    </row>
    <row r="143" spans="2:11" x14ac:dyDescent="0.2">
      <c r="B143" s="38"/>
      <c r="C143" s="40"/>
      <c r="D143" s="40" t="s">
        <v>351</v>
      </c>
      <c r="E143" s="40"/>
      <c r="F143" s="40"/>
      <c r="G143" s="40"/>
      <c r="H143" s="40"/>
      <c r="I143" s="40"/>
      <c r="J143" s="40"/>
      <c r="K143" s="41"/>
    </row>
    <row r="144" spans="2:11" x14ac:dyDescent="0.2">
      <c r="B144" s="38"/>
      <c r="C144" s="40" t="s">
        <v>260</v>
      </c>
      <c r="D144" s="40"/>
      <c r="E144" s="40"/>
      <c r="F144" s="40"/>
      <c r="G144" s="40"/>
      <c r="H144" s="40"/>
      <c r="I144" s="40"/>
      <c r="J144" s="245" t="str">
        <f>IF(OR(J140=0,J140="Not Calculated")=TRUE,"Not Calculated",IF((J140-J141)&lt;=0,4,IF(((J140+J142)/(J140-J141))&lt;=1,0,IF(((J140+J142)/(J140-J141))&lt;=1.05,1,IF(((J140+J142)/(J140-J141))&lt;=1.5, 2,IF(((J140+J142)/(J140-J141))&lt;=2,3,4))))))</f>
        <v>Not Calculated</v>
      </c>
      <c r="K144" s="41"/>
    </row>
    <row r="145" spans="2:14" ht="9.75" customHeight="1" x14ac:dyDescent="0.2">
      <c r="B145" s="38"/>
      <c r="C145" s="279" t="str">
        <f>"0:"</f>
        <v>0:</v>
      </c>
      <c r="D145" s="278" t="s">
        <v>918</v>
      </c>
      <c r="E145" s="40"/>
      <c r="F145" s="40"/>
      <c r="G145" s="40"/>
      <c r="H145" s="40"/>
      <c r="I145" s="40"/>
      <c r="J145" s="40"/>
      <c r="K145" s="41"/>
    </row>
    <row r="146" spans="2:14" ht="9.75" customHeight="1" x14ac:dyDescent="0.2">
      <c r="B146" s="38"/>
      <c r="C146" s="280" t="str">
        <f>"1:"</f>
        <v>1:</v>
      </c>
      <c r="D146" s="278" t="s">
        <v>923</v>
      </c>
      <c r="E146" s="40"/>
      <c r="F146" s="40"/>
      <c r="G146" s="40"/>
      <c r="H146" s="40"/>
      <c r="I146" s="40"/>
      <c r="J146" s="40"/>
      <c r="K146" s="41"/>
    </row>
    <row r="147" spans="2:14" ht="9.75" customHeight="1" x14ac:dyDescent="0.2">
      <c r="B147" s="38"/>
      <c r="C147" s="280" t="str">
        <f>"2:"</f>
        <v>2:</v>
      </c>
      <c r="D147" s="278" t="s">
        <v>924</v>
      </c>
      <c r="E147" s="40"/>
      <c r="F147" s="40"/>
      <c r="G147" s="40"/>
      <c r="H147" s="40"/>
      <c r="I147" s="40"/>
      <c r="J147" s="40"/>
      <c r="K147" s="41"/>
    </row>
    <row r="148" spans="2:14" ht="9.75" customHeight="1" x14ac:dyDescent="0.2">
      <c r="B148" s="38"/>
      <c r="C148" s="280" t="str">
        <f>"3:"</f>
        <v>3:</v>
      </c>
      <c r="D148" s="278" t="s">
        <v>925</v>
      </c>
      <c r="E148" s="40"/>
      <c r="F148" s="40"/>
      <c r="G148" s="40"/>
      <c r="H148" s="40"/>
      <c r="I148" s="40"/>
      <c r="J148" s="40"/>
      <c r="K148" s="41"/>
    </row>
    <row r="149" spans="2:14" ht="9.75" customHeight="1" x14ac:dyDescent="0.2">
      <c r="B149" s="38"/>
      <c r="C149" s="280" t="str">
        <f>"4:"</f>
        <v>4:</v>
      </c>
      <c r="D149" s="278" t="s">
        <v>926</v>
      </c>
      <c r="E149" s="40"/>
      <c r="F149" s="40"/>
      <c r="G149" s="40"/>
      <c r="H149" s="40"/>
      <c r="I149" s="40"/>
      <c r="J149" s="40"/>
      <c r="K149" s="41"/>
      <c r="N149" s="12" t="s">
        <v>661</v>
      </c>
    </row>
    <row r="150" spans="2:14" x14ac:dyDescent="0.2">
      <c r="B150" s="38"/>
      <c r="C150" s="174" t="s">
        <v>662</v>
      </c>
      <c r="D150" s="40"/>
      <c r="E150" s="40"/>
      <c r="F150" s="40"/>
      <c r="G150" s="40"/>
      <c r="H150" s="40"/>
      <c r="I150" s="40"/>
      <c r="J150" s="265" t="s">
        <v>661</v>
      </c>
      <c r="K150" s="41"/>
      <c r="N150" s="12" t="s">
        <v>894</v>
      </c>
    </row>
    <row r="151" spans="2:14" x14ac:dyDescent="0.2">
      <c r="B151" s="38"/>
      <c r="C151" s="174" t="s">
        <v>660</v>
      </c>
      <c r="D151" s="40"/>
      <c r="E151" s="40"/>
      <c r="F151" s="40"/>
      <c r="G151" s="40"/>
      <c r="H151" s="40"/>
      <c r="I151" s="40"/>
      <c r="J151" s="246" t="str">
        <f>IF(J150=N149,"N/A",IF(J150=N150,0,IF(J150=N151,1,IF(J150=N152,2,IF(J150=N153,3,IF(J150=N154,4,"N/A"))))))</f>
        <v>N/A</v>
      </c>
      <c r="K151" s="41"/>
      <c r="N151" s="12" t="s">
        <v>899</v>
      </c>
    </row>
    <row r="152" spans="2:14" x14ac:dyDescent="0.2">
      <c r="B152" s="38"/>
      <c r="C152" s="40" t="s">
        <v>257</v>
      </c>
      <c r="D152" s="40"/>
      <c r="E152" s="40"/>
      <c r="F152" s="40"/>
      <c r="G152" s="40"/>
      <c r="H152" s="40"/>
      <c r="I152" s="40"/>
      <c r="J152" s="266"/>
      <c r="K152" s="41"/>
      <c r="N152" s="12" t="s">
        <v>900</v>
      </c>
    </row>
    <row r="153" spans="2:14" x14ac:dyDescent="0.2">
      <c r="B153" s="38"/>
      <c r="C153" s="40" t="s">
        <v>261</v>
      </c>
      <c r="D153" s="40"/>
      <c r="E153" s="40"/>
      <c r="F153" s="40"/>
      <c r="G153" s="40"/>
      <c r="H153" s="40"/>
      <c r="I153" s="40"/>
      <c r="J153" s="245" t="str">
        <f>IF(J152=$B$973,$A$973,IF(J152=$B$974,$A$974,IF(J152=$B$975,$A$975,IF(J152=$B$976,$A$976,IF(J152=$B$977,$A$977,"Not Calculated")))))</f>
        <v>Not Calculated</v>
      </c>
      <c r="K153" s="41"/>
      <c r="N153" s="12" t="s">
        <v>901</v>
      </c>
    </row>
    <row r="154" spans="2:14" x14ac:dyDescent="0.2">
      <c r="B154" s="38"/>
      <c r="C154" s="40" t="s">
        <v>893</v>
      </c>
      <c r="D154" s="40"/>
      <c r="E154" s="40"/>
      <c r="F154" s="40"/>
      <c r="G154" s="40"/>
      <c r="H154" s="40"/>
      <c r="I154" s="40"/>
      <c r="J154" s="40"/>
      <c r="K154" s="41"/>
      <c r="N154" s="12" t="s">
        <v>902</v>
      </c>
    </row>
    <row r="155" spans="2:14" ht="15" customHeight="1" x14ac:dyDescent="0.2">
      <c r="B155" s="38"/>
      <c r="C155" s="399"/>
      <c r="D155" s="400"/>
      <c r="E155" s="400"/>
      <c r="F155" s="400"/>
      <c r="G155" s="400"/>
      <c r="H155" s="400"/>
      <c r="I155" s="400"/>
      <c r="J155" s="401"/>
      <c r="K155" s="41"/>
    </row>
    <row r="156" spans="2:14" x14ac:dyDescent="0.2">
      <c r="B156" s="38"/>
      <c r="C156" s="40"/>
      <c r="D156" s="40"/>
      <c r="E156" s="40"/>
      <c r="F156" s="40"/>
      <c r="G156" s="40"/>
      <c r="H156" s="40"/>
      <c r="I156" s="40"/>
      <c r="J156" s="40"/>
      <c r="K156" s="41"/>
    </row>
    <row r="157" spans="2:14" x14ac:dyDescent="0.2">
      <c r="B157" s="38"/>
      <c r="C157" s="179" t="s">
        <v>271</v>
      </c>
      <c r="D157" s="40"/>
      <c r="E157" s="40"/>
      <c r="F157" s="40"/>
      <c r="G157" s="40"/>
      <c r="H157" s="40"/>
      <c r="I157" s="40"/>
      <c r="J157" s="245" t="str">
        <f>IF(J151="N/A",IF(OR(J144="Not Calculated",J153="Not Calculated")=TRUE,"Not Calculated",AVERAGE(J144,J153)),AVERAGE(J151,J153))</f>
        <v>Not Calculated</v>
      </c>
      <c r="K157" s="41"/>
    </row>
    <row r="158" spans="2:14" x14ac:dyDescent="0.2">
      <c r="B158" s="38"/>
      <c r="C158" s="40"/>
      <c r="D158" s="40"/>
      <c r="E158" s="40"/>
      <c r="F158" s="40"/>
      <c r="G158" s="40"/>
      <c r="H158" s="40"/>
      <c r="I158" s="40"/>
      <c r="J158" s="40"/>
      <c r="K158" s="41"/>
    </row>
    <row r="159" spans="2:14" x14ac:dyDescent="0.2">
      <c r="B159" s="38"/>
      <c r="C159" s="40"/>
      <c r="D159" s="40"/>
      <c r="E159" s="40"/>
      <c r="F159" s="40"/>
      <c r="G159" s="40"/>
      <c r="H159" s="40"/>
      <c r="I159" s="40"/>
      <c r="J159" s="40"/>
      <c r="K159" s="41"/>
    </row>
    <row r="160" spans="2:14" ht="16" x14ac:dyDescent="0.2">
      <c r="B160" s="38"/>
      <c r="C160" s="45" t="s">
        <v>273</v>
      </c>
      <c r="D160" s="40"/>
      <c r="E160" s="40"/>
      <c r="F160" s="40"/>
      <c r="G160" s="40"/>
      <c r="H160" s="40"/>
      <c r="I160" s="40"/>
      <c r="J160" s="40"/>
      <c r="K160" s="41"/>
    </row>
    <row r="161" spans="2:14" x14ac:dyDescent="0.2">
      <c r="B161" s="38"/>
      <c r="C161" s="40" t="s">
        <v>441</v>
      </c>
      <c r="D161" s="40"/>
      <c r="E161" s="40"/>
      <c r="F161" s="40"/>
      <c r="G161" s="40"/>
      <c r="H161" s="40"/>
      <c r="I161" s="40"/>
      <c r="J161" s="252">
        <f>'Baseline Health'!G51</f>
        <v>0</v>
      </c>
      <c r="K161" s="41"/>
    </row>
    <row r="162" spans="2:14" x14ac:dyDescent="0.2">
      <c r="B162" s="38"/>
      <c r="C162" s="40" t="s">
        <v>280</v>
      </c>
      <c r="D162" s="40"/>
      <c r="E162" s="40"/>
      <c r="F162" s="40"/>
      <c r="G162" s="40"/>
      <c r="H162" s="40"/>
      <c r="I162" s="40"/>
      <c r="J162" s="264"/>
      <c r="K162" s="41"/>
    </row>
    <row r="163" spans="2:14" x14ac:dyDescent="0.2">
      <c r="B163" s="38"/>
      <c r="C163" s="40" t="s">
        <v>442</v>
      </c>
      <c r="D163" s="40"/>
      <c r="E163" s="40"/>
      <c r="F163" s="40"/>
      <c r="G163" s="40"/>
      <c r="H163" s="40"/>
      <c r="I163" s="40"/>
      <c r="J163" s="251">
        <f>(J64)/4.5</f>
        <v>0</v>
      </c>
      <c r="K163" s="41"/>
    </row>
    <row r="164" spans="2:14" x14ac:dyDescent="0.2">
      <c r="B164" s="38"/>
      <c r="C164" s="40"/>
      <c r="D164" s="40" t="s">
        <v>353</v>
      </c>
      <c r="E164" s="40"/>
      <c r="F164" s="40"/>
      <c r="G164" s="40"/>
      <c r="H164" s="40"/>
      <c r="I164" s="40"/>
      <c r="J164" s="40"/>
      <c r="K164" s="41"/>
    </row>
    <row r="165" spans="2:14" x14ac:dyDescent="0.2">
      <c r="B165" s="38"/>
      <c r="C165" s="40" t="s">
        <v>260</v>
      </c>
      <c r="D165" s="40"/>
      <c r="E165" s="40"/>
      <c r="F165" s="40"/>
      <c r="G165" s="40"/>
      <c r="H165" s="40"/>
      <c r="I165" s="40"/>
      <c r="J165" s="245" t="str">
        <f>IF(OR(J161=0,J161="Not Calculated")=TRUE,"Not Calculated",IF((J161-J162)&lt;=0,4,IF(((J161+J163)/(J161-J162))&lt;=1,0,IF(((J161+J163)/(J161-J162))&lt;=1.05,1,IF(((J161+J163)/(J161-J162))&lt;=1.5, 2,IF(((J161+J163)/(J161-J162))&lt;=2,3,4))))))</f>
        <v>Not Calculated</v>
      </c>
      <c r="K165" s="41"/>
    </row>
    <row r="166" spans="2:14" ht="9.75" customHeight="1" x14ac:dyDescent="0.2">
      <c r="B166" s="38"/>
      <c r="C166" s="279" t="str">
        <f>"0:"</f>
        <v>0:</v>
      </c>
      <c r="D166" s="278" t="s">
        <v>918</v>
      </c>
      <c r="E166" s="40"/>
      <c r="F166" s="40"/>
      <c r="G166" s="40"/>
      <c r="H166" s="40"/>
      <c r="I166" s="40"/>
      <c r="J166" s="40"/>
      <c r="K166" s="41"/>
    </row>
    <row r="167" spans="2:14" ht="9.75" customHeight="1" x14ac:dyDescent="0.2">
      <c r="B167" s="38"/>
      <c r="C167" s="280" t="str">
        <f>"1:"</f>
        <v>1:</v>
      </c>
      <c r="D167" s="278" t="s">
        <v>923</v>
      </c>
      <c r="E167" s="40"/>
      <c r="F167" s="40"/>
      <c r="G167" s="40"/>
      <c r="H167" s="40"/>
      <c r="I167" s="40"/>
      <c r="J167" s="40"/>
      <c r="K167" s="41"/>
    </row>
    <row r="168" spans="2:14" ht="9.75" customHeight="1" x14ac:dyDescent="0.2">
      <c r="B168" s="38"/>
      <c r="C168" s="280" t="str">
        <f>"2:"</f>
        <v>2:</v>
      </c>
      <c r="D168" s="278" t="s">
        <v>924</v>
      </c>
      <c r="E168" s="40"/>
      <c r="F168" s="40"/>
      <c r="G168" s="40"/>
      <c r="H168" s="40"/>
      <c r="I168" s="40"/>
      <c r="J168" s="40"/>
      <c r="K168" s="41"/>
    </row>
    <row r="169" spans="2:14" ht="9.75" customHeight="1" x14ac:dyDescent="0.2">
      <c r="B169" s="38"/>
      <c r="C169" s="280" t="str">
        <f>"3:"</f>
        <v>3:</v>
      </c>
      <c r="D169" s="278" t="s">
        <v>925</v>
      </c>
      <c r="E169" s="40"/>
      <c r="F169" s="40"/>
      <c r="G169" s="40"/>
      <c r="H169" s="40"/>
      <c r="I169" s="40"/>
      <c r="J169" s="40"/>
      <c r="K169" s="41"/>
    </row>
    <row r="170" spans="2:14" ht="9.75" customHeight="1" x14ac:dyDescent="0.2">
      <c r="B170" s="38"/>
      <c r="C170" s="280" t="str">
        <f>"4:"</f>
        <v>4:</v>
      </c>
      <c r="D170" s="278" t="s">
        <v>926</v>
      </c>
      <c r="E170" s="40"/>
      <c r="F170" s="40"/>
      <c r="G170" s="40"/>
      <c r="H170" s="40"/>
      <c r="I170" s="40"/>
      <c r="J170" s="40"/>
      <c r="K170" s="41"/>
      <c r="N170" s="12" t="s">
        <v>661</v>
      </c>
    </row>
    <row r="171" spans="2:14" x14ac:dyDescent="0.2">
      <c r="B171" s="38"/>
      <c r="C171" s="174" t="s">
        <v>662</v>
      </c>
      <c r="D171" s="40"/>
      <c r="E171" s="40"/>
      <c r="F171" s="40"/>
      <c r="G171" s="40"/>
      <c r="H171" s="40"/>
      <c r="I171" s="40"/>
      <c r="J171" s="265" t="s">
        <v>661</v>
      </c>
      <c r="K171" s="41"/>
      <c r="N171" s="12" t="s">
        <v>894</v>
      </c>
    </row>
    <row r="172" spans="2:14" x14ac:dyDescent="0.2">
      <c r="B172" s="38"/>
      <c r="C172" s="174" t="s">
        <v>660</v>
      </c>
      <c r="D172" s="40"/>
      <c r="E172" s="40"/>
      <c r="F172" s="40"/>
      <c r="G172" s="40"/>
      <c r="H172" s="40"/>
      <c r="I172" s="40"/>
      <c r="J172" s="246" t="str">
        <f>IF(J171=N170,"N/A",IF(J171=N171,0,IF(J171=N172,1,IF(J171=N173,2,IF(J171=N174,3,IF(J171=N175,4,"N/A"))))))</f>
        <v>N/A</v>
      </c>
      <c r="K172" s="41"/>
      <c r="N172" s="12" t="s">
        <v>899</v>
      </c>
    </row>
    <row r="173" spans="2:14" x14ac:dyDescent="0.2">
      <c r="B173" s="38"/>
      <c r="C173" s="40" t="s">
        <v>257</v>
      </c>
      <c r="D173" s="40"/>
      <c r="E173" s="40"/>
      <c r="F173" s="40"/>
      <c r="G173" s="40"/>
      <c r="H173" s="40"/>
      <c r="I173" s="40"/>
      <c r="J173" s="266"/>
      <c r="K173" s="41"/>
      <c r="N173" s="12" t="s">
        <v>900</v>
      </c>
    </row>
    <row r="174" spans="2:14" x14ac:dyDescent="0.2">
      <c r="B174" s="38"/>
      <c r="C174" s="40" t="s">
        <v>261</v>
      </c>
      <c r="D174" s="40"/>
      <c r="E174" s="40"/>
      <c r="F174" s="40"/>
      <c r="G174" s="40"/>
      <c r="H174" s="40"/>
      <c r="I174" s="40"/>
      <c r="J174" s="245" t="str">
        <f>IF(J173=$B$973,$A$973,IF(J173=$B$974,$A$974,IF(J173=$B$975,$A$975,IF(J173=$B$976,$A$976,IF(J173=$B$977,$A$977,"Not Calculated")))))</f>
        <v>Not Calculated</v>
      </c>
      <c r="K174" s="41"/>
      <c r="N174" s="12" t="s">
        <v>901</v>
      </c>
    </row>
    <row r="175" spans="2:14" x14ac:dyDescent="0.2">
      <c r="B175" s="38"/>
      <c r="C175" s="40" t="s">
        <v>893</v>
      </c>
      <c r="D175" s="40"/>
      <c r="E175" s="40"/>
      <c r="F175" s="40"/>
      <c r="G175" s="40"/>
      <c r="H175" s="40"/>
      <c r="I175" s="40"/>
      <c r="J175" s="40"/>
      <c r="K175" s="41"/>
      <c r="N175" s="12" t="s">
        <v>902</v>
      </c>
    </row>
    <row r="176" spans="2:14" ht="15" customHeight="1" x14ac:dyDescent="0.2">
      <c r="B176" s="38"/>
      <c r="C176" s="399"/>
      <c r="D176" s="400"/>
      <c r="E176" s="400"/>
      <c r="F176" s="400"/>
      <c r="G176" s="400"/>
      <c r="H176" s="400"/>
      <c r="I176" s="400"/>
      <c r="J176" s="401"/>
      <c r="K176" s="41"/>
    </row>
    <row r="177" spans="2:14" x14ac:dyDescent="0.2">
      <c r="B177" s="38"/>
      <c r="C177" s="40"/>
      <c r="D177" s="40"/>
      <c r="E177" s="40"/>
      <c r="F177" s="40"/>
      <c r="G177" s="40"/>
      <c r="H177" s="40"/>
      <c r="I177" s="40"/>
      <c r="J177" s="40"/>
      <c r="K177" s="41"/>
    </row>
    <row r="178" spans="2:14" x14ac:dyDescent="0.2">
      <c r="B178" s="38"/>
      <c r="C178" s="179" t="s">
        <v>274</v>
      </c>
      <c r="D178" s="40"/>
      <c r="E178" s="40"/>
      <c r="F178" s="40"/>
      <c r="G178" s="40"/>
      <c r="H178" s="40"/>
      <c r="I178" s="40"/>
      <c r="J178" s="245" t="str">
        <f>IF(J172="N/A",IF(OR(J165="Not Calculated",J174="Not Calculated")=TRUE,"Not Calculated",AVERAGE(J165,J174)),AVERAGE(J172,J174))</f>
        <v>Not Calculated</v>
      </c>
      <c r="K178" s="41"/>
    </row>
    <row r="179" spans="2:14" x14ac:dyDescent="0.2">
      <c r="B179" s="38"/>
      <c r="C179" s="40"/>
      <c r="D179" s="40"/>
      <c r="E179" s="40"/>
      <c r="F179" s="40"/>
      <c r="G179" s="40"/>
      <c r="H179" s="40"/>
      <c r="I179" s="40"/>
      <c r="J179" s="40"/>
      <c r="K179" s="41"/>
    </row>
    <row r="180" spans="2:14" x14ac:dyDescent="0.2">
      <c r="B180" s="38"/>
      <c r="C180" s="40"/>
      <c r="D180" s="40"/>
      <c r="E180" s="40"/>
      <c r="F180" s="40"/>
      <c r="G180" s="40"/>
      <c r="H180" s="40"/>
      <c r="I180" s="40"/>
      <c r="J180" s="40"/>
      <c r="K180" s="41"/>
    </row>
    <row r="181" spans="2:14" ht="16" x14ac:dyDescent="0.2">
      <c r="B181" s="38"/>
      <c r="C181" s="45" t="s">
        <v>74</v>
      </c>
      <c r="D181" s="40"/>
      <c r="E181" s="40"/>
      <c r="F181" s="40"/>
      <c r="G181" s="40"/>
      <c r="H181" s="40"/>
      <c r="I181" s="40"/>
      <c r="J181" s="40"/>
      <c r="K181" s="41"/>
    </row>
    <row r="182" spans="2:14" x14ac:dyDescent="0.2">
      <c r="B182" s="38"/>
      <c r="C182" s="40" t="s">
        <v>443</v>
      </c>
      <c r="D182" s="40"/>
      <c r="E182" s="40"/>
      <c r="F182" s="40"/>
      <c r="G182" s="40"/>
      <c r="H182" s="40"/>
      <c r="I182" s="40"/>
      <c r="J182" s="252">
        <f>'Baseline Health'!G59</f>
        <v>0</v>
      </c>
      <c r="K182" s="41"/>
    </row>
    <row r="183" spans="2:14" x14ac:dyDescent="0.2">
      <c r="B183" s="38"/>
      <c r="C183" s="40" t="s">
        <v>281</v>
      </c>
      <c r="D183" s="40"/>
      <c r="E183" s="40"/>
      <c r="F183" s="40"/>
      <c r="G183" s="40"/>
      <c r="H183" s="40"/>
      <c r="I183" s="40"/>
      <c r="J183" s="264"/>
      <c r="K183" s="41"/>
    </row>
    <row r="184" spans="2:14" x14ac:dyDescent="0.2">
      <c r="B184" s="38"/>
      <c r="C184" s="40" t="s">
        <v>354</v>
      </c>
      <c r="D184" s="40"/>
      <c r="E184" s="40"/>
      <c r="F184" s="40"/>
      <c r="G184" s="40"/>
      <c r="H184" s="40"/>
      <c r="I184" s="40"/>
      <c r="J184" s="264"/>
      <c r="K184" s="41"/>
    </row>
    <row r="185" spans="2:14" x14ac:dyDescent="0.2">
      <c r="B185" s="38"/>
      <c r="C185" s="40" t="s">
        <v>260</v>
      </c>
      <c r="D185" s="40"/>
      <c r="E185" s="40"/>
      <c r="F185" s="40"/>
      <c r="G185" s="40"/>
      <c r="H185" s="40"/>
      <c r="I185" s="40"/>
      <c r="J185" s="245" t="str">
        <f>IF(OR(J182=0,J182="Not Calculated")=TRUE,"Not Calculated",IF(J182-J183=0,4,IF(((J182+J184)/(J182-J183))&lt;=1,0,IF(((J182+J184)/(J182-J183))&lt;=1.05,1,IF(((J182+J184)/(J182-J183))&lt;=1.5, 2,IF(((J182+J184)/(J182-J183))&lt;=2,3,4))))))</f>
        <v>Not Calculated</v>
      </c>
      <c r="K185" s="41"/>
    </row>
    <row r="186" spans="2:14" ht="9.75" customHeight="1" x14ac:dyDescent="0.2">
      <c r="B186" s="38"/>
      <c r="C186" s="279" t="str">
        <f>"0:"</f>
        <v>0:</v>
      </c>
      <c r="D186" s="278" t="s">
        <v>918</v>
      </c>
      <c r="E186" s="40"/>
      <c r="F186" s="40"/>
      <c r="G186" s="40"/>
      <c r="H186" s="40"/>
      <c r="I186" s="40"/>
      <c r="J186" s="40"/>
      <c r="K186" s="41"/>
    </row>
    <row r="187" spans="2:14" ht="9.75" customHeight="1" x14ac:dyDescent="0.2">
      <c r="B187" s="38"/>
      <c r="C187" s="280" t="str">
        <f>"1:"</f>
        <v>1:</v>
      </c>
      <c r="D187" s="278" t="s">
        <v>923</v>
      </c>
      <c r="E187" s="40"/>
      <c r="F187" s="40"/>
      <c r="G187" s="40"/>
      <c r="H187" s="40"/>
      <c r="I187" s="40"/>
      <c r="J187" s="40"/>
      <c r="K187" s="41"/>
    </row>
    <row r="188" spans="2:14" ht="9.75" customHeight="1" x14ac:dyDescent="0.2">
      <c r="B188" s="38"/>
      <c r="C188" s="280" t="str">
        <f>"2:"</f>
        <v>2:</v>
      </c>
      <c r="D188" s="278" t="s">
        <v>924</v>
      </c>
      <c r="E188" s="40"/>
      <c r="F188" s="40"/>
      <c r="G188" s="40"/>
      <c r="H188" s="40"/>
      <c r="I188" s="40"/>
      <c r="J188" s="40"/>
      <c r="K188" s="41"/>
    </row>
    <row r="189" spans="2:14" ht="9.75" customHeight="1" x14ac:dyDescent="0.2">
      <c r="B189" s="38"/>
      <c r="C189" s="280" t="str">
        <f>"3:"</f>
        <v>3:</v>
      </c>
      <c r="D189" s="278" t="s">
        <v>925</v>
      </c>
      <c r="E189" s="40"/>
      <c r="F189" s="40"/>
      <c r="G189" s="40"/>
      <c r="H189" s="40"/>
      <c r="I189" s="40"/>
      <c r="J189" s="40"/>
      <c r="K189" s="41"/>
    </row>
    <row r="190" spans="2:14" ht="9.75" customHeight="1" x14ac:dyDescent="0.2">
      <c r="B190" s="38"/>
      <c r="C190" s="280" t="str">
        <f>"4:"</f>
        <v>4:</v>
      </c>
      <c r="D190" s="278" t="s">
        <v>926</v>
      </c>
      <c r="E190" s="40"/>
      <c r="F190" s="40"/>
      <c r="G190" s="40"/>
      <c r="H190" s="40"/>
      <c r="I190" s="40"/>
      <c r="J190" s="40"/>
      <c r="K190" s="41"/>
      <c r="N190" s="12" t="s">
        <v>661</v>
      </c>
    </row>
    <row r="191" spans="2:14" x14ac:dyDescent="0.2">
      <c r="B191" s="38"/>
      <c r="C191" s="174" t="s">
        <v>662</v>
      </c>
      <c r="D191" s="40"/>
      <c r="E191" s="40"/>
      <c r="F191" s="40"/>
      <c r="G191" s="40"/>
      <c r="H191" s="40"/>
      <c r="I191" s="40"/>
      <c r="J191" s="265" t="s">
        <v>661</v>
      </c>
      <c r="K191" s="41"/>
      <c r="N191" s="12" t="s">
        <v>894</v>
      </c>
    </row>
    <row r="192" spans="2:14" x14ac:dyDescent="0.2">
      <c r="B192" s="38"/>
      <c r="C192" s="174" t="s">
        <v>660</v>
      </c>
      <c r="D192" s="40"/>
      <c r="E192" s="40"/>
      <c r="F192" s="40"/>
      <c r="G192" s="40"/>
      <c r="H192" s="40"/>
      <c r="I192" s="40"/>
      <c r="J192" s="246" t="str">
        <f>IF(J191=N190,"N/A",IF(J191=N191,0,IF(J191=N192,1,IF(J191=N193,2,IF(J191=N194,3,IF(J191=N195,4,"N/A"))))))</f>
        <v>N/A</v>
      </c>
      <c r="K192" s="41"/>
      <c r="N192" s="12" t="s">
        <v>899</v>
      </c>
    </row>
    <row r="193" spans="2:14" x14ac:dyDescent="0.2">
      <c r="B193" s="38"/>
      <c r="C193" s="40" t="s">
        <v>257</v>
      </c>
      <c r="D193" s="40"/>
      <c r="E193" s="40"/>
      <c r="F193" s="40"/>
      <c r="G193" s="40"/>
      <c r="H193" s="40"/>
      <c r="I193" s="40"/>
      <c r="J193" s="266"/>
      <c r="K193" s="41"/>
      <c r="N193" s="12" t="s">
        <v>900</v>
      </c>
    </row>
    <row r="194" spans="2:14" x14ac:dyDescent="0.2">
      <c r="B194" s="38"/>
      <c r="C194" s="40" t="s">
        <v>261</v>
      </c>
      <c r="D194" s="40"/>
      <c r="E194" s="40"/>
      <c r="F194" s="40"/>
      <c r="G194" s="40"/>
      <c r="H194" s="40"/>
      <c r="I194" s="40"/>
      <c r="J194" s="245" t="str">
        <f>IF(J193=$B$973,$A$973,IF(J193=$B$974,$A$974,IF(J193=$B$975,$A$975,IF(J193=$B$976,$A$976,IF(J193=$B$977,$A$977,"Not Calculated")))))</f>
        <v>Not Calculated</v>
      </c>
      <c r="K194" s="41"/>
      <c r="N194" s="12" t="s">
        <v>901</v>
      </c>
    </row>
    <row r="195" spans="2:14" x14ac:dyDescent="0.2">
      <c r="B195" s="38"/>
      <c r="C195" s="40" t="s">
        <v>893</v>
      </c>
      <c r="D195" s="40"/>
      <c r="E195" s="40"/>
      <c r="F195" s="40"/>
      <c r="G195" s="40"/>
      <c r="H195" s="40"/>
      <c r="I195" s="40"/>
      <c r="J195" s="40"/>
      <c r="K195" s="41"/>
      <c r="N195" s="12" t="s">
        <v>902</v>
      </c>
    </row>
    <row r="196" spans="2:14" x14ac:dyDescent="0.2">
      <c r="B196" s="38"/>
      <c r="C196" s="399"/>
      <c r="D196" s="400"/>
      <c r="E196" s="400"/>
      <c r="F196" s="400"/>
      <c r="G196" s="400"/>
      <c r="H196" s="400"/>
      <c r="I196" s="400"/>
      <c r="J196" s="401"/>
      <c r="K196" s="41"/>
    </row>
    <row r="197" spans="2:14" x14ac:dyDescent="0.2">
      <c r="B197" s="38"/>
      <c r="C197" s="40"/>
      <c r="D197" s="40"/>
      <c r="E197" s="40"/>
      <c r="F197" s="40"/>
      <c r="G197" s="40"/>
      <c r="H197" s="40"/>
      <c r="I197" s="40"/>
      <c r="J197" s="40"/>
      <c r="K197" s="41"/>
    </row>
    <row r="198" spans="2:14" x14ac:dyDescent="0.2">
      <c r="B198" s="38"/>
      <c r="C198" s="179" t="s">
        <v>275</v>
      </c>
      <c r="D198" s="40"/>
      <c r="E198" s="40"/>
      <c r="F198" s="40"/>
      <c r="G198" s="40"/>
      <c r="H198" s="40"/>
      <c r="I198" s="40"/>
      <c r="J198" s="245" t="str">
        <f>IF(J192="N/A",IF(OR(J185="Not Calculated",J194="Not Calculated")=TRUE,"Not Calculated",AVERAGE(J185,J194)),AVERAGE(J192,J194))</f>
        <v>Not Calculated</v>
      </c>
      <c r="K198" s="41"/>
    </row>
    <row r="199" spans="2:14" x14ac:dyDescent="0.2">
      <c r="B199" s="38"/>
      <c r="C199" s="40"/>
      <c r="D199" s="40"/>
      <c r="E199" s="40"/>
      <c r="F199" s="40"/>
      <c r="G199" s="40"/>
      <c r="H199" s="40"/>
      <c r="I199" s="40"/>
      <c r="J199" s="40"/>
      <c r="K199" s="41"/>
    </row>
    <row r="200" spans="2:14" x14ac:dyDescent="0.2">
      <c r="B200" s="38"/>
      <c r="C200" s="40"/>
      <c r="D200" s="40"/>
      <c r="E200" s="40"/>
      <c r="F200" s="40"/>
      <c r="G200" s="40"/>
      <c r="H200" s="40"/>
      <c r="I200" s="40"/>
      <c r="J200" s="40"/>
      <c r="K200" s="41"/>
    </row>
    <row r="201" spans="2:14" ht="16" x14ac:dyDescent="0.2">
      <c r="B201" s="38"/>
      <c r="C201" s="45" t="s">
        <v>75</v>
      </c>
      <c r="D201" s="40"/>
      <c r="E201" s="40"/>
      <c r="F201" s="40"/>
      <c r="G201" s="40"/>
      <c r="H201" s="40"/>
      <c r="I201" s="40"/>
      <c r="J201" s="40"/>
      <c r="K201" s="41"/>
    </row>
    <row r="202" spans="2:14" x14ac:dyDescent="0.2">
      <c r="B202" s="38"/>
      <c r="C202" s="40" t="s">
        <v>444</v>
      </c>
      <c r="D202" s="40"/>
      <c r="E202" s="40"/>
      <c r="F202" s="40"/>
      <c r="G202" s="40"/>
      <c r="H202" s="40"/>
      <c r="I202" s="40"/>
      <c r="J202" s="252">
        <f>'Baseline Health'!G65</f>
        <v>0</v>
      </c>
      <c r="K202" s="41"/>
    </row>
    <row r="203" spans="2:14" x14ac:dyDescent="0.2">
      <c r="B203" s="38"/>
      <c r="C203" s="40" t="s">
        <v>282</v>
      </c>
      <c r="D203" s="40"/>
      <c r="E203" s="40"/>
      <c r="F203" s="40"/>
      <c r="G203" s="40"/>
      <c r="H203" s="40"/>
      <c r="I203" s="40"/>
      <c r="J203" s="264"/>
      <c r="K203" s="41"/>
    </row>
    <row r="204" spans="2:14" x14ac:dyDescent="0.2">
      <c r="B204" s="38"/>
      <c r="C204" s="40" t="s">
        <v>355</v>
      </c>
      <c r="D204" s="40"/>
      <c r="E204" s="40"/>
      <c r="F204" s="40"/>
      <c r="G204" s="40"/>
      <c r="H204" s="40"/>
      <c r="I204" s="40"/>
      <c r="J204" s="264"/>
      <c r="K204" s="41"/>
    </row>
    <row r="205" spans="2:14" x14ac:dyDescent="0.2">
      <c r="B205" s="38"/>
      <c r="C205" s="40" t="s">
        <v>260</v>
      </c>
      <c r="D205" s="40"/>
      <c r="E205" s="40"/>
      <c r="F205" s="40"/>
      <c r="G205" s="40"/>
      <c r="H205" s="40"/>
      <c r="I205" s="40"/>
      <c r="J205" s="245" t="str">
        <f>IF(OR(J202=0,J202="Not Calculated")=TRUE,"Not Calculated",IF(J202-J203=0,4,IF(((J202+J204)/(J202-J203))&lt;=1,0,IF(((J202+J204)/(J202-J203))&lt;=1.05,1,IF(((J202+J204)/(J202-J203))&lt;=1.5, 2,IF(((J202+J204)/(J202-J203))&lt;=2,3,4))))))</f>
        <v>Not Calculated</v>
      </c>
      <c r="K205" s="41"/>
    </row>
    <row r="206" spans="2:14" ht="9.75" customHeight="1" x14ac:dyDescent="0.2">
      <c r="B206" s="38"/>
      <c r="C206" s="279" t="str">
        <f>"0:"</f>
        <v>0:</v>
      </c>
      <c r="D206" s="278" t="s">
        <v>918</v>
      </c>
      <c r="E206" s="40"/>
      <c r="F206" s="40"/>
      <c r="G206" s="40"/>
      <c r="H206" s="40"/>
      <c r="I206" s="40"/>
      <c r="J206" s="40"/>
      <c r="K206" s="41"/>
    </row>
    <row r="207" spans="2:14" ht="9.75" customHeight="1" x14ac:dyDescent="0.2">
      <c r="B207" s="38"/>
      <c r="C207" s="280" t="str">
        <f>"1:"</f>
        <v>1:</v>
      </c>
      <c r="D207" s="278" t="s">
        <v>923</v>
      </c>
      <c r="E207" s="40"/>
      <c r="F207" s="40"/>
      <c r="G207" s="40"/>
      <c r="H207" s="40"/>
      <c r="I207" s="40"/>
      <c r="J207" s="40"/>
      <c r="K207" s="41"/>
    </row>
    <row r="208" spans="2:14" ht="9.75" customHeight="1" x14ac:dyDescent="0.2">
      <c r="B208" s="38"/>
      <c r="C208" s="280" t="str">
        <f>"2:"</f>
        <v>2:</v>
      </c>
      <c r="D208" s="278" t="s">
        <v>924</v>
      </c>
      <c r="E208" s="40"/>
      <c r="F208" s="40"/>
      <c r="G208" s="40"/>
      <c r="H208" s="40"/>
      <c r="I208" s="40"/>
      <c r="J208" s="40"/>
      <c r="K208" s="41"/>
    </row>
    <row r="209" spans="2:14" ht="9.75" customHeight="1" x14ac:dyDescent="0.2">
      <c r="B209" s="38"/>
      <c r="C209" s="280" t="str">
        <f>"3:"</f>
        <v>3:</v>
      </c>
      <c r="D209" s="278" t="s">
        <v>925</v>
      </c>
      <c r="E209" s="40"/>
      <c r="F209" s="40"/>
      <c r="G209" s="40"/>
      <c r="H209" s="40"/>
      <c r="I209" s="40"/>
      <c r="J209" s="40"/>
      <c r="K209" s="41"/>
    </row>
    <row r="210" spans="2:14" ht="9.75" customHeight="1" x14ac:dyDescent="0.2">
      <c r="B210" s="38"/>
      <c r="C210" s="280" t="str">
        <f>"4:"</f>
        <v>4:</v>
      </c>
      <c r="D210" s="278" t="s">
        <v>926</v>
      </c>
      <c r="E210" s="40"/>
      <c r="F210" s="40"/>
      <c r="G210" s="40"/>
      <c r="H210" s="40"/>
      <c r="I210" s="40"/>
      <c r="J210" s="40"/>
      <c r="K210" s="41"/>
      <c r="N210" s="12" t="s">
        <v>661</v>
      </c>
    </row>
    <row r="211" spans="2:14" x14ac:dyDescent="0.2">
      <c r="B211" s="38"/>
      <c r="C211" s="174" t="s">
        <v>662</v>
      </c>
      <c r="D211" s="40"/>
      <c r="E211" s="40"/>
      <c r="F211" s="40"/>
      <c r="G211" s="40"/>
      <c r="H211" s="40"/>
      <c r="I211" s="40"/>
      <c r="J211" s="265" t="s">
        <v>661</v>
      </c>
      <c r="K211" s="41"/>
      <c r="N211" s="12" t="s">
        <v>894</v>
      </c>
    </row>
    <row r="212" spans="2:14" x14ac:dyDescent="0.2">
      <c r="B212" s="38"/>
      <c r="C212" s="174" t="s">
        <v>660</v>
      </c>
      <c r="D212" s="40"/>
      <c r="E212" s="40"/>
      <c r="F212" s="40"/>
      <c r="G212" s="40"/>
      <c r="H212" s="40"/>
      <c r="I212" s="40"/>
      <c r="J212" s="246" t="str">
        <f>IF(J211=N210,"N/A",IF(J211=N211,0,IF(J211=N212,1,IF(J211=N213,2,IF(J211=N214,3,IF(J211=N215,4,"N/A"))))))</f>
        <v>N/A</v>
      </c>
      <c r="K212" s="41"/>
      <c r="N212" s="12" t="s">
        <v>899</v>
      </c>
    </row>
    <row r="213" spans="2:14" x14ac:dyDescent="0.2">
      <c r="B213" s="38"/>
      <c r="C213" s="40" t="s">
        <v>257</v>
      </c>
      <c r="D213" s="40"/>
      <c r="E213" s="40"/>
      <c r="F213" s="40"/>
      <c r="G213" s="40"/>
      <c r="H213" s="40"/>
      <c r="I213" s="40"/>
      <c r="J213" s="266"/>
      <c r="K213" s="41"/>
      <c r="N213" s="12" t="s">
        <v>900</v>
      </c>
    </row>
    <row r="214" spans="2:14" x14ac:dyDescent="0.2">
      <c r="B214" s="38"/>
      <c r="C214" s="40" t="s">
        <v>261</v>
      </c>
      <c r="D214" s="40"/>
      <c r="E214" s="40"/>
      <c r="F214" s="40"/>
      <c r="G214" s="40"/>
      <c r="H214" s="40"/>
      <c r="I214" s="40"/>
      <c r="J214" s="245" t="str">
        <f>IF(J213=$B$973,$A$973,IF(J213=$B$974,$A$974,IF(J213=$B$975,$A$975,IF(J213=$B$976,$A$976,IF(J213=$B$977,$A$977,"Not Calculated")))))</f>
        <v>Not Calculated</v>
      </c>
      <c r="K214" s="41"/>
      <c r="N214" s="12" t="s">
        <v>901</v>
      </c>
    </row>
    <row r="215" spans="2:14" x14ac:dyDescent="0.2">
      <c r="B215" s="38"/>
      <c r="C215" s="40" t="s">
        <v>893</v>
      </c>
      <c r="D215" s="40"/>
      <c r="E215" s="40"/>
      <c r="F215" s="40"/>
      <c r="G215" s="40"/>
      <c r="H215" s="40"/>
      <c r="I215" s="40"/>
      <c r="J215" s="40"/>
      <c r="K215" s="41"/>
      <c r="N215" s="12" t="s">
        <v>902</v>
      </c>
    </row>
    <row r="216" spans="2:14" ht="15" customHeight="1" x14ac:dyDescent="0.2">
      <c r="B216" s="38"/>
      <c r="C216" s="399"/>
      <c r="D216" s="400"/>
      <c r="E216" s="400"/>
      <c r="F216" s="400"/>
      <c r="G216" s="400"/>
      <c r="H216" s="400"/>
      <c r="I216" s="400"/>
      <c r="J216" s="401"/>
      <c r="K216" s="41"/>
    </row>
    <row r="217" spans="2:14" x14ac:dyDescent="0.2">
      <c r="B217" s="38"/>
      <c r="C217" s="40"/>
      <c r="D217" s="40"/>
      <c r="E217" s="40"/>
      <c r="F217" s="40"/>
      <c r="G217" s="40"/>
      <c r="H217" s="40"/>
      <c r="I217" s="40"/>
      <c r="J217" s="40"/>
      <c r="K217" s="41"/>
    </row>
    <row r="218" spans="2:14" x14ac:dyDescent="0.2">
      <c r="B218" s="38"/>
      <c r="C218" s="179" t="s">
        <v>276</v>
      </c>
      <c r="D218" s="40"/>
      <c r="E218" s="40"/>
      <c r="F218" s="40"/>
      <c r="G218" s="40"/>
      <c r="H218" s="40"/>
      <c r="I218" s="40"/>
      <c r="J218" s="245" t="str">
        <f>IF(J212="N/A",IF(OR(J205="Not Calculated",J214="Not Calculated")=TRUE,"Not Calculated",AVERAGE(J205,J214)),AVERAGE(J212,J214))</f>
        <v>Not Calculated</v>
      </c>
      <c r="K218" s="41"/>
    </row>
    <row r="219" spans="2:14" x14ac:dyDescent="0.2">
      <c r="B219" s="38"/>
      <c r="C219" s="40"/>
      <c r="D219" s="40"/>
      <c r="E219" s="40"/>
      <c r="F219" s="40"/>
      <c r="G219" s="40"/>
      <c r="H219" s="40"/>
      <c r="I219" s="40"/>
      <c r="J219" s="40"/>
      <c r="K219" s="41"/>
    </row>
    <row r="220" spans="2:14" x14ac:dyDescent="0.2">
      <c r="B220" s="38"/>
      <c r="C220" s="40"/>
      <c r="D220" s="40"/>
      <c r="E220" s="40"/>
      <c r="F220" s="40"/>
      <c r="G220" s="40"/>
      <c r="H220" s="40"/>
      <c r="I220" s="40"/>
      <c r="J220" s="40"/>
      <c r="K220" s="41"/>
    </row>
    <row r="221" spans="2:14" ht="16" x14ac:dyDescent="0.2">
      <c r="B221" s="38"/>
      <c r="C221" s="45" t="s">
        <v>76</v>
      </c>
      <c r="D221" s="40"/>
      <c r="E221" s="40"/>
      <c r="F221" s="40"/>
      <c r="G221" s="40"/>
      <c r="H221" s="40"/>
      <c r="I221" s="40"/>
      <c r="J221" s="40"/>
      <c r="K221" s="41"/>
    </row>
    <row r="222" spans="2:14" ht="15" customHeight="1" x14ac:dyDescent="0.2">
      <c r="B222" s="38"/>
      <c r="C222" s="40" t="s">
        <v>356</v>
      </c>
      <c r="D222" s="40"/>
      <c r="E222" s="40"/>
      <c r="F222" s="40"/>
      <c r="G222" s="40"/>
      <c r="H222" s="40"/>
      <c r="I222" s="40"/>
      <c r="J222" s="252">
        <f>'Baseline Health'!G71</f>
        <v>0</v>
      </c>
      <c r="K222" s="41"/>
    </row>
    <row r="223" spans="2:14" x14ac:dyDescent="0.2">
      <c r="B223" s="38"/>
      <c r="C223" s="40" t="s">
        <v>357</v>
      </c>
      <c r="D223" s="40"/>
      <c r="E223" s="40"/>
      <c r="F223" s="40"/>
      <c r="G223" s="40"/>
      <c r="H223" s="40"/>
      <c r="I223" s="40"/>
      <c r="J223" s="264"/>
      <c r="K223" s="41"/>
    </row>
    <row r="224" spans="2:14" x14ac:dyDescent="0.2">
      <c r="B224" s="38"/>
      <c r="C224" s="40" t="s">
        <v>445</v>
      </c>
      <c r="D224" s="40"/>
      <c r="E224" s="40"/>
      <c r="F224" s="40"/>
      <c r="G224" s="40"/>
      <c r="H224" s="40"/>
      <c r="I224" s="40"/>
      <c r="J224" s="251">
        <f>J102</f>
        <v>0</v>
      </c>
      <c r="K224" s="41"/>
    </row>
    <row r="225" spans="2:14" x14ac:dyDescent="0.2">
      <c r="B225" s="38"/>
      <c r="C225" s="40"/>
      <c r="D225" s="40" t="s">
        <v>446</v>
      </c>
      <c r="E225" s="40"/>
      <c r="F225" s="40"/>
      <c r="G225" s="40"/>
      <c r="H225" s="40"/>
      <c r="I225" s="40"/>
      <c r="J225" s="40"/>
      <c r="K225" s="41"/>
    </row>
    <row r="226" spans="2:14" x14ac:dyDescent="0.2">
      <c r="B226" s="38"/>
      <c r="C226" s="40" t="s">
        <v>260</v>
      </c>
      <c r="D226" s="40"/>
      <c r="E226" s="40"/>
      <c r="F226" s="40"/>
      <c r="G226" s="40"/>
      <c r="H226" s="40"/>
      <c r="I226" s="40"/>
      <c r="J226" s="245" t="str">
        <f>IF(OR(J222=0,J222="Not Calculated")=TRUE,"Not Calculated",IF(J222-J223=0,4,IF(((J222+J224)/(J222-J223))&lt;=1,0,IF(((J222+J224)/(J222-J223))&lt;=1.05,1,IF(((J222+J224)/(J222-J223))&lt;=1.5, 2,IF(((J222+J224)/(J222-J223))&lt;=2,3,4))))))</f>
        <v>Not Calculated</v>
      </c>
      <c r="K226" s="41"/>
    </row>
    <row r="227" spans="2:14" ht="9.75" customHeight="1" x14ac:dyDescent="0.2">
      <c r="B227" s="38"/>
      <c r="C227" s="279" t="str">
        <f>"0:"</f>
        <v>0:</v>
      </c>
      <c r="D227" s="278" t="s">
        <v>918</v>
      </c>
      <c r="E227" s="40"/>
      <c r="F227" s="40"/>
      <c r="G227" s="40"/>
      <c r="H227" s="40"/>
      <c r="I227" s="40"/>
      <c r="J227" s="40"/>
      <c r="K227" s="41"/>
    </row>
    <row r="228" spans="2:14" ht="9.75" customHeight="1" x14ac:dyDescent="0.2">
      <c r="B228" s="38"/>
      <c r="C228" s="280" t="str">
        <f>"1:"</f>
        <v>1:</v>
      </c>
      <c r="D228" s="278" t="s">
        <v>923</v>
      </c>
      <c r="E228" s="40"/>
      <c r="F228" s="40"/>
      <c r="G228" s="40"/>
      <c r="H228" s="40"/>
      <c r="I228" s="40"/>
      <c r="J228" s="40"/>
      <c r="K228" s="41"/>
    </row>
    <row r="229" spans="2:14" ht="9.75" customHeight="1" x14ac:dyDescent="0.2">
      <c r="B229" s="38"/>
      <c r="C229" s="280" t="str">
        <f>"2:"</f>
        <v>2:</v>
      </c>
      <c r="D229" s="278" t="s">
        <v>924</v>
      </c>
      <c r="E229" s="40"/>
      <c r="F229" s="40"/>
      <c r="G229" s="40"/>
      <c r="H229" s="40"/>
      <c r="I229" s="40"/>
      <c r="J229" s="40"/>
      <c r="K229" s="41"/>
    </row>
    <row r="230" spans="2:14" ht="9.75" customHeight="1" x14ac:dyDescent="0.2">
      <c r="B230" s="38"/>
      <c r="C230" s="280" t="str">
        <f>"3:"</f>
        <v>3:</v>
      </c>
      <c r="D230" s="278" t="s">
        <v>925</v>
      </c>
      <c r="E230" s="40"/>
      <c r="F230" s="40"/>
      <c r="G230" s="40"/>
      <c r="H230" s="40"/>
      <c r="I230" s="40"/>
      <c r="J230" s="40"/>
      <c r="K230" s="41"/>
    </row>
    <row r="231" spans="2:14" ht="9.75" customHeight="1" x14ac:dyDescent="0.2">
      <c r="B231" s="38"/>
      <c r="C231" s="280" t="str">
        <f>"4:"</f>
        <v>4:</v>
      </c>
      <c r="D231" s="278" t="s">
        <v>926</v>
      </c>
      <c r="E231" s="40"/>
      <c r="F231" s="40"/>
      <c r="G231" s="40"/>
      <c r="H231" s="40"/>
      <c r="I231" s="40"/>
      <c r="J231" s="40"/>
      <c r="K231" s="41"/>
      <c r="N231" s="12" t="s">
        <v>661</v>
      </c>
    </row>
    <row r="232" spans="2:14" x14ac:dyDescent="0.2">
      <c r="B232" s="38"/>
      <c r="C232" s="174" t="s">
        <v>662</v>
      </c>
      <c r="D232" s="40"/>
      <c r="E232" s="40"/>
      <c r="F232" s="40"/>
      <c r="G232" s="40"/>
      <c r="H232" s="40"/>
      <c r="I232" s="40"/>
      <c r="J232" s="265" t="s">
        <v>661</v>
      </c>
      <c r="K232" s="41"/>
      <c r="N232" s="12" t="s">
        <v>894</v>
      </c>
    </row>
    <row r="233" spans="2:14" x14ac:dyDescent="0.2">
      <c r="B233" s="38"/>
      <c r="C233" s="174" t="s">
        <v>660</v>
      </c>
      <c r="D233" s="40"/>
      <c r="E233" s="40"/>
      <c r="F233" s="40"/>
      <c r="G233" s="40"/>
      <c r="H233" s="40"/>
      <c r="I233" s="40"/>
      <c r="J233" s="246" t="str">
        <f>IF(J232=N231,"N/A",IF(J232=N232,0,IF(J232=N233,1,IF(J232=N234,2,IF(J232=N235,3,IF(J232=N236,4,"N/A"))))))</f>
        <v>N/A</v>
      </c>
      <c r="K233" s="41"/>
      <c r="N233" s="12" t="s">
        <v>899</v>
      </c>
    </row>
    <row r="234" spans="2:14" x14ac:dyDescent="0.2">
      <c r="B234" s="38"/>
      <c r="C234" s="40" t="s">
        <v>257</v>
      </c>
      <c r="D234" s="40"/>
      <c r="E234" s="40"/>
      <c r="F234" s="40"/>
      <c r="G234" s="40"/>
      <c r="H234" s="40"/>
      <c r="I234" s="40"/>
      <c r="J234" s="266"/>
      <c r="K234" s="41"/>
      <c r="N234" s="12" t="s">
        <v>900</v>
      </c>
    </row>
    <row r="235" spans="2:14" x14ac:dyDescent="0.2">
      <c r="B235" s="38"/>
      <c r="C235" s="40" t="s">
        <v>261</v>
      </c>
      <c r="D235" s="40"/>
      <c r="E235" s="40"/>
      <c r="F235" s="40"/>
      <c r="G235" s="40"/>
      <c r="H235" s="40"/>
      <c r="I235" s="40"/>
      <c r="J235" s="245" t="str">
        <f>IF(J234=$B$973,$A$973,IF(J234=$B$974,$A$974,IF(J234=$B$975,$A$975,IF(J234=$B$976,$A$976,IF(J234=$B$977,$A$977,"Not Calculated")))))</f>
        <v>Not Calculated</v>
      </c>
      <c r="K235" s="41"/>
      <c r="N235" s="12" t="s">
        <v>901</v>
      </c>
    </row>
    <row r="236" spans="2:14" x14ac:dyDescent="0.2">
      <c r="B236" s="38"/>
      <c r="C236" s="40" t="s">
        <v>893</v>
      </c>
      <c r="D236" s="40"/>
      <c r="E236" s="40"/>
      <c r="F236" s="40"/>
      <c r="G236" s="40"/>
      <c r="H236" s="40"/>
      <c r="I236" s="40"/>
      <c r="J236" s="40"/>
      <c r="K236" s="41"/>
      <c r="N236" s="12" t="s">
        <v>902</v>
      </c>
    </row>
    <row r="237" spans="2:14" ht="15" customHeight="1" x14ac:dyDescent="0.2">
      <c r="B237" s="38"/>
      <c r="C237" s="399"/>
      <c r="D237" s="400"/>
      <c r="E237" s="400"/>
      <c r="F237" s="400"/>
      <c r="G237" s="400"/>
      <c r="H237" s="400"/>
      <c r="I237" s="400"/>
      <c r="J237" s="401"/>
      <c r="K237" s="41"/>
    </row>
    <row r="238" spans="2:14" x14ac:dyDescent="0.2">
      <c r="B238" s="38"/>
      <c r="C238" s="40"/>
      <c r="D238" s="40"/>
      <c r="E238" s="40"/>
      <c r="F238" s="40"/>
      <c r="G238" s="40"/>
      <c r="H238" s="40"/>
      <c r="I238" s="40"/>
      <c r="J238" s="40"/>
      <c r="K238" s="41"/>
    </row>
    <row r="239" spans="2:14" x14ac:dyDescent="0.2">
      <c r="B239" s="38"/>
      <c r="C239" s="179" t="s">
        <v>277</v>
      </c>
      <c r="D239" s="40"/>
      <c r="E239" s="40"/>
      <c r="F239" s="40"/>
      <c r="G239" s="40"/>
      <c r="H239" s="40"/>
      <c r="I239" s="40"/>
      <c r="J239" s="245" t="str">
        <f>IF(J233="N/A",IF(OR(J226="Not Calculated",J235="Not Calculated")=TRUE,"Not Calculated",AVERAGE(J226,J235)),AVERAGE(J233,J235))</f>
        <v>Not Calculated</v>
      </c>
      <c r="K239" s="41"/>
    </row>
    <row r="240" spans="2:14" x14ac:dyDescent="0.2">
      <c r="B240" s="38"/>
      <c r="C240" s="40"/>
      <c r="D240" s="40"/>
      <c r="E240" s="40"/>
      <c r="F240" s="40"/>
      <c r="G240" s="40"/>
      <c r="H240" s="40"/>
      <c r="I240" s="40"/>
      <c r="J240" s="40"/>
      <c r="K240" s="41"/>
    </row>
    <row r="241" spans="2:14" x14ac:dyDescent="0.2">
      <c r="B241" s="38"/>
      <c r="C241" s="40"/>
      <c r="D241" s="40"/>
      <c r="E241" s="40"/>
      <c r="F241" s="40"/>
      <c r="G241" s="40"/>
      <c r="H241" s="40"/>
      <c r="I241" s="40"/>
      <c r="J241" s="40"/>
      <c r="K241" s="41"/>
    </row>
    <row r="242" spans="2:14" ht="16" x14ac:dyDescent="0.2">
      <c r="B242" s="38"/>
      <c r="C242" s="45" t="s">
        <v>278</v>
      </c>
      <c r="D242" s="40"/>
      <c r="E242" s="40"/>
      <c r="F242" s="40"/>
      <c r="G242" s="40"/>
      <c r="H242" s="40"/>
      <c r="I242" s="40"/>
      <c r="J242" s="40"/>
      <c r="K242" s="41"/>
    </row>
    <row r="243" spans="2:14" ht="15" customHeight="1" x14ac:dyDescent="0.2">
      <c r="B243" s="38"/>
      <c r="C243" s="40" t="s">
        <v>447</v>
      </c>
      <c r="D243" s="40"/>
      <c r="E243" s="40"/>
      <c r="F243" s="40"/>
      <c r="G243" s="40"/>
      <c r="H243" s="40"/>
      <c r="I243" s="40"/>
      <c r="J243" s="254">
        <f>'Baseline Health'!G77</f>
        <v>0</v>
      </c>
      <c r="K243" s="41"/>
    </row>
    <row r="244" spans="2:14" x14ac:dyDescent="0.2">
      <c r="B244" s="38"/>
      <c r="C244" s="40" t="s">
        <v>358</v>
      </c>
      <c r="D244" s="40"/>
      <c r="E244" s="40"/>
      <c r="F244" s="40"/>
      <c r="G244" s="40"/>
      <c r="H244" s="40"/>
      <c r="I244" s="40"/>
      <c r="J244" s="264"/>
      <c r="K244" s="41"/>
    </row>
    <row r="245" spans="2:14" x14ac:dyDescent="0.2">
      <c r="B245" s="38"/>
      <c r="C245" s="40" t="s">
        <v>360</v>
      </c>
      <c r="D245" s="291"/>
      <c r="E245" s="291"/>
      <c r="F245" s="291"/>
      <c r="G245" s="291"/>
      <c r="H245" s="291"/>
      <c r="I245" s="291"/>
      <c r="J245" s="264"/>
      <c r="K245" s="41"/>
    </row>
    <row r="246" spans="2:14" x14ac:dyDescent="0.2">
      <c r="B246" s="38"/>
      <c r="C246" s="40" t="s">
        <v>260</v>
      </c>
      <c r="D246" s="40"/>
      <c r="E246" s="40"/>
      <c r="F246" s="40"/>
      <c r="G246" s="40"/>
      <c r="H246" s="40"/>
      <c r="I246" s="40"/>
      <c r="J246" s="245" t="str">
        <f>IF(OR(J243=0,J243="Not Calculated")=TRUE,"Not Calculated",IF(J243-J244=0,4,(IF(((J243+J245)/(J243-J244))&lt;=1,0,IF(((J243+J245)/(J243-J244))&lt;=1.05,1,IF(((J243+J245)/(J243-J244))&lt;=1.5,2,IF(((J243+J245)/(J243-J244))&lt;=2,3,4)))))))</f>
        <v>Not Calculated</v>
      </c>
      <c r="K246" s="41"/>
    </row>
    <row r="247" spans="2:14" ht="9.75" customHeight="1" x14ac:dyDescent="0.2">
      <c r="B247" s="38"/>
      <c r="C247" s="279" t="str">
        <f>"0:"</f>
        <v>0:</v>
      </c>
      <c r="D247" s="278" t="s">
        <v>918</v>
      </c>
      <c r="E247" s="40"/>
      <c r="F247" s="40"/>
      <c r="G247" s="40"/>
      <c r="H247" s="40"/>
      <c r="I247" s="40"/>
      <c r="J247" s="40"/>
      <c r="K247" s="41"/>
    </row>
    <row r="248" spans="2:14" ht="9.75" customHeight="1" x14ac:dyDescent="0.2">
      <c r="B248" s="38"/>
      <c r="C248" s="280" t="str">
        <f>"1:"</f>
        <v>1:</v>
      </c>
      <c r="D248" s="278" t="s">
        <v>923</v>
      </c>
      <c r="E248" s="40"/>
      <c r="F248" s="40"/>
      <c r="G248" s="40"/>
      <c r="H248" s="40"/>
      <c r="I248" s="40"/>
      <c r="J248" s="40"/>
      <c r="K248" s="41"/>
    </row>
    <row r="249" spans="2:14" ht="9.75" customHeight="1" x14ac:dyDescent="0.2">
      <c r="B249" s="38"/>
      <c r="C249" s="280" t="str">
        <f>"2:"</f>
        <v>2:</v>
      </c>
      <c r="D249" s="278" t="s">
        <v>924</v>
      </c>
      <c r="E249" s="40"/>
      <c r="F249" s="40"/>
      <c r="G249" s="40"/>
      <c r="H249" s="40"/>
      <c r="I249" s="40"/>
      <c r="J249" s="40"/>
      <c r="K249" s="41"/>
    </row>
    <row r="250" spans="2:14" ht="9.75" customHeight="1" x14ac:dyDescent="0.2">
      <c r="B250" s="38"/>
      <c r="C250" s="280" t="str">
        <f>"3:"</f>
        <v>3:</v>
      </c>
      <c r="D250" s="278" t="s">
        <v>925</v>
      </c>
      <c r="E250" s="40"/>
      <c r="F250" s="40"/>
      <c r="G250" s="40"/>
      <c r="H250" s="40"/>
      <c r="I250" s="40"/>
      <c r="J250" s="40"/>
      <c r="K250" s="41"/>
    </row>
    <row r="251" spans="2:14" ht="9.75" customHeight="1" x14ac:dyDescent="0.2">
      <c r="B251" s="38"/>
      <c r="C251" s="280" t="str">
        <f>"4:"</f>
        <v>4:</v>
      </c>
      <c r="D251" s="278" t="s">
        <v>926</v>
      </c>
      <c r="E251" s="40"/>
      <c r="F251" s="40"/>
      <c r="G251" s="40"/>
      <c r="H251" s="40"/>
      <c r="I251" s="40"/>
      <c r="J251" s="40"/>
      <c r="K251" s="41"/>
      <c r="N251" s="12" t="s">
        <v>661</v>
      </c>
    </row>
    <row r="252" spans="2:14" x14ac:dyDescent="0.2">
      <c r="B252" s="38"/>
      <c r="C252" s="174" t="s">
        <v>662</v>
      </c>
      <c r="D252" s="40"/>
      <c r="E252" s="40"/>
      <c r="F252" s="40"/>
      <c r="G252" s="40"/>
      <c r="H252" s="40"/>
      <c r="I252" s="40"/>
      <c r="J252" s="265" t="s">
        <v>661</v>
      </c>
      <c r="K252" s="41"/>
      <c r="N252" s="12" t="s">
        <v>894</v>
      </c>
    </row>
    <row r="253" spans="2:14" x14ac:dyDescent="0.2">
      <c r="B253" s="38"/>
      <c r="C253" s="174" t="s">
        <v>660</v>
      </c>
      <c r="D253" s="40"/>
      <c r="E253" s="40"/>
      <c r="F253" s="40"/>
      <c r="G253" s="40"/>
      <c r="H253" s="40"/>
      <c r="I253" s="40"/>
      <c r="J253" s="246" t="str">
        <f>IF(J252=N251,"N/A",IF(J252=N252,0,IF(J252=N253,1,IF(J252=N254,2,IF(J252=N255,3,IF(J252=N256,4,"N/A"))))))</f>
        <v>N/A</v>
      </c>
      <c r="K253" s="41"/>
      <c r="N253" s="12" t="s">
        <v>899</v>
      </c>
    </row>
    <row r="254" spans="2:14" x14ac:dyDescent="0.2">
      <c r="B254" s="38"/>
      <c r="C254" s="40" t="s">
        <v>257</v>
      </c>
      <c r="D254" s="40"/>
      <c r="E254" s="40"/>
      <c r="F254" s="40"/>
      <c r="G254" s="40"/>
      <c r="H254" s="40"/>
      <c r="I254" s="40"/>
      <c r="J254" s="266"/>
      <c r="K254" s="41"/>
      <c r="N254" s="12" t="s">
        <v>900</v>
      </c>
    </row>
    <row r="255" spans="2:14" x14ac:dyDescent="0.2">
      <c r="B255" s="38"/>
      <c r="C255" s="40" t="s">
        <v>261</v>
      </c>
      <c r="D255" s="40"/>
      <c r="E255" s="40"/>
      <c r="F255" s="40"/>
      <c r="G255" s="40"/>
      <c r="H255" s="40"/>
      <c r="I255" s="40"/>
      <c r="J255" s="245" t="str">
        <f>IF(J254=$B$973,$A$973,IF(J254=$B$974,$A$974,IF(J254=$B$975,$A$975,IF(J254=$B$976,$A$976,IF(J254=$B$977,$A$977,"Not Calculated")))))</f>
        <v>Not Calculated</v>
      </c>
      <c r="K255" s="41"/>
      <c r="N255" s="12" t="s">
        <v>901</v>
      </c>
    </row>
    <row r="256" spans="2:14" x14ac:dyDescent="0.2">
      <c r="B256" s="38"/>
      <c r="C256" s="40" t="s">
        <v>893</v>
      </c>
      <c r="D256" s="40"/>
      <c r="E256" s="40"/>
      <c r="F256" s="40"/>
      <c r="G256" s="40"/>
      <c r="H256" s="40"/>
      <c r="I256" s="40"/>
      <c r="J256" s="40"/>
      <c r="K256" s="41"/>
      <c r="N256" s="12" t="s">
        <v>902</v>
      </c>
    </row>
    <row r="257" spans="2:11" x14ac:dyDescent="0.2">
      <c r="B257" s="38"/>
      <c r="C257" s="399"/>
      <c r="D257" s="400"/>
      <c r="E257" s="400"/>
      <c r="F257" s="400"/>
      <c r="G257" s="400"/>
      <c r="H257" s="400"/>
      <c r="I257" s="400"/>
      <c r="J257" s="401"/>
      <c r="K257" s="41"/>
    </row>
    <row r="258" spans="2:11" x14ac:dyDescent="0.2">
      <c r="B258" s="38"/>
      <c r="C258" s="40"/>
      <c r="D258" s="40"/>
      <c r="E258" s="40"/>
      <c r="F258" s="40"/>
      <c r="G258" s="40"/>
      <c r="H258" s="40"/>
      <c r="I258" s="40"/>
      <c r="J258" s="40"/>
      <c r="K258" s="41"/>
    </row>
    <row r="259" spans="2:11" x14ac:dyDescent="0.2">
      <c r="B259" s="38"/>
      <c r="C259" s="179" t="s">
        <v>279</v>
      </c>
      <c r="D259" s="40"/>
      <c r="E259" s="40"/>
      <c r="F259" s="40"/>
      <c r="G259" s="40"/>
      <c r="H259" s="40"/>
      <c r="I259" s="40"/>
      <c r="J259" s="245" t="str">
        <f>IF(J253="N/A",IF(OR(J246="Not Calculated",J255="Not Calculated")=TRUE,"Not Calculated",AVERAGE(J246,J255)),AVERAGE(J253,J255))</f>
        <v>Not Calculated</v>
      </c>
      <c r="K259" s="41"/>
    </row>
    <row r="260" spans="2:11" x14ac:dyDescent="0.2">
      <c r="B260" s="38"/>
      <c r="C260" s="40"/>
      <c r="D260" s="40"/>
      <c r="E260" s="40"/>
      <c r="F260" s="40"/>
      <c r="G260" s="40"/>
      <c r="H260" s="40"/>
      <c r="I260" s="40"/>
      <c r="J260" s="40"/>
      <c r="K260" s="41"/>
    </row>
    <row r="261" spans="2:11" ht="18" x14ac:dyDescent="0.2">
      <c r="B261" s="38"/>
      <c r="C261" s="180" t="s">
        <v>272</v>
      </c>
      <c r="D261" s="40"/>
      <c r="E261" s="40"/>
      <c r="F261" s="40"/>
      <c r="G261" s="40"/>
      <c r="H261" s="40"/>
      <c r="I261" s="40"/>
      <c r="J261" s="244" t="str">
        <f>IF(OR(J157="Not Calculated",J178="Not Calculated",J198="Not Calculated",J218="Not Calculated",J239="Not Calculated",J259="Not Calculated",)=TRUE,"Not Calculated",AVERAGE(J157,J178,J198,J218,J239,J259))</f>
        <v>Not Calculated</v>
      </c>
      <c r="K261" s="41"/>
    </row>
    <row r="262" spans="2:11" ht="16" thickBot="1" x14ac:dyDescent="0.25">
      <c r="B262" s="46"/>
      <c r="C262" s="47"/>
      <c r="D262" s="47"/>
      <c r="E262" s="47"/>
      <c r="F262" s="47"/>
      <c r="G262" s="47"/>
      <c r="H262" s="47"/>
      <c r="I262" s="47"/>
      <c r="J262" s="47"/>
      <c r="K262" s="49"/>
    </row>
    <row r="263" spans="2:11" ht="16" thickBot="1" x14ac:dyDescent="0.25"/>
    <row r="264" spans="2:11" x14ac:dyDescent="0.2">
      <c r="B264" s="33"/>
      <c r="C264" s="34"/>
      <c r="D264" s="34"/>
      <c r="E264" s="34"/>
      <c r="F264" s="34"/>
      <c r="G264" s="34"/>
      <c r="H264" s="34"/>
      <c r="I264" s="34"/>
      <c r="J264" s="34"/>
      <c r="K264" s="37"/>
    </row>
    <row r="265" spans="2:11" ht="21" x14ac:dyDescent="0.25">
      <c r="B265" s="38"/>
      <c r="C265" s="40"/>
      <c r="D265" s="40"/>
      <c r="E265" s="40"/>
      <c r="F265" s="40"/>
      <c r="G265" s="172" t="s">
        <v>864</v>
      </c>
      <c r="H265" s="40"/>
      <c r="I265" s="40"/>
      <c r="J265" s="40"/>
      <c r="K265" s="41"/>
    </row>
    <row r="266" spans="2:11" ht="15" customHeight="1" x14ac:dyDescent="0.2">
      <c r="B266" s="38"/>
      <c r="C266" s="40"/>
      <c r="D266" s="40"/>
      <c r="E266" s="40"/>
      <c r="F266" s="40"/>
      <c r="G266" s="40"/>
      <c r="H266" s="40"/>
      <c r="I266" s="40"/>
      <c r="J266" s="40"/>
      <c r="K266" s="41"/>
    </row>
    <row r="267" spans="2:11" ht="16" x14ac:dyDescent="0.2">
      <c r="B267" s="38"/>
      <c r="C267" s="45" t="s">
        <v>80</v>
      </c>
      <c r="D267" s="40"/>
      <c r="E267" s="40"/>
      <c r="F267" s="40"/>
      <c r="G267" s="40"/>
      <c r="H267" s="40"/>
      <c r="I267" s="40"/>
      <c r="J267" s="40"/>
      <c r="K267" s="41"/>
    </row>
    <row r="268" spans="2:11" x14ac:dyDescent="0.2">
      <c r="B268" s="38"/>
      <c r="C268" s="40" t="s">
        <v>283</v>
      </c>
      <c r="D268" s="40"/>
      <c r="E268" s="40"/>
      <c r="F268" s="40"/>
      <c r="G268" s="40"/>
      <c r="H268" s="40"/>
      <c r="I268" s="40"/>
      <c r="J268" s="250">
        <f>'Baseline Health'!G88</f>
        <v>0</v>
      </c>
      <c r="K268" s="41"/>
    </row>
    <row r="269" spans="2:11" x14ac:dyDescent="0.2">
      <c r="B269" s="38"/>
      <c r="C269" s="40" t="s">
        <v>284</v>
      </c>
      <c r="D269" s="40"/>
      <c r="E269" s="40"/>
      <c r="F269" s="40"/>
      <c r="G269" s="40"/>
      <c r="H269" s="40"/>
      <c r="I269" s="40"/>
      <c r="J269" s="264"/>
      <c r="K269" s="41"/>
    </row>
    <row r="270" spans="2:11" x14ac:dyDescent="0.2">
      <c r="B270" s="38"/>
      <c r="C270" s="40" t="s">
        <v>285</v>
      </c>
      <c r="D270" s="40"/>
      <c r="E270" s="40"/>
      <c r="F270" s="40"/>
      <c r="G270" s="40"/>
      <c r="H270" s="40"/>
      <c r="I270" s="40"/>
      <c r="J270" s="259">
        <f>'Baseline Health'!G93</f>
        <v>0</v>
      </c>
      <c r="K270" s="41"/>
    </row>
    <row r="271" spans="2:11" x14ac:dyDescent="0.2">
      <c r="B271" s="38"/>
      <c r="C271" s="40" t="s">
        <v>286</v>
      </c>
      <c r="D271" s="40"/>
      <c r="E271" s="40"/>
      <c r="F271" s="40"/>
      <c r="G271" s="40"/>
      <c r="H271" s="40"/>
      <c r="I271" s="40"/>
      <c r="J271" s="250">
        <f>J184</f>
        <v>0</v>
      </c>
      <c r="K271" s="41"/>
    </row>
    <row r="272" spans="2:11" x14ac:dyDescent="0.2">
      <c r="B272" s="38"/>
      <c r="C272" s="40"/>
      <c r="D272" s="40" t="s">
        <v>432</v>
      </c>
      <c r="E272" s="40"/>
      <c r="F272" s="40"/>
      <c r="G272" s="40"/>
      <c r="H272" s="40"/>
      <c r="I272" s="40"/>
      <c r="J272" s="40"/>
      <c r="K272" s="41"/>
    </row>
    <row r="273" spans="2:14" x14ac:dyDescent="0.2">
      <c r="B273" s="38"/>
      <c r="C273" s="40" t="s">
        <v>292</v>
      </c>
      <c r="D273" s="40"/>
      <c r="E273" s="40"/>
      <c r="F273" s="40"/>
      <c r="G273" s="40"/>
      <c r="H273" s="40"/>
      <c r="I273" s="40"/>
      <c r="J273" s="258" t="str">
        <f>'Baseline Health'!G97</f>
        <v>N/A</v>
      </c>
      <c r="K273" s="41"/>
    </row>
    <row r="274" spans="2:14" x14ac:dyDescent="0.2">
      <c r="B274" s="38"/>
      <c r="C274" s="40" t="s">
        <v>293</v>
      </c>
      <c r="D274" s="40"/>
      <c r="E274" s="40"/>
      <c r="F274" s="40"/>
      <c r="G274" s="40"/>
      <c r="H274" s="40"/>
      <c r="I274" s="40"/>
      <c r="J274" s="258" t="str">
        <f>IF(J273="N/A","N/A",IF(J268-J269=0,"No Nurses",((J270+J271)/(J268-J269))))</f>
        <v>N/A</v>
      </c>
      <c r="K274" s="41"/>
    </row>
    <row r="275" spans="2:14" x14ac:dyDescent="0.2">
      <c r="B275" s="38"/>
      <c r="C275" s="40" t="s">
        <v>260</v>
      </c>
      <c r="D275" s="40"/>
      <c r="E275" s="40"/>
      <c r="F275" s="40"/>
      <c r="G275" s="40"/>
      <c r="H275" s="40"/>
      <c r="I275" s="40"/>
      <c r="J275" s="245">
        <f>IF(J273=0,"Not Calculated",IF(J274="N/A",0,IF(J274="No Nurses",4,IF((J274/J273)&lt;=1,0,IF((J274/J273)&lt;=1.1,1,IF((J274/J273)&lt;=1=1.25,2,IF((J274/J273)&lt;=1.5,3,4)))))))</f>
        <v>0</v>
      </c>
      <c r="K275" s="41"/>
    </row>
    <row r="276" spans="2:14" ht="9.75" customHeight="1" x14ac:dyDescent="0.2">
      <c r="B276" s="38"/>
      <c r="C276" s="279" t="str">
        <f>"0:"</f>
        <v>0:</v>
      </c>
      <c r="D276" s="278" t="s">
        <v>927</v>
      </c>
      <c r="E276" s="40"/>
      <c r="F276" s="40"/>
      <c r="G276" s="40"/>
      <c r="H276" s="40"/>
      <c r="I276" s="40"/>
      <c r="J276" s="258"/>
      <c r="K276" s="41"/>
    </row>
    <row r="277" spans="2:14" ht="9.75" customHeight="1" x14ac:dyDescent="0.2">
      <c r="B277" s="38"/>
      <c r="C277" s="280" t="str">
        <f>"1:"</f>
        <v>1:</v>
      </c>
      <c r="D277" s="278" t="s">
        <v>928</v>
      </c>
      <c r="E277" s="40"/>
      <c r="F277" s="40"/>
      <c r="G277" s="40"/>
      <c r="H277" s="40"/>
      <c r="I277" s="40"/>
      <c r="J277" s="258"/>
      <c r="K277" s="41"/>
    </row>
    <row r="278" spans="2:14" ht="9.75" customHeight="1" x14ac:dyDescent="0.2">
      <c r="B278" s="38"/>
      <c r="C278" s="280" t="str">
        <f>"2:"</f>
        <v>2:</v>
      </c>
      <c r="D278" s="278" t="s">
        <v>929</v>
      </c>
      <c r="E278" s="40"/>
      <c r="F278" s="40"/>
      <c r="G278" s="40"/>
      <c r="H278" s="40"/>
      <c r="I278" s="40"/>
      <c r="J278" s="258"/>
      <c r="K278" s="41"/>
    </row>
    <row r="279" spans="2:14" ht="9.75" customHeight="1" x14ac:dyDescent="0.2">
      <c r="B279" s="38"/>
      <c r="C279" s="280" t="str">
        <f>"3:"</f>
        <v>3:</v>
      </c>
      <c r="D279" s="278" t="s">
        <v>930</v>
      </c>
      <c r="E279" s="40"/>
      <c r="F279" s="40"/>
      <c r="G279" s="40"/>
      <c r="H279" s="40"/>
      <c r="I279" s="40"/>
      <c r="J279" s="258"/>
      <c r="K279" s="41"/>
    </row>
    <row r="280" spans="2:14" ht="9.75" customHeight="1" x14ac:dyDescent="0.2">
      <c r="B280" s="38"/>
      <c r="C280" s="280" t="str">
        <f>"4:"</f>
        <v>4:</v>
      </c>
      <c r="D280" s="278" t="s">
        <v>931</v>
      </c>
      <c r="E280" s="40"/>
      <c r="F280" s="40"/>
      <c r="G280" s="40"/>
      <c r="H280" s="40"/>
      <c r="I280" s="40"/>
      <c r="J280" s="40"/>
      <c r="K280" s="41"/>
      <c r="N280" s="12" t="s">
        <v>661</v>
      </c>
    </row>
    <row r="281" spans="2:14" x14ac:dyDescent="0.2">
      <c r="B281" s="38"/>
      <c r="C281" s="174" t="s">
        <v>662</v>
      </c>
      <c r="D281" s="40"/>
      <c r="E281" s="40"/>
      <c r="F281" s="40"/>
      <c r="G281" s="40"/>
      <c r="H281" s="40"/>
      <c r="I281" s="40"/>
      <c r="J281" s="265" t="s">
        <v>661</v>
      </c>
      <c r="K281" s="41"/>
      <c r="N281" s="12" t="s">
        <v>903</v>
      </c>
    </row>
    <row r="282" spans="2:14" x14ac:dyDescent="0.2">
      <c r="B282" s="38"/>
      <c r="C282" s="174" t="s">
        <v>660</v>
      </c>
      <c r="D282" s="40"/>
      <c r="E282" s="40"/>
      <c r="F282" s="40"/>
      <c r="G282" s="40"/>
      <c r="H282" s="40"/>
      <c r="I282" s="40"/>
      <c r="J282" s="246" t="str">
        <f>IF(J281=N280,"N/A",IF(J281=N281,0,IF(J281=N282,1,IF(J281=N283,2,IF(J281=N284,3,IF(J281=N285,4,"N/A"))))))</f>
        <v>N/A</v>
      </c>
      <c r="K282" s="41"/>
      <c r="N282" s="12" t="s">
        <v>904</v>
      </c>
    </row>
    <row r="283" spans="2:14" x14ac:dyDescent="0.2">
      <c r="B283" s="38"/>
      <c r="C283" s="40" t="s">
        <v>257</v>
      </c>
      <c r="D283" s="40"/>
      <c r="E283" s="40"/>
      <c r="F283" s="40"/>
      <c r="G283" s="40"/>
      <c r="H283" s="40"/>
      <c r="I283" s="40"/>
      <c r="J283" s="266"/>
      <c r="K283" s="41"/>
      <c r="N283" s="12" t="s">
        <v>905</v>
      </c>
    </row>
    <row r="284" spans="2:14" x14ac:dyDescent="0.2">
      <c r="B284" s="38"/>
      <c r="C284" s="40" t="s">
        <v>261</v>
      </c>
      <c r="D284" s="40"/>
      <c r="E284" s="40"/>
      <c r="F284" s="40"/>
      <c r="G284" s="40"/>
      <c r="H284" s="40"/>
      <c r="I284" s="40"/>
      <c r="J284" s="248" t="str">
        <f>IF(J283=$B$973,$A$973,IF(J283=$B$974,$A$974,IF(J283=$B$975,$A$975,IF(J283=$B$976,$A$976,IF(J283=$B$977,$A$977,"Not Calculated")))))</f>
        <v>Not Calculated</v>
      </c>
      <c r="K284" s="41"/>
      <c r="N284" s="12" t="s">
        <v>906</v>
      </c>
    </row>
    <row r="285" spans="2:14" x14ac:dyDescent="0.2">
      <c r="B285" s="38"/>
      <c r="C285" s="40" t="s">
        <v>893</v>
      </c>
      <c r="D285" s="40"/>
      <c r="E285" s="40"/>
      <c r="F285" s="40"/>
      <c r="G285" s="40"/>
      <c r="H285" s="40"/>
      <c r="I285" s="40"/>
      <c r="J285" s="40"/>
      <c r="K285" s="41"/>
      <c r="N285" s="12" t="s">
        <v>907</v>
      </c>
    </row>
    <row r="286" spans="2:14" x14ac:dyDescent="0.2">
      <c r="B286" s="38"/>
      <c r="C286" s="399"/>
      <c r="D286" s="400"/>
      <c r="E286" s="400"/>
      <c r="F286" s="400"/>
      <c r="G286" s="400"/>
      <c r="H286" s="400"/>
      <c r="I286" s="400"/>
      <c r="J286" s="401"/>
      <c r="K286" s="41"/>
    </row>
    <row r="287" spans="2:14" x14ac:dyDescent="0.2">
      <c r="B287" s="38"/>
      <c r="C287" s="40"/>
      <c r="D287" s="40"/>
      <c r="E287" s="40"/>
      <c r="F287" s="40"/>
      <c r="G287" s="40"/>
      <c r="H287" s="40"/>
      <c r="I287" s="40"/>
      <c r="J287" s="40"/>
      <c r="K287" s="41"/>
    </row>
    <row r="288" spans="2:14" x14ac:dyDescent="0.2">
      <c r="B288" s="38"/>
      <c r="C288" s="179" t="s">
        <v>295</v>
      </c>
      <c r="D288" s="40"/>
      <c r="E288" s="40"/>
      <c r="F288" s="40"/>
      <c r="G288" s="40"/>
      <c r="H288" s="40"/>
      <c r="I288" s="40"/>
      <c r="J288" s="245" t="str">
        <f>IF(J282="N/A",IF(OR(J275="Not Calculated",J284="Not Calculated")=TRUE,"Not Calculated",AVERAGE(J275,J284)),AVERAGE(J282,J284))</f>
        <v>Not Calculated</v>
      </c>
      <c r="K288" s="41"/>
    </row>
    <row r="289" spans="2:11" x14ac:dyDescent="0.2">
      <c r="B289" s="38"/>
      <c r="C289" s="40"/>
      <c r="D289" s="40"/>
      <c r="E289" s="40"/>
      <c r="F289" s="40"/>
      <c r="G289" s="40"/>
      <c r="H289" s="40"/>
      <c r="I289" s="40"/>
      <c r="J289" s="245"/>
      <c r="K289" s="41"/>
    </row>
    <row r="290" spans="2:11" x14ac:dyDescent="0.2">
      <c r="B290" s="38"/>
      <c r="C290" s="40"/>
      <c r="D290" s="40"/>
      <c r="E290" s="40"/>
      <c r="F290" s="40"/>
      <c r="G290" s="40"/>
      <c r="H290" s="40"/>
      <c r="I290" s="40"/>
      <c r="J290" s="40"/>
      <c r="K290" s="41"/>
    </row>
    <row r="291" spans="2:11" ht="16" x14ac:dyDescent="0.2">
      <c r="B291" s="38"/>
      <c r="C291" s="45" t="s">
        <v>856</v>
      </c>
      <c r="D291" s="40"/>
      <c r="E291" s="40"/>
      <c r="F291" s="40"/>
      <c r="G291" s="40"/>
      <c r="H291" s="40"/>
      <c r="I291" s="40"/>
      <c r="J291" s="40"/>
      <c r="K291" s="41"/>
    </row>
    <row r="292" spans="2:11" ht="15" customHeight="1" x14ac:dyDescent="0.2">
      <c r="B292" s="38"/>
      <c r="C292" s="380" t="s">
        <v>855</v>
      </c>
      <c r="D292" s="380"/>
      <c r="E292" s="380"/>
      <c r="F292" s="380"/>
      <c r="G292" s="380"/>
      <c r="H292" s="380"/>
      <c r="I292" s="380"/>
      <c r="J292" s="40"/>
      <c r="K292" s="41"/>
    </row>
    <row r="293" spans="2:11" x14ac:dyDescent="0.2">
      <c r="B293" s="38"/>
      <c r="C293" s="380"/>
      <c r="D293" s="380"/>
      <c r="E293" s="380"/>
      <c r="F293" s="380"/>
      <c r="G293" s="380"/>
      <c r="H293" s="380"/>
      <c r="I293" s="380"/>
      <c r="J293" s="264"/>
      <c r="K293" s="41"/>
    </row>
    <row r="294" spans="2:11" x14ac:dyDescent="0.2">
      <c r="B294" s="38"/>
      <c r="C294" s="40" t="s">
        <v>853</v>
      </c>
      <c r="D294" s="291"/>
      <c r="E294" s="291"/>
      <c r="F294" s="291"/>
      <c r="G294" s="291"/>
      <c r="H294" s="291"/>
      <c r="I294" s="291"/>
      <c r="J294" s="255">
        <f>'Baseline Health'!$G$102</f>
        <v>0</v>
      </c>
      <c r="K294" s="41"/>
    </row>
    <row r="295" spans="2:11" x14ac:dyDescent="0.2">
      <c r="B295" s="38"/>
      <c r="C295" s="40" t="s">
        <v>842</v>
      </c>
      <c r="D295" s="40"/>
      <c r="E295" s="40"/>
      <c r="F295" s="40"/>
      <c r="G295" s="40"/>
      <c r="H295" s="40"/>
      <c r="I295" s="40"/>
      <c r="J295" s="244" t="str">
        <f>IF('Baseline Health'!$G$102=0,"Not Calculated",100*J293/'Baseline Health'!$G$102)</f>
        <v>Not Calculated</v>
      </c>
      <c r="K295" s="41"/>
    </row>
    <row r="296" spans="2:11" x14ac:dyDescent="0.2">
      <c r="B296" s="38"/>
      <c r="C296" s="40" t="s">
        <v>260</v>
      </c>
      <c r="D296" s="40"/>
      <c r="E296" s="40"/>
      <c r="F296" s="40"/>
      <c r="G296" s="40"/>
      <c r="H296" s="40"/>
      <c r="I296" s="40"/>
      <c r="J296" s="245">
        <f>IF(J295&lt;=0,0,IF(J295&lt;=1,1,IF(J295&lt;=5,2,IF(J295&lt;=10,3,4))))</f>
        <v>4</v>
      </c>
      <c r="K296" s="41"/>
    </row>
    <row r="297" spans="2:11" ht="9.75" customHeight="1" x14ac:dyDescent="0.2">
      <c r="B297" s="38"/>
      <c r="C297" s="279" t="str">
        <f>"0:"</f>
        <v>0:</v>
      </c>
      <c r="D297" s="278" t="s">
        <v>932</v>
      </c>
      <c r="E297" s="40"/>
      <c r="F297" s="40"/>
      <c r="G297" s="40"/>
      <c r="H297" s="40"/>
      <c r="I297" s="40"/>
      <c r="J297" s="244"/>
      <c r="K297" s="41"/>
    </row>
    <row r="298" spans="2:11" ht="9.75" customHeight="1" x14ac:dyDescent="0.2">
      <c r="B298" s="38"/>
      <c r="C298" s="280" t="str">
        <f>"1:"</f>
        <v>1:</v>
      </c>
      <c r="D298" s="278" t="s">
        <v>934</v>
      </c>
      <c r="E298" s="40"/>
      <c r="F298" s="40"/>
      <c r="G298" s="40"/>
      <c r="H298" s="40"/>
      <c r="I298" s="40"/>
      <c r="J298" s="244"/>
      <c r="K298" s="41"/>
    </row>
    <row r="299" spans="2:11" ht="9.75" customHeight="1" x14ac:dyDescent="0.2">
      <c r="B299" s="38"/>
      <c r="C299" s="280" t="str">
        <f>"2:"</f>
        <v>2:</v>
      </c>
      <c r="D299" s="278" t="s">
        <v>933</v>
      </c>
      <c r="E299" s="40"/>
      <c r="F299" s="40"/>
      <c r="G299" s="40"/>
      <c r="H299" s="40"/>
      <c r="I299" s="40"/>
      <c r="J299" s="244"/>
      <c r="K299" s="41"/>
    </row>
    <row r="300" spans="2:11" ht="9.75" customHeight="1" x14ac:dyDescent="0.2">
      <c r="B300" s="38"/>
      <c r="C300" s="280" t="str">
        <f>"3:"</f>
        <v>3:</v>
      </c>
      <c r="D300" s="278" t="s">
        <v>935</v>
      </c>
      <c r="E300" s="40"/>
      <c r="F300" s="40"/>
      <c r="G300" s="40"/>
      <c r="H300" s="40"/>
      <c r="I300" s="40"/>
      <c r="J300" s="244"/>
      <c r="K300" s="41"/>
    </row>
    <row r="301" spans="2:11" ht="9.75" customHeight="1" x14ac:dyDescent="0.2">
      <c r="B301" s="38"/>
      <c r="C301" s="280" t="str">
        <f>"4:"</f>
        <v>4:</v>
      </c>
      <c r="D301" s="278" t="s">
        <v>936</v>
      </c>
      <c r="E301" s="40"/>
      <c r="F301" s="40"/>
      <c r="G301" s="40"/>
      <c r="H301" s="40"/>
      <c r="I301" s="40"/>
      <c r="J301" s="40"/>
      <c r="K301" s="41"/>
    </row>
    <row r="302" spans="2:11" x14ac:dyDescent="0.2">
      <c r="B302" s="38"/>
      <c r="C302" s="40" t="s">
        <v>257</v>
      </c>
      <c r="D302" s="40"/>
      <c r="E302" s="40"/>
      <c r="F302" s="40"/>
      <c r="G302" s="40"/>
      <c r="H302" s="40"/>
      <c r="I302" s="40"/>
      <c r="J302" s="266"/>
      <c r="K302" s="41"/>
    </row>
    <row r="303" spans="2:11" x14ac:dyDescent="0.2">
      <c r="B303" s="38"/>
      <c r="C303" s="40" t="s">
        <v>261</v>
      </c>
      <c r="D303" s="40"/>
      <c r="E303" s="40"/>
      <c r="F303" s="40"/>
      <c r="G303" s="40"/>
      <c r="H303" s="40"/>
      <c r="I303" s="40"/>
      <c r="J303" s="245" t="str">
        <f>IF(J302=$B$980,$A$980,IF(J302=$B$981,$A$981,IF(J302=$B$982,$A$982,IF(J302=$B$983,$A$983,IF(J302=$B$984,$A$984,"Not Calculated")))))</f>
        <v>Not Calculated</v>
      </c>
      <c r="K303" s="41"/>
    </row>
    <row r="304" spans="2:11" x14ac:dyDescent="0.2">
      <c r="B304" s="38"/>
      <c r="C304" s="40" t="s">
        <v>893</v>
      </c>
      <c r="D304" s="40"/>
      <c r="E304" s="40"/>
      <c r="F304" s="40"/>
      <c r="G304" s="40"/>
      <c r="H304" s="40"/>
      <c r="I304" s="40"/>
      <c r="J304" s="40"/>
      <c r="K304" s="41"/>
    </row>
    <row r="305" spans="2:11" ht="15" customHeight="1" x14ac:dyDescent="0.2">
      <c r="B305" s="38"/>
      <c r="C305" s="399"/>
      <c r="D305" s="400"/>
      <c r="E305" s="400"/>
      <c r="F305" s="400"/>
      <c r="G305" s="400"/>
      <c r="H305" s="400"/>
      <c r="I305" s="400"/>
      <c r="J305" s="401"/>
      <c r="K305" s="41"/>
    </row>
    <row r="306" spans="2:11" x14ac:dyDescent="0.2">
      <c r="B306" s="38"/>
      <c r="C306" s="40"/>
      <c r="D306" s="40"/>
      <c r="E306" s="40"/>
      <c r="F306" s="40"/>
      <c r="G306" s="40"/>
      <c r="H306" s="40"/>
      <c r="I306" s="40"/>
      <c r="J306" s="40"/>
      <c r="K306" s="41"/>
    </row>
    <row r="307" spans="2:11" x14ac:dyDescent="0.2">
      <c r="B307" s="38"/>
      <c r="C307" s="179" t="s">
        <v>885</v>
      </c>
      <c r="D307" s="40"/>
      <c r="E307" s="40"/>
      <c r="F307" s="40"/>
      <c r="G307" s="40"/>
      <c r="H307" s="40"/>
      <c r="I307" s="40"/>
      <c r="J307" s="245" t="str">
        <f>IF(OR(J296="Not Calculated",J303="Not Calculated")=TRUE,"Not Calculated",AVERAGE(J296,J303))</f>
        <v>Not Calculated</v>
      </c>
      <c r="K307" s="41"/>
    </row>
    <row r="308" spans="2:11" x14ac:dyDescent="0.2">
      <c r="B308" s="38"/>
      <c r="C308" s="40"/>
      <c r="D308" s="40"/>
      <c r="E308" s="40"/>
      <c r="F308" s="40"/>
      <c r="G308" s="40"/>
      <c r="H308" s="40"/>
      <c r="I308" s="40"/>
      <c r="J308" s="40"/>
      <c r="K308" s="41"/>
    </row>
    <row r="309" spans="2:11" x14ac:dyDescent="0.2">
      <c r="B309" s="38"/>
      <c r="C309" s="40"/>
      <c r="D309" s="40"/>
      <c r="E309" s="40"/>
      <c r="F309" s="40"/>
      <c r="G309" s="40"/>
      <c r="H309" s="40"/>
      <c r="I309" s="40"/>
      <c r="J309" s="40"/>
      <c r="K309" s="41"/>
    </row>
    <row r="310" spans="2:11" ht="16" x14ac:dyDescent="0.2">
      <c r="B310" s="38"/>
      <c r="C310" s="45" t="s">
        <v>857</v>
      </c>
      <c r="D310" s="40"/>
      <c r="E310" s="40"/>
      <c r="F310" s="40"/>
      <c r="G310" s="40"/>
      <c r="H310" s="40"/>
      <c r="I310" s="40"/>
      <c r="J310" s="40"/>
      <c r="K310" s="41"/>
    </row>
    <row r="311" spans="2:11" x14ac:dyDescent="0.2">
      <c r="B311" s="38"/>
      <c r="C311" s="380" t="s">
        <v>843</v>
      </c>
      <c r="D311" s="380"/>
      <c r="E311" s="380"/>
      <c r="F311" s="380"/>
      <c r="G311" s="380"/>
      <c r="H311" s="380"/>
      <c r="I311" s="380"/>
      <c r="J311" s="40"/>
      <c r="K311" s="41"/>
    </row>
    <row r="312" spans="2:11" x14ac:dyDescent="0.2">
      <c r="B312" s="38"/>
      <c r="C312" s="380"/>
      <c r="D312" s="380"/>
      <c r="E312" s="380"/>
      <c r="F312" s="380"/>
      <c r="G312" s="380"/>
      <c r="H312" s="380"/>
      <c r="I312" s="380"/>
      <c r="J312" s="264"/>
      <c r="K312" s="41"/>
    </row>
    <row r="313" spans="2:11" x14ac:dyDescent="0.2">
      <c r="B313" s="38"/>
      <c r="C313" s="40" t="s">
        <v>853</v>
      </c>
      <c r="D313" s="291"/>
      <c r="E313" s="291"/>
      <c r="F313" s="291"/>
      <c r="G313" s="291"/>
      <c r="H313" s="291"/>
      <c r="I313" s="291"/>
      <c r="J313" s="255">
        <f>'Baseline Health'!$G$102</f>
        <v>0</v>
      </c>
      <c r="K313" s="41"/>
    </row>
    <row r="314" spans="2:11" x14ac:dyDescent="0.2">
      <c r="B314" s="38"/>
      <c r="C314" s="40" t="s">
        <v>842</v>
      </c>
      <c r="D314" s="40"/>
      <c r="E314" s="40"/>
      <c r="F314" s="40"/>
      <c r="G314" s="40"/>
      <c r="H314" s="40"/>
      <c r="I314" s="40"/>
      <c r="J314" s="244" t="str">
        <f>IF('Baseline Health'!$G$102=0,"Not Calculated",100*J312/'Baseline Health'!$G$102)</f>
        <v>Not Calculated</v>
      </c>
      <c r="K314" s="41"/>
    </row>
    <row r="315" spans="2:11" x14ac:dyDescent="0.2">
      <c r="B315" s="38"/>
      <c r="C315" s="40" t="s">
        <v>260</v>
      </c>
      <c r="D315" s="40"/>
      <c r="E315" s="40"/>
      <c r="F315" s="40"/>
      <c r="G315" s="40"/>
      <c r="H315" s="40"/>
      <c r="I315" s="40"/>
      <c r="J315" s="245">
        <f>IF(J314&lt;=0,0,IF(J314&lt;=1,1,IF(J314&lt;=5,2,IF(J314&lt;=10,3,4))))</f>
        <v>4</v>
      </c>
      <c r="K315" s="41"/>
    </row>
    <row r="316" spans="2:11" ht="9.75" customHeight="1" x14ac:dyDescent="0.2">
      <c r="B316" s="38"/>
      <c r="C316" s="279" t="str">
        <f>"0:"</f>
        <v>0:</v>
      </c>
      <c r="D316" s="278" t="s">
        <v>932</v>
      </c>
      <c r="E316" s="40"/>
      <c r="F316" s="40"/>
      <c r="G316" s="40"/>
      <c r="H316" s="40"/>
      <c r="I316" s="40"/>
      <c r="J316" s="244"/>
      <c r="K316" s="41"/>
    </row>
    <row r="317" spans="2:11" ht="9.75" customHeight="1" x14ac:dyDescent="0.2">
      <c r="B317" s="38"/>
      <c r="C317" s="280" t="str">
        <f>"1:"</f>
        <v>1:</v>
      </c>
      <c r="D317" s="278" t="s">
        <v>934</v>
      </c>
      <c r="E317" s="40"/>
      <c r="F317" s="40"/>
      <c r="G317" s="40"/>
      <c r="H317" s="40"/>
      <c r="I317" s="40"/>
      <c r="J317" s="244"/>
      <c r="K317" s="41"/>
    </row>
    <row r="318" spans="2:11" ht="9.75" customHeight="1" x14ac:dyDescent="0.2">
      <c r="B318" s="38"/>
      <c r="C318" s="280" t="str">
        <f>"2:"</f>
        <v>2:</v>
      </c>
      <c r="D318" s="278" t="s">
        <v>933</v>
      </c>
      <c r="E318" s="40"/>
      <c r="F318" s="40"/>
      <c r="G318" s="40"/>
      <c r="H318" s="40"/>
      <c r="I318" s="40"/>
      <c r="J318" s="244"/>
      <c r="K318" s="41"/>
    </row>
    <row r="319" spans="2:11" ht="9.75" customHeight="1" x14ac:dyDescent="0.2">
      <c r="B319" s="38"/>
      <c r="C319" s="280" t="str">
        <f>"3:"</f>
        <v>3:</v>
      </c>
      <c r="D319" s="278" t="s">
        <v>935</v>
      </c>
      <c r="E319" s="40"/>
      <c r="F319" s="40"/>
      <c r="G319" s="40"/>
      <c r="H319" s="40"/>
      <c r="I319" s="40"/>
      <c r="J319" s="244"/>
      <c r="K319" s="41"/>
    </row>
    <row r="320" spans="2:11" ht="9.75" customHeight="1" x14ac:dyDescent="0.2">
      <c r="B320" s="38"/>
      <c r="C320" s="280" t="str">
        <f>"4:"</f>
        <v>4:</v>
      </c>
      <c r="D320" s="278" t="s">
        <v>936</v>
      </c>
      <c r="E320" s="40"/>
      <c r="F320" s="40"/>
      <c r="G320" s="40"/>
      <c r="H320" s="40"/>
      <c r="I320" s="40"/>
      <c r="J320" s="40"/>
      <c r="K320" s="41"/>
    </row>
    <row r="321" spans="2:11" x14ac:dyDescent="0.2">
      <c r="B321" s="38"/>
      <c r="C321" s="40" t="s">
        <v>296</v>
      </c>
      <c r="D321" s="40"/>
      <c r="E321" s="40"/>
      <c r="F321" s="40"/>
      <c r="G321" s="40"/>
      <c r="H321" s="40"/>
      <c r="I321" s="40"/>
      <c r="J321" s="266"/>
      <c r="K321" s="41"/>
    </row>
    <row r="322" spans="2:11" x14ac:dyDescent="0.2">
      <c r="B322" s="38"/>
      <c r="C322" s="40" t="s">
        <v>261</v>
      </c>
      <c r="D322" s="40"/>
      <c r="E322" s="40"/>
      <c r="F322" s="40"/>
      <c r="G322" s="40"/>
      <c r="H322" s="40"/>
      <c r="I322" s="40"/>
      <c r="J322" s="245">
        <f>IF(J321&lt;=0,0,IF(J321&lt;=2,1,IF(J321&lt;=6,2,IF(J321&lt;=12,3,4))))</f>
        <v>0</v>
      </c>
      <c r="K322" s="41"/>
    </row>
    <row r="323" spans="2:11" x14ac:dyDescent="0.2">
      <c r="B323" s="38"/>
      <c r="C323" s="40" t="s">
        <v>893</v>
      </c>
      <c r="D323" s="40"/>
      <c r="E323" s="40"/>
      <c r="F323" s="40"/>
      <c r="G323" s="40"/>
      <c r="H323" s="40"/>
      <c r="I323" s="40"/>
      <c r="J323" s="40"/>
      <c r="K323" s="41"/>
    </row>
    <row r="324" spans="2:11" ht="15" customHeight="1" x14ac:dyDescent="0.2">
      <c r="B324" s="38"/>
      <c r="C324" s="399"/>
      <c r="D324" s="400"/>
      <c r="E324" s="400"/>
      <c r="F324" s="400"/>
      <c r="G324" s="400"/>
      <c r="H324" s="400"/>
      <c r="I324" s="400"/>
      <c r="J324" s="401"/>
      <c r="K324" s="41"/>
    </row>
    <row r="325" spans="2:11" x14ac:dyDescent="0.2">
      <c r="B325" s="38"/>
      <c r="C325" s="40"/>
      <c r="D325" s="40"/>
      <c r="E325" s="40"/>
      <c r="F325" s="40"/>
      <c r="G325" s="40"/>
      <c r="H325" s="40"/>
      <c r="I325" s="40"/>
      <c r="J325" s="40"/>
      <c r="K325" s="41"/>
    </row>
    <row r="326" spans="2:11" x14ac:dyDescent="0.2">
      <c r="B326" s="38"/>
      <c r="C326" s="179" t="s">
        <v>886</v>
      </c>
      <c r="D326" s="40"/>
      <c r="E326" s="40"/>
      <c r="F326" s="40"/>
      <c r="G326" s="40"/>
      <c r="H326" s="40"/>
      <c r="I326" s="40"/>
      <c r="J326" s="245">
        <f>IF(OR(J315="Not Calculated",J322="Not Calculated")=TRUE,"Not Calculated",AVERAGE(J315,J322))</f>
        <v>2</v>
      </c>
      <c r="K326" s="41"/>
    </row>
    <row r="327" spans="2:11" x14ac:dyDescent="0.2">
      <c r="B327" s="38"/>
      <c r="C327" s="40"/>
      <c r="D327" s="40"/>
      <c r="E327" s="40"/>
      <c r="F327" s="40"/>
      <c r="G327" s="40"/>
      <c r="H327" s="40"/>
      <c r="I327" s="40"/>
      <c r="J327" s="40"/>
      <c r="K327" s="41"/>
    </row>
    <row r="328" spans="2:11" x14ac:dyDescent="0.2">
      <c r="B328" s="38"/>
      <c r="C328" s="40"/>
      <c r="D328" s="40"/>
      <c r="E328" s="40"/>
      <c r="F328" s="40"/>
      <c r="G328" s="40"/>
      <c r="H328" s="40"/>
      <c r="I328" s="40"/>
      <c r="J328" s="40"/>
      <c r="K328" s="41"/>
    </row>
    <row r="329" spans="2:11" ht="16" x14ac:dyDescent="0.2">
      <c r="B329" s="38"/>
      <c r="C329" s="45" t="s">
        <v>858</v>
      </c>
      <c r="D329" s="40"/>
      <c r="E329" s="40"/>
      <c r="F329" s="40"/>
      <c r="G329" s="40"/>
      <c r="H329" s="40"/>
      <c r="I329" s="40"/>
      <c r="J329" s="40"/>
      <c r="K329" s="41"/>
    </row>
    <row r="330" spans="2:11" ht="15" customHeight="1" x14ac:dyDescent="0.2">
      <c r="B330" s="38"/>
      <c r="C330" s="380" t="s">
        <v>844</v>
      </c>
      <c r="D330" s="380"/>
      <c r="E330" s="380"/>
      <c r="F330" s="380"/>
      <c r="G330" s="380"/>
      <c r="H330" s="380"/>
      <c r="I330" s="380"/>
      <c r="J330" s="40"/>
      <c r="K330" s="41"/>
    </row>
    <row r="331" spans="2:11" x14ac:dyDescent="0.2">
      <c r="B331" s="38"/>
      <c r="C331" s="380"/>
      <c r="D331" s="380"/>
      <c r="E331" s="380"/>
      <c r="F331" s="380"/>
      <c r="G331" s="380"/>
      <c r="H331" s="380"/>
      <c r="I331" s="380"/>
      <c r="J331" s="264"/>
      <c r="K331" s="41"/>
    </row>
    <row r="332" spans="2:11" x14ac:dyDescent="0.2">
      <c r="B332" s="38"/>
      <c r="C332" s="40" t="s">
        <v>853</v>
      </c>
      <c r="D332" s="291"/>
      <c r="E332" s="291"/>
      <c r="F332" s="291"/>
      <c r="G332" s="291"/>
      <c r="H332" s="291"/>
      <c r="I332" s="291"/>
      <c r="J332" s="255">
        <f>'Baseline Health'!$G$102</f>
        <v>0</v>
      </c>
      <c r="K332" s="41"/>
    </row>
    <row r="333" spans="2:11" x14ac:dyDescent="0.2">
      <c r="B333" s="38"/>
      <c r="C333" s="40" t="s">
        <v>845</v>
      </c>
      <c r="D333" s="40"/>
      <c r="E333" s="40"/>
      <c r="F333" s="40"/>
      <c r="G333" s="40"/>
      <c r="H333" s="40"/>
      <c r="I333" s="40"/>
      <c r="J333" s="244" t="str">
        <f>IF('Baseline Health'!$G$102=0,"Not Calculated",100*J331/'Baseline Health'!$G$102)</f>
        <v>Not Calculated</v>
      </c>
      <c r="K333" s="41"/>
    </row>
    <row r="334" spans="2:11" x14ac:dyDescent="0.2">
      <c r="B334" s="38"/>
      <c r="C334" s="40" t="s">
        <v>260</v>
      </c>
      <c r="D334" s="40"/>
      <c r="E334" s="40"/>
      <c r="F334" s="40"/>
      <c r="G334" s="40"/>
      <c r="H334" s="40"/>
      <c r="I334" s="40"/>
      <c r="J334" s="245">
        <f>IF(J333&lt;=0,0,IF(J333&lt;=1,1,IF(J333&lt;=5,2,IF(J333&lt;=10,3,4))))</f>
        <v>4</v>
      </c>
      <c r="K334" s="41"/>
    </row>
    <row r="335" spans="2:11" ht="9.75" customHeight="1" x14ac:dyDescent="0.2">
      <c r="B335" s="38"/>
      <c r="C335" s="279" t="str">
        <f>"0:"</f>
        <v>0:</v>
      </c>
      <c r="D335" s="278" t="s">
        <v>932</v>
      </c>
      <c r="E335" s="40"/>
      <c r="F335" s="40"/>
      <c r="G335" s="40"/>
      <c r="H335" s="40"/>
      <c r="I335" s="40"/>
      <c r="J335" s="244"/>
      <c r="K335" s="41"/>
    </row>
    <row r="336" spans="2:11" ht="9.75" customHeight="1" x14ac:dyDescent="0.2">
      <c r="B336" s="38"/>
      <c r="C336" s="280" t="str">
        <f>"1:"</f>
        <v>1:</v>
      </c>
      <c r="D336" s="278" t="s">
        <v>934</v>
      </c>
      <c r="E336" s="40"/>
      <c r="F336" s="40"/>
      <c r="G336" s="40"/>
      <c r="H336" s="40"/>
      <c r="I336" s="40"/>
      <c r="J336" s="244"/>
      <c r="K336" s="41"/>
    </row>
    <row r="337" spans="2:11" ht="9.75" customHeight="1" x14ac:dyDescent="0.2">
      <c r="B337" s="38"/>
      <c r="C337" s="280" t="str">
        <f>"2:"</f>
        <v>2:</v>
      </c>
      <c r="D337" s="278" t="s">
        <v>933</v>
      </c>
      <c r="E337" s="40"/>
      <c r="F337" s="40"/>
      <c r="G337" s="40"/>
      <c r="H337" s="40"/>
      <c r="I337" s="40"/>
      <c r="J337" s="244"/>
      <c r="K337" s="41"/>
    </row>
    <row r="338" spans="2:11" ht="9.75" customHeight="1" x14ac:dyDescent="0.2">
      <c r="B338" s="38"/>
      <c r="C338" s="280" t="str">
        <f>"3:"</f>
        <v>3:</v>
      </c>
      <c r="D338" s="278" t="s">
        <v>935</v>
      </c>
      <c r="E338" s="40"/>
      <c r="F338" s="40"/>
      <c r="G338" s="40"/>
      <c r="H338" s="40"/>
      <c r="I338" s="40"/>
      <c r="J338" s="244"/>
      <c r="K338" s="41"/>
    </row>
    <row r="339" spans="2:11" ht="9.75" customHeight="1" x14ac:dyDescent="0.2">
      <c r="B339" s="38"/>
      <c r="C339" s="280" t="str">
        <f>"4:"</f>
        <v>4:</v>
      </c>
      <c r="D339" s="278" t="s">
        <v>936</v>
      </c>
      <c r="E339" s="40"/>
      <c r="F339" s="40"/>
      <c r="G339" s="40"/>
      <c r="H339" s="40"/>
      <c r="I339" s="40"/>
      <c r="J339" s="40"/>
      <c r="K339" s="41"/>
    </row>
    <row r="340" spans="2:11" x14ac:dyDescent="0.2">
      <c r="B340" s="38"/>
      <c r="C340" s="380" t="s">
        <v>84</v>
      </c>
      <c r="D340" s="380"/>
      <c r="E340" s="380"/>
      <c r="F340" s="380"/>
      <c r="G340" s="380"/>
      <c r="H340" s="380"/>
      <c r="I340" s="380"/>
      <c r="J340" s="245"/>
      <c r="K340" s="41"/>
    </row>
    <row r="341" spans="2:11" x14ac:dyDescent="0.2">
      <c r="B341" s="38"/>
      <c r="C341" s="380"/>
      <c r="D341" s="380"/>
      <c r="E341" s="380"/>
      <c r="F341" s="380"/>
      <c r="G341" s="380"/>
      <c r="H341" s="380"/>
      <c r="I341" s="380"/>
      <c r="J341" s="245">
        <f>'Baseline Health'!G108</f>
        <v>40</v>
      </c>
      <c r="K341" s="41"/>
    </row>
    <row r="342" spans="2:11" ht="15" customHeight="1" x14ac:dyDescent="0.2">
      <c r="B342" s="38"/>
      <c r="C342" s="40" t="s">
        <v>833</v>
      </c>
      <c r="D342" s="40"/>
      <c r="E342" s="40"/>
      <c r="F342" s="40"/>
      <c r="G342" s="40"/>
      <c r="H342" s="40"/>
      <c r="I342" s="40"/>
      <c r="J342" s="245">
        <f>IF(J341&gt;J321,0,J321-J341)</f>
        <v>0</v>
      </c>
      <c r="K342" s="41"/>
    </row>
    <row r="343" spans="2:11" x14ac:dyDescent="0.2">
      <c r="B343" s="38"/>
      <c r="C343" s="40"/>
      <c r="D343" s="380" t="s">
        <v>834</v>
      </c>
      <c r="E343" s="380"/>
      <c r="F343" s="380"/>
      <c r="G343" s="380"/>
      <c r="H343" s="380"/>
      <c r="I343" s="380"/>
      <c r="J343" s="40"/>
      <c r="K343" s="41"/>
    </row>
    <row r="344" spans="2:11" x14ac:dyDescent="0.2">
      <c r="B344" s="38"/>
      <c r="C344" s="40"/>
      <c r="D344" s="380"/>
      <c r="E344" s="380"/>
      <c r="F344" s="380"/>
      <c r="G344" s="380"/>
      <c r="H344" s="380"/>
      <c r="I344" s="380"/>
      <c r="J344" s="40"/>
      <c r="K344" s="41"/>
    </row>
    <row r="345" spans="2:11" x14ac:dyDescent="0.2">
      <c r="B345" s="38"/>
      <c r="C345" s="40" t="s">
        <v>261</v>
      </c>
      <c r="D345" s="40"/>
      <c r="E345" s="40"/>
      <c r="F345" s="40"/>
      <c r="G345" s="40"/>
      <c r="H345" s="40"/>
      <c r="I345" s="40"/>
      <c r="J345" s="245">
        <f>IF(J342&lt;=0,0,IF(J342&lt;=2,1,IF(J342&lt;=6,2,IF(J342&lt;=12,3,4))))</f>
        <v>0</v>
      </c>
      <c r="K345" s="41"/>
    </row>
    <row r="346" spans="2:11" x14ac:dyDescent="0.2">
      <c r="B346" s="38"/>
      <c r="C346" s="40" t="s">
        <v>893</v>
      </c>
      <c r="D346" s="40"/>
      <c r="E346" s="40"/>
      <c r="F346" s="40"/>
      <c r="G346" s="40"/>
      <c r="H346" s="40"/>
      <c r="I346" s="40"/>
      <c r="J346" s="40"/>
      <c r="K346" s="41"/>
    </row>
    <row r="347" spans="2:11" ht="15" customHeight="1" x14ac:dyDescent="0.2">
      <c r="B347" s="38"/>
      <c r="C347" s="399"/>
      <c r="D347" s="400"/>
      <c r="E347" s="400"/>
      <c r="F347" s="400"/>
      <c r="G347" s="400"/>
      <c r="H347" s="400"/>
      <c r="I347" s="400"/>
      <c r="J347" s="401"/>
      <c r="K347" s="41"/>
    </row>
    <row r="348" spans="2:11" x14ac:dyDescent="0.2">
      <c r="B348" s="38"/>
      <c r="C348" s="40"/>
      <c r="D348" s="40"/>
      <c r="E348" s="40"/>
      <c r="F348" s="40"/>
      <c r="G348" s="40"/>
      <c r="H348" s="40"/>
      <c r="I348" s="40"/>
      <c r="J348" s="40"/>
      <c r="K348" s="41"/>
    </row>
    <row r="349" spans="2:11" x14ac:dyDescent="0.2">
      <c r="B349" s="38"/>
      <c r="C349" s="179" t="s">
        <v>887</v>
      </c>
      <c r="D349" s="40"/>
      <c r="E349" s="40"/>
      <c r="F349" s="40"/>
      <c r="G349" s="40"/>
      <c r="H349" s="40"/>
      <c r="I349" s="40"/>
      <c r="J349" s="245">
        <f>IF(OR(J334="Not Calculated",J345="Not Calculated")=TRUE,"Not Calculated",AVERAGE(J334,J345))</f>
        <v>2</v>
      </c>
      <c r="K349" s="41"/>
    </row>
    <row r="350" spans="2:11" x14ac:dyDescent="0.2">
      <c r="B350" s="38"/>
      <c r="C350" s="40"/>
      <c r="D350" s="40"/>
      <c r="E350" s="40"/>
      <c r="F350" s="40"/>
      <c r="G350" s="40"/>
      <c r="H350" s="40"/>
      <c r="I350" s="40"/>
      <c r="J350" s="40"/>
      <c r="K350" s="41"/>
    </row>
    <row r="351" spans="2:11" x14ac:dyDescent="0.2">
      <c r="B351" s="38"/>
      <c r="C351" s="40"/>
      <c r="D351" s="40"/>
      <c r="E351" s="40"/>
      <c r="F351" s="40"/>
      <c r="G351" s="40"/>
      <c r="H351" s="40"/>
      <c r="I351" s="40"/>
      <c r="J351" s="40"/>
      <c r="K351" s="41"/>
    </row>
    <row r="352" spans="2:11" ht="15" customHeight="1" x14ac:dyDescent="0.2">
      <c r="B352" s="38"/>
      <c r="C352" s="45" t="s">
        <v>859</v>
      </c>
      <c r="D352" s="40"/>
      <c r="E352" s="40"/>
      <c r="F352" s="40"/>
      <c r="G352" s="40"/>
      <c r="H352" s="40"/>
      <c r="I352" s="40"/>
      <c r="J352" s="40"/>
      <c r="K352" s="41"/>
    </row>
    <row r="353" spans="2:11" x14ac:dyDescent="0.2">
      <c r="B353" s="38"/>
      <c r="C353" s="40" t="s">
        <v>846</v>
      </c>
      <c r="D353" s="40"/>
      <c r="E353" s="40"/>
      <c r="F353" s="40"/>
      <c r="G353" s="40"/>
      <c r="H353" s="40"/>
      <c r="I353" s="40"/>
      <c r="J353" s="264"/>
      <c r="K353" s="41"/>
    </row>
    <row r="354" spans="2:11" x14ac:dyDescent="0.2">
      <c r="B354" s="38"/>
      <c r="C354" s="40" t="s">
        <v>854</v>
      </c>
      <c r="D354" s="40"/>
      <c r="E354" s="40"/>
      <c r="F354" s="40"/>
      <c r="G354" s="40"/>
      <c r="H354" s="40"/>
      <c r="I354" s="40"/>
      <c r="J354" s="255">
        <f>'Baseline Health'!$G$59</f>
        <v>0</v>
      </c>
      <c r="K354" s="41"/>
    </row>
    <row r="355" spans="2:11" x14ac:dyDescent="0.2">
      <c r="B355" s="38"/>
      <c r="C355" s="40" t="s">
        <v>847</v>
      </c>
      <c r="D355" s="40"/>
      <c r="E355" s="40"/>
      <c r="F355" s="40"/>
      <c r="G355" s="40"/>
      <c r="H355" s="40"/>
      <c r="I355" s="40"/>
      <c r="J355" s="244">
        <f>IF(J353=0,0,IF('Baseline Health'!G$59=0,"Not Calculated",100*J353/'Baseline Health'!$G$59))</f>
        <v>0</v>
      </c>
      <c r="K355" s="41"/>
    </row>
    <row r="356" spans="2:11" x14ac:dyDescent="0.2">
      <c r="B356" s="38"/>
      <c r="C356" s="40" t="s">
        <v>260</v>
      </c>
      <c r="D356" s="40"/>
      <c r="E356" s="40"/>
      <c r="F356" s="40"/>
      <c r="G356" s="40"/>
      <c r="H356" s="40"/>
      <c r="I356" s="40"/>
      <c r="J356" s="245">
        <f>IF(J355&lt;=0,0,IF(J355&lt;=5,1,IF(J355&lt;=10,2,IF(J355&lt;=25,3,4))))</f>
        <v>0</v>
      </c>
      <c r="K356" s="41"/>
    </row>
    <row r="357" spans="2:11" ht="9.75" customHeight="1" x14ac:dyDescent="0.2">
      <c r="B357" s="38"/>
      <c r="C357" s="279" t="str">
        <f>"0:"</f>
        <v>0:</v>
      </c>
      <c r="D357" s="278" t="s">
        <v>932</v>
      </c>
      <c r="E357" s="40"/>
      <c r="F357" s="40"/>
      <c r="G357" s="40"/>
      <c r="H357" s="40"/>
      <c r="I357" s="40"/>
      <c r="J357" s="244"/>
      <c r="K357" s="41"/>
    </row>
    <row r="358" spans="2:11" ht="9.75" customHeight="1" x14ac:dyDescent="0.2">
      <c r="B358" s="38"/>
      <c r="C358" s="280" t="str">
        <f>"1:"</f>
        <v>1:</v>
      </c>
      <c r="D358" s="278" t="s">
        <v>933</v>
      </c>
      <c r="E358" s="40"/>
      <c r="F358" s="40"/>
      <c r="G358" s="40"/>
      <c r="H358" s="40"/>
      <c r="I358" s="40"/>
      <c r="J358" s="244"/>
      <c r="K358" s="41"/>
    </row>
    <row r="359" spans="2:11" ht="9.75" customHeight="1" x14ac:dyDescent="0.2">
      <c r="B359" s="38"/>
      <c r="C359" s="280" t="str">
        <f>"2:"</f>
        <v>2:</v>
      </c>
      <c r="D359" s="278" t="s">
        <v>935</v>
      </c>
      <c r="E359" s="40"/>
      <c r="F359" s="40"/>
      <c r="G359" s="40"/>
      <c r="H359" s="40"/>
      <c r="I359" s="40"/>
      <c r="J359" s="244"/>
      <c r="K359" s="41"/>
    </row>
    <row r="360" spans="2:11" ht="9.75" customHeight="1" x14ac:dyDescent="0.2">
      <c r="B360" s="38"/>
      <c r="C360" s="280" t="str">
        <f>"3:"</f>
        <v>3:</v>
      </c>
      <c r="D360" s="278" t="s">
        <v>937</v>
      </c>
      <c r="E360" s="40"/>
      <c r="F360" s="40"/>
      <c r="G360" s="40"/>
      <c r="H360" s="40"/>
      <c r="I360" s="40"/>
      <c r="J360" s="244"/>
      <c r="K360" s="41"/>
    </row>
    <row r="361" spans="2:11" ht="9.75" customHeight="1" x14ac:dyDescent="0.2">
      <c r="B361" s="38"/>
      <c r="C361" s="280" t="str">
        <f>"4:"</f>
        <v>4:</v>
      </c>
      <c r="D361" s="278" t="s">
        <v>938</v>
      </c>
      <c r="E361" s="40"/>
      <c r="F361" s="40"/>
      <c r="G361" s="40"/>
      <c r="H361" s="40"/>
      <c r="I361" s="40"/>
      <c r="J361" s="40"/>
      <c r="K361" s="41"/>
    </row>
    <row r="362" spans="2:11" x14ac:dyDescent="0.2">
      <c r="B362" s="38"/>
      <c r="C362" s="40" t="s">
        <v>257</v>
      </c>
      <c r="D362" s="40"/>
      <c r="E362" s="40"/>
      <c r="F362" s="40"/>
      <c r="G362" s="40"/>
      <c r="H362" s="40"/>
      <c r="I362" s="40"/>
      <c r="J362" s="266"/>
      <c r="K362" s="41"/>
    </row>
    <row r="363" spans="2:11" x14ac:dyDescent="0.2">
      <c r="B363" s="38"/>
      <c r="C363" s="40" t="s">
        <v>261</v>
      </c>
      <c r="D363" s="40"/>
      <c r="E363" s="40"/>
      <c r="F363" s="40"/>
      <c r="G363" s="40"/>
      <c r="H363" s="40"/>
      <c r="I363" s="40"/>
      <c r="J363" s="245" t="str">
        <f>IF(J362=$B$980,$A$980,IF(J362=$B$981,$A$981,IF(J362=$B$982,$A$982,IF(J362=$B$983,$A$983,IF(J362=$B$984,$A$984,"Not Calculated")))))</f>
        <v>Not Calculated</v>
      </c>
      <c r="K363" s="41"/>
    </row>
    <row r="364" spans="2:11" x14ac:dyDescent="0.2">
      <c r="B364" s="38"/>
      <c r="C364" s="40" t="s">
        <v>893</v>
      </c>
      <c r="D364" s="40"/>
      <c r="E364" s="40"/>
      <c r="F364" s="40"/>
      <c r="G364" s="40"/>
      <c r="H364" s="40"/>
      <c r="I364" s="40"/>
      <c r="J364" s="40"/>
      <c r="K364" s="41"/>
    </row>
    <row r="365" spans="2:11" ht="15" customHeight="1" x14ac:dyDescent="0.2">
      <c r="B365" s="38"/>
      <c r="C365" s="399"/>
      <c r="D365" s="400"/>
      <c r="E365" s="400"/>
      <c r="F365" s="400"/>
      <c r="G365" s="400"/>
      <c r="H365" s="400"/>
      <c r="I365" s="400"/>
      <c r="J365" s="401"/>
      <c r="K365" s="41"/>
    </row>
    <row r="366" spans="2:11" x14ac:dyDescent="0.2">
      <c r="B366" s="38"/>
      <c r="C366" s="40"/>
      <c r="D366" s="40"/>
      <c r="E366" s="40"/>
      <c r="F366" s="40"/>
      <c r="G366" s="40"/>
      <c r="H366" s="40"/>
      <c r="I366" s="40"/>
      <c r="J366" s="40"/>
      <c r="K366" s="41"/>
    </row>
    <row r="367" spans="2:11" x14ac:dyDescent="0.2">
      <c r="B367" s="38"/>
      <c r="C367" s="179" t="s">
        <v>888</v>
      </c>
      <c r="D367" s="40"/>
      <c r="E367" s="40"/>
      <c r="F367" s="40"/>
      <c r="G367" s="40"/>
      <c r="H367" s="40"/>
      <c r="I367" s="40"/>
      <c r="J367" s="245" t="str">
        <f>IF(OR(J356="Not Calculated",J363="Not Calculated")=TRUE,"Not Calculated",AVERAGE(J356,J363))</f>
        <v>Not Calculated</v>
      </c>
      <c r="K367" s="41"/>
    </row>
    <row r="368" spans="2:11" x14ac:dyDescent="0.2">
      <c r="B368" s="38"/>
      <c r="C368" s="40"/>
      <c r="D368" s="40"/>
      <c r="E368" s="40"/>
      <c r="F368" s="40"/>
      <c r="G368" s="40"/>
      <c r="H368" s="40"/>
      <c r="I368" s="40"/>
      <c r="J368" s="40"/>
      <c r="K368" s="41"/>
    </row>
    <row r="369" spans="2:11" x14ac:dyDescent="0.2">
      <c r="B369" s="38"/>
      <c r="C369" s="40"/>
      <c r="D369" s="40"/>
      <c r="E369" s="40"/>
      <c r="F369" s="40"/>
      <c r="G369" s="40"/>
      <c r="H369" s="40"/>
      <c r="I369" s="40"/>
      <c r="J369" s="40"/>
      <c r="K369" s="41"/>
    </row>
    <row r="370" spans="2:11" ht="16" x14ac:dyDescent="0.2">
      <c r="B370" s="38"/>
      <c r="C370" s="45" t="s">
        <v>863</v>
      </c>
      <c r="D370" s="40"/>
      <c r="E370" s="40"/>
      <c r="F370" s="40"/>
      <c r="G370" s="40"/>
      <c r="H370" s="40"/>
      <c r="I370" s="40"/>
      <c r="J370" s="40"/>
      <c r="K370" s="41"/>
    </row>
    <row r="371" spans="2:11" ht="15" customHeight="1" x14ac:dyDescent="0.2">
      <c r="B371" s="38"/>
      <c r="C371" s="380" t="s">
        <v>848</v>
      </c>
      <c r="D371" s="380"/>
      <c r="E371" s="380"/>
      <c r="F371" s="380"/>
      <c r="G371" s="380"/>
      <c r="H371" s="380"/>
      <c r="I371" s="380"/>
      <c r="J371" s="181"/>
      <c r="K371" s="41"/>
    </row>
    <row r="372" spans="2:11" x14ac:dyDescent="0.2">
      <c r="B372" s="38"/>
      <c r="C372" s="380"/>
      <c r="D372" s="380"/>
      <c r="E372" s="380"/>
      <c r="F372" s="380"/>
      <c r="G372" s="380"/>
      <c r="H372" s="380"/>
      <c r="I372" s="380"/>
      <c r="J372" s="264"/>
      <c r="K372" s="41"/>
    </row>
    <row r="373" spans="2:11" x14ac:dyDescent="0.2">
      <c r="B373" s="38"/>
      <c r="C373" s="40" t="s">
        <v>853</v>
      </c>
      <c r="D373" s="291"/>
      <c r="E373" s="291"/>
      <c r="F373" s="291"/>
      <c r="G373" s="291"/>
      <c r="H373" s="291"/>
      <c r="I373" s="291"/>
      <c r="J373" s="255">
        <f>'Baseline Health'!$G$102</f>
        <v>0</v>
      </c>
      <c r="K373" s="41"/>
    </row>
    <row r="374" spans="2:11" x14ac:dyDescent="0.2">
      <c r="B374" s="38"/>
      <c r="C374" s="40" t="s">
        <v>842</v>
      </c>
      <c r="D374" s="291"/>
      <c r="E374" s="291"/>
      <c r="F374" s="291"/>
      <c r="G374" s="291"/>
      <c r="H374" s="291"/>
      <c r="I374" s="291"/>
      <c r="J374" s="244" t="str">
        <f>IF('Baseline Health'!$G$102=0,"Not Calculated",100*J372/'Baseline Health'!$G$102)</f>
        <v>Not Calculated</v>
      </c>
      <c r="K374" s="41"/>
    </row>
    <row r="375" spans="2:11" x14ac:dyDescent="0.2">
      <c r="B375" s="38"/>
      <c r="C375" s="40" t="s">
        <v>260</v>
      </c>
      <c r="D375" s="40"/>
      <c r="E375" s="40"/>
      <c r="F375" s="40"/>
      <c r="G375" s="40"/>
      <c r="H375" s="40"/>
      <c r="I375" s="40"/>
      <c r="J375" s="251">
        <f>IF(J374&lt;=0,0,IF(J374&lt;=1,1,IF(J374&lt;=5,2,IF(J374&lt;=10,3,4))))</f>
        <v>4</v>
      </c>
      <c r="K375" s="41"/>
    </row>
    <row r="376" spans="2:11" ht="9.75" customHeight="1" x14ac:dyDescent="0.2">
      <c r="B376" s="38"/>
      <c r="C376" s="279" t="str">
        <f>"0:"</f>
        <v>0:</v>
      </c>
      <c r="D376" s="278" t="s">
        <v>932</v>
      </c>
      <c r="E376" s="291"/>
      <c r="F376" s="291"/>
      <c r="G376" s="291"/>
      <c r="H376" s="291"/>
      <c r="I376" s="291"/>
      <c r="J376" s="244"/>
      <c r="K376" s="41"/>
    </row>
    <row r="377" spans="2:11" ht="9.75" customHeight="1" x14ac:dyDescent="0.2">
      <c r="B377" s="38"/>
      <c r="C377" s="280" t="str">
        <f>"1:"</f>
        <v>1:</v>
      </c>
      <c r="D377" s="278" t="s">
        <v>934</v>
      </c>
      <c r="E377" s="291"/>
      <c r="F377" s="291"/>
      <c r="G377" s="291"/>
      <c r="H377" s="291"/>
      <c r="I377" s="291"/>
      <c r="J377" s="244"/>
      <c r="K377" s="41"/>
    </row>
    <row r="378" spans="2:11" ht="9.75" customHeight="1" x14ac:dyDescent="0.2">
      <c r="B378" s="38"/>
      <c r="C378" s="280" t="str">
        <f>"2:"</f>
        <v>2:</v>
      </c>
      <c r="D378" s="278" t="s">
        <v>933</v>
      </c>
      <c r="E378" s="291"/>
      <c r="F378" s="291"/>
      <c r="G378" s="291"/>
      <c r="H378" s="291"/>
      <c r="I378" s="291"/>
      <c r="J378" s="244"/>
      <c r="K378" s="41"/>
    </row>
    <row r="379" spans="2:11" ht="9.75" customHeight="1" x14ac:dyDescent="0.2">
      <c r="B379" s="38"/>
      <c r="C379" s="280" t="str">
        <f>"3:"</f>
        <v>3:</v>
      </c>
      <c r="D379" s="278" t="s">
        <v>935</v>
      </c>
      <c r="E379" s="291"/>
      <c r="F379" s="291"/>
      <c r="G379" s="291"/>
      <c r="H379" s="291"/>
      <c r="I379" s="291"/>
      <c r="J379" s="244"/>
      <c r="K379" s="41"/>
    </row>
    <row r="380" spans="2:11" ht="9.75" customHeight="1" x14ac:dyDescent="0.2">
      <c r="B380" s="38"/>
      <c r="C380" s="280" t="str">
        <f>"4:"</f>
        <v>4:</v>
      </c>
      <c r="D380" s="278" t="s">
        <v>936</v>
      </c>
      <c r="E380" s="40"/>
      <c r="F380" s="40"/>
      <c r="G380" s="40"/>
      <c r="H380" s="40"/>
      <c r="I380" s="40"/>
      <c r="J380" s="40"/>
      <c r="K380" s="41"/>
    </row>
    <row r="381" spans="2:11" x14ac:dyDescent="0.2">
      <c r="B381" s="38"/>
      <c r="C381" s="40" t="s">
        <v>85</v>
      </c>
      <c r="D381" s="40"/>
      <c r="E381" s="40"/>
      <c r="F381" s="40"/>
      <c r="G381" s="40"/>
      <c r="H381" s="40"/>
      <c r="I381" s="40"/>
      <c r="J381" s="252">
        <f>'Baseline Health'!G114</f>
        <v>7</v>
      </c>
      <c r="K381" s="41"/>
    </row>
    <row r="382" spans="2:11" x14ac:dyDescent="0.2">
      <c r="B382" s="38"/>
      <c r="C382" s="40" t="s">
        <v>297</v>
      </c>
      <c r="D382" s="40"/>
      <c r="E382" s="40"/>
      <c r="F382" s="40"/>
      <c r="G382" s="40"/>
      <c r="H382" s="40"/>
      <c r="I382" s="40"/>
      <c r="J382" s="266"/>
      <c r="K382" s="41"/>
    </row>
    <row r="383" spans="2:11" x14ac:dyDescent="0.2">
      <c r="B383" s="38"/>
      <c r="C383" s="40" t="s">
        <v>261</v>
      </c>
      <c r="D383" s="40"/>
      <c r="E383" s="40"/>
      <c r="F383" s="40"/>
      <c r="G383" s="40"/>
      <c r="H383" s="40"/>
      <c r="I383" s="40"/>
      <c r="J383" s="248">
        <f>IF((J382-J381)&lt;1,0,IF((J382-J381)&lt;3,1,IF((J382-J381)&lt;5,2,IF((J382-J381)&lt;7,3,4))))</f>
        <v>0</v>
      </c>
      <c r="K383" s="41"/>
    </row>
    <row r="384" spans="2:11" x14ac:dyDescent="0.2">
      <c r="B384" s="38"/>
      <c r="C384" s="40" t="s">
        <v>893</v>
      </c>
      <c r="D384" s="40"/>
      <c r="E384" s="40"/>
      <c r="F384" s="40"/>
      <c r="G384" s="40"/>
      <c r="H384" s="40"/>
      <c r="I384" s="40"/>
      <c r="J384" s="40"/>
      <c r="K384" s="41"/>
    </row>
    <row r="385" spans="2:11" x14ac:dyDescent="0.2">
      <c r="B385" s="38"/>
      <c r="C385" s="399"/>
      <c r="D385" s="400"/>
      <c r="E385" s="400"/>
      <c r="F385" s="400"/>
      <c r="G385" s="400"/>
      <c r="H385" s="400"/>
      <c r="I385" s="400"/>
      <c r="J385" s="401"/>
      <c r="K385" s="41"/>
    </row>
    <row r="386" spans="2:11" x14ac:dyDescent="0.2">
      <c r="B386" s="38"/>
      <c r="C386" s="40"/>
      <c r="D386" s="40"/>
      <c r="E386" s="40"/>
      <c r="F386" s="40"/>
      <c r="G386" s="40"/>
      <c r="H386" s="40"/>
      <c r="I386" s="40"/>
      <c r="J386" s="40"/>
      <c r="K386" s="41"/>
    </row>
    <row r="387" spans="2:11" x14ac:dyDescent="0.2">
      <c r="B387" s="38"/>
      <c r="C387" s="179" t="s">
        <v>889</v>
      </c>
      <c r="D387" s="40"/>
      <c r="E387" s="40"/>
      <c r="F387" s="40"/>
      <c r="G387" s="40"/>
      <c r="H387" s="40"/>
      <c r="I387" s="40"/>
      <c r="J387" s="245">
        <f>IF(OR(J375="Not Calculated",J383="Not Calculated")=TRUE,"Not Calculated",AVERAGE(J375,J383))</f>
        <v>2</v>
      </c>
      <c r="K387" s="41"/>
    </row>
    <row r="388" spans="2:11" x14ac:dyDescent="0.2">
      <c r="B388" s="38"/>
      <c r="C388" s="40"/>
      <c r="D388" s="40"/>
      <c r="E388" s="40"/>
      <c r="F388" s="40"/>
      <c r="G388" s="40"/>
      <c r="H388" s="40"/>
      <c r="I388" s="40"/>
      <c r="J388" s="40"/>
      <c r="K388" s="41"/>
    </row>
    <row r="389" spans="2:11" x14ac:dyDescent="0.2">
      <c r="B389" s="38"/>
      <c r="C389" s="40"/>
      <c r="D389" s="40"/>
      <c r="E389" s="40"/>
      <c r="F389" s="40"/>
      <c r="G389" s="40"/>
      <c r="H389" s="40"/>
      <c r="I389" s="40"/>
      <c r="J389" s="40"/>
      <c r="K389" s="41"/>
    </row>
    <row r="390" spans="2:11" ht="16" x14ac:dyDescent="0.2">
      <c r="B390" s="38"/>
      <c r="C390" s="45" t="s">
        <v>860</v>
      </c>
      <c r="D390" s="40"/>
      <c r="E390" s="40"/>
      <c r="F390" s="40"/>
      <c r="G390" s="40"/>
      <c r="H390" s="40"/>
      <c r="I390" s="40"/>
      <c r="J390" s="40"/>
      <c r="K390" s="41"/>
    </row>
    <row r="391" spans="2:11" x14ac:dyDescent="0.2">
      <c r="B391" s="38"/>
      <c r="C391" s="380" t="s">
        <v>849</v>
      </c>
      <c r="D391" s="380"/>
      <c r="E391" s="380"/>
      <c r="F391" s="380"/>
      <c r="G391" s="380"/>
      <c r="H391" s="380"/>
      <c r="I391" s="380"/>
      <c r="J391" s="181"/>
      <c r="K391" s="41"/>
    </row>
    <row r="392" spans="2:11" x14ac:dyDescent="0.2">
      <c r="B392" s="38"/>
      <c r="C392" s="380"/>
      <c r="D392" s="380"/>
      <c r="E392" s="380"/>
      <c r="F392" s="380"/>
      <c r="G392" s="380"/>
      <c r="H392" s="380"/>
      <c r="I392" s="380"/>
      <c r="J392" s="264"/>
      <c r="K392" s="41"/>
    </row>
    <row r="393" spans="2:11" x14ac:dyDescent="0.2">
      <c r="B393" s="38"/>
      <c r="C393" s="40" t="s">
        <v>853</v>
      </c>
      <c r="D393" s="291"/>
      <c r="E393" s="291"/>
      <c r="F393" s="291"/>
      <c r="G393" s="291"/>
      <c r="H393" s="291"/>
      <c r="I393" s="291"/>
      <c r="J393" s="255">
        <f>'Baseline Health'!$G$102</f>
        <v>0</v>
      </c>
      <c r="K393" s="41"/>
    </row>
    <row r="394" spans="2:11" ht="15" customHeight="1" x14ac:dyDescent="0.2">
      <c r="B394" s="38"/>
      <c r="C394" s="40" t="s">
        <v>850</v>
      </c>
      <c r="D394" s="291"/>
      <c r="E394" s="291"/>
      <c r="F394" s="291"/>
      <c r="G394" s="291"/>
      <c r="H394" s="291"/>
      <c r="I394" s="291"/>
      <c r="J394" s="244" t="str">
        <f>IF('Baseline Health'!$G$102=0,"Not Calculated",100*J392/'Baseline Health'!$G$102)</f>
        <v>Not Calculated</v>
      </c>
      <c r="K394" s="41"/>
    </row>
    <row r="395" spans="2:11" ht="15" customHeight="1" x14ac:dyDescent="0.2">
      <c r="B395" s="38"/>
      <c r="C395" s="40" t="s">
        <v>260</v>
      </c>
      <c r="D395" s="40"/>
      <c r="E395" s="40"/>
      <c r="F395" s="40"/>
      <c r="G395" s="40"/>
      <c r="H395" s="40"/>
      <c r="I395" s="40"/>
      <c r="J395" s="43">
        <f>IF(J394&lt;=0,0,IF(J394&lt;=1,1,IF(J394&lt;=5,2,IF(J394&lt;=10,3,4))))</f>
        <v>4</v>
      </c>
      <c r="K395" s="41"/>
    </row>
    <row r="396" spans="2:11" ht="9.75" customHeight="1" x14ac:dyDescent="0.2">
      <c r="B396" s="38"/>
      <c r="C396" s="279" t="str">
        <f>"0:"</f>
        <v>0:</v>
      </c>
      <c r="D396" s="278" t="s">
        <v>932</v>
      </c>
      <c r="E396" s="291"/>
      <c r="F396" s="291"/>
      <c r="G396" s="291"/>
      <c r="H396" s="291"/>
      <c r="I396" s="291"/>
      <c r="J396" s="244"/>
      <c r="K396" s="41"/>
    </row>
    <row r="397" spans="2:11" ht="9.75" customHeight="1" x14ac:dyDescent="0.2">
      <c r="B397" s="38"/>
      <c r="C397" s="280" t="str">
        <f>"1:"</f>
        <v>1:</v>
      </c>
      <c r="D397" s="278" t="s">
        <v>934</v>
      </c>
      <c r="E397" s="291"/>
      <c r="F397" s="291"/>
      <c r="G397" s="291"/>
      <c r="H397" s="291"/>
      <c r="I397" s="291"/>
      <c r="J397" s="244"/>
      <c r="K397" s="41"/>
    </row>
    <row r="398" spans="2:11" ht="9.75" customHeight="1" x14ac:dyDescent="0.2">
      <c r="B398" s="38"/>
      <c r="C398" s="280" t="str">
        <f>"2:"</f>
        <v>2:</v>
      </c>
      <c r="D398" s="278" t="s">
        <v>933</v>
      </c>
      <c r="E398" s="291"/>
      <c r="F398" s="291"/>
      <c r="G398" s="291"/>
      <c r="H398" s="291"/>
      <c r="I398" s="291"/>
      <c r="J398" s="244"/>
      <c r="K398" s="41"/>
    </row>
    <row r="399" spans="2:11" ht="9.75" customHeight="1" x14ac:dyDescent="0.2">
      <c r="B399" s="38"/>
      <c r="C399" s="280" t="str">
        <f>"3:"</f>
        <v>3:</v>
      </c>
      <c r="D399" s="278" t="s">
        <v>935</v>
      </c>
      <c r="E399" s="291"/>
      <c r="F399" s="291"/>
      <c r="G399" s="291"/>
      <c r="H399" s="291"/>
      <c r="I399" s="291"/>
      <c r="J399" s="244"/>
      <c r="K399" s="41"/>
    </row>
    <row r="400" spans="2:11" ht="9.75" customHeight="1" x14ac:dyDescent="0.2">
      <c r="B400" s="38"/>
      <c r="C400" s="280" t="str">
        <f>"4:"</f>
        <v>4:</v>
      </c>
      <c r="D400" s="278" t="s">
        <v>936</v>
      </c>
      <c r="E400" s="40"/>
      <c r="F400" s="40"/>
      <c r="G400" s="40"/>
      <c r="H400" s="40"/>
      <c r="I400" s="40"/>
      <c r="J400" s="40"/>
      <c r="K400" s="41"/>
    </row>
    <row r="401" spans="2:11" x14ac:dyDescent="0.2">
      <c r="B401" s="38"/>
      <c r="C401" s="40" t="s">
        <v>893</v>
      </c>
      <c r="D401" s="40"/>
      <c r="E401" s="40"/>
      <c r="F401" s="40"/>
      <c r="G401" s="40"/>
      <c r="H401" s="40"/>
      <c r="I401" s="40"/>
      <c r="J401" s="40"/>
      <c r="K401" s="41"/>
    </row>
    <row r="402" spans="2:11" ht="15" customHeight="1" x14ac:dyDescent="0.2">
      <c r="B402" s="38"/>
      <c r="C402" s="399"/>
      <c r="D402" s="400"/>
      <c r="E402" s="400"/>
      <c r="F402" s="400"/>
      <c r="G402" s="400"/>
      <c r="H402" s="400"/>
      <c r="I402" s="400"/>
      <c r="J402" s="401"/>
      <c r="K402" s="41"/>
    </row>
    <row r="403" spans="2:11" x14ac:dyDescent="0.2">
      <c r="B403" s="38"/>
      <c r="C403" s="40"/>
      <c r="D403" s="40"/>
      <c r="E403" s="40"/>
      <c r="F403" s="40"/>
      <c r="G403" s="40"/>
      <c r="H403" s="40"/>
      <c r="I403" s="40"/>
      <c r="J403" s="40"/>
      <c r="K403" s="41"/>
    </row>
    <row r="404" spans="2:11" x14ac:dyDescent="0.2">
      <c r="B404" s="38"/>
      <c r="C404" s="179" t="s">
        <v>890</v>
      </c>
      <c r="D404" s="40"/>
      <c r="E404" s="40"/>
      <c r="F404" s="40"/>
      <c r="G404" s="40"/>
      <c r="H404" s="40"/>
      <c r="I404" s="40"/>
      <c r="J404" s="245">
        <f>J395</f>
        <v>4</v>
      </c>
      <c r="K404" s="41"/>
    </row>
    <row r="405" spans="2:11" x14ac:dyDescent="0.2">
      <c r="B405" s="38"/>
      <c r="C405" s="40"/>
      <c r="D405" s="40"/>
      <c r="E405" s="40"/>
      <c r="F405" s="40"/>
      <c r="G405" s="40"/>
      <c r="H405" s="40"/>
      <c r="I405" s="40"/>
      <c r="J405" s="40"/>
      <c r="K405" s="41"/>
    </row>
    <row r="406" spans="2:11" x14ac:dyDescent="0.2">
      <c r="B406" s="38"/>
      <c r="C406" s="40"/>
      <c r="D406" s="40"/>
      <c r="E406" s="40"/>
      <c r="F406" s="40"/>
      <c r="G406" s="40"/>
      <c r="H406" s="40"/>
      <c r="I406" s="40"/>
      <c r="J406" s="40"/>
      <c r="K406" s="41"/>
    </row>
    <row r="407" spans="2:11" ht="16" x14ac:dyDescent="0.2">
      <c r="B407" s="38"/>
      <c r="C407" s="45" t="s">
        <v>861</v>
      </c>
      <c r="D407" s="40"/>
      <c r="E407" s="40"/>
      <c r="F407" s="40"/>
      <c r="G407" s="40"/>
      <c r="H407" s="40"/>
      <c r="I407" s="40"/>
      <c r="J407" s="40"/>
      <c r="K407" s="41"/>
    </row>
    <row r="408" spans="2:11" x14ac:dyDescent="0.2">
      <c r="B408" s="38"/>
      <c r="C408" s="40" t="s">
        <v>298</v>
      </c>
      <c r="D408" s="40"/>
      <c r="E408" s="40"/>
      <c r="F408" s="40"/>
      <c r="G408" s="40"/>
      <c r="H408" s="40"/>
      <c r="I408" s="40"/>
      <c r="J408" s="269"/>
      <c r="K408" s="41"/>
    </row>
    <row r="409" spans="2:11" x14ac:dyDescent="0.2">
      <c r="B409" s="38"/>
      <c r="C409" s="40" t="s">
        <v>260</v>
      </c>
      <c r="D409" s="40"/>
      <c r="E409" s="40"/>
      <c r="F409" s="40"/>
      <c r="G409" s="40"/>
      <c r="H409" s="40"/>
      <c r="I409" s="40"/>
      <c r="J409" s="253">
        <f>IF(J408&lt;=0,0,IF(J408&lt;=(J161*0.01),1,IF(J408&lt;=(J161*0.05),2,IF(J408&lt;=(J161*0.1),3,4))))</f>
        <v>0</v>
      </c>
      <c r="K409" s="41"/>
    </row>
    <row r="410" spans="2:11" ht="9.75" customHeight="1" x14ac:dyDescent="0.2">
      <c r="B410" s="38"/>
      <c r="C410" s="279" t="str">
        <f>"0:"</f>
        <v>0:</v>
      </c>
      <c r="D410" s="278" t="s">
        <v>939</v>
      </c>
      <c r="E410" s="40"/>
      <c r="F410" s="40"/>
      <c r="G410" s="40"/>
      <c r="H410" s="40"/>
      <c r="I410" s="40"/>
      <c r="J410" s="282"/>
      <c r="K410" s="41"/>
    </row>
    <row r="411" spans="2:11" ht="9.75" customHeight="1" x14ac:dyDescent="0.2">
      <c r="B411" s="38"/>
      <c r="C411" s="280" t="str">
        <f>"1:"</f>
        <v>1:</v>
      </c>
      <c r="D411" s="278" t="s">
        <v>940</v>
      </c>
      <c r="E411" s="40"/>
      <c r="F411" s="40"/>
      <c r="G411" s="40"/>
      <c r="H411" s="40"/>
      <c r="I411" s="40"/>
      <c r="J411" s="282"/>
      <c r="K411" s="41"/>
    </row>
    <row r="412" spans="2:11" ht="9.75" customHeight="1" x14ac:dyDescent="0.2">
      <c r="B412" s="38"/>
      <c r="C412" s="280" t="str">
        <f>"2:"</f>
        <v>2:</v>
      </c>
      <c r="D412" s="278" t="s">
        <v>941</v>
      </c>
      <c r="E412" s="40"/>
      <c r="F412" s="40"/>
      <c r="G412" s="40"/>
      <c r="H412" s="40"/>
      <c r="I412" s="40"/>
      <c r="J412" s="282"/>
      <c r="K412" s="41"/>
    </row>
    <row r="413" spans="2:11" ht="9.75" customHeight="1" x14ac:dyDescent="0.2">
      <c r="B413" s="38"/>
      <c r="C413" s="280" t="str">
        <f>"3:"</f>
        <v>3:</v>
      </c>
      <c r="D413" s="278" t="s">
        <v>942</v>
      </c>
      <c r="E413" s="40"/>
      <c r="F413" s="40"/>
      <c r="G413" s="40"/>
      <c r="H413" s="40"/>
      <c r="I413" s="40"/>
      <c r="J413" s="282"/>
      <c r="K413" s="41"/>
    </row>
    <row r="414" spans="2:11" ht="9.75" customHeight="1" x14ac:dyDescent="0.2">
      <c r="B414" s="38"/>
      <c r="C414" s="280" t="str">
        <f>"4:"</f>
        <v>4:</v>
      </c>
      <c r="D414" s="278" t="s">
        <v>943</v>
      </c>
      <c r="E414" s="40"/>
      <c r="F414" s="40"/>
      <c r="G414" s="40"/>
      <c r="H414" s="40"/>
      <c r="I414" s="40"/>
      <c r="J414" s="40"/>
      <c r="K414" s="41"/>
    </row>
    <row r="415" spans="2:11" x14ac:dyDescent="0.2">
      <c r="B415" s="38"/>
      <c r="C415" s="40" t="s">
        <v>893</v>
      </c>
      <c r="D415" s="40"/>
      <c r="E415" s="40"/>
      <c r="F415" s="40"/>
      <c r="G415" s="40"/>
      <c r="H415" s="40"/>
      <c r="I415" s="40"/>
      <c r="J415" s="40"/>
      <c r="K415" s="41"/>
    </row>
    <row r="416" spans="2:11" ht="15" customHeight="1" x14ac:dyDescent="0.2">
      <c r="B416" s="38"/>
      <c r="C416" s="399"/>
      <c r="D416" s="400"/>
      <c r="E416" s="400"/>
      <c r="F416" s="400"/>
      <c r="G416" s="400"/>
      <c r="H416" s="400"/>
      <c r="I416" s="400"/>
      <c r="J416" s="401"/>
      <c r="K416" s="41"/>
    </row>
    <row r="417" spans="2:11" x14ac:dyDescent="0.2">
      <c r="B417" s="38"/>
      <c r="C417" s="40"/>
      <c r="D417" s="40"/>
      <c r="E417" s="40"/>
      <c r="F417" s="40"/>
      <c r="G417" s="40"/>
      <c r="H417" s="40"/>
      <c r="I417" s="40"/>
      <c r="J417" s="40"/>
      <c r="K417" s="41"/>
    </row>
    <row r="418" spans="2:11" x14ac:dyDescent="0.2">
      <c r="B418" s="38"/>
      <c r="C418" s="179" t="s">
        <v>891</v>
      </c>
      <c r="D418" s="40"/>
      <c r="E418" s="40"/>
      <c r="F418" s="40"/>
      <c r="G418" s="40"/>
      <c r="H418" s="40"/>
      <c r="I418" s="40"/>
      <c r="J418" s="245">
        <f>J409</f>
        <v>0</v>
      </c>
      <c r="K418" s="41"/>
    </row>
    <row r="419" spans="2:11" x14ac:dyDescent="0.2">
      <c r="B419" s="38"/>
      <c r="C419" s="40"/>
      <c r="D419" s="40"/>
      <c r="E419" s="40"/>
      <c r="F419" s="40"/>
      <c r="G419" s="40"/>
      <c r="H419" s="40"/>
      <c r="I419" s="40"/>
      <c r="J419" s="40"/>
      <c r="K419" s="41"/>
    </row>
    <row r="420" spans="2:11" x14ac:dyDescent="0.2">
      <c r="B420" s="38"/>
      <c r="C420" s="410" t="s">
        <v>881</v>
      </c>
      <c r="D420" s="410"/>
      <c r="E420" s="410"/>
      <c r="F420" s="410"/>
      <c r="G420" s="410"/>
      <c r="H420" s="410"/>
      <c r="I420" s="410"/>
      <c r="J420" s="40"/>
      <c r="K420" s="41"/>
    </row>
    <row r="421" spans="2:11" x14ac:dyDescent="0.2">
      <c r="B421" s="38"/>
      <c r="C421" s="410"/>
      <c r="D421" s="410"/>
      <c r="E421" s="410"/>
      <c r="F421" s="410"/>
      <c r="G421" s="410"/>
      <c r="H421" s="410"/>
      <c r="I421" s="410"/>
      <c r="J421" s="244" t="str">
        <f>IF(OR(J288="Not Calculated",J307="Not Calculated",J326="Not Calculated",J349="Not Calculated",J367="Not Calculated",J387="Not Calculated",J404="Not Calculated",J418="Not Calculated")=TRUE,"Not Calculated",AVERAGE(J288,J307,J326,J349,J367,J387,J404,J418))</f>
        <v>Not Calculated</v>
      </c>
      <c r="K421" s="41"/>
    </row>
    <row r="422" spans="2:11" ht="16" thickBot="1" x14ac:dyDescent="0.25">
      <c r="B422" s="46"/>
      <c r="C422" s="47"/>
      <c r="D422" s="47"/>
      <c r="E422" s="47"/>
      <c r="F422" s="47"/>
      <c r="G422" s="47"/>
      <c r="H422" s="47"/>
      <c r="I422" s="47"/>
      <c r="J422" s="47"/>
      <c r="K422" s="49"/>
    </row>
    <row r="423" spans="2:11" ht="16" thickBot="1" x14ac:dyDescent="0.25"/>
    <row r="424" spans="2:11" x14ac:dyDescent="0.2">
      <c r="B424" s="33"/>
      <c r="C424" s="34"/>
      <c r="D424" s="34"/>
      <c r="E424" s="34"/>
      <c r="F424" s="34"/>
      <c r="G424" s="34"/>
      <c r="H424" s="34"/>
      <c r="I424" s="34"/>
      <c r="J424" s="34"/>
      <c r="K424" s="37"/>
    </row>
    <row r="425" spans="2:11" ht="21" x14ac:dyDescent="0.25">
      <c r="B425" s="38"/>
      <c r="C425" s="40"/>
      <c r="D425" s="40"/>
      <c r="E425" s="40"/>
      <c r="F425" s="40"/>
      <c r="G425" s="172" t="s">
        <v>230</v>
      </c>
      <c r="H425" s="40"/>
      <c r="I425" s="40"/>
      <c r="J425" s="40"/>
      <c r="K425" s="41"/>
    </row>
    <row r="426" spans="2:11" x14ac:dyDescent="0.2">
      <c r="B426" s="38"/>
      <c r="C426" s="40"/>
      <c r="D426" s="40"/>
      <c r="E426" s="40"/>
      <c r="F426" s="40"/>
      <c r="G426" s="40"/>
      <c r="H426" s="40"/>
      <c r="I426" s="40"/>
      <c r="J426" s="40"/>
      <c r="K426" s="41"/>
    </row>
    <row r="427" spans="2:11" ht="16" x14ac:dyDescent="0.2">
      <c r="B427" s="38"/>
      <c r="C427" s="45" t="s">
        <v>299</v>
      </c>
      <c r="D427" s="40"/>
      <c r="E427" s="40"/>
      <c r="F427" s="40"/>
      <c r="G427" s="40"/>
      <c r="H427" s="40"/>
      <c r="I427" s="40"/>
      <c r="J427" s="40"/>
      <c r="K427" s="41"/>
    </row>
    <row r="428" spans="2:11" x14ac:dyDescent="0.2">
      <c r="B428" s="38"/>
      <c r="C428" s="40" t="s">
        <v>300</v>
      </c>
      <c r="D428" s="40"/>
      <c r="E428" s="40"/>
      <c r="F428" s="40"/>
      <c r="G428" s="40"/>
      <c r="H428" s="40"/>
      <c r="I428" s="40"/>
      <c r="J428" s="270"/>
      <c r="K428" s="41"/>
    </row>
    <row r="429" spans="2:11" x14ac:dyDescent="0.2">
      <c r="B429" s="38"/>
      <c r="C429" s="40" t="s">
        <v>260</v>
      </c>
      <c r="D429" s="40"/>
      <c r="E429" s="40"/>
      <c r="F429" s="40"/>
      <c r="G429" s="40"/>
      <c r="H429" s="40"/>
      <c r="I429" s="40"/>
      <c r="J429" s="248">
        <f>IF(J428&lt;=0,0,IF(J428&lt;=1,1,IF(J428&lt;=5,2,IF(J428&lt;=10,3,4))))</f>
        <v>0</v>
      </c>
      <c r="K429" s="41"/>
    </row>
    <row r="430" spans="2:11" s="98" customFormat="1" ht="9.75" customHeight="1" x14ac:dyDescent="0.2">
      <c r="B430" s="288"/>
      <c r="C430" s="279" t="str">
        <f>"0:"</f>
        <v>0:</v>
      </c>
      <c r="D430" s="290" t="s">
        <v>944</v>
      </c>
      <c r="E430" s="245"/>
      <c r="F430" s="245"/>
      <c r="G430" s="245"/>
      <c r="H430" s="245"/>
      <c r="I430" s="245"/>
      <c r="J430" s="245"/>
      <c r="K430" s="289"/>
    </row>
    <row r="431" spans="2:11" s="98" customFormat="1" ht="9.75" customHeight="1" x14ac:dyDescent="0.2">
      <c r="B431" s="288"/>
      <c r="C431" s="280" t="str">
        <f>"1:"</f>
        <v>1:</v>
      </c>
      <c r="D431" s="290" t="s">
        <v>945</v>
      </c>
      <c r="E431" s="245"/>
      <c r="F431" s="245"/>
      <c r="G431" s="245"/>
      <c r="H431" s="245"/>
      <c r="I431" s="245"/>
      <c r="J431" s="245"/>
      <c r="K431" s="289"/>
    </row>
    <row r="432" spans="2:11" s="98" customFormat="1" ht="9.75" customHeight="1" x14ac:dyDescent="0.2">
      <c r="B432" s="288"/>
      <c r="C432" s="280" t="str">
        <f>"2:"</f>
        <v>2:</v>
      </c>
      <c r="D432" s="290" t="s">
        <v>946</v>
      </c>
      <c r="E432" s="245"/>
      <c r="F432" s="245"/>
      <c r="G432" s="245"/>
      <c r="H432" s="245"/>
      <c r="I432" s="245"/>
      <c r="J432" s="245"/>
      <c r="K432" s="289"/>
    </row>
    <row r="433" spans="2:11" s="98" customFormat="1" ht="9.75" customHeight="1" x14ac:dyDescent="0.2">
      <c r="B433" s="288"/>
      <c r="C433" s="280" t="str">
        <f>"3:"</f>
        <v>3:</v>
      </c>
      <c r="D433" s="290" t="s">
        <v>947</v>
      </c>
      <c r="E433" s="245"/>
      <c r="F433" s="245"/>
      <c r="G433" s="245"/>
      <c r="H433" s="245"/>
      <c r="I433" s="245"/>
      <c r="J433" s="245"/>
      <c r="K433" s="289"/>
    </row>
    <row r="434" spans="2:11" s="98" customFormat="1" ht="9.75" customHeight="1" x14ac:dyDescent="0.2">
      <c r="B434" s="288"/>
      <c r="C434" s="280" t="str">
        <f>"4:"</f>
        <v>4:</v>
      </c>
      <c r="D434" s="290" t="s">
        <v>948</v>
      </c>
      <c r="E434" s="245"/>
      <c r="F434" s="245"/>
      <c r="G434" s="245"/>
      <c r="H434" s="245"/>
      <c r="I434" s="245"/>
      <c r="J434" s="247"/>
      <c r="K434" s="289"/>
    </row>
    <row r="435" spans="2:11" x14ac:dyDescent="0.2">
      <c r="B435" s="38"/>
      <c r="C435" s="40" t="s">
        <v>257</v>
      </c>
      <c r="D435" s="40"/>
      <c r="E435" s="40"/>
      <c r="F435" s="40"/>
      <c r="G435" s="40"/>
      <c r="H435" s="40"/>
      <c r="I435" s="40"/>
      <c r="J435" s="266"/>
      <c r="K435" s="41"/>
    </row>
    <row r="436" spans="2:11" x14ac:dyDescent="0.2">
      <c r="B436" s="38"/>
      <c r="C436" s="40" t="s">
        <v>261</v>
      </c>
      <c r="D436" s="40"/>
      <c r="E436" s="40"/>
      <c r="F436" s="40"/>
      <c r="G436" s="40"/>
      <c r="H436" s="40"/>
      <c r="I436" s="40"/>
      <c r="J436" s="245" t="str">
        <f>IF(J435=$B$973,$A$973,IF(J435=$B$974,$A$974,IF(J435=$B$975,$A$975,IF(J435=$B$976,$A$976,IF(J435=$B$977,$A$977,"Not Calculated")))))</f>
        <v>Not Calculated</v>
      </c>
      <c r="K436" s="41"/>
    </row>
    <row r="437" spans="2:11" x14ac:dyDescent="0.2">
      <c r="B437" s="38"/>
      <c r="C437" s="40" t="s">
        <v>893</v>
      </c>
      <c r="D437" s="40"/>
      <c r="E437" s="40"/>
      <c r="F437" s="40"/>
      <c r="G437" s="40"/>
      <c r="H437" s="40"/>
      <c r="I437" s="40"/>
      <c r="J437" s="40"/>
      <c r="K437" s="41"/>
    </row>
    <row r="438" spans="2:11" x14ac:dyDescent="0.2">
      <c r="B438" s="38"/>
      <c r="C438" s="399"/>
      <c r="D438" s="400"/>
      <c r="E438" s="400"/>
      <c r="F438" s="400"/>
      <c r="G438" s="400"/>
      <c r="H438" s="400"/>
      <c r="I438" s="400"/>
      <c r="J438" s="401"/>
      <c r="K438" s="41"/>
    </row>
    <row r="439" spans="2:11" x14ac:dyDescent="0.2">
      <c r="B439" s="38"/>
      <c r="C439" s="40"/>
      <c r="D439" s="40"/>
      <c r="E439" s="40"/>
      <c r="F439" s="40"/>
      <c r="G439" s="40"/>
      <c r="H439" s="40"/>
      <c r="I439" s="40"/>
      <c r="J439" s="40"/>
      <c r="K439" s="41"/>
    </row>
    <row r="440" spans="2:11" x14ac:dyDescent="0.2">
      <c r="B440" s="38"/>
      <c r="C440" s="179" t="s">
        <v>301</v>
      </c>
      <c r="D440" s="40"/>
      <c r="E440" s="40"/>
      <c r="F440" s="40"/>
      <c r="G440" s="40"/>
      <c r="H440" s="40"/>
      <c r="I440" s="40"/>
      <c r="J440" s="245" t="str">
        <f>IF(OR(J429="Not Calculated",J436="Not Calculated")=TRUE,"Not Calculated",AVERAGE(J429,J436))</f>
        <v>Not Calculated</v>
      </c>
      <c r="K440" s="41"/>
    </row>
    <row r="441" spans="2:11" x14ac:dyDescent="0.2">
      <c r="B441" s="38"/>
      <c r="C441" s="40"/>
      <c r="D441" s="40"/>
      <c r="E441" s="40"/>
      <c r="F441" s="40"/>
      <c r="G441" s="40"/>
      <c r="H441" s="40"/>
      <c r="I441" s="40"/>
      <c r="J441" s="40"/>
      <c r="K441" s="41"/>
    </row>
    <row r="442" spans="2:11" x14ac:dyDescent="0.2">
      <c r="B442" s="38"/>
      <c r="C442" s="40"/>
      <c r="D442" s="40"/>
      <c r="E442" s="40"/>
      <c r="F442" s="40"/>
      <c r="G442" s="40"/>
      <c r="H442" s="40"/>
      <c r="I442" s="40"/>
      <c r="J442" s="40"/>
      <c r="K442" s="41"/>
    </row>
    <row r="443" spans="2:11" ht="16" x14ac:dyDescent="0.2">
      <c r="B443" s="38"/>
      <c r="C443" s="45" t="s">
        <v>303</v>
      </c>
      <c r="D443" s="40"/>
      <c r="E443" s="40"/>
      <c r="F443" s="40"/>
      <c r="G443" s="40"/>
      <c r="H443" s="40"/>
      <c r="I443" s="40"/>
      <c r="J443" s="40"/>
      <c r="K443" s="41"/>
    </row>
    <row r="444" spans="2:11" ht="15" customHeight="1" x14ac:dyDescent="0.2">
      <c r="B444" s="38"/>
      <c r="C444" s="380" t="s">
        <v>305</v>
      </c>
      <c r="D444" s="380"/>
      <c r="E444" s="380"/>
      <c r="F444" s="380"/>
      <c r="G444" s="380"/>
      <c r="H444" s="380"/>
      <c r="I444" s="380"/>
      <c r="J444" s="40"/>
      <c r="K444" s="41"/>
    </row>
    <row r="445" spans="2:11" x14ac:dyDescent="0.2">
      <c r="B445" s="38"/>
      <c r="C445" s="380"/>
      <c r="D445" s="380"/>
      <c r="E445" s="380"/>
      <c r="F445" s="380"/>
      <c r="G445" s="380"/>
      <c r="H445" s="380"/>
      <c r="I445" s="380"/>
      <c r="J445" s="270"/>
      <c r="K445" s="41"/>
    </row>
    <row r="446" spans="2:11" x14ac:dyDescent="0.2">
      <c r="B446" s="38"/>
      <c r="C446" s="40" t="s">
        <v>260</v>
      </c>
      <c r="D446" s="40"/>
      <c r="E446" s="40"/>
      <c r="F446" s="40"/>
      <c r="G446" s="40"/>
      <c r="H446" s="40"/>
      <c r="I446" s="40"/>
      <c r="J446" s="248">
        <f>IF(J445&lt;=0,0,IF(J445&lt;=1,1,IF(J445&lt;=5,2,IF(J445&lt;=10,3,4))))</f>
        <v>0</v>
      </c>
      <c r="K446" s="41"/>
    </row>
    <row r="447" spans="2:11" ht="9.75" customHeight="1" x14ac:dyDescent="0.2">
      <c r="B447" s="38"/>
      <c r="C447" s="279" t="str">
        <f>"0:"</f>
        <v>0:</v>
      </c>
      <c r="D447" s="278" t="s">
        <v>944</v>
      </c>
      <c r="E447" s="40"/>
      <c r="F447" s="40"/>
      <c r="G447" s="40"/>
      <c r="H447" s="40"/>
      <c r="I447" s="40"/>
      <c r="J447" s="245"/>
      <c r="K447" s="41"/>
    </row>
    <row r="448" spans="2:11" ht="9.75" customHeight="1" x14ac:dyDescent="0.2">
      <c r="B448" s="38"/>
      <c r="C448" s="280" t="str">
        <f>"1:"</f>
        <v>1:</v>
      </c>
      <c r="D448" s="278" t="s">
        <v>945</v>
      </c>
      <c r="E448" s="40"/>
      <c r="F448" s="40"/>
      <c r="G448" s="40"/>
      <c r="H448" s="40"/>
      <c r="I448" s="40"/>
      <c r="J448" s="245"/>
      <c r="K448" s="41"/>
    </row>
    <row r="449" spans="2:11" ht="9.75" customHeight="1" x14ac:dyDescent="0.2">
      <c r="B449" s="38"/>
      <c r="C449" s="280" t="str">
        <f>"2:"</f>
        <v>2:</v>
      </c>
      <c r="D449" s="278" t="s">
        <v>946</v>
      </c>
      <c r="E449" s="40"/>
      <c r="F449" s="40"/>
      <c r="G449" s="40"/>
      <c r="H449" s="40"/>
      <c r="I449" s="40"/>
      <c r="J449" s="245"/>
      <c r="K449" s="41"/>
    </row>
    <row r="450" spans="2:11" ht="9.75" customHeight="1" x14ac:dyDescent="0.2">
      <c r="B450" s="38"/>
      <c r="C450" s="280" t="str">
        <f>"3:"</f>
        <v>3:</v>
      </c>
      <c r="D450" s="278" t="s">
        <v>947</v>
      </c>
      <c r="E450" s="40"/>
      <c r="F450" s="40"/>
      <c r="G450" s="40"/>
      <c r="H450" s="40"/>
      <c r="I450" s="40"/>
      <c r="J450" s="245"/>
      <c r="K450" s="41"/>
    </row>
    <row r="451" spans="2:11" ht="9.75" customHeight="1" x14ac:dyDescent="0.2">
      <c r="B451" s="38"/>
      <c r="C451" s="280" t="str">
        <f>"4:"</f>
        <v>4:</v>
      </c>
      <c r="D451" s="278" t="s">
        <v>948</v>
      </c>
      <c r="E451" s="40"/>
      <c r="F451" s="40"/>
      <c r="G451" s="40"/>
      <c r="H451" s="40"/>
      <c r="I451" s="40"/>
      <c r="J451" s="247"/>
      <c r="K451" s="41"/>
    </row>
    <row r="452" spans="2:11" x14ac:dyDescent="0.2">
      <c r="B452" s="38"/>
      <c r="C452" s="40" t="s">
        <v>257</v>
      </c>
      <c r="D452" s="40"/>
      <c r="E452" s="40"/>
      <c r="F452" s="40"/>
      <c r="G452" s="40"/>
      <c r="H452" s="40"/>
      <c r="I452" s="40"/>
      <c r="J452" s="266"/>
      <c r="K452" s="41"/>
    </row>
    <row r="453" spans="2:11" x14ac:dyDescent="0.2">
      <c r="B453" s="38"/>
      <c r="C453" s="40" t="s">
        <v>261</v>
      </c>
      <c r="D453" s="40"/>
      <c r="E453" s="40"/>
      <c r="F453" s="40"/>
      <c r="G453" s="40"/>
      <c r="H453" s="40"/>
      <c r="I453" s="40"/>
      <c r="J453" s="245" t="str">
        <f>IF(J452=$B$973,$A$973,IF(J452=$B$974,$A$974,IF(J452=$B$975,$A$975,IF(J452=$B$976,$A$976,IF(J452=$B$977,$A$977,"Not Calculated")))))</f>
        <v>Not Calculated</v>
      </c>
      <c r="K453" s="41"/>
    </row>
    <row r="454" spans="2:11" x14ac:dyDescent="0.2">
      <c r="B454" s="38"/>
      <c r="C454" s="40" t="s">
        <v>893</v>
      </c>
      <c r="D454" s="40"/>
      <c r="E454" s="40"/>
      <c r="F454" s="40"/>
      <c r="G454" s="40"/>
      <c r="H454" s="40"/>
      <c r="I454" s="40"/>
      <c r="J454" s="40"/>
      <c r="K454" s="41"/>
    </row>
    <row r="455" spans="2:11" ht="15" customHeight="1" x14ac:dyDescent="0.2">
      <c r="B455" s="38"/>
      <c r="C455" s="399"/>
      <c r="D455" s="400"/>
      <c r="E455" s="400"/>
      <c r="F455" s="400"/>
      <c r="G455" s="400"/>
      <c r="H455" s="400"/>
      <c r="I455" s="400"/>
      <c r="J455" s="401"/>
      <c r="K455" s="41"/>
    </row>
    <row r="456" spans="2:11" x14ac:dyDescent="0.2">
      <c r="B456" s="38"/>
      <c r="C456" s="40"/>
      <c r="D456" s="40"/>
      <c r="E456" s="40"/>
      <c r="F456" s="40"/>
      <c r="G456" s="40"/>
      <c r="H456" s="40"/>
      <c r="I456" s="40"/>
      <c r="J456" s="40"/>
      <c r="K456" s="41"/>
    </row>
    <row r="457" spans="2:11" x14ac:dyDescent="0.2">
      <c r="B457" s="38"/>
      <c r="C457" s="179" t="s">
        <v>304</v>
      </c>
      <c r="D457" s="40"/>
      <c r="E457" s="40"/>
      <c r="F457" s="40"/>
      <c r="G457" s="40"/>
      <c r="H457" s="40"/>
      <c r="I457" s="40"/>
      <c r="J457" s="245" t="str">
        <f>IF(OR(J446="Not Calculated",J453="Not Calculated")=TRUE,"Not Calculated",AVERAGE(J446,J453))</f>
        <v>Not Calculated</v>
      </c>
      <c r="K457" s="41"/>
    </row>
    <row r="458" spans="2:11" x14ac:dyDescent="0.2">
      <c r="B458" s="38"/>
      <c r="C458" s="40"/>
      <c r="D458" s="40"/>
      <c r="E458" s="40"/>
      <c r="F458" s="40"/>
      <c r="G458" s="40"/>
      <c r="H458" s="40"/>
      <c r="I458" s="40"/>
      <c r="J458" s="40"/>
      <c r="K458" s="41"/>
    </row>
    <row r="459" spans="2:11" x14ac:dyDescent="0.2">
      <c r="B459" s="38"/>
      <c r="C459" s="40"/>
      <c r="D459" s="40"/>
      <c r="E459" s="40"/>
      <c r="F459" s="40"/>
      <c r="G459" s="40"/>
      <c r="H459" s="40"/>
      <c r="I459" s="40"/>
      <c r="J459" s="40"/>
      <c r="K459" s="41"/>
    </row>
    <row r="460" spans="2:11" ht="16" x14ac:dyDescent="0.2">
      <c r="B460" s="38"/>
      <c r="C460" s="45" t="s">
        <v>306</v>
      </c>
      <c r="D460" s="40"/>
      <c r="E460" s="40"/>
      <c r="F460" s="40"/>
      <c r="G460" s="40"/>
      <c r="H460" s="40"/>
      <c r="I460" s="40"/>
      <c r="J460" s="40"/>
      <c r="K460" s="41"/>
    </row>
    <row r="461" spans="2:11" x14ac:dyDescent="0.2">
      <c r="B461" s="38"/>
      <c r="C461" s="40" t="s">
        <v>949</v>
      </c>
      <c r="D461" s="40"/>
      <c r="E461" s="40"/>
      <c r="F461" s="40"/>
      <c r="G461" s="40"/>
      <c r="H461" s="40"/>
      <c r="I461" s="40"/>
      <c r="J461" s="270"/>
      <c r="K461" s="41"/>
    </row>
    <row r="462" spans="2:11" x14ac:dyDescent="0.2">
      <c r="B462" s="38"/>
      <c r="C462" s="40" t="s">
        <v>260</v>
      </c>
      <c r="D462" s="40"/>
      <c r="E462" s="40"/>
      <c r="F462" s="40"/>
      <c r="G462" s="40"/>
      <c r="H462" s="40"/>
      <c r="I462" s="40"/>
      <c r="J462" s="248">
        <f>IF(J461&lt;=0,0,IF(J461&lt;=1,1,IF(J461&lt;=5,2,IF(J461&lt;=10,3,4))))</f>
        <v>0</v>
      </c>
      <c r="K462" s="41"/>
    </row>
    <row r="463" spans="2:11" ht="9.75" customHeight="1" x14ac:dyDescent="0.2">
      <c r="B463" s="38"/>
      <c r="C463" s="279" t="str">
        <f>"0:"</f>
        <v>0:</v>
      </c>
      <c r="D463" s="290" t="s">
        <v>944</v>
      </c>
      <c r="E463" s="40"/>
      <c r="F463" s="40"/>
      <c r="G463" s="40"/>
      <c r="H463" s="40"/>
      <c r="I463" s="40"/>
      <c r="J463" s="245"/>
      <c r="K463" s="41"/>
    </row>
    <row r="464" spans="2:11" ht="9.75" customHeight="1" x14ac:dyDescent="0.2">
      <c r="B464" s="38"/>
      <c r="C464" s="280" t="str">
        <f>"1:"</f>
        <v>1:</v>
      </c>
      <c r="D464" s="290" t="s">
        <v>945</v>
      </c>
      <c r="E464" s="40"/>
      <c r="F464" s="40"/>
      <c r="G464" s="40"/>
      <c r="H464" s="40"/>
      <c r="I464" s="40"/>
      <c r="J464" s="245"/>
      <c r="K464" s="41"/>
    </row>
    <row r="465" spans="2:11" ht="9.75" customHeight="1" x14ac:dyDescent="0.2">
      <c r="B465" s="38"/>
      <c r="C465" s="280" t="str">
        <f>"2:"</f>
        <v>2:</v>
      </c>
      <c r="D465" s="290" t="s">
        <v>946</v>
      </c>
      <c r="E465" s="40"/>
      <c r="F465" s="40"/>
      <c r="G465" s="40"/>
      <c r="H465" s="40"/>
      <c r="I465" s="40"/>
      <c r="J465" s="245"/>
      <c r="K465" s="41"/>
    </row>
    <row r="466" spans="2:11" ht="9.75" customHeight="1" x14ac:dyDescent="0.2">
      <c r="B466" s="38"/>
      <c r="C466" s="280" t="str">
        <f>"3:"</f>
        <v>3:</v>
      </c>
      <c r="D466" s="290" t="s">
        <v>947</v>
      </c>
      <c r="E466" s="40"/>
      <c r="F466" s="40"/>
      <c r="G466" s="40"/>
      <c r="H466" s="40"/>
      <c r="I466" s="40"/>
      <c r="J466" s="245"/>
      <c r="K466" s="41"/>
    </row>
    <row r="467" spans="2:11" ht="9.75" customHeight="1" x14ac:dyDescent="0.2">
      <c r="B467" s="38"/>
      <c r="C467" s="280" t="str">
        <f>"4:"</f>
        <v>4:</v>
      </c>
      <c r="D467" s="290" t="s">
        <v>948</v>
      </c>
      <c r="E467" s="40"/>
      <c r="F467" s="40"/>
      <c r="G467" s="40"/>
      <c r="H467" s="40"/>
      <c r="I467" s="40"/>
      <c r="J467" s="247"/>
      <c r="K467" s="41"/>
    </row>
    <row r="468" spans="2:11" x14ac:dyDescent="0.2">
      <c r="B468" s="38"/>
      <c r="C468" s="40" t="s">
        <v>257</v>
      </c>
      <c r="D468" s="40"/>
      <c r="E468" s="40"/>
      <c r="F468" s="40"/>
      <c r="G468" s="40"/>
      <c r="H468" s="40"/>
      <c r="I468" s="40"/>
      <c r="J468" s="266"/>
      <c r="K468" s="41"/>
    </row>
    <row r="469" spans="2:11" ht="15" customHeight="1" x14ac:dyDescent="0.2">
      <c r="B469" s="38"/>
      <c r="C469" s="40" t="s">
        <v>261</v>
      </c>
      <c r="D469" s="40"/>
      <c r="E469" s="40"/>
      <c r="F469" s="40"/>
      <c r="G469" s="40"/>
      <c r="H469" s="40"/>
      <c r="I469" s="40"/>
      <c r="J469" s="245" t="str">
        <f>IF(J468=$B$973,$A$973,IF(J468=$B$974,$A$974,IF(J468=$B$975,$A$975,IF(J468=$B$976,$A$976,IF(J468=$B$977,$A$977,"Not Calculated")))))</f>
        <v>Not Calculated</v>
      </c>
      <c r="K469" s="41"/>
    </row>
    <row r="470" spans="2:11" x14ac:dyDescent="0.2">
      <c r="B470" s="38"/>
      <c r="C470" s="40" t="s">
        <v>893</v>
      </c>
      <c r="D470" s="40"/>
      <c r="E470" s="40"/>
      <c r="F470" s="40"/>
      <c r="G470" s="40"/>
      <c r="H470" s="40"/>
      <c r="I470" s="40"/>
      <c r="J470" s="40"/>
      <c r="K470" s="41"/>
    </row>
    <row r="471" spans="2:11" x14ac:dyDescent="0.2">
      <c r="B471" s="38"/>
      <c r="C471" s="399"/>
      <c r="D471" s="400"/>
      <c r="E471" s="400"/>
      <c r="F471" s="400"/>
      <c r="G471" s="400"/>
      <c r="H471" s="400"/>
      <c r="I471" s="400"/>
      <c r="J471" s="401"/>
      <c r="K471" s="41"/>
    </row>
    <row r="472" spans="2:11" x14ac:dyDescent="0.2">
      <c r="B472" s="38"/>
      <c r="C472" s="40"/>
      <c r="D472" s="40"/>
      <c r="E472" s="40"/>
      <c r="F472" s="40"/>
      <c r="G472" s="40"/>
      <c r="H472" s="40"/>
      <c r="I472" s="40"/>
      <c r="J472" s="40"/>
      <c r="K472" s="41"/>
    </row>
    <row r="473" spans="2:11" x14ac:dyDescent="0.2">
      <c r="B473" s="38"/>
      <c r="C473" s="179" t="s">
        <v>307</v>
      </c>
      <c r="D473" s="40"/>
      <c r="E473" s="40"/>
      <c r="F473" s="40"/>
      <c r="G473" s="40"/>
      <c r="H473" s="40"/>
      <c r="I473" s="40"/>
      <c r="J473" s="245" t="str">
        <f>IF(OR(J462="Not Calculated",J469="Not Calculated")=TRUE,"Not Calculated",AVERAGE(J462,J469))</f>
        <v>Not Calculated</v>
      </c>
      <c r="K473" s="41"/>
    </row>
    <row r="474" spans="2:11" x14ac:dyDescent="0.2">
      <c r="B474" s="38"/>
      <c r="C474" s="40"/>
      <c r="D474" s="40"/>
      <c r="E474" s="40"/>
      <c r="F474" s="40"/>
      <c r="G474" s="40"/>
      <c r="H474" s="40"/>
      <c r="I474" s="40"/>
      <c r="J474" s="40"/>
      <c r="K474" s="41"/>
    </row>
    <row r="475" spans="2:11" x14ac:dyDescent="0.2">
      <c r="B475" s="38"/>
      <c r="C475" s="40"/>
      <c r="D475" s="40"/>
      <c r="E475" s="40"/>
      <c r="F475" s="40"/>
      <c r="G475" s="40"/>
      <c r="H475" s="40"/>
      <c r="I475" s="40"/>
      <c r="J475" s="40"/>
      <c r="K475" s="41"/>
    </row>
    <row r="476" spans="2:11" ht="16" x14ac:dyDescent="0.2">
      <c r="B476" s="38"/>
      <c r="C476" s="45" t="s">
        <v>308</v>
      </c>
      <c r="D476" s="40"/>
      <c r="E476" s="40"/>
      <c r="F476" s="40"/>
      <c r="G476" s="40"/>
      <c r="H476" s="40"/>
      <c r="I476" s="40"/>
      <c r="J476" s="40"/>
      <c r="K476" s="41"/>
    </row>
    <row r="477" spans="2:11" ht="15" customHeight="1" x14ac:dyDescent="0.2">
      <c r="B477" s="38"/>
      <c r="C477" s="380" t="s">
        <v>310</v>
      </c>
      <c r="D477" s="380"/>
      <c r="E477" s="380"/>
      <c r="F477" s="380"/>
      <c r="G477" s="380"/>
      <c r="H477" s="380"/>
      <c r="I477" s="380"/>
      <c r="J477" s="40"/>
      <c r="K477" s="41"/>
    </row>
    <row r="478" spans="2:11" x14ac:dyDescent="0.2">
      <c r="B478" s="38"/>
      <c r="C478" s="380"/>
      <c r="D478" s="380"/>
      <c r="E478" s="380"/>
      <c r="F478" s="380"/>
      <c r="G478" s="380"/>
      <c r="H478" s="380"/>
      <c r="I478" s="380"/>
      <c r="J478" s="131"/>
      <c r="K478" s="41"/>
    </row>
    <row r="479" spans="2:11" x14ac:dyDescent="0.2">
      <c r="B479" s="38"/>
      <c r="C479" s="40" t="s">
        <v>261</v>
      </c>
      <c r="D479" s="40"/>
      <c r="E479" s="40"/>
      <c r="F479" s="40"/>
      <c r="G479" s="40"/>
      <c r="H479" s="40"/>
      <c r="I479" s="40"/>
      <c r="J479" s="245">
        <f>IF(J478&lt;=0,0,IF(J478&lt;=1,1,IF(J478&lt;=7,2,IF(J478&lt;=14,3,4))))</f>
        <v>0</v>
      </c>
      <c r="K479" s="41"/>
    </row>
    <row r="480" spans="2:11" s="51" customFormat="1" ht="9.75" customHeight="1" x14ac:dyDescent="0.2">
      <c r="B480" s="283"/>
      <c r="C480" s="279" t="str">
        <f>"0:"</f>
        <v>0:</v>
      </c>
      <c r="D480" s="284" t="s">
        <v>950</v>
      </c>
      <c r="E480" s="285"/>
      <c r="F480" s="285"/>
      <c r="G480" s="285"/>
      <c r="H480" s="285"/>
      <c r="I480" s="285"/>
      <c r="J480" s="43"/>
      <c r="K480" s="286"/>
    </row>
    <row r="481" spans="2:11" s="51" customFormat="1" ht="9.75" customHeight="1" x14ac:dyDescent="0.2">
      <c r="B481" s="283"/>
      <c r="C481" s="280" t="str">
        <f>"1:"</f>
        <v>1:</v>
      </c>
      <c r="D481" s="284" t="s">
        <v>951</v>
      </c>
      <c r="E481" s="285"/>
      <c r="F481" s="285"/>
      <c r="G481" s="285"/>
      <c r="H481" s="285"/>
      <c r="I481" s="285"/>
      <c r="J481" s="43"/>
      <c r="K481" s="286"/>
    </row>
    <row r="482" spans="2:11" s="51" customFormat="1" ht="9.75" customHeight="1" x14ac:dyDescent="0.2">
      <c r="B482" s="283"/>
      <c r="C482" s="280" t="str">
        <f>"2:"</f>
        <v>2:</v>
      </c>
      <c r="D482" s="284" t="s">
        <v>952</v>
      </c>
      <c r="E482" s="285"/>
      <c r="F482" s="285"/>
      <c r="G482" s="285"/>
      <c r="H482" s="285"/>
      <c r="I482" s="285"/>
      <c r="J482" s="43"/>
      <c r="K482" s="286"/>
    </row>
    <row r="483" spans="2:11" s="51" customFormat="1" ht="9.75" customHeight="1" x14ac:dyDescent="0.2">
      <c r="B483" s="283"/>
      <c r="C483" s="280" t="str">
        <f>"3:"</f>
        <v>3:</v>
      </c>
      <c r="D483" s="284" t="s">
        <v>953</v>
      </c>
      <c r="E483" s="285"/>
      <c r="F483" s="285"/>
      <c r="G483" s="285"/>
      <c r="H483" s="285"/>
      <c r="I483" s="285"/>
      <c r="J483" s="43"/>
      <c r="K483" s="286"/>
    </row>
    <row r="484" spans="2:11" s="51" customFormat="1" ht="9.75" customHeight="1" x14ac:dyDescent="0.2">
      <c r="B484" s="283"/>
      <c r="C484" s="280" t="str">
        <f>"4:"</f>
        <v>4:</v>
      </c>
      <c r="D484" s="284" t="s">
        <v>954</v>
      </c>
      <c r="E484" s="285"/>
      <c r="F484" s="285"/>
      <c r="G484" s="285"/>
      <c r="H484" s="285"/>
      <c r="I484" s="285"/>
      <c r="J484" s="43"/>
      <c r="K484" s="286"/>
    </row>
    <row r="485" spans="2:11" x14ac:dyDescent="0.2">
      <c r="B485" s="38"/>
      <c r="C485" s="40" t="s">
        <v>893</v>
      </c>
      <c r="D485" s="40"/>
      <c r="E485" s="40"/>
      <c r="F485" s="40"/>
      <c r="G485" s="40"/>
      <c r="H485" s="40"/>
      <c r="I485" s="40"/>
      <c r="J485" s="40"/>
      <c r="K485" s="41"/>
    </row>
    <row r="486" spans="2:11" x14ac:dyDescent="0.2">
      <c r="B486" s="38"/>
      <c r="C486" s="399"/>
      <c r="D486" s="400"/>
      <c r="E486" s="400"/>
      <c r="F486" s="400"/>
      <c r="G486" s="400"/>
      <c r="H486" s="400"/>
      <c r="I486" s="400"/>
      <c r="J486" s="401"/>
      <c r="K486" s="41"/>
    </row>
    <row r="487" spans="2:11" x14ac:dyDescent="0.2">
      <c r="B487" s="38"/>
      <c r="C487" s="40"/>
      <c r="D487" s="40"/>
      <c r="E487" s="40"/>
      <c r="F487" s="40"/>
      <c r="G487" s="40"/>
      <c r="H487" s="40"/>
      <c r="I487" s="40"/>
      <c r="J487" s="40"/>
      <c r="K487" s="41"/>
    </row>
    <row r="488" spans="2:11" x14ac:dyDescent="0.2">
      <c r="B488" s="38"/>
      <c r="C488" s="179" t="s">
        <v>309</v>
      </c>
      <c r="D488" s="40"/>
      <c r="E488" s="40"/>
      <c r="F488" s="40"/>
      <c r="G488" s="40"/>
      <c r="H488" s="40"/>
      <c r="I488" s="40"/>
      <c r="J488" s="245">
        <f>J479</f>
        <v>0</v>
      </c>
      <c r="K488" s="41"/>
    </row>
    <row r="489" spans="2:11" x14ac:dyDescent="0.2">
      <c r="B489" s="38"/>
      <c r="C489" s="40"/>
      <c r="D489" s="40"/>
      <c r="E489" s="40"/>
      <c r="F489" s="40"/>
      <c r="G489" s="40"/>
      <c r="H489" s="40"/>
      <c r="I489" s="40"/>
      <c r="J489" s="40"/>
      <c r="K489" s="41"/>
    </row>
    <row r="490" spans="2:11" x14ac:dyDescent="0.2">
      <c r="B490" s="38"/>
      <c r="C490" s="40"/>
      <c r="D490" s="40"/>
      <c r="E490" s="40"/>
      <c r="F490" s="40"/>
      <c r="G490" s="40"/>
      <c r="H490" s="40"/>
      <c r="I490" s="40"/>
      <c r="J490" s="40"/>
      <c r="K490" s="41"/>
    </row>
    <row r="491" spans="2:11" ht="16" x14ac:dyDescent="0.2">
      <c r="B491" s="38"/>
      <c r="C491" s="45" t="s">
        <v>311</v>
      </c>
      <c r="D491" s="40"/>
      <c r="E491" s="40"/>
      <c r="F491" s="40"/>
      <c r="G491" s="40"/>
      <c r="H491" s="40"/>
      <c r="I491" s="40"/>
      <c r="J491" s="40"/>
      <c r="K491" s="41"/>
    </row>
    <row r="492" spans="2:11" x14ac:dyDescent="0.2">
      <c r="B492" s="38"/>
      <c r="C492" s="40" t="s">
        <v>312</v>
      </c>
      <c r="D492" s="40"/>
      <c r="E492" s="40"/>
      <c r="F492" s="40"/>
      <c r="G492" s="40"/>
      <c r="H492" s="40"/>
      <c r="I492" s="40"/>
      <c r="J492" s="270"/>
      <c r="K492" s="41"/>
    </row>
    <row r="493" spans="2:11" x14ac:dyDescent="0.2">
      <c r="B493" s="38"/>
      <c r="C493" s="40" t="s">
        <v>260</v>
      </c>
      <c r="D493" s="40"/>
      <c r="E493" s="40"/>
      <c r="F493" s="40"/>
      <c r="G493" s="40"/>
      <c r="H493" s="40"/>
      <c r="I493" s="40"/>
      <c r="J493" s="248">
        <f>IF(J492&lt;=0,0,IF(J492&lt;=1,1,IF(J492&lt;=5,2,IF(J492&lt;=10,3,4))))</f>
        <v>0</v>
      </c>
      <c r="K493" s="41"/>
    </row>
    <row r="494" spans="2:11" ht="9.75" customHeight="1" x14ac:dyDescent="0.2">
      <c r="B494" s="38"/>
      <c r="C494" s="279" t="str">
        <f>"0:"</f>
        <v>0:</v>
      </c>
      <c r="D494" s="290" t="s">
        <v>955</v>
      </c>
      <c r="E494" s="40"/>
      <c r="F494" s="40"/>
      <c r="G494" s="40"/>
      <c r="H494" s="40"/>
      <c r="I494" s="40"/>
      <c r="J494" s="245"/>
      <c r="K494" s="41"/>
    </row>
    <row r="495" spans="2:11" ht="9.75" customHeight="1" x14ac:dyDescent="0.2">
      <c r="B495" s="38"/>
      <c r="C495" s="280" t="str">
        <f>"1:"</f>
        <v>1:</v>
      </c>
      <c r="D495" s="290" t="s">
        <v>956</v>
      </c>
      <c r="E495" s="40"/>
      <c r="F495" s="40"/>
      <c r="G495" s="40"/>
      <c r="H495" s="40"/>
      <c r="I495" s="40"/>
      <c r="J495" s="245"/>
      <c r="K495" s="41"/>
    </row>
    <row r="496" spans="2:11" ht="9.75" customHeight="1" x14ac:dyDescent="0.2">
      <c r="B496" s="38"/>
      <c r="C496" s="280" t="str">
        <f>"2:"</f>
        <v>2:</v>
      </c>
      <c r="D496" s="290" t="s">
        <v>957</v>
      </c>
      <c r="E496" s="40"/>
      <c r="F496" s="40"/>
      <c r="G496" s="40"/>
      <c r="H496" s="40"/>
      <c r="I496" s="40"/>
      <c r="J496" s="245"/>
      <c r="K496" s="41"/>
    </row>
    <row r="497" spans="2:11" ht="9.75" customHeight="1" x14ac:dyDescent="0.2">
      <c r="B497" s="38"/>
      <c r="C497" s="280" t="str">
        <f>"3:"</f>
        <v>3:</v>
      </c>
      <c r="D497" s="290" t="s">
        <v>958</v>
      </c>
      <c r="E497" s="40"/>
      <c r="F497" s="40"/>
      <c r="G497" s="40"/>
      <c r="H497" s="40"/>
      <c r="I497" s="40"/>
      <c r="J497" s="245"/>
      <c r="K497" s="41"/>
    </row>
    <row r="498" spans="2:11" ht="9.75" customHeight="1" x14ac:dyDescent="0.2">
      <c r="B498" s="38"/>
      <c r="C498" s="280" t="str">
        <f>"4:"</f>
        <v>4:</v>
      </c>
      <c r="D498" s="290" t="s">
        <v>959</v>
      </c>
      <c r="E498" s="40"/>
      <c r="F498" s="40"/>
      <c r="G498" s="40"/>
      <c r="H498" s="40"/>
      <c r="I498" s="40"/>
      <c r="J498" s="247"/>
      <c r="K498" s="41"/>
    </row>
    <row r="499" spans="2:11" x14ac:dyDescent="0.2">
      <c r="B499" s="38"/>
      <c r="C499" s="40" t="s">
        <v>313</v>
      </c>
      <c r="D499" s="40"/>
      <c r="E499" s="40"/>
      <c r="F499" s="40"/>
      <c r="G499" s="40"/>
      <c r="H499" s="40"/>
      <c r="I499" s="40"/>
      <c r="J499" s="266"/>
      <c r="K499" s="41"/>
    </row>
    <row r="500" spans="2:11" x14ac:dyDescent="0.2">
      <c r="B500" s="38"/>
      <c r="C500" s="40" t="s">
        <v>261</v>
      </c>
      <c r="D500" s="40"/>
      <c r="E500" s="40"/>
      <c r="F500" s="40"/>
      <c r="G500" s="40"/>
      <c r="H500" s="40"/>
      <c r="I500" s="40"/>
      <c r="J500" s="245" t="str">
        <f>IF(J499=$B$973,$A$973,IF(J499=$B$974,$A$974,IF(J499=$B$975,$A$975,IF(J499=$B$976,$A$976,IF(J499=$B$977,$A$977,"Not Calculated")))))</f>
        <v>Not Calculated</v>
      </c>
      <c r="K500" s="41"/>
    </row>
    <row r="501" spans="2:11" x14ac:dyDescent="0.2">
      <c r="B501" s="38"/>
      <c r="C501" s="40" t="s">
        <v>893</v>
      </c>
      <c r="D501" s="40"/>
      <c r="E501" s="40"/>
      <c r="F501" s="40"/>
      <c r="G501" s="40"/>
      <c r="H501" s="40"/>
      <c r="I501" s="40"/>
      <c r="J501" s="40"/>
      <c r="K501" s="41"/>
    </row>
    <row r="502" spans="2:11" x14ac:dyDescent="0.2">
      <c r="B502" s="38"/>
      <c r="C502" s="399"/>
      <c r="D502" s="400"/>
      <c r="E502" s="400"/>
      <c r="F502" s="400"/>
      <c r="G502" s="400"/>
      <c r="H502" s="400"/>
      <c r="I502" s="400"/>
      <c r="J502" s="401"/>
      <c r="K502" s="41"/>
    </row>
    <row r="503" spans="2:11" x14ac:dyDescent="0.2">
      <c r="B503" s="38"/>
      <c r="C503" s="40"/>
      <c r="D503" s="40"/>
      <c r="E503" s="40"/>
      <c r="F503" s="40"/>
      <c r="G503" s="40"/>
      <c r="H503" s="40"/>
      <c r="I503" s="40"/>
      <c r="J503" s="40"/>
      <c r="K503" s="41"/>
    </row>
    <row r="504" spans="2:11" x14ac:dyDescent="0.2">
      <c r="B504" s="38"/>
      <c r="C504" s="179" t="s">
        <v>321</v>
      </c>
      <c r="D504" s="40"/>
      <c r="E504" s="40"/>
      <c r="F504" s="40"/>
      <c r="G504" s="40"/>
      <c r="H504" s="40"/>
      <c r="I504" s="40"/>
      <c r="J504" s="245" t="str">
        <f>IF(OR(J493="Not Calculated",J500="Not Calculated")=TRUE,"Not Calculated",AVERAGE(J493,J500))</f>
        <v>Not Calculated</v>
      </c>
      <c r="K504" s="41"/>
    </row>
    <row r="505" spans="2:11" x14ac:dyDescent="0.2">
      <c r="B505" s="38"/>
      <c r="C505" s="40"/>
      <c r="D505" s="40"/>
      <c r="E505" s="40"/>
      <c r="F505" s="40"/>
      <c r="G505" s="40"/>
      <c r="H505" s="40"/>
      <c r="I505" s="40"/>
      <c r="J505" s="40"/>
      <c r="K505" s="41"/>
    </row>
    <row r="506" spans="2:11" x14ac:dyDescent="0.2">
      <c r="B506" s="38"/>
      <c r="C506" s="40"/>
      <c r="D506" s="40"/>
      <c r="E506" s="40"/>
      <c r="F506" s="40"/>
      <c r="G506" s="40"/>
      <c r="H506" s="40"/>
      <c r="I506" s="40"/>
      <c r="J506" s="40"/>
      <c r="K506" s="41"/>
    </row>
    <row r="507" spans="2:11" ht="16" x14ac:dyDescent="0.2">
      <c r="B507" s="38"/>
      <c r="C507" s="45" t="s">
        <v>314</v>
      </c>
      <c r="D507" s="40"/>
      <c r="E507" s="40"/>
      <c r="F507" s="40"/>
      <c r="G507" s="40"/>
      <c r="H507" s="40"/>
      <c r="I507" s="40"/>
      <c r="J507" s="40"/>
      <c r="K507" s="41"/>
    </row>
    <row r="508" spans="2:11" x14ac:dyDescent="0.2">
      <c r="B508" s="38"/>
      <c r="C508" s="40" t="s">
        <v>316</v>
      </c>
      <c r="D508" s="40"/>
      <c r="E508" s="40"/>
      <c r="F508" s="40"/>
      <c r="G508" s="40"/>
      <c r="H508" s="40"/>
      <c r="I508" s="40"/>
      <c r="J508" s="269"/>
      <c r="K508" s="41"/>
    </row>
    <row r="509" spans="2:11" x14ac:dyDescent="0.2">
      <c r="B509" s="38"/>
      <c r="C509" s="40" t="s">
        <v>260</v>
      </c>
      <c r="D509" s="40"/>
      <c r="E509" s="40"/>
      <c r="F509" s="40"/>
      <c r="G509" s="40"/>
      <c r="H509" s="40"/>
      <c r="I509" s="40"/>
      <c r="J509" s="248">
        <f>IF(J508&lt;=0,0,IF(J508&lt;=1000,1,IF(J508&lt;=5000,2,IF(J508&lt;=25000,3,4))))</f>
        <v>0</v>
      </c>
      <c r="K509" s="41"/>
    </row>
    <row r="510" spans="2:11" s="51" customFormat="1" ht="9.75" customHeight="1" x14ac:dyDescent="0.2">
      <c r="B510" s="283"/>
      <c r="C510" s="279" t="str">
        <f>"0:"</f>
        <v>0:</v>
      </c>
      <c r="D510" s="284" t="s">
        <v>960</v>
      </c>
      <c r="E510" s="285"/>
      <c r="F510" s="285"/>
      <c r="G510" s="285"/>
      <c r="H510" s="285"/>
      <c r="I510" s="285"/>
      <c r="J510" s="43"/>
      <c r="K510" s="286"/>
    </row>
    <row r="511" spans="2:11" s="51" customFormat="1" ht="9.75" customHeight="1" x14ac:dyDescent="0.2">
      <c r="B511" s="283"/>
      <c r="C511" s="280" t="str">
        <f>"1:"</f>
        <v>1:</v>
      </c>
      <c r="D511" s="284" t="s">
        <v>961</v>
      </c>
      <c r="E511" s="285"/>
      <c r="F511" s="285"/>
      <c r="G511" s="285"/>
      <c r="H511" s="285"/>
      <c r="I511" s="285"/>
      <c r="J511" s="43"/>
      <c r="K511" s="286"/>
    </row>
    <row r="512" spans="2:11" s="51" customFormat="1" ht="9.75" customHeight="1" x14ac:dyDescent="0.2">
      <c r="B512" s="283"/>
      <c r="C512" s="280" t="str">
        <f>"2:"</f>
        <v>2:</v>
      </c>
      <c r="D512" s="284" t="s">
        <v>962</v>
      </c>
      <c r="E512" s="285"/>
      <c r="F512" s="285"/>
      <c r="G512" s="285"/>
      <c r="H512" s="285"/>
      <c r="I512" s="285"/>
      <c r="J512" s="43"/>
      <c r="K512" s="286"/>
    </row>
    <row r="513" spans="2:11" s="51" customFormat="1" ht="9.75" customHeight="1" x14ac:dyDescent="0.2">
      <c r="B513" s="283"/>
      <c r="C513" s="280" t="str">
        <f>"3:"</f>
        <v>3:</v>
      </c>
      <c r="D513" s="284" t="s">
        <v>963</v>
      </c>
      <c r="E513" s="285"/>
      <c r="F513" s="285"/>
      <c r="G513" s="285"/>
      <c r="H513" s="285"/>
      <c r="I513" s="285"/>
      <c r="J513" s="43"/>
      <c r="K513" s="286"/>
    </row>
    <row r="514" spans="2:11" s="51" customFormat="1" ht="9.75" customHeight="1" x14ac:dyDescent="0.2">
      <c r="B514" s="283"/>
      <c r="C514" s="280" t="str">
        <f>"4:"</f>
        <v>4:</v>
      </c>
      <c r="D514" s="284" t="s">
        <v>964</v>
      </c>
      <c r="E514" s="285"/>
      <c r="F514" s="285"/>
      <c r="G514" s="285"/>
      <c r="H514" s="285"/>
      <c r="I514" s="285"/>
      <c r="J514" s="287"/>
      <c r="K514" s="286"/>
    </row>
    <row r="515" spans="2:11" x14ac:dyDescent="0.2">
      <c r="B515" s="38"/>
      <c r="C515" s="40" t="s">
        <v>315</v>
      </c>
      <c r="D515" s="40"/>
      <c r="E515" s="40"/>
      <c r="F515" s="40"/>
      <c r="G515" s="40"/>
      <c r="H515" s="40"/>
      <c r="I515" s="40"/>
      <c r="J515" s="266"/>
      <c r="K515" s="41"/>
    </row>
    <row r="516" spans="2:11" x14ac:dyDescent="0.2">
      <c r="B516" s="38"/>
      <c r="C516" s="40" t="s">
        <v>261</v>
      </c>
      <c r="D516" s="40"/>
      <c r="E516" s="40"/>
      <c r="F516" s="40"/>
      <c r="G516" s="40"/>
      <c r="H516" s="40"/>
      <c r="I516" s="40"/>
      <c r="J516" s="245" t="str">
        <f>IF(J515=$B$973,$A$973,IF(J515=$B$974,$A$974,IF(J515=$B$975,$A$975,IF(J515=$B$976,$A$976,IF(J515=$B$977,$A$977,"Not Calculated")))))</f>
        <v>Not Calculated</v>
      </c>
      <c r="K516" s="41"/>
    </row>
    <row r="517" spans="2:11" x14ac:dyDescent="0.2">
      <c r="B517" s="38"/>
      <c r="C517" s="40" t="s">
        <v>893</v>
      </c>
      <c r="D517" s="40"/>
      <c r="E517" s="40"/>
      <c r="F517" s="40"/>
      <c r="G517" s="40"/>
      <c r="H517" s="40"/>
      <c r="I517" s="40"/>
      <c r="J517" s="40"/>
      <c r="K517" s="41"/>
    </row>
    <row r="518" spans="2:11" ht="15" customHeight="1" x14ac:dyDescent="0.2">
      <c r="B518" s="38"/>
      <c r="C518" s="399"/>
      <c r="D518" s="400"/>
      <c r="E518" s="400"/>
      <c r="F518" s="400"/>
      <c r="G518" s="400"/>
      <c r="H518" s="400"/>
      <c r="I518" s="400"/>
      <c r="J518" s="401"/>
      <c r="K518" s="41"/>
    </row>
    <row r="519" spans="2:11" x14ac:dyDescent="0.2">
      <c r="B519" s="38"/>
      <c r="C519" s="40"/>
      <c r="D519" s="40"/>
      <c r="E519" s="40"/>
      <c r="F519" s="40"/>
      <c r="G519" s="40"/>
      <c r="H519" s="40"/>
      <c r="I519" s="40"/>
      <c r="J519" s="40"/>
      <c r="K519" s="41"/>
    </row>
    <row r="520" spans="2:11" x14ac:dyDescent="0.2">
      <c r="B520" s="38"/>
      <c r="C520" s="179" t="s">
        <v>320</v>
      </c>
      <c r="D520" s="40"/>
      <c r="E520" s="40"/>
      <c r="F520" s="40"/>
      <c r="G520" s="40"/>
      <c r="H520" s="40"/>
      <c r="I520" s="40"/>
      <c r="J520" s="245" t="str">
        <f>IF(OR(J509="Not Calculated",J516="Not Calculated")=TRUE,"Not Calculated",AVERAGE(J509,J516))</f>
        <v>Not Calculated</v>
      </c>
      <c r="K520" s="41"/>
    </row>
    <row r="521" spans="2:11" x14ac:dyDescent="0.2">
      <c r="B521" s="38"/>
      <c r="C521" s="40"/>
      <c r="D521" s="40"/>
      <c r="E521" s="40"/>
      <c r="F521" s="40"/>
      <c r="G521" s="40"/>
      <c r="H521" s="40"/>
      <c r="I521" s="40"/>
      <c r="J521" s="40"/>
      <c r="K521" s="41"/>
    </row>
    <row r="522" spans="2:11" x14ac:dyDescent="0.2">
      <c r="B522" s="38"/>
      <c r="C522" s="40"/>
      <c r="D522" s="40"/>
      <c r="E522" s="40"/>
      <c r="F522" s="40"/>
      <c r="G522" s="40"/>
      <c r="H522" s="40"/>
      <c r="I522" s="40"/>
      <c r="J522" s="40"/>
      <c r="K522" s="41"/>
    </row>
    <row r="523" spans="2:11" ht="16" x14ac:dyDescent="0.2">
      <c r="B523" s="38"/>
      <c r="C523" s="45" t="s">
        <v>317</v>
      </c>
      <c r="D523" s="40"/>
      <c r="E523" s="40"/>
      <c r="F523" s="40"/>
      <c r="G523" s="40"/>
      <c r="H523" s="40"/>
      <c r="I523" s="40"/>
      <c r="J523" s="40"/>
      <c r="K523" s="41"/>
    </row>
    <row r="524" spans="2:11" ht="15" customHeight="1" x14ac:dyDescent="0.2">
      <c r="B524" s="38"/>
      <c r="C524" s="380" t="s">
        <v>318</v>
      </c>
      <c r="D524" s="380"/>
      <c r="E524" s="380"/>
      <c r="F524" s="380"/>
      <c r="G524" s="380"/>
      <c r="H524" s="380"/>
      <c r="I524" s="380"/>
      <c r="J524" s="40"/>
      <c r="K524" s="41"/>
    </row>
    <row r="525" spans="2:11" x14ac:dyDescent="0.2">
      <c r="B525" s="38"/>
      <c r="C525" s="380"/>
      <c r="D525" s="380"/>
      <c r="E525" s="380"/>
      <c r="F525" s="380"/>
      <c r="G525" s="380"/>
      <c r="H525" s="380"/>
      <c r="I525" s="380"/>
      <c r="J525" s="274"/>
      <c r="K525" s="41"/>
    </row>
    <row r="526" spans="2:11" x14ac:dyDescent="0.2">
      <c r="B526" s="38"/>
      <c r="C526" s="40" t="s">
        <v>260</v>
      </c>
      <c r="D526" s="40"/>
      <c r="E526" s="40"/>
      <c r="F526" s="40"/>
      <c r="G526" s="40"/>
      <c r="H526" s="40"/>
      <c r="I526" s="40"/>
      <c r="J526" s="248">
        <f>IF(J525&lt;=0,0,IF(J525&lt;=1,1,IF(J525&lt;=5,2,IF(J525&lt;=10,3,4))))</f>
        <v>0</v>
      </c>
      <c r="K526" s="41"/>
    </row>
    <row r="527" spans="2:11" s="51" customFormat="1" ht="9.75" customHeight="1" x14ac:dyDescent="0.2">
      <c r="B527" s="283"/>
      <c r="C527" s="279" t="str">
        <f>"0:"</f>
        <v>0:</v>
      </c>
      <c r="D527" s="284" t="s">
        <v>965</v>
      </c>
      <c r="E527" s="285"/>
      <c r="F527" s="285"/>
      <c r="G527" s="285"/>
      <c r="H527" s="285"/>
      <c r="I527" s="285"/>
      <c r="J527" s="43"/>
      <c r="K527" s="286"/>
    </row>
    <row r="528" spans="2:11" s="51" customFormat="1" ht="9.75" customHeight="1" x14ac:dyDescent="0.2">
      <c r="B528" s="283"/>
      <c r="C528" s="280" t="str">
        <f>"1:"</f>
        <v>1:</v>
      </c>
      <c r="D528" s="284" t="s">
        <v>966</v>
      </c>
      <c r="E528" s="285"/>
      <c r="F528" s="285"/>
      <c r="G528" s="285"/>
      <c r="H528" s="285"/>
      <c r="I528" s="285"/>
      <c r="J528" s="43"/>
      <c r="K528" s="286"/>
    </row>
    <row r="529" spans="2:11" s="51" customFormat="1" ht="9.75" customHeight="1" x14ac:dyDescent="0.2">
      <c r="B529" s="283"/>
      <c r="C529" s="280" t="str">
        <f>"2:"</f>
        <v>2:</v>
      </c>
      <c r="D529" s="284" t="s">
        <v>967</v>
      </c>
      <c r="E529" s="285"/>
      <c r="F529" s="285"/>
      <c r="G529" s="285"/>
      <c r="H529" s="285"/>
      <c r="I529" s="285"/>
      <c r="J529" s="43"/>
      <c r="K529" s="286"/>
    </row>
    <row r="530" spans="2:11" s="51" customFormat="1" ht="9.75" customHeight="1" x14ac:dyDescent="0.2">
      <c r="B530" s="283"/>
      <c r="C530" s="280" t="str">
        <f>"3:"</f>
        <v>3:</v>
      </c>
      <c r="D530" s="284" t="s">
        <v>968</v>
      </c>
      <c r="E530" s="285"/>
      <c r="F530" s="285"/>
      <c r="G530" s="285"/>
      <c r="H530" s="285"/>
      <c r="I530" s="285"/>
      <c r="J530" s="43"/>
      <c r="K530" s="286"/>
    </row>
    <row r="531" spans="2:11" s="51" customFormat="1" ht="9.75" customHeight="1" x14ac:dyDescent="0.2">
      <c r="B531" s="283"/>
      <c r="C531" s="280" t="str">
        <f>"4:"</f>
        <v>4:</v>
      </c>
      <c r="D531" s="284" t="s">
        <v>969</v>
      </c>
      <c r="E531" s="285"/>
      <c r="F531" s="285"/>
      <c r="G531" s="285"/>
      <c r="H531" s="285"/>
      <c r="I531" s="285"/>
      <c r="J531" s="287"/>
      <c r="K531" s="286"/>
    </row>
    <row r="532" spans="2:11" x14ac:dyDescent="0.2">
      <c r="B532" s="38"/>
      <c r="C532" s="40" t="s">
        <v>257</v>
      </c>
      <c r="D532" s="40"/>
      <c r="E532" s="40"/>
      <c r="F532" s="40"/>
      <c r="G532" s="40"/>
      <c r="H532" s="40"/>
      <c r="I532" s="40"/>
      <c r="J532" s="266"/>
      <c r="K532" s="41"/>
    </row>
    <row r="533" spans="2:11" x14ac:dyDescent="0.2">
      <c r="B533" s="38"/>
      <c r="C533" s="40" t="s">
        <v>261</v>
      </c>
      <c r="D533" s="40"/>
      <c r="E533" s="40"/>
      <c r="F533" s="40"/>
      <c r="G533" s="40"/>
      <c r="H533" s="40"/>
      <c r="I533" s="40"/>
      <c r="J533" s="245" t="str">
        <f>IF(J532=$B$973,$A$973,IF(J532=$B$974,$A$974,IF(J532=$B$975,$A$975,IF(J532=$B$976,$A$976,IF(J532=$B$977,$A$977,"Not Calculated")))))</f>
        <v>Not Calculated</v>
      </c>
      <c r="K533" s="41"/>
    </row>
    <row r="534" spans="2:11" x14ac:dyDescent="0.2">
      <c r="B534" s="38"/>
      <c r="C534" s="40" t="s">
        <v>893</v>
      </c>
      <c r="D534" s="40"/>
      <c r="E534" s="40"/>
      <c r="F534" s="40"/>
      <c r="G534" s="40"/>
      <c r="H534" s="40"/>
      <c r="I534" s="40"/>
      <c r="J534" s="40"/>
      <c r="K534" s="41"/>
    </row>
    <row r="535" spans="2:11" ht="15" customHeight="1" x14ac:dyDescent="0.2">
      <c r="B535" s="38"/>
      <c r="C535" s="399"/>
      <c r="D535" s="400"/>
      <c r="E535" s="400"/>
      <c r="F535" s="400"/>
      <c r="G535" s="400"/>
      <c r="H535" s="400"/>
      <c r="I535" s="400"/>
      <c r="J535" s="401"/>
      <c r="K535" s="41"/>
    </row>
    <row r="536" spans="2:11" x14ac:dyDescent="0.2">
      <c r="B536" s="38"/>
      <c r="C536" s="40"/>
      <c r="D536" s="40"/>
      <c r="E536" s="40"/>
      <c r="F536" s="40"/>
      <c r="G536" s="40"/>
      <c r="H536" s="40"/>
      <c r="I536" s="40"/>
      <c r="J536" s="40"/>
      <c r="K536" s="41"/>
    </row>
    <row r="537" spans="2:11" x14ac:dyDescent="0.2">
      <c r="B537" s="38"/>
      <c r="C537" s="179" t="s">
        <v>319</v>
      </c>
      <c r="D537" s="40"/>
      <c r="E537" s="40"/>
      <c r="F537" s="40"/>
      <c r="G537" s="40"/>
      <c r="H537" s="40"/>
      <c r="I537" s="40"/>
      <c r="J537" s="245" t="str">
        <f>IF(OR(J526="Not Calculated",J533="Not Calculated")=TRUE,"Not Calculated",AVERAGE(J526,J533))</f>
        <v>Not Calculated</v>
      </c>
      <c r="K537" s="41"/>
    </row>
    <row r="538" spans="2:11" x14ac:dyDescent="0.2">
      <c r="B538" s="38"/>
      <c r="C538" s="40"/>
      <c r="D538" s="40"/>
      <c r="E538" s="40"/>
      <c r="F538" s="40"/>
      <c r="G538" s="40"/>
      <c r="H538" s="40"/>
      <c r="I538" s="40"/>
      <c r="J538" s="40"/>
      <c r="K538" s="41"/>
    </row>
    <row r="539" spans="2:11" ht="18" x14ac:dyDescent="0.2">
      <c r="B539" s="38"/>
      <c r="C539" s="180" t="s">
        <v>302</v>
      </c>
      <c r="D539" s="40"/>
      <c r="E539" s="40"/>
      <c r="F539" s="40"/>
      <c r="G539" s="40"/>
      <c r="H539" s="40"/>
      <c r="I539" s="40"/>
      <c r="J539" s="244" t="str">
        <f>IF(OR(J440="Not Calculated",J457="Not Calculated",J473="Not Calculated",J488="Not Calculated",J504="Not Calculated",J520="Not Calculated",J537="Not Calculated")=TRUE,"Not Calculated",AVERAGE(J440,J457,J473,J488,J504,J520,J537))</f>
        <v>Not Calculated</v>
      </c>
      <c r="K539" s="41"/>
    </row>
    <row r="540" spans="2:11" ht="16" thickBot="1" x14ac:dyDescent="0.25">
      <c r="B540" s="46"/>
      <c r="C540" s="47"/>
      <c r="D540" s="47"/>
      <c r="E540" s="47"/>
      <c r="F540" s="47"/>
      <c r="G540" s="47"/>
      <c r="H540" s="47"/>
      <c r="I540" s="47"/>
      <c r="J540" s="47"/>
      <c r="K540" s="49"/>
    </row>
    <row r="541" spans="2:11" ht="16" thickBot="1" x14ac:dyDescent="0.25"/>
    <row r="542" spans="2:11" x14ac:dyDescent="0.2">
      <c r="B542" s="33"/>
      <c r="C542" s="34"/>
      <c r="D542" s="34"/>
      <c r="E542" s="34"/>
      <c r="F542" s="34"/>
      <c r="G542" s="34"/>
      <c r="H542" s="34"/>
      <c r="I542" s="34"/>
      <c r="J542" s="34"/>
      <c r="K542" s="37"/>
    </row>
    <row r="543" spans="2:11" ht="21" x14ac:dyDescent="0.25">
      <c r="B543" s="38"/>
      <c r="C543" s="40"/>
      <c r="D543" s="40"/>
      <c r="E543" s="40"/>
      <c r="F543" s="40"/>
      <c r="G543" s="172" t="s">
        <v>29</v>
      </c>
      <c r="H543" s="40"/>
      <c r="I543" s="40"/>
      <c r="J543" s="40"/>
      <c r="K543" s="41"/>
    </row>
    <row r="544" spans="2:11" ht="15" customHeight="1" x14ac:dyDescent="0.2">
      <c r="B544" s="38"/>
      <c r="C544" s="40"/>
      <c r="D544" s="40"/>
      <c r="E544" s="40"/>
      <c r="F544" s="40"/>
      <c r="G544" s="40"/>
      <c r="H544" s="40"/>
      <c r="I544" s="40"/>
      <c r="J544" s="40"/>
      <c r="K544" s="41"/>
    </row>
    <row r="545" spans="2:14" ht="16" x14ac:dyDescent="0.2">
      <c r="B545" s="38"/>
      <c r="C545" s="45" t="s">
        <v>88</v>
      </c>
      <c r="D545" s="40"/>
      <c r="E545" s="40"/>
      <c r="F545" s="40"/>
      <c r="G545" s="40"/>
      <c r="H545" s="40"/>
      <c r="I545" s="40"/>
      <c r="J545" s="40"/>
      <c r="K545" s="41"/>
    </row>
    <row r="546" spans="2:14" x14ac:dyDescent="0.2">
      <c r="B546" s="38"/>
      <c r="C546" s="40" t="s">
        <v>448</v>
      </c>
      <c r="D546" s="40"/>
      <c r="E546" s="40"/>
      <c r="F546" s="40"/>
      <c r="G546" s="40"/>
      <c r="H546" s="40"/>
      <c r="I546" s="40"/>
      <c r="J546" s="251">
        <f>'Baseline Health'!G123</f>
        <v>0</v>
      </c>
      <c r="K546" s="41"/>
    </row>
    <row r="547" spans="2:14" x14ac:dyDescent="0.2">
      <c r="B547" s="38"/>
      <c r="C547" s="40" t="s">
        <v>322</v>
      </c>
      <c r="D547" s="40"/>
      <c r="E547" s="40"/>
      <c r="F547" s="40"/>
      <c r="G547" s="40"/>
      <c r="H547" s="40"/>
      <c r="I547" s="40"/>
      <c r="J547" s="264"/>
      <c r="K547" s="41"/>
    </row>
    <row r="548" spans="2:14" x14ac:dyDescent="0.2">
      <c r="B548" s="38"/>
      <c r="C548" s="40" t="s">
        <v>428</v>
      </c>
      <c r="D548" s="40"/>
      <c r="E548" s="40"/>
      <c r="F548" s="40"/>
      <c r="G548" s="40"/>
      <c r="H548" s="40"/>
      <c r="I548" s="40"/>
      <c r="J548" s="264"/>
      <c r="K548" s="41"/>
    </row>
    <row r="549" spans="2:14" x14ac:dyDescent="0.2">
      <c r="B549" s="38"/>
      <c r="C549" s="40" t="s">
        <v>260</v>
      </c>
      <c r="D549" s="40"/>
      <c r="E549" s="40"/>
      <c r="F549" s="40"/>
      <c r="G549" s="40"/>
      <c r="H549" s="40"/>
      <c r="I549" s="40"/>
      <c r="J549" s="245" t="str">
        <f>IF(OR(J546=0,J546="Not Calculated")=TRUE,"Not Calculated",IF(J546-J547=0,4,(IF(((J546+J548)/(J546-J547))&lt;=1,0,IF(((J546+J548)/(J546-J547))&lt;=1.05,1,IF(((J546+J548)/(J546-J547))&lt;=1.5, 2,IF(((J546+J548)/(J546-J547))&lt;=2,3,4)))))))</f>
        <v>Not Calculated</v>
      </c>
      <c r="K549" s="41"/>
    </row>
    <row r="550" spans="2:14" ht="9.75" customHeight="1" x14ac:dyDescent="0.2">
      <c r="B550" s="38"/>
      <c r="C550" s="279" t="str">
        <f>"0:"</f>
        <v>0:</v>
      </c>
      <c r="D550" s="278" t="s">
        <v>918</v>
      </c>
      <c r="E550" s="40"/>
      <c r="F550" s="40"/>
      <c r="G550" s="40"/>
      <c r="H550" s="40"/>
      <c r="I550" s="40"/>
      <c r="J550" s="251"/>
      <c r="K550" s="41"/>
    </row>
    <row r="551" spans="2:14" ht="9.75" customHeight="1" x14ac:dyDescent="0.2">
      <c r="B551" s="38"/>
      <c r="C551" s="280" t="str">
        <f>"1:"</f>
        <v>1:</v>
      </c>
      <c r="D551" s="278" t="s">
        <v>923</v>
      </c>
      <c r="E551" s="40"/>
      <c r="F551" s="40"/>
      <c r="G551" s="40"/>
      <c r="H551" s="40"/>
      <c r="I551" s="40"/>
      <c r="J551" s="251"/>
      <c r="K551" s="41"/>
    </row>
    <row r="552" spans="2:14" ht="9.75" customHeight="1" x14ac:dyDescent="0.2">
      <c r="B552" s="38"/>
      <c r="C552" s="280" t="str">
        <f>"2:"</f>
        <v>2:</v>
      </c>
      <c r="D552" s="278" t="s">
        <v>924</v>
      </c>
      <c r="E552" s="40"/>
      <c r="F552" s="40"/>
      <c r="G552" s="40"/>
      <c r="H552" s="40"/>
      <c r="I552" s="40"/>
      <c r="J552" s="251"/>
      <c r="K552" s="41"/>
    </row>
    <row r="553" spans="2:14" ht="9.75" customHeight="1" x14ac:dyDescent="0.2">
      <c r="B553" s="38"/>
      <c r="C553" s="280" t="str">
        <f>"3:"</f>
        <v>3:</v>
      </c>
      <c r="D553" s="278" t="s">
        <v>925</v>
      </c>
      <c r="E553" s="40"/>
      <c r="F553" s="40"/>
      <c r="G553" s="40"/>
      <c r="H553" s="40"/>
      <c r="I553" s="40"/>
      <c r="J553" s="251"/>
      <c r="K553" s="41"/>
    </row>
    <row r="554" spans="2:14" ht="9.75" customHeight="1" x14ac:dyDescent="0.2">
      <c r="B554" s="38"/>
      <c r="C554" s="280" t="str">
        <f>"4:"</f>
        <v>4:</v>
      </c>
      <c r="D554" s="278" t="s">
        <v>926</v>
      </c>
      <c r="E554" s="40"/>
      <c r="F554" s="40"/>
      <c r="G554" s="40"/>
      <c r="H554" s="40"/>
      <c r="I554" s="40"/>
      <c r="J554" s="40"/>
      <c r="K554" s="41"/>
      <c r="N554" s="12" t="s">
        <v>661</v>
      </c>
    </row>
    <row r="555" spans="2:14" x14ac:dyDescent="0.2">
      <c r="B555" s="38"/>
      <c r="C555" s="174" t="s">
        <v>662</v>
      </c>
      <c r="D555" s="40"/>
      <c r="E555" s="40"/>
      <c r="F555" s="40"/>
      <c r="G555" s="40"/>
      <c r="H555" s="40"/>
      <c r="I555" s="40"/>
      <c r="J555" s="265" t="s">
        <v>661</v>
      </c>
      <c r="K555" s="41"/>
      <c r="N555" s="12" t="s">
        <v>894</v>
      </c>
    </row>
    <row r="556" spans="2:14" x14ac:dyDescent="0.2">
      <c r="B556" s="38"/>
      <c r="C556" s="174" t="s">
        <v>660</v>
      </c>
      <c r="D556" s="40"/>
      <c r="E556" s="40"/>
      <c r="F556" s="40"/>
      <c r="G556" s="40"/>
      <c r="H556" s="40"/>
      <c r="I556" s="40"/>
      <c r="J556" s="247" t="str">
        <f>IF(J555=N554,"N/A",IF(J555=N555,0,IF(J555=N556,1,IF(J555=N557,2,IF(J555=N558,3,IF(J555=N559,4,"N/A"))))))</f>
        <v>N/A</v>
      </c>
      <c r="K556" s="41"/>
      <c r="N556" s="12" t="s">
        <v>899</v>
      </c>
    </row>
    <row r="557" spans="2:14" x14ac:dyDescent="0.2">
      <c r="B557" s="38"/>
      <c r="C557" s="40" t="s">
        <v>257</v>
      </c>
      <c r="D557" s="40"/>
      <c r="E557" s="40"/>
      <c r="F557" s="40"/>
      <c r="G557" s="40"/>
      <c r="H557" s="40"/>
      <c r="I557" s="40"/>
      <c r="J557" s="266"/>
      <c r="K557" s="41"/>
      <c r="N557" s="12" t="s">
        <v>900</v>
      </c>
    </row>
    <row r="558" spans="2:14" x14ac:dyDescent="0.2">
      <c r="B558" s="38"/>
      <c r="C558" s="40" t="s">
        <v>261</v>
      </c>
      <c r="D558" s="40"/>
      <c r="E558" s="40"/>
      <c r="F558" s="40"/>
      <c r="G558" s="40"/>
      <c r="H558" s="40"/>
      <c r="I558" s="40"/>
      <c r="J558" s="245" t="str">
        <f>IF(J557=$B$973,$A$973,IF(J557=$B$974,$A$974,IF(J557=$B$975,$A$975,IF(J557=$B$976,$A$976,IF(J557=$B$977,$A$977,"Not Calculated")))))</f>
        <v>Not Calculated</v>
      </c>
      <c r="K558" s="41"/>
      <c r="N558" s="12" t="s">
        <v>901</v>
      </c>
    </row>
    <row r="559" spans="2:14" x14ac:dyDescent="0.2">
      <c r="B559" s="38"/>
      <c r="C559" s="40" t="s">
        <v>893</v>
      </c>
      <c r="D559" s="40"/>
      <c r="E559" s="40"/>
      <c r="F559" s="40"/>
      <c r="G559" s="40"/>
      <c r="H559" s="40"/>
      <c r="I559" s="40"/>
      <c r="J559" s="40"/>
      <c r="K559" s="41"/>
      <c r="N559" s="12" t="s">
        <v>902</v>
      </c>
    </row>
    <row r="560" spans="2:14" ht="15" customHeight="1" x14ac:dyDescent="0.2">
      <c r="B560" s="38"/>
      <c r="C560" s="399"/>
      <c r="D560" s="400"/>
      <c r="E560" s="400"/>
      <c r="F560" s="400"/>
      <c r="G560" s="400"/>
      <c r="H560" s="400"/>
      <c r="I560" s="400"/>
      <c r="J560" s="401"/>
      <c r="K560" s="41"/>
    </row>
    <row r="561" spans="2:11" x14ac:dyDescent="0.2">
      <c r="B561" s="38"/>
      <c r="C561" s="40"/>
      <c r="D561" s="40"/>
      <c r="E561" s="40"/>
      <c r="F561" s="40"/>
      <c r="G561" s="40"/>
      <c r="H561" s="40"/>
      <c r="I561" s="40"/>
      <c r="J561" s="40"/>
      <c r="K561" s="41"/>
    </row>
    <row r="562" spans="2:11" x14ac:dyDescent="0.2">
      <c r="B562" s="38"/>
      <c r="C562" s="179" t="s">
        <v>323</v>
      </c>
      <c r="D562" s="40"/>
      <c r="E562" s="40"/>
      <c r="F562" s="40"/>
      <c r="G562" s="40"/>
      <c r="H562" s="40"/>
      <c r="I562" s="40"/>
      <c r="J562" s="245" t="str">
        <f>IF(J556="N/A",IF(OR(J549="Not Calculated",J558="Not Calculated")=TRUE,"Not Calculated",AVERAGE(J549,J558)),AVERAGE(J556,J558))</f>
        <v>Not Calculated</v>
      </c>
      <c r="K562" s="41"/>
    </row>
    <row r="563" spans="2:11" x14ac:dyDescent="0.2">
      <c r="B563" s="38"/>
      <c r="C563" s="40"/>
      <c r="D563" s="40"/>
      <c r="E563" s="40"/>
      <c r="F563" s="40"/>
      <c r="G563" s="40"/>
      <c r="H563" s="40"/>
      <c r="I563" s="40"/>
      <c r="J563" s="40"/>
      <c r="K563" s="41"/>
    </row>
    <row r="564" spans="2:11" x14ac:dyDescent="0.2">
      <c r="B564" s="38"/>
      <c r="C564" s="40"/>
      <c r="D564" s="40"/>
      <c r="E564" s="40"/>
      <c r="F564" s="40"/>
      <c r="G564" s="40"/>
      <c r="H564" s="40"/>
      <c r="I564" s="40"/>
      <c r="J564" s="40"/>
      <c r="K564" s="41"/>
    </row>
    <row r="565" spans="2:11" ht="16" x14ac:dyDescent="0.2">
      <c r="B565" s="38"/>
      <c r="C565" s="45" t="s">
        <v>89</v>
      </c>
      <c r="D565" s="40"/>
      <c r="E565" s="40"/>
      <c r="F565" s="40"/>
      <c r="G565" s="40"/>
      <c r="H565" s="40"/>
      <c r="I565" s="40"/>
      <c r="J565" s="40"/>
      <c r="K565" s="41"/>
    </row>
    <row r="566" spans="2:11" ht="15" customHeight="1" x14ac:dyDescent="0.2">
      <c r="B566" s="38"/>
      <c r="C566" s="380" t="s">
        <v>333</v>
      </c>
      <c r="D566" s="380"/>
      <c r="E566" s="380"/>
      <c r="F566" s="380"/>
      <c r="G566" s="380"/>
      <c r="H566" s="380"/>
      <c r="I566" s="380"/>
      <c r="J566" s="40"/>
      <c r="K566" s="41"/>
    </row>
    <row r="567" spans="2:11" x14ac:dyDescent="0.2">
      <c r="B567" s="38"/>
      <c r="C567" s="380"/>
      <c r="D567" s="380"/>
      <c r="E567" s="380"/>
      <c r="F567" s="380"/>
      <c r="G567" s="380"/>
      <c r="H567" s="380"/>
      <c r="I567" s="380"/>
      <c r="J567" s="40"/>
      <c r="K567" s="41"/>
    </row>
    <row r="568" spans="2:11" x14ac:dyDescent="0.2">
      <c r="B568" s="38"/>
      <c r="C568" s="380"/>
      <c r="D568" s="380"/>
      <c r="E568" s="380"/>
      <c r="F568" s="380"/>
      <c r="G568" s="380"/>
      <c r="H568" s="380"/>
      <c r="I568" s="380"/>
      <c r="J568" s="251">
        <f>'Baseline Health'!G132</f>
        <v>0</v>
      </c>
      <c r="K568" s="41"/>
    </row>
    <row r="569" spans="2:11" ht="15" customHeight="1" x14ac:dyDescent="0.2">
      <c r="B569" s="38"/>
      <c r="C569" s="380" t="s">
        <v>334</v>
      </c>
      <c r="D569" s="380"/>
      <c r="E569" s="380"/>
      <c r="F569" s="380"/>
      <c r="G569" s="380"/>
      <c r="H569" s="380"/>
      <c r="I569" s="380"/>
      <c r="J569" s="245"/>
      <c r="K569" s="41"/>
    </row>
    <row r="570" spans="2:11" x14ac:dyDescent="0.2">
      <c r="B570" s="38"/>
      <c r="C570" s="380"/>
      <c r="D570" s="380"/>
      <c r="E570" s="380"/>
      <c r="F570" s="380"/>
      <c r="G570" s="380"/>
      <c r="H570" s="380"/>
      <c r="I570" s="380"/>
      <c r="J570" s="245"/>
      <c r="K570" s="41"/>
    </row>
    <row r="571" spans="2:11" x14ac:dyDescent="0.2">
      <c r="B571" s="38"/>
      <c r="C571" s="380"/>
      <c r="D571" s="380"/>
      <c r="E571" s="380"/>
      <c r="F571" s="380"/>
      <c r="G571" s="380"/>
      <c r="H571" s="380"/>
      <c r="I571" s="380"/>
      <c r="J571" s="264"/>
      <c r="K571" s="41"/>
    </row>
    <row r="572" spans="2:11" x14ac:dyDescent="0.2">
      <c r="B572" s="38"/>
      <c r="C572" s="40" t="s">
        <v>260</v>
      </c>
      <c r="D572" s="40"/>
      <c r="E572" s="40"/>
      <c r="F572" s="40"/>
      <c r="G572" s="40"/>
      <c r="H572" s="40"/>
      <c r="I572" s="40"/>
      <c r="J572" s="245" t="str">
        <f>IF(OR(J568=0,J568="Not Calculated")=TRUE,"Not Calculated",IF(((J568+J571)/J568)&lt;=1,0,IF(((J568+J571)/J568)&lt;=1.05,1,IF(((J568+J571)/J568)&lt;=1.5, 2,IF(((J568+J571)/J568)&lt;=2,3,4)))))</f>
        <v>Not Calculated</v>
      </c>
      <c r="K572" s="41"/>
    </row>
    <row r="573" spans="2:11" ht="9.75" customHeight="1" x14ac:dyDescent="0.2">
      <c r="B573" s="38"/>
      <c r="C573" s="279" t="str">
        <f>"0:"</f>
        <v>0:</v>
      </c>
      <c r="D573" s="281" t="s">
        <v>918</v>
      </c>
      <c r="E573" s="291"/>
      <c r="F573" s="291"/>
      <c r="G573" s="291"/>
      <c r="H573" s="291"/>
      <c r="I573" s="291"/>
      <c r="J573" s="251"/>
      <c r="K573" s="41"/>
    </row>
    <row r="574" spans="2:11" ht="9.75" customHeight="1" x14ac:dyDescent="0.2">
      <c r="B574" s="38"/>
      <c r="C574" s="280" t="str">
        <f>"1:"</f>
        <v>1:</v>
      </c>
      <c r="D574" s="281" t="s">
        <v>919</v>
      </c>
      <c r="E574" s="291"/>
      <c r="F574" s="291"/>
      <c r="G574" s="291"/>
      <c r="H574" s="291"/>
      <c r="I574" s="291"/>
      <c r="J574" s="251"/>
      <c r="K574" s="41"/>
    </row>
    <row r="575" spans="2:11" ht="9.75" customHeight="1" x14ac:dyDescent="0.2">
      <c r="B575" s="38"/>
      <c r="C575" s="280" t="str">
        <f>"2:"</f>
        <v>2:</v>
      </c>
      <c r="D575" s="281" t="s">
        <v>920</v>
      </c>
      <c r="E575" s="291"/>
      <c r="F575" s="291"/>
      <c r="G575" s="291"/>
      <c r="H575" s="291"/>
      <c r="I575" s="291"/>
      <c r="J575" s="251"/>
      <c r="K575" s="41"/>
    </row>
    <row r="576" spans="2:11" ht="9.75" customHeight="1" x14ac:dyDescent="0.2">
      <c r="B576" s="38"/>
      <c r="C576" s="280" t="str">
        <f>"3:"</f>
        <v>3:</v>
      </c>
      <c r="D576" s="281" t="s">
        <v>921</v>
      </c>
      <c r="E576" s="291"/>
      <c r="F576" s="291"/>
      <c r="G576" s="291"/>
      <c r="H576" s="291"/>
      <c r="I576" s="291"/>
      <c r="J576" s="251"/>
      <c r="K576" s="41"/>
    </row>
    <row r="577" spans="2:14" ht="9.75" customHeight="1" x14ac:dyDescent="0.2">
      <c r="B577" s="38"/>
      <c r="C577" s="280" t="str">
        <f>"4:"</f>
        <v>4:</v>
      </c>
      <c r="D577" s="281" t="s">
        <v>922</v>
      </c>
      <c r="E577" s="40"/>
      <c r="F577" s="40"/>
      <c r="G577" s="40"/>
      <c r="H577" s="40"/>
      <c r="I577" s="40"/>
      <c r="J577" s="40"/>
      <c r="K577" s="41"/>
      <c r="N577" s="12" t="s">
        <v>661</v>
      </c>
    </row>
    <row r="578" spans="2:14" ht="15" customHeight="1" x14ac:dyDescent="0.2">
      <c r="B578" s="38"/>
      <c r="C578" s="174" t="s">
        <v>662</v>
      </c>
      <c r="D578" s="40"/>
      <c r="E578" s="40"/>
      <c r="F578" s="40"/>
      <c r="G578" s="40"/>
      <c r="H578" s="40"/>
      <c r="I578" s="40"/>
      <c r="J578" s="265" t="s">
        <v>661</v>
      </c>
      <c r="K578" s="41"/>
      <c r="N578" s="12" t="s">
        <v>894</v>
      </c>
    </row>
    <row r="579" spans="2:14" ht="15" customHeight="1" x14ac:dyDescent="0.2">
      <c r="B579" s="38"/>
      <c r="C579" s="174" t="s">
        <v>660</v>
      </c>
      <c r="D579" s="40"/>
      <c r="E579" s="40"/>
      <c r="F579" s="40"/>
      <c r="G579" s="40"/>
      <c r="H579" s="40"/>
      <c r="I579" s="40"/>
      <c r="J579" s="247" t="str">
        <f>IF(J578=N577,"N/A",IF(J578=N578,0,IF(J578=N579,1,IF(J578=N580,2,IF(J578=N581,3,IF(J578=N582,4,"N/A"))))))</f>
        <v>N/A</v>
      </c>
      <c r="K579" s="41"/>
      <c r="N579" s="12" t="s">
        <v>895</v>
      </c>
    </row>
    <row r="580" spans="2:14" x14ac:dyDescent="0.2">
      <c r="B580" s="38"/>
      <c r="C580" s="40" t="s">
        <v>257</v>
      </c>
      <c r="D580" s="40"/>
      <c r="E580" s="40"/>
      <c r="F580" s="40"/>
      <c r="G580" s="40"/>
      <c r="H580" s="40"/>
      <c r="I580" s="40"/>
      <c r="J580" s="266"/>
      <c r="K580" s="41"/>
      <c r="N580" s="12" t="s">
        <v>896</v>
      </c>
    </row>
    <row r="581" spans="2:14" x14ac:dyDescent="0.2">
      <c r="B581" s="38"/>
      <c r="C581" s="40" t="s">
        <v>261</v>
      </c>
      <c r="D581" s="40"/>
      <c r="E581" s="40"/>
      <c r="F581" s="40"/>
      <c r="G581" s="40"/>
      <c r="H581" s="40"/>
      <c r="I581" s="40"/>
      <c r="J581" s="245" t="str">
        <f>IF(J580=$B$973,$A$973,IF(J580=$B$974,$A$974,IF(J580=$B$975,$A$975,IF(J580=$B$976,$A$976,IF(J580=$B$977,$A$977,"Not Calculated")))))</f>
        <v>Not Calculated</v>
      </c>
      <c r="K581" s="41"/>
      <c r="N581" s="12" t="s">
        <v>897</v>
      </c>
    </row>
    <row r="582" spans="2:14" x14ac:dyDescent="0.2">
      <c r="B582" s="38"/>
      <c r="C582" s="40" t="s">
        <v>893</v>
      </c>
      <c r="D582" s="40"/>
      <c r="E582" s="40"/>
      <c r="F582" s="40"/>
      <c r="G582" s="40"/>
      <c r="H582" s="40"/>
      <c r="I582" s="40"/>
      <c r="J582" s="40"/>
      <c r="K582" s="41"/>
      <c r="N582" s="12" t="s">
        <v>898</v>
      </c>
    </row>
    <row r="583" spans="2:14" ht="15" customHeight="1" x14ac:dyDescent="0.2">
      <c r="B583" s="38"/>
      <c r="C583" s="399"/>
      <c r="D583" s="400"/>
      <c r="E583" s="400"/>
      <c r="F583" s="400"/>
      <c r="G583" s="400"/>
      <c r="H583" s="400"/>
      <c r="I583" s="400"/>
      <c r="J583" s="401"/>
      <c r="K583" s="41"/>
    </row>
    <row r="584" spans="2:14" x14ac:dyDescent="0.2">
      <c r="B584" s="38"/>
      <c r="C584" s="40"/>
      <c r="D584" s="40"/>
      <c r="E584" s="40"/>
      <c r="F584" s="40"/>
      <c r="G584" s="40"/>
      <c r="H584" s="40"/>
      <c r="I584" s="40"/>
      <c r="J584" s="40"/>
      <c r="K584" s="41"/>
    </row>
    <row r="585" spans="2:14" x14ac:dyDescent="0.2">
      <c r="B585" s="38"/>
      <c r="C585" s="179" t="s">
        <v>324</v>
      </c>
      <c r="D585" s="40"/>
      <c r="E585" s="40"/>
      <c r="F585" s="40"/>
      <c r="G585" s="40"/>
      <c r="H585" s="40"/>
      <c r="I585" s="40"/>
      <c r="J585" s="245" t="str">
        <f>IF(J579="N/A",IF(OR(J572="Not Calculated",J581="Not Calculated")=TRUE,"Not Calculated",AVERAGE(J572,J581)),AVERAGE(J579,J581))</f>
        <v>Not Calculated</v>
      </c>
      <c r="K585" s="41"/>
    </row>
    <row r="586" spans="2:14" x14ac:dyDescent="0.2">
      <c r="B586" s="38"/>
      <c r="C586" s="40"/>
      <c r="D586" s="40"/>
      <c r="E586" s="40"/>
      <c r="F586" s="40"/>
      <c r="G586" s="40"/>
      <c r="H586" s="40"/>
      <c r="I586" s="40"/>
      <c r="J586" s="40"/>
      <c r="K586" s="41"/>
    </row>
    <row r="587" spans="2:14" x14ac:dyDescent="0.2">
      <c r="B587" s="38"/>
      <c r="C587" s="40"/>
      <c r="D587" s="40"/>
      <c r="E587" s="40"/>
      <c r="F587" s="40"/>
      <c r="G587" s="40"/>
      <c r="H587" s="40"/>
      <c r="I587" s="40"/>
      <c r="J587" s="40"/>
      <c r="K587" s="41"/>
    </row>
    <row r="588" spans="2:14" ht="16" x14ac:dyDescent="0.2">
      <c r="B588" s="38"/>
      <c r="C588" s="45" t="s">
        <v>115</v>
      </c>
      <c r="D588" s="40"/>
      <c r="E588" s="40"/>
      <c r="F588" s="40"/>
      <c r="G588" s="40"/>
      <c r="H588" s="40"/>
      <c r="I588" s="40"/>
      <c r="J588" s="40"/>
      <c r="K588" s="41"/>
    </row>
    <row r="589" spans="2:14" x14ac:dyDescent="0.2">
      <c r="B589" s="38"/>
      <c r="C589" s="40" t="s">
        <v>335</v>
      </c>
      <c r="D589" s="40"/>
      <c r="E589" s="40"/>
      <c r="F589" s="40"/>
      <c r="G589" s="40"/>
      <c r="H589" s="40"/>
      <c r="I589" s="40"/>
      <c r="J589" s="264"/>
      <c r="K589" s="41"/>
    </row>
    <row r="590" spans="2:14" x14ac:dyDescent="0.2">
      <c r="B590" s="38"/>
      <c r="C590" s="40" t="s">
        <v>260</v>
      </c>
      <c r="D590" s="40"/>
      <c r="E590" s="40"/>
      <c r="F590" s="40"/>
      <c r="G590" s="40"/>
      <c r="H590" s="40"/>
      <c r="I590" s="40"/>
      <c r="J590" s="255">
        <f>IF(J589&lt;=0,0,IF(J589&lt;=1000,1,IF(J589&lt;=5000,2,IF(J589&lt;=25000,3,4))))</f>
        <v>0</v>
      </c>
      <c r="K590" s="41"/>
    </row>
    <row r="591" spans="2:14" ht="9.75" customHeight="1" x14ac:dyDescent="0.2">
      <c r="B591" s="38"/>
      <c r="C591" s="279" t="str">
        <f>"0:"</f>
        <v>0:</v>
      </c>
      <c r="D591" s="284" t="s">
        <v>970</v>
      </c>
      <c r="E591" s="40"/>
      <c r="F591" s="40"/>
      <c r="G591" s="40"/>
      <c r="H591" s="40"/>
      <c r="I591" s="40"/>
      <c r="J591" s="251"/>
      <c r="K591" s="41"/>
    </row>
    <row r="592" spans="2:14" ht="9.75" customHeight="1" x14ac:dyDescent="0.2">
      <c r="B592" s="38"/>
      <c r="C592" s="280" t="str">
        <f>"1:"</f>
        <v>1:</v>
      </c>
      <c r="D592" s="284" t="s">
        <v>961</v>
      </c>
      <c r="E592" s="40"/>
      <c r="F592" s="40"/>
      <c r="G592" s="40"/>
      <c r="H592" s="40"/>
      <c r="I592" s="40"/>
      <c r="J592" s="251"/>
      <c r="K592" s="41"/>
    </row>
    <row r="593" spans="2:11" ht="9.75" customHeight="1" x14ac:dyDescent="0.2">
      <c r="B593" s="38"/>
      <c r="C593" s="280" t="str">
        <f>"2:"</f>
        <v>2:</v>
      </c>
      <c r="D593" s="284" t="s">
        <v>971</v>
      </c>
      <c r="E593" s="40"/>
      <c r="F593" s="40"/>
      <c r="G593" s="40"/>
      <c r="H593" s="40"/>
      <c r="I593" s="40"/>
      <c r="J593" s="251"/>
      <c r="K593" s="41"/>
    </row>
    <row r="594" spans="2:11" ht="9.75" customHeight="1" x14ac:dyDescent="0.2">
      <c r="B594" s="38"/>
      <c r="C594" s="280" t="str">
        <f>"3:"</f>
        <v>3:</v>
      </c>
      <c r="D594" s="284" t="s">
        <v>963</v>
      </c>
      <c r="E594" s="40"/>
      <c r="F594" s="40"/>
      <c r="G594" s="40"/>
      <c r="H594" s="40"/>
      <c r="I594" s="40"/>
      <c r="J594" s="251"/>
      <c r="K594" s="41"/>
    </row>
    <row r="595" spans="2:11" ht="9.75" customHeight="1" x14ac:dyDescent="0.2">
      <c r="B595" s="38"/>
      <c r="C595" s="280" t="str">
        <f>"4:"</f>
        <v>4:</v>
      </c>
      <c r="D595" s="284" t="s">
        <v>964</v>
      </c>
      <c r="E595" s="40"/>
      <c r="F595" s="40"/>
      <c r="G595" s="40"/>
      <c r="H595" s="40"/>
      <c r="I595" s="40"/>
      <c r="J595" s="40"/>
      <c r="K595" s="41"/>
    </row>
    <row r="596" spans="2:11" ht="15" customHeight="1" x14ac:dyDescent="0.2">
      <c r="B596" s="38"/>
      <c r="C596" s="40" t="s">
        <v>257</v>
      </c>
      <c r="D596" s="40"/>
      <c r="E596" s="40"/>
      <c r="F596" s="40"/>
      <c r="G596" s="40"/>
      <c r="H596" s="40"/>
      <c r="I596" s="40"/>
      <c r="J596" s="266"/>
      <c r="K596" s="41"/>
    </row>
    <row r="597" spans="2:11" ht="15" customHeight="1" x14ac:dyDescent="0.2">
      <c r="B597" s="38"/>
      <c r="C597" s="40" t="s">
        <v>261</v>
      </c>
      <c r="D597" s="40"/>
      <c r="E597" s="40"/>
      <c r="F597" s="40"/>
      <c r="G597" s="40"/>
      <c r="H597" s="40"/>
      <c r="I597" s="40"/>
      <c r="J597" s="245" t="str">
        <f>IF(J596=$B$973,$A$973,IF(J596=$B$974,$A$974,IF(J596=$B$975,$A$975,IF(J596=$B$976,$A$976,IF(J596=$B$977,$A$977,"Not Calculated")))))</f>
        <v>Not Calculated</v>
      </c>
      <c r="K597" s="41"/>
    </row>
    <row r="598" spans="2:11" x14ac:dyDescent="0.2">
      <c r="B598" s="38"/>
      <c r="C598" s="40" t="s">
        <v>893</v>
      </c>
      <c r="D598" s="40"/>
      <c r="E598" s="40"/>
      <c r="F598" s="40"/>
      <c r="G598" s="40"/>
      <c r="H598" s="40"/>
      <c r="I598" s="40"/>
      <c r="J598" s="40"/>
      <c r="K598" s="41"/>
    </row>
    <row r="599" spans="2:11" ht="15" customHeight="1" x14ac:dyDescent="0.2">
      <c r="B599" s="38"/>
      <c r="C599" s="399"/>
      <c r="D599" s="400"/>
      <c r="E599" s="400"/>
      <c r="F599" s="400"/>
      <c r="G599" s="400"/>
      <c r="H599" s="400"/>
      <c r="I599" s="400"/>
      <c r="J599" s="401"/>
      <c r="K599" s="41"/>
    </row>
    <row r="600" spans="2:11" x14ac:dyDescent="0.2">
      <c r="B600" s="38"/>
      <c r="C600" s="40"/>
      <c r="D600" s="40"/>
      <c r="E600" s="40"/>
      <c r="F600" s="40"/>
      <c r="G600" s="40"/>
      <c r="H600" s="40"/>
      <c r="I600" s="40"/>
      <c r="J600" s="40"/>
      <c r="K600" s="41"/>
    </row>
    <row r="601" spans="2:11" x14ac:dyDescent="0.2">
      <c r="B601" s="38"/>
      <c r="C601" s="179" t="s">
        <v>325</v>
      </c>
      <c r="D601" s="40"/>
      <c r="E601" s="40"/>
      <c r="F601" s="40"/>
      <c r="G601" s="40"/>
      <c r="H601" s="40"/>
      <c r="I601" s="40"/>
      <c r="J601" s="245">
        <f>IF(J590="Not Calculated","Not Calculated",AVERAGE(J590,J597))</f>
        <v>0</v>
      </c>
      <c r="K601" s="41"/>
    </row>
    <row r="602" spans="2:11" x14ac:dyDescent="0.2">
      <c r="B602" s="38"/>
      <c r="C602" s="40"/>
      <c r="D602" s="40"/>
      <c r="E602" s="40"/>
      <c r="F602" s="40"/>
      <c r="G602" s="40"/>
      <c r="H602" s="40"/>
      <c r="I602" s="40"/>
      <c r="J602" s="40"/>
      <c r="K602" s="41"/>
    </row>
    <row r="603" spans="2:11" x14ac:dyDescent="0.2">
      <c r="B603" s="38"/>
      <c r="C603" s="40"/>
      <c r="D603" s="40"/>
      <c r="E603" s="40"/>
      <c r="F603" s="40"/>
      <c r="G603" s="40"/>
      <c r="H603" s="40"/>
      <c r="I603" s="40"/>
      <c r="J603" s="40"/>
      <c r="K603" s="41"/>
    </row>
    <row r="604" spans="2:11" ht="16" x14ac:dyDescent="0.2">
      <c r="B604" s="38"/>
      <c r="C604" s="45" t="s">
        <v>326</v>
      </c>
      <c r="D604" s="40"/>
      <c r="E604" s="40"/>
      <c r="F604" s="40"/>
      <c r="G604" s="40"/>
      <c r="H604" s="40"/>
      <c r="I604" s="40"/>
      <c r="J604" s="40"/>
      <c r="K604" s="41"/>
    </row>
    <row r="605" spans="2:11" x14ac:dyDescent="0.2">
      <c r="B605" s="38"/>
      <c r="C605" s="40" t="s">
        <v>336</v>
      </c>
      <c r="D605" s="40"/>
      <c r="E605" s="40"/>
      <c r="F605" s="40"/>
      <c r="G605" s="40"/>
      <c r="H605" s="40"/>
      <c r="I605" s="40"/>
      <c r="J605" s="271"/>
      <c r="K605" s="41"/>
    </row>
    <row r="606" spans="2:11" x14ac:dyDescent="0.2">
      <c r="B606" s="38"/>
      <c r="C606" s="40" t="s">
        <v>260</v>
      </c>
      <c r="D606" s="40"/>
      <c r="E606" s="40"/>
      <c r="F606" s="40"/>
      <c r="G606" s="40"/>
      <c r="H606" s="40"/>
      <c r="I606" s="40"/>
      <c r="J606" s="248">
        <f>IF(J605&lt;=0,0,IF(J605&lt;=10,1,IF(J605&lt;=25,2,IF(J605&lt;=50,3,4))))</f>
        <v>0</v>
      </c>
      <c r="K606" s="41"/>
    </row>
    <row r="607" spans="2:11" ht="9.75" customHeight="1" x14ac:dyDescent="0.2">
      <c r="B607" s="38"/>
      <c r="C607" s="279" t="str">
        <f>"0:"</f>
        <v>0:</v>
      </c>
      <c r="D607" s="290" t="s">
        <v>944</v>
      </c>
      <c r="E607" s="40"/>
      <c r="F607" s="40"/>
      <c r="G607" s="40"/>
      <c r="H607" s="40"/>
      <c r="I607" s="40"/>
      <c r="J607" s="244"/>
      <c r="K607" s="41"/>
    </row>
    <row r="608" spans="2:11" ht="9.75" customHeight="1" x14ac:dyDescent="0.2">
      <c r="B608" s="38"/>
      <c r="C608" s="280" t="str">
        <f>"1:"</f>
        <v>1:</v>
      </c>
      <c r="D608" s="290" t="s">
        <v>947</v>
      </c>
      <c r="E608" s="40"/>
      <c r="F608" s="40"/>
      <c r="G608" s="40"/>
      <c r="H608" s="40"/>
      <c r="I608" s="40"/>
      <c r="J608" s="244"/>
      <c r="K608" s="41"/>
    </row>
    <row r="609" spans="2:11" ht="9.75" customHeight="1" x14ac:dyDescent="0.2">
      <c r="B609" s="38"/>
      <c r="C609" s="280" t="str">
        <f>"2:"</f>
        <v>2:</v>
      </c>
      <c r="D609" s="290" t="s">
        <v>972</v>
      </c>
      <c r="E609" s="40"/>
      <c r="F609" s="40"/>
      <c r="G609" s="40"/>
      <c r="H609" s="40"/>
      <c r="I609" s="40"/>
      <c r="J609" s="244"/>
      <c r="K609" s="41"/>
    </row>
    <row r="610" spans="2:11" ht="9.75" customHeight="1" x14ac:dyDescent="0.2">
      <c r="B610" s="38"/>
      <c r="C610" s="280" t="str">
        <f>"3:"</f>
        <v>3:</v>
      </c>
      <c r="D610" s="290" t="s">
        <v>973</v>
      </c>
      <c r="E610" s="40"/>
      <c r="F610" s="40"/>
      <c r="G610" s="40"/>
      <c r="H610" s="40"/>
      <c r="I610" s="40"/>
      <c r="J610" s="244"/>
      <c r="K610" s="41"/>
    </row>
    <row r="611" spans="2:11" ht="9.75" customHeight="1" x14ac:dyDescent="0.2">
      <c r="B611" s="38"/>
      <c r="C611" s="280" t="str">
        <f>"4:"</f>
        <v>4:</v>
      </c>
      <c r="D611" s="290" t="s">
        <v>974</v>
      </c>
      <c r="E611" s="40"/>
      <c r="F611" s="40"/>
      <c r="G611" s="40"/>
      <c r="H611" s="40"/>
      <c r="I611" s="40"/>
      <c r="J611" s="40"/>
      <c r="K611" s="41"/>
    </row>
    <row r="612" spans="2:11" x14ac:dyDescent="0.2">
      <c r="B612" s="38"/>
      <c r="C612" s="40" t="s">
        <v>893</v>
      </c>
      <c r="D612" s="40"/>
      <c r="E612" s="40"/>
      <c r="F612" s="40"/>
      <c r="G612" s="40"/>
      <c r="H612" s="40"/>
      <c r="I612" s="40"/>
      <c r="J612" s="40"/>
      <c r="K612" s="41"/>
    </row>
    <row r="613" spans="2:11" ht="15" customHeight="1" x14ac:dyDescent="0.2">
      <c r="B613" s="38"/>
      <c r="C613" s="399"/>
      <c r="D613" s="400"/>
      <c r="E613" s="400"/>
      <c r="F613" s="400"/>
      <c r="G613" s="400"/>
      <c r="H613" s="400"/>
      <c r="I613" s="400"/>
      <c r="J613" s="401"/>
      <c r="K613" s="41"/>
    </row>
    <row r="614" spans="2:11" x14ac:dyDescent="0.2">
      <c r="B614" s="38"/>
      <c r="C614" s="40"/>
      <c r="D614" s="40"/>
      <c r="E614" s="40"/>
      <c r="F614" s="40"/>
      <c r="G614" s="40"/>
      <c r="H614" s="40"/>
      <c r="I614" s="40"/>
      <c r="J614" s="40"/>
      <c r="K614" s="41"/>
    </row>
    <row r="615" spans="2:11" x14ac:dyDescent="0.2">
      <c r="B615" s="38"/>
      <c r="C615" s="179" t="s">
        <v>327</v>
      </c>
      <c r="D615" s="40"/>
      <c r="E615" s="40"/>
      <c r="F615" s="40"/>
      <c r="G615" s="40"/>
      <c r="H615" s="40"/>
      <c r="I615" s="40"/>
      <c r="J615" s="245">
        <f>J606</f>
        <v>0</v>
      </c>
      <c r="K615" s="41"/>
    </row>
    <row r="616" spans="2:11" x14ac:dyDescent="0.2">
      <c r="B616" s="38"/>
      <c r="C616" s="40"/>
      <c r="D616" s="40"/>
      <c r="E616" s="40"/>
      <c r="F616" s="40"/>
      <c r="G616" s="40"/>
      <c r="H616" s="40"/>
      <c r="I616" s="40"/>
      <c r="J616" s="40"/>
      <c r="K616" s="41"/>
    </row>
    <row r="617" spans="2:11" x14ac:dyDescent="0.2">
      <c r="B617" s="38"/>
      <c r="C617" s="40"/>
      <c r="D617" s="40"/>
      <c r="E617" s="40"/>
      <c r="F617" s="40"/>
      <c r="G617" s="40"/>
      <c r="H617" s="40"/>
      <c r="I617" s="40"/>
      <c r="J617" s="40"/>
      <c r="K617" s="41"/>
    </row>
    <row r="618" spans="2:11" ht="16" x14ac:dyDescent="0.2">
      <c r="B618" s="38"/>
      <c r="C618" s="45" t="s">
        <v>92</v>
      </c>
      <c r="D618" s="40"/>
      <c r="E618" s="40"/>
      <c r="F618" s="40"/>
      <c r="G618" s="40"/>
      <c r="H618" s="40"/>
      <c r="I618" s="40"/>
      <c r="J618" s="40"/>
      <c r="K618" s="41"/>
    </row>
    <row r="619" spans="2:11" x14ac:dyDescent="0.2">
      <c r="B619" s="38"/>
      <c r="C619" s="40" t="s">
        <v>337</v>
      </c>
      <c r="D619" s="40"/>
      <c r="E619" s="40"/>
      <c r="F619" s="40"/>
      <c r="G619" s="40"/>
      <c r="H619" s="40"/>
      <c r="I619" s="40"/>
      <c r="J619" s="251">
        <f>'Baseline Health'!G137</f>
        <v>1</v>
      </c>
      <c r="K619" s="41"/>
    </row>
    <row r="620" spans="2:11" ht="15" customHeight="1" x14ac:dyDescent="0.2">
      <c r="B620" s="38"/>
      <c r="C620" s="380" t="s">
        <v>338</v>
      </c>
      <c r="D620" s="380"/>
      <c r="E620" s="380"/>
      <c r="F620" s="380"/>
      <c r="G620" s="380"/>
      <c r="H620" s="380"/>
      <c r="I620" s="380"/>
      <c r="J620" s="251"/>
      <c r="K620" s="41"/>
    </row>
    <row r="621" spans="2:11" x14ac:dyDescent="0.2">
      <c r="B621" s="38"/>
      <c r="C621" s="380"/>
      <c r="D621" s="380"/>
      <c r="E621" s="380"/>
      <c r="F621" s="380"/>
      <c r="G621" s="380"/>
      <c r="H621" s="380"/>
      <c r="I621" s="380"/>
      <c r="J621" s="264"/>
      <c r="K621" s="41"/>
    </row>
    <row r="622" spans="2:11" x14ac:dyDescent="0.2">
      <c r="B622" s="38"/>
      <c r="C622" s="40" t="s">
        <v>260</v>
      </c>
      <c r="D622" s="40"/>
      <c r="E622" s="40"/>
      <c r="F622" s="40"/>
      <c r="G622" s="40"/>
      <c r="H622" s="40"/>
      <c r="I622" s="40"/>
      <c r="J622" s="245">
        <f>IF(OR(J619=0,J619="Not Calculated")=TRUE,"Not Calculated",IF(((J619+J621)/J619)&lt;=1,0,IF(((J619+J621)/J619)&lt;=1.05,1,IF(((J619+J621)/J619)&lt;=1.5, 2,IF(((J619+J621)/J619)&lt;=2,3,4)))))</f>
        <v>0</v>
      </c>
      <c r="K622" s="41"/>
    </row>
    <row r="623" spans="2:11" ht="9.75" customHeight="1" x14ac:dyDescent="0.2">
      <c r="B623" s="38"/>
      <c r="C623" s="279" t="str">
        <f>"0:"</f>
        <v>0:</v>
      </c>
      <c r="D623" s="281" t="s">
        <v>918</v>
      </c>
      <c r="E623" s="291"/>
      <c r="F623" s="291"/>
      <c r="G623" s="291"/>
      <c r="H623" s="291"/>
      <c r="I623" s="291"/>
      <c r="J623" s="251"/>
      <c r="K623" s="41"/>
    </row>
    <row r="624" spans="2:11" ht="9.75" customHeight="1" x14ac:dyDescent="0.2">
      <c r="B624" s="38"/>
      <c r="C624" s="280" t="str">
        <f>"1:"</f>
        <v>1:</v>
      </c>
      <c r="D624" s="281" t="s">
        <v>919</v>
      </c>
      <c r="E624" s="291"/>
      <c r="F624" s="291"/>
      <c r="G624" s="291"/>
      <c r="H624" s="291"/>
      <c r="I624" s="291"/>
      <c r="J624" s="251"/>
      <c r="K624" s="41"/>
    </row>
    <row r="625" spans="2:14" ht="9.75" customHeight="1" x14ac:dyDescent="0.2">
      <c r="B625" s="38"/>
      <c r="C625" s="280" t="str">
        <f>"2:"</f>
        <v>2:</v>
      </c>
      <c r="D625" s="281" t="s">
        <v>920</v>
      </c>
      <c r="E625" s="291"/>
      <c r="F625" s="291"/>
      <c r="G625" s="291"/>
      <c r="H625" s="291"/>
      <c r="I625" s="291"/>
      <c r="J625" s="251"/>
      <c r="K625" s="41"/>
    </row>
    <row r="626" spans="2:14" ht="9.75" customHeight="1" x14ac:dyDescent="0.2">
      <c r="B626" s="38"/>
      <c r="C626" s="280" t="str">
        <f>"3:"</f>
        <v>3:</v>
      </c>
      <c r="D626" s="281" t="s">
        <v>921</v>
      </c>
      <c r="E626" s="291"/>
      <c r="F626" s="291"/>
      <c r="G626" s="291"/>
      <c r="H626" s="291"/>
      <c r="I626" s="291"/>
      <c r="J626" s="251"/>
      <c r="K626" s="41"/>
    </row>
    <row r="627" spans="2:14" ht="9.75" customHeight="1" x14ac:dyDescent="0.2">
      <c r="B627" s="38"/>
      <c r="C627" s="280" t="str">
        <f>"4:"</f>
        <v>4:</v>
      </c>
      <c r="D627" s="281" t="s">
        <v>922</v>
      </c>
      <c r="E627" s="40"/>
      <c r="F627" s="40"/>
      <c r="G627" s="40"/>
      <c r="H627" s="40"/>
      <c r="I627" s="40"/>
      <c r="J627" s="40"/>
      <c r="K627" s="41"/>
      <c r="N627" s="12" t="s">
        <v>661</v>
      </c>
    </row>
    <row r="628" spans="2:14" x14ac:dyDescent="0.2">
      <c r="B628" s="38"/>
      <c r="C628" s="174" t="s">
        <v>662</v>
      </c>
      <c r="D628" s="40"/>
      <c r="E628" s="40"/>
      <c r="F628" s="40"/>
      <c r="G628" s="40"/>
      <c r="H628" s="40"/>
      <c r="I628" s="40"/>
      <c r="J628" s="265" t="s">
        <v>661</v>
      </c>
      <c r="K628" s="41"/>
      <c r="N628" s="12" t="s">
        <v>894</v>
      </c>
    </row>
    <row r="629" spans="2:14" x14ac:dyDescent="0.2">
      <c r="B629" s="38"/>
      <c r="C629" s="174" t="s">
        <v>660</v>
      </c>
      <c r="D629" s="40"/>
      <c r="E629" s="40"/>
      <c r="F629" s="40"/>
      <c r="G629" s="40"/>
      <c r="H629" s="40"/>
      <c r="I629" s="40"/>
      <c r="J629" s="247" t="str">
        <f>IF(J628=N627,"N/A",IF(J628=N628,0,IF(J628=N629,1,IF(J628=N630,2,IF(J628=N631,3,IF(J628=N632,4,"N/A"))))))</f>
        <v>N/A</v>
      </c>
      <c r="K629" s="41"/>
      <c r="N629" s="12" t="s">
        <v>895</v>
      </c>
    </row>
    <row r="630" spans="2:14" x14ac:dyDescent="0.2">
      <c r="B630" s="38"/>
      <c r="C630" s="40" t="s">
        <v>257</v>
      </c>
      <c r="D630" s="40"/>
      <c r="E630" s="40"/>
      <c r="F630" s="40"/>
      <c r="G630" s="40"/>
      <c r="H630" s="40"/>
      <c r="I630" s="40"/>
      <c r="J630" s="266"/>
      <c r="K630" s="41"/>
      <c r="N630" s="12" t="s">
        <v>896</v>
      </c>
    </row>
    <row r="631" spans="2:14" x14ac:dyDescent="0.2">
      <c r="B631" s="38"/>
      <c r="C631" s="40" t="s">
        <v>261</v>
      </c>
      <c r="D631" s="40"/>
      <c r="E631" s="40"/>
      <c r="F631" s="40"/>
      <c r="G631" s="40"/>
      <c r="H631" s="40"/>
      <c r="I631" s="40"/>
      <c r="J631" s="245" t="str">
        <f>IF(J630=$B$973,$A$973,IF(J630=$B$974,$A$974,IF(J630=$B$975,$A$975,IF(J630=$B$976,$A$976,IF(J630=$B$977,$A$977,"Not Calculated")))))</f>
        <v>Not Calculated</v>
      </c>
      <c r="K631" s="41"/>
      <c r="N631" s="12" t="s">
        <v>897</v>
      </c>
    </row>
    <row r="632" spans="2:14" x14ac:dyDescent="0.2">
      <c r="B632" s="38"/>
      <c r="C632" s="40" t="s">
        <v>893</v>
      </c>
      <c r="D632" s="40"/>
      <c r="E632" s="40"/>
      <c r="F632" s="40"/>
      <c r="G632" s="40"/>
      <c r="H632" s="40"/>
      <c r="I632" s="40"/>
      <c r="J632" s="40"/>
      <c r="K632" s="41"/>
      <c r="N632" s="12" t="s">
        <v>898</v>
      </c>
    </row>
    <row r="633" spans="2:14" ht="15" customHeight="1" x14ac:dyDescent="0.2">
      <c r="B633" s="38"/>
      <c r="C633" s="399"/>
      <c r="D633" s="400"/>
      <c r="E633" s="400"/>
      <c r="F633" s="400"/>
      <c r="G633" s="400"/>
      <c r="H633" s="400"/>
      <c r="I633" s="400"/>
      <c r="J633" s="401"/>
      <c r="K633" s="41"/>
    </row>
    <row r="634" spans="2:14" x14ac:dyDescent="0.2">
      <c r="B634" s="38"/>
      <c r="C634" s="40"/>
      <c r="D634" s="40"/>
      <c r="E634" s="40"/>
      <c r="F634" s="40"/>
      <c r="G634" s="40"/>
      <c r="H634" s="40"/>
      <c r="I634" s="40"/>
      <c r="J634" s="40"/>
      <c r="K634" s="41"/>
    </row>
    <row r="635" spans="2:14" x14ac:dyDescent="0.2">
      <c r="B635" s="38"/>
      <c r="C635" s="179" t="s">
        <v>328</v>
      </c>
      <c r="D635" s="40"/>
      <c r="E635" s="40"/>
      <c r="F635" s="40"/>
      <c r="G635" s="40"/>
      <c r="H635" s="40"/>
      <c r="I635" s="40"/>
      <c r="J635" s="245" t="str">
        <f>IF(J629="N/A",IF(OR(J622="Not Calculated",J631="Not Calculated")=TRUE,"Not Calculated",AVERAGE(J622,J631)),AVERAGE(J629,J631))</f>
        <v>Not Calculated</v>
      </c>
      <c r="K635" s="41"/>
    </row>
    <row r="636" spans="2:14" x14ac:dyDescent="0.2">
      <c r="B636" s="38"/>
      <c r="C636" s="40"/>
      <c r="D636" s="40"/>
      <c r="E636" s="40"/>
      <c r="F636" s="40"/>
      <c r="G636" s="40"/>
      <c r="H636" s="40"/>
      <c r="I636" s="40"/>
      <c r="J636" s="40"/>
      <c r="K636" s="41"/>
    </row>
    <row r="637" spans="2:14" x14ac:dyDescent="0.2">
      <c r="B637" s="38"/>
      <c r="C637" s="40"/>
      <c r="D637" s="40"/>
      <c r="E637" s="40"/>
      <c r="F637" s="40"/>
      <c r="G637" s="40"/>
      <c r="H637" s="40"/>
      <c r="I637" s="40"/>
      <c r="J637" s="40"/>
      <c r="K637" s="41"/>
    </row>
    <row r="638" spans="2:14" ht="16" x14ac:dyDescent="0.2">
      <c r="B638" s="38"/>
      <c r="C638" s="45" t="s">
        <v>329</v>
      </c>
      <c r="D638" s="40"/>
      <c r="E638" s="40"/>
      <c r="F638" s="40"/>
      <c r="G638" s="40"/>
      <c r="H638" s="40"/>
      <c r="I638" s="40"/>
      <c r="J638" s="40"/>
      <c r="K638" s="41"/>
    </row>
    <row r="639" spans="2:14" ht="15" customHeight="1" x14ac:dyDescent="0.2">
      <c r="B639" s="38"/>
      <c r="C639" s="380" t="s">
        <v>339</v>
      </c>
      <c r="D639" s="380"/>
      <c r="E639" s="380"/>
      <c r="F639" s="380"/>
      <c r="G639" s="380"/>
      <c r="H639" s="380"/>
      <c r="I639" s="380"/>
      <c r="J639" s="40"/>
      <c r="K639" s="41"/>
    </row>
    <row r="640" spans="2:14" x14ac:dyDescent="0.2">
      <c r="B640" s="38"/>
      <c r="C640" s="380"/>
      <c r="D640" s="380"/>
      <c r="E640" s="380"/>
      <c r="F640" s="380"/>
      <c r="G640" s="380"/>
      <c r="H640" s="380"/>
      <c r="I640" s="380"/>
      <c r="J640" s="250">
        <f>'Baseline Health'!G145</f>
        <v>0</v>
      </c>
      <c r="K640" s="41"/>
    </row>
    <row r="641" spans="2:14" ht="15" customHeight="1" x14ac:dyDescent="0.2">
      <c r="B641" s="38"/>
      <c r="C641" s="380" t="s">
        <v>340</v>
      </c>
      <c r="D641" s="380"/>
      <c r="E641" s="380"/>
      <c r="F641" s="380"/>
      <c r="G641" s="380"/>
      <c r="H641" s="380"/>
      <c r="I641" s="380"/>
      <c r="J641" s="245"/>
      <c r="K641" s="41"/>
    </row>
    <row r="642" spans="2:14" x14ac:dyDescent="0.2">
      <c r="B642" s="38"/>
      <c r="C642" s="380"/>
      <c r="D642" s="380"/>
      <c r="E642" s="380"/>
      <c r="F642" s="380"/>
      <c r="G642" s="380"/>
      <c r="H642" s="380"/>
      <c r="I642" s="380"/>
      <c r="J642" s="245"/>
      <c r="K642" s="41"/>
    </row>
    <row r="643" spans="2:14" x14ac:dyDescent="0.2">
      <c r="B643" s="38"/>
      <c r="C643" s="380"/>
      <c r="D643" s="380"/>
      <c r="E643" s="380"/>
      <c r="F643" s="380"/>
      <c r="G643" s="380"/>
      <c r="H643" s="380"/>
      <c r="I643" s="380"/>
      <c r="J643" s="272"/>
      <c r="K643" s="41"/>
    </row>
    <row r="644" spans="2:14" x14ac:dyDescent="0.2">
      <c r="B644" s="38"/>
      <c r="C644" s="40" t="s">
        <v>260</v>
      </c>
      <c r="D644" s="40"/>
      <c r="E644" s="40"/>
      <c r="F644" s="40"/>
      <c r="G644" s="40"/>
      <c r="H644" s="40"/>
      <c r="I644" s="40"/>
      <c r="J644" s="245" t="str">
        <f>IF(OR(J640=0,J640="Not Calculated")=TRUE,"Not Calculated",IF(((J640+J643)/J640)&lt;=1,0,IF(((J640+J643)/J640)&lt;=1.05,1,IF(((J640+J643)/J640)&lt;=1.5, 2,IF(((J640+J643)/J640)&lt;=2,3,4)))))</f>
        <v>Not Calculated</v>
      </c>
      <c r="K644" s="41"/>
    </row>
    <row r="645" spans="2:14" ht="9.75" customHeight="1" x14ac:dyDescent="0.2">
      <c r="B645" s="38"/>
      <c r="C645" s="279" t="str">
        <f>"0:"</f>
        <v>0:</v>
      </c>
      <c r="D645" s="281" t="s">
        <v>918</v>
      </c>
      <c r="E645" s="291"/>
      <c r="F645" s="291"/>
      <c r="G645" s="291"/>
      <c r="H645" s="291"/>
      <c r="I645" s="291"/>
      <c r="J645" s="250"/>
      <c r="K645" s="41"/>
    </row>
    <row r="646" spans="2:14" ht="9.75" customHeight="1" x14ac:dyDescent="0.2">
      <c r="B646" s="38"/>
      <c r="C646" s="280" t="str">
        <f>"1:"</f>
        <v>1:</v>
      </c>
      <c r="D646" s="281" t="s">
        <v>919</v>
      </c>
      <c r="E646" s="291"/>
      <c r="F646" s="291"/>
      <c r="G646" s="291"/>
      <c r="H646" s="291"/>
      <c r="I646" s="291"/>
      <c r="J646" s="250"/>
      <c r="K646" s="41"/>
    </row>
    <row r="647" spans="2:14" ht="9.75" customHeight="1" x14ac:dyDescent="0.2">
      <c r="B647" s="38"/>
      <c r="C647" s="280" t="str">
        <f>"2:"</f>
        <v>2:</v>
      </c>
      <c r="D647" s="281" t="s">
        <v>920</v>
      </c>
      <c r="E647" s="291"/>
      <c r="F647" s="291"/>
      <c r="G647" s="291"/>
      <c r="H647" s="291"/>
      <c r="I647" s="291"/>
      <c r="J647" s="250"/>
      <c r="K647" s="41"/>
    </row>
    <row r="648" spans="2:14" ht="9.75" customHeight="1" x14ac:dyDescent="0.2">
      <c r="B648" s="38"/>
      <c r="C648" s="280" t="str">
        <f>"3:"</f>
        <v>3:</v>
      </c>
      <c r="D648" s="281" t="s">
        <v>921</v>
      </c>
      <c r="E648" s="291"/>
      <c r="F648" s="291"/>
      <c r="G648" s="291"/>
      <c r="H648" s="291"/>
      <c r="I648" s="291"/>
      <c r="J648" s="250"/>
      <c r="K648" s="41"/>
    </row>
    <row r="649" spans="2:14" ht="9.75" customHeight="1" x14ac:dyDescent="0.2">
      <c r="B649" s="38"/>
      <c r="C649" s="280" t="str">
        <f>"4:"</f>
        <v>4:</v>
      </c>
      <c r="D649" s="281" t="s">
        <v>922</v>
      </c>
      <c r="E649" s="40"/>
      <c r="F649" s="40"/>
      <c r="G649" s="40"/>
      <c r="H649" s="40"/>
      <c r="I649" s="40"/>
      <c r="J649" s="40"/>
      <c r="K649" s="41"/>
      <c r="N649" s="12" t="s">
        <v>661</v>
      </c>
    </row>
    <row r="650" spans="2:14" x14ac:dyDescent="0.2">
      <c r="B650" s="38"/>
      <c r="C650" s="174" t="s">
        <v>662</v>
      </c>
      <c r="D650" s="40"/>
      <c r="E650" s="40"/>
      <c r="F650" s="40"/>
      <c r="G650" s="40"/>
      <c r="H650" s="40"/>
      <c r="I650" s="40"/>
      <c r="J650" s="265" t="s">
        <v>661</v>
      </c>
      <c r="K650" s="41"/>
      <c r="N650" s="12" t="s">
        <v>894</v>
      </c>
    </row>
    <row r="651" spans="2:14" x14ac:dyDescent="0.2">
      <c r="B651" s="38"/>
      <c r="C651" s="174" t="s">
        <v>660</v>
      </c>
      <c r="D651" s="40"/>
      <c r="E651" s="40"/>
      <c r="F651" s="40"/>
      <c r="G651" s="40"/>
      <c r="H651" s="40"/>
      <c r="I651" s="40"/>
      <c r="J651" s="247" t="str">
        <f>IF(J650=N649,"N/A",IF(J650=N650,0,IF(J650=N651,1,IF(J650=N652,2,IF(J650=N653,3,IF(J650=N654,4,"N/A"))))))</f>
        <v>N/A</v>
      </c>
      <c r="K651" s="41"/>
      <c r="N651" s="12" t="s">
        <v>895</v>
      </c>
    </row>
    <row r="652" spans="2:14" ht="15" customHeight="1" x14ac:dyDescent="0.2">
      <c r="B652" s="38"/>
      <c r="C652" s="40" t="s">
        <v>257</v>
      </c>
      <c r="D652" s="40"/>
      <c r="E652" s="40"/>
      <c r="F652" s="40"/>
      <c r="G652" s="40"/>
      <c r="H652" s="40"/>
      <c r="I652" s="40"/>
      <c r="J652" s="266"/>
      <c r="K652" s="41"/>
      <c r="N652" s="12" t="s">
        <v>896</v>
      </c>
    </row>
    <row r="653" spans="2:14" x14ac:dyDescent="0.2">
      <c r="B653" s="38"/>
      <c r="C653" s="40" t="s">
        <v>261</v>
      </c>
      <c r="D653" s="40"/>
      <c r="E653" s="40"/>
      <c r="F653" s="40"/>
      <c r="G653" s="40"/>
      <c r="H653" s="40"/>
      <c r="I653" s="40"/>
      <c r="J653" s="245" t="str">
        <f>IF(J652=$B$973,$A$973,IF(J652=$B$974,$A$974,IF(J652=$B$975,$A$975,IF(J652=$B$976,$A$976,IF(J652=$B$977,$A$977,"Not Calculated")))))</f>
        <v>Not Calculated</v>
      </c>
      <c r="K653" s="41"/>
      <c r="N653" s="12" t="s">
        <v>897</v>
      </c>
    </row>
    <row r="654" spans="2:14" x14ac:dyDescent="0.2">
      <c r="B654" s="38"/>
      <c r="C654" s="40" t="s">
        <v>893</v>
      </c>
      <c r="D654" s="40"/>
      <c r="E654" s="40"/>
      <c r="F654" s="40"/>
      <c r="G654" s="40"/>
      <c r="H654" s="40"/>
      <c r="I654" s="40"/>
      <c r="J654" s="40"/>
      <c r="K654" s="41"/>
      <c r="N654" s="12" t="s">
        <v>898</v>
      </c>
    </row>
    <row r="655" spans="2:14" x14ac:dyDescent="0.2">
      <c r="B655" s="38"/>
      <c r="C655" s="399"/>
      <c r="D655" s="400"/>
      <c r="E655" s="400"/>
      <c r="F655" s="400"/>
      <c r="G655" s="400"/>
      <c r="H655" s="400"/>
      <c r="I655" s="400"/>
      <c r="J655" s="401"/>
      <c r="K655" s="41"/>
    </row>
    <row r="656" spans="2:14" x14ac:dyDescent="0.2">
      <c r="B656" s="38"/>
      <c r="C656" s="40"/>
      <c r="D656" s="40"/>
      <c r="E656" s="40"/>
      <c r="F656" s="40"/>
      <c r="G656" s="40"/>
      <c r="H656" s="40"/>
      <c r="I656" s="40"/>
      <c r="J656" s="40"/>
      <c r="K656" s="41"/>
    </row>
    <row r="657" spans="2:14" x14ac:dyDescent="0.2">
      <c r="B657" s="38"/>
      <c r="C657" s="179" t="s">
        <v>330</v>
      </c>
      <c r="D657" s="40"/>
      <c r="E657" s="40"/>
      <c r="F657" s="40"/>
      <c r="G657" s="40"/>
      <c r="H657" s="40"/>
      <c r="I657" s="40"/>
      <c r="J657" s="245" t="str">
        <f>IF(J651="N/A",IF(OR(J644="Not Calculated",J653="Not Calculated")=TRUE,"Not Calculated",AVERAGE(J644,J653)),AVERAGE(J651,J653))</f>
        <v>Not Calculated</v>
      </c>
      <c r="K657" s="41"/>
    </row>
    <row r="658" spans="2:14" x14ac:dyDescent="0.2">
      <c r="B658" s="38"/>
      <c r="C658" s="40"/>
      <c r="D658" s="40"/>
      <c r="E658" s="40"/>
      <c r="F658" s="40"/>
      <c r="G658" s="40"/>
      <c r="H658" s="40"/>
      <c r="I658" s="40"/>
      <c r="J658" s="40"/>
      <c r="K658" s="41"/>
    </row>
    <row r="659" spans="2:14" x14ac:dyDescent="0.2">
      <c r="B659" s="38"/>
      <c r="C659" s="40"/>
      <c r="D659" s="40"/>
      <c r="E659" s="40"/>
      <c r="F659" s="40"/>
      <c r="G659" s="40"/>
      <c r="H659" s="40"/>
      <c r="I659" s="40"/>
      <c r="J659" s="40"/>
      <c r="K659" s="41"/>
    </row>
    <row r="660" spans="2:14" ht="16" x14ac:dyDescent="0.2">
      <c r="B660" s="38"/>
      <c r="C660" s="45" t="s">
        <v>97</v>
      </c>
      <c r="D660" s="40"/>
      <c r="E660" s="40"/>
      <c r="F660" s="40"/>
      <c r="G660" s="40"/>
      <c r="H660" s="40"/>
      <c r="I660" s="40"/>
      <c r="J660" s="40"/>
      <c r="K660" s="41"/>
    </row>
    <row r="661" spans="2:14" x14ac:dyDescent="0.2">
      <c r="B661" s="38"/>
      <c r="C661" s="40" t="s">
        <v>449</v>
      </c>
      <c r="D661" s="40"/>
      <c r="E661" s="40"/>
      <c r="F661" s="40"/>
      <c r="G661" s="40"/>
      <c r="H661" s="40"/>
      <c r="I661" s="40"/>
      <c r="J661" s="263">
        <f>'Baseline Health'!G150</f>
        <v>0</v>
      </c>
      <c r="K661" s="41"/>
    </row>
    <row r="662" spans="2:14" x14ac:dyDescent="0.2">
      <c r="B662" s="38"/>
      <c r="C662" s="40" t="s">
        <v>341</v>
      </c>
      <c r="D662" s="40"/>
      <c r="E662" s="40"/>
      <c r="F662" s="40"/>
      <c r="G662" s="40"/>
      <c r="H662" s="40"/>
      <c r="I662" s="40"/>
      <c r="J662" s="273"/>
      <c r="K662" s="41"/>
    </row>
    <row r="663" spans="2:14" x14ac:dyDescent="0.2">
      <c r="B663" s="38"/>
      <c r="C663" s="40" t="s">
        <v>450</v>
      </c>
      <c r="D663" s="40"/>
      <c r="E663" s="40"/>
      <c r="F663" s="40"/>
      <c r="G663" s="40"/>
      <c r="H663" s="40"/>
      <c r="I663" s="40"/>
      <c r="J663" s="263">
        <f>J26</f>
        <v>0</v>
      </c>
      <c r="K663" s="41"/>
    </row>
    <row r="664" spans="2:14" ht="15" customHeight="1" x14ac:dyDescent="0.2">
      <c r="B664" s="38"/>
      <c r="C664" s="291"/>
      <c r="D664" s="380" t="s">
        <v>342</v>
      </c>
      <c r="E664" s="380"/>
      <c r="F664" s="380"/>
      <c r="G664" s="380"/>
      <c r="H664" s="380"/>
      <c r="I664" s="380"/>
      <c r="J664" s="245"/>
      <c r="K664" s="41"/>
    </row>
    <row r="665" spans="2:14" x14ac:dyDescent="0.2">
      <c r="B665" s="38"/>
      <c r="C665" s="291"/>
      <c r="D665" s="380"/>
      <c r="E665" s="380"/>
      <c r="F665" s="380"/>
      <c r="G665" s="380"/>
      <c r="H665" s="380"/>
      <c r="I665" s="380"/>
      <c r="J665" s="245"/>
      <c r="K665" s="41"/>
    </row>
    <row r="666" spans="2:14" x14ac:dyDescent="0.2">
      <c r="B666" s="38"/>
      <c r="C666" s="40" t="s">
        <v>260</v>
      </c>
      <c r="D666" s="40"/>
      <c r="E666" s="40"/>
      <c r="F666" s="40"/>
      <c r="G666" s="40"/>
      <c r="H666" s="40"/>
      <c r="I666" s="40"/>
      <c r="J666" s="245" t="str">
        <f>IF(OR(J661=0,J661="Not Calculated")=TRUE,"Not Calculated",IF(((J661+J663)/(J661-J662))&lt;=1,0,IF(((J661+J663)/(J661-J662))&lt;=1.1,1,IF(((J661+J663)/(J661-J662))&lt;=1.5, 2,IF(((J661+J663)/(J661-J662))&lt;=2,3,4)))))</f>
        <v>Not Calculated</v>
      </c>
      <c r="K666" s="41"/>
    </row>
    <row r="667" spans="2:14" ht="9.75" customHeight="1" x14ac:dyDescent="0.2">
      <c r="B667" s="38"/>
      <c r="C667" s="279" t="str">
        <f>"0:"</f>
        <v>0:</v>
      </c>
      <c r="D667" s="278" t="s">
        <v>918</v>
      </c>
      <c r="E667" s="291"/>
      <c r="F667" s="291"/>
      <c r="G667" s="291"/>
      <c r="H667" s="291"/>
      <c r="I667" s="291"/>
      <c r="J667" s="245"/>
      <c r="K667" s="41"/>
    </row>
    <row r="668" spans="2:14" ht="9.75" customHeight="1" x14ac:dyDescent="0.2">
      <c r="B668" s="38"/>
      <c r="C668" s="280" t="str">
        <f>"1:"</f>
        <v>1:</v>
      </c>
      <c r="D668" s="278" t="s">
        <v>923</v>
      </c>
      <c r="E668" s="291"/>
      <c r="F668" s="291"/>
      <c r="G668" s="291"/>
      <c r="H668" s="291"/>
      <c r="I668" s="291"/>
      <c r="J668" s="245"/>
      <c r="K668" s="41"/>
    </row>
    <row r="669" spans="2:14" ht="9.75" customHeight="1" x14ac:dyDescent="0.2">
      <c r="B669" s="38"/>
      <c r="C669" s="280" t="str">
        <f>"2:"</f>
        <v>2:</v>
      </c>
      <c r="D669" s="278" t="s">
        <v>924</v>
      </c>
      <c r="E669" s="291"/>
      <c r="F669" s="291"/>
      <c r="G669" s="291"/>
      <c r="H669" s="291"/>
      <c r="I669" s="291"/>
      <c r="J669" s="245"/>
      <c r="K669" s="41"/>
    </row>
    <row r="670" spans="2:14" ht="9.75" customHeight="1" x14ac:dyDescent="0.2">
      <c r="B670" s="38"/>
      <c r="C670" s="280" t="str">
        <f>"3:"</f>
        <v>3:</v>
      </c>
      <c r="D670" s="278" t="s">
        <v>925</v>
      </c>
      <c r="E670" s="291"/>
      <c r="F670" s="291"/>
      <c r="G670" s="291"/>
      <c r="H670" s="291"/>
      <c r="I670" s="291"/>
      <c r="J670" s="245"/>
      <c r="K670" s="41"/>
    </row>
    <row r="671" spans="2:14" ht="9.75" customHeight="1" x14ac:dyDescent="0.2">
      <c r="B671" s="38"/>
      <c r="C671" s="280" t="str">
        <f>"4:"</f>
        <v>4:</v>
      </c>
      <c r="D671" s="278" t="s">
        <v>926</v>
      </c>
      <c r="E671" s="40"/>
      <c r="F671" s="40"/>
      <c r="G671" s="40"/>
      <c r="H671" s="40"/>
      <c r="I671" s="40"/>
      <c r="J671" s="40"/>
      <c r="K671" s="41"/>
      <c r="N671" s="12" t="s">
        <v>661</v>
      </c>
    </row>
    <row r="672" spans="2:14" ht="15" customHeight="1" x14ac:dyDescent="0.2">
      <c r="B672" s="38"/>
      <c r="C672" s="174" t="s">
        <v>662</v>
      </c>
      <c r="D672" s="40"/>
      <c r="E672" s="40"/>
      <c r="F672" s="40"/>
      <c r="G672" s="40"/>
      <c r="H672" s="40"/>
      <c r="I672" s="40"/>
      <c r="J672" s="265" t="s">
        <v>661</v>
      </c>
      <c r="K672" s="41"/>
      <c r="N672" s="12" t="s">
        <v>894</v>
      </c>
    </row>
    <row r="673" spans="2:14" ht="15" customHeight="1" x14ac:dyDescent="0.2">
      <c r="B673" s="38"/>
      <c r="C673" s="174" t="s">
        <v>660</v>
      </c>
      <c r="D673" s="40"/>
      <c r="E673" s="40"/>
      <c r="F673" s="40"/>
      <c r="G673" s="40"/>
      <c r="H673" s="40"/>
      <c r="I673" s="40"/>
      <c r="J673" s="246" t="str">
        <f>IF(J672=N671,"N/A",IF(J672=N672,0,IF(J672=N673,1,IF(J672=N674,2,IF(J672=N675,3,IF(J672=N676,4,"N/A"))))))</f>
        <v>N/A</v>
      </c>
      <c r="K673" s="41"/>
      <c r="N673" s="12" t="s">
        <v>908</v>
      </c>
    </row>
    <row r="674" spans="2:14" ht="15" customHeight="1" x14ac:dyDescent="0.2">
      <c r="B674" s="38"/>
      <c r="C674" s="40" t="s">
        <v>257</v>
      </c>
      <c r="D674" s="40"/>
      <c r="E674" s="40"/>
      <c r="F674" s="40"/>
      <c r="G674" s="40"/>
      <c r="H674" s="40"/>
      <c r="I674" s="40"/>
      <c r="J674" s="266"/>
      <c r="K674" s="41"/>
      <c r="N674" s="12" t="s">
        <v>900</v>
      </c>
    </row>
    <row r="675" spans="2:14" x14ac:dyDescent="0.2">
      <c r="B675" s="38"/>
      <c r="C675" s="40" t="s">
        <v>261</v>
      </c>
      <c r="D675" s="40"/>
      <c r="E675" s="40"/>
      <c r="F675" s="40"/>
      <c r="G675" s="40"/>
      <c r="H675" s="40"/>
      <c r="I675" s="40"/>
      <c r="J675" s="245" t="str">
        <f>IF(J674=$B$973,$A$973,IF(J674=$B$974,$A$974,IF(J674=$B$975,$A$975,IF(J674=$B$976,$A$976,IF(J674=$B$977,$A$977,"Not Calculated")))))</f>
        <v>Not Calculated</v>
      </c>
      <c r="K675" s="41"/>
      <c r="N675" s="12" t="s">
        <v>901</v>
      </c>
    </row>
    <row r="676" spans="2:14" ht="15" customHeight="1" x14ac:dyDescent="0.2">
      <c r="B676" s="38"/>
      <c r="C676" s="40" t="s">
        <v>893</v>
      </c>
      <c r="D676" s="40"/>
      <c r="E676" s="40"/>
      <c r="F676" s="40"/>
      <c r="G676" s="40"/>
      <c r="H676" s="40"/>
      <c r="I676" s="40"/>
      <c r="J676" s="40"/>
      <c r="K676" s="41"/>
      <c r="N676" s="12" t="s">
        <v>909</v>
      </c>
    </row>
    <row r="677" spans="2:14" ht="15" customHeight="1" x14ac:dyDescent="0.2">
      <c r="B677" s="38"/>
      <c r="C677" s="399"/>
      <c r="D677" s="400"/>
      <c r="E677" s="400"/>
      <c r="F677" s="400"/>
      <c r="G677" s="400"/>
      <c r="H677" s="400"/>
      <c r="I677" s="400"/>
      <c r="J677" s="401"/>
      <c r="K677" s="41"/>
    </row>
    <row r="678" spans="2:14" x14ac:dyDescent="0.2">
      <c r="B678" s="38"/>
      <c r="C678" s="40"/>
      <c r="D678" s="40"/>
      <c r="E678" s="40"/>
      <c r="F678" s="40"/>
      <c r="G678" s="40"/>
      <c r="H678" s="40"/>
      <c r="I678" s="40"/>
      <c r="J678" s="40"/>
      <c r="K678" s="41"/>
    </row>
    <row r="679" spans="2:14" x14ac:dyDescent="0.2">
      <c r="B679" s="38"/>
      <c r="C679" s="179" t="s">
        <v>331</v>
      </c>
      <c r="D679" s="40"/>
      <c r="E679" s="40"/>
      <c r="F679" s="40"/>
      <c r="G679" s="40"/>
      <c r="H679" s="40"/>
      <c r="I679" s="40"/>
      <c r="J679" s="245" t="str">
        <f>IF(J673="N/A",IF(OR(J666="Not Calculated",J675="Not Calculated")=TRUE,"Not Calculated",AVERAGE(J666,J675)),AVERAGE(J673,J675))</f>
        <v>Not Calculated</v>
      </c>
      <c r="K679" s="41"/>
    </row>
    <row r="680" spans="2:14" x14ac:dyDescent="0.2">
      <c r="B680" s="38"/>
      <c r="C680" s="40"/>
      <c r="D680" s="40"/>
      <c r="E680" s="40"/>
      <c r="F680" s="40"/>
      <c r="G680" s="40"/>
      <c r="H680" s="40"/>
      <c r="I680" s="40"/>
      <c r="J680" s="40"/>
      <c r="K680" s="41"/>
    </row>
    <row r="681" spans="2:14" ht="18" x14ac:dyDescent="0.2">
      <c r="B681" s="38"/>
      <c r="C681" s="180" t="s">
        <v>332</v>
      </c>
      <c r="D681" s="40"/>
      <c r="E681" s="40"/>
      <c r="F681" s="40"/>
      <c r="G681" s="40"/>
      <c r="H681" s="40"/>
      <c r="I681" s="40"/>
      <c r="J681" s="244" t="str">
        <f>IF(OR(J562="Not Calculated",J585="Not Calculated",J601="Not Calculated",J615="Not Calculated",J635="Not Calculated",J657="Not Calculated",J679="Not Calculated")=TRUE,"Not Calculated",AVERAGE(J562,J585,J601,J615,J635,J657,J679))</f>
        <v>Not Calculated</v>
      </c>
      <c r="K681" s="41"/>
    </row>
    <row r="682" spans="2:14" ht="16" thickBot="1" x14ac:dyDescent="0.25">
      <c r="B682" s="46"/>
      <c r="C682" s="47"/>
      <c r="D682" s="47"/>
      <c r="E682" s="47"/>
      <c r="F682" s="47"/>
      <c r="G682" s="47"/>
      <c r="H682" s="47"/>
      <c r="I682" s="47"/>
      <c r="J682" s="47"/>
      <c r="K682" s="49"/>
    </row>
    <row r="683" spans="2:14" ht="16" thickBot="1" x14ac:dyDescent="0.25"/>
    <row r="684" spans="2:14" x14ac:dyDescent="0.2">
      <c r="B684" s="33"/>
      <c r="C684" s="34"/>
      <c r="D684" s="34"/>
      <c r="E684" s="34"/>
      <c r="F684" s="34"/>
      <c r="G684" s="34"/>
      <c r="H684" s="34"/>
      <c r="I684" s="34"/>
      <c r="J684" s="34"/>
      <c r="K684" s="37"/>
    </row>
    <row r="685" spans="2:14" ht="21" x14ac:dyDescent="0.25">
      <c r="B685" s="38"/>
      <c r="C685" s="40"/>
      <c r="D685" s="40"/>
      <c r="E685" s="40"/>
      <c r="F685" s="40"/>
      <c r="G685" s="172" t="s">
        <v>346</v>
      </c>
      <c r="H685" s="40"/>
      <c r="I685" s="40"/>
      <c r="J685" s="40"/>
      <c r="K685" s="41"/>
    </row>
    <row r="686" spans="2:14" x14ac:dyDescent="0.2">
      <c r="B686" s="38"/>
      <c r="C686" s="40"/>
      <c r="D686" s="40"/>
      <c r="E686" s="40"/>
      <c r="F686" s="40"/>
      <c r="G686" s="40"/>
      <c r="H686" s="40"/>
      <c r="I686" s="40"/>
      <c r="J686" s="40"/>
      <c r="K686" s="41"/>
    </row>
    <row r="687" spans="2:14" ht="16" x14ac:dyDescent="0.2">
      <c r="B687" s="38"/>
      <c r="C687" s="182" t="s">
        <v>986</v>
      </c>
      <c r="D687" s="40"/>
      <c r="E687" s="40"/>
      <c r="F687" s="40"/>
      <c r="G687" s="40"/>
      <c r="H687" s="40"/>
      <c r="I687" s="40"/>
      <c r="J687" s="257" t="str">
        <f>IF(OR($J$133="Not Calculated",$J$261="Not Calculated",$J$421="Not Calculated",$J$539="Not Calculated",$J$681="Not Calculated")=TRUE,"Not Calculated",AVERAGE($J$133,$J$261,$J$421,$J$539,$J$681))</f>
        <v>Not Calculated</v>
      </c>
      <c r="K687" s="41"/>
    </row>
    <row r="688" spans="2:14" x14ac:dyDescent="0.2">
      <c r="B688" s="38"/>
      <c r="C688" s="40"/>
      <c r="D688" s="40" t="s">
        <v>343</v>
      </c>
      <c r="E688" s="40"/>
      <c r="F688" s="40"/>
      <c r="G688" s="40"/>
      <c r="H688" s="40"/>
      <c r="I688" s="40"/>
      <c r="J688" s="40"/>
      <c r="K688" s="41"/>
    </row>
    <row r="689" spans="2:11" ht="15" customHeight="1" x14ac:dyDescent="0.2">
      <c r="B689" s="38"/>
      <c r="C689" s="40"/>
      <c r="D689" s="40"/>
      <c r="E689" s="40"/>
      <c r="F689" s="40"/>
      <c r="G689" s="40"/>
      <c r="H689" s="40"/>
      <c r="I689" s="40"/>
      <c r="J689" s="40"/>
      <c r="K689" s="41"/>
    </row>
    <row r="690" spans="2:11" ht="16" x14ac:dyDescent="0.2">
      <c r="B690" s="38"/>
      <c r="C690" s="182" t="s">
        <v>987</v>
      </c>
      <c r="D690" s="40"/>
      <c r="E690" s="40"/>
      <c r="F690" s="40"/>
      <c r="G690" s="40"/>
      <c r="H690" s="40"/>
      <c r="I690" s="40"/>
      <c r="J690" s="257" t="str">
        <f>IF(OR($J$133="Not Calculated",$J$261="Not Calculated",$J$539="Not Calculated",$J$681="Not Calculated")=TRUE,"Not Calculated",AVERAGE($J$133,$J$261,$J$539,$J$681))</f>
        <v>Not Calculated</v>
      </c>
      <c r="K690" s="41"/>
    </row>
    <row r="691" spans="2:11" ht="15" customHeight="1" x14ac:dyDescent="0.2">
      <c r="B691" s="38"/>
      <c r="C691" s="40"/>
      <c r="D691" s="40" t="s">
        <v>344</v>
      </c>
      <c r="E691" s="40"/>
      <c r="F691" s="40"/>
      <c r="G691" s="40"/>
      <c r="H691" s="40"/>
      <c r="I691" s="40"/>
      <c r="J691" s="40"/>
      <c r="K691" s="41"/>
    </row>
    <row r="692" spans="2:11" x14ac:dyDescent="0.2">
      <c r="B692" s="38"/>
      <c r="C692" s="40"/>
      <c r="D692" s="40"/>
      <c r="E692" s="40"/>
      <c r="F692" s="40"/>
      <c r="G692" s="40"/>
      <c r="H692" s="40"/>
      <c r="I692" s="40"/>
      <c r="J692" s="40"/>
      <c r="K692" s="41"/>
    </row>
    <row r="693" spans="2:11" ht="16" x14ac:dyDescent="0.2">
      <c r="B693" s="38"/>
      <c r="C693" s="182" t="s">
        <v>988</v>
      </c>
      <c r="D693" s="40"/>
      <c r="E693" s="40"/>
      <c r="F693" s="40"/>
      <c r="G693" s="40"/>
      <c r="H693" s="40"/>
      <c r="I693" s="40"/>
      <c r="J693" s="257" t="str">
        <f>IF(OR($J$133="Not Calculated",$J$261="Not Calculated",$J$421="Not Calculated")=TRUE,"Not Calculated",AVERAGE($J$133,$J$261,$J$421))</f>
        <v>Not Calculated</v>
      </c>
      <c r="K693" s="41"/>
    </row>
    <row r="694" spans="2:11" x14ac:dyDescent="0.2">
      <c r="B694" s="38"/>
      <c r="C694" s="40"/>
      <c r="D694" s="40" t="s">
        <v>345</v>
      </c>
      <c r="E694" s="40"/>
      <c r="F694" s="40"/>
      <c r="G694" s="40"/>
      <c r="H694" s="40"/>
      <c r="I694" s="40"/>
      <c r="J694" s="40"/>
      <c r="K694" s="41"/>
    </row>
    <row r="695" spans="2:11" ht="16" thickBot="1" x14ac:dyDescent="0.25">
      <c r="B695" s="46"/>
      <c r="C695" s="47"/>
      <c r="D695" s="47"/>
      <c r="E695" s="47"/>
      <c r="F695" s="47"/>
      <c r="G695" s="47"/>
      <c r="H695" s="47"/>
      <c r="I695" s="47"/>
      <c r="J695" s="47"/>
      <c r="K695" s="49"/>
    </row>
    <row r="696" spans="2:11" ht="16" thickBot="1" x14ac:dyDescent="0.25"/>
    <row r="697" spans="2:11" x14ac:dyDescent="0.2">
      <c r="B697" s="183"/>
      <c r="C697" s="184"/>
      <c r="D697" s="184"/>
      <c r="E697" s="184"/>
      <c r="F697" s="184"/>
      <c r="G697" s="184"/>
      <c r="H697" s="184"/>
      <c r="I697" s="184"/>
      <c r="J697" s="184"/>
      <c r="K697" s="185"/>
    </row>
    <row r="698" spans="2:11" ht="21" x14ac:dyDescent="0.25">
      <c r="B698" s="186"/>
      <c r="C698" s="187"/>
      <c r="D698" s="187"/>
      <c r="E698" s="187"/>
      <c r="F698" s="187"/>
      <c r="G698" s="188" t="s">
        <v>231</v>
      </c>
      <c r="H698" s="187"/>
      <c r="I698" s="187"/>
      <c r="J698" s="187"/>
      <c r="K698" s="189"/>
    </row>
    <row r="699" spans="2:11" x14ac:dyDescent="0.2">
      <c r="B699" s="186"/>
      <c r="C699" s="187"/>
      <c r="D699" s="187"/>
      <c r="E699" s="187"/>
      <c r="F699" s="187"/>
      <c r="G699" s="187"/>
      <c r="H699" s="187"/>
      <c r="I699" s="187"/>
      <c r="J699" s="187"/>
      <c r="K699" s="189"/>
    </row>
    <row r="700" spans="2:11" ht="16" x14ac:dyDescent="0.2">
      <c r="B700" s="186"/>
      <c r="C700" s="190" t="s">
        <v>989</v>
      </c>
      <c r="D700" s="187"/>
      <c r="E700" s="187"/>
      <c r="F700" s="187"/>
      <c r="G700" s="187"/>
      <c r="H700" s="187"/>
      <c r="I700" s="187"/>
      <c r="J700" s="256" t="str">
        <f>IF(OR(J687="Not Calculated",$E$17="Not Calculated")=TRUE,"Not Calculated",(J687*$E$17*100/16))</f>
        <v>Not Calculated</v>
      </c>
      <c r="K700" s="189"/>
    </row>
    <row r="701" spans="2:11" x14ac:dyDescent="0.2">
      <c r="B701" s="186"/>
      <c r="C701" s="187"/>
      <c r="D701" s="187" t="s">
        <v>377</v>
      </c>
      <c r="E701" s="187"/>
      <c r="F701" s="187"/>
      <c r="G701" s="187"/>
      <c r="H701" s="187"/>
      <c r="I701" s="187"/>
      <c r="J701" s="187"/>
      <c r="K701" s="189"/>
    </row>
    <row r="702" spans="2:11" x14ac:dyDescent="0.2">
      <c r="B702" s="186"/>
      <c r="C702" s="187"/>
      <c r="D702" s="187"/>
      <c r="E702" s="187"/>
      <c r="F702" s="187"/>
      <c r="G702" s="187"/>
      <c r="H702" s="187"/>
      <c r="I702" s="187"/>
      <c r="J702" s="187"/>
      <c r="K702" s="189"/>
    </row>
    <row r="703" spans="2:11" ht="16" x14ac:dyDescent="0.2">
      <c r="B703" s="186"/>
      <c r="C703" s="190" t="s">
        <v>990</v>
      </c>
      <c r="D703" s="187"/>
      <c r="E703" s="187"/>
      <c r="F703" s="187"/>
      <c r="G703" s="187"/>
      <c r="H703" s="187"/>
      <c r="I703" s="187"/>
      <c r="J703" s="256" t="str">
        <f>IF(OR(J690="Not Calculated",$E$17="Not Calculated")=TRUE,"Not Calculated",(J690*$E$17*100/16))</f>
        <v>Not Calculated</v>
      </c>
      <c r="K703" s="189"/>
    </row>
    <row r="704" spans="2:11" x14ac:dyDescent="0.2">
      <c r="B704" s="186"/>
      <c r="C704" s="187"/>
      <c r="D704" s="187" t="s">
        <v>378</v>
      </c>
      <c r="E704" s="187"/>
      <c r="F704" s="187"/>
      <c r="G704" s="187"/>
      <c r="H704" s="187"/>
      <c r="I704" s="187"/>
      <c r="J704" s="187"/>
      <c r="K704" s="189"/>
    </row>
    <row r="705" spans="2:11" x14ac:dyDescent="0.2">
      <c r="B705" s="186"/>
      <c r="C705" s="187"/>
      <c r="D705" s="187"/>
      <c r="E705" s="187"/>
      <c r="F705" s="187"/>
      <c r="G705" s="187"/>
      <c r="H705" s="187"/>
      <c r="I705" s="187"/>
      <c r="J705" s="187"/>
      <c r="K705" s="189"/>
    </row>
    <row r="706" spans="2:11" ht="16" x14ac:dyDescent="0.2">
      <c r="B706" s="186"/>
      <c r="C706" s="190" t="s">
        <v>991</v>
      </c>
      <c r="D706" s="187"/>
      <c r="E706" s="187"/>
      <c r="F706" s="187"/>
      <c r="G706" s="187"/>
      <c r="H706" s="187"/>
      <c r="I706" s="187"/>
      <c r="J706" s="256" t="str">
        <f>IF(OR(J693="Not Calculated",$E$17="Not Calculated")=TRUE,"Not Calculated",(J693*$E$17*100/16))</f>
        <v>Not Calculated</v>
      </c>
      <c r="K706" s="189"/>
    </row>
    <row r="707" spans="2:11" x14ac:dyDescent="0.2">
      <c r="B707" s="186"/>
      <c r="C707" s="187"/>
      <c r="D707" s="187" t="s">
        <v>379</v>
      </c>
      <c r="E707" s="187"/>
      <c r="F707" s="187"/>
      <c r="G707" s="187"/>
      <c r="H707" s="187"/>
      <c r="I707" s="187"/>
      <c r="J707" s="187"/>
      <c r="K707" s="189"/>
    </row>
    <row r="708" spans="2:11" ht="16" thickBot="1" x14ac:dyDescent="0.25">
      <c r="B708" s="191"/>
      <c r="C708" s="192"/>
      <c r="D708" s="192"/>
      <c r="E708" s="192"/>
      <c r="F708" s="192"/>
      <c r="G708" s="192"/>
      <c r="H708" s="192"/>
      <c r="I708" s="192"/>
      <c r="J708" s="192"/>
      <c r="K708" s="193"/>
    </row>
    <row r="709" spans="2:11" ht="16" thickBot="1" x14ac:dyDescent="0.25"/>
    <row r="710" spans="2:11" x14ac:dyDescent="0.2">
      <c r="B710" s="53"/>
      <c r="C710" s="54"/>
      <c r="D710" s="54"/>
      <c r="E710" s="54"/>
      <c r="F710" s="54"/>
      <c r="G710" s="54"/>
      <c r="H710" s="54"/>
      <c r="I710" s="54"/>
      <c r="J710" s="54"/>
      <c r="K710" s="56"/>
    </row>
    <row r="711" spans="2:11" ht="21" x14ac:dyDescent="0.25">
      <c r="B711" s="57"/>
      <c r="C711" s="59"/>
      <c r="D711" s="59"/>
      <c r="E711" s="59"/>
      <c r="F711" s="59"/>
      <c r="G711" s="194" t="s">
        <v>232</v>
      </c>
      <c r="H711" s="59"/>
      <c r="I711" s="59"/>
      <c r="J711" s="59"/>
      <c r="K711" s="61"/>
    </row>
    <row r="712" spans="2:11" x14ac:dyDescent="0.2">
      <c r="B712" s="57"/>
      <c r="C712" s="59"/>
      <c r="D712" s="59"/>
      <c r="E712" s="59"/>
      <c r="F712" s="59"/>
      <c r="G712" s="59"/>
      <c r="H712" s="59"/>
      <c r="I712" s="59"/>
      <c r="J712" s="59"/>
      <c r="K712" s="61"/>
    </row>
    <row r="713" spans="2:11" ht="16" x14ac:dyDescent="0.2">
      <c r="B713" s="57"/>
      <c r="C713" s="195" t="s">
        <v>363</v>
      </c>
      <c r="D713" s="59"/>
      <c r="E713" s="59"/>
      <c r="F713" s="59"/>
      <c r="G713" s="59"/>
      <c r="H713" s="59"/>
      <c r="I713" s="59"/>
      <c r="J713" s="59"/>
      <c r="K713" s="61"/>
    </row>
    <row r="714" spans="2:11" ht="15" customHeight="1" x14ac:dyDescent="0.2">
      <c r="B714" s="57"/>
      <c r="C714" s="411" t="s">
        <v>364</v>
      </c>
      <c r="D714" s="411"/>
      <c r="E714" s="411"/>
      <c r="F714" s="411"/>
      <c r="G714" s="411"/>
      <c r="H714" s="411"/>
      <c r="I714" s="411"/>
      <c r="J714" s="411"/>
      <c r="K714" s="61"/>
    </row>
    <row r="715" spans="2:11" x14ac:dyDescent="0.2">
      <c r="B715" s="57"/>
      <c r="C715" s="411"/>
      <c r="D715" s="411"/>
      <c r="E715" s="411"/>
      <c r="F715" s="411"/>
      <c r="G715" s="411"/>
      <c r="H715" s="411"/>
      <c r="I715" s="411"/>
      <c r="J715" s="411"/>
      <c r="K715" s="61"/>
    </row>
    <row r="716" spans="2:11" x14ac:dyDescent="0.2">
      <c r="B716" s="57"/>
      <c r="C716" s="411"/>
      <c r="D716" s="411"/>
      <c r="E716" s="411"/>
      <c r="F716" s="411"/>
      <c r="G716" s="411"/>
      <c r="H716" s="411"/>
      <c r="I716" s="411"/>
      <c r="J716" s="411"/>
      <c r="K716" s="61"/>
    </row>
    <row r="717" spans="2:11" x14ac:dyDescent="0.2">
      <c r="B717" s="57"/>
      <c r="C717" s="196" t="s">
        <v>30</v>
      </c>
      <c r="D717" s="59"/>
      <c r="E717" s="59"/>
      <c r="F717" s="59"/>
      <c r="G717" s="431"/>
      <c r="H717" s="431"/>
      <c r="I717" s="59"/>
      <c r="J717" s="260" t="str">
        <f>IF(G717=$B$994,$A$994,IF(G717=$B$995,$A$995,"Not Calculated"))</f>
        <v>Not Calculated</v>
      </c>
      <c r="K717" s="61"/>
    </row>
    <row r="718" spans="2:11" x14ac:dyDescent="0.2">
      <c r="B718" s="57"/>
      <c r="C718" s="196" t="s">
        <v>32</v>
      </c>
      <c r="D718" s="59"/>
      <c r="E718" s="59"/>
      <c r="F718" s="59"/>
      <c r="G718" s="431"/>
      <c r="H718" s="431"/>
      <c r="I718" s="59"/>
      <c r="J718" s="260" t="str">
        <f t="shared" ref="J718:J725" si="0">IF(G718=$B$994,$A$994,IF(G718=$B$995,$A$995,"Not Calculated"))</f>
        <v>Not Calculated</v>
      </c>
      <c r="K718" s="61"/>
    </row>
    <row r="719" spans="2:11" x14ac:dyDescent="0.2">
      <c r="B719" s="57"/>
      <c r="C719" s="196" t="s">
        <v>34</v>
      </c>
      <c r="D719" s="59"/>
      <c r="E719" s="59"/>
      <c r="F719" s="59"/>
      <c r="G719" s="431"/>
      <c r="H719" s="431"/>
      <c r="I719" s="59"/>
      <c r="J719" s="260" t="str">
        <f t="shared" si="0"/>
        <v>Not Calculated</v>
      </c>
      <c r="K719" s="61"/>
    </row>
    <row r="720" spans="2:11" x14ac:dyDescent="0.2">
      <c r="B720" s="57"/>
      <c r="C720" s="196" t="s">
        <v>35</v>
      </c>
      <c r="D720" s="59"/>
      <c r="E720" s="59"/>
      <c r="F720" s="59"/>
      <c r="G720" s="431"/>
      <c r="H720" s="431"/>
      <c r="I720" s="59"/>
      <c r="J720" s="260" t="str">
        <f t="shared" si="0"/>
        <v>Not Calculated</v>
      </c>
      <c r="K720" s="61"/>
    </row>
    <row r="721" spans="2:11" x14ac:dyDescent="0.2">
      <c r="B721" s="57"/>
      <c r="C721" s="196" t="s">
        <v>37</v>
      </c>
      <c r="D721" s="59"/>
      <c r="E721" s="59"/>
      <c r="F721" s="59"/>
      <c r="G721" s="431"/>
      <c r="H721" s="431"/>
      <c r="I721" s="59"/>
      <c r="J721" s="260" t="str">
        <f t="shared" si="0"/>
        <v>Not Calculated</v>
      </c>
      <c r="K721" s="61"/>
    </row>
    <row r="722" spans="2:11" x14ac:dyDescent="0.2">
      <c r="B722" s="57"/>
      <c r="C722" s="196" t="s">
        <v>38</v>
      </c>
      <c r="D722" s="59"/>
      <c r="E722" s="59"/>
      <c r="F722" s="59"/>
      <c r="G722" s="431"/>
      <c r="H722" s="431"/>
      <c r="I722" s="59"/>
      <c r="J722" s="260" t="str">
        <f t="shared" si="0"/>
        <v>Not Calculated</v>
      </c>
      <c r="K722" s="61"/>
    </row>
    <row r="723" spans="2:11" x14ac:dyDescent="0.2">
      <c r="B723" s="57"/>
      <c r="C723" s="196" t="s">
        <v>40</v>
      </c>
      <c r="D723" s="59"/>
      <c r="E723" s="59"/>
      <c r="F723" s="59"/>
      <c r="G723" s="431"/>
      <c r="H723" s="431"/>
      <c r="I723" s="59"/>
      <c r="J723" s="260" t="str">
        <f t="shared" si="0"/>
        <v>Not Calculated</v>
      </c>
      <c r="K723" s="61"/>
    </row>
    <row r="724" spans="2:11" x14ac:dyDescent="0.2">
      <c r="B724" s="57"/>
      <c r="C724" s="196" t="s">
        <v>41</v>
      </c>
      <c r="D724" s="59"/>
      <c r="E724" s="59"/>
      <c r="F724" s="59"/>
      <c r="G724" s="431"/>
      <c r="H724" s="431"/>
      <c r="I724" s="59"/>
      <c r="J724" s="260" t="str">
        <f t="shared" si="0"/>
        <v>Not Calculated</v>
      </c>
      <c r="K724" s="61"/>
    </row>
    <row r="725" spans="2:11" x14ac:dyDescent="0.2">
      <c r="B725" s="57"/>
      <c r="C725" s="196" t="s">
        <v>43</v>
      </c>
      <c r="D725" s="59"/>
      <c r="E725" s="59"/>
      <c r="F725" s="59"/>
      <c r="G725" s="431"/>
      <c r="H725" s="431"/>
      <c r="I725" s="59"/>
      <c r="J725" s="260" t="str">
        <f t="shared" si="0"/>
        <v>Not Calculated</v>
      </c>
      <c r="K725" s="61"/>
    </row>
    <row r="726" spans="2:11" x14ac:dyDescent="0.2">
      <c r="B726" s="57"/>
      <c r="C726" s="59"/>
      <c r="D726" s="59"/>
      <c r="E726" s="59"/>
      <c r="F726" s="59"/>
      <c r="G726" s="59"/>
      <c r="H726" s="59"/>
      <c r="I726" s="59"/>
      <c r="J726" s="59"/>
      <c r="K726" s="61"/>
    </row>
    <row r="727" spans="2:11" x14ac:dyDescent="0.2">
      <c r="B727" s="57"/>
      <c r="C727" s="59"/>
      <c r="D727" s="59"/>
      <c r="E727" s="59"/>
      <c r="F727" s="59"/>
      <c r="G727" s="59"/>
      <c r="H727" s="59"/>
      <c r="I727" s="59"/>
      <c r="J727" s="59"/>
      <c r="K727" s="61"/>
    </row>
    <row r="728" spans="2:11" ht="16" x14ac:dyDescent="0.2">
      <c r="B728" s="57"/>
      <c r="C728" s="195" t="s">
        <v>115</v>
      </c>
      <c r="D728" s="59"/>
      <c r="E728" s="59"/>
      <c r="F728" s="59"/>
      <c r="G728" s="59"/>
      <c r="H728" s="59"/>
      <c r="I728" s="59"/>
      <c r="J728" s="59"/>
      <c r="K728" s="61"/>
    </row>
    <row r="729" spans="2:11" ht="15" customHeight="1" x14ac:dyDescent="0.2">
      <c r="B729" s="57"/>
      <c r="C729" s="411" t="s">
        <v>365</v>
      </c>
      <c r="D729" s="411"/>
      <c r="E729" s="411"/>
      <c r="F729" s="411"/>
      <c r="G729" s="411"/>
      <c r="H729" s="411"/>
      <c r="I729" s="411"/>
      <c r="J729" s="411"/>
      <c r="K729" s="61"/>
    </row>
    <row r="730" spans="2:11" x14ac:dyDescent="0.2">
      <c r="B730" s="57"/>
      <c r="C730" s="411"/>
      <c r="D730" s="411"/>
      <c r="E730" s="411"/>
      <c r="F730" s="411"/>
      <c r="G730" s="411"/>
      <c r="H730" s="411"/>
      <c r="I730" s="411"/>
      <c r="J730" s="411"/>
      <c r="K730" s="61"/>
    </row>
    <row r="731" spans="2:11" x14ac:dyDescent="0.2">
      <c r="B731" s="57"/>
      <c r="C731" s="411"/>
      <c r="D731" s="411"/>
      <c r="E731" s="411"/>
      <c r="F731" s="411"/>
      <c r="G731" s="411"/>
      <c r="H731" s="411"/>
      <c r="I731" s="411"/>
      <c r="J731" s="411"/>
      <c r="K731" s="61"/>
    </row>
    <row r="732" spans="2:11" x14ac:dyDescent="0.2">
      <c r="B732" s="57"/>
      <c r="C732" s="196" t="s">
        <v>30</v>
      </c>
      <c r="D732" s="59"/>
      <c r="E732" s="59"/>
      <c r="F732" s="59"/>
      <c r="G732" s="431"/>
      <c r="H732" s="431"/>
      <c r="I732" s="59"/>
      <c r="J732" s="260" t="str">
        <f>IF(G732=$B$994,$A$994,IF(G732=$B$995,$A$995,"Not Calculated"))</f>
        <v>Not Calculated</v>
      </c>
      <c r="K732" s="61"/>
    </row>
    <row r="733" spans="2:11" x14ac:dyDescent="0.2">
      <c r="B733" s="57"/>
      <c r="C733" s="196" t="s">
        <v>32</v>
      </c>
      <c r="D733" s="59"/>
      <c r="E733" s="59"/>
      <c r="F733" s="59"/>
      <c r="G733" s="431"/>
      <c r="H733" s="431"/>
      <c r="I733" s="59"/>
      <c r="J733" s="260" t="str">
        <f t="shared" ref="J733:J740" si="1">IF(G733=$B$994,$A$994,IF(G733=$B$995,$A$995,"Not Calculated"))</f>
        <v>Not Calculated</v>
      </c>
      <c r="K733" s="61"/>
    </row>
    <row r="734" spans="2:11" ht="15" customHeight="1" x14ac:dyDescent="0.2">
      <c r="B734" s="57"/>
      <c r="C734" s="196" t="s">
        <v>34</v>
      </c>
      <c r="D734" s="59"/>
      <c r="E734" s="59"/>
      <c r="F734" s="59"/>
      <c r="G734" s="431"/>
      <c r="H734" s="431"/>
      <c r="I734" s="59"/>
      <c r="J734" s="260" t="str">
        <f t="shared" si="1"/>
        <v>Not Calculated</v>
      </c>
      <c r="K734" s="61"/>
    </row>
    <row r="735" spans="2:11" x14ac:dyDescent="0.2">
      <c r="B735" s="57"/>
      <c r="C735" s="196" t="s">
        <v>35</v>
      </c>
      <c r="D735" s="59"/>
      <c r="E735" s="59"/>
      <c r="F735" s="59"/>
      <c r="G735" s="431"/>
      <c r="H735" s="431"/>
      <c r="I735" s="59"/>
      <c r="J735" s="260" t="str">
        <f t="shared" si="1"/>
        <v>Not Calculated</v>
      </c>
      <c r="K735" s="61"/>
    </row>
    <row r="736" spans="2:11" x14ac:dyDescent="0.2">
      <c r="B736" s="57"/>
      <c r="C736" s="196" t="s">
        <v>37</v>
      </c>
      <c r="D736" s="59"/>
      <c r="E736" s="59"/>
      <c r="F736" s="59"/>
      <c r="G736" s="431"/>
      <c r="H736" s="431"/>
      <c r="I736" s="59"/>
      <c r="J736" s="260" t="str">
        <f t="shared" si="1"/>
        <v>Not Calculated</v>
      </c>
      <c r="K736" s="61"/>
    </row>
    <row r="737" spans="2:11" x14ac:dyDescent="0.2">
      <c r="B737" s="57"/>
      <c r="C737" s="196" t="s">
        <v>38</v>
      </c>
      <c r="D737" s="59"/>
      <c r="E737" s="59"/>
      <c r="F737" s="59"/>
      <c r="G737" s="431"/>
      <c r="H737" s="431"/>
      <c r="I737" s="59"/>
      <c r="J737" s="260" t="str">
        <f t="shared" si="1"/>
        <v>Not Calculated</v>
      </c>
      <c r="K737" s="61"/>
    </row>
    <row r="738" spans="2:11" x14ac:dyDescent="0.2">
      <c r="B738" s="57"/>
      <c r="C738" s="196" t="s">
        <v>40</v>
      </c>
      <c r="D738" s="59"/>
      <c r="E738" s="59"/>
      <c r="F738" s="59"/>
      <c r="G738" s="431"/>
      <c r="H738" s="431"/>
      <c r="I738" s="59"/>
      <c r="J738" s="260" t="str">
        <f t="shared" si="1"/>
        <v>Not Calculated</v>
      </c>
      <c r="K738" s="61"/>
    </row>
    <row r="739" spans="2:11" x14ac:dyDescent="0.2">
      <c r="B739" s="57"/>
      <c r="C739" s="196" t="s">
        <v>41</v>
      </c>
      <c r="D739" s="59"/>
      <c r="E739" s="59"/>
      <c r="F739" s="59"/>
      <c r="G739" s="431"/>
      <c r="H739" s="431"/>
      <c r="I739" s="59"/>
      <c r="J739" s="260" t="str">
        <f t="shared" si="1"/>
        <v>Not Calculated</v>
      </c>
      <c r="K739" s="61"/>
    </row>
    <row r="740" spans="2:11" x14ac:dyDescent="0.2">
      <c r="B740" s="57"/>
      <c r="C740" s="196" t="s">
        <v>43</v>
      </c>
      <c r="D740" s="59"/>
      <c r="E740" s="59"/>
      <c r="F740" s="59"/>
      <c r="G740" s="431"/>
      <c r="H740" s="431"/>
      <c r="I740" s="59"/>
      <c r="J740" s="260" t="str">
        <f t="shared" si="1"/>
        <v>Not Calculated</v>
      </c>
      <c r="K740" s="61"/>
    </row>
    <row r="741" spans="2:11" x14ac:dyDescent="0.2">
      <c r="B741" s="57"/>
      <c r="C741" s="59"/>
      <c r="D741" s="59"/>
      <c r="E741" s="59"/>
      <c r="F741" s="59"/>
      <c r="G741" s="59"/>
      <c r="H741" s="59"/>
      <c r="I741" s="59"/>
      <c r="J741" s="59"/>
      <c r="K741" s="61"/>
    </row>
    <row r="742" spans="2:11" x14ac:dyDescent="0.2">
      <c r="B742" s="57"/>
      <c r="C742" s="59"/>
      <c r="D742" s="59"/>
      <c r="E742" s="59"/>
      <c r="F742" s="59"/>
      <c r="G742" s="59"/>
      <c r="H742" s="59"/>
      <c r="I742" s="59"/>
      <c r="J742" s="59"/>
      <c r="K742" s="61"/>
    </row>
    <row r="743" spans="2:11" ht="16" x14ac:dyDescent="0.2">
      <c r="B743" s="57"/>
      <c r="C743" s="195" t="s">
        <v>366</v>
      </c>
      <c r="D743" s="59"/>
      <c r="E743" s="59"/>
      <c r="F743" s="59"/>
      <c r="G743" s="59"/>
      <c r="H743" s="59"/>
      <c r="I743" s="59"/>
      <c r="J743" s="59"/>
      <c r="K743" s="61"/>
    </row>
    <row r="744" spans="2:11" ht="15" customHeight="1" x14ac:dyDescent="0.2">
      <c r="B744" s="57"/>
      <c r="C744" s="411" t="s">
        <v>367</v>
      </c>
      <c r="D744" s="411"/>
      <c r="E744" s="411"/>
      <c r="F744" s="411"/>
      <c r="G744" s="411"/>
      <c r="H744" s="411"/>
      <c r="I744" s="411"/>
      <c r="J744" s="411"/>
      <c r="K744" s="61"/>
    </row>
    <row r="745" spans="2:11" x14ac:dyDescent="0.2">
      <c r="B745" s="57"/>
      <c r="C745" s="411"/>
      <c r="D745" s="411"/>
      <c r="E745" s="411"/>
      <c r="F745" s="411"/>
      <c r="G745" s="411"/>
      <c r="H745" s="411"/>
      <c r="I745" s="411"/>
      <c r="J745" s="411"/>
      <c r="K745" s="61"/>
    </row>
    <row r="746" spans="2:11" x14ac:dyDescent="0.2">
      <c r="B746" s="57"/>
      <c r="C746" s="411"/>
      <c r="D746" s="411"/>
      <c r="E746" s="411"/>
      <c r="F746" s="411"/>
      <c r="G746" s="411"/>
      <c r="H746" s="411"/>
      <c r="I746" s="411"/>
      <c r="J746" s="411"/>
      <c r="K746" s="61"/>
    </row>
    <row r="747" spans="2:11" x14ac:dyDescent="0.2">
      <c r="B747" s="57"/>
      <c r="C747" s="196" t="s">
        <v>30</v>
      </c>
      <c r="D747" s="59"/>
      <c r="E747" s="59"/>
      <c r="F747" s="59"/>
      <c r="G747" s="431"/>
      <c r="H747" s="431"/>
      <c r="I747" s="59"/>
      <c r="J747" s="260" t="str">
        <f>IF(G747=$B$994,$A$994,IF(G747=$B$995,$A$995,"Not Calculated"))</f>
        <v>Not Calculated</v>
      </c>
      <c r="K747" s="61"/>
    </row>
    <row r="748" spans="2:11" x14ac:dyDescent="0.2">
      <c r="B748" s="57"/>
      <c r="C748" s="196" t="s">
        <v>32</v>
      </c>
      <c r="D748" s="59"/>
      <c r="E748" s="59"/>
      <c r="F748" s="59"/>
      <c r="G748" s="431"/>
      <c r="H748" s="431"/>
      <c r="I748" s="59"/>
      <c r="J748" s="260" t="str">
        <f t="shared" ref="J748:J755" si="2">IF(G748=$B$994,$A$994,IF(G748=$B$995,$A$995,"Not Calculated"))</f>
        <v>Not Calculated</v>
      </c>
      <c r="K748" s="61"/>
    </row>
    <row r="749" spans="2:11" ht="15" customHeight="1" x14ac:dyDescent="0.2">
      <c r="B749" s="57"/>
      <c r="C749" s="196" t="s">
        <v>34</v>
      </c>
      <c r="D749" s="59"/>
      <c r="E749" s="59"/>
      <c r="F749" s="59"/>
      <c r="G749" s="431"/>
      <c r="H749" s="431"/>
      <c r="I749" s="59"/>
      <c r="J749" s="260" t="str">
        <f t="shared" si="2"/>
        <v>Not Calculated</v>
      </c>
      <c r="K749" s="61"/>
    </row>
    <row r="750" spans="2:11" x14ac:dyDescent="0.2">
      <c r="B750" s="57"/>
      <c r="C750" s="196" t="s">
        <v>35</v>
      </c>
      <c r="D750" s="59"/>
      <c r="E750" s="59"/>
      <c r="F750" s="59"/>
      <c r="G750" s="431"/>
      <c r="H750" s="431"/>
      <c r="I750" s="59"/>
      <c r="J750" s="260" t="str">
        <f t="shared" si="2"/>
        <v>Not Calculated</v>
      </c>
      <c r="K750" s="61"/>
    </row>
    <row r="751" spans="2:11" x14ac:dyDescent="0.2">
      <c r="B751" s="57"/>
      <c r="C751" s="196" t="s">
        <v>37</v>
      </c>
      <c r="D751" s="59"/>
      <c r="E751" s="59"/>
      <c r="F751" s="59"/>
      <c r="G751" s="431"/>
      <c r="H751" s="431"/>
      <c r="I751" s="59"/>
      <c r="J751" s="260" t="str">
        <f t="shared" si="2"/>
        <v>Not Calculated</v>
      </c>
      <c r="K751" s="61"/>
    </row>
    <row r="752" spans="2:11" x14ac:dyDescent="0.2">
      <c r="B752" s="57"/>
      <c r="C752" s="196" t="s">
        <v>38</v>
      </c>
      <c r="D752" s="59"/>
      <c r="E752" s="59"/>
      <c r="F752" s="59"/>
      <c r="G752" s="431"/>
      <c r="H752" s="431"/>
      <c r="I752" s="59"/>
      <c r="J752" s="260" t="str">
        <f t="shared" si="2"/>
        <v>Not Calculated</v>
      </c>
      <c r="K752" s="61"/>
    </row>
    <row r="753" spans="2:11" x14ac:dyDescent="0.2">
      <c r="B753" s="57"/>
      <c r="C753" s="196" t="s">
        <v>40</v>
      </c>
      <c r="D753" s="59"/>
      <c r="E753" s="59"/>
      <c r="F753" s="59"/>
      <c r="G753" s="431"/>
      <c r="H753" s="431"/>
      <c r="I753" s="59"/>
      <c r="J753" s="260" t="str">
        <f t="shared" si="2"/>
        <v>Not Calculated</v>
      </c>
      <c r="K753" s="61"/>
    </row>
    <row r="754" spans="2:11" x14ac:dyDescent="0.2">
      <c r="B754" s="57"/>
      <c r="C754" s="196" t="s">
        <v>41</v>
      </c>
      <c r="D754" s="59"/>
      <c r="E754" s="59"/>
      <c r="F754" s="59"/>
      <c r="G754" s="431"/>
      <c r="H754" s="431"/>
      <c r="I754" s="59"/>
      <c r="J754" s="260" t="str">
        <f t="shared" si="2"/>
        <v>Not Calculated</v>
      </c>
      <c r="K754" s="61"/>
    </row>
    <row r="755" spans="2:11" x14ac:dyDescent="0.2">
      <c r="B755" s="57"/>
      <c r="C755" s="196" t="s">
        <v>43</v>
      </c>
      <c r="D755" s="59"/>
      <c r="E755" s="59"/>
      <c r="F755" s="59"/>
      <c r="G755" s="431"/>
      <c r="H755" s="431"/>
      <c r="I755" s="59"/>
      <c r="J755" s="260" t="str">
        <f t="shared" si="2"/>
        <v>Not Calculated</v>
      </c>
      <c r="K755" s="61"/>
    </row>
    <row r="756" spans="2:11" x14ac:dyDescent="0.2">
      <c r="B756" s="57"/>
      <c r="C756" s="59"/>
      <c r="D756" s="59"/>
      <c r="E756" s="59"/>
      <c r="F756" s="59"/>
      <c r="G756" s="59"/>
      <c r="H756" s="59"/>
      <c r="I756" s="59"/>
      <c r="J756" s="59"/>
      <c r="K756" s="61"/>
    </row>
    <row r="757" spans="2:11" x14ac:dyDescent="0.2">
      <c r="B757" s="57"/>
      <c r="C757" s="59"/>
      <c r="D757" s="59"/>
      <c r="E757" s="59"/>
      <c r="F757" s="59"/>
      <c r="G757" s="59"/>
      <c r="H757" s="59"/>
      <c r="I757" s="59"/>
      <c r="J757" s="59"/>
      <c r="K757" s="61"/>
    </row>
    <row r="758" spans="2:11" ht="16" x14ac:dyDescent="0.2">
      <c r="B758" s="57"/>
      <c r="C758" s="195" t="s">
        <v>368</v>
      </c>
      <c r="D758" s="59"/>
      <c r="E758" s="59"/>
      <c r="F758" s="59"/>
      <c r="G758" s="59"/>
      <c r="H758" s="59"/>
      <c r="I758" s="59"/>
      <c r="J758" s="59"/>
      <c r="K758" s="61"/>
    </row>
    <row r="759" spans="2:11" ht="15" customHeight="1" x14ac:dyDescent="0.2">
      <c r="B759" s="57"/>
      <c r="C759" s="411" t="s">
        <v>369</v>
      </c>
      <c r="D759" s="411"/>
      <c r="E759" s="411"/>
      <c r="F759" s="411"/>
      <c r="G759" s="411"/>
      <c r="H759" s="411"/>
      <c r="I759" s="411"/>
      <c r="J759" s="411"/>
      <c r="K759" s="61"/>
    </row>
    <row r="760" spans="2:11" x14ac:dyDescent="0.2">
      <c r="B760" s="57"/>
      <c r="C760" s="411"/>
      <c r="D760" s="411"/>
      <c r="E760" s="411"/>
      <c r="F760" s="411"/>
      <c r="G760" s="411"/>
      <c r="H760" s="411"/>
      <c r="I760" s="411"/>
      <c r="J760" s="411"/>
      <c r="K760" s="61"/>
    </row>
    <row r="761" spans="2:11" x14ac:dyDescent="0.2">
      <c r="B761" s="57"/>
      <c r="C761" s="411"/>
      <c r="D761" s="411"/>
      <c r="E761" s="411"/>
      <c r="F761" s="411"/>
      <c r="G761" s="411"/>
      <c r="H761" s="411"/>
      <c r="I761" s="411"/>
      <c r="J761" s="411"/>
      <c r="K761" s="61"/>
    </row>
    <row r="762" spans="2:11" x14ac:dyDescent="0.2">
      <c r="B762" s="57"/>
      <c r="C762" s="196" t="s">
        <v>30</v>
      </c>
      <c r="D762" s="59"/>
      <c r="E762" s="59"/>
      <c r="F762" s="59"/>
      <c r="G762" s="431"/>
      <c r="H762" s="431"/>
      <c r="I762" s="59"/>
      <c r="J762" s="260" t="str">
        <f>IF(G762=$B$994,$A$994,IF(G762=$B$995,$A$995,"Not Calculated"))</f>
        <v>Not Calculated</v>
      </c>
      <c r="K762" s="61"/>
    </row>
    <row r="763" spans="2:11" x14ac:dyDescent="0.2">
      <c r="B763" s="57"/>
      <c r="C763" s="196" t="s">
        <v>32</v>
      </c>
      <c r="D763" s="59"/>
      <c r="E763" s="59"/>
      <c r="F763" s="59"/>
      <c r="G763" s="431"/>
      <c r="H763" s="431"/>
      <c r="I763" s="59"/>
      <c r="J763" s="260" t="str">
        <f t="shared" ref="J763:J770" si="3">IF(G763=$B$994,$A$994,IF(G763=$B$995,$A$995,"Not Calculated"))</f>
        <v>Not Calculated</v>
      </c>
      <c r="K763" s="61"/>
    </row>
    <row r="764" spans="2:11" ht="15" customHeight="1" x14ac:dyDescent="0.2">
      <c r="B764" s="57"/>
      <c r="C764" s="196" t="s">
        <v>34</v>
      </c>
      <c r="D764" s="59"/>
      <c r="E764" s="59"/>
      <c r="F764" s="59"/>
      <c r="G764" s="431"/>
      <c r="H764" s="431"/>
      <c r="I764" s="59"/>
      <c r="J764" s="260" t="str">
        <f t="shared" si="3"/>
        <v>Not Calculated</v>
      </c>
      <c r="K764" s="61"/>
    </row>
    <row r="765" spans="2:11" x14ac:dyDescent="0.2">
      <c r="B765" s="57"/>
      <c r="C765" s="196" t="s">
        <v>35</v>
      </c>
      <c r="D765" s="59"/>
      <c r="E765" s="59"/>
      <c r="F765" s="59"/>
      <c r="G765" s="431"/>
      <c r="H765" s="431"/>
      <c r="I765" s="59"/>
      <c r="J765" s="260" t="str">
        <f t="shared" si="3"/>
        <v>Not Calculated</v>
      </c>
      <c r="K765" s="61"/>
    </row>
    <row r="766" spans="2:11" x14ac:dyDescent="0.2">
      <c r="B766" s="57"/>
      <c r="C766" s="196" t="s">
        <v>37</v>
      </c>
      <c r="D766" s="59"/>
      <c r="E766" s="59"/>
      <c r="F766" s="59"/>
      <c r="G766" s="431"/>
      <c r="H766" s="431"/>
      <c r="I766" s="59"/>
      <c r="J766" s="260" t="str">
        <f t="shared" si="3"/>
        <v>Not Calculated</v>
      </c>
      <c r="K766" s="61"/>
    </row>
    <row r="767" spans="2:11" x14ac:dyDescent="0.2">
      <c r="B767" s="57"/>
      <c r="C767" s="196" t="s">
        <v>38</v>
      </c>
      <c r="D767" s="59"/>
      <c r="E767" s="59"/>
      <c r="F767" s="59"/>
      <c r="G767" s="431"/>
      <c r="H767" s="431"/>
      <c r="I767" s="59"/>
      <c r="J767" s="260" t="str">
        <f t="shared" si="3"/>
        <v>Not Calculated</v>
      </c>
      <c r="K767" s="61"/>
    </row>
    <row r="768" spans="2:11" x14ac:dyDescent="0.2">
      <c r="B768" s="57"/>
      <c r="C768" s="196" t="s">
        <v>40</v>
      </c>
      <c r="D768" s="59"/>
      <c r="E768" s="59"/>
      <c r="F768" s="59"/>
      <c r="G768" s="431"/>
      <c r="H768" s="431"/>
      <c r="I768" s="59"/>
      <c r="J768" s="260" t="str">
        <f t="shared" si="3"/>
        <v>Not Calculated</v>
      </c>
      <c r="K768" s="61"/>
    </row>
    <row r="769" spans="2:11" x14ac:dyDescent="0.2">
      <c r="B769" s="57"/>
      <c r="C769" s="196" t="s">
        <v>41</v>
      </c>
      <c r="D769" s="59"/>
      <c r="E769" s="59"/>
      <c r="F769" s="59"/>
      <c r="G769" s="431"/>
      <c r="H769" s="431"/>
      <c r="I769" s="59"/>
      <c r="J769" s="260" t="str">
        <f t="shared" si="3"/>
        <v>Not Calculated</v>
      </c>
      <c r="K769" s="61"/>
    </row>
    <row r="770" spans="2:11" x14ac:dyDescent="0.2">
      <c r="B770" s="57"/>
      <c r="C770" s="196" t="s">
        <v>43</v>
      </c>
      <c r="D770" s="59"/>
      <c r="E770" s="59"/>
      <c r="F770" s="59"/>
      <c r="G770" s="431"/>
      <c r="H770" s="431"/>
      <c r="I770" s="59"/>
      <c r="J770" s="260" t="str">
        <f t="shared" si="3"/>
        <v>Not Calculated</v>
      </c>
      <c r="K770" s="61"/>
    </row>
    <row r="771" spans="2:11" x14ac:dyDescent="0.2">
      <c r="B771" s="57"/>
      <c r="C771" s="59"/>
      <c r="D771" s="59"/>
      <c r="E771" s="59"/>
      <c r="F771" s="59"/>
      <c r="G771" s="59"/>
      <c r="H771" s="59"/>
      <c r="I771" s="59"/>
      <c r="J771" s="59"/>
      <c r="K771" s="61"/>
    </row>
    <row r="772" spans="2:11" x14ac:dyDescent="0.2">
      <c r="B772" s="57"/>
      <c r="C772" s="59"/>
      <c r="D772" s="59"/>
      <c r="E772" s="59"/>
      <c r="F772" s="59"/>
      <c r="G772" s="59"/>
      <c r="H772" s="59"/>
      <c r="I772" s="59"/>
      <c r="J772" s="59"/>
      <c r="K772" s="61"/>
    </row>
    <row r="773" spans="2:11" ht="16" x14ac:dyDescent="0.2">
      <c r="B773" s="57"/>
      <c r="C773" s="197" t="s">
        <v>30</v>
      </c>
      <c r="D773" s="59"/>
      <c r="E773" s="59"/>
      <c r="F773" s="59"/>
      <c r="G773" s="59"/>
      <c r="H773" s="59"/>
      <c r="I773" s="59"/>
      <c r="J773" s="59"/>
      <c r="K773" s="61"/>
    </row>
    <row r="774" spans="2:11" x14ac:dyDescent="0.2">
      <c r="B774" s="57"/>
      <c r="C774" s="59"/>
      <c r="D774" s="59" t="s">
        <v>370</v>
      </c>
      <c r="E774" s="59"/>
      <c r="F774" s="59"/>
      <c r="G774" s="59"/>
      <c r="H774" s="59"/>
      <c r="I774" s="59"/>
      <c r="J774" s="60">
        <f>'Baseline At-Risk Pops'!H8</f>
        <v>0</v>
      </c>
      <c r="K774" s="61"/>
    </row>
    <row r="775" spans="2:11" x14ac:dyDescent="0.2">
      <c r="B775" s="57"/>
      <c r="C775" s="59"/>
      <c r="D775" s="59" t="s">
        <v>371</v>
      </c>
      <c r="E775" s="59"/>
      <c r="F775" s="59"/>
      <c r="G775" s="59"/>
      <c r="H775" s="59"/>
      <c r="I775" s="59"/>
      <c r="J775" s="60">
        <f>SUM(J717,J732,J747,J762)</f>
        <v>0</v>
      </c>
      <c r="K775" s="61"/>
    </row>
    <row r="776" spans="2:11" x14ac:dyDescent="0.2">
      <c r="B776" s="57"/>
      <c r="C776" s="59"/>
      <c r="D776" s="196" t="s">
        <v>372</v>
      </c>
      <c r="E776" s="59"/>
      <c r="F776" s="59"/>
      <c r="G776" s="59"/>
      <c r="H776" s="59"/>
      <c r="I776" s="59"/>
      <c r="J776" s="60">
        <f>AVERAGE(J774,J775)</f>
        <v>0</v>
      </c>
      <c r="K776" s="61"/>
    </row>
    <row r="777" spans="2:11" ht="16" x14ac:dyDescent="0.2">
      <c r="B777" s="57"/>
      <c r="C777" s="197" t="s">
        <v>32</v>
      </c>
      <c r="D777" s="59"/>
      <c r="E777" s="59"/>
      <c r="F777" s="59"/>
      <c r="G777" s="59"/>
      <c r="H777" s="59"/>
      <c r="I777" s="59"/>
      <c r="J777" s="60"/>
      <c r="K777" s="61"/>
    </row>
    <row r="778" spans="2:11" x14ac:dyDescent="0.2">
      <c r="B778" s="57"/>
      <c r="C778" s="59"/>
      <c r="D778" s="59" t="s">
        <v>370</v>
      </c>
      <c r="E778" s="59"/>
      <c r="F778" s="59"/>
      <c r="G778" s="59"/>
      <c r="H778" s="59"/>
      <c r="I778" s="59"/>
      <c r="J778" s="60">
        <f>'Baseline At-Risk Pops'!H14</f>
        <v>0</v>
      </c>
      <c r="K778" s="61"/>
    </row>
    <row r="779" spans="2:11" ht="15" customHeight="1" x14ac:dyDescent="0.2">
      <c r="B779" s="57"/>
      <c r="C779" s="59"/>
      <c r="D779" s="59" t="s">
        <v>371</v>
      </c>
      <c r="E779" s="59"/>
      <c r="F779" s="59"/>
      <c r="G779" s="59"/>
      <c r="H779" s="59"/>
      <c r="I779" s="59"/>
      <c r="J779" s="60">
        <f>SUM(J718,J733,J748,J763)</f>
        <v>0</v>
      </c>
      <c r="K779" s="61"/>
    </row>
    <row r="780" spans="2:11" x14ac:dyDescent="0.2">
      <c r="B780" s="57"/>
      <c r="C780" s="59"/>
      <c r="D780" s="196" t="s">
        <v>372</v>
      </c>
      <c r="E780" s="59"/>
      <c r="F780" s="59"/>
      <c r="G780" s="59"/>
      <c r="H780" s="59"/>
      <c r="I780" s="59"/>
      <c r="J780" s="60">
        <f>AVERAGE(J778,J779)</f>
        <v>0</v>
      </c>
      <c r="K780" s="61"/>
    </row>
    <row r="781" spans="2:11" ht="16" x14ac:dyDescent="0.2">
      <c r="B781" s="57"/>
      <c r="C781" s="197" t="s">
        <v>34</v>
      </c>
      <c r="D781" s="59"/>
      <c r="E781" s="59"/>
      <c r="F781" s="59"/>
      <c r="G781" s="59"/>
      <c r="H781" s="59"/>
      <c r="I781" s="59"/>
      <c r="J781" s="60"/>
      <c r="K781" s="61"/>
    </row>
    <row r="782" spans="2:11" ht="16" x14ac:dyDescent="0.2">
      <c r="B782" s="57"/>
      <c r="C782" s="197"/>
      <c r="D782" s="59" t="s">
        <v>370</v>
      </c>
      <c r="E782" s="59"/>
      <c r="F782" s="59"/>
      <c r="G782" s="59"/>
      <c r="H782" s="59"/>
      <c r="I782" s="59"/>
      <c r="J782" s="60">
        <f>'Baseline At-Risk Pops'!H21</f>
        <v>0</v>
      </c>
      <c r="K782" s="61"/>
    </row>
    <row r="783" spans="2:11" x14ac:dyDescent="0.2">
      <c r="B783" s="57"/>
      <c r="C783" s="59"/>
      <c r="D783" s="59" t="s">
        <v>371</v>
      </c>
      <c r="E783" s="59"/>
      <c r="F783" s="59"/>
      <c r="G783" s="59"/>
      <c r="H783" s="59"/>
      <c r="I783" s="59"/>
      <c r="J783" s="60">
        <f>SUM(J719,J734,J749,J764)</f>
        <v>0</v>
      </c>
      <c r="K783" s="61"/>
    </row>
    <row r="784" spans="2:11" x14ac:dyDescent="0.2">
      <c r="B784" s="57"/>
      <c r="C784" s="59"/>
      <c r="D784" s="196" t="s">
        <v>372</v>
      </c>
      <c r="E784" s="59"/>
      <c r="F784" s="59"/>
      <c r="G784" s="59"/>
      <c r="H784" s="59"/>
      <c r="I784" s="59"/>
      <c r="J784" s="60">
        <f>AVERAGE(J782,J783)</f>
        <v>0</v>
      </c>
      <c r="K784" s="61"/>
    </row>
    <row r="785" spans="2:11" ht="16" x14ac:dyDescent="0.2">
      <c r="B785" s="57"/>
      <c r="C785" s="197" t="s">
        <v>35</v>
      </c>
      <c r="D785" s="59"/>
      <c r="E785" s="59"/>
      <c r="F785" s="59"/>
      <c r="G785" s="59"/>
      <c r="H785" s="59"/>
      <c r="I785" s="59"/>
      <c r="J785" s="60"/>
      <c r="K785" s="61"/>
    </row>
    <row r="786" spans="2:11" x14ac:dyDescent="0.2">
      <c r="B786" s="57"/>
      <c r="C786" s="59"/>
      <c r="D786" s="59" t="s">
        <v>370</v>
      </c>
      <c r="E786" s="59"/>
      <c r="F786" s="59"/>
      <c r="G786" s="59"/>
      <c r="H786" s="59"/>
      <c r="I786" s="59"/>
      <c r="J786" s="60">
        <f>'Baseline At-Risk Pops'!H27</f>
        <v>0</v>
      </c>
      <c r="K786" s="61"/>
    </row>
    <row r="787" spans="2:11" x14ac:dyDescent="0.2">
      <c r="B787" s="57"/>
      <c r="C787" s="59"/>
      <c r="D787" s="59" t="s">
        <v>371</v>
      </c>
      <c r="E787" s="59"/>
      <c r="F787" s="59"/>
      <c r="G787" s="59"/>
      <c r="H787" s="59"/>
      <c r="I787" s="59"/>
      <c r="J787" s="60">
        <f>SUM(J720,J735,J750,J765)</f>
        <v>0</v>
      </c>
      <c r="K787" s="61"/>
    </row>
    <row r="788" spans="2:11" x14ac:dyDescent="0.2">
      <c r="B788" s="57"/>
      <c r="C788" s="59"/>
      <c r="D788" s="196" t="s">
        <v>372</v>
      </c>
      <c r="E788" s="59"/>
      <c r="F788" s="59"/>
      <c r="G788" s="59"/>
      <c r="H788" s="59"/>
      <c r="I788" s="59"/>
      <c r="J788" s="60">
        <f>AVERAGE(J786,J787)</f>
        <v>0</v>
      </c>
      <c r="K788" s="61"/>
    </row>
    <row r="789" spans="2:11" ht="16" x14ac:dyDescent="0.2">
      <c r="B789" s="57"/>
      <c r="C789" s="197" t="s">
        <v>37</v>
      </c>
      <c r="D789" s="59"/>
      <c r="E789" s="59"/>
      <c r="F789" s="59"/>
      <c r="G789" s="59"/>
      <c r="H789" s="59"/>
      <c r="I789" s="59"/>
      <c r="J789" s="60"/>
      <c r="K789" s="61"/>
    </row>
    <row r="790" spans="2:11" x14ac:dyDescent="0.2">
      <c r="B790" s="57"/>
      <c r="C790" s="59"/>
      <c r="D790" s="59" t="s">
        <v>370</v>
      </c>
      <c r="E790" s="59"/>
      <c r="F790" s="59"/>
      <c r="G790" s="59"/>
      <c r="H790" s="59"/>
      <c r="I790" s="59"/>
      <c r="J790" s="60">
        <f>'Baseline At-Risk Pops'!H34</f>
        <v>0</v>
      </c>
      <c r="K790" s="61"/>
    </row>
    <row r="791" spans="2:11" x14ac:dyDescent="0.2">
      <c r="B791" s="57"/>
      <c r="C791" s="59"/>
      <c r="D791" s="59" t="s">
        <v>371</v>
      </c>
      <c r="E791" s="59"/>
      <c r="F791" s="59"/>
      <c r="G791" s="59"/>
      <c r="H791" s="59"/>
      <c r="I791" s="59"/>
      <c r="J791" s="60">
        <f>SUM(J721,J736,J751,J766)</f>
        <v>0</v>
      </c>
      <c r="K791" s="61"/>
    </row>
    <row r="792" spans="2:11" x14ac:dyDescent="0.2">
      <c r="B792" s="57"/>
      <c r="C792" s="59"/>
      <c r="D792" s="196" t="s">
        <v>372</v>
      </c>
      <c r="E792" s="59"/>
      <c r="F792" s="59"/>
      <c r="G792" s="59"/>
      <c r="H792" s="59"/>
      <c r="I792" s="59"/>
      <c r="J792" s="60">
        <f>AVERAGE(J790,J791)</f>
        <v>0</v>
      </c>
      <c r="K792" s="61"/>
    </row>
    <row r="793" spans="2:11" ht="16" x14ac:dyDescent="0.2">
      <c r="B793" s="57"/>
      <c r="C793" s="197" t="s">
        <v>38</v>
      </c>
      <c r="D793" s="59"/>
      <c r="E793" s="59"/>
      <c r="F793" s="59"/>
      <c r="G793" s="59"/>
      <c r="H793" s="59"/>
      <c r="I793" s="59"/>
      <c r="J793" s="60"/>
      <c r="K793" s="61"/>
    </row>
    <row r="794" spans="2:11" x14ac:dyDescent="0.2">
      <c r="B794" s="57"/>
      <c r="C794" s="59"/>
      <c r="D794" s="59" t="s">
        <v>370</v>
      </c>
      <c r="E794" s="59"/>
      <c r="F794" s="59"/>
      <c r="G794" s="59"/>
      <c r="H794" s="59"/>
      <c r="I794" s="59"/>
      <c r="J794" s="60">
        <f>'Baseline At-Risk Pops'!H40</f>
        <v>0</v>
      </c>
      <c r="K794" s="61"/>
    </row>
    <row r="795" spans="2:11" x14ac:dyDescent="0.2">
      <c r="B795" s="57"/>
      <c r="C795" s="59"/>
      <c r="D795" s="59" t="s">
        <v>371</v>
      </c>
      <c r="E795" s="59"/>
      <c r="F795" s="59"/>
      <c r="G795" s="59"/>
      <c r="H795" s="59"/>
      <c r="I795" s="59"/>
      <c r="J795" s="60">
        <f>SUM(J722,J737,J752,J767)</f>
        <v>0</v>
      </c>
      <c r="K795" s="61"/>
    </row>
    <row r="796" spans="2:11" x14ac:dyDescent="0.2">
      <c r="B796" s="57"/>
      <c r="C796" s="59"/>
      <c r="D796" s="196" t="s">
        <v>372</v>
      </c>
      <c r="E796" s="59"/>
      <c r="F796" s="59"/>
      <c r="G796" s="59"/>
      <c r="H796" s="59"/>
      <c r="I796" s="59"/>
      <c r="J796" s="60">
        <f>AVERAGE(J794,J795)</f>
        <v>0</v>
      </c>
      <c r="K796" s="61"/>
    </row>
    <row r="797" spans="2:11" ht="16" x14ac:dyDescent="0.2">
      <c r="B797" s="57"/>
      <c r="C797" s="197" t="s">
        <v>40</v>
      </c>
      <c r="D797" s="59"/>
      <c r="E797" s="59"/>
      <c r="F797" s="59"/>
      <c r="G797" s="59"/>
      <c r="H797" s="59"/>
      <c r="I797" s="59"/>
      <c r="J797" s="60"/>
      <c r="K797" s="61"/>
    </row>
    <row r="798" spans="2:11" x14ac:dyDescent="0.2">
      <c r="B798" s="57"/>
      <c r="C798" s="59"/>
      <c r="D798" s="59" t="s">
        <v>370</v>
      </c>
      <c r="E798" s="59"/>
      <c r="F798" s="59"/>
      <c r="G798" s="59"/>
      <c r="H798" s="59"/>
      <c r="I798" s="59"/>
      <c r="J798" s="60">
        <f>'Baseline At-Risk Pops'!H46</f>
        <v>0</v>
      </c>
      <c r="K798" s="61"/>
    </row>
    <row r="799" spans="2:11" x14ac:dyDescent="0.2">
      <c r="B799" s="57"/>
      <c r="C799" s="59"/>
      <c r="D799" s="59" t="s">
        <v>371</v>
      </c>
      <c r="E799" s="59"/>
      <c r="F799" s="59"/>
      <c r="G799" s="59"/>
      <c r="H799" s="59"/>
      <c r="I799" s="59"/>
      <c r="J799" s="60">
        <f>SUM(J723,J738,J753,J768)</f>
        <v>0</v>
      </c>
      <c r="K799" s="61"/>
    </row>
    <row r="800" spans="2:11" x14ac:dyDescent="0.2">
      <c r="B800" s="57"/>
      <c r="C800" s="59"/>
      <c r="D800" s="196" t="s">
        <v>372</v>
      </c>
      <c r="E800" s="59"/>
      <c r="F800" s="59"/>
      <c r="G800" s="59"/>
      <c r="H800" s="59"/>
      <c r="I800" s="59"/>
      <c r="J800" s="60">
        <f>AVERAGE(J798,J799)</f>
        <v>0</v>
      </c>
      <c r="K800" s="61"/>
    </row>
    <row r="801" spans="2:11" ht="16" x14ac:dyDescent="0.2">
      <c r="B801" s="57"/>
      <c r="C801" s="197" t="s">
        <v>41</v>
      </c>
      <c r="D801" s="59"/>
      <c r="E801" s="59"/>
      <c r="F801" s="59"/>
      <c r="G801" s="59"/>
      <c r="H801" s="59"/>
      <c r="I801" s="59"/>
      <c r="J801" s="60"/>
      <c r="K801" s="61"/>
    </row>
    <row r="802" spans="2:11" ht="16" x14ac:dyDescent="0.2">
      <c r="B802" s="57"/>
      <c r="C802" s="197"/>
      <c r="D802" s="59" t="s">
        <v>370</v>
      </c>
      <c r="E802" s="59"/>
      <c r="F802" s="59"/>
      <c r="G802" s="59"/>
      <c r="H802" s="59"/>
      <c r="I802" s="59"/>
      <c r="J802" s="60">
        <f>'Baseline At-Risk Pops'!H52</f>
        <v>0</v>
      </c>
      <c r="K802" s="61"/>
    </row>
    <row r="803" spans="2:11" x14ac:dyDescent="0.2">
      <c r="B803" s="57"/>
      <c r="C803" s="59"/>
      <c r="D803" s="59" t="s">
        <v>371</v>
      </c>
      <c r="E803" s="59"/>
      <c r="F803" s="59"/>
      <c r="G803" s="59"/>
      <c r="H803" s="59"/>
      <c r="I803" s="59"/>
      <c r="J803" s="60">
        <f>SUM(J724,J739,J754,J769)</f>
        <v>0</v>
      </c>
      <c r="K803" s="61"/>
    </row>
    <row r="804" spans="2:11" x14ac:dyDescent="0.2">
      <c r="B804" s="57"/>
      <c r="C804" s="59"/>
      <c r="D804" s="196" t="s">
        <v>372</v>
      </c>
      <c r="E804" s="59"/>
      <c r="F804" s="59"/>
      <c r="G804" s="59"/>
      <c r="H804" s="59"/>
      <c r="I804" s="59"/>
      <c r="J804" s="60">
        <f>AVERAGE(J802,J803)</f>
        <v>0</v>
      </c>
      <c r="K804" s="61"/>
    </row>
    <row r="805" spans="2:11" ht="16" x14ac:dyDescent="0.2">
      <c r="B805" s="57"/>
      <c r="C805" s="197" t="s">
        <v>43</v>
      </c>
      <c r="D805" s="59"/>
      <c r="E805" s="59"/>
      <c r="F805" s="59"/>
      <c r="G805" s="59"/>
      <c r="H805" s="59"/>
      <c r="I805" s="59"/>
      <c r="J805" s="60"/>
      <c r="K805" s="61"/>
    </row>
    <row r="806" spans="2:11" x14ac:dyDescent="0.2">
      <c r="B806" s="57"/>
      <c r="C806" s="59"/>
      <c r="D806" s="59" t="s">
        <v>370</v>
      </c>
      <c r="E806" s="59"/>
      <c r="F806" s="59"/>
      <c r="G806" s="59"/>
      <c r="H806" s="59"/>
      <c r="I806" s="59"/>
      <c r="J806" s="60">
        <f>'Baseline At-Risk Pops'!H58</f>
        <v>0</v>
      </c>
      <c r="K806" s="61"/>
    </row>
    <row r="807" spans="2:11" x14ac:dyDescent="0.2">
      <c r="B807" s="57"/>
      <c r="C807" s="59"/>
      <c r="D807" s="59" t="s">
        <v>371</v>
      </c>
      <c r="E807" s="59"/>
      <c r="F807" s="59"/>
      <c r="G807" s="59"/>
      <c r="H807" s="59"/>
      <c r="I807" s="59"/>
      <c r="J807" s="60">
        <f>SUM(J725,J740,J755,J770)</f>
        <v>0</v>
      </c>
      <c r="K807" s="61"/>
    </row>
    <row r="808" spans="2:11" x14ac:dyDescent="0.2">
      <c r="B808" s="57"/>
      <c r="C808" s="59"/>
      <c r="D808" s="196" t="s">
        <v>372</v>
      </c>
      <c r="E808" s="59"/>
      <c r="F808" s="59"/>
      <c r="G808" s="59"/>
      <c r="H808" s="59"/>
      <c r="I808" s="59"/>
      <c r="J808" s="60">
        <f>AVERAGE(J806,J807)</f>
        <v>0</v>
      </c>
      <c r="K808" s="61"/>
    </row>
    <row r="809" spans="2:11" x14ac:dyDescent="0.2">
      <c r="B809" s="57"/>
      <c r="C809" s="59"/>
      <c r="D809" s="59"/>
      <c r="E809" s="59"/>
      <c r="F809" s="59"/>
      <c r="G809" s="59"/>
      <c r="H809" s="59"/>
      <c r="I809" s="59"/>
      <c r="J809" s="59"/>
      <c r="K809" s="61"/>
    </row>
    <row r="810" spans="2:11" x14ac:dyDescent="0.2">
      <c r="B810" s="57"/>
      <c r="C810" s="59"/>
      <c r="D810" s="59"/>
      <c r="E810" s="59"/>
      <c r="F810" s="59"/>
      <c r="G810" s="59"/>
      <c r="H810" s="59"/>
      <c r="I810" s="59"/>
      <c r="J810" s="59"/>
      <c r="K810" s="61"/>
    </row>
    <row r="811" spans="2:11" ht="16" x14ac:dyDescent="0.2">
      <c r="B811" s="57"/>
      <c r="C811" s="198" t="s">
        <v>373</v>
      </c>
      <c r="D811" s="59"/>
      <c r="E811" s="59"/>
      <c r="F811" s="59"/>
      <c r="G811" s="59"/>
      <c r="H811" s="59"/>
      <c r="I811" s="59"/>
      <c r="J811" s="261">
        <f>AVERAGE(J776,J780,J784,J788,J792,J796,J800,J804,J808)</f>
        <v>0</v>
      </c>
      <c r="K811" s="61"/>
    </row>
    <row r="812" spans="2:11" ht="16" thickBot="1" x14ac:dyDescent="0.25">
      <c r="B812" s="73"/>
      <c r="C812" s="74"/>
      <c r="D812" s="74"/>
      <c r="E812" s="74"/>
      <c r="F812" s="74"/>
      <c r="G812" s="74"/>
      <c r="H812" s="74"/>
      <c r="I812" s="74"/>
      <c r="J812" s="74"/>
      <c r="K812" s="76"/>
    </row>
    <row r="813" spans="2:11" ht="16" thickBot="1" x14ac:dyDescent="0.25"/>
    <row r="814" spans="2:11" x14ac:dyDescent="0.2">
      <c r="B814" s="199"/>
      <c r="C814" s="200"/>
      <c r="D814" s="200"/>
      <c r="E814" s="200"/>
      <c r="F814" s="200"/>
      <c r="G814" s="200"/>
      <c r="H814" s="200"/>
      <c r="I814" s="200"/>
      <c r="J814" s="200"/>
      <c r="K814" s="201"/>
    </row>
    <row r="815" spans="2:11" ht="21" x14ac:dyDescent="0.25">
      <c r="B815" s="202"/>
      <c r="C815" s="203"/>
      <c r="D815" s="203"/>
      <c r="E815" s="203"/>
      <c r="F815" s="203"/>
      <c r="G815" s="204" t="s">
        <v>233</v>
      </c>
      <c r="H815" s="203"/>
      <c r="I815" s="203"/>
      <c r="J815" s="203"/>
      <c r="K815" s="205"/>
    </row>
    <row r="816" spans="2:11" x14ac:dyDescent="0.2">
      <c r="B816" s="202"/>
      <c r="C816" s="203"/>
      <c r="D816" s="203"/>
      <c r="E816" s="203"/>
      <c r="F816" s="203"/>
      <c r="G816" s="203"/>
      <c r="H816" s="203"/>
      <c r="I816" s="203"/>
      <c r="J816" s="203"/>
      <c r="K816" s="205"/>
    </row>
    <row r="817" spans="2:11" ht="16" x14ac:dyDescent="0.2">
      <c r="B817" s="202"/>
      <c r="C817" s="206" t="s">
        <v>992</v>
      </c>
      <c r="D817" s="203"/>
      <c r="E817" s="203"/>
      <c r="F817" s="203"/>
      <c r="G817" s="203"/>
      <c r="H817" s="203"/>
      <c r="I817" s="203"/>
      <c r="J817" s="262" t="str">
        <f>IF(J700="Not Calculated","Not Calculated",J700*(($J$811/4)+1))</f>
        <v>Not Calculated</v>
      </c>
      <c r="K817" s="205"/>
    </row>
    <row r="818" spans="2:11" x14ac:dyDescent="0.2">
      <c r="B818" s="202"/>
      <c r="C818" s="203"/>
      <c r="D818" s="203" t="s">
        <v>374</v>
      </c>
      <c r="E818" s="203"/>
      <c r="F818" s="203"/>
      <c r="G818" s="203"/>
      <c r="H818" s="203"/>
      <c r="I818" s="203"/>
      <c r="J818" s="203"/>
      <c r="K818" s="205"/>
    </row>
    <row r="819" spans="2:11" x14ac:dyDescent="0.2">
      <c r="B819" s="202"/>
      <c r="C819" s="203"/>
      <c r="D819" s="203"/>
      <c r="E819" s="203"/>
      <c r="F819" s="203"/>
      <c r="G819" s="203"/>
      <c r="H819" s="203"/>
      <c r="I819" s="203"/>
      <c r="J819" s="203"/>
      <c r="K819" s="205"/>
    </row>
    <row r="820" spans="2:11" ht="16" x14ac:dyDescent="0.2">
      <c r="B820" s="202"/>
      <c r="C820" s="206" t="s">
        <v>993</v>
      </c>
      <c r="D820" s="203"/>
      <c r="E820" s="203"/>
      <c r="F820" s="203"/>
      <c r="G820" s="203"/>
      <c r="H820" s="203"/>
      <c r="I820" s="203"/>
      <c r="J820" s="262" t="str">
        <f>IF(J703="Not Calculated","Not Calculated",J703*(($J$811/4)+1))</f>
        <v>Not Calculated</v>
      </c>
      <c r="K820" s="205"/>
    </row>
    <row r="821" spans="2:11" x14ac:dyDescent="0.2">
      <c r="B821" s="202"/>
      <c r="C821" s="203"/>
      <c r="D821" s="203" t="s">
        <v>375</v>
      </c>
      <c r="E821" s="203"/>
      <c r="F821" s="203"/>
      <c r="G821" s="203"/>
      <c r="H821" s="203"/>
      <c r="I821" s="203"/>
      <c r="J821" s="203"/>
      <c r="K821" s="205"/>
    </row>
    <row r="822" spans="2:11" x14ac:dyDescent="0.2">
      <c r="B822" s="202"/>
      <c r="C822" s="203"/>
      <c r="D822" s="203"/>
      <c r="E822" s="203"/>
      <c r="F822" s="203"/>
      <c r="G822" s="203"/>
      <c r="H822" s="203"/>
      <c r="I822" s="203"/>
      <c r="J822" s="203"/>
      <c r="K822" s="205"/>
    </row>
    <row r="823" spans="2:11" ht="16" x14ac:dyDescent="0.2">
      <c r="B823" s="202"/>
      <c r="C823" s="206" t="s">
        <v>994</v>
      </c>
      <c r="D823" s="203"/>
      <c r="E823" s="203"/>
      <c r="F823" s="203"/>
      <c r="G823" s="203"/>
      <c r="H823" s="203"/>
      <c r="I823" s="203"/>
      <c r="J823" s="262" t="str">
        <f>IF(J706="Not Calculated","Not Calculated",J706*(($J$811/4)+1))</f>
        <v>Not Calculated</v>
      </c>
      <c r="K823" s="205"/>
    </row>
    <row r="824" spans="2:11" x14ac:dyDescent="0.2">
      <c r="B824" s="202"/>
      <c r="C824" s="203"/>
      <c r="D824" s="203" t="s">
        <v>376</v>
      </c>
      <c r="E824" s="203"/>
      <c r="F824" s="203"/>
      <c r="G824" s="203"/>
      <c r="H824" s="203"/>
      <c r="I824" s="203"/>
      <c r="J824" s="203"/>
      <c r="K824" s="205"/>
    </row>
    <row r="825" spans="2:11" ht="16" thickBot="1" x14ac:dyDescent="0.25">
      <c r="B825" s="207"/>
      <c r="C825" s="208"/>
      <c r="D825" s="208"/>
      <c r="E825" s="208"/>
      <c r="F825" s="208"/>
      <c r="G825" s="208"/>
      <c r="H825" s="208"/>
      <c r="I825" s="208"/>
      <c r="J825" s="208"/>
      <c r="K825" s="209"/>
    </row>
    <row r="826" spans="2:11" ht="16" thickBot="1" x14ac:dyDescent="0.25"/>
    <row r="827" spans="2:11" x14ac:dyDescent="0.2">
      <c r="B827" s="77"/>
      <c r="C827" s="78"/>
      <c r="D827" s="78"/>
      <c r="E827" s="78"/>
      <c r="F827" s="78"/>
      <c r="G827" s="78"/>
      <c r="H827" s="78"/>
      <c r="I827" s="78"/>
      <c r="J827" s="78"/>
      <c r="K827" s="80"/>
    </row>
    <row r="828" spans="2:11" ht="21" x14ac:dyDescent="0.25">
      <c r="B828" s="81"/>
      <c r="C828" s="85"/>
      <c r="D828" s="85"/>
      <c r="E828" s="85"/>
      <c r="F828" s="85"/>
      <c r="G828" s="210" t="s">
        <v>806</v>
      </c>
      <c r="H828" s="85"/>
      <c r="I828" s="85"/>
      <c r="J828" s="85"/>
      <c r="K828" s="87"/>
    </row>
    <row r="829" spans="2:11" x14ac:dyDescent="0.2">
      <c r="B829" s="81"/>
      <c r="C829" s="85"/>
      <c r="D829" s="85"/>
      <c r="E829" s="85"/>
      <c r="F829" s="85"/>
      <c r="G829" s="85"/>
      <c r="H829" s="85"/>
      <c r="I829" s="85"/>
      <c r="J829" s="85"/>
      <c r="K829" s="87"/>
    </row>
    <row r="830" spans="2:11" ht="15" customHeight="1" x14ac:dyDescent="0.2">
      <c r="B830" s="81"/>
      <c r="C830" s="424" t="s">
        <v>808</v>
      </c>
      <c r="D830" s="424"/>
      <c r="E830" s="424"/>
      <c r="F830" s="424"/>
      <c r="G830" s="424"/>
      <c r="H830" s="424"/>
      <c r="I830" s="424"/>
      <c r="J830" s="424"/>
      <c r="K830" s="87"/>
    </row>
    <row r="831" spans="2:11" x14ac:dyDescent="0.2">
      <c r="B831" s="81"/>
      <c r="C831" s="424"/>
      <c r="D831" s="424"/>
      <c r="E831" s="424"/>
      <c r="F831" s="424"/>
      <c r="G831" s="424"/>
      <c r="H831" s="424"/>
      <c r="I831" s="424"/>
      <c r="J831" s="424"/>
      <c r="K831" s="87"/>
    </row>
    <row r="832" spans="2:11" x14ac:dyDescent="0.2">
      <c r="B832" s="81"/>
      <c r="C832" s="85"/>
      <c r="D832" s="85"/>
      <c r="E832" s="85"/>
      <c r="F832" s="85"/>
      <c r="G832" s="85"/>
      <c r="H832" s="85"/>
      <c r="I832" s="85"/>
      <c r="J832" s="85"/>
      <c r="K832" s="87"/>
    </row>
    <row r="833" spans="2:11" ht="16" x14ac:dyDescent="0.2">
      <c r="B833" s="81"/>
      <c r="C833" s="211" t="s">
        <v>654</v>
      </c>
      <c r="D833" s="85"/>
      <c r="E833" s="85"/>
      <c r="F833" s="85"/>
      <c r="G833" s="85"/>
      <c r="H833" s="85"/>
      <c r="I833" s="85"/>
      <c r="J833" s="85"/>
      <c r="K833" s="87"/>
    </row>
    <row r="834" spans="2:11" x14ac:dyDescent="0.2">
      <c r="B834" s="81"/>
      <c r="C834" s="85" t="s">
        <v>380</v>
      </c>
      <c r="D834" s="85"/>
      <c r="E834" s="85"/>
      <c r="F834" s="85"/>
      <c r="G834" s="406"/>
      <c r="H834" s="407"/>
      <c r="I834" s="85"/>
      <c r="J834" s="83" t="str">
        <f>IF(G834=$B$998,$A$998,IF(G834=$B$999,$A$999,IF(G834=$B$1000,$A$1000,IF(G834=$B$1001,$A$1001,IF(G834=$B$1002,$A$1002,"Not Calculated")))))</f>
        <v>Not Calculated</v>
      </c>
      <c r="K834" s="87"/>
    </row>
    <row r="835" spans="2:11" x14ac:dyDescent="0.2">
      <c r="B835" s="81"/>
      <c r="C835" s="85" t="s">
        <v>134</v>
      </c>
      <c r="D835" s="85"/>
      <c r="E835" s="85"/>
      <c r="F835" s="85"/>
      <c r="G835" s="85"/>
      <c r="H835" s="85"/>
      <c r="I835" s="85"/>
      <c r="J835" s="240">
        <f>'Baseline PHP'!J16</f>
        <v>0</v>
      </c>
      <c r="K835" s="87"/>
    </row>
    <row r="836" spans="2:11" x14ac:dyDescent="0.2">
      <c r="B836" s="81"/>
      <c r="C836" s="85"/>
      <c r="D836" s="85"/>
      <c r="E836" s="85"/>
      <c r="F836" s="85"/>
      <c r="G836" s="85"/>
      <c r="H836" s="85"/>
      <c r="I836" s="85"/>
      <c r="J836" s="85"/>
      <c r="K836" s="87"/>
    </row>
    <row r="837" spans="2:11" ht="16" x14ac:dyDescent="0.2">
      <c r="B837" s="81"/>
      <c r="C837" s="211" t="s">
        <v>655</v>
      </c>
      <c r="D837" s="85"/>
      <c r="E837" s="85"/>
      <c r="F837" s="85"/>
      <c r="G837" s="85"/>
      <c r="H837" s="85"/>
      <c r="I837" s="85"/>
      <c r="J837" s="85"/>
      <c r="K837" s="87"/>
    </row>
    <row r="838" spans="2:11" x14ac:dyDescent="0.2">
      <c r="B838" s="81"/>
      <c r="C838" s="85" t="s">
        <v>380</v>
      </c>
      <c r="D838" s="85"/>
      <c r="E838" s="85"/>
      <c r="F838" s="85"/>
      <c r="G838" s="406"/>
      <c r="H838" s="407"/>
      <c r="I838" s="85"/>
      <c r="J838" s="83" t="str">
        <f>IF(G838=$B$998,$A$998,IF(G838=$B$999,$A$999,IF(G838=$B$1000,$A$1000,IF(G838=$B$1001,$A$1001,IF(G838=$B$1002,$A$1002,"Not Calculated")))))</f>
        <v>Not Calculated</v>
      </c>
      <c r="K838" s="87"/>
    </row>
    <row r="839" spans="2:11" x14ac:dyDescent="0.2">
      <c r="B839" s="81"/>
      <c r="C839" s="85" t="s">
        <v>134</v>
      </c>
      <c r="D839" s="85"/>
      <c r="E839" s="85"/>
      <c r="F839" s="85"/>
      <c r="G839" s="85"/>
      <c r="H839" s="85"/>
      <c r="I839" s="85"/>
      <c r="J839" s="240">
        <f>'Baseline PHP'!J28</f>
        <v>0</v>
      </c>
      <c r="K839" s="87"/>
    </row>
    <row r="840" spans="2:11" x14ac:dyDescent="0.2">
      <c r="B840" s="81"/>
      <c r="C840" s="85"/>
      <c r="D840" s="85"/>
      <c r="E840" s="85"/>
      <c r="F840" s="85"/>
      <c r="G840" s="85"/>
      <c r="H840" s="85"/>
      <c r="I840" s="85"/>
      <c r="J840" s="85"/>
      <c r="K840" s="87"/>
    </row>
    <row r="841" spans="2:11" ht="16" x14ac:dyDescent="0.2">
      <c r="B841" s="81"/>
      <c r="C841" s="211" t="s">
        <v>645</v>
      </c>
      <c r="D841" s="85"/>
      <c r="E841" s="85"/>
      <c r="F841" s="85"/>
      <c r="G841" s="85"/>
      <c r="H841" s="85"/>
      <c r="I841" s="85"/>
      <c r="J841" s="85"/>
      <c r="K841" s="87"/>
    </row>
    <row r="842" spans="2:11" x14ac:dyDescent="0.2">
      <c r="B842" s="81"/>
      <c r="C842" s="85" t="s">
        <v>380</v>
      </c>
      <c r="D842" s="85"/>
      <c r="E842" s="85"/>
      <c r="F842" s="85"/>
      <c r="G842" s="406"/>
      <c r="H842" s="407"/>
      <c r="I842" s="85"/>
      <c r="J842" s="83" t="str">
        <f>IF(G842=$B$998,$A$998,IF(G842=$B$999,$A$999,IF(G842=$B$1000,$A$1000,IF(G842=$B$1001,$A$1001,IF(G842=$B$1002,$A$1002,"Not Calculated")))))</f>
        <v>Not Calculated</v>
      </c>
      <c r="K842" s="87"/>
    </row>
    <row r="843" spans="2:11" x14ac:dyDescent="0.2">
      <c r="B843" s="81"/>
      <c r="C843" s="85" t="s">
        <v>134</v>
      </c>
      <c r="D843" s="85"/>
      <c r="E843" s="85"/>
      <c r="F843" s="85"/>
      <c r="G843" s="85"/>
      <c r="H843" s="85"/>
      <c r="I843" s="85"/>
      <c r="J843" s="240">
        <f>'Baseline PHP'!J44</f>
        <v>0</v>
      </c>
      <c r="K843" s="87"/>
    </row>
    <row r="844" spans="2:11" x14ac:dyDescent="0.2">
      <c r="B844" s="81"/>
      <c r="C844" s="85"/>
      <c r="D844" s="85"/>
      <c r="E844" s="85"/>
      <c r="F844" s="85"/>
      <c r="G844" s="85"/>
      <c r="H844" s="85"/>
      <c r="I844" s="85"/>
      <c r="J844" s="85"/>
      <c r="K844" s="87"/>
    </row>
    <row r="845" spans="2:11" ht="16" x14ac:dyDescent="0.2">
      <c r="B845" s="81"/>
      <c r="C845" s="211" t="s">
        <v>646</v>
      </c>
      <c r="D845" s="85"/>
      <c r="E845" s="85"/>
      <c r="F845" s="85"/>
      <c r="G845" s="85"/>
      <c r="H845" s="85"/>
      <c r="I845" s="85"/>
      <c r="J845" s="85"/>
      <c r="K845" s="87"/>
    </row>
    <row r="846" spans="2:11" x14ac:dyDescent="0.2">
      <c r="B846" s="81"/>
      <c r="C846" s="85" t="s">
        <v>380</v>
      </c>
      <c r="D846" s="85"/>
      <c r="E846" s="85"/>
      <c r="F846" s="85"/>
      <c r="G846" s="406"/>
      <c r="H846" s="407"/>
      <c r="I846" s="85"/>
      <c r="J846" s="83" t="str">
        <f>IF(G846=$B$998,$A$998,IF(G846=$B$999,$A$999,IF(G846=$B$1000,$A$1000,IF(G846=$B$1001,$A$1001,IF(G846=$B$1002,$A$1002,"Not Calculated")))))</f>
        <v>Not Calculated</v>
      </c>
      <c r="K846" s="87"/>
    </row>
    <row r="847" spans="2:11" x14ac:dyDescent="0.2">
      <c r="B847" s="81"/>
      <c r="C847" s="85" t="s">
        <v>134</v>
      </c>
      <c r="D847" s="85"/>
      <c r="E847" s="85"/>
      <c r="F847" s="85"/>
      <c r="G847" s="85"/>
      <c r="H847" s="85"/>
      <c r="I847" s="85"/>
      <c r="J847" s="240">
        <f>'Baseline PHP'!J60</f>
        <v>0</v>
      </c>
      <c r="K847" s="87"/>
    </row>
    <row r="848" spans="2:11" x14ac:dyDescent="0.2">
      <c r="B848" s="81"/>
      <c r="C848" s="85"/>
      <c r="D848" s="85"/>
      <c r="E848" s="85"/>
      <c r="F848" s="85"/>
      <c r="G848" s="85"/>
      <c r="H848" s="85"/>
      <c r="I848" s="85"/>
      <c r="J848" s="85"/>
      <c r="K848" s="87"/>
    </row>
    <row r="849" spans="2:11" ht="16" x14ac:dyDescent="0.2">
      <c r="B849" s="81"/>
      <c r="C849" s="211" t="s">
        <v>648</v>
      </c>
      <c r="D849" s="85"/>
      <c r="E849" s="85"/>
      <c r="F849" s="85"/>
      <c r="G849" s="85"/>
      <c r="H849" s="85"/>
      <c r="I849" s="85"/>
      <c r="J849" s="85"/>
      <c r="K849" s="87"/>
    </row>
    <row r="850" spans="2:11" ht="15" customHeight="1" x14ac:dyDescent="0.2">
      <c r="B850" s="81"/>
      <c r="C850" s="85" t="s">
        <v>380</v>
      </c>
      <c r="D850" s="85"/>
      <c r="E850" s="85"/>
      <c r="F850" s="85"/>
      <c r="G850" s="406"/>
      <c r="H850" s="407"/>
      <c r="I850" s="85"/>
      <c r="J850" s="83" t="str">
        <f>IF(G850=$B$998,$A$998,IF(G850=$B$999,$A$999,IF(G850=$B$1000,$A$1000,IF(G850=$B$1001,$A$1001,IF(G850=$B$1002,$A$1002,"Not Calculated")))))</f>
        <v>Not Calculated</v>
      </c>
      <c r="K850" s="87"/>
    </row>
    <row r="851" spans="2:11" x14ac:dyDescent="0.2">
      <c r="B851" s="81"/>
      <c r="C851" s="85" t="s">
        <v>134</v>
      </c>
      <c r="D851" s="85"/>
      <c r="E851" s="85"/>
      <c r="F851" s="85"/>
      <c r="G851" s="85"/>
      <c r="H851" s="85"/>
      <c r="I851" s="85"/>
      <c r="J851" s="240">
        <f>'Baseline PHP'!J76</f>
        <v>0</v>
      </c>
      <c r="K851" s="87"/>
    </row>
    <row r="852" spans="2:11" x14ac:dyDescent="0.2">
      <c r="B852" s="81"/>
      <c r="C852" s="85"/>
      <c r="D852" s="85"/>
      <c r="E852" s="85"/>
      <c r="F852" s="85"/>
      <c r="G852" s="85"/>
      <c r="H852" s="85"/>
      <c r="I852" s="85"/>
      <c r="J852" s="85"/>
      <c r="K852" s="87"/>
    </row>
    <row r="853" spans="2:11" ht="16" x14ac:dyDescent="0.2">
      <c r="B853" s="81"/>
      <c r="C853" s="211" t="s">
        <v>647</v>
      </c>
      <c r="D853" s="85"/>
      <c r="E853" s="85"/>
      <c r="F853" s="85"/>
      <c r="G853" s="85"/>
      <c r="H853" s="85"/>
      <c r="I853" s="85"/>
      <c r="J853" s="85"/>
      <c r="K853" s="87"/>
    </row>
    <row r="854" spans="2:11" x14ac:dyDescent="0.2">
      <c r="B854" s="81"/>
      <c r="C854" s="85" t="s">
        <v>380</v>
      </c>
      <c r="D854" s="85"/>
      <c r="E854" s="85"/>
      <c r="F854" s="85"/>
      <c r="G854" s="406"/>
      <c r="H854" s="407"/>
      <c r="I854" s="85"/>
      <c r="J854" s="83" t="str">
        <f>IF(G854=$B$998,$A$998,IF(G854=$B$999,$A$999,IF(G854=$B$1000,$A$1000,IF(G854=$B$1001,$A$1001,IF(G854=$B$1002,$A$1002,"Not Calculated")))))</f>
        <v>Not Calculated</v>
      </c>
      <c r="K854" s="87"/>
    </row>
    <row r="855" spans="2:11" x14ac:dyDescent="0.2">
      <c r="B855" s="81"/>
      <c r="C855" s="85" t="s">
        <v>134</v>
      </c>
      <c r="D855" s="85"/>
      <c r="E855" s="85"/>
      <c r="F855" s="85"/>
      <c r="G855" s="85"/>
      <c r="H855" s="85"/>
      <c r="I855" s="85"/>
      <c r="J855" s="240">
        <f>'Baseline PHP'!J88</f>
        <v>0</v>
      </c>
      <c r="K855" s="87"/>
    </row>
    <row r="856" spans="2:11" x14ac:dyDescent="0.2">
      <c r="B856" s="81"/>
      <c r="C856" s="85"/>
      <c r="D856" s="85"/>
      <c r="E856" s="85"/>
      <c r="F856" s="85"/>
      <c r="G856" s="85"/>
      <c r="H856" s="85"/>
      <c r="I856" s="85"/>
      <c r="J856" s="85"/>
      <c r="K856" s="87"/>
    </row>
    <row r="857" spans="2:11" ht="16" x14ac:dyDescent="0.2">
      <c r="B857" s="81"/>
      <c r="C857" s="211" t="s">
        <v>115</v>
      </c>
      <c r="D857" s="85"/>
      <c r="E857" s="85"/>
      <c r="F857" s="85"/>
      <c r="G857" s="85"/>
      <c r="H857" s="85"/>
      <c r="I857" s="85"/>
      <c r="J857" s="85"/>
      <c r="K857" s="87"/>
    </row>
    <row r="858" spans="2:11" x14ac:dyDescent="0.2">
      <c r="B858" s="81"/>
      <c r="C858" s="85" t="s">
        <v>380</v>
      </c>
      <c r="D858" s="85"/>
      <c r="E858" s="85"/>
      <c r="F858" s="85"/>
      <c r="G858" s="406"/>
      <c r="H858" s="407"/>
      <c r="I858" s="85"/>
      <c r="J858" s="83" t="str">
        <f>IF(G858=$B$998,$A$998,IF(G858=$B$999,$A$999,IF(G858=$B$1000,$A$1000,IF(G858=$B$1001,$A$1001,IF(G858=$B$1002,$A$1002,"Not Calculated")))))</f>
        <v>Not Calculated</v>
      </c>
      <c r="K858" s="87"/>
    </row>
    <row r="859" spans="2:11" x14ac:dyDescent="0.2">
      <c r="B859" s="81"/>
      <c r="C859" s="85" t="s">
        <v>134</v>
      </c>
      <c r="D859" s="85"/>
      <c r="E859" s="85"/>
      <c r="F859" s="85"/>
      <c r="G859" s="85"/>
      <c r="H859" s="85"/>
      <c r="I859" s="85"/>
      <c r="J859" s="240">
        <f>'Baseline PHP'!J102</f>
        <v>0</v>
      </c>
      <c r="K859" s="87"/>
    </row>
    <row r="860" spans="2:11" x14ac:dyDescent="0.2">
      <c r="B860" s="81"/>
      <c r="C860" s="85"/>
      <c r="D860" s="85"/>
      <c r="E860" s="85"/>
      <c r="F860" s="85"/>
      <c r="G860" s="85"/>
      <c r="H860" s="85"/>
      <c r="I860" s="85"/>
      <c r="J860" s="85"/>
      <c r="K860" s="87"/>
    </row>
    <row r="861" spans="2:11" ht="16" x14ac:dyDescent="0.2">
      <c r="B861" s="81"/>
      <c r="C861" s="211" t="s">
        <v>649</v>
      </c>
      <c r="D861" s="85"/>
      <c r="E861" s="85"/>
      <c r="F861" s="85"/>
      <c r="G861" s="85"/>
      <c r="H861" s="85"/>
      <c r="I861" s="85"/>
      <c r="J861" s="85"/>
      <c r="K861" s="87"/>
    </row>
    <row r="862" spans="2:11" x14ac:dyDescent="0.2">
      <c r="B862" s="81"/>
      <c r="C862" s="85" t="s">
        <v>380</v>
      </c>
      <c r="D862" s="85"/>
      <c r="E862" s="85"/>
      <c r="F862" s="85"/>
      <c r="G862" s="406"/>
      <c r="H862" s="407"/>
      <c r="I862" s="85"/>
      <c r="J862" s="83" t="str">
        <f>IF(G862=$B$998,$A$998,IF(G862=$B$999,$A$999,IF(G862=$B$1000,$A$1000,IF(G862=$B$1001,$A$1001,IF(G862=$B$1002,$A$1002,"Not Calculated")))))</f>
        <v>Not Calculated</v>
      </c>
      <c r="K862" s="87"/>
    </row>
    <row r="863" spans="2:11" x14ac:dyDescent="0.2">
      <c r="B863" s="81"/>
      <c r="C863" s="85" t="s">
        <v>134</v>
      </c>
      <c r="D863" s="85"/>
      <c r="E863" s="85"/>
      <c r="F863" s="85"/>
      <c r="G863" s="85"/>
      <c r="H863" s="85"/>
      <c r="I863" s="85"/>
      <c r="J863" s="240">
        <f>'Baseline PHP'!J118</f>
        <v>0</v>
      </c>
      <c r="K863" s="87"/>
    </row>
    <row r="864" spans="2:11" x14ac:dyDescent="0.2">
      <c r="B864" s="81"/>
      <c r="C864" s="85"/>
      <c r="D864" s="85"/>
      <c r="E864" s="85"/>
      <c r="F864" s="85"/>
      <c r="G864" s="85"/>
      <c r="H864" s="85"/>
      <c r="I864" s="85"/>
      <c r="J864" s="85"/>
      <c r="K864" s="87"/>
    </row>
    <row r="865" spans="2:11" ht="16" x14ac:dyDescent="0.2">
      <c r="B865" s="81"/>
      <c r="C865" s="211" t="s">
        <v>656</v>
      </c>
      <c r="D865" s="85"/>
      <c r="E865" s="85"/>
      <c r="F865" s="85"/>
      <c r="G865" s="85"/>
      <c r="H865" s="85"/>
      <c r="I865" s="85"/>
      <c r="J865" s="85"/>
      <c r="K865" s="87"/>
    </row>
    <row r="866" spans="2:11" x14ac:dyDescent="0.2">
      <c r="B866" s="81"/>
      <c r="C866" s="85" t="s">
        <v>380</v>
      </c>
      <c r="D866" s="85"/>
      <c r="E866" s="85"/>
      <c r="F866" s="85"/>
      <c r="G866" s="406"/>
      <c r="H866" s="407"/>
      <c r="I866" s="85"/>
      <c r="J866" s="83" t="str">
        <f>IF(G866=$B$998,$A$998,IF(G866=$B$999,$A$999,IF(G866=$B$1000,$A$1000,IF(G866=$B$1001,$A$1001,IF(G866=$B$1002,$A$1002,"Not Calculated")))))</f>
        <v>Not Calculated</v>
      </c>
      <c r="K866" s="87"/>
    </row>
    <row r="867" spans="2:11" x14ac:dyDescent="0.2">
      <c r="B867" s="81"/>
      <c r="C867" s="85" t="s">
        <v>134</v>
      </c>
      <c r="D867" s="85"/>
      <c r="E867" s="85"/>
      <c r="F867" s="85"/>
      <c r="G867" s="85"/>
      <c r="H867" s="85"/>
      <c r="I867" s="85"/>
      <c r="J867" s="240">
        <f>'Baseline PHP'!J136</f>
        <v>0</v>
      </c>
      <c r="K867" s="87"/>
    </row>
    <row r="868" spans="2:11" x14ac:dyDescent="0.2">
      <c r="B868" s="81"/>
      <c r="C868" s="85"/>
      <c r="D868" s="85"/>
      <c r="E868" s="85"/>
      <c r="F868" s="85"/>
      <c r="G868" s="85"/>
      <c r="H868" s="85"/>
      <c r="I868" s="85"/>
      <c r="J868" s="85"/>
      <c r="K868" s="87"/>
    </row>
    <row r="869" spans="2:11" ht="16" x14ac:dyDescent="0.2">
      <c r="B869" s="81"/>
      <c r="C869" s="211" t="s">
        <v>121</v>
      </c>
      <c r="D869" s="85"/>
      <c r="E869" s="85"/>
      <c r="F869" s="85"/>
      <c r="G869" s="85"/>
      <c r="H869" s="85"/>
      <c r="I869" s="85"/>
      <c r="J869" s="85"/>
      <c r="K869" s="87"/>
    </row>
    <row r="870" spans="2:11" x14ac:dyDescent="0.2">
      <c r="B870" s="81"/>
      <c r="C870" s="85" t="s">
        <v>380</v>
      </c>
      <c r="D870" s="85"/>
      <c r="E870" s="85"/>
      <c r="F870" s="85"/>
      <c r="G870" s="406"/>
      <c r="H870" s="407"/>
      <c r="I870" s="85"/>
      <c r="J870" s="83" t="str">
        <f>IF(G870=$B$998,$A$998,IF(G870=$B$999,$A$999,IF(G870=$B$1000,$A$1000,IF(G870=$B$1001,$A$1001,IF(G870=$B$1002,$A$1002,"Not Calculated")))))</f>
        <v>Not Calculated</v>
      </c>
      <c r="K870" s="87"/>
    </row>
    <row r="871" spans="2:11" x14ac:dyDescent="0.2">
      <c r="B871" s="81"/>
      <c r="C871" s="85" t="s">
        <v>134</v>
      </c>
      <c r="D871" s="85"/>
      <c r="E871" s="85"/>
      <c r="F871" s="85"/>
      <c r="G871" s="85"/>
      <c r="H871" s="85"/>
      <c r="I871" s="85"/>
      <c r="J871" s="240">
        <f>'Baseline PHP'!J150</f>
        <v>0</v>
      </c>
      <c r="K871" s="87"/>
    </row>
    <row r="872" spans="2:11" x14ac:dyDescent="0.2">
      <c r="B872" s="81"/>
      <c r="C872" s="85"/>
      <c r="D872" s="85"/>
      <c r="E872" s="85"/>
      <c r="F872" s="85"/>
      <c r="G872" s="85"/>
      <c r="H872" s="85"/>
      <c r="I872" s="85"/>
      <c r="J872" s="85"/>
      <c r="K872" s="87"/>
    </row>
    <row r="873" spans="2:11" ht="16" x14ac:dyDescent="0.2">
      <c r="B873" s="81"/>
      <c r="C873" s="211" t="s">
        <v>657</v>
      </c>
      <c r="D873" s="85"/>
      <c r="E873" s="85"/>
      <c r="F873" s="85"/>
      <c r="G873" s="85"/>
      <c r="H873" s="85"/>
      <c r="I873" s="85"/>
      <c r="J873" s="85"/>
      <c r="K873" s="87"/>
    </row>
    <row r="874" spans="2:11" x14ac:dyDescent="0.2">
      <c r="B874" s="81"/>
      <c r="C874" s="85" t="s">
        <v>380</v>
      </c>
      <c r="D874" s="85"/>
      <c r="E874" s="85"/>
      <c r="F874" s="85"/>
      <c r="G874" s="406"/>
      <c r="H874" s="407"/>
      <c r="I874" s="85"/>
      <c r="J874" s="83" t="str">
        <f>IF(G874=$B$998,$A$998,IF(G874=$B$999,$A$999,IF(G874=$B$1000,$A$1000,IF(G874=$B$1001,$A$1001,IF(G874=$B$1002,$A$1002,"Not Calculated")))))</f>
        <v>Not Calculated</v>
      </c>
      <c r="K874" s="87"/>
    </row>
    <row r="875" spans="2:11" x14ac:dyDescent="0.2">
      <c r="B875" s="81"/>
      <c r="C875" s="85" t="s">
        <v>134</v>
      </c>
      <c r="D875" s="85"/>
      <c r="E875" s="85"/>
      <c r="F875" s="85"/>
      <c r="G875" s="85"/>
      <c r="H875" s="85"/>
      <c r="I875" s="85"/>
      <c r="J875" s="240">
        <f>'Baseline PHP'!J164</f>
        <v>0</v>
      </c>
      <c r="K875" s="87"/>
    </row>
    <row r="876" spans="2:11" x14ac:dyDescent="0.2">
      <c r="B876" s="81"/>
      <c r="C876" s="85"/>
      <c r="D876" s="85"/>
      <c r="E876" s="85"/>
      <c r="F876" s="85"/>
      <c r="G876" s="85"/>
      <c r="H876" s="85"/>
      <c r="I876" s="85"/>
      <c r="J876" s="85"/>
      <c r="K876" s="87"/>
    </row>
    <row r="877" spans="2:11" ht="16" x14ac:dyDescent="0.2">
      <c r="B877" s="81"/>
      <c r="C877" s="211" t="s">
        <v>650</v>
      </c>
      <c r="D877" s="85"/>
      <c r="E877" s="85"/>
      <c r="F877" s="85"/>
      <c r="G877" s="85"/>
      <c r="H877" s="85"/>
      <c r="I877" s="85"/>
      <c r="J877" s="85"/>
      <c r="K877" s="87"/>
    </row>
    <row r="878" spans="2:11" x14ac:dyDescent="0.2">
      <c r="B878" s="81"/>
      <c r="C878" s="85" t="s">
        <v>380</v>
      </c>
      <c r="D878" s="85"/>
      <c r="E878" s="85"/>
      <c r="F878" s="85"/>
      <c r="G878" s="406"/>
      <c r="H878" s="407"/>
      <c r="I878" s="85"/>
      <c r="J878" s="83" t="str">
        <f>IF(G878=$B$998,$A$998,IF(G878=$B$999,$A$999,IF(G878=$B$1000,$A$1000,IF(G878=$B$1001,$A$1001,IF(G878=$B$1002,$A$1002,"Not Calculated")))))</f>
        <v>Not Calculated</v>
      </c>
      <c r="K878" s="87"/>
    </row>
    <row r="879" spans="2:11" x14ac:dyDescent="0.2">
      <c r="B879" s="81"/>
      <c r="C879" s="85" t="s">
        <v>134</v>
      </c>
      <c r="D879" s="85"/>
      <c r="E879" s="85"/>
      <c r="F879" s="85"/>
      <c r="G879" s="85"/>
      <c r="H879" s="85"/>
      <c r="I879" s="85"/>
      <c r="J879" s="240">
        <f>'Baseline PHP'!J180</f>
        <v>0</v>
      </c>
      <c r="K879" s="87"/>
    </row>
    <row r="880" spans="2:11" x14ac:dyDescent="0.2">
      <c r="B880" s="81"/>
      <c r="C880" s="85"/>
      <c r="D880" s="85"/>
      <c r="E880" s="85"/>
      <c r="F880" s="85"/>
      <c r="G880" s="85"/>
      <c r="H880" s="85"/>
      <c r="I880" s="85"/>
      <c r="J880" s="85"/>
      <c r="K880" s="87"/>
    </row>
    <row r="881" spans="2:11" ht="16" x14ac:dyDescent="0.2">
      <c r="B881" s="81"/>
      <c r="C881" s="211" t="s">
        <v>651</v>
      </c>
      <c r="D881" s="85"/>
      <c r="E881" s="85"/>
      <c r="F881" s="85"/>
      <c r="G881" s="85"/>
      <c r="H881" s="85"/>
      <c r="I881" s="85"/>
      <c r="J881" s="85"/>
      <c r="K881" s="87"/>
    </row>
    <row r="882" spans="2:11" x14ac:dyDescent="0.2">
      <c r="B882" s="81"/>
      <c r="C882" s="85" t="s">
        <v>380</v>
      </c>
      <c r="D882" s="85"/>
      <c r="E882" s="85"/>
      <c r="F882" s="85"/>
      <c r="G882" s="406"/>
      <c r="H882" s="407"/>
      <c r="I882" s="85"/>
      <c r="J882" s="83" t="str">
        <f>IF(G882=$B$998,$A$998,IF(G882=$B$999,$A$999,IF(G882=$B$1000,$A$1000,IF(G882=$B$1001,$A$1001,IF(G882=$B$1002,$A$1002,"Not Calculated")))))</f>
        <v>Not Calculated</v>
      </c>
      <c r="K882" s="87"/>
    </row>
    <row r="883" spans="2:11" x14ac:dyDescent="0.2">
      <c r="B883" s="81"/>
      <c r="C883" s="85" t="s">
        <v>134</v>
      </c>
      <c r="D883" s="85"/>
      <c r="E883" s="85"/>
      <c r="F883" s="85"/>
      <c r="G883" s="85"/>
      <c r="H883" s="85"/>
      <c r="I883" s="85"/>
      <c r="J883" s="240">
        <f>'Baseline PHP'!J194</f>
        <v>0</v>
      </c>
      <c r="K883" s="87"/>
    </row>
    <row r="884" spans="2:11" x14ac:dyDescent="0.2">
      <c r="B884" s="81"/>
      <c r="C884" s="85"/>
      <c r="D884" s="85"/>
      <c r="E884" s="85"/>
      <c r="F884" s="85"/>
      <c r="G884" s="85"/>
      <c r="H884" s="85"/>
      <c r="I884" s="85"/>
      <c r="J884" s="85"/>
      <c r="K884" s="87"/>
    </row>
    <row r="885" spans="2:11" ht="16" x14ac:dyDescent="0.2">
      <c r="B885" s="81"/>
      <c r="C885" s="211" t="s">
        <v>652</v>
      </c>
      <c r="D885" s="85"/>
      <c r="E885" s="85"/>
      <c r="F885" s="85"/>
      <c r="G885" s="85"/>
      <c r="H885" s="85"/>
      <c r="I885" s="85"/>
      <c r="J885" s="85"/>
      <c r="K885" s="87"/>
    </row>
    <row r="886" spans="2:11" x14ac:dyDescent="0.2">
      <c r="B886" s="81"/>
      <c r="C886" s="85" t="s">
        <v>380</v>
      </c>
      <c r="D886" s="85"/>
      <c r="E886" s="85"/>
      <c r="F886" s="85"/>
      <c r="G886" s="406"/>
      <c r="H886" s="407"/>
      <c r="I886" s="85"/>
      <c r="J886" s="83" t="str">
        <f>IF(G886=$B$998,$A$998,IF(G886=$B$999,$A$999,IF(G886=$B$1000,$A$1000,IF(G886=$B$1001,$A$1001,IF(G886=$B$1002,$A$1002,"Not Calculated")))))</f>
        <v>Not Calculated</v>
      </c>
      <c r="K886" s="87"/>
    </row>
    <row r="887" spans="2:11" x14ac:dyDescent="0.2">
      <c r="B887" s="81"/>
      <c r="C887" s="85" t="s">
        <v>134</v>
      </c>
      <c r="D887" s="85"/>
      <c r="E887" s="85"/>
      <c r="F887" s="85"/>
      <c r="G887" s="85"/>
      <c r="H887" s="85"/>
      <c r="I887" s="85"/>
      <c r="J887" s="240">
        <f>'Baseline PHP'!J208</f>
        <v>0</v>
      </c>
      <c r="K887" s="87"/>
    </row>
    <row r="888" spans="2:11" x14ac:dyDescent="0.2">
      <c r="B888" s="81"/>
      <c r="C888" s="85"/>
      <c r="D888" s="85"/>
      <c r="E888" s="85"/>
      <c r="F888" s="85"/>
      <c r="G888" s="85"/>
      <c r="H888" s="85"/>
      <c r="I888" s="85"/>
      <c r="J888" s="85"/>
      <c r="K888" s="87"/>
    </row>
    <row r="889" spans="2:11" ht="16" x14ac:dyDescent="0.2">
      <c r="B889" s="81"/>
      <c r="C889" s="211" t="s">
        <v>653</v>
      </c>
      <c r="D889" s="85"/>
      <c r="E889" s="85"/>
      <c r="F889" s="85"/>
      <c r="G889" s="85"/>
      <c r="H889" s="85"/>
      <c r="I889" s="85"/>
      <c r="J889" s="85"/>
      <c r="K889" s="87"/>
    </row>
    <row r="890" spans="2:11" x14ac:dyDescent="0.2">
      <c r="B890" s="81"/>
      <c r="C890" s="85" t="s">
        <v>380</v>
      </c>
      <c r="D890" s="85"/>
      <c r="E890" s="85"/>
      <c r="F890" s="85"/>
      <c r="G890" s="406"/>
      <c r="H890" s="407"/>
      <c r="I890" s="85"/>
      <c r="J890" s="83" t="str">
        <f>IF(G890=$B$998,$A$998,IF(G890=$B$999,$A$999,IF(G890=$B$1000,$A$1000,IF(G890=$B$1001,$A$1001,IF(G890=$B$1002,$A$1002,"Not Calculated")))))</f>
        <v>Not Calculated</v>
      </c>
      <c r="K890" s="87"/>
    </row>
    <row r="891" spans="2:11" x14ac:dyDescent="0.2">
      <c r="B891" s="81"/>
      <c r="C891" s="85" t="s">
        <v>134</v>
      </c>
      <c r="D891" s="85"/>
      <c r="E891" s="85"/>
      <c r="F891" s="85"/>
      <c r="G891" s="85"/>
      <c r="H891" s="85"/>
      <c r="I891" s="85"/>
      <c r="J891" s="240">
        <f>'Baseline PHP'!J222</f>
        <v>0</v>
      </c>
      <c r="K891" s="87"/>
    </row>
    <row r="892" spans="2:11" x14ac:dyDescent="0.2">
      <c r="B892" s="81"/>
      <c r="C892" s="85"/>
      <c r="D892" s="85"/>
      <c r="E892" s="85"/>
      <c r="F892" s="85"/>
      <c r="G892" s="85"/>
      <c r="H892" s="85"/>
      <c r="I892" s="85"/>
      <c r="J892" s="85"/>
      <c r="K892" s="87"/>
    </row>
    <row r="893" spans="2:11" x14ac:dyDescent="0.2">
      <c r="B893" s="81"/>
      <c r="C893" s="85"/>
      <c r="D893" s="85"/>
      <c r="E893" s="85"/>
      <c r="F893" s="85"/>
      <c r="G893" s="85"/>
      <c r="H893" s="85"/>
      <c r="I893" s="85"/>
      <c r="J893" s="85"/>
      <c r="K893" s="87"/>
    </row>
    <row r="894" spans="2:11" ht="16" x14ac:dyDescent="0.2">
      <c r="B894" s="81"/>
      <c r="C894" s="212" t="s">
        <v>813</v>
      </c>
      <c r="D894" s="85"/>
      <c r="E894" s="85"/>
      <c r="F894" s="85"/>
      <c r="G894" s="85"/>
      <c r="H894" s="85"/>
      <c r="I894" s="85"/>
      <c r="J894" s="241" t="str">
        <f>IF(OR(J854="Not Calculated",J858="Not Calculated",J862="Not Calculated",J866="Not Calculated",J870="Not Calculated",J874="Not Calculated",J878="Not Calculated",J882="Not Calculated",J886="Not Calculated",J890="Not Calculated",J834="Not Calculated",J838="Not Calculated",J842="Not Calculated",J846="Not Calculated",J850="Not Calculated",J855="Not Calculated",J859="Not Calculated",J863="Not Calculated",J867="Not Calculated",J871="Not Calculated",J875="Not Calculated",J879="Not Calculated",J883="Not Calculated",J887="Not Calculated",J891="Not Calculated",J835="Not Calculated",J839="Not Calculated",J843="Not Calculated",J847="Not Calculated",J851="Not Calculated")=TRUE,"Not Calculated",((J834*J835)+(J838*J839)+(J842*J843)+(J846*J847)+(J850*J851)+(J854*J855)+(J858*J859)+(J862*J863)+(J866*J867)+(J870*J871)+(J874*J875)+(J878*J879)+(J882*J883)+(J886*J887)+(J890*J891))/(J834+J838+J842+J846+J850+J854+J858+J862+J866+J870+J874+J878+J882+J886+J890))</f>
        <v>Not Calculated</v>
      </c>
      <c r="K894" s="87"/>
    </row>
    <row r="895" spans="2:11" ht="16" thickBot="1" x14ac:dyDescent="0.25">
      <c r="B895" s="213"/>
      <c r="C895" s="94"/>
      <c r="D895" s="94"/>
      <c r="E895" s="94"/>
      <c r="F895" s="94"/>
      <c r="G895" s="94"/>
      <c r="H895" s="94"/>
      <c r="I895" s="94"/>
      <c r="J895" s="94"/>
      <c r="K895" s="96"/>
    </row>
    <row r="896" spans="2:11" ht="16" thickBot="1" x14ac:dyDescent="0.25"/>
    <row r="897" spans="2:11" x14ac:dyDescent="0.2">
      <c r="B897" s="77"/>
      <c r="C897" s="78"/>
      <c r="D897" s="78"/>
      <c r="E897" s="78"/>
      <c r="F897" s="78"/>
      <c r="G897" s="78"/>
      <c r="H897" s="78"/>
      <c r="I897" s="78"/>
      <c r="J897" s="78"/>
      <c r="K897" s="80"/>
    </row>
    <row r="898" spans="2:11" ht="21" x14ac:dyDescent="0.25">
      <c r="B898" s="81"/>
      <c r="C898" s="85"/>
      <c r="D898" s="85"/>
      <c r="E898" s="85"/>
      <c r="F898" s="85"/>
      <c r="G898" s="210" t="s">
        <v>807</v>
      </c>
      <c r="H898" s="85"/>
      <c r="I898" s="85"/>
      <c r="J898" s="85"/>
      <c r="K898" s="87"/>
    </row>
    <row r="899" spans="2:11" x14ac:dyDescent="0.2">
      <c r="B899" s="81"/>
      <c r="C899" s="85"/>
      <c r="D899" s="85"/>
      <c r="E899" s="85"/>
      <c r="F899" s="85"/>
      <c r="G899" s="85"/>
      <c r="H899" s="85"/>
      <c r="I899" s="85"/>
      <c r="J899" s="85"/>
      <c r="K899" s="87"/>
    </row>
    <row r="900" spans="2:11" ht="15" customHeight="1" x14ac:dyDescent="0.2">
      <c r="B900" s="81"/>
      <c r="C900" s="424" t="s">
        <v>809</v>
      </c>
      <c r="D900" s="424"/>
      <c r="E900" s="424"/>
      <c r="F900" s="424"/>
      <c r="G900" s="424"/>
      <c r="H900" s="424"/>
      <c r="I900" s="424"/>
      <c r="J900" s="424"/>
      <c r="K900" s="87"/>
    </row>
    <row r="901" spans="2:11" x14ac:dyDescent="0.2">
      <c r="B901" s="81"/>
      <c r="C901" s="424"/>
      <c r="D901" s="424"/>
      <c r="E901" s="424"/>
      <c r="F901" s="424"/>
      <c r="G901" s="424"/>
      <c r="H901" s="424"/>
      <c r="I901" s="424"/>
      <c r="J901" s="424"/>
      <c r="K901" s="87"/>
    </row>
    <row r="902" spans="2:11" x14ac:dyDescent="0.2">
      <c r="B902" s="81"/>
      <c r="C902" s="85"/>
      <c r="D902" s="85"/>
      <c r="E902" s="85"/>
      <c r="F902" s="85"/>
      <c r="G902" s="85"/>
      <c r="H902" s="85"/>
      <c r="I902" s="85"/>
      <c r="J902" s="85"/>
      <c r="K902" s="87"/>
    </row>
    <row r="903" spans="2:11" ht="16" x14ac:dyDescent="0.2">
      <c r="B903" s="81"/>
      <c r="C903" s="211" t="s">
        <v>810</v>
      </c>
      <c r="D903" s="85"/>
      <c r="E903" s="85"/>
      <c r="F903" s="85"/>
      <c r="G903" s="85"/>
      <c r="H903" s="85"/>
      <c r="I903" s="85"/>
      <c r="J903" s="85"/>
      <c r="K903" s="87"/>
    </row>
    <row r="904" spans="2:11" x14ac:dyDescent="0.2">
      <c r="B904" s="81"/>
      <c r="C904" s="85" t="s">
        <v>380</v>
      </c>
      <c r="D904" s="85"/>
      <c r="E904" s="85"/>
      <c r="F904" s="85"/>
      <c r="G904" s="406"/>
      <c r="H904" s="407"/>
      <c r="I904" s="85"/>
      <c r="J904" s="83" t="str">
        <f>IF(G904=$B$998,$A$998,IF(G904=$B$999,$A$999,IF(G904=$B$1000,$A$1000,IF(G904=$B$1001,$A$1001,IF(G904=$B$1002,$A$1002,"Not Calculated")))))</f>
        <v>Not Calculated</v>
      </c>
      <c r="K904" s="87"/>
    </row>
    <row r="905" spans="2:11" x14ac:dyDescent="0.2">
      <c r="B905" s="81"/>
      <c r="C905" s="85" t="s">
        <v>134</v>
      </c>
      <c r="D905" s="85"/>
      <c r="E905" s="85"/>
      <c r="F905" s="85"/>
      <c r="G905" s="85"/>
      <c r="H905" s="85"/>
      <c r="I905" s="85"/>
      <c r="J905" s="240">
        <f>'Baseline HP'!J22</f>
        <v>0</v>
      </c>
      <c r="K905" s="87"/>
    </row>
    <row r="906" spans="2:11" x14ac:dyDescent="0.2">
      <c r="B906" s="81"/>
      <c r="C906" s="85"/>
      <c r="D906" s="85"/>
      <c r="E906" s="85"/>
      <c r="F906" s="85"/>
      <c r="G906" s="85"/>
      <c r="H906" s="85"/>
      <c r="I906" s="85"/>
      <c r="J906" s="85"/>
      <c r="K906" s="87"/>
    </row>
    <row r="907" spans="2:11" ht="16" x14ac:dyDescent="0.2">
      <c r="B907" s="81"/>
      <c r="C907" s="211" t="s">
        <v>811</v>
      </c>
      <c r="D907" s="85"/>
      <c r="E907" s="85"/>
      <c r="F907" s="85"/>
      <c r="G907" s="85"/>
      <c r="H907" s="85"/>
      <c r="I907" s="85"/>
      <c r="J907" s="85"/>
      <c r="K907" s="87"/>
    </row>
    <row r="908" spans="2:11" x14ac:dyDescent="0.2">
      <c r="B908" s="81"/>
      <c r="C908" s="85" t="s">
        <v>380</v>
      </c>
      <c r="D908" s="85"/>
      <c r="E908" s="85"/>
      <c r="F908" s="85"/>
      <c r="G908" s="406"/>
      <c r="H908" s="407"/>
      <c r="I908" s="85"/>
      <c r="J908" s="83" t="str">
        <f>IF(G908=$B$998,$A$998,IF(G908=$B$999,$A$999,IF(G908=$B$1000,$A$1000,IF(G908=$B$1001,$A$1001,IF(G908=$B$1002,$A$1002,"Not Calculated")))))</f>
        <v>Not Calculated</v>
      </c>
      <c r="K908" s="87"/>
    </row>
    <row r="909" spans="2:11" x14ac:dyDescent="0.2">
      <c r="B909" s="81"/>
      <c r="C909" s="85" t="s">
        <v>134</v>
      </c>
      <c r="D909" s="85"/>
      <c r="E909" s="85"/>
      <c r="F909" s="85"/>
      <c r="G909" s="85"/>
      <c r="H909" s="85"/>
      <c r="I909" s="85"/>
      <c r="J909" s="240">
        <f>'Baseline HP'!J32</f>
        <v>0</v>
      </c>
      <c r="K909" s="87"/>
    </row>
    <row r="910" spans="2:11" x14ac:dyDescent="0.2">
      <c r="B910" s="81"/>
      <c r="C910" s="85"/>
      <c r="D910" s="85"/>
      <c r="E910" s="85"/>
      <c r="F910" s="85"/>
      <c r="G910" s="85"/>
      <c r="H910" s="85"/>
      <c r="I910" s="85"/>
      <c r="J910" s="85"/>
      <c r="K910" s="87"/>
    </row>
    <row r="911" spans="2:11" ht="16" x14ac:dyDescent="0.2">
      <c r="B911" s="81"/>
      <c r="C911" s="211" t="s">
        <v>645</v>
      </c>
      <c r="D911" s="85"/>
      <c r="E911" s="85"/>
      <c r="F911" s="85"/>
      <c r="G911" s="85"/>
      <c r="H911" s="85"/>
      <c r="I911" s="85"/>
      <c r="J911" s="85"/>
      <c r="K911" s="87"/>
    </row>
    <row r="912" spans="2:11" x14ac:dyDescent="0.2">
      <c r="B912" s="81"/>
      <c r="C912" s="85" t="s">
        <v>380</v>
      </c>
      <c r="D912" s="85"/>
      <c r="E912" s="85"/>
      <c r="F912" s="85"/>
      <c r="G912" s="406"/>
      <c r="H912" s="407"/>
      <c r="I912" s="85"/>
      <c r="J912" s="83" t="str">
        <f>IF(G912=$B$998,$A$998,IF(G912=$B$999,$A$999,IF(G912=$B$1000,$A$1000,IF(G912=$B$1001,$A$1001,IF(G912=$B$1002,$A$1002,"Not Calculated")))))</f>
        <v>Not Calculated</v>
      </c>
      <c r="K912" s="87"/>
    </row>
    <row r="913" spans="2:11" x14ac:dyDescent="0.2">
      <c r="B913" s="81"/>
      <c r="C913" s="85" t="s">
        <v>134</v>
      </c>
      <c r="D913" s="85"/>
      <c r="E913" s="85"/>
      <c r="F913" s="85"/>
      <c r="G913" s="85"/>
      <c r="H913" s="85"/>
      <c r="I913" s="85"/>
      <c r="J913" s="240">
        <f>'Baseline HP'!J46</f>
        <v>0</v>
      </c>
      <c r="K913" s="87"/>
    </row>
    <row r="914" spans="2:11" x14ac:dyDescent="0.2">
      <c r="B914" s="81"/>
      <c r="C914" s="85"/>
      <c r="D914" s="85"/>
      <c r="E914" s="85"/>
      <c r="F914" s="85"/>
      <c r="G914" s="85"/>
      <c r="H914" s="85"/>
      <c r="I914" s="85"/>
      <c r="J914" s="85"/>
      <c r="K914" s="87"/>
    </row>
    <row r="915" spans="2:11" ht="16" x14ac:dyDescent="0.2">
      <c r="B915" s="81"/>
      <c r="C915" s="211" t="s">
        <v>648</v>
      </c>
      <c r="D915" s="85"/>
      <c r="E915" s="85"/>
      <c r="F915" s="85"/>
      <c r="G915" s="85"/>
      <c r="H915" s="85"/>
      <c r="I915" s="85"/>
      <c r="J915" s="85"/>
      <c r="K915" s="87"/>
    </row>
    <row r="916" spans="2:11" ht="15" customHeight="1" x14ac:dyDescent="0.2">
      <c r="B916" s="81"/>
      <c r="C916" s="85" t="s">
        <v>380</v>
      </c>
      <c r="D916" s="85"/>
      <c r="E916" s="85"/>
      <c r="F916" s="85"/>
      <c r="G916" s="406"/>
      <c r="H916" s="407"/>
      <c r="I916" s="85"/>
      <c r="J916" s="83" t="str">
        <f>IF(G916=$B$998,$A$998,IF(G916=$B$999,$A$999,IF(G916=$B$1000,$A$1000,IF(G916=$B$1001,$A$1001,IF(G916=$B$1002,$A$1002,"Not Calculated")))))</f>
        <v>Not Calculated</v>
      </c>
      <c r="K916" s="87"/>
    </row>
    <row r="917" spans="2:11" x14ac:dyDescent="0.2">
      <c r="B917" s="81"/>
      <c r="C917" s="85" t="s">
        <v>134</v>
      </c>
      <c r="D917" s="85"/>
      <c r="E917" s="85"/>
      <c r="F917" s="85"/>
      <c r="G917" s="85"/>
      <c r="H917" s="85"/>
      <c r="I917" s="85"/>
      <c r="J917" s="240">
        <f>'Baseline HP'!J58</f>
        <v>0</v>
      </c>
      <c r="K917" s="87"/>
    </row>
    <row r="918" spans="2:11" x14ac:dyDescent="0.2">
      <c r="B918" s="81"/>
      <c r="C918" s="85"/>
      <c r="D918" s="85"/>
      <c r="E918" s="85"/>
      <c r="F918" s="85"/>
      <c r="G918" s="85"/>
      <c r="H918" s="85"/>
      <c r="I918" s="85"/>
      <c r="J918" s="85"/>
      <c r="K918" s="87"/>
    </row>
    <row r="919" spans="2:11" ht="16" x14ac:dyDescent="0.2">
      <c r="B919" s="81"/>
      <c r="C919" s="211" t="s">
        <v>647</v>
      </c>
      <c r="D919" s="85"/>
      <c r="E919" s="85"/>
      <c r="F919" s="85"/>
      <c r="G919" s="85"/>
      <c r="H919" s="85"/>
      <c r="I919" s="85"/>
      <c r="J919" s="85"/>
      <c r="K919" s="87"/>
    </row>
    <row r="920" spans="2:11" x14ac:dyDescent="0.2">
      <c r="B920" s="81"/>
      <c r="C920" s="85" t="s">
        <v>380</v>
      </c>
      <c r="D920" s="85"/>
      <c r="E920" s="85"/>
      <c r="F920" s="85"/>
      <c r="G920" s="406"/>
      <c r="H920" s="407"/>
      <c r="I920" s="85"/>
      <c r="J920" s="83" t="str">
        <f>IF(G920=$B$998,$A$998,IF(G920=$B$999,$A$999,IF(G920=$B$1000,$A$1000,IF(G920=$B$1001,$A$1001,IF(G920=$B$1002,$A$1002,"Not Calculated")))))</f>
        <v>Not Calculated</v>
      </c>
      <c r="K920" s="87"/>
    </row>
    <row r="921" spans="2:11" x14ac:dyDescent="0.2">
      <c r="B921" s="81"/>
      <c r="C921" s="85" t="s">
        <v>134</v>
      </c>
      <c r="D921" s="85"/>
      <c r="E921" s="85"/>
      <c r="F921" s="85"/>
      <c r="G921" s="85"/>
      <c r="H921" s="85"/>
      <c r="I921" s="85"/>
      <c r="J921" s="240">
        <f>'Baseline HP'!J68</f>
        <v>0</v>
      </c>
      <c r="K921" s="87"/>
    </row>
    <row r="922" spans="2:11" x14ac:dyDescent="0.2">
      <c r="B922" s="81"/>
      <c r="C922" s="85"/>
      <c r="D922" s="85"/>
      <c r="E922" s="85"/>
      <c r="F922" s="85"/>
      <c r="G922" s="85"/>
      <c r="H922" s="85"/>
      <c r="I922" s="85"/>
      <c r="J922" s="85"/>
      <c r="K922" s="87"/>
    </row>
    <row r="923" spans="2:11" ht="16" x14ac:dyDescent="0.2">
      <c r="B923" s="81"/>
      <c r="C923" s="211" t="s">
        <v>121</v>
      </c>
      <c r="D923" s="85"/>
      <c r="E923" s="85"/>
      <c r="F923" s="85"/>
      <c r="G923" s="85"/>
      <c r="H923" s="85"/>
      <c r="I923" s="85"/>
      <c r="J923" s="85"/>
      <c r="K923" s="87"/>
    </row>
    <row r="924" spans="2:11" x14ac:dyDescent="0.2">
      <c r="B924" s="81"/>
      <c r="C924" s="85" t="s">
        <v>380</v>
      </c>
      <c r="D924" s="85"/>
      <c r="E924" s="85"/>
      <c r="F924" s="85"/>
      <c r="G924" s="406"/>
      <c r="H924" s="407"/>
      <c r="I924" s="85"/>
      <c r="J924" s="83" t="str">
        <f>IF(G924=$B$998,$A$998,IF(G924=$B$999,$A$999,IF(G924=$B$1000,$A$1000,IF(G924=$B$1001,$A$1001,IF(G924=$B$1002,$A$1002,"Not Calculated")))))</f>
        <v>Not Calculated</v>
      </c>
      <c r="K924" s="87"/>
    </row>
    <row r="925" spans="2:11" x14ac:dyDescent="0.2">
      <c r="B925" s="81"/>
      <c r="C925" s="85" t="s">
        <v>134</v>
      </c>
      <c r="D925" s="85"/>
      <c r="E925" s="85"/>
      <c r="F925" s="85"/>
      <c r="G925" s="85"/>
      <c r="H925" s="85"/>
      <c r="I925" s="85"/>
      <c r="J925" s="240">
        <f>'Baseline HP'!J84</f>
        <v>0</v>
      </c>
      <c r="K925" s="87"/>
    </row>
    <row r="926" spans="2:11" x14ac:dyDescent="0.2">
      <c r="B926" s="81"/>
      <c r="C926" s="85"/>
      <c r="D926" s="85"/>
      <c r="E926" s="85"/>
      <c r="F926" s="85"/>
      <c r="G926" s="85"/>
      <c r="H926" s="85"/>
      <c r="I926" s="85"/>
      <c r="J926" s="85"/>
      <c r="K926" s="87"/>
    </row>
    <row r="927" spans="2:11" ht="16" x14ac:dyDescent="0.2">
      <c r="B927" s="81"/>
      <c r="C927" s="211" t="s">
        <v>652</v>
      </c>
      <c r="D927" s="85"/>
      <c r="E927" s="85"/>
      <c r="F927" s="85"/>
      <c r="G927" s="85"/>
      <c r="H927" s="85"/>
      <c r="I927" s="85"/>
      <c r="J927" s="85"/>
      <c r="K927" s="87"/>
    </row>
    <row r="928" spans="2:11" x14ac:dyDescent="0.2">
      <c r="B928" s="81"/>
      <c r="C928" s="85" t="s">
        <v>380</v>
      </c>
      <c r="D928" s="85"/>
      <c r="E928" s="85"/>
      <c r="F928" s="85"/>
      <c r="G928" s="406"/>
      <c r="H928" s="407"/>
      <c r="I928" s="85"/>
      <c r="J928" s="83" t="str">
        <f>IF(G928=$B$998,$A$998,IF(G928=$B$999,$A$999,IF(G928=$B$1000,$A$1000,IF(G928=$B$1001,$A$1001,IF(G928=$B$1002,$A$1002,"Not Calculated")))))</f>
        <v>Not Calculated</v>
      </c>
      <c r="K928" s="87"/>
    </row>
    <row r="929" spans="2:11" x14ac:dyDescent="0.2">
      <c r="B929" s="81"/>
      <c r="C929" s="85" t="s">
        <v>134</v>
      </c>
      <c r="D929" s="85"/>
      <c r="E929" s="85"/>
      <c r="F929" s="85"/>
      <c r="G929" s="85"/>
      <c r="H929" s="85"/>
      <c r="I929" s="85"/>
      <c r="J929" s="240">
        <f>'Baseline HP'!J94</f>
        <v>0</v>
      </c>
      <c r="K929" s="87"/>
    </row>
    <row r="930" spans="2:11" x14ac:dyDescent="0.2">
      <c r="B930" s="81"/>
      <c r="C930" s="85"/>
      <c r="D930" s="85"/>
      <c r="E930" s="85"/>
      <c r="F930" s="85"/>
      <c r="G930" s="85"/>
      <c r="H930" s="85"/>
      <c r="I930" s="85"/>
      <c r="J930" s="85"/>
      <c r="K930" s="87"/>
    </row>
    <row r="931" spans="2:11" ht="16" x14ac:dyDescent="0.2">
      <c r="B931" s="81"/>
      <c r="C931" s="211" t="s">
        <v>653</v>
      </c>
      <c r="D931" s="85"/>
      <c r="E931" s="85"/>
      <c r="F931" s="85"/>
      <c r="G931" s="85"/>
      <c r="H931" s="85"/>
      <c r="I931" s="85"/>
      <c r="J931" s="85"/>
      <c r="K931" s="87"/>
    </row>
    <row r="932" spans="2:11" x14ac:dyDescent="0.2">
      <c r="B932" s="81"/>
      <c r="C932" s="85" t="s">
        <v>380</v>
      </c>
      <c r="D932" s="85"/>
      <c r="E932" s="85"/>
      <c r="F932" s="85"/>
      <c r="G932" s="406"/>
      <c r="H932" s="407"/>
      <c r="I932" s="85"/>
      <c r="J932" s="83" t="str">
        <f>IF(G932=$B$998,$A$998,IF(G932=$B$999,$A$999,IF(G932=$B$1000,$A$1000,IF(G932=$B$1001,$A$1001,IF(G932=$B$1002,$A$1002,"Not Calculated")))))</f>
        <v>Not Calculated</v>
      </c>
      <c r="K932" s="87"/>
    </row>
    <row r="933" spans="2:11" x14ac:dyDescent="0.2">
      <c r="B933" s="81"/>
      <c r="C933" s="85" t="s">
        <v>134</v>
      </c>
      <c r="D933" s="85"/>
      <c r="E933" s="85"/>
      <c r="F933" s="85"/>
      <c r="G933" s="85"/>
      <c r="H933" s="85"/>
      <c r="I933" s="85"/>
      <c r="J933" s="240">
        <f>'Baseline HP'!J108</f>
        <v>0</v>
      </c>
      <c r="K933" s="87"/>
    </row>
    <row r="934" spans="2:11" x14ac:dyDescent="0.2">
      <c r="B934" s="81"/>
      <c r="C934" s="85"/>
      <c r="D934" s="85"/>
      <c r="E934" s="85"/>
      <c r="F934" s="85"/>
      <c r="G934" s="85"/>
      <c r="H934" s="85"/>
      <c r="I934" s="85"/>
      <c r="J934" s="85"/>
      <c r="K934" s="87"/>
    </row>
    <row r="935" spans="2:11" x14ac:dyDescent="0.2">
      <c r="B935" s="81"/>
      <c r="C935" s="85"/>
      <c r="D935" s="85"/>
      <c r="E935" s="85"/>
      <c r="F935" s="85"/>
      <c r="G935" s="85"/>
      <c r="H935" s="85"/>
      <c r="I935" s="85"/>
      <c r="J935" s="85"/>
      <c r="K935" s="87"/>
    </row>
    <row r="936" spans="2:11" ht="16" x14ac:dyDescent="0.2">
      <c r="B936" s="81"/>
      <c r="C936" s="212" t="s">
        <v>812</v>
      </c>
      <c r="D936" s="85"/>
      <c r="E936" s="85"/>
      <c r="F936" s="85"/>
      <c r="G936" s="85"/>
      <c r="H936" s="85"/>
      <c r="I936" s="85"/>
      <c r="J936" s="241" t="str">
        <f>IF(OR(J920="Not Calculated",J924="Not Calculated",J928="Not Calculated",J932="Not Calculated",J904="Not Calculated",J908="Not Calculated",J912="Not Calculated",J916="Not Calculated",J921="Not Calculated",J925="Not Calculated",J929="Not Calculated",J933="Not Calculated",J905="Not Calculated",J909="Not Calculated",J913="Not Calculated",J917="Not Calculated")=TRUE,"Not Calculated",((J904*J905)+(J908*J909)+(J912*J913)+(J916*J917)+(J920*J921)+(J924*J925)+(J928*J929)+(J932*J933))/(J904+J908+J912+J916+J920+J924+J928+J932))</f>
        <v>Not Calculated</v>
      </c>
      <c r="K936" s="87"/>
    </row>
    <row r="937" spans="2:11" ht="16" thickBot="1" x14ac:dyDescent="0.25">
      <c r="B937" s="213"/>
      <c r="C937" s="94"/>
      <c r="D937" s="94"/>
      <c r="E937" s="94"/>
      <c r="F937" s="94"/>
      <c r="G937" s="94"/>
      <c r="H937" s="94"/>
      <c r="I937" s="94"/>
      <c r="J937" s="94"/>
      <c r="K937" s="96"/>
    </row>
    <row r="938" spans="2:11" ht="16" thickBot="1" x14ac:dyDescent="0.25"/>
    <row r="939" spans="2:11" x14ac:dyDescent="0.2">
      <c r="B939" s="77"/>
      <c r="C939" s="78"/>
      <c r="D939" s="78"/>
      <c r="E939" s="78"/>
      <c r="F939" s="78"/>
      <c r="G939" s="78"/>
      <c r="H939" s="78"/>
      <c r="I939" s="78"/>
      <c r="J939" s="78"/>
      <c r="K939" s="80"/>
    </row>
    <row r="940" spans="2:11" ht="21" x14ac:dyDescent="0.25">
      <c r="B940" s="81"/>
      <c r="C940" s="85"/>
      <c r="D940" s="85"/>
      <c r="E940" s="85"/>
      <c r="F940" s="85"/>
      <c r="G940" s="210" t="s">
        <v>815</v>
      </c>
      <c r="H940" s="85"/>
      <c r="I940" s="85"/>
      <c r="J940" s="85"/>
      <c r="K940" s="87"/>
    </row>
    <row r="941" spans="2:11" ht="21" x14ac:dyDescent="0.25">
      <c r="B941" s="81"/>
      <c r="C941" s="85"/>
      <c r="D941" s="85"/>
      <c r="E941" s="85"/>
      <c r="F941" s="85"/>
      <c r="G941" s="210"/>
      <c r="H941" s="85"/>
      <c r="I941" s="85"/>
      <c r="J941" s="85"/>
      <c r="K941" s="87"/>
    </row>
    <row r="942" spans="2:11" ht="16" x14ac:dyDescent="0.2">
      <c r="B942" s="81"/>
      <c r="C942" s="212" t="s">
        <v>995</v>
      </c>
      <c r="D942" s="85"/>
      <c r="E942" s="85"/>
      <c r="F942" s="85"/>
      <c r="G942" s="85"/>
      <c r="H942" s="85"/>
      <c r="I942" s="85"/>
      <c r="J942" s="241" t="str">
        <f>IF(OR(J936="Not Calculated",J894="Not Calculated")=TRUE,"Not Calculated",AVERAGE(J936,J894))</f>
        <v>Not Calculated</v>
      </c>
      <c r="K942" s="87"/>
    </row>
    <row r="943" spans="2:11" ht="16" x14ac:dyDescent="0.2">
      <c r="B943" s="81"/>
      <c r="C943" s="212"/>
      <c r="D943" s="85" t="s">
        <v>814</v>
      </c>
      <c r="E943" s="85"/>
      <c r="F943" s="85"/>
      <c r="G943" s="85"/>
      <c r="H943" s="85"/>
      <c r="I943" s="85"/>
      <c r="J943" s="241"/>
      <c r="K943" s="87"/>
    </row>
    <row r="944" spans="2:11" ht="17" thickBot="1" x14ac:dyDescent="0.25">
      <c r="B944" s="213"/>
      <c r="C944" s="227"/>
      <c r="D944" s="94"/>
      <c r="E944" s="94"/>
      <c r="F944" s="94"/>
      <c r="G944" s="94"/>
      <c r="H944" s="94"/>
      <c r="I944" s="94"/>
      <c r="J944" s="228"/>
      <c r="K944" s="96"/>
    </row>
    <row r="945" spans="2:11" ht="16" thickBot="1" x14ac:dyDescent="0.25"/>
    <row r="946" spans="2:11" x14ac:dyDescent="0.2">
      <c r="B946" s="214"/>
      <c r="C946" s="215"/>
      <c r="D946" s="215"/>
      <c r="E946" s="215"/>
      <c r="F946" s="215"/>
      <c r="G946" s="215"/>
      <c r="H946" s="215"/>
      <c r="I946" s="215"/>
      <c r="J946" s="215"/>
      <c r="K946" s="216"/>
    </row>
    <row r="947" spans="2:11" ht="21" x14ac:dyDescent="0.25">
      <c r="B947" s="217"/>
      <c r="C947" s="218"/>
      <c r="D947" s="218"/>
      <c r="E947" s="218"/>
      <c r="F947" s="218"/>
      <c r="G947" s="219" t="s">
        <v>239</v>
      </c>
      <c r="H947" s="218"/>
      <c r="I947" s="218"/>
      <c r="J947" s="218"/>
      <c r="K947" s="220"/>
    </row>
    <row r="948" spans="2:11" x14ac:dyDescent="0.2">
      <c r="B948" s="217"/>
      <c r="C948" s="218"/>
      <c r="D948" s="218"/>
      <c r="E948" s="218"/>
      <c r="F948" s="218"/>
      <c r="G948" s="218"/>
      <c r="H948" s="218"/>
      <c r="I948" s="218"/>
      <c r="J948" s="218"/>
      <c r="K948" s="220"/>
    </row>
    <row r="949" spans="2:11" ht="16" x14ac:dyDescent="0.2">
      <c r="B949" s="217"/>
      <c r="C949" s="221" t="s">
        <v>393</v>
      </c>
      <c r="D949" s="218"/>
      <c r="E949" s="218"/>
      <c r="F949" s="218"/>
      <c r="G949" s="218"/>
      <c r="H949" s="218"/>
      <c r="I949" s="218"/>
      <c r="J949" s="242" t="str">
        <f>IF(OR(J817="Not Calculated",J942="Not Calculated")=TRUE,"Not Calculated",J817/J942)</f>
        <v>Not Calculated</v>
      </c>
      <c r="K949" s="220"/>
    </row>
    <row r="950" spans="2:11" x14ac:dyDescent="0.2">
      <c r="B950" s="217"/>
      <c r="C950" s="218"/>
      <c r="D950" s="218" t="s">
        <v>816</v>
      </c>
      <c r="E950" s="218"/>
      <c r="F950" s="218"/>
      <c r="G950" s="218"/>
      <c r="H950" s="218"/>
      <c r="I950" s="218"/>
      <c r="J950" s="218"/>
      <c r="K950" s="220"/>
    </row>
    <row r="951" spans="2:11" x14ac:dyDescent="0.2">
      <c r="B951" s="217"/>
      <c r="C951" s="218"/>
      <c r="D951" s="218"/>
      <c r="E951" s="218"/>
      <c r="F951" s="218"/>
      <c r="G951" s="218"/>
      <c r="H951" s="218"/>
      <c r="I951" s="218"/>
      <c r="J951" s="218"/>
      <c r="K951" s="220"/>
    </row>
    <row r="952" spans="2:11" ht="16" x14ac:dyDescent="0.2">
      <c r="B952" s="217"/>
      <c r="C952" s="221" t="s">
        <v>996</v>
      </c>
      <c r="D952" s="218"/>
      <c r="E952" s="218"/>
      <c r="F952" s="218"/>
      <c r="G952" s="218"/>
      <c r="H952" s="218"/>
      <c r="I952" s="218"/>
      <c r="J952" s="242" t="str">
        <f>IF(OR(J820="Not Calculated",J894="Not Calculated")=TRUE,"Not Calculated",J820/J894)</f>
        <v>Not Calculated</v>
      </c>
      <c r="K952" s="220"/>
    </row>
    <row r="953" spans="2:11" x14ac:dyDescent="0.2">
      <c r="B953" s="217"/>
      <c r="C953" s="218"/>
      <c r="D953" s="218" t="s">
        <v>817</v>
      </c>
      <c r="E953" s="218"/>
      <c r="F953" s="218"/>
      <c r="G953" s="218"/>
      <c r="H953" s="218"/>
      <c r="I953" s="218"/>
      <c r="J953" s="218"/>
      <c r="K953" s="220"/>
    </row>
    <row r="954" spans="2:11" x14ac:dyDescent="0.2">
      <c r="B954" s="217"/>
      <c r="C954" s="218"/>
      <c r="D954" s="218"/>
      <c r="E954" s="218"/>
      <c r="F954" s="218"/>
      <c r="G954" s="218"/>
      <c r="H954" s="218"/>
      <c r="I954" s="218"/>
      <c r="J954" s="218"/>
      <c r="K954" s="220"/>
    </row>
    <row r="955" spans="2:11" ht="16" x14ac:dyDescent="0.2">
      <c r="B955" s="217"/>
      <c r="C955" s="221" t="s">
        <v>997</v>
      </c>
      <c r="D955" s="218"/>
      <c r="E955" s="218"/>
      <c r="F955" s="218"/>
      <c r="G955" s="218"/>
      <c r="H955" s="218"/>
      <c r="I955" s="218"/>
      <c r="J955" s="242" t="str">
        <f>IF(OR(J936="Not Calculated",J823="Not Calculated")=TRUE,"Not Calculated",J823/J936)</f>
        <v>Not Calculated</v>
      </c>
      <c r="K955" s="220"/>
    </row>
    <row r="956" spans="2:11" x14ac:dyDescent="0.2">
      <c r="B956" s="217"/>
      <c r="C956" s="218"/>
      <c r="D956" s="218" t="s">
        <v>818</v>
      </c>
      <c r="E956" s="218"/>
      <c r="F956" s="218"/>
      <c r="G956" s="218"/>
      <c r="H956" s="218"/>
      <c r="I956" s="218"/>
      <c r="J956" s="218"/>
      <c r="K956" s="220"/>
    </row>
    <row r="957" spans="2:11" ht="16" thickBot="1" x14ac:dyDescent="0.25">
      <c r="B957" s="222"/>
      <c r="C957" s="223"/>
      <c r="D957" s="223"/>
      <c r="E957" s="223"/>
      <c r="F957" s="223"/>
      <c r="G957" s="223"/>
      <c r="H957" s="223"/>
      <c r="I957" s="223"/>
      <c r="J957" s="223"/>
      <c r="K957" s="224"/>
    </row>
    <row r="959" spans="2:11" ht="15" customHeight="1" x14ac:dyDescent="0.2">
      <c r="F959" s="405"/>
      <c r="G959" s="405"/>
      <c r="H959" s="405"/>
    </row>
    <row r="960" spans="2:11" x14ac:dyDescent="0.2">
      <c r="F960" s="405"/>
      <c r="G960" s="405"/>
      <c r="H960" s="405"/>
    </row>
    <row r="965" spans="1:3" ht="15" hidden="1" customHeight="1" x14ac:dyDescent="0.2">
      <c r="A965" s="12" t="s">
        <v>228</v>
      </c>
    </row>
    <row r="966" spans="1:3" ht="15" hidden="1" customHeight="1" x14ac:dyDescent="0.2">
      <c r="A966" s="12">
        <v>0</v>
      </c>
      <c r="B966" s="12" t="s">
        <v>250</v>
      </c>
      <c r="C966" s="12" t="s">
        <v>240</v>
      </c>
    </row>
    <row r="967" spans="1:3" ht="15" hidden="1" customHeight="1" x14ac:dyDescent="0.2">
      <c r="A967" s="12">
        <v>1</v>
      </c>
      <c r="B967" s="12" t="s">
        <v>251</v>
      </c>
      <c r="C967" s="12" t="s">
        <v>241</v>
      </c>
    </row>
    <row r="968" spans="1:3" ht="15" hidden="1" customHeight="1" x14ac:dyDescent="0.2">
      <c r="A968" s="12">
        <v>2</v>
      </c>
      <c r="B968" s="12" t="s">
        <v>252</v>
      </c>
      <c r="C968" s="12" t="s">
        <v>242</v>
      </c>
    </row>
    <row r="969" spans="1:3" ht="15" hidden="1" customHeight="1" x14ac:dyDescent="0.2">
      <c r="A969" s="12">
        <v>3</v>
      </c>
      <c r="B969" s="12" t="s">
        <v>253</v>
      </c>
      <c r="C969" s="12" t="s">
        <v>227</v>
      </c>
    </row>
    <row r="970" spans="1:3" ht="15" hidden="1" customHeight="1" x14ac:dyDescent="0.2">
      <c r="A970" s="12">
        <v>4</v>
      </c>
      <c r="B970" s="12" t="s">
        <v>254</v>
      </c>
      <c r="C970" s="12" t="s">
        <v>243</v>
      </c>
    </row>
    <row r="971" spans="1:3" ht="15" hidden="1" customHeight="1" x14ac:dyDescent="0.2"/>
    <row r="972" spans="1:3" ht="15" hidden="1" customHeight="1" x14ac:dyDescent="0.2">
      <c r="A972" s="12" t="s">
        <v>259</v>
      </c>
    </row>
    <row r="973" spans="1:3" ht="15" hidden="1" customHeight="1" x14ac:dyDescent="0.2">
      <c r="A973" s="12">
        <v>0</v>
      </c>
      <c r="B973" s="225" t="s">
        <v>870</v>
      </c>
    </row>
    <row r="974" spans="1:3" ht="15" hidden="1" customHeight="1" x14ac:dyDescent="0.2">
      <c r="A974" s="12">
        <v>1</v>
      </c>
      <c r="B974" s="12" t="s">
        <v>880</v>
      </c>
    </row>
    <row r="975" spans="1:3" ht="15" hidden="1" customHeight="1" x14ac:dyDescent="0.2">
      <c r="A975" s="12">
        <v>2</v>
      </c>
      <c r="B975" s="12" t="s">
        <v>872</v>
      </c>
    </row>
    <row r="976" spans="1:3" ht="15" hidden="1" customHeight="1" x14ac:dyDescent="0.2">
      <c r="A976" s="12">
        <v>3</v>
      </c>
      <c r="B976" s="12" t="s">
        <v>873</v>
      </c>
    </row>
    <row r="977" spans="1:2" ht="15" hidden="1" customHeight="1" x14ac:dyDescent="0.2">
      <c r="A977" s="12">
        <v>4</v>
      </c>
      <c r="B977" s="12" t="s">
        <v>874</v>
      </c>
    </row>
    <row r="978" spans="1:2" ht="15" hidden="1" customHeight="1" x14ac:dyDescent="0.2"/>
    <row r="979" spans="1:2" ht="15" hidden="1" customHeight="1" x14ac:dyDescent="0.2">
      <c r="A979" s="12" t="s">
        <v>294</v>
      </c>
    </row>
    <row r="980" spans="1:2" ht="15" hidden="1" customHeight="1" x14ac:dyDescent="0.2">
      <c r="A980" s="12">
        <v>0</v>
      </c>
      <c r="B980" s="225" t="s">
        <v>870</v>
      </c>
    </row>
    <row r="981" spans="1:2" ht="15" hidden="1" customHeight="1" x14ac:dyDescent="0.2">
      <c r="A981" s="12">
        <v>1</v>
      </c>
      <c r="B981" s="12" t="s">
        <v>875</v>
      </c>
    </row>
    <row r="982" spans="1:2" ht="15" hidden="1" customHeight="1" x14ac:dyDescent="0.2">
      <c r="A982" s="12">
        <v>2</v>
      </c>
      <c r="B982" s="12" t="s">
        <v>876</v>
      </c>
    </row>
    <row r="983" spans="1:2" ht="15" hidden="1" customHeight="1" x14ac:dyDescent="0.2">
      <c r="A983" s="12">
        <v>3</v>
      </c>
      <c r="B983" s="12" t="s">
        <v>877</v>
      </c>
    </row>
    <row r="984" spans="1:2" ht="15" hidden="1" customHeight="1" x14ac:dyDescent="0.2">
      <c r="A984" s="12">
        <v>4</v>
      </c>
      <c r="B984" s="12" t="s">
        <v>878</v>
      </c>
    </row>
    <row r="985" spans="1:2" ht="15" hidden="1" customHeight="1" x14ac:dyDescent="0.2"/>
    <row r="986" spans="1:2" ht="15" hidden="1" customHeight="1" x14ac:dyDescent="0.2">
      <c r="A986" s="12" t="s">
        <v>244</v>
      </c>
    </row>
    <row r="987" spans="1:2" ht="15" hidden="1" customHeight="1" x14ac:dyDescent="0.2">
      <c r="A987" s="12">
        <v>0</v>
      </c>
      <c r="B987" s="12" t="s">
        <v>245</v>
      </c>
    </row>
    <row r="988" spans="1:2" ht="15" hidden="1" customHeight="1" x14ac:dyDescent="0.2">
      <c r="A988" s="12">
        <v>1</v>
      </c>
      <c r="B988" s="12" t="s">
        <v>246</v>
      </c>
    </row>
    <row r="989" spans="1:2" ht="15" hidden="1" customHeight="1" x14ac:dyDescent="0.2">
      <c r="A989" s="12">
        <v>2</v>
      </c>
      <c r="B989" s="12" t="s">
        <v>247</v>
      </c>
    </row>
    <row r="990" spans="1:2" ht="15" hidden="1" customHeight="1" x14ac:dyDescent="0.2">
      <c r="A990" s="12">
        <v>3</v>
      </c>
      <c r="B990" s="12" t="s">
        <v>229</v>
      </c>
    </row>
    <row r="991" spans="1:2" ht="15" hidden="1" customHeight="1" x14ac:dyDescent="0.2">
      <c r="A991" s="12">
        <v>4</v>
      </c>
      <c r="B991" s="12" t="s">
        <v>248</v>
      </c>
    </row>
    <row r="992" spans="1:2" ht="15" hidden="1" customHeight="1" x14ac:dyDescent="0.2"/>
    <row r="993" spans="1:11" ht="15" hidden="1" customHeight="1" x14ac:dyDescent="0.2">
      <c r="A993" s="12" t="s">
        <v>381</v>
      </c>
    </row>
    <row r="994" spans="1:11" ht="15" hidden="1" customHeight="1" x14ac:dyDescent="0.2">
      <c r="A994" s="12">
        <v>0</v>
      </c>
      <c r="B994" s="12" t="s">
        <v>202</v>
      </c>
    </row>
    <row r="995" spans="1:11" ht="15" hidden="1" customHeight="1" x14ac:dyDescent="0.2">
      <c r="A995" s="12">
        <v>1</v>
      </c>
      <c r="B995" s="12" t="s">
        <v>190</v>
      </c>
    </row>
    <row r="996" spans="1:11" ht="15" hidden="1" customHeight="1" x14ac:dyDescent="0.2"/>
    <row r="997" spans="1:11" ht="15" hidden="1" customHeight="1" x14ac:dyDescent="0.2">
      <c r="A997" s="12" t="s">
        <v>249</v>
      </c>
    </row>
    <row r="998" spans="1:11" ht="15" hidden="1" customHeight="1" x14ac:dyDescent="0.2">
      <c r="A998" s="12">
        <v>0</v>
      </c>
      <c r="B998" s="12" t="s">
        <v>236</v>
      </c>
    </row>
    <row r="999" spans="1:11" ht="15" hidden="1" customHeight="1" x14ac:dyDescent="0.2">
      <c r="A999" s="12">
        <v>1</v>
      </c>
      <c r="B999" s="12" t="s">
        <v>237</v>
      </c>
    </row>
    <row r="1000" spans="1:11" ht="15" hidden="1" customHeight="1" x14ac:dyDescent="0.2">
      <c r="A1000" s="12">
        <v>2</v>
      </c>
      <c r="B1000" s="12" t="s">
        <v>235</v>
      </c>
    </row>
    <row r="1001" spans="1:11" ht="15" hidden="1" customHeight="1" x14ac:dyDescent="0.2">
      <c r="A1001" s="12">
        <v>3</v>
      </c>
      <c r="B1001" s="12" t="s">
        <v>238</v>
      </c>
    </row>
    <row r="1002" spans="1:11" ht="15" hidden="1" customHeight="1" x14ac:dyDescent="0.2">
      <c r="A1002" s="12">
        <v>4</v>
      </c>
      <c r="B1002" s="12" t="s">
        <v>234</v>
      </c>
    </row>
    <row r="1003" spans="1:11" ht="15" customHeight="1" x14ac:dyDescent="0.2">
      <c r="B1003" s="12" t="s">
        <v>685</v>
      </c>
    </row>
    <row r="1004" spans="1:11" ht="15" customHeight="1" x14ac:dyDescent="0.2">
      <c r="B1004" s="402"/>
      <c r="C1004" s="403"/>
      <c r="D1004" s="403"/>
      <c r="E1004" s="403"/>
      <c r="F1004" s="403"/>
      <c r="G1004" s="403"/>
      <c r="H1004" s="403"/>
      <c r="I1004" s="403"/>
      <c r="J1004" s="403"/>
      <c r="K1004" s="404"/>
    </row>
    <row r="1005" spans="1:11" ht="15" customHeight="1" x14ac:dyDescent="0.2">
      <c r="B1005" s="396"/>
      <c r="C1005" s="397"/>
      <c r="D1005" s="397"/>
      <c r="E1005" s="397"/>
      <c r="F1005" s="397"/>
      <c r="G1005" s="397"/>
      <c r="H1005" s="397"/>
      <c r="I1005" s="397"/>
      <c r="J1005" s="397"/>
      <c r="K1005" s="398"/>
    </row>
    <row r="1006" spans="1:11" ht="15" customHeight="1" x14ac:dyDescent="0.2">
      <c r="B1006" s="396"/>
      <c r="C1006" s="397"/>
      <c r="D1006" s="397"/>
      <c r="E1006" s="397"/>
      <c r="F1006" s="397"/>
      <c r="G1006" s="397"/>
      <c r="H1006" s="397"/>
      <c r="I1006" s="397"/>
      <c r="J1006" s="397"/>
      <c r="K1006" s="398"/>
    </row>
    <row r="1007" spans="1:11" ht="15" customHeight="1" x14ac:dyDescent="0.2">
      <c r="B1007" s="396"/>
      <c r="C1007" s="397"/>
      <c r="D1007" s="397"/>
      <c r="E1007" s="397"/>
      <c r="F1007" s="397"/>
      <c r="G1007" s="397"/>
      <c r="H1007" s="397"/>
      <c r="I1007" s="397"/>
      <c r="J1007" s="397"/>
      <c r="K1007" s="398"/>
    </row>
    <row r="1008" spans="1:11" ht="15" customHeight="1" x14ac:dyDescent="0.2">
      <c r="B1008" s="396"/>
      <c r="C1008" s="397"/>
      <c r="D1008" s="397"/>
      <c r="E1008" s="397"/>
      <c r="F1008" s="397"/>
      <c r="G1008" s="397"/>
      <c r="H1008" s="397"/>
      <c r="I1008" s="397"/>
      <c r="J1008" s="397"/>
      <c r="K1008" s="398"/>
    </row>
    <row r="1009" spans="2:11" ht="15" customHeight="1" x14ac:dyDescent="0.2">
      <c r="B1009" s="396"/>
      <c r="C1009" s="397"/>
      <c r="D1009" s="397"/>
      <c r="E1009" s="397"/>
      <c r="F1009" s="397"/>
      <c r="G1009" s="397"/>
      <c r="H1009" s="397"/>
      <c r="I1009" s="397"/>
      <c r="J1009" s="397"/>
      <c r="K1009" s="398"/>
    </row>
    <row r="1010" spans="2:11" x14ac:dyDescent="0.2">
      <c r="B1010" s="396"/>
      <c r="C1010" s="397"/>
      <c r="D1010" s="397"/>
      <c r="E1010" s="397"/>
      <c r="F1010" s="397"/>
      <c r="G1010" s="397"/>
      <c r="H1010" s="397"/>
      <c r="I1010" s="397"/>
      <c r="J1010" s="397"/>
      <c r="K1010" s="398"/>
    </row>
    <row r="1011" spans="2:11" ht="15" customHeight="1" x14ac:dyDescent="0.2">
      <c r="B1011" s="396"/>
      <c r="C1011" s="397"/>
      <c r="D1011" s="397"/>
      <c r="E1011" s="397"/>
      <c r="F1011" s="397"/>
      <c r="G1011" s="397"/>
      <c r="H1011" s="397"/>
      <c r="I1011" s="397"/>
      <c r="J1011" s="397"/>
      <c r="K1011" s="398"/>
    </row>
    <row r="1012" spans="2:11" ht="30" customHeight="1" x14ac:dyDescent="0.2">
      <c r="B1012" s="396"/>
      <c r="C1012" s="397"/>
      <c r="D1012" s="397"/>
      <c r="E1012" s="397"/>
      <c r="F1012" s="397"/>
      <c r="G1012" s="397"/>
      <c r="H1012" s="397"/>
      <c r="I1012" s="397"/>
      <c r="J1012" s="397"/>
      <c r="K1012" s="398"/>
    </row>
    <row r="1013" spans="2:11" ht="15" customHeight="1" x14ac:dyDescent="0.2">
      <c r="B1013" s="396"/>
      <c r="C1013" s="397"/>
      <c r="D1013" s="397"/>
      <c r="E1013" s="397"/>
      <c r="F1013" s="397"/>
      <c r="G1013" s="397"/>
      <c r="H1013" s="397"/>
      <c r="I1013" s="397"/>
      <c r="J1013" s="397"/>
      <c r="K1013" s="398"/>
    </row>
    <row r="1014" spans="2:11" ht="15" customHeight="1" x14ac:dyDescent="0.2">
      <c r="B1014" s="396"/>
      <c r="C1014" s="397"/>
      <c r="D1014" s="397"/>
      <c r="E1014" s="397"/>
      <c r="F1014" s="397"/>
      <c r="G1014" s="397"/>
      <c r="H1014" s="397"/>
      <c r="I1014" s="397"/>
      <c r="J1014" s="397"/>
      <c r="K1014" s="398"/>
    </row>
    <row r="1015" spans="2:11" ht="15" customHeight="1" x14ac:dyDescent="0.2">
      <c r="B1015" s="396"/>
      <c r="C1015" s="397"/>
      <c r="D1015" s="397"/>
      <c r="E1015" s="397"/>
      <c r="F1015" s="397"/>
      <c r="G1015" s="397"/>
      <c r="H1015" s="397"/>
      <c r="I1015" s="397"/>
      <c r="J1015" s="397"/>
      <c r="K1015" s="398"/>
    </row>
    <row r="1016" spans="2:11" x14ac:dyDescent="0.2">
      <c r="B1016" s="396"/>
      <c r="C1016" s="397"/>
      <c r="D1016" s="397"/>
      <c r="E1016" s="397"/>
      <c r="F1016" s="397"/>
      <c r="G1016" s="397"/>
      <c r="H1016" s="397"/>
      <c r="I1016" s="397"/>
      <c r="J1016" s="397"/>
      <c r="K1016" s="398"/>
    </row>
    <row r="1017" spans="2:11" ht="15" customHeight="1" x14ac:dyDescent="0.2">
      <c r="B1017" s="396"/>
      <c r="C1017" s="397"/>
      <c r="D1017" s="397"/>
      <c r="E1017" s="397"/>
      <c r="F1017" s="397"/>
      <c r="G1017" s="397"/>
      <c r="H1017" s="397"/>
      <c r="I1017" s="397"/>
      <c r="J1017" s="397"/>
      <c r="K1017" s="398"/>
    </row>
    <row r="1018" spans="2:11" ht="15" customHeight="1" x14ac:dyDescent="0.2">
      <c r="B1018" s="396"/>
      <c r="C1018" s="397"/>
      <c r="D1018" s="397"/>
      <c r="E1018" s="397"/>
      <c r="F1018" s="397"/>
      <c r="G1018" s="397"/>
      <c r="H1018" s="397"/>
      <c r="I1018" s="397"/>
      <c r="J1018" s="397"/>
      <c r="K1018" s="398"/>
    </row>
    <row r="1019" spans="2:11" ht="15" customHeight="1" x14ac:dyDescent="0.2">
      <c r="B1019" s="396"/>
      <c r="C1019" s="397"/>
      <c r="D1019" s="397"/>
      <c r="E1019" s="397"/>
      <c r="F1019" s="397"/>
      <c r="G1019" s="397"/>
      <c r="H1019" s="397"/>
      <c r="I1019" s="397"/>
      <c r="J1019" s="397"/>
      <c r="K1019" s="398"/>
    </row>
    <row r="1020" spans="2:11" ht="15" customHeight="1" x14ac:dyDescent="0.2">
      <c r="B1020" s="396"/>
      <c r="C1020" s="397"/>
      <c r="D1020" s="397"/>
      <c r="E1020" s="397"/>
      <c r="F1020" s="397"/>
      <c r="G1020" s="397"/>
      <c r="H1020" s="397"/>
      <c r="I1020" s="397"/>
      <c r="J1020" s="397"/>
      <c r="K1020" s="398"/>
    </row>
    <row r="1021" spans="2:11" ht="15" customHeight="1" x14ac:dyDescent="0.2">
      <c r="B1021" s="396"/>
      <c r="C1021" s="397"/>
      <c r="D1021" s="397"/>
      <c r="E1021" s="397"/>
      <c r="F1021" s="397"/>
      <c r="G1021" s="397"/>
      <c r="H1021" s="397"/>
      <c r="I1021" s="397"/>
      <c r="J1021" s="397"/>
      <c r="K1021" s="398"/>
    </row>
    <row r="1022" spans="2:11" ht="15" customHeight="1" x14ac:dyDescent="0.2">
      <c r="B1022" s="396"/>
      <c r="C1022" s="397"/>
      <c r="D1022" s="397"/>
      <c r="E1022" s="397"/>
      <c r="F1022" s="397"/>
      <c r="G1022" s="397"/>
      <c r="H1022" s="397"/>
      <c r="I1022" s="397"/>
      <c r="J1022" s="397"/>
      <c r="K1022" s="398"/>
    </row>
    <row r="1023" spans="2:11" ht="15" customHeight="1" x14ac:dyDescent="0.2">
      <c r="B1023" s="396"/>
      <c r="C1023" s="397"/>
      <c r="D1023" s="397"/>
      <c r="E1023" s="397"/>
      <c r="F1023" s="397"/>
      <c r="G1023" s="397"/>
      <c r="H1023" s="397"/>
      <c r="I1023" s="397"/>
      <c r="J1023" s="397"/>
      <c r="K1023" s="398"/>
    </row>
    <row r="1024" spans="2:11" ht="15" customHeight="1" x14ac:dyDescent="0.2">
      <c r="B1024" s="396"/>
      <c r="C1024" s="397"/>
      <c r="D1024" s="397"/>
      <c r="E1024" s="397"/>
      <c r="F1024" s="397"/>
      <c r="G1024" s="397"/>
      <c r="H1024" s="397"/>
      <c r="I1024" s="397"/>
      <c r="J1024" s="397"/>
      <c r="K1024" s="398"/>
    </row>
    <row r="1025" spans="2:11" ht="15" customHeight="1" x14ac:dyDescent="0.2">
      <c r="B1025" s="396"/>
      <c r="C1025" s="397"/>
      <c r="D1025" s="397"/>
      <c r="E1025" s="397"/>
      <c r="F1025" s="397"/>
      <c r="G1025" s="397"/>
      <c r="H1025" s="397"/>
      <c r="I1025" s="397"/>
      <c r="J1025" s="397"/>
      <c r="K1025" s="398"/>
    </row>
    <row r="1026" spans="2:11" ht="15" customHeight="1" x14ac:dyDescent="0.2">
      <c r="B1026" s="396"/>
      <c r="C1026" s="397"/>
      <c r="D1026" s="397"/>
      <c r="E1026" s="397"/>
      <c r="F1026" s="397"/>
      <c r="G1026" s="397"/>
      <c r="H1026" s="397"/>
      <c r="I1026" s="397"/>
      <c r="J1026" s="397"/>
      <c r="K1026" s="398"/>
    </row>
    <row r="1027" spans="2:11" ht="15" customHeight="1" x14ac:dyDescent="0.2">
      <c r="B1027" s="396"/>
      <c r="C1027" s="397"/>
      <c r="D1027" s="397"/>
      <c r="E1027" s="397"/>
      <c r="F1027" s="397"/>
      <c r="G1027" s="397"/>
      <c r="H1027" s="397"/>
      <c r="I1027" s="397"/>
      <c r="J1027" s="397"/>
      <c r="K1027" s="398"/>
    </row>
    <row r="1028" spans="2:11" ht="15" customHeight="1" x14ac:dyDescent="0.2">
      <c r="B1028" s="396"/>
      <c r="C1028" s="397"/>
      <c r="D1028" s="397"/>
      <c r="E1028" s="397"/>
      <c r="F1028" s="397"/>
      <c r="G1028" s="397"/>
      <c r="H1028" s="397"/>
      <c r="I1028" s="397"/>
      <c r="J1028" s="397"/>
      <c r="K1028" s="398"/>
    </row>
    <row r="1029" spans="2:11" ht="15" customHeight="1" x14ac:dyDescent="0.2">
      <c r="B1029" s="393"/>
      <c r="C1029" s="394"/>
      <c r="D1029" s="394"/>
      <c r="E1029" s="394"/>
      <c r="F1029" s="394"/>
      <c r="G1029" s="394"/>
      <c r="H1029" s="394"/>
      <c r="I1029" s="394"/>
      <c r="J1029" s="394"/>
      <c r="K1029" s="395"/>
    </row>
  </sheetData>
  <sheetProtection password="C7B0" sheet="1" objects="1" scenarios="1" formatCells="0" formatColumns="0" formatRows="0" selectLockedCells="1"/>
  <mergeCells count="152">
    <mergeCell ref="B1027:K1027"/>
    <mergeCell ref="B1028:K1028"/>
    <mergeCell ref="B1029:K1029"/>
    <mergeCell ref="B1021:K1021"/>
    <mergeCell ref="B1022:K1022"/>
    <mergeCell ref="B1023:K1023"/>
    <mergeCell ref="B1024:K1024"/>
    <mergeCell ref="B1025:K1025"/>
    <mergeCell ref="B1026:K1026"/>
    <mergeCell ref="B1015:K1015"/>
    <mergeCell ref="B1016:K1016"/>
    <mergeCell ref="B1017:K1017"/>
    <mergeCell ref="B1018:K1018"/>
    <mergeCell ref="B1019:K1019"/>
    <mergeCell ref="B1020:K1020"/>
    <mergeCell ref="B1009:K1009"/>
    <mergeCell ref="B1010:K1010"/>
    <mergeCell ref="B1011:K1011"/>
    <mergeCell ref="B1012:K1012"/>
    <mergeCell ref="B1013:K1013"/>
    <mergeCell ref="B1014:K1014"/>
    <mergeCell ref="F959:H960"/>
    <mergeCell ref="B1004:K1004"/>
    <mergeCell ref="B1005:K1005"/>
    <mergeCell ref="B1006:K1006"/>
    <mergeCell ref="B1007:K1007"/>
    <mergeCell ref="B1008:K1008"/>
    <mergeCell ref="G912:H912"/>
    <mergeCell ref="G916:H916"/>
    <mergeCell ref="G920:H920"/>
    <mergeCell ref="G924:H924"/>
    <mergeCell ref="G928:H928"/>
    <mergeCell ref="G932:H932"/>
    <mergeCell ref="G882:H882"/>
    <mergeCell ref="G886:H886"/>
    <mergeCell ref="G890:H890"/>
    <mergeCell ref="C900:J901"/>
    <mergeCell ref="G904:H904"/>
    <mergeCell ref="G908:H908"/>
    <mergeCell ref="G858:H858"/>
    <mergeCell ref="G862:H862"/>
    <mergeCell ref="G866:H866"/>
    <mergeCell ref="G870:H870"/>
    <mergeCell ref="G874:H874"/>
    <mergeCell ref="G878:H878"/>
    <mergeCell ref="G834:H834"/>
    <mergeCell ref="G838:H838"/>
    <mergeCell ref="G842:H842"/>
    <mergeCell ref="G846:H846"/>
    <mergeCell ref="G850:H850"/>
    <mergeCell ref="G854:H854"/>
    <mergeCell ref="G766:H766"/>
    <mergeCell ref="G767:H767"/>
    <mergeCell ref="G768:H768"/>
    <mergeCell ref="G769:H769"/>
    <mergeCell ref="G770:H770"/>
    <mergeCell ref="C830:J831"/>
    <mergeCell ref="G755:H755"/>
    <mergeCell ref="C759:J761"/>
    <mergeCell ref="G762:H762"/>
    <mergeCell ref="G763:H763"/>
    <mergeCell ref="G764:H764"/>
    <mergeCell ref="G765:H765"/>
    <mergeCell ref="G749:H749"/>
    <mergeCell ref="G750:H750"/>
    <mergeCell ref="G751:H751"/>
    <mergeCell ref="G752:H752"/>
    <mergeCell ref="G753:H753"/>
    <mergeCell ref="G754:H754"/>
    <mergeCell ref="G738:H738"/>
    <mergeCell ref="G739:H739"/>
    <mergeCell ref="G740:H740"/>
    <mergeCell ref="C744:J746"/>
    <mergeCell ref="G747:H747"/>
    <mergeCell ref="G748:H748"/>
    <mergeCell ref="G732:H732"/>
    <mergeCell ref="G733:H733"/>
    <mergeCell ref="G734:H734"/>
    <mergeCell ref="G735:H735"/>
    <mergeCell ref="G736:H736"/>
    <mergeCell ref="G737:H737"/>
    <mergeCell ref="G721:H721"/>
    <mergeCell ref="G722:H722"/>
    <mergeCell ref="G723:H723"/>
    <mergeCell ref="G724:H724"/>
    <mergeCell ref="G725:H725"/>
    <mergeCell ref="C729:J731"/>
    <mergeCell ref="C677:J677"/>
    <mergeCell ref="C714:J716"/>
    <mergeCell ref="G717:H717"/>
    <mergeCell ref="G718:H718"/>
    <mergeCell ref="G719:H719"/>
    <mergeCell ref="G720:H720"/>
    <mergeCell ref="C620:I621"/>
    <mergeCell ref="C633:J633"/>
    <mergeCell ref="C639:I640"/>
    <mergeCell ref="C641:I643"/>
    <mergeCell ref="C655:J655"/>
    <mergeCell ref="D664:I665"/>
    <mergeCell ref="C560:J560"/>
    <mergeCell ref="C566:I568"/>
    <mergeCell ref="C569:I571"/>
    <mergeCell ref="C583:J583"/>
    <mergeCell ref="C599:J599"/>
    <mergeCell ref="C613:J613"/>
    <mergeCell ref="C477:I478"/>
    <mergeCell ref="C486:J486"/>
    <mergeCell ref="C502:J502"/>
    <mergeCell ref="C518:J518"/>
    <mergeCell ref="C524:I525"/>
    <mergeCell ref="C535:J535"/>
    <mergeCell ref="C416:J416"/>
    <mergeCell ref="C420:I421"/>
    <mergeCell ref="C438:J438"/>
    <mergeCell ref="C444:I445"/>
    <mergeCell ref="C455:J455"/>
    <mergeCell ref="C471:J471"/>
    <mergeCell ref="C347:J347"/>
    <mergeCell ref="C365:J365"/>
    <mergeCell ref="C371:I372"/>
    <mergeCell ref="C385:J385"/>
    <mergeCell ref="C391:I392"/>
    <mergeCell ref="C402:J402"/>
    <mergeCell ref="C305:J305"/>
    <mergeCell ref="C311:I312"/>
    <mergeCell ref="C324:J324"/>
    <mergeCell ref="C330:I331"/>
    <mergeCell ref="C340:I341"/>
    <mergeCell ref="D343:I344"/>
    <mergeCell ref="C196:J196"/>
    <mergeCell ref="C216:J216"/>
    <mergeCell ref="C237:J237"/>
    <mergeCell ref="C257:J257"/>
    <mergeCell ref="C286:J286"/>
    <mergeCell ref="C292:I293"/>
    <mergeCell ref="C114:J114"/>
    <mergeCell ref="C120:J122"/>
    <mergeCell ref="C123:J124"/>
    <mergeCell ref="C129:J129"/>
    <mergeCell ref="C155:J155"/>
    <mergeCell ref="C176:J176"/>
    <mergeCell ref="B10:K10"/>
    <mergeCell ref="E15:J15"/>
    <mergeCell ref="C38:J38"/>
    <mergeCell ref="C57:J57"/>
    <mergeCell ref="C76:J76"/>
    <mergeCell ref="C95:J95"/>
    <mergeCell ref="G3:I3"/>
    <mergeCell ref="B6:K6"/>
    <mergeCell ref="B7:K7"/>
    <mergeCell ref="B8:K8"/>
    <mergeCell ref="B9:K9"/>
  </mergeCells>
  <dataValidations count="23">
    <dataValidation type="list" allowBlank="1" showInputMessage="1" showErrorMessage="1" sqref="J672" xr:uid="{00000000-0002-0000-2500-000000000000}">
      <formula1>$N$671:$N$676</formula1>
    </dataValidation>
    <dataValidation type="list" allowBlank="1" showInputMessage="1" showErrorMessage="1" sqref="J650" xr:uid="{00000000-0002-0000-2500-000001000000}">
      <formula1>$N$649:$N$654</formula1>
    </dataValidation>
    <dataValidation type="list" allowBlank="1" showInputMessage="1" showErrorMessage="1" sqref="J628" xr:uid="{00000000-0002-0000-2500-000002000000}">
      <formula1>$N$627:$N$632</formula1>
    </dataValidation>
    <dataValidation type="list" allowBlank="1" showInputMessage="1" showErrorMessage="1" sqref="J578" xr:uid="{00000000-0002-0000-2500-000003000000}">
      <formula1>$N$577:$N$582</formula1>
    </dataValidation>
    <dataValidation type="list" allowBlank="1" showInputMessage="1" showErrorMessage="1" sqref="J555" xr:uid="{00000000-0002-0000-2500-000004000000}">
      <formula1>$N$554:$N$559</formula1>
    </dataValidation>
    <dataValidation type="list" allowBlank="1" showInputMessage="1" showErrorMessage="1" sqref="J281" xr:uid="{00000000-0002-0000-2500-000005000000}">
      <formula1>$N$280:$N$285</formula1>
    </dataValidation>
    <dataValidation type="list" allowBlank="1" showInputMessage="1" showErrorMessage="1" sqref="J252" xr:uid="{00000000-0002-0000-2500-000006000000}">
      <formula1>$N$251:$N$256</formula1>
    </dataValidation>
    <dataValidation type="list" allowBlank="1" showInputMessage="1" showErrorMessage="1" sqref="J232" xr:uid="{00000000-0002-0000-2500-000007000000}">
      <formula1>$N$231:$N$236</formula1>
    </dataValidation>
    <dataValidation type="list" allowBlank="1" showInputMessage="1" showErrorMessage="1" sqref="J211" xr:uid="{00000000-0002-0000-2500-000008000000}">
      <formula1>$N$210:$N$215</formula1>
    </dataValidation>
    <dataValidation type="list" allowBlank="1" showInputMessage="1" showErrorMessage="1" sqref="J191" xr:uid="{00000000-0002-0000-2500-000009000000}">
      <formula1>$N$190:$N$195</formula1>
    </dataValidation>
    <dataValidation type="list" allowBlank="1" showInputMessage="1" showErrorMessage="1" sqref="J171" xr:uid="{00000000-0002-0000-2500-00000A000000}">
      <formula1>$N$170:$N$175</formula1>
    </dataValidation>
    <dataValidation type="list" allowBlank="1" showInputMessage="1" showErrorMessage="1" sqref="J150" xr:uid="{00000000-0002-0000-2500-00000B000000}">
      <formula1>$N$149:$N$154</formula1>
    </dataValidation>
    <dataValidation type="list" allowBlank="1" showInputMessage="1" showErrorMessage="1" sqref="J109" xr:uid="{00000000-0002-0000-2500-00000C000000}">
      <formula1>$N$108:$N$113</formula1>
    </dataValidation>
    <dataValidation type="list" allowBlank="1" showInputMessage="1" showErrorMessage="1" sqref="J90" xr:uid="{00000000-0002-0000-2500-00000D000000}">
      <formula1>$N$89:$N$94</formula1>
    </dataValidation>
    <dataValidation type="list" allowBlank="1" showInputMessage="1" showErrorMessage="1" sqref="J71" xr:uid="{00000000-0002-0000-2500-00000E000000}">
      <formula1>$N$70:$N$75</formula1>
    </dataValidation>
    <dataValidation type="list" allowBlank="1" showInputMessage="1" showErrorMessage="1" sqref="J52" xr:uid="{00000000-0002-0000-2500-00000F000000}">
      <formula1>$N$51:$N$56</formula1>
    </dataValidation>
    <dataValidation type="list" allowBlank="1" showInputMessage="1" showErrorMessage="1" sqref="J33" xr:uid="{00000000-0002-0000-2500-000010000000}">
      <formula1>$N$32:$N$37</formula1>
    </dataValidation>
    <dataValidation type="list" allowBlank="1" showInputMessage="1" showErrorMessage="1" sqref="J35 J213 J283 J652 J234 J54 J193 J173 J152 J126 J111 J92 J73 J254 J435 J452 J468 J499 J515 J532 J557 J580 J596 J674 J630" xr:uid="{00000000-0002-0000-2500-000011000000}">
      <formula1>$B$973:$B$977</formula1>
    </dataValidation>
    <dataValidation type="list" allowBlank="1" showInputMessage="1" showErrorMessage="1" sqref="C123:J124" xr:uid="{00000000-0002-0000-2500-000012000000}">
      <formula1>$B$987:$B$991</formula1>
    </dataValidation>
    <dataValidation type="list" allowBlank="1" showInputMessage="1" showErrorMessage="1" sqref="J302 J362" xr:uid="{00000000-0002-0000-2500-000013000000}">
      <formula1>$B$980:$B$984</formula1>
    </dataValidation>
    <dataValidation type="list" allowBlank="1" showInputMessage="1" showErrorMessage="1" sqref="G717:H725 G762:H770 G732:H740 G747:H755" xr:uid="{00000000-0002-0000-2500-000014000000}">
      <formula1>$B$994:$B$995</formula1>
    </dataValidation>
    <dataValidation type="list" allowBlank="1" showInputMessage="1" showErrorMessage="1" sqref="G834:H834 G890:H890 G886:H886 G882:H882 G878:H878 G874:H874 G870:H870 G866:H866 G862:H862 G858:H858 G854:H854 G850:H850 G846:H846 G842:H842 G838:H838 G904:H904 G932:H932 G928:H928 G924:H924 G920:H920 G916:H916 G912:H912 G908:H908" xr:uid="{00000000-0002-0000-2500-000015000000}">
      <formula1>$B$998:$B$1002</formula1>
    </dataValidation>
    <dataValidation type="list" allowBlank="1" showInputMessage="1" showErrorMessage="1" sqref="E15:J15" xr:uid="{00000000-0002-0000-2500-000016000000}">
      <formula1>$C$966:$C$970</formula1>
    </dataValidation>
  </dataValidations>
  <pageMargins left="0.7" right="0.7" top="0.75" bottom="0.75" header="0.3" footer="0.3"/>
  <pageSetup scale="70"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76"/>
  <dimension ref="A1:N1029"/>
  <sheetViews>
    <sheetView showGridLines="0" showRowColHeaders="0" zoomScale="85" zoomScaleNormal="85" workbookViewId="0">
      <selection activeCell="G3" sqref="G3:I3"/>
    </sheetView>
  </sheetViews>
  <sheetFormatPr baseColWidth="10" defaultColWidth="9.1640625" defaultRowHeight="15" x14ac:dyDescent="0.2"/>
  <cols>
    <col min="1" max="1" width="9.1640625" style="12"/>
    <col min="2" max="3" width="9.1640625" style="12" customWidth="1"/>
    <col min="4" max="4" width="9.1640625" style="12"/>
    <col min="5" max="5" width="9.1640625" style="12" customWidth="1"/>
    <col min="6" max="9" width="9.1640625" style="12"/>
    <col min="10" max="10" width="25.6640625" style="12" customWidth="1"/>
    <col min="11" max="12" width="9.1640625" style="12"/>
    <col min="13" max="13" width="9.1640625" style="12" customWidth="1"/>
    <col min="14" max="14" width="9.1640625" style="12" hidden="1" customWidth="1"/>
    <col min="15" max="16384" width="9.1640625" style="12"/>
  </cols>
  <sheetData>
    <row r="1" spans="2:13" x14ac:dyDescent="0.2">
      <c r="I1" s="29"/>
    </row>
    <row r="2" spans="2:13" ht="33" x14ac:dyDescent="0.2">
      <c r="G2" s="16" t="s">
        <v>1038</v>
      </c>
      <c r="I2" s="29"/>
    </row>
    <row r="3" spans="2:13" ht="23" x14ac:dyDescent="0.25">
      <c r="F3" s="306" t="s">
        <v>1042</v>
      </c>
      <c r="G3" s="479"/>
      <c r="H3" s="480"/>
      <c r="I3" s="481"/>
      <c r="L3" s="157"/>
      <c r="M3" s="157"/>
    </row>
    <row r="4" spans="2:13" x14ac:dyDescent="0.2">
      <c r="G4" s="98"/>
      <c r="I4" s="29"/>
      <c r="L4" s="158"/>
      <c r="M4" s="157"/>
    </row>
    <row r="5" spans="2:13" x14ac:dyDescent="0.2">
      <c r="B5" s="12" t="s">
        <v>1043</v>
      </c>
      <c r="G5" s="98"/>
      <c r="I5" s="29"/>
      <c r="L5" s="158"/>
      <c r="M5" s="157"/>
    </row>
    <row r="6" spans="2:13" ht="121.5" customHeight="1" x14ac:dyDescent="0.2">
      <c r="B6" s="476"/>
      <c r="C6" s="477"/>
      <c r="D6" s="477"/>
      <c r="E6" s="477"/>
      <c r="F6" s="477"/>
      <c r="G6" s="477"/>
      <c r="H6" s="477"/>
      <c r="I6" s="477"/>
      <c r="J6" s="477"/>
      <c r="K6" s="478"/>
      <c r="L6" s="158"/>
      <c r="M6" s="157"/>
    </row>
    <row r="7" spans="2:13" x14ac:dyDescent="0.2">
      <c r="B7" s="426"/>
      <c r="C7" s="426"/>
      <c r="D7" s="426"/>
      <c r="E7" s="426"/>
      <c r="F7" s="426"/>
      <c r="G7" s="426"/>
      <c r="H7" s="426"/>
      <c r="I7" s="426"/>
      <c r="J7" s="426"/>
      <c r="K7" s="426"/>
      <c r="L7" s="158"/>
    </row>
    <row r="8" spans="2:13" ht="75" customHeight="1" x14ac:dyDescent="0.2">
      <c r="B8" s="425" t="s">
        <v>664</v>
      </c>
      <c r="C8" s="341"/>
      <c r="D8" s="341"/>
      <c r="E8" s="341"/>
      <c r="F8" s="341"/>
      <c r="G8" s="341"/>
      <c r="H8" s="341"/>
      <c r="I8" s="341"/>
      <c r="J8" s="341"/>
      <c r="K8" s="341"/>
    </row>
    <row r="9" spans="2:13" ht="30" customHeight="1" x14ac:dyDescent="0.2">
      <c r="B9" s="445" t="s">
        <v>665</v>
      </c>
      <c r="C9" s="446"/>
      <c r="D9" s="446"/>
      <c r="E9" s="446"/>
      <c r="F9" s="446"/>
      <c r="G9" s="446"/>
      <c r="H9" s="446"/>
      <c r="I9" s="446"/>
      <c r="J9" s="446"/>
      <c r="K9" s="446"/>
    </row>
    <row r="10" spans="2:13" ht="121.5" customHeight="1" x14ac:dyDescent="0.2">
      <c r="B10" s="447"/>
      <c r="C10" s="448"/>
      <c r="D10" s="448"/>
      <c r="E10" s="448"/>
      <c r="F10" s="448"/>
      <c r="G10" s="448"/>
      <c r="H10" s="448"/>
      <c r="I10" s="448"/>
      <c r="J10" s="448"/>
      <c r="K10" s="449"/>
    </row>
    <row r="11" spans="2:13" ht="16" thickBot="1" x14ac:dyDescent="0.25"/>
    <row r="12" spans="2:13" x14ac:dyDescent="0.2">
      <c r="B12" s="159"/>
      <c r="C12" s="160"/>
      <c r="D12" s="160"/>
      <c r="E12" s="160"/>
      <c r="F12" s="160"/>
      <c r="G12" s="160"/>
      <c r="H12" s="160"/>
      <c r="I12" s="160"/>
      <c r="J12" s="160"/>
      <c r="K12" s="161"/>
    </row>
    <row r="13" spans="2:13" ht="21" x14ac:dyDescent="0.25">
      <c r="B13" s="162"/>
      <c r="C13" s="163"/>
      <c r="D13" s="163"/>
      <c r="E13" s="163"/>
      <c r="F13" s="163"/>
      <c r="G13" s="164" t="s">
        <v>226</v>
      </c>
      <c r="H13" s="163"/>
      <c r="I13" s="163"/>
      <c r="J13" s="163"/>
      <c r="K13" s="165"/>
    </row>
    <row r="14" spans="2:13" ht="21" x14ac:dyDescent="0.25">
      <c r="B14" s="162"/>
      <c r="C14" s="163"/>
      <c r="D14" s="163"/>
      <c r="E14" s="163"/>
      <c r="F14" s="163"/>
      <c r="G14" s="164"/>
      <c r="H14" s="163"/>
      <c r="I14" s="163"/>
      <c r="J14" s="163"/>
      <c r="K14" s="165"/>
    </row>
    <row r="15" spans="2:13" ht="26.25" customHeight="1" x14ac:dyDescent="0.2">
      <c r="B15" s="162"/>
      <c r="C15" s="163" t="s">
        <v>255</v>
      </c>
      <c r="D15" s="163"/>
      <c r="E15" s="412"/>
      <c r="F15" s="437"/>
      <c r="G15" s="437"/>
      <c r="H15" s="437"/>
      <c r="I15" s="437"/>
      <c r="J15" s="438"/>
      <c r="K15" s="165"/>
    </row>
    <row r="16" spans="2:13" x14ac:dyDescent="0.2">
      <c r="B16" s="162"/>
      <c r="C16" s="163"/>
      <c r="D16" s="163"/>
      <c r="E16" s="163"/>
      <c r="F16" s="163"/>
      <c r="G16" s="163"/>
      <c r="H16" s="163"/>
      <c r="I16" s="163"/>
      <c r="J16" s="163"/>
      <c r="K16" s="165"/>
    </row>
    <row r="17" spans="2:14" x14ac:dyDescent="0.2">
      <c r="B17" s="162"/>
      <c r="C17" s="166" t="s">
        <v>256</v>
      </c>
      <c r="D17" s="163"/>
      <c r="E17" s="167" t="str">
        <f>IF(E15=$C$966,$A$966,IF(E15=$C$967,$A$967,IF(E15=$C$968,$A$968,IF(E15=$C$969,$A$969,IF(E15=$C$970,$A$970,"Not Calculated")))))</f>
        <v>Not Calculated</v>
      </c>
      <c r="F17" s="163"/>
      <c r="G17" s="163"/>
      <c r="H17" s="163"/>
      <c r="I17" s="163"/>
      <c r="J17" s="163"/>
      <c r="K17" s="165"/>
    </row>
    <row r="18" spans="2:14" x14ac:dyDescent="0.2">
      <c r="B18" s="162"/>
      <c r="C18" s="163"/>
      <c r="D18" s="163"/>
      <c r="E18" s="167" t="str">
        <f>IF(E15=$C$966,$B$966,IF(E15=$C$967,$B$967,IF(E15=$C$968,$B$968,IF(E15=$C$969,$B$969,IF(E15=$C$970,$B$970,"Not Calculated")))))</f>
        <v>Not Calculated</v>
      </c>
      <c r="F18" s="163"/>
      <c r="G18" s="163"/>
      <c r="H18" s="163"/>
      <c r="I18" s="163"/>
      <c r="J18" s="163"/>
      <c r="K18" s="165"/>
    </row>
    <row r="19" spans="2:14" ht="16" thickBot="1" x14ac:dyDescent="0.25">
      <c r="B19" s="168"/>
      <c r="C19" s="169"/>
      <c r="D19" s="169"/>
      <c r="E19" s="169"/>
      <c r="F19" s="169"/>
      <c r="G19" s="169"/>
      <c r="H19" s="169"/>
      <c r="I19" s="169"/>
      <c r="J19" s="169"/>
      <c r="K19" s="170"/>
    </row>
    <row r="20" spans="2:14" ht="16" thickBot="1" x14ac:dyDescent="0.25"/>
    <row r="21" spans="2:14" x14ac:dyDescent="0.2">
      <c r="B21" s="33"/>
      <c r="C21" s="34"/>
      <c r="D21" s="34"/>
      <c r="E21" s="34"/>
      <c r="F21" s="34"/>
      <c r="G21" s="34"/>
      <c r="H21" s="34"/>
      <c r="I21" s="34"/>
      <c r="J21" s="34"/>
      <c r="K21" s="37"/>
    </row>
    <row r="22" spans="2:14" ht="21" x14ac:dyDescent="0.25">
      <c r="B22" s="38"/>
      <c r="C22" s="171"/>
      <c r="D22" s="40"/>
      <c r="E22" s="40"/>
      <c r="F22" s="40"/>
      <c r="G22" s="172" t="s">
        <v>26</v>
      </c>
      <c r="H22" s="40"/>
      <c r="I22" s="40"/>
      <c r="J22" s="40"/>
      <c r="K22" s="41"/>
    </row>
    <row r="23" spans="2:14" x14ac:dyDescent="0.2">
      <c r="B23" s="38"/>
      <c r="C23" s="40"/>
      <c r="D23" s="40"/>
      <c r="E23" s="40"/>
      <c r="F23" s="40"/>
      <c r="G23" s="40"/>
      <c r="H23" s="40"/>
      <c r="I23" s="40"/>
      <c r="J23" s="40"/>
      <c r="K23" s="41"/>
    </row>
    <row r="24" spans="2:14" ht="16" x14ac:dyDescent="0.2">
      <c r="B24" s="38"/>
      <c r="C24" s="45" t="s">
        <v>61</v>
      </c>
      <c r="D24" s="40"/>
      <c r="E24" s="40"/>
      <c r="F24" s="40"/>
      <c r="G24" s="40"/>
      <c r="H24" s="40"/>
      <c r="I24" s="40"/>
      <c r="J24" s="40"/>
      <c r="K24" s="41"/>
    </row>
    <row r="25" spans="2:14" x14ac:dyDescent="0.2">
      <c r="B25" s="38"/>
      <c r="C25" s="40" t="s">
        <v>434</v>
      </c>
      <c r="D25" s="40"/>
      <c r="E25" s="40"/>
      <c r="F25" s="40"/>
      <c r="G25" s="40"/>
      <c r="H25" s="40"/>
      <c r="I25" s="40"/>
      <c r="J25" s="252">
        <f>'Baseline Health'!G11</f>
        <v>0</v>
      </c>
      <c r="K25" s="41"/>
    </row>
    <row r="26" spans="2:14" x14ac:dyDescent="0.2">
      <c r="B26" s="38"/>
      <c r="C26" s="40" t="s">
        <v>288</v>
      </c>
      <c r="D26" s="40"/>
      <c r="E26" s="40"/>
      <c r="F26" s="40"/>
      <c r="G26" s="40"/>
      <c r="H26" s="40"/>
      <c r="I26" s="40"/>
      <c r="J26" s="264"/>
      <c r="K26" s="41"/>
    </row>
    <row r="27" spans="2:14" x14ac:dyDescent="0.2">
      <c r="B27" s="38"/>
      <c r="C27" s="40" t="s">
        <v>260</v>
      </c>
      <c r="D27" s="40"/>
      <c r="E27" s="40"/>
      <c r="F27" s="40"/>
      <c r="G27" s="40"/>
      <c r="H27" s="40"/>
      <c r="I27" s="40"/>
      <c r="J27" s="248" t="str">
        <f>IF(OR(J25=0,J25="Not Calculated")=TRUE,"Not Calculated",(IF(((J26+J25)/J25)&lt;=1,0,IF(((J26+J25)/J25)&lt;=1.05,1,IF(((J26+J25)/J25)&lt;=1.5, 2,IF(((J26+J25)/J25)&lt;=2,3,4))))))</f>
        <v>Not Calculated</v>
      </c>
      <c r="K27" s="41"/>
    </row>
    <row r="28" spans="2:14" ht="9.75" customHeight="1" x14ac:dyDescent="0.2">
      <c r="B28" s="38"/>
      <c r="C28" s="279" t="str">
        <f>"0:"</f>
        <v>0:</v>
      </c>
      <c r="D28" s="281" t="s">
        <v>918</v>
      </c>
      <c r="E28" s="40"/>
      <c r="F28" s="40"/>
      <c r="G28" s="40"/>
      <c r="H28" s="40"/>
      <c r="I28" s="40"/>
      <c r="J28" s="40"/>
      <c r="K28" s="41"/>
    </row>
    <row r="29" spans="2:14" ht="9.75" customHeight="1" x14ac:dyDescent="0.2">
      <c r="B29" s="38"/>
      <c r="C29" s="280" t="str">
        <f>"1:"</f>
        <v>1:</v>
      </c>
      <c r="D29" s="281" t="s">
        <v>919</v>
      </c>
      <c r="E29" s="40"/>
      <c r="F29" s="40"/>
      <c r="G29" s="40"/>
      <c r="H29" s="40"/>
      <c r="I29" s="40"/>
      <c r="J29" s="40"/>
      <c r="K29" s="41"/>
    </row>
    <row r="30" spans="2:14" ht="9.75" customHeight="1" x14ac:dyDescent="0.2">
      <c r="B30" s="38"/>
      <c r="C30" s="280" t="str">
        <f>"2:"</f>
        <v>2:</v>
      </c>
      <c r="D30" s="281" t="s">
        <v>920</v>
      </c>
      <c r="E30" s="40"/>
      <c r="F30" s="40"/>
      <c r="G30" s="40"/>
      <c r="H30" s="40"/>
      <c r="I30" s="40"/>
      <c r="J30" s="40"/>
      <c r="K30" s="41"/>
    </row>
    <row r="31" spans="2:14" ht="9.75" customHeight="1" x14ac:dyDescent="0.2">
      <c r="B31" s="38"/>
      <c r="C31" s="280" t="str">
        <f>"3:"</f>
        <v>3:</v>
      </c>
      <c r="D31" s="281" t="s">
        <v>921</v>
      </c>
      <c r="E31" s="40"/>
      <c r="F31" s="40"/>
      <c r="G31" s="40"/>
      <c r="H31" s="40"/>
      <c r="I31" s="40"/>
      <c r="J31" s="40"/>
      <c r="K31" s="41"/>
    </row>
    <row r="32" spans="2:14" ht="9.75" customHeight="1" x14ac:dyDescent="0.2">
      <c r="B32" s="38"/>
      <c r="C32" s="280" t="str">
        <f>"4:"</f>
        <v>4:</v>
      </c>
      <c r="D32" s="281" t="s">
        <v>922</v>
      </c>
      <c r="E32" s="40"/>
      <c r="F32" s="40"/>
      <c r="G32" s="40"/>
      <c r="H32" s="40"/>
      <c r="I32" s="40"/>
      <c r="J32" s="40"/>
      <c r="K32" s="41"/>
      <c r="N32" s="12" t="s">
        <v>661</v>
      </c>
    </row>
    <row r="33" spans="2:14" x14ac:dyDescent="0.2">
      <c r="B33" s="38"/>
      <c r="C33" s="174" t="s">
        <v>662</v>
      </c>
      <c r="D33" s="40"/>
      <c r="E33" s="40"/>
      <c r="F33" s="40"/>
      <c r="G33" s="40"/>
      <c r="H33" s="40"/>
      <c r="I33" s="40"/>
      <c r="J33" s="265" t="s">
        <v>661</v>
      </c>
      <c r="K33" s="41"/>
      <c r="N33" s="12" t="s">
        <v>894</v>
      </c>
    </row>
    <row r="34" spans="2:14" x14ac:dyDescent="0.2">
      <c r="B34" s="38"/>
      <c r="C34" s="174" t="s">
        <v>660</v>
      </c>
      <c r="D34" s="40"/>
      <c r="E34" s="40"/>
      <c r="F34" s="40"/>
      <c r="G34" s="40"/>
      <c r="H34" s="40"/>
      <c r="I34" s="40"/>
      <c r="J34" s="246" t="str">
        <f>IF(J33=N32,"N/A",IF(J33=N33,0,IF(J33=N34,1,IF(J33=N35,2,IF(J33=N36,3,IF(J33=N37,4,"N/A"))))))</f>
        <v>N/A</v>
      </c>
      <c r="K34" s="41"/>
      <c r="N34" s="12" t="s">
        <v>895</v>
      </c>
    </row>
    <row r="35" spans="2:14" x14ac:dyDescent="0.2">
      <c r="B35" s="38"/>
      <c r="C35" s="40" t="s">
        <v>257</v>
      </c>
      <c r="D35" s="40"/>
      <c r="E35" s="40"/>
      <c r="F35" s="40"/>
      <c r="G35" s="40"/>
      <c r="H35" s="40"/>
      <c r="I35" s="40"/>
      <c r="J35" s="266"/>
      <c r="K35" s="41"/>
      <c r="N35" s="12" t="s">
        <v>896</v>
      </c>
    </row>
    <row r="36" spans="2:14" x14ac:dyDescent="0.2">
      <c r="B36" s="38"/>
      <c r="C36" s="40" t="s">
        <v>261</v>
      </c>
      <c r="D36" s="40"/>
      <c r="E36" s="40"/>
      <c r="F36" s="40"/>
      <c r="G36" s="40"/>
      <c r="H36" s="40"/>
      <c r="I36" s="40"/>
      <c r="J36" s="245" t="str">
        <f>IF(J35=$B$973,$A$973,IF(J35=$B$974,$A$974,IF(J35=$B$975,$A$975,IF(J35=$B$976,$A$976,IF(J35=$B$977,$A$977,"Not Calculated")))))</f>
        <v>Not Calculated</v>
      </c>
      <c r="K36" s="41"/>
      <c r="N36" s="12" t="s">
        <v>897</v>
      </c>
    </row>
    <row r="37" spans="2:14" x14ac:dyDescent="0.2">
      <c r="B37" s="38"/>
      <c r="C37" s="40" t="s">
        <v>893</v>
      </c>
      <c r="D37" s="40"/>
      <c r="E37" s="40"/>
      <c r="F37" s="40"/>
      <c r="G37" s="40"/>
      <c r="H37" s="40"/>
      <c r="I37" s="40"/>
      <c r="J37" s="175"/>
      <c r="K37" s="41"/>
      <c r="N37" s="12" t="s">
        <v>898</v>
      </c>
    </row>
    <row r="38" spans="2:14" s="178" customFormat="1" x14ac:dyDescent="0.2">
      <c r="B38" s="176"/>
      <c r="C38" s="415"/>
      <c r="D38" s="400"/>
      <c r="E38" s="400"/>
      <c r="F38" s="400"/>
      <c r="G38" s="400"/>
      <c r="H38" s="400"/>
      <c r="I38" s="400"/>
      <c r="J38" s="401"/>
      <c r="K38" s="177"/>
    </row>
    <row r="39" spans="2:14" x14ac:dyDescent="0.2">
      <c r="B39" s="38"/>
      <c r="C39" s="40"/>
      <c r="D39" s="40"/>
      <c r="E39" s="40"/>
      <c r="F39" s="40"/>
      <c r="G39" s="40"/>
      <c r="H39" s="40"/>
      <c r="I39" s="40"/>
      <c r="J39" s="40"/>
      <c r="K39" s="41"/>
    </row>
    <row r="40" spans="2:14" x14ac:dyDescent="0.2">
      <c r="B40" s="38"/>
      <c r="C40" s="179" t="s">
        <v>258</v>
      </c>
      <c r="D40" s="40"/>
      <c r="E40" s="40"/>
      <c r="F40" s="40"/>
      <c r="G40" s="40"/>
      <c r="H40" s="40"/>
      <c r="I40" s="40"/>
      <c r="J40" s="245" t="str">
        <f>IF(J34="N/A",IF(OR(J27="Not Calculated",J36="Not Calculated")=TRUE,"Not Calculated",AVERAGE(J27,J36)),AVERAGE(J34,J36))</f>
        <v>Not Calculated</v>
      </c>
      <c r="K40" s="41"/>
    </row>
    <row r="41" spans="2:14" x14ac:dyDescent="0.2">
      <c r="B41" s="38"/>
      <c r="C41" s="179"/>
      <c r="D41" s="40"/>
      <c r="E41" s="40"/>
      <c r="F41" s="40"/>
      <c r="G41" s="40"/>
      <c r="H41" s="40"/>
      <c r="I41" s="40"/>
      <c r="J41" s="245"/>
      <c r="K41" s="41"/>
    </row>
    <row r="42" spans="2:14" x14ac:dyDescent="0.2">
      <c r="B42" s="38"/>
      <c r="C42" s="40"/>
      <c r="D42" s="40"/>
      <c r="E42" s="40"/>
      <c r="F42" s="40"/>
      <c r="G42" s="40"/>
      <c r="H42" s="40"/>
      <c r="I42" s="40"/>
      <c r="J42" s="40"/>
      <c r="K42" s="41"/>
    </row>
    <row r="43" spans="2:14" ht="16" x14ac:dyDescent="0.2">
      <c r="B43" s="38"/>
      <c r="C43" s="45" t="s">
        <v>51</v>
      </c>
      <c r="D43" s="40"/>
      <c r="E43" s="40"/>
      <c r="F43" s="40"/>
      <c r="G43" s="40"/>
      <c r="H43" s="40"/>
      <c r="I43" s="40"/>
      <c r="J43" s="40"/>
      <c r="K43" s="41"/>
    </row>
    <row r="44" spans="2:14" x14ac:dyDescent="0.2">
      <c r="B44" s="38"/>
      <c r="C44" s="40" t="s">
        <v>435</v>
      </c>
      <c r="D44" s="40"/>
      <c r="E44" s="40"/>
      <c r="F44" s="40"/>
      <c r="G44" s="40"/>
      <c r="H44" s="40"/>
      <c r="I44" s="40"/>
      <c r="J44" s="252">
        <f>'Baseline Health'!G17</f>
        <v>0</v>
      </c>
      <c r="K44" s="41"/>
    </row>
    <row r="45" spans="2:14" x14ac:dyDescent="0.2">
      <c r="B45" s="38"/>
      <c r="C45" s="40" t="s">
        <v>287</v>
      </c>
      <c r="D45" s="40"/>
      <c r="E45" s="40"/>
      <c r="F45" s="40"/>
      <c r="G45" s="40"/>
      <c r="H45" s="40"/>
      <c r="I45" s="40"/>
      <c r="J45" s="264"/>
      <c r="K45" s="41"/>
    </row>
    <row r="46" spans="2:14" x14ac:dyDescent="0.2">
      <c r="B46" s="38"/>
      <c r="C46" s="40" t="s">
        <v>260</v>
      </c>
      <c r="D46" s="40"/>
      <c r="E46" s="40"/>
      <c r="F46" s="40"/>
      <c r="G46" s="40"/>
      <c r="H46" s="40"/>
      <c r="I46" s="40"/>
      <c r="J46" s="248" t="str">
        <f>IF(OR(J44=0,J44="Not Calculated")=TRUE,"Not Calculated",(IF(((J45+J44)/J44)&lt;=1,0,IF(((J45+J44)/J44)&lt;=1.05,1,IF(((J45+J44)/J44)&lt;=1.5, 2,IF(((J45+J44)/J44)&lt;=2,3,4))))))</f>
        <v>Not Calculated</v>
      </c>
      <c r="K46" s="41"/>
    </row>
    <row r="47" spans="2:14" ht="9.75" customHeight="1" x14ac:dyDescent="0.2">
      <c r="B47" s="38"/>
      <c r="C47" s="279" t="str">
        <f>"0:"</f>
        <v>0:</v>
      </c>
      <c r="D47" s="281" t="s">
        <v>918</v>
      </c>
      <c r="E47" s="40"/>
      <c r="F47" s="40"/>
      <c r="G47" s="40"/>
      <c r="H47" s="40"/>
      <c r="I47" s="40"/>
      <c r="J47" s="40"/>
      <c r="K47" s="41"/>
    </row>
    <row r="48" spans="2:14" ht="9.75" customHeight="1" x14ac:dyDescent="0.2">
      <c r="B48" s="38"/>
      <c r="C48" s="280" t="str">
        <f>"1:"</f>
        <v>1:</v>
      </c>
      <c r="D48" s="281" t="s">
        <v>919</v>
      </c>
      <c r="E48" s="40"/>
      <c r="F48" s="40"/>
      <c r="G48" s="40"/>
      <c r="H48" s="40"/>
      <c r="I48" s="40"/>
      <c r="J48" s="40"/>
      <c r="K48" s="41"/>
    </row>
    <row r="49" spans="2:14" ht="9.75" customHeight="1" x14ac:dyDescent="0.2">
      <c r="B49" s="38"/>
      <c r="C49" s="280" t="str">
        <f>"2:"</f>
        <v>2:</v>
      </c>
      <c r="D49" s="281" t="s">
        <v>920</v>
      </c>
      <c r="E49" s="40"/>
      <c r="F49" s="40"/>
      <c r="G49" s="40"/>
      <c r="H49" s="40"/>
      <c r="I49" s="40"/>
      <c r="J49" s="40"/>
      <c r="K49" s="41"/>
    </row>
    <row r="50" spans="2:14" ht="9.75" customHeight="1" x14ac:dyDescent="0.2">
      <c r="B50" s="38"/>
      <c r="C50" s="280" t="str">
        <f>"3:"</f>
        <v>3:</v>
      </c>
      <c r="D50" s="281" t="s">
        <v>921</v>
      </c>
      <c r="E50" s="40"/>
      <c r="F50" s="40"/>
      <c r="G50" s="40"/>
      <c r="H50" s="40"/>
      <c r="I50" s="40"/>
      <c r="J50" s="40"/>
      <c r="K50" s="41"/>
    </row>
    <row r="51" spans="2:14" ht="9.75" customHeight="1" x14ac:dyDescent="0.2">
      <c r="B51" s="38"/>
      <c r="C51" s="280" t="str">
        <f>"4:"</f>
        <v>4:</v>
      </c>
      <c r="D51" s="281" t="s">
        <v>922</v>
      </c>
      <c r="E51" s="40"/>
      <c r="F51" s="40"/>
      <c r="G51" s="40"/>
      <c r="H51" s="40"/>
      <c r="I51" s="40"/>
      <c r="J51" s="40"/>
      <c r="K51" s="41"/>
      <c r="N51" s="12" t="s">
        <v>661</v>
      </c>
    </row>
    <row r="52" spans="2:14" x14ac:dyDescent="0.2">
      <c r="B52" s="38"/>
      <c r="C52" s="174" t="s">
        <v>662</v>
      </c>
      <c r="D52" s="40"/>
      <c r="E52" s="40"/>
      <c r="F52" s="40"/>
      <c r="G52" s="40"/>
      <c r="H52" s="40"/>
      <c r="I52" s="40"/>
      <c r="J52" s="265" t="s">
        <v>661</v>
      </c>
      <c r="K52" s="41"/>
      <c r="N52" s="12" t="s">
        <v>894</v>
      </c>
    </row>
    <row r="53" spans="2:14" x14ac:dyDescent="0.2">
      <c r="B53" s="38"/>
      <c r="C53" s="174" t="s">
        <v>660</v>
      </c>
      <c r="D53" s="40"/>
      <c r="E53" s="40"/>
      <c r="F53" s="40"/>
      <c r="G53" s="40"/>
      <c r="H53" s="40"/>
      <c r="I53" s="40"/>
      <c r="J53" s="246" t="str">
        <f>IF(J52=N51,"N/A",IF(J52=N52,0,IF(J52=N53,1,IF(J52=N54,2,IF(J52=N55,3,IF(J52=N56,4,"N/A"))))))</f>
        <v>N/A</v>
      </c>
      <c r="K53" s="41"/>
      <c r="N53" s="12" t="s">
        <v>895</v>
      </c>
    </row>
    <row r="54" spans="2:14" x14ac:dyDescent="0.2">
      <c r="B54" s="38"/>
      <c r="C54" s="40" t="s">
        <v>257</v>
      </c>
      <c r="D54" s="40"/>
      <c r="E54" s="40"/>
      <c r="F54" s="40"/>
      <c r="G54" s="40"/>
      <c r="H54" s="40"/>
      <c r="I54" s="40"/>
      <c r="J54" s="266"/>
      <c r="K54" s="41"/>
      <c r="N54" s="12" t="s">
        <v>896</v>
      </c>
    </row>
    <row r="55" spans="2:14" x14ac:dyDescent="0.2">
      <c r="B55" s="38"/>
      <c r="C55" s="40" t="s">
        <v>261</v>
      </c>
      <c r="D55" s="40"/>
      <c r="E55" s="40"/>
      <c r="F55" s="40"/>
      <c r="G55" s="40"/>
      <c r="H55" s="40"/>
      <c r="I55" s="40"/>
      <c r="J55" s="245" t="str">
        <f>IF(J54=$B$973,$A$973,IF(J54=$B$974,$A$974,IF(J54=$B$975,$A$975,IF(J54=$B$976,$A$976,IF(J54=$B$977,$A$977,"Not Calculated")))))</f>
        <v>Not Calculated</v>
      </c>
      <c r="K55" s="41"/>
      <c r="N55" s="12" t="s">
        <v>897</v>
      </c>
    </row>
    <row r="56" spans="2:14" x14ac:dyDescent="0.2">
      <c r="B56" s="38"/>
      <c r="C56" s="40" t="s">
        <v>893</v>
      </c>
      <c r="D56" s="40"/>
      <c r="E56" s="40"/>
      <c r="F56" s="40"/>
      <c r="G56" s="40"/>
      <c r="H56" s="40"/>
      <c r="I56" s="40"/>
      <c r="J56" s="175"/>
      <c r="K56" s="41"/>
      <c r="N56" s="12" t="s">
        <v>898</v>
      </c>
    </row>
    <row r="57" spans="2:14" s="178" customFormat="1" ht="15" customHeight="1" x14ac:dyDescent="0.2">
      <c r="B57" s="176"/>
      <c r="C57" s="415"/>
      <c r="D57" s="400"/>
      <c r="E57" s="400"/>
      <c r="F57" s="400"/>
      <c r="G57" s="400"/>
      <c r="H57" s="400"/>
      <c r="I57" s="400"/>
      <c r="J57" s="401"/>
      <c r="K57" s="177"/>
    </row>
    <row r="58" spans="2:14" x14ac:dyDescent="0.2">
      <c r="B58" s="38"/>
      <c r="C58" s="40"/>
      <c r="D58" s="40"/>
      <c r="E58" s="40"/>
      <c r="F58" s="40"/>
      <c r="G58" s="40"/>
      <c r="H58" s="40"/>
      <c r="I58" s="40"/>
      <c r="J58" s="40"/>
      <c r="K58" s="41"/>
    </row>
    <row r="59" spans="2:14" x14ac:dyDescent="0.2">
      <c r="B59" s="38"/>
      <c r="C59" s="179" t="s">
        <v>263</v>
      </c>
      <c r="D59" s="40"/>
      <c r="E59" s="40"/>
      <c r="F59" s="40"/>
      <c r="G59" s="40"/>
      <c r="H59" s="40"/>
      <c r="I59" s="40"/>
      <c r="J59" s="245" t="str">
        <f>IF(J53="N/A",IF(OR(J46="Not Calculated",J55="Not Calculated")=TRUE,"Not Calculated",AVERAGE(J46,J55)),AVERAGE(J53,J55))</f>
        <v>Not Calculated</v>
      </c>
      <c r="K59" s="41"/>
    </row>
    <row r="60" spans="2:14" x14ac:dyDescent="0.2">
      <c r="B60" s="38"/>
      <c r="C60" s="40"/>
      <c r="D60" s="40"/>
      <c r="E60" s="40"/>
      <c r="F60" s="40"/>
      <c r="G60" s="40"/>
      <c r="H60" s="40"/>
      <c r="I60" s="40"/>
      <c r="J60" s="40"/>
      <c r="K60" s="41"/>
    </row>
    <row r="61" spans="2:14" x14ac:dyDescent="0.2">
      <c r="B61" s="38"/>
      <c r="C61" s="40"/>
      <c r="D61" s="40"/>
      <c r="E61" s="40"/>
      <c r="F61" s="40"/>
      <c r="G61" s="40"/>
      <c r="H61" s="40"/>
      <c r="I61" s="40"/>
      <c r="J61" s="40"/>
      <c r="K61" s="41"/>
    </row>
    <row r="62" spans="2:14" ht="16" x14ac:dyDescent="0.2">
      <c r="B62" s="38"/>
      <c r="C62" s="45" t="s">
        <v>54</v>
      </c>
      <c r="D62" s="40"/>
      <c r="E62" s="40"/>
      <c r="F62" s="40"/>
      <c r="G62" s="40"/>
      <c r="H62" s="40"/>
      <c r="I62" s="40"/>
      <c r="J62" s="40"/>
      <c r="K62" s="41"/>
    </row>
    <row r="63" spans="2:14" x14ac:dyDescent="0.2">
      <c r="B63" s="38"/>
      <c r="C63" s="40" t="s">
        <v>436</v>
      </c>
      <c r="D63" s="40"/>
      <c r="E63" s="40"/>
      <c r="F63" s="40"/>
      <c r="G63" s="40"/>
      <c r="H63" s="40"/>
      <c r="I63" s="40"/>
      <c r="J63" s="252">
        <f>'Baseline Health'!G23</f>
        <v>0</v>
      </c>
      <c r="K63" s="41"/>
    </row>
    <row r="64" spans="2:14" x14ac:dyDescent="0.2">
      <c r="B64" s="38"/>
      <c r="C64" s="40" t="s">
        <v>289</v>
      </c>
      <c r="D64" s="40"/>
      <c r="E64" s="40"/>
      <c r="F64" s="40"/>
      <c r="G64" s="40"/>
      <c r="H64" s="40"/>
      <c r="I64" s="40"/>
      <c r="J64" s="264"/>
      <c r="K64" s="41"/>
    </row>
    <row r="65" spans="2:14" x14ac:dyDescent="0.2">
      <c r="B65" s="38"/>
      <c r="C65" s="40" t="s">
        <v>260</v>
      </c>
      <c r="D65" s="40"/>
      <c r="E65" s="40"/>
      <c r="F65" s="40"/>
      <c r="G65" s="40"/>
      <c r="H65" s="40"/>
      <c r="I65" s="40"/>
      <c r="J65" s="248" t="str">
        <f>IF(OR(J63=0,J63="Not Calculated")=TRUE,"Not Calculated",(IF(((J64+J63)/J63)&lt;=1,0,IF(((J64+J63)/J63)&lt;=1.05,1,IF(((J64+J63)/J63)&lt;=1.5, 2,IF(((J64+J63)/J63)&lt;=2,3,4))))))</f>
        <v>Not Calculated</v>
      </c>
      <c r="K65" s="41"/>
    </row>
    <row r="66" spans="2:14" ht="9.75" customHeight="1" x14ac:dyDescent="0.2">
      <c r="B66" s="38"/>
      <c r="C66" s="279" t="str">
        <f>"0:"</f>
        <v>0:</v>
      </c>
      <c r="D66" s="281" t="s">
        <v>918</v>
      </c>
      <c r="E66" s="40"/>
      <c r="F66" s="40"/>
      <c r="G66" s="40"/>
      <c r="H66" s="40"/>
      <c r="I66" s="40"/>
      <c r="J66" s="40"/>
      <c r="K66" s="41"/>
    </row>
    <row r="67" spans="2:14" ht="9.75" customHeight="1" x14ac:dyDescent="0.2">
      <c r="B67" s="38"/>
      <c r="C67" s="280" t="str">
        <f>"1:"</f>
        <v>1:</v>
      </c>
      <c r="D67" s="281" t="s">
        <v>919</v>
      </c>
      <c r="E67" s="40"/>
      <c r="F67" s="40"/>
      <c r="G67" s="40"/>
      <c r="H67" s="40"/>
      <c r="I67" s="40"/>
      <c r="J67" s="40"/>
      <c r="K67" s="41"/>
    </row>
    <row r="68" spans="2:14" ht="9.75" customHeight="1" x14ac:dyDescent="0.2">
      <c r="B68" s="38"/>
      <c r="C68" s="280" t="str">
        <f>"2:"</f>
        <v>2:</v>
      </c>
      <c r="D68" s="281" t="s">
        <v>920</v>
      </c>
      <c r="E68" s="40"/>
      <c r="F68" s="40"/>
      <c r="G68" s="40"/>
      <c r="H68" s="40"/>
      <c r="I68" s="40"/>
      <c r="J68" s="40"/>
      <c r="K68" s="41"/>
    </row>
    <row r="69" spans="2:14" ht="9.75" customHeight="1" x14ac:dyDescent="0.2">
      <c r="B69" s="38"/>
      <c r="C69" s="280" t="str">
        <f>"3:"</f>
        <v>3:</v>
      </c>
      <c r="D69" s="281" t="s">
        <v>921</v>
      </c>
      <c r="E69" s="40"/>
      <c r="F69" s="40"/>
      <c r="G69" s="40"/>
      <c r="H69" s="40"/>
      <c r="I69" s="40"/>
      <c r="J69" s="40"/>
      <c r="K69" s="41"/>
    </row>
    <row r="70" spans="2:14" ht="9.75" customHeight="1" x14ac:dyDescent="0.2">
      <c r="B70" s="38"/>
      <c r="C70" s="280" t="str">
        <f>"4:"</f>
        <v>4:</v>
      </c>
      <c r="D70" s="281" t="s">
        <v>922</v>
      </c>
      <c r="E70" s="40"/>
      <c r="F70" s="40"/>
      <c r="G70" s="40"/>
      <c r="H70" s="40"/>
      <c r="I70" s="40"/>
      <c r="J70" s="40"/>
      <c r="K70" s="41"/>
      <c r="N70" s="12" t="s">
        <v>661</v>
      </c>
    </row>
    <row r="71" spans="2:14" x14ac:dyDescent="0.2">
      <c r="B71" s="38"/>
      <c r="C71" s="174" t="s">
        <v>662</v>
      </c>
      <c r="D71" s="40"/>
      <c r="E71" s="40"/>
      <c r="F71" s="40"/>
      <c r="G71" s="40"/>
      <c r="H71" s="40"/>
      <c r="I71" s="40"/>
      <c r="J71" s="265" t="s">
        <v>661</v>
      </c>
      <c r="K71" s="41"/>
      <c r="N71" s="12" t="s">
        <v>894</v>
      </c>
    </row>
    <row r="72" spans="2:14" x14ac:dyDescent="0.2">
      <c r="B72" s="38"/>
      <c r="C72" s="174" t="s">
        <v>660</v>
      </c>
      <c r="D72" s="40"/>
      <c r="E72" s="40"/>
      <c r="F72" s="40"/>
      <c r="G72" s="40"/>
      <c r="H72" s="40"/>
      <c r="I72" s="40"/>
      <c r="J72" s="246" t="str">
        <f>IF(J71=N70,"N/A",IF(J71=N71,0,IF(J71=N72,1,IF(J71=N73,2,IF(J71=N74,3,IF(J71=N75,4,"N/A"))))))</f>
        <v>N/A</v>
      </c>
      <c r="K72" s="41"/>
      <c r="N72" s="12" t="s">
        <v>895</v>
      </c>
    </row>
    <row r="73" spans="2:14" x14ac:dyDescent="0.2">
      <c r="B73" s="38"/>
      <c r="C73" s="40" t="s">
        <v>257</v>
      </c>
      <c r="D73" s="40"/>
      <c r="E73" s="40"/>
      <c r="F73" s="40"/>
      <c r="G73" s="40"/>
      <c r="H73" s="40"/>
      <c r="I73" s="40"/>
      <c r="J73" s="266"/>
      <c r="K73" s="41"/>
      <c r="N73" s="12" t="s">
        <v>896</v>
      </c>
    </row>
    <row r="74" spans="2:14" x14ac:dyDescent="0.2">
      <c r="B74" s="38"/>
      <c r="C74" s="40" t="s">
        <v>261</v>
      </c>
      <c r="D74" s="40"/>
      <c r="E74" s="40"/>
      <c r="F74" s="40"/>
      <c r="G74" s="40"/>
      <c r="H74" s="40"/>
      <c r="I74" s="40"/>
      <c r="J74" s="245" t="str">
        <f>IF(J73=$B$973,$A$973,IF(J73=$B$974,$A$974,IF(J73=$B$975,$A$975,IF(J73=$B$976,$A$976,IF(J73=$B$977,$A$977,"Not Calculated")))))</f>
        <v>Not Calculated</v>
      </c>
      <c r="K74" s="41"/>
      <c r="N74" s="12" t="s">
        <v>897</v>
      </c>
    </row>
    <row r="75" spans="2:14" x14ac:dyDescent="0.2">
      <c r="B75" s="38"/>
      <c r="C75" s="40" t="s">
        <v>893</v>
      </c>
      <c r="D75" s="40"/>
      <c r="E75" s="40"/>
      <c r="F75" s="40"/>
      <c r="G75" s="40"/>
      <c r="H75" s="40"/>
      <c r="I75" s="40"/>
      <c r="J75" s="175"/>
      <c r="K75" s="41"/>
      <c r="N75" s="12" t="s">
        <v>898</v>
      </c>
    </row>
    <row r="76" spans="2:14" s="178" customFormat="1" x14ac:dyDescent="0.2">
      <c r="B76" s="176"/>
      <c r="C76" s="415"/>
      <c r="D76" s="400"/>
      <c r="E76" s="400"/>
      <c r="F76" s="400"/>
      <c r="G76" s="400"/>
      <c r="H76" s="400"/>
      <c r="I76" s="400"/>
      <c r="J76" s="401"/>
      <c r="K76" s="177"/>
    </row>
    <row r="77" spans="2:14" x14ac:dyDescent="0.2">
      <c r="B77" s="38"/>
      <c r="C77" s="40"/>
      <c r="D77" s="40"/>
      <c r="E77" s="40"/>
      <c r="F77" s="40"/>
      <c r="G77" s="40"/>
      <c r="H77" s="40"/>
      <c r="I77" s="40"/>
      <c r="J77" s="40"/>
      <c r="K77" s="41"/>
    </row>
    <row r="78" spans="2:14" x14ac:dyDescent="0.2">
      <c r="B78" s="38"/>
      <c r="C78" s="179" t="s">
        <v>264</v>
      </c>
      <c r="D78" s="40"/>
      <c r="E78" s="40"/>
      <c r="F78" s="40"/>
      <c r="G78" s="40"/>
      <c r="H78" s="40"/>
      <c r="I78" s="40"/>
      <c r="J78" s="245" t="str">
        <f>IF(J72="N/A",IF(OR(J65="Not Calculated",J74="Not Calculated")=TRUE,"Not Calculated",AVERAGE(J65,J74)),AVERAGE(J72,J74))</f>
        <v>Not Calculated</v>
      </c>
      <c r="K78" s="41"/>
    </row>
    <row r="79" spans="2:14" x14ac:dyDescent="0.2">
      <c r="B79" s="38"/>
      <c r="C79" s="40"/>
      <c r="D79" s="40"/>
      <c r="E79" s="40"/>
      <c r="F79" s="40"/>
      <c r="G79" s="40"/>
      <c r="H79" s="40"/>
      <c r="I79" s="40"/>
      <c r="J79" s="40"/>
      <c r="K79" s="41"/>
    </row>
    <row r="80" spans="2:14" x14ac:dyDescent="0.2">
      <c r="B80" s="38"/>
      <c r="C80" s="40"/>
      <c r="D80" s="40"/>
      <c r="E80" s="40"/>
      <c r="F80" s="40"/>
      <c r="G80" s="40"/>
      <c r="H80" s="40"/>
      <c r="I80" s="40"/>
      <c r="J80" s="40"/>
      <c r="K80" s="41"/>
    </row>
    <row r="81" spans="2:14" ht="16" x14ac:dyDescent="0.2">
      <c r="B81" s="38"/>
      <c r="C81" s="45" t="s">
        <v>57</v>
      </c>
      <c r="D81" s="40"/>
      <c r="E81" s="40"/>
      <c r="F81" s="40"/>
      <c r="G81" s="40"/>
      <c r="H81" s="40"/>
      <c r="I81" s="40"/>
      <c r="J81" s="40"/>
      <c r="K81" s="41"/>
    </row>
    <row r="82" spans="2:14" x14ac:dyDescent="0.2">
      <c r="B82" s="38"/>
      <c r="C82" s="40" t="s">
        <v>437</v>
      </c>
      <c r="D82" s="40"/>
      <c r="E82" s="40"/>
      <c r="F82" s="40"/>
      <c r="G82" s="40"/>
      <c r="H82" s="40"/>
      <c r="I82" s="40"/>
      <c r="J82" s="252">
        <f>'Baseline Health'!G29</f>
        <v>0</v>
      </c>
      <c r="K82" s="41"/>
    </row>
    <row r="83" spans="2:14" x14ac:dyDescent="0.2">
      <c r="B83" s="38"/>
      <c r="C83" s="40" t="s">
        <v>290</v>
      </c>
      <c r="D83" s="40"/>
      <c r="E83" s="40"/>
      <c r="F83" s="40"/>
      <c r="G83" s="40"/>
      <c r="H83" s="40"/>
      <c r="I83" s="40"/>
      <c r="J83" s="264"/>
      <c r="K83" s="41"/>
    </row>
    <row r="84" spans="2:14" x14ac:dyDescent="0.2">
      <c r="B84" s="38"/>
      <c r="C84" s="40" t="s">
        <v>260</v>
      </c>
      <c r="D84" s="40"/>
      <c r="E84" s="40"/>
      <c r="F84" s="40"/>
      <c r="G84" s="40"/>
      <c r="H84" s="40"/>
      <c r="I84" s="40"/>
      <c r="J84" s="248" t="str">
        <f>IF(OR(J82=0,J82="Not Calculated")=TRUE,"Not Calculated",(IF(((J83+J82)/J82)&lt;=1,0,IF(((J83+J82)/J82)&lt;=1.05,1,IF(((J83+J82)/J82)&lt;=1.5, 2,IF(((J83+J82)/J82)&lt;=2,3,4))))))</f>
        <v>Not Calculated</v>
      </c>
      <c r="K84" s="41"/>
    </row>
    <row r="85" spans="2:14" ht="9.75" customHeight="1" x14ac:dyDescent="0.2">
      <c r="B85" s="38"/>
      <c r="C85" s="279" t="str">
        <f>"0:"</f>
        <v>0:</v>
      </c>
      <c r="D85" s="281" t="s">
        <v>918</v>
      </c>
      <c r="E85" s="40"/>
      <c r="F85" s="40"/>
      <c r="G85" s="40"/>
      <c r="H85" s="40"/>
      <c r="I85" s="40"/>
      <c r="J85" s="40"/>
      <c r="K85" s="41"/>
    </row>
    <row r="86" spans="2:14" ht="9.75" customHeight="1" x14ac:dyDescent="0.2">
      <c r="B86" s="38"/>
      <c r="C86" s="280" t="str">
        <f>"1:"</f>
        <v>1:</v>
      </c>
      <c r="D86" s="281" t="s">
        <v>919</v>
      </c>
      <c r="E86" s="40"/>
      <c r="F86" s="40"/>
      <c r="G86" s="40"/>
      <c r="H86" s="40"/>
      <c r="I86" s="40"/>
      <c r="J86" s="40"/>
      <c r="K86" s="41"/>
    </row>
    <row r="87" spans="2:14" ht="9.75" customHeight="1" x14ac:dyDescent="0.2">
      <c r="B87" s="38"/>
      <c r="C87" s="280" t="str">
        <f>"2:"</f>
        <v>2:</v>
      </c>
      <c r="D87" s="281" t="s">
        <v>920</v>
      </c>
      <c r="E87" s="40"/>
      <c r="F87" s="40"/>
      <c r="G87" s="40"/>
      <c r="H87" s="40"/>
      <c r="I87" s="40"/>
      <c r="J87" s="40"/>
      <c r="K87" s="41"/>
    </row>
    <row r="88" spans="2:14" ht="9.75" customHeight="1" x14ac:dyDescent="0.2">
      <c r="B88" s="38"/>
      <c r="C88" s="280" t="str">
        <f>"3:"</f>
        <v>3:</v>
      </c>
      <c r="D88" s="281" t="s">
        <v>921</v>
      </c>
      <c r="E88" s="40"/>
      <c r="F88" s="40"/>
      <c r="G88" s="40"/>
      <c r="H88" s="40"/>
      <c r="I88" s="40"/>
      <c r="J88" s="40"/>
      <c r="K88" s="41"/>
    </row>
    <row r="89" spans="2:14" ht="9.75" customHeight="1" x14ac:dyDescent="0.2">
      <c r="B89" s="38"/>
      <c r="C89" s="280" t="str">
        <f>"4:"</f>
        <v>4:</v>
      </c>
      <c r="D89" s="281" t="s">
        <v>922</v>
      </c>
      <c r="E89" s="40"/>
      <c r="F89" s="40"/>
      <c r="G89" s="40"/>
      <c r="H89" s="40"/>
      <c r="I89" s="40"/>
      <c r="J89" s="40"/>
      <c r="K89" s="41"/>
      <c r="N89" s="12" t="s">
        <v>661</v>
      </c>
    </row>
    <row r="90" spans="2:14" x14ac:dyDescent="0.2">
      <c r="B90" s="38"/>
      <c r="C90" s="174" t="s">
        <v>662</v>
      </c>
      <c r="D90" s="40"/>
      <c r="E90" s="40"/>
      <c r="F90" s="40"/>
      <c r="G90" s="40"/>
      <c r="H90" s="40"/>
      <c r="I90" s="40"/>
      <c r="J90" s="265" t="s">
        <v>661</v>
      </c>
      <c r="K90" s="41"/>
      <c r="N90" s="12" t="s">
        <v>894</v>
      </c>
    </row>
    <row r="91" spans="2:14" x14ac:dyDescent="0.2">
      <c r="B91" s="38"/>
      <c r="C91" s="174" t="s">
        <v>660</v>
      </c>
      <c r="D91" s="40"/>
      <c r="E91" s="40"/>
      <c r="F91" s="40"/>
      <c r="G91" s="40"/>
      <c r="H91" s="40"/>
      <c r="I91" s="40"/>
      <c r="J91" s="246" t="str">
        <f>IF(J90=N89,"N/A",IF(J90=N90,0,IF(J90=N91,1,IF(J90=N92,2,IF(J90=N93,3,IF(J90=N94,4,"N/A"))))))</f>
        <v>N/A</v>
      </c>
      <c r="K91" s="41"/>
      <c r="N91" s="12" t="s">
        <v>895</v>
      </c>
    </row>
    <row r="92" spans="2:14" x14ac:dyDescent="0.2">
      <c r="B92" s="38"/>
      <c r="C92" s="40" t="s">
        <v>257</v>
      </c>
      <c r="D92" s="40"/>
      <c r="E92" s="40"/>
      <c r="F92" s="40"/>
      <c r="G92" s="40"/>
      <c r="H92" s="40"/>
      <c r="I92" s="40"/>
      <c r="J92" s="266"/>
      <c r="K92" s="41"/>
      <c r="N92" s="12" t="s">
        <v>896</v>
      </c>
    </row>
    <row r="93" spans="2:14" x14ac:dyDescent="0.2">
      <c r="B93" s="38"/>
      <c r="C93" s="40" t="s">
        <v>261</v>
      </c>
      <c r="D93" s="40"/>
      <c r="E93" s="40"/>
      <c r="F93" s="40"/>
      <c r="G93" s="40"/>
      <c r="H93" s="40"/>
      <c r="I93" s="40"/>
      <c r="J93" s="245" t="str">
        <f>IF(J92=$B$973,$A$973,IF(J92=$B$974,$A$974,IF(J92=$B$975,$A$975,IF(J92=$B$976,$A$976,IF(J92=$B$977,$A$977,"Not Calculated")))))</f>
        <v>Not Calculated</v>
      </c>
      <c r="K93" s="41"/>
      <c r="N93" s="12" t="s">
        <v>897</v>
      </c>
    </row>
    <row r="94" spans="2:14" x14ac:dyDescent="0.2">
      <c r="B94" s="38"/>
      <c r="C94" s="40" t="s">
        <v>893</v>
      </c>
      <c r="D94" s="40"/>
      <c r="E94" s="40"/>
      <c r="F94" s="40"/>
      <c r="G94" s="40"/>
      <c r="H94" s="40"/>
      <c r="I94" s="40"/>
      <c r="J94" s="175"/>
      <c r="K94" s="41"/>
      <c r="N94" s="12" t="s">
        <v>898</v>
      </c>
    </row>
    <row r="95" spans="2:14" s="178" customFormat="1" x14ac:dyDescent="0.2">
      <c r="B95" s="176"/>
      <c r="C95" s="415"/>
      <c r="D95" s="400"/>
      <c r="E95" s="400"/>
      <c r="F95" s="400"/>
      <c r="G95" s="400"/>
      <c r="H95" s="400"/>
      <c r="I95" s="400"/>
      <c r="J95" s="401"/>
      <c r="K95" s="177"/>
    </row>
    <row r="96" spans="2:14" x14ac:dyDescent="0.2">
      <c r="B96" s="38"/>
      <c r="C96" s="40"/>
      <c r="D96" s="40"/>
      <c r="E96" s="40"/>
      <c r="F96" s="40"/>
      <c r="G96" s="40"/>
      <c r="H96" s="40"/>
      <c r="I96" s="40"/>
      <c r="J96" s="40"/>
      <c r="K96" s="41"/>
    </row>
    <row r="97" spans="2:14" x14ac:dyDescent="0.2">
      <c r="B97" s="38"/>
      <c r="C97" s="179" t="s">
        <v>265</v>
      </c>
      <c r="D97" s="40"/>
      <c r="E97" s="40"/>
      <c r="F97" s="40"/>
      <c r="G97" s="40"/>
      <c r="H97" s="40"/>
      <c r="I97" s="40"/>
      <c r="J97" s="245" t="str">
        <f>IF(J91="N/A",IF(OR(J84="Not Calculated",J93="Not Calculated")=TRUE,"Not Calculated",AVERAGE(J84,J93)),AVERAGE(J91,J93))</f>
        <v>Not Calculated</v>
      </c>
      <c r="K97" s="41"/>
    </row>
    <row r="98" spans="2:14" x14ac:dyDescent="0.2">
      <c r="B98" s="38"/>
      <c r="C98" s="40"/>
      <c r="D98" s="40"/>
      <c r="E98" s="40"/>
      <c r="F98" s="40"/>
      <c r="G98" s="40"/>
      <c r="H98" s="40"/>
      <c r="I98" s="40"/>
      <c r="J98" s="40"/>
      <c r="K98" s="41"/>
    </row>
    <row r="99" spans="2:14" x14ac:dyDescent="0.2">
      <c r="B99" s="38"/>
      <c r="C99" s="40"/>
      <c r="D99" s="40"/>
      <c r="E99" s="40"/>
      <c r="F99" s="40"/>
      <c r="G99" s="40"/>
      <c r="H99" s="40"/>
      <c r="I99" s="40"/>
      <c r="J99" s="40"/>
      <c r="K99" s="41"/>
    </row>
    <row r="100" spans="2:14" ht="16" x14ac:dyDescent="0.2">
      <c r="B100" s="38"/>
      <c r="C100" s="45" t="s">
        <v>60</v>
      </c>
      <c r="D100" s="40"/>
      <c r="E100" s="40"/>
      <c r="F100" s="40"/>
      <c r="G100" s="40"/>
      <c r="H100" s="40"/>
      <c r="I100" s="40"/>
      <c r="J100" s="40"/>
      <c r="K100" s="41"/>
    </row>
    <row r="101" spans="2:14" x14ac:dyDescent="0.2">
      <c r="B101" s="38"/>
      <c r="C101" s="40" t="s">
        <v>438</v>
      </c>
      <c r="D101" s="40"/>
      <c r="E101" s="40"/>
      <c r="F101" s="40"/>
      <c r="G101" s="40"/>
      <c r="H101" s="40"/>
      <c r="I101" s="40"/>
      <c r="J101" s="252">
        <f>'Baseline Health'!G35</f>
        <v>0</v>
      </c>
      <c r="K101" s="41"/>
    </row>
    <row r="102" spans="2:14" x14ac:dyDescent="0.2">
      <c r="B102" s="38"/>
      <c r="C102" s="40" t="s">
        <v>291</v>
      </c>
      <c r="D102" s="40"/>
      <c r="E102" s="40"/>
      <c r="F102" s="40"/>
      <c r="G102" s="40"/>
      <c r="H102" s="40"/>
      <c r="I102" s="40"/>
      <c r="J102" s="264"/>
      <c r="K102" s="41"/>
    </row>
    <row r="103" spans="2:14" x14ac:dyDescent="0.2">
      <c r="B103" s="38"/>
      <c r="C103" s="40" t="s">
        <v>260</v>
      </c>
      <c r="D103" s="40"/>
      <c r="E103" s="40"/>
      <c r="F103" s="40"/>
      <c r="G103" s="40"/>
      <c r="H103" s="40"/>
      <c r="I103" s="40"/>
      <c r="J103" s="248" t="str">
        <f>IF(OR(J101=0,J101="Not Calculated")=TRUE,"Not Calculated",(IF(((J102+J101)/J101)&lt;=1,0,IF(((J102+J101)/J101)&lt;=1.05,1,IF(((J102+J101)/J101)&lt;=1.5, 2,IF(((J102+J101)/J101)&lt;=2,3,4))))))</f>
        <v>Not Calculated</v>
      </c>
      <c r="K103" s="41"/>
    </row>
    <row r="104" spans="2:14" ht="9.75" customHeight="1" x14ac:dyDescent="0.2">
      <c r="B104" s="38"/>
      <c r="C104" s="279" t="str">
        <f>"0:"</f>
        <v>0:</v>
      </c>
      <c r="D104" s="281" t="s">
        <v>918</v>
      </c>
      <c r="E104" s="40"/>
      <c r="F104" s="40"/>
      <c r="G104" s="40"/>
      <c r="H104" s="40"/>
      <c r="I104" s="40"/>
      <c r="J104" s="40"/>
      <c r="K104" s="41"/>
    </row>
    <row r="105" spans="2:14" ht="9.75" customHeight="1" x14ac:dyDescent="0.2">
      <c r="B105" s="38"/>
      <c r="C105" s="280" t="str">
        <f>"1:"</f>
        <v>1:</v>
      </c>
      <c r="D105" s="281" t="s">
        <v>919</v>
      </c>
      <c r="E105" s="40"/>
      <c r="F105" s="40"/>
      <c r="G105" s="40"/>
      <c r="H105" s="40"/>
      <c r="I105" s="40"/>
      <c r="J105" s="40"/>
      <c r="K105" s="41"/>
    </row>
    <row r="106" spans="2:14" ht="9.75" customHeight="1" x14ac:dyDescent="0.2">
      <c r="B106" s="38"/>
      <c r="C106" s="280" t="str">
        <f>"2:"</f>
        <v>2:</v>
      </c>
      <c r="D106" s="281" t="s">
        <v>920</v>
      </c>
      <c r="E106" s="40"/>
      <c r="F106" s="40"/>
      <c r="G106" s="40"/>
      <c r="H106" s="40"/>
      <c r="I106" s="40"/>
      <c r="J106" s="40"/>
      <c r="K106" s="41"/>
    </row>
    <row r="107" spans="2:14" ht="9.75" customHeight="1" x14ac:dyDescent="0.2">
      <c r="B107" s="38"/>
      <c r="C107" s="280" t="str">
        <f>"3:"</f>
        <v>3:</v>
      </c>
      <c r="D107" s="281" t="s">
        <v>921</v>
      </c>
      <c r="E107" s="40"/>
      <c r="F107" s="40"/>
      <c r="G107" s="40"/>
      <c r="H107" s="40"/>
      <c r="I107" s="40"/>
      <c r="J107" s="40"/>
      <c r="K107" s="41"/>
    </row>
    <row r="108" spans="2:14" ht="9.75" customHeight="1" x14ac:dyDescent="0.2">
      <c r="B108" s="38"/>
      <c r="C108" s="280" t="str">
        <f>"4:"</f>
        <v>4:</v>
      </c>
      <c r="D108" s="281" t="s">
        <v>922</v>
      </c>
      <c r="E108" s="40"/>
      <c r="F108" s="40"/>
      <c r="G108" s="40"/>
      <c r="H108" s="40"/>
      <c r="I108" s="40"/>
      <c r="J108" s="40"/>
      <c r="K108" s="41"/>
      <c r="N108" s="12" t="s">
        <v>661</v>
      </c>
    </row>
    <row r="109" spans="2:14" x14ac:dyDescent="0.2">
      <c r="B109" s="38"/>
      <c r="C109" s="174" t="s">
        <v>662</v>
      </c>
      <c r="D109" s="40"/>
      <c r="E109" s="40"/>
      <c r="F109" s="40"/>
      <c r="G109" s="40"/>
      <c r="H109" s="40"/>
      <c r="I109" s="40"/>
      <c r="J109" s="265" t="s">
        <v>661</v>
      </c>
      <c r="K109" s="41"/>
      <c r="N109" s="12" t="s">
        <v>894</v>
      </c>
    </row>
    <row r="110" spans="2:14" x14ac:dyDescent="0.2">
      <c r="B110" s="38"/>
      <c r="C110" s="174" t="s">
        <v>660</v>
      </c>
      <c r="D110" s="40"/>
      <c r="E110" s="40"/>
      <c r="F110" s="40"/>
      <c r="G110" s="40"/>
      <c r="H110" s="40"/>
      <c r="I110" s="40"/>
      <c r="J110" s="246" t="str">
        <f>IF(J109=N108,"N/A",IF(J109=N109,0,IF(J109=N110,1,IF(J109=N111,2,IF(J109=N112,3,IF(J109=N113,4,"N/A"))))))</f>
        <v>N/A</v>
      </c>
      <c r="K110" s="41"/>
      <c r="N110" s="12" t="s">
        <v>895</v>
      </c>
    </row>
    <row r="111" spans="2:14" x14ac:dyDescent="0.2">
      <c r="B111" s="38"/>
      <c r="C111" s="40" t="s">
        <v>257</v>
      </c>
      <c r="D111" s="40"/>
      <c r="E111" s="40"/>
      <c r="F111" s="40"/>
      <c r="G111" s="40"/>
      <c r="H111" s="40"/>
      <c r="I111" s="40"/>
      <c r="J111" s="266"/>
      <c r="K111" s="41"/>
      <c r="N111" s="12" t="s">
        <v>896</v>
      </c>
    </row>
    <row r="112" spans="2:14" x14ac:dyDescent="0.2">
      <c r="B112" s="38"/>
      <c r="C112" s="40" t="s">
        <v>261</v>
      </c>
      <c r="D112" s="40"/>
      <c r="E112" s="40"/>
      <c r="F112" s="40"/>
      <c r="G112" s="40"/>
      <c r="H112" s="40"/>
      <c r="I112" s="40"/>
      <c r="J112" s="245" t="str">
        <f>IF(J111=$B$973,$A$973,IF(J111=$B$974,$A$974,IF(J111=$B$975,$A$975,IF(J111=$B$976,$A$976,IF(J111=$B$977,$A$977,"Not Calculated")))))</f>
        <v>Not Calculated</v>
      </c>
      <c r="K112" s="41"/>
      <c r="N112" s="12" t="s">
        <v>897</v>
      </c>
    </row>
    <row r="113" spans="2:14" x14ac:dyDescent="0.2">
      <c r="B113" s="38"/>
      <c r="C113" s="40" t="s">
        <v>893</v>
      </c>
      <c r="D113" s="40"/>
      <c r="E113" s="40"/>
      <c r="F113" s="40"/>
      <c r="G113" s="40"/>
      <c r="H113" s="40"/>
      <c r="I113" s="40"/>
      <c r="J113" s="175"/>
      <c r="K113" s="41"/>
      <c r="N113" s="12" t="s">
        <v>898</v>
      </c>
    </row>
    <row r="114" spans="2:14" s="178" customFormat="1" x14ac:dyDescent="0.2">
      <c r="B114" s="176"/>
      <c r="C114" s="415"/>
      <c r="D114" s="400"/>
      <c r="E114" s="400"/>
      <c r="F114" s="400"/>
      <c r="G114" s="400"/>
      <c r="H114" s="400"/>
      <c r="I114" s="400"/>
      <c r="J114" s="401"/>
      <c r="K114" s="177"/>
    </row>
    <row r="115" spans="2:14" x14ac:dyDescent="0.2">
      <c r="B115" s="38"/>
      <c r="C115" s="40"/>
      <c r="D115" s="40"/>
      <c r="E115" s="40"/>
      <c r="F115" s="40"/>
      <c r="G115" s="40"/>
      <c r="H115" s="40"/>
      <c r="I115" s="40"/>
      <c r="J115" s="40"/>
      <c r="K115" s="41"/>
    </row>
    <row r="116" spans="2:14" x14ac:dyDescent="0.2">
      <c r="B116" s="38"/>
      <c r="C116" s="179" t="s">
        <v>266</v>
      </c>
      <c r="D116" s="40"/>
      <c r="E116" s="40"/>
      <c r="F116" s="40"/>
      <c r="G116" s="40"/>
      <c r="H116" s="40"/>
      <c r="I116" s="40"/>
      <c r="J116" s="245" t="str">
        <f>IF(J110="N/A",IF(OR(J103="Not Calculated",J112="Not Calculated")=TRUE,"Not Calculated",AVERAGE(J103,J112)),AVERAGE(J110,J112))</f>
        <v>Not Calculated</v>
      </c>
      <c r="K116" s="41"/>
    </row>
    <row r="117" spans="2:14" x14ac:dyDescent="0.2">
      <c r="B117" s="38"/>
      <c r="C117" s="40"/>
      <c r="D117" s="40"/>
      <c r="E117" s="40"/>
      <c r="F117" s="40"/>
      <c r="G117" s="40"/>
      <c r="H117" s="40"/>
      <c r="I117" s="40"/>
      <c r="J117" s="40"/>
      <c r="K117" s="41"/>
    </row>
    <row r="118" spans="2:14" x14ac:dyDescent="0.2">
      <c r="B118" s="38"/>
      <c r="C118" s="40"/>
      <c r="D118" s="40"/>
      <c r="E118" s="40"/>
      <c r="F118" s="40"/>
      <c r="G118" s="40"/>
      <c r="H118" s="40"/>
      <c r="I118" s="40"/>
      <c r="J118" s="40"/>
      <c r="K118" s="41"/>
    </row>
    <row r="119" spans="2:14" ht="16" x14ac:dyDescent="0.2">
      <c r="B119" s="38"/>
      <c r="C119" s="45" t="s">
        <v>262</v>
      </c>
      <c r="D119" s="40"/>
      <c r="E119" s="40"/>
      <c r="F119" s="40"/>
      <c r="G119" s="40"/>
      <c r="H119" s="40"/>
      <c r="I119" s="40"/>
      <c r="J119" s="40"/>
      <c r="K119" s="41"/>
    </row>
    <row r="120" spans="2:14" ht="15" customHeight="1" x14ac:dyDescent="0.2">
      <c r="B120" s="38"/>
      <c r="C120" s="422" t="s">
        <v>268</v>
      </c>
      <c r="D120" s="422"/>
      <c r="E120" s="422"/>
      <c r="F120" s="422"/>
      <c r="G120" s="422"/>
      <c r="H120" s="422"/>
      <c r="I120" s="422"/>
      <c r="J120" s="422"/>
      <c r="K120" s="41"/>
    </row>
    <row r="121" spans="2:14" x14ac:dyDescent="0.2">
      <c r="B121" s="38"/>
      <c r="C121" s="422"/>
      <c r="D121" s="422"/>
      <c r="E121" s="422"/>
      <c r="F121" s="422"/>
      <c r="G121" s="422"/>
      <c r="H121" s="422"/>
      <c r="I121" s="422"/>
      <c r="J121" s="422"/>
      <c r="K121" s="41"/>
    </row>
    <row r="122" spans="2:14" x14ac:dyDescent="0.2">
      <c r="B122" s="38"/>
      <c r="C122" s="423"/>
      <c r="D122" s="423"/>
      <c r="E122" s="423"/>
      <c r="F122" s="423"/>
      <c r="G122" s="423"/>
      <c r="H122" s="423"/>
      <c r="I122" s="423"/>
      <c r="J122" s="423"/>
      <c r="K122" s="41"/>
    </row>
    <row r="123" spans="2:14" ht="15" customHeight="1" x14ac:dyDescent="0.2">
      <c r="B123" s="38"/>
      <c r="C123" s="416"/>
      <c r="D123" s="417"/>
      <c r="E123" s="417"/>
      <c r="F123" s="417"/>
      <c r="G123" s="417"/>
      <c r="H123" s="417"/>
      <c r="I123" s="417"/>
      <c r="J123" s="418"/>
      <c r="K123" s="41"/>
    </row>
    <row r="124" spans="2:14" x14ac:dyDescent="0.2">
      <c r="B124" s="38"/>
      <c r="C124" s="419"/>
      <c r="D124" s="420"/>
      <c r="E124" s="420"/>
      <c r="F124" s="420"/>
      <c r="G124" s="420"/>
      <c r="H124" s="420"/>
      <c r="I124" s="420"/>
      <c r="J124" s="421"/>
      <c r="K124" s="41"/>
    </row>
    <row r="125" spans="2:14" ht="15" customHeight="1" x14ac:dyDescent="0.2">
      <c r="B125" s="38"/>
      <c r="C125" s="40" t="s">
        <v>260</v>
      </c>
      <c r="D125" s="40"/>
      <c r="E125" s="40"/>
      <c r="F125" s="40"/>
      <c r="G125" s="40"/>
      <c r="H125" s="40"/>
      <c r="I125" s="40"/>
      <c r="J125" s="247" t="str">
        <f>IF(C123=B987,A987,IF(C123=B988,A988,IF(C123=B989,A989,IF(C123=B990,A990,IF(C123=B991,A991,"Not Calculated")))))</f>
        <v>Not Calculated</v>
      </c>
      <c r="K125" s="41"/>
    </row>
    <row r="126" spans="2:14" ht="15" customHeight="1" x14ac:dyDescent="0.2">
      <c r="B126" s="38"/>
      <c r="C126" s="40" t="s">
        <v>257</v>
      </c>
      <c r="D126" s="40"/>
      <c r="E126" s="40"/>
      <c r="F126" s="40"/>
      <c r="G126" s="40"/>
      <c r="H126" s="40"/>
      <c r="I126" s="40"/>
      <c r="J126" s="266"/>
      <c r="K126" s="41"/>
    </row>
    <row r="127" spans="2:14" x14ac:dyDescent="0.2">
      <c r="B127" s="38"/>
      <c r="C127" s="40" t="s">
        <v>261</v>
      </c>
      <c r="D127" s="40"/>
      <c r="E127" s="40"/>
      <c r="F127" s="40"/>
      <c r="G127" s="40"/>
      <c r="H127" s="40"/>
      <c r="I127" s="40"/>
      <c r="J127" s="245" t="str">
        <f>IF(J126=$B$973,$A$973,IF(J126=$B$974,$A$974,IF(J126=$B$975,$A$975,IF(J126=$B$976,$A$976,IF(J126=$B$977,$A$977,"Not Calculated")))))</f>
        <v>Not Calculated</v>
      </c>
      <c r="K127" s="41"/>
    </row>
    <row r="128" spans="2:14" ht="15" customHeight="1" x14ac:dyDescent="0.2">
      <c r="B128" s="38"/>
      <c r="C128" s="40" t="s">
        <v>893</v>
      </c>
      <c r="D128" s="40"/>
      <c r="E128" s="40"/>
      <c r="F128" s="40"/>
      <c r="G128" s="40"/>
      <c r="H128" s="40"/>
      <c r="I128" s="40"/>
      <c r="J128" s="175"/>
      <c r="K128" s="41"/>
    </row>
    <row r="129" spans="2:11" s="178" customFormat="1" ht="15" customHeight="1" x14ac:dyDescent="0.2">
      <c r="B129" s="176"/>
      <c r="C129" s="415"/>
      <c r="D129" s="400"/>
      <c r="E129" s="400"/>
      <c r="F129" s="400"/>
      <c r="G129" s="400"/>
      <c r="H129" s="400"/>
      <c r="I129" s="400"/>
      <c r="J129" s="401"/>
      <c r="K129" s="177"/>
    </row>
    <row r="130" spans="2:11" x14ac:dyDescent="0.2">
      <c r="B130" s="38"/>
      <c r="C130" s="40"/>
      <c r="D130" s="40"/>
      <c r="E130" s="40"/>
      <c r="F130" s="40"/>
      <c r="G130" s="40"/>
      <c r="H130" s="40"/>
      <c r="I130" s="40"/>
      <c r="J130" s="40"/>
      <c r="K130" s="41"/>
    </row>
    <row r="131" spans="2:11" x14ac:dyDescent="0.2">
      <c r="B131" s="38"/>
      <c r="C131" s="179" t="s">
        <v>267</v>
      </c>
      <c r="D131" s="40"/>
      <c r="E131" s="40"/>
      <c r="F131" s="40"/>
      <c r="G131" s="40"/>
      <c r="H131" s="40"/>
      <c r="I131" s="40"/>
      <c r="J131" s="245" t="str">
        <f>IF(OR(J125="Not Calculated",J127="Not Calculated")=TRUE,"Not Calculated",AVERAGE(J125,J127))</f>
        <v>Not Calculated</v>
      </c>
      <c r="K131" s="41"/>
    </row>
    <row r="132" spans="2:11" x14ac:dyDescent="0.2">
      <c r="B132" s="38"/>
      <c r="C132" s="179"/>
      <c r="D132" s="40"/>
      <c r="E132" s="40"/>
      <c r="F132" s="40"/>
      <c r="G132" s="40"/>
      <c r="H132" s="40"/>
      <c r="I132" s="40"/>
      <c r="J132" s="245"/>
      <c r="K132" s="41"/>
    </row>
    <row r="133" spans="2:11" ht="18" x14ac:dyDescent="0.2">
      <c r="B133" s="38"/>
      <c r="C133" s="180" t="s">
        <v>269</v>
      </c>
      <c r="D133" s="40"/>
      <c r="E133" s="40"/>
      <c r="F133" s="40"/>
      <c r="G133" s="40"/>
      <c r="H133" s="40"/>
      <c r="I133" s="40"/>
      <c r="J133" s="244" t="str">
        <f>IF(OR(J40="Not Calculated",J59="Not Calculated",J78="Not Calculated",J97="Not Calculated",J116="Not Calculated",J131="Not Calculated",)=TRUE,"Not Calculated",AVERAGE(J40,J59,J78,J97,J116,J131))</f>
        <v>Not Calculated</v>
      </c>
      <c r="K133" s="41"/>
    </row>
    <row r="134" spans="2:11" ht="16" thickBot="1" x14ac:dyDescent="0.25">
      <c r="B134" s="46"/>
      <c r="C134" s="47"/>
      <c r="D134" s="47"/>
      <c r="E134" s="47"/>
      <c r="F134" s="47"/>
      <c r="G134" s="47"/>
      <c r="H134" s="47"/>
      <c r="I134" s="47"/>
      <c r="J134" s="47"/>
      <c r="K134" s="49"/>
    </row>
    <row r="135" spans="2:11" ht="16" thickBot="1" x14ac:dyDescent="0.25"/>
    <row r="136" spans="2:11" x14ac:dyDescent="0.2">
      <c r="B136" s="33"/>
      <c r="C136" s="34"/>
      <c r="D136" s="34"/>
      <c r="E136" s="34"/>
      <c r="F136" s="34"/>
      <c r="G136" s="34"/>
      <c r="H136" s="34"/>
      <c r="I136" s="34"/>
      <c r="J136" s="34"/>
      <c r="K136" s="37"/>
    </row>
    <row r="137" spans="2:11" ht="21" x14ac:dyDescent="0.25">
      <c r="B137" s="38"/>
      <c r="C137" s="171"/>
      <c r="D137" s="40"/>
      <c r="E137" s="40"/>
      <c r="F137" s="40"/>
      <c r="G137" s="172" t="s">
        <v>27</v>
      </c>
      <c r="H137" s="40"/>
      <c r="I137" s="40"/>
      <c r="J137" s="40"/>
      <c r="K137" s="41"/>
    </row>
    <row r="138" spans="2:11" x14ac:dyDescent="0.2">
      <c r="B138" s="38"/>
      <c r="C138" s="40"/>
      <c r="D138" s="40"/>
      <c r="E138" s="40"/>
      <c r="F138" s="40"/>
      <c r="G138" s="40"/>
      <c r="H138" s="40"/>
      <c r="I138" s="40"/>
      <c r="J138" s="40"/>
      <c r="K138" s="41"/>
    </row>
    <row r="139" spans="2:11" ht="16" x14ac:dyDescent="0.2">
      <c r="B139" s="38"/>
      <c r="C139" s="45" t="s">
        <v>72</v>
      </c>
      <c r="D139" s="40"/>
      <c r="E139" s="40"/>
      <c r="F139" s="40"/>
      <c r="G139" s="40"/>
      <c r="H139" s="40"/>
      <c r="I139" s="40"/>
      <c r="J139" s="40"/>
      <c r="K139" s="41"/>
    </row>
    <row r="140" spans="2:11" x14ac:dyDescent="0.2">
      <c r="B140" s="38"/>
      <c r="C140" s="40" t="s">
        <v>440</v>
      </c>
      <c r="D140" s="40"/>
      <c r="E140" s="40"/>
      <c r="F140" s="40"/>
      <c r="G140" s="40"/>
      <c r="H140" s="40"/>
      <c r="I140" s="40"/>
      <c r="J140" s="252">
        <f>'Baseline Health'!G45</f>
        <v>0</v>
      </c>
      <c r="K140" s="41"/>
    </row>
    <row r="141" spans="2:11" x14ac:dyDescent="0.2">
      <c r="B141" s="38"/>
      <c r="C141" s="40" t="s">
        <v>270</v>
      </c>
      <c r="D141" s="40"/>
      <c r="E141" s="40"/>
      <c r="F141" s="40"/>
      <c r="G141" s="40"/>
      <c r="H141" s="40"/>
      <c r="I141" s="40"/>
      <c r="J141" s="264"/>
      <c r="K141" s="41"/>
    </row>
    <row r="142" spans="2:11" x14ac:dyDescent="0.2">
      <c r="B142" s="38"/>
      <c r="C142" s="40" t="s">
        <v>439</v>
      </c>
      <c r="D142" s="40"/>
      <c r="E142" s="40"/>
      <c r="F142" s="40"/>
      <c r="G142" s="40"/>
      <c r="H142" s="40"/>
      <c r="I142" s="40"/>
      <c r="J142" s="251">
        <f>J83/20</f>
        <v>0</v>
      </c>
      <c r="K142" s="41"/>
    </row>
    <row r="143" spans="2:11" x14ac:dyDescent="0.2">
      <c r="B143" s="38"/>
      <c r="C143" s="40"/>
      <c r="D143" s="40" t="s">
        <v>351</v>
      </c>
      <c r="E143" s="40"/>
      <c r="F143" s="40"/>
      <c r="G143" s="40"/>
      <c r="H143" s="40"/>
      <c r="I143" s="40"/>
      <c r="J143" s="40"/>
      <c r="K143" s="41"/>
    </row>
    <row r="144" spans="2:11" x14ac:dyDescent="0.2">
      <c r="B144" s="38"/>
      <c r="C144" s="40" t="s">
        <v>260</v>
      </c>
      <c r="D144" s="40"/>
      <c r="E144" s="40"/>
      <c r="F144" s="40"/>
      <c r="G144" s="40"/>
      <c r="H144" s="40"/>
      <c r="I144" s="40"/>
      <c r="J144" s="245" t="str">
        <f>IF(OR(J140=0,J140="Not Calculated")=TRUE,"Not Calculated",IF((J140-J141)&lt;=0,4,IF(((J140+J142)/(J140-J141))&lt;=1,0,IF(((J140+J142)/(J140-J141))&lt;=1.05,1,IF(((J140+J142)/(J140-J141))&lt;=1.5, 2,IF(((J140+J142)/(J140-J141))&lt;=2,3,4))))))</f>
        <v>Not Calculated</v>
      </c>
      <c r="K144" s="41"/>
    </row>
    <row r="145" spans="2:14" ht="9.75" customHeight="1" x14ac:dyDescent="0.2">
      <c r="B145" s="38"/>
      <c r="C145" s="279" t="str">
        <f>"0:"</f>
        <v>0:</v>
      </c>
      <c r="D145" s="278" t="s">
        <v>918</v>
      </c>
      <c r="E145" s="40"/>
      <c r="F145" s="40"/>
      <c r="G145" s="40"/>
      <c r="H145" s="40"/>
      <c r="I145" s="40"/>
      <c r="J145" s="40"/>
      <c r="K145" s="41"/>
    </row>
    <row r="146" spans="2:14" ht="9.75" customHeight="1" x14ac:dyDescent="0.2">
      <c r="B146" s="38"/>
      <c r="C146" s="280" t="str">
        <f>"1:"</f>
        <v>1:</v>
      </c>
      <c r="D146" s="278" t="s">
        <v>923</v>
      </c>
      <c r="E146" s="40"/>
      <c r="F146" s="40"/>
      <c r="G146" s="40"/>
      <c r="H146" s="40"/>
      <c r="I146" s="40"/>
      <c r="J146" s="40"/>
      <c r="K146" s="41"/>
    </row>
    <row r="147" spans="2:14" ht="9.75" customHeight="1" x14ac:dyDescent="0.2">
      <c r="B147" s="38"/>
      <c r="C147" s="280" t="str">
        <f>"2:"</f>
        <v>2:</v>
      </c>
      <c r="D147" s="278" t="s">
        <v>924</v>
      </c>
      <c r="E147" s="40"/>
      <c r="F147" s="40"/>
      <c r="G147" s="40"/>
      <c r="H147" s="40"/>
      <c r="I147" s="40"/>
      <c r="J147" s="40"/>
      <c r="K147" s="41"/>
    </row>
    <row r="148" spans="2:14" ht="9.75" customHeight="1" x14ac:dyDescent="0.2">
      <c r="B148" s="38"/>
      <c r="C148" s="280" t="str">
        <f>"3:"</f>
        <v>3:</v>
      </c>
      <c r="D148" s="278" t="s">
        <v>925</v>
      </c>
      <c r="E148" s="40"/>
      <c r="F148" s="40"/>
      <c r="G148" s="40"/>
      <c r="H148" s="40"/>
      <c r="I148" s="40"/>
      <c r="J148" s="40"/>
      <c r="K148" s="41"/>
    </row>
    <row r="149" spans="2:14" ht="9.75" customHeight="1" x14ac:dyDescent="0.2">
      <c r="B149" s="38"/>
      <c r="C149" s="280" t="str">
        <f>"4:"</f>
        <v>4:</v>
      </c>
      <c r="D149" s="278" t="s">
        <v>926</v>
      </c>
      <c r="E149" s="40"/>
      <c r="F149" s="40"/>
      <c r="G149" s="40"/>
      <c r="H149" s="40"/>
      <c r="I149" s="40"/>
      <c r="J149" s="40"/>
      <c r="K149" s="41"/>
      <c r="N149" s="12" t="s">
        <v>661</v>
      </c>
    </row>
    <row r="150" spans="2:14" x14ac:dyDescent="0.2">
      <c r="B150" s="38"/>
      <c r="C150" s="174" t="s">
        <v>662</v>
      </c>
      <c r="D150" s="40"/>
      <c r="E150" s="40"/>
      <c r="F150" s="40"/>
      <c r="G150" s="40"/>
      <c r="H150" s="40"/>
      <c r="I150" s="40"/>
      <c r="J150" s="265" t="s">
        <v>661</v>
      </c>
      <c r="K150" s="41"/>
      <c r="N150" s="12" t="s">
        <v>894</v>
      </c>
    </row>
    <row r="151" spans="2:14" x14ac:dyDescent="0.2">
      <c r="B151" s="38"/>
      <c r="C151" s="174" t="s">
        <v>660</v>
      </c>
      <c r="D151" s="40"/>
      <c r="E151" s="40"/>
      <c r="F151" s="40"/>
      <c r="G151" s="40"/>
      <c r="H151" s="40"/>
      <c r="I151" s="40"/>
      <c r="J151" s="246" t="str">
        <f>IF(J150=N149,"N/A",IF(J150=N150,0,IF(J150=N151,1,IF(J150=N152,2,IF(J150=N153,3,IF(J150=N154,4,"N/A"))))))</f>
        <v>N/A</v>
      </c>
      <c r="K151" s="41"/>
      <c r="N151" s="12" t="s">
        <v>899</v>
      </c>
    </row>
    <row r="152" spans="2:14" x14ac:dyDescent="0.2">
      <c r="B152" s="38"/>
      <c r="C152" s="40" t="s">
        <v>257</v>
      </c>
      <c r="D152" s="40"/>
      <c r="E152" s="40"/>
      <c r="F152" s="40"/>
      <c r="G152" s="40"/>
      <c r="H152" s="40"/>
      <c r="I152" s="40"/>
      <c r="J152" s="266"/>
      <c r="K152" s="41"/>
      <c r="N152" s="12" t="s">
        <v>900</v>
      </c>
    </row>
    <row r="153" spans="2:14" x14ac:dyDescent="0.2">
      <c r="B153" s="38"/>
      <c r="C153" s="40" t="s">
        <v>261</v>
      </c>
      <c r="D153" s="40"/>
      <c r="E153" s="40"/>
      <c r="F153" s="40"/>
      <c r="G153" s="40"/>
      <c r="H153" s="40"/>
      <c r="I153" s="40"/>
      <c r="J153" s="245" t="str">
        <f>IF(J152=$B$973,$A$973,IF(J152=$B$974,$A$974,IF(J152=$B$975,$A$975,IF(J152=$B$976,$A$976,IF(J152=$B$977,$A$977,"Not Calculated")))))</f>
        <v>Not Calculated</v>
      </c>
      <c r="K153" s="41"/>
      <c r="N153" s="12" t="s">
        <v>901</v>
      </c>
    </row>
    <row r="154" spans="2:14" x14ac:dyDescent="0.2">
      <c r="B154" s="38"/>
      <c r="C154" s="40" t="s">
        <v>893</v>
      </c>
      <c r="D154" s="40"/>
      <c r="E154" s="40"/>
      <c r="F154" s="40"/>
      <c r="G154" s="40"/>
      <c r="H154" s="40"/>
      <c r="I154" s="40"/>
      <c r="J154" s="40"/>
      <c r="K154" s="41"/>
      <c r="N154" s="12" t="s">
        <v>902</v>
      </c>
    </row>
    <row r="155" spans="2:14" ht="15" customHeight="1" x14ac:dyDescent="0.2">
      <c r="B155" s="38"/>
      <c r="C155" s="399"/>
      <c r="D155" s="400"/>
      <c r="E155" s="400"/>
      <c r="F155" s="400"/>
      <c r="G155" s="400"/>
      <c r="H155" s="400"/>
      <c r="I155" s="400"/>
      <c r="J155" s="401"/>
      <c r="K155" s="41"/>
    </row>
    <row r="156" spans="2:14" x14ac:dyDescent="0.2">
      <c r="B156" s="38"/>
      <c r="C156" s="40"/>
      <c r="D156" s="40"/>
      <c r="E156" s="40"/>
      <c r="F156" s="40"/>
      <c r="G156" s="40"/>
      <c r="H156" s="40"/>
      <c r="I156" s="40"/>
      <c r="J156" s="40"/>
      <c r="K156" s="41"/>
    </row>
    <row r="157" spans="2:14" x14ac:dyDescent="0.2">
      <c r="B157" s="38"/>
      <c r="C157" s="179" t="s">
        <v>271</v>
      </c>
      <c r="D157" s="40"/>
      <c r="E157" s="40"/>
      <c r="F157" s="40"/>
      <c r="G157" s="40"/>
      <c r="H157" s="40"/>
      <c r="I157" s="40"/>
      <c r="J157" s="245" t="str">
        <f>IF(J151="N/A",IF(OR(J144="Not Calculated",J153="Not Calculated")=TRUE,"Not Calculated",AVERAGE(J144,J153)),AVERAGE(J151,J153))</f>
        <v>Not Calculated</v>
      </c>
      <c r="K157" s="41"/>
    </row>
    <row r="158" spans="2:14" x14ac:dyDescent="0.2">
      <c r="B158" s="38"/>
      <c r="C158" s="40"/>
      <c r="D158" s="40"/>
      <c r="E158" s="40"/>
      <c r="F158" s="40"/>
      <c r="G158" s="40"/>
      <c r="H158" s="40"/>
      <c r="I158" s="40"/>
      <c r="J158" s="40"/>
      <c r="K158" s="41"/>
    </row>
    <row r="159" spans="2:14" x14ac:dyDescent="0.2">
      <c r="B159" s="38"/>
      <c r="C159" s="40"/>
      <c r="D159" s="40"/>
      <c r="E159" s="40"/>
      <c r="F159" s="40"/>
      <c r="G159" s="40"/>
      <c r="H159" s="40"/>
      <c r="I159" s="40"/>
      <c r="J159" s="40"/>
      <c r="K159" s="41"/>
    </row>
    <row r="160" spans="2:14" ht="16" x14ac:dyDescent="0.2">
      <c r="B160" s="38"/>
      <c r="C160" s="45" t="s">
        <v>273</v>
      </c>
      <c r="D160" s="40"/>
      <c r="E160" s="40"/>
      <c r="F160" s="40"/>
      <c r="G160" s="40"/>
      <c r="H160" s="40"/>
      <c r="I160" s="40"/>
      <c r="J160" s="40"/>
      <c r="K160" s="41"/>
    </row>
    <row r="161" spans="2:14" x14ac:dyDescent="0.2">
      <c r="B161" s="38"/>
      <c r="C161" s="40" t="s">
        <v>441</v>
      </c>
      <c r="D161" s="40"/>
      <c r="E161" s="40"/>
      <c r="F161" s="40"/>
      <c r="G161" s="40"/>
      <c r="H161" s="40"/>
      <c r="I161" s="40"/>
      <c r="J161" s="252">
        <f>'Baseline Health'!G51</f>
        <v>0</v>
      </c>
      <c r="K161" s="41"/>
    </row>
    <row r="162" spans="2:14" x14ac:dyDescent="0.2">
      <c r="B162" s="38"/>
      <c r="C162" s="40" t="s">
        <v>280</v>
      </c>
      <c r="D162" s="40"/>
      <c r="E162" s="40"/>
      <c r="F162" s="40"/>
      <c r="G162" s="40"/>
      <c r="H162" s="40"/>
      <c r="I162" s="40"/>
      <c r="J162" s="264"/>
      <c r="K162" s="41"/>
    </row>
    <row r="163" spans="2:14" x14ac:dyDescent="0.2">
      <c r="B163" s="38"/>
      <c r="C163" s="40" t="s">
        <v>442</v>
      </c>
      <c r="D163" s="40"/>
      <c r="E163" s="40"/>
      <c r="F163" s="40"/>
      <c r="G163" s="40"/>
      <c r="H163" s="40"/>
      <c r="I163" s="40"/>
      <c r="J163" s="251">
        <f>(J64)/4.5</f>
        <v>0</v>
      </c>
      <c r="K163" s="41"/>
    </row>
    <row r="164" spans="2:14" x14ac:dyDescent="0.2">
      <c r="B164" s="38"/>
      <c r="C164" s="40"/>
      <c r="D164" s="40" t="s">
        <v>353</v>
      </c>
      <c r="E164" s="40"/>
      <c r="F164" s="40"/>
      <c r="G164" s="40"/>
      <c r="H164" s="40"/>
      <c r="I164" s="40"/>
      <c r="J164" s="40"/>
      <c r="K164" s="41"/>
    </row>
    <row r="165" spans="2:14" x14ac:dyDescent="0.2">
      <c r="B165" s="38"/>
      <c r="C165" s="40" t="s">
        <v>260</v>
      </c>
      <c r="D165" s="40"/>
      <c r="E165" s="40"/>
      <c r="F165" s="40"/>
      <c r="G165" s="40"/>
      <c r="H165" s="40"/>
      <c r="I165" s="40"/>
      <c r="J165" s="245" t="str">
        <f>IF(OR(J161=0,J161="Not Calculated")=TRUE,"Not Calculated",IF((J161-J162)&lt;=0,4,IF(((J161+J163)/(J161-J162))&lt;=1,0,IF(((J161+J163)/(J161-J162))&lt;=1.05,1,IF(((J161+J163)/(J161-J162))&lt;=1.5, 2,IF(((J161+J163)/(J161-J162))&lt;=2,3,4))))))</f>
        <v>Not Calculated</v>
      </c>
      <c r="K165" s="41"/>
    </row>
    <row r="166" spans="2:14" ht="9.75" customHeight="1" x14ac:dyDescent="0.2">
      <c r="B166" s="38"/>
      <c r="C166" s="279" t="str">
        <f>"0:"</f>
        <v>0:</v>
      </c>
      <c r="D166" s="278" t="s">
        <v>918</v>
      </c>
      <c r="E166" s="40"/>
      <c r="F166" s="40"/>
      <c r="G166" s="40"/>
      <c r="H166" s="40"/>
      <c r="I166" s="40"/>
      <c r="J166" s="40"/>
      <c r="K166" s="41"/>
    </row>
    <row r="167" spans="2:14" ht="9.75" customHeight="1" x14ac:dyDescent="0.2">
      <c r="B167" s="38"/>
      <c r="C167" s="280" t="str">
        <f>"1:"</f>
        <v>1:</v>
      </c>
      <c r="D167" s="278" t="s">
        <v>923</v>
      </c>
      <c r="E167" s="40"/>
      <c r="F167" s="40"/>
      <c r="G167" s="40"/>
      <c r="H167" s="40"/>
      <c r="I167" s="40"/>
      <c r="J167" s="40"/>
      <c r="K167" s="41"/>
    </row>
    <row r="168" spans="2:14" ht="9.75" customHeight="1" x14ac:dyDescent="0.2">
      <c r="B168" s="38"/>
      <c r="C168" s="280" t="str">
        <f>"2:"</f>
        <v>2:</v>
      </c>
      <c r="D168" s="278" t="s">
        <v>924</v>
      </c>
      <c r="E168" s="40"/>
      <c r="F168" s="40"/>
      <c r="G168" s="40"/>
      <c r="H168" s="40"/>
      <c r="I168" s="40"/>
      <c r="J168" s="40"/>
      <c r="K168" s="41"/>
    </row>
    <row r="169" spans="2:14" ht="9.75" customHeight="1" x14ac:dyDescent="0.2">
      <c r="B169" s="38"/>
      <c r="C169" s="280" t="str">
        <f>"3:"</f>
        <v>3:</v>
      </c>
      <c r="D169" s="278" t="s">
        <v>925</v>
      </c>
      <c r="E169" s="40"/>
      <c r="F169" s="40"/>
      <c r="G169" s="40"/>
      <c r="H169" s="40"/>
      <c r="I169" s="40"/>
      <c r="J169" s="40"/>
      <c r="K169" s="41"/>
    </row>
    <row r="170" spans="2:14" ht="9.75" customHeight="1" x14ac:dyDescent="0.2">
      <c r="B170" s="38"/>
      <c r="C170" s="280" t="str">
        <f>"4:"</f>
        <v>4:</v>
      </c>
      <c r="D170" s="278" t="s">
        <v>926</v>
      </c>
      <c r="E170" s="40"/>
      <c r="F170" s="40"/>
      <c r="G170" s="40"/>
      <c r="H170" s="40"/>
      <c r="I170" s="40"/>
      <c r="J170" s="40"/>
      <c r="K170" s="41"/>
      <c r="N170" s="12" t="s">
        <v>661</v>
      </c>
    </row>
    <row r="171" spans="2:14" x14ac:dyDescent="0.2">
      <c r="B171" s="38"/>
      <c r="C171" s="174" t="s">
        <v>662</v>
      </c>
      <c r="D171" s="40"/>
      <c r="E171" s="40"/>
      <c r="F171" s="40"/>
      <c r="G171" s="40"/>
      <c r="H171" s="40"/>
      <c r="I171" s="40"/>
      <c r="J171" s="265" t="s">
        <v>661</v>
      </c>
      <c r="K171" s="41"/>
      <c r="N171" s="12" t="s">
        <v>894</v>
      </c>
    </row>
    <row r="172" spans="2:14" x14ac:dyDescent="0.2">
      <c r="B172" s="38"/>
      <c r="C172" s="174" t="s">
        <v>660</v>
      </c>
      <c r="D172" s="40"/>
      <c r="E172" s="40"/>
      <c r="F172" s="40"/>
      <c r="G172" s="40"/>
      <c r="H172" s="40"/>
      <c r="I172" s="40"/>
      <c r="J172" s="246" t="str">
        <f>IF(J171=N170,"N/A",IF(J171=N171,0,IF(J171=N172,1,IF(J171=N173,2,IF(J171=N174,3,IF(J171=N175,4,"N/A"))))))</f>
        <v>N/A</v>
      </c>
      <c r="K172" s="41"/>
      <c r="N172" s="12" t="s">
        <v>899</v>
      </c>
    </row>
    <row r="173" spans="2:14" x14ac:dyDescent="0.2">
      <c r="B173" s="38"/>
      <c r="C173" s="40" t="s">
        <v>257</v>
      </c>
      <c r="D173" s="40"/>
      <c r="E173" s="40"/>
      <c r="F173" s="40"/>
      <c r="G173" s="40"/>
      <c r="H173" s="40"/>
      <c r="I173" s="40"/>
      <c r="J173" s="266"/>
      <c r="K173" s="41"/>
      <c r="N173" s="12" t="s">
        <v>900</v>
      </c>
    </row>
    <row r="174" spans="2:14" x14ac:dyDescent="0.2">
      <c r="B174" s="38"/>
      <c r="C174" s="40" t="s">
        <v>261</v>
      </c>
      <c r="D174" s="40"/>
      <c r="E174" s="40"/>
      <c r="F174" s="40"/>
      <c r="G174" s="40"/>
      <c r="H174" s="40"/>
      <c r="I174" s="40"/>
      <c r="J174" s="245" t="str">
        <f>IF(J173=$B$973,$A$973,IF(J173=$B$974,$A$974,IF(J173=$B$975,$A$975,IF(J173=$B$976,$A$976,IF(J173=$B$977,$A$977,"Not Calculated")))))</f>
        <v>Not Calculated</v>
      </c>
      <c r="K174" s="41"/>
      <c r="N174" s="12" t="s">
        <v>901</v>
      </c>
    </row>
    <row r="175" spans="2:14" x14ac:dyDescent="0.2">
      <c r="B175" s="38"/>
      <c r="C175" s="40" t="s">
        <v>893</v>
      </c>
      <c r="D175" s="40"/>
      <c r="E175" s="40"/>
      <c r="F175" s="40"/>
      <c r="G175" s="40"/>
      <c r="H175" s="40"/>
      <c r="I175" s="40"/>
      <c r="J175" s="40"/>
      <c r="K175" s="41"/>
      <c r="N175" s="12" t="s">
        <v>902</v>
      </c>
    </row>
    <row r="176" spans="2:14" ht="15" customHeight="1" x14ac:dyDescent="0.2">
      <c r="B176" s="38"/>
      <c r="C176" s="399"/>
      <c r="D176" s="400"/>
      <c r="E176" s="400"/>
      <c r="F176" s="400"/>
      <c r="G176" s="400"/>
      <c r="H176" s="400"/>
      <c r="I176" s="400"/>
      <c r="J176" s="401"/>
      <c r="K176" s="41"/>
    </row>
    <row r="177" spans="2:14" x14ac:dyDescent="0.2">
      <c r="B177" s="38"/>
      <c r="C177" s="40"/>
      <c r="D177" s="40"/>
      <c r="E177" s="40"/>
      <c r="F177" s="40"/>
      <c r="G177" s="40"/>
      <c r="H177" s="40"/>
      <c r="I177" s="40"/>
      <c r="J177" s="40"/>
      <c r="K177" s="41"/>
    </row>
    <row r="178" spans="2:14" x14ac:dyDescent="0.2">
      <c r="B178" s="38"/>
      <c r="C178" s="179" t="s">
        <v>274</v>
      </c>
      <c r="D178" s="40"/>
      <c r="E178" s="40"/>
      <c r="F178" s="40"/>
      <c r="G178" s="40"/>
      <c r="H178" s="40"/>
      <c r="I178" s="40"/>
      <c r="J178" s="245" t="str">
        <f>IF(J172="N/A",IF(OR(J165="Not Calculated",J174="Not Calculated")=TRUE,"Not Calculated",AVERAGE(J165,J174)),AVERAGE(J172,J174))</f>
        <v>Not Calculated</v>
      </c>
      <c r="K178" s="41"/>
    </row>
    <row r="179" spans="2:14" x14ac:dyDescent="0.2">
      <c r="B179" s="38"/>
      <c r="C179" s="40"/>
      <c r="D179" s="40"/>
      <c r="E179" s="40"/>
      <c r="F179" s="40"/>
      <c r="G179" s="40"/>
      <c r="H179" s="40"/>
      <c r="I179" s="40"/>
      <c r="J179" s="40"/>
      <c r="K179" s="41"/>
    </row>
    <row r="180" spans="2:14" x14ac:dyDescent="0.2">
      <c r="B180" s="38"/>
      <c r="C180" s="40"/>
      <c r="D180" s="40"/>
      <c r="E180" s="40"/>
      <c r="F180" s="40"/>
      <c r="G180" s="40"/>
      <c r="H180" s="40"/>
      <c r="I180" s="40"/>
      <c r="J180" s="40"/>
      <c r="K180" s="41"/>
    </row>
    <row r="181" spans="2:14" ht="16" x14ac:dyDescent="0.2">
      <c r="B181" s="38"/>
      <c r="C181" s="45" t="s">
        <v>74</v>
      </c>
      <c r="D181" s="40"/>
      <c r="E181" s="40"/>
      <c r="F181" s="40"/>
      <c r="G181" s="40"/>
      <c r="H181" s="40"/>
      <c r="I181" s="40"/>
      <c r="J181" s="40"/>
      <c r="K181" s="41"/>
    </row>
    <row r="182" spans="2:14" x14ac:dyDescent="0.2">
      <c r="B182" s="38"/>
      <c r="C182" s="40" t="s">
        <v>443</v>
      </c>
      <c r="D182" s="40"/>
      <c r="E182" s="40"/>
      <c r="F182" s="40"/>
      <c r="G182" s="40"/>
      <c r="H182" s="40"/>
      <c r="I182" s="40"/>
      <c r="J182" s="252">
        <f>'Baseline Health'!G59</f>
        <v>0</v>
      </c>
      <c r="K182" s="41"/>
    </row>
    <row r="183" spans="2:14" x14ac:dyDescent="0.2">
      <c r="B183" s="38"/>
      <c r="C183" s="40" t="s">
        <v>281</v>
      </c>
      <c r="D183" s="40"/>
      <c r="E183" s="40"/>
      <c r="F183" s="40"/>
      <c r="G183" s="40"/>
      <c r="H183" s="40"/>
      <c r="I183" s="40"/>
      <c r="J183" s="264"/>
      <c r="K183" s="41"/>
    </row>
    <row r="184" spans="2:14" x14ac:dyDescent="0.2">
      <c r="B184" s="38"/>
      <c r="C184" s="40" t="s">
        <v>354</v>
      </c>
      <c r="D184" s="40"/>
      <c r="E184" s="40"/>
      <c r="F184" s="40"/>
      <c r="G184" s="40"/>
      <c r="H184" s="40"/>
      <c r="I184" s="40"/>
      <c r="J184" s="264"/>
      <c r="K184" s="41"/>
    </row>
    <row r="185" spans="2:14" x14ac:dyDescent="0.2">
      <c r="B185" s="38"/>
      <c r="C185" s="40" t="s">
        <v>260</v>
      </c>
      <c r="D185" s="40"/>
      <c r="E185" s="40"/>
      <c r="F185" s="40"/>
      <c r="G185" s="40"/>
      <c r="H185" s="40"/>
      <c r="I185" s="40"/>
      <c r="J185" s="245" t="str">
        <f>IF(OR(J182=0,J182="Not Calculated")=TRUE,"Not Calculated",IF(J182-J183=0,4,IF(((J182+J184)/(J182-J183))&lt;=1,0,IF(((J182+J184)/(J182-J183))&lt;=1.05,1,IF(((J182+J184)/(J182-J183))&lt;=1.5, 2,IF(((J182+J184)/(J182-J183))&lt;=2,3,4))))))</f>
        <v>Not Calculated</v>
      </c>
      <c r="K185" s="41"/>
    </row>
    <row r="186" spans="2:14" ht="9.75" customHeight="1" x14ac:dyDescent="0.2">
      <c r="B186" s="38"/>
      <c r="C186" s="279" t="str">
        <f>"0:"</f>
        <v>0:</v>
      </c>
      <c r="D186" s="278" t="s">
        <v>918</v>
      </c>
      <c r="E186" s="40"/>
      <c r="F186" s="40"/>
      <c r="G186" s="40"/>
      <c r="H186" s="40"/>
      <c r="I186" s="40"/>
      <c r="J186" s="40"/>
      <c r="K186" s="41"/>
    </row>
    <row r="187" spans="2:14" ht="9.75" customHeight="1" x14ac:dyDescent="0.2">
      <c r="B187" s="38"/>
      <c r="C187" s="280" t="str">
        <f>"1:"</f>
        <v>1:</v>
      </c>
      <c r="D187" s="278" t="s">
        <v>923</v>
      </c>
      <c r="E187" s="40"/>
      <c r="F187" s="40"/>
      <c r="G187" s="40"/>
      <c r="H187" s="40"/>
      <c r="I187" s="40"/>
      <c r="J187" s="40"/>
      <c r="K187" s="41"/>
    </row>
    <row r="188" spans="2:14" ht="9.75" customHeight="1" x14ac:dyDescent="0.2">
      <c r="B188" s="38"/>
      <c r="C188" s="280" t="str">
        <f>"2:"</f>
        <v>2:</v>
      </c>
      <c r="D188" s="278" t="s">
        <v>924</v>
      </c>
      <c r="E188" s="40"/>
      <c r="F188" s="40"/>
      <c r="G188" s="40"/>
      <c r="H188" s="40"/>
      <c r="I188" s="40"/>
      <c r="J188" s="40"/>
      <c r="K188" s="41"/>
    </row>
    <row r="189" spans="2:14" ht="9.75" customHeight="1" x14ac:dyDescent="0.2">
      <c r="B189" s="38"/>
      <c r="C189" s="280" t="str">
        <f>"3:"</f>
        <v>3:</v>
      </c>
      <c r="D189" s="278" t="s">
        <v>925</v>
      </c>
      <c r="E189" s="40"/>
      <c r="F189" s="40"/>
      <c r="G189" s="40"/>
      <c r="H189" s="40"/>
      <c r="I189" s="40"/>
      <c r="J189" s="40"/>
      <c r="K189" s="41"/>
    </row>
    <row r="190" spans="2:14" ht="9.75" customHeight="1" x14ac:dyDescent="0.2">
      <c r="B190" s="38"/>
      <c r="C190" s="280" t="str">
        <f>"4:"</f>
        <v>4:</v>
      </c>
      <c r="D190" s="278" t="s">
        <v>926</v>
      </c>
      <c r="E190" s="40"/>
      <c r="F190" s="40"/>
      <c r="G190" s="40"/>
      <c r="H190" s="40"/>
      <c r="I190" s="40"/>
      <c r="J190" s="40"/>
      <c r="K190" s="41"/>
      <c r="N190" s="12" t="s">
        <v>661</v>
      </c>
    </row>
    <row r="191" spans="2:14" x14ac:dyDescent="0.2">
      <c r="B191" s="38"/>
      <c r="C191" s="174" t="s">
        <v>662</v>
      </c>
      <c r="D191" s="40"/>
      <c r="E191" s="40"/>
      <c r="F191" s="40"/>
      <c r="G191" s="40"/>
      <c r="H191" s="40"/>
      <c r="I191" s="40"/>
      <c r="J191" s="265" t="s">
        <v>661</v>
      </c>
      <c r="K191" s="41"/>
      <c r="N191" s="12" t="s">
        <v>894</v>
      </c>
    </row>
    <row r="192" spans="2:14" x14ac:dyDescent="0.2">
      <c r="B192" s="38"/>
      <c r="C192" s="174" t="s">
        <v>660</v>
      </c>
      <c r="D192" s="40"/>
      <c r="E192" s="40"/>
      <c r="F192" s="40"/>
      <c r="G192" s="40"/>
      <c r="H192" s="40"/>
      <c r="I192" s="40"/>
      <c r="J192" s="246" t="str">
        <f>IF(J191=N190,"N/A",IF(J191=N191,0,IF(J191=N192,1,IF(J191=N193,2,IF(J191=N194,3,IF(J191=N195,4,"N/A"))))))</f>
        <v>N/A</v>
      </c>
      <c r="K192" s="41"/>
      <c r="N192" s="12" t="s">
        <v>899</v>
      </c>
    </row>
    <row r="193" spans="2:14" x14ac:dyDescent="0.2">
      <c r="B193" s="38"/>
      <c r="C193" s="40" t="s">
        <v>257</v>
      </c>
      <c r="D193" s="40"/>
      <c r="E193" s="40"/>
      <c r="F193" s="40"/>
      <c r="G193" s="40"/>
      <c r="H193" s="40"/>
      <c r="I193" s="40"/>
      <c r="J193" s="266"/>
      <c r="K193" s="41"/>
      <c r="N193" s="12" t="s">
        <v>900</v>
      </c>
    </row>
    <row r="194" spans="2:14" x14ac:dyDescent="0.2">
      <c r="B194" s="38"/>
      <c r="C194" s="40" t="s">
        <v>261</v>
      </c>
      <c r="D194" s="40"/>
      <c r="E194" s="40"/>
      <c r="F194" s="40"/>
      <c r="G194" s="40"/>
      <c r="H194" s="40"/>
      <c r="I194" s="40"/>
      <c r="J194" s="245" t="str">
        <f>IF(J193=$B$973,$A$973,IF(J193=$B$974,$A$974,IF(J193=$B$975,$A$975,IF(J193=$B$976,$A$976,IF(J193=$B$977,$A$977,"Not Calculated")))))</f>
        <v>Not Calculated</v>
      </c>
      <c r="K194" s="41"/>
      <c r="N194" s="12" t="s">
        <v>901</v>
      </c>
    </row>
    <row r="195" spans="2:14" x14ac:dyDescent="0.2">
      <c r="B195" s="38"/>
      <c r="C195" s="40" t="s">
        <v>893</v>
      </c>
      <c r="D195" s="40"/>
      <c r="E195" s="40"/>
      <c r="F195" s="40"/>
      <c r="G195" s="40"/>
      <c r="H195" s="40"/>
      <c r="I195" s="40"/>
      <c r="J195" s="40"/>
      <c r="K195" s="41"/>
      <c r="N195" s="12" t="s">
        <v>902</v>
      </c>
    </row>
    <row r="196" spans="2:14" x14ac:dyDescent="0.2">
      <c r="B196" s="38"/>
      <c r="C196" s="399"/>
      <c r="D196" s="400"/>
      <c r="E196" s="400"/>
      <c r="F196" s="400"/>
      <c r="G196" s="400"/>
      <c r="H196" s="400"/>
      <c r="I196" s="400"/>
      <c r="J196" s="401"/>
      <c r="K196" s="41"/>
    </row>
    <row r="197" spans="2:14" x14ac:dyDescent="0.2">
      <c r="B197" s="38"/>
      <c r="C197" s="40"/>
      <c r="D197" s="40"/>
      <c r="E197" s="40"/>
      <c r="F197" s="40"/>
      <c r="G197" s="40"/>
      <c r="H197" s="40"/>
      <c r="I197" s="40"/>
      <c r="J197" s="40"/>
      <c r="K197" s="41"/>
    </row>
    <row r="198" spans="2:14" x14ac:dyDescent="0.2">
      <c r="B198" s="38"/>
      <c r="C198" s="179" t="s">
        <v>275</v>
      </c>
      <c r="D198" s="40"/>
      <c r="E198" s="40"/>
      <c r="F198" s="40"/>
      <c r="G198" s="40"/>
      <c r="H198" s="40"/>
      <c r="I198" s="40"/>
      <c r="J198" s="245" t="str">
        <f>IF(J192="N/A",IF(OR(J185="Not Calculated",J194="Not Calculated")=TRUE,"Not Calculated",AVERAGE(J185,J194)),AVERAGE(J192,J194))</f>
        <v>Not Calculated</v>
      </c>
      <c r="K198" s="41"/>
    </row>
    <row r="199" spans="2:14" x14ac:dyDescent="0.2">
      <c r="B199" s="38"/>
      <c r="C199" s="40"/>
      <c r="D199" s="40"/>
      <c r="E199" s="40"/>
      <c r="F199" s="40"/>
      <c r="G199" s="40"/>
      <c r="H199" s="40"/>
      <c r="I199" s="40"/>
      <c r="J199" s="40"/>
      <c r="K199" s="41"/>
    </row>
    <row r="200" spans="2:14" x14ac:dyDescent="0.2">
      <c r="B200" s="38"/>
      <c r="C200" s="40"/>
      <c r="D200" s="40"/>
      <c r="E200" s="40"/>
      <c r="F200" s="40"/>
      <c r="G200" s="40"/>
      <c r="H200" s="40"/>
      <c r="I200" s="40"/>
      <c r="J200" s="40"/>
      <c r="K200" s="41"/>
    </row>
    <row r="201" spans="2:14" ht="16" x14ac:dyDescent="0.2">
      <c r="B201" s="38"/>
      <c r="C201" s="45" t="s">
        <v>75</v>
      </c>
      <c r="D201" s="40"/>
      <c r="E201" s="40"/>
      <c r="F201" s="40"/>
      <c r="G201" s="40"/>
      <c r="H201" s="40"/>
      <c r="I201" s="40"/>
      <c r="J201" s="40"/>
      <c r="K201" s="41"/>
    </row>
    <row r="202" spans="2:14" x14ac:dyDescent="0.2">
      <c r="B202" s="38"/>
      <c r="C202" s="40" t="s">
        <v>444</v>
      </c>
      <c r="D202" s="40"/>
      <c r="E202" s="40"/>
      <c r="F202" s="40"/>
      <c r="G202" s="40"/>
      <c r="H202" s="40"/>
      <c r="I202" s="40"/>
      <c r="J202" s="252">
        <f>'Baseline Health'!G65</f>
        <v>0</v>
      </c>
      <c r="K202" s="41"/>
    </row>
    <row r="203" spans="2:14" x14ac:dyDescent="0.2">
      <c r="B203" s="38"/>
      <c r="C203" s="40" t="s">
        <v>282</v>
      </c>
      <c r="D203" s="40"/>
      <c r="E203" s="40"/>
      <c r="F203" s="40"/>
      <c r="G203" s="40"/>
      <c r="H203" s="40"/>
      <c r="I203" s="40"/>
      <c r="J203" s="264"/>
      <c r="K203" s="41"/>
    </row>
    <row r="204" spans="2:14" x14ac:dyDescent="0.2">
      <c r="B204" s="38"/>
      <c r="C204" s="40" t="s">
        <v>355</v>
      </c>
      <c r="D204" s="40"/>
      <c r="E204" s="40"/>
      <c r="F204" s="40"/>
      <c r="G204" s="40"/>
      <c r="H204" s="40"/>
      <c r="I204" s="40"/>
      <c r="J204" s="264"/>
      <c r="K204" s="41"/>
    </row>
    <row r="205" spans="2:14" x14ac:dyDescent="0.2">
      <c r="B205" s="38"/>
      <c r="C205" s="40" t="s">
        <v>260</v>
      </c>
      <c r="D205" s="40"/>
      <c r="E205" s="40"/>
      <c r="F205" s="40"/>
      <c r="G205" s="40"/>
      <c r="H205" s="40"/>
      <c r="I205" s="40"/>
      <c r="J205" s="245" t="str">
        <f>IF(OR(J202=0,J202="Not Calculated")=TRUE,"Not Calculated",IF(J202-J203=0,4,IF(((J202+J204)/(J202-J203))&lt;=1,0,IF(((J202+J204)/(J202-J203))&lt;=1.05,1,IF(((J202+J204)/(J202-J203))&lt;=1.5, 2,IF(((J202+J204)/(J202-J203))&lt;=2,3,4))))))</f>
        <v>Not Calculated</v>
      </c>
      <c r="K205" s="41"/>
    </row>
    <row r="206" spans="2:14" ht="9.75" customHeight="1" x14ac:dyDescent="0.2">
      <c r="B206" s="38"/>
      <c r="C206" s="279" t="str">
        <f>"0:"</f>
        <v>0:</v>
      </c>
      <c r="D206" s="278" t="s">
        <v>918</v>
      </c>
      <c r="E206" s="40"/>
      <c r="F206" s="40"/>
      <c r="G206" s="40"/>
      <c r="H206" s="40"/>
      <c r="I206" s="40"/>
      <c r="J206" s="40"/>
      <c r="K206" s="41"/>
    </row>
    <row r="207" spans="2:14" ht="9.75" customHeight="1" x14ac:dyDescent="0.2">
      <c r="B207" s="38"/>
      <c r="C207" s="280" t="str">
        <f>"1:"</f>
        <v>1:</v>
      </c>
      <c r="D207" s="278" t="s">
        <v>923</v>
      </c>
      <c r="E207" s="40"/>
      <c r="F207" s="40"/>
      <c r="G207" s="40"/>
      <c r="H207" s="40"/>
      <c r="I207" s="40"/>
      <c r="J207" s="40"/>
      <c r="K207" s="41"/>
    </row>
    <row r="208" spans="2:14" ht="9.75" customHeight="1" x14ac:dyDescent="0.2">
      <c r="B208" s="38"/>
      <c r="C208" s="280" t="str">
        <f>"2:"</f>
        <v>2:</v>
      </c>
      <c r="D208" s="278" t="s">
        <v>924</v>
      </c>
      <c r="E208" s="40"/>
      <c r="F208" s="40"/>
      <c r="G208" s="40"/>
      <c r="H208" s="40"/>
      <c r="I208" s="40"/>
      <c r="J208" s="40"/>
      <c r="K208" s="41"/>
    </row>
    <row r="209" spans="2:14" ht="9.75" customHeight="1" x14ac:dyDescent="0.2">
      <c r="B209" s="38"/>
      <c r="C209" s="280" t="str">
        <f>"3:"</f>
        <v>3:</v>
      </c>
      <c r="D209" s="278" t="s">
        <v>925</v>
      </c>
      <c r="E209" s="40"/>
      <c r="F209" s="40"/>
      <c r="G209" s="40"/>
      <c r="H209" s="40"/>
      <c r="I209" s="40"/>
      <c r="J209" s="40"/>
      <c r="K209" s="41"/>
    </row>
    <row r="210" spans="2:14" ht="9.75" customHeight="1" x14ac:dyDescent="0.2">
      <c r="B210" s="38"/>
      <c r="C210" s="280" t="str">
        <f>"4:"</f>
        <v>4:</v>
      </c>
      <c r="D210" s="278" t="s">
        <v>926</v>
      </c>
      <c r="E210" s="40"/>
      <c r="F210" s="40"/>
      <c r="G210" s="40"/>
      <c r="H210" s="40"/>
      <c r="I210" s="40"/>
      <c r="J210" s="40"/>
      <c r="K210" s="41"/>
      <c r="N210" s="12" t="s">
        <v>661</v>
      </c>
    </row>
    <row r="211" spans="2:14" x14ac:dyDescent="0.2">
      <c r="B211" s="38"/>
      <c r="C211" s="174" t="s">
        <v>662</v>
      </c>
      <c r="D211" s="40"/>
      <c r="E211" s="40"/>
      <c r="F211" s="40"/>
      <c r="G211" s="40"/>
      <c r="H211" s="40"/>
      <c r="I211" s="40"/>
      <c r="J211" s="265" t="s">
        <v>661</v>
      </c>
      <c r="K211" s="41"/>
      <c r="N211" s="12" t="s">
        <v>894</v>
      </c>
    </row>
    <row r="212" spans="2:14" x14ac:dyDescent="0.2">
      <c r="B212" s="38"/>
      <c r="C212" s="174" t="s">
        <v>660</v>
      </c>
      <c r="D212" s="40"/>
      <c r="E212" s="40"/>
      <c r="F212" s="40"/>
      <c r="G212" s="40"/>
      <c r="H212" s="40"/>
      <c r="I212" s="40"/>
      <c r="J212" s="246" t="str">
        <f>IF(J211=N210,"N/A",IF(J211=N211,0,IF(J211=N212,1,IF(J211=N213,2,IF(J211=N214,3,IF(J211=N215,4,"N/A"))))))</f>
        <v>N/A</v>
      </c>
      <c r="K212" s="41"/>
      <c r="N212" s="12" t="s">
        <v>899</v>
      </c>
    </row>
    <row r="213" spans="2:14" x14ac:dyDescent="0.2">
      <c r="B213" s="38"/>
      <c r="C213" s="40" t="s">
        <v>257</v>
      </c>
      <c r="D213" s="40"/>
      <c r="E213" s="40"/>
      <c r="F213" s="40"/>
      <c r="G213" s="40"/>
      <c r="H213" s="40"/>
      <c r="I213" s="40"/>
      <c r="J213" s="266"/>
      <c r="K213" s="41"/>
      <c r="N213" s="12" t="s">
        <v>900</v>
      </c>
    </row>
    <row r="214" spans="2:14" x14ac:dyDescent="0.2">
      <c r="B214" s="38"/>
      <c r="C214" s="40" t="s">
        <v>261</v>
      </c>
      <c r="D214" s="40"/>
      <c r="E214" s="40"/>
      <c r="F214" s="40"/>
      <c r="G214" s="40"/>
      <c r="H214" s="40"/>
      <c r="I214" s="40"/>
      <c r="J214" s="245" t="str">
        <f>IF(J213=$B$973,$A$973,IF(J213=$B$974,$A$974,IF(J213=$B$975,$A$975,IF(J213=$B$976,$A$976,IF(J213=$B$977,$A$977,"Not Calculated")))))</f>
        <v>Not Calculated</v>
      </c>
      <c r="K214" s="41"/>
      <c r="N214" s="12" t="s">
        <v>901</v>
      </c>
    </row>
    <row r="215" spans="2:14" x14ac:dyDescent="0.2">
      <c r="B215" s="38"/>
      <c r="C215" s="40" t="s">
        <v>893</v>
      </c>
      <c r="D215" s="40"/>
      <c r="E215" s="40"/>
      <c r="F215" s="40"/>
      <c r="G215" s="40"/>
      <c r="H215" s="40"/>
      <c r="I215" s="40"/>
      <c r="J215" s="40"/>
      <c r="K215" s="41"/>
      <c r="N215" s="12" t="s">
        <v>902</v>
      </c>
    </row>
    <row r="216" spans="2:14" ht="15" customHeight="1" x14ac:dyDescent="0.2">
      <c r="B216" s="38"/>
      <c r="C216" s="399"/>
      <c r="D216" s="400"/>
      <c r="E216" s="400"/>
      <c r="F216" s="400"/>
      <c r="G216" s="400"/>
      <c r="H216" s="400"/>
      <c r="I216" s="400"/>
      <c r="J216" s="401"/>
      <c r="K216" s="41"/>
    </row>
    <row r="217" spans="2:14" x14ac:dyDescent="0.2">
      <c r="B217" s="38"/>
      <c r="C217" s="40"/>
      <c r="D217" s="40"/>
      <c r="E217" s="40"/>
      <c r="F217" s="40"/>
      <c r="G217" s="40"/>
      <c r="H217" s="40"/>
      <c r="I217" s="40"/>
      <c r="J217" s="40"/>
      <c r="K217" s="41"/>
    </row>
    <row r="218" spans="2:14" x14ac:dyDescent="0.2">
      <c r="B218" s="38"/>
      <c r="C218" s="179" t="s">
        <v>276</v>
      </c>
      <c r="D218" s="40"/>
      <c r="E218" s="40"/>
      <c r="F218" s="40"/>
      <c r="G218" s="40"/>
      <c r="H218" s="40"/>
      <c r="I218" s="40"/>
      <c r="J218" s="245" t="str">
        <f>IF(J212="N/A",IF(OR(J205="Not Calculated",J214="Not Calculated")=TRUE,"Not Calculated",AVERAGE(J205,J214)),AVERAGE(J212,J214))</f>
        <v>Not Calculated</v>
      </c>
      <c r="K218" s="41"/>
    </row>
    <row r="219" spans="2:14" x14ac:dyDescent="0.2">
      <c r="B219" s="38"/>
      <c r="C219" s="40"/>
      <c r="D219" s="40"/>
      <c r="E219" s="40"/>
      <c r="F219" s="40"/>
      <c r="G219" s="40"/>
      <c r="H219" s="40"/>
      <c r="I219" s="40"/>
      <c r="J219" s="40"/>
      <c r="K219" s="41"/>
    </row>
    <row r="220" spans="2:14" x14ac:dyDescent="0.2">
      <c r="B220" s="38"/>
      <c r="C220" s="40"/>
      <c r="D220" s="40"/>
      <c r="E220" s="40"/>
      <c r="F220" s="40"/>
      <c r="G220" s="40"/>
      <c r="H220" s="40"/>
      <c r="I220" s="40"/>
      <c r="J220" s="40"/>
      <c r="K220" s="41"/>
    </row>
    <row r="221" spans="2:14" ht="16" x14ac:dyDescent="0.2">
      <c r="B221" s="38"/>
      <c r="C221" s="45" t="s">
        <v>76</v>
      </c>
      <c r="D221" s="40"/>
      <c r="E221" s="40"/>
      <c r="F221" s="40"/>
      <c r="G221" s="40"/>
      <c r="H221" s="40"/>
      <c r="I221" s="40"/>
      <c r="J221" s="40"/>
      <c r="K221" s="41"/>
    </row>
    <row r="222" spans="2:14" ht="15" customHeight="1" x14ac:dyDescent="0.2">
      <c r="B222" s="38"/>
      <c r="C222" s="40" t="s">
        <v>356</v>
      </c>
      <c r="D222" s="40"/>
      <c r="E222" s="40"/>
      <c r="F222" s="40"/>
      <c r="G222" s="40"/>
      <c r="H222" s="40"/>
      <c r="I222" s="40"/>
      <c r="J222" s="252">
        <f>'Baseline Health'!G71</f>
        <v>0</v>
      </c>
      <c r="K222" s="41"/>
    </row>
    <row r="223" spans="2:14" x14ac:dyDescent="0.2">
      <c r="B223" s="38"/>
      <c r="C223" s="40" t="s">
        <v>357</v>
      </c>
      <c r="D223" s="40"/>
      <c r="E223" s="40"/>
      <c r="F223" s="40"/>
      <c r="G223" s="40"/>
      <c r="H223" s="40"/>
      <c r="I223" s="40"/>
      <c r="J223" s="264"/>
      <c r="K223" s="41"/>
    </row>
    <row r="224" spans="2:14" x14ac:dyDescent="0.2">
      <c r="B224" s="38"/>
      <c r="C224" s="40" t="s">
        <v>445</v>
      </c>
      <c r="D224" s="40"/>
      <c r="E224" s="40"/>
      <c r="F224" s="40"/>
      <c r="G224" s="40"/>
      <c r="H224" s="40"/>
      <c r="I224" s="40"/>
      <c r="J224" s="251">
        <f>J102</f>
        <v>0</v>
      </c>
      <c r="K224" s="41"/>
    </row>
    <row r="225" spans="2:14" x14ac:dyDescent="0.2">
      <c r="B225" s="38"/>
      <c r="C225" s="40"/>
      <c r="D225" s="40" t="s">
        <v>446</v>
      </c>
      <c r="E225" s="40"/>
      <c r="F225" s="40"/>
      <c r="G225" s="40"/>
      <c r="H225" s="40"/>
      <c r="I225" s="40"/>
      <c r="J225" s="40"/>
      <c r="K225" s="41"/>
    </row>
    <row r="226" spans="2:14" x14ac:dyDescent="0.2">
      <c r="B226" s="38"/>
      <c r="C226" s="40" t="s">
        <v>260</v>
      </c>
      <c r="D226" s="40"/>
      <c r="E226" s="40"/>
      <c r="F226" s="40"/>
      <c r="G226" s="40"/>
      <c r="H226" s="40"/>
      <c r="I226" s="40"/>
      <c r="J226" s="245" t="str">
        <f>IF(OR(J222=0,J222="Not Calculated")=TRUE,"Not Calculated",IF(J222-J223=0,4,IF(((J222+J224)/(J222-J223))&lt;=1,0,IF(((J222+J224)/(J222-J223))&lt;=1.05,1,IF(((J222+J224)/(J222-J223))&lt;=1.5, 2,IF(((J222+J224)/(J222-J223))&lt;=2,3,4))))))</f>
        <v>Not Calculated</v>
      </c>
      <c r="K226" s="41"/>
    </row>
    <row r="227" spans="2:14" ht="9.75" customHeight="1" x14ac:dyDescent="0.2">
      <c r="B227" s="38"/>
      <c r="C227" s="279" t="str">
        <f>"0:"</f>
        <v>0:</v>
      </c>
      <c r="D227" s="278" t="s">
        <v>918</v>
      </c>
      <c r="E227" s="40"/>
      <c r="F227" s="40"/>
      <c r="G227" s="40"/>
      <c r="H227" s="40"/>
      <c r="I227" s="40"/>
      <c r="J227" s="40"/>
      <c r="K227" s="41"/>
    </row>
    <row r="228" spans="2:14" ht="9.75" customHeight="1" x14ac:dyDescent="0.2">
      <c r="B228" s="38"/>
      <c r="C228" s="280" t="str">
        <f>"1:"</f>
        <v>1:</v>
      </c>
      <c r="D228" s="278" t="s">
        <v>923</v>
      </c>
      <c r="E228" s="40"/>
      <c r="F228" s="40"/>
      <c r="G228" s="40"/>
      <c r="H228" s="40"/>
      <c r="I228" s="40"/>
      <c r="J228" s="40"/>
      <c r="K228" s="41"/>
    </row>
    <row r="229" spans="2:14" ht="9.75" customHeight="1" x14ac:dyDescent="0.2">
      <c r="B229" s="38"/>
      <c r="C229" s="280" t="str">
        <f>"2:"</f>
        <v>2:</v>
      </c>
      <c r="D229" s="278" t="s">
        <v>924</v>
      </c>
      <c r="E229" s="40"/>
      <c r="F229" s="40"/>
      <c r="G229" s="40"/>
      <c r="H229" s="40"/>
      <c r="I229" s="40"/>
      <c r="J229" s="40"/>
      <c r="K229" s="41"/>
    </row>
    <row r="230" spans="2:14" ht="9.75" customHeight="1" x14ac:dyDescent="0.2">
      <c r="B230" s="38"/>
      <c r="C230" s="280" t="str">
        <f>"3:"</f>
        <v>3:</v>
      </c>
      <c r="D230" s="278" t="s">
        <v>925</v>
      </c>
      <c r="E230" s="40"/>
      <c r="F230" s="40"/>
      <c r="G230" s="40"/>
      <c r="H230" s="40"/>
      <c r="I230" s="40"/>
      <c r="J230" s="40"/>
      <c r="K230" s="41"/>
    </row>
    <row r="231" spans="2:14" ht="9.75" customHeight="1" x14ac:dyDescent="0.2">
      <c r="B231" s="38"/>
      <c r="C231" s="280" t="str">
        <f>"4:"</f>
        <v>4:</v>
      </c>
      <c r="D231" s="278" t="s">
        <v>926</v>
      </c>
      <c r="E231" s="40"/>
      <c r="F231" s="40"/>
      <c r="G231" s="40"/>
      <c r="H231" s="40"/>
      <c r="I231" s="40"/>
      <c r="J231" s="40"/>
      <c r="K231" s="41"/>
      <c r="N231" s="12" t="s">
        <v>661</v>
      </c>
    </row>
    <row r="232" spans="2:14" x14ac:dyDescent="0.2">
      <c r="B232" s="38"/>
      <c r="C232" s="174" t="s">
        <v>662</v>
      </c>
      <c r="D232" s="40"/>
      <c r="E232" s="40"/>
      <c r="F232" s="40"/>
      <c r="G232" s="40"/>
      <c r="H232" s="40"/>
      <c r="I232" s="40"/>
      <c r="J232" s="265" t="s">
        <v>661</v>
      </c>
      <c r="K232" s="41"/>
      <c r="N232" s="12" t="s">
        <v>894</v>
      </c>
    </row>
    <row r="233" spans="2:14" x14ac:dyDescent="0.2">
      <c r="B233" s="38"/>
      <c r="C233" s="174" t="s">
        <v>660</v>
      </c>
      <c r="D233" s="40"/>
      <c r="E233" s="40"/>
      <c r="F233" s="40"/>
      <c r="G233" s="40"/>
      <c r="H233" s="40"/>
      <c r="I233" s="40"/>
      <c r="J233" s="246" t="str">
        <f>IF(J232=N231,"N/A",IF(J232=N232,0,IF(J232=N233,1,IF(J232=N234,2,IF(J232=N235,3,IF(J232=N236,4,"N/A"))))))</f>
        <v>N/A</v>
      </c>
      <c r="K233" s="41"/>
      <c r="N233" s="12" t="s">
        <v>899</v>
      </c>
    </row>
    <row r="234" spans="2:14" x14ac:dyDescent="0.2">
      <c r="B234" s="38"/>
      <c r="C234" s="40" t="s">
        <v>257</v>
      </c>
      <c r="D234" s="40"/>
      <c r="E234" s="40"/>
      <c r="F234" s="40"/>
      <c r="G234" s="40"/>
      <c r="H234" s="40"/>
      <c r="I234" s="40"/>
      <c r="J234" s="266"/>
      <c r="K234" s="41"/>
      <c r="N234" s="12" t="s">
        <v>900</v>
      </c>
    </row>
    <row r="235" spans="2:14" x14ac:dyDescent="0.2">
      <c r="B235" s="38"/>
      <c r="C235" s="40" t="s">
        <v>261</v>
      </c>
      <c r="D235" s="40"/>
      <c r="E235" s="40"/>
      <c r="F235" s="40"/>
      <c r="G235" s="40"/>
      <c r="H235" s="40"/>
      <c r="I235" s="40"/>
      <c r="J235" s="245" t="str">
        <f>IF(J234=$B$973,$A$973,IF(J234=$B$974,$A$974,IF(J234=$B$975,$A$975,IF(J234=$B$976,$A$976,IF(J234=$B$977,$A$977,"Not Calculated")))))</f>
        <v>Not Calculated</v>
      </c>
      <c r="K235" s="41"/>
      <c r="N235" s="12" t="s">
        <v>901</v>
      </c>
    </row>
    <row r="236" spans="2:14" x14ac:dyDescent="0.2">
      <c r="B236" s="38"/>
      <c r="C236" s="40" t="s">
        <v>893</v>
      </c>
      <c r="D236" s="40"/>
      <c r="E236" s="40"/>
      <c r="F236" s="40"/>
      <c r="G236" s="40"/>
      <c r="H236" s="40"/>
      <c r="I236" s="40"/>
      <c r="J236" s="40"/>
      <c r="K236" s="41"/>
      <c r="N236" s="12" t="s">
        <v>902</v>
      </c>
    </row>
    <row r="237" spans="2:14" ht="15" customHeight="1" x14ac:dyDescent="0.2">
      <c r="B237" s="38"/>
      <c r="C237" s="399"/>
      <c r="D237" s="400"/>
      <c r="E237" s="400"/>
      <c r="F237" s="400"/>
      <c r="G237" s="400"/>
      <c r="H237" s="400"/>
      <c r="I237" s="400"/>
      <c r="J237" s="401"/>
      <c r="K237" s="41"/>
    </row>
    <row r="238" spans="2:14" x14ac:dyDescent="0.2">
      <c r="B238" s="38"/>
      <c r="C238" s="40"/>
      <c r="D238" s="40"/>
      <c r="E238" s="40"/>
      <c r="F238" s="40"/>
      <c r="G238" s="40"/>
      <c r="H238" s="40"/>
      <c r="I238" s="40"/>
      <c r="J238" s="40"/>
      <c r="K238" s="41"/>
    </row>
    <row r="239" spans="2:14" x14ac:dyDescent="0.2">
      <c r="B239" s="38"/>
      <c r="C239" s="179" t="s">
        <v>277</v>
      </c>
      <c r="D239" s="40"/>
      <c r="E239" s="40"/>
      <c r="F239" s="40"/>
      <c r="G239" s="40"/>
      <c r="H239" s="40"/>
      <c r="I239" s="40"/>
      <c r="J239" s="245" t="str">
        <f>IF(J233="N/A",IF(OR(J226="Not Calculated",J235="Not Calculated")=TRUE,"Not Calculated",AVERAGE(J226,J235)),AVERAGE(J233,J235))</f>
        <v>Not Calculated</v>
      </c>
      <c r="K239" s="41"/>
    </row>
    <row r="240" spans="2:14" x14ac:dyDescent="0.2">
      <c r="B240" s="38"/>
      <c r="C240" s="40"/>
      <c r="D240" s="40"/>
      <c r="E240" s="40"/>
      <c r="F240" s="40"/>
      <c r="G240" s="40"/>
      <c r="H240" s="40"/>
      <c r="I240" s="40"/>
      <c r="J240" s="40"/>
      <c r="K240" s="41"/>
    </row>
    <row r="241" spans="2:14" x14ac:dyDescent="0.2">
      <c r="B241" s="38"/>
      <c r="C241" s="40"/>
      <c r="D241" s="40"/>
      <c r="E241" s="40"/>
      <c r="F241" s="40"/>
      <c r="G241" s="40"/>
      <c r="H241" s="40"/>
      <c r="I241" s="40"/>
      <c r="J241" s="40"/>
      <c r="K241" s="41"/>
    </row>
    <row r="242" spans="2:14" ht="16" x14ac:dyDescent="0.2">
      <c r="B242" s="38"/>
      <c r="C242" s="45" t="s">
        <v>278</v>
      </c>
      <c r="D242" s="40"/>
      <c r="E242" s="40"/>
      <c r="F242" s="40"/>
      <c r="G242" s="40"/>
      <c r="H242" s="40"/>
      <c r="I242" s="40"/>
      <c r="J242" s="40"/>
      <c r="K242" s="41"/>
    </row>
    <row r="243" spans="2:14" ht="15" customHeight="1" x14ac:dyDescent="0.2">
      <c r="B243" s="38"/>
      <c r="C243" s="40" t="s">
        <v>447</v>
      </c>
      <c r="D243" s="40"/>
      <c r="E243" s="40"/>
      <c r="F243" s="40"/>
      <c r="G243" s="40"/>
      <c r="H243" s="40"/>
      <c r="I243" s="40"/>
      <c r="J243" s="254">
        <f>'Baseline Health'!G77</f>
        <v>0</v>
      </c>
      <c r="K243" s="41"/>
    </row>
    <row r="244" spans="2:14" x14ac:dyDescent="0.2">
      <c r="B244" s="38"/>
      <c r="C244" s="40" t="s">
        <v>358</v>
      </c>
      <c r="D244" s="40"/>
      <c r="E244" s="40"/>
      <c r="F244" s="40"/>
      <c r="G244" s="40"/>
      <c r="H244" s="40"/>
      <c r="I244" s="40"/>
      <c r="J244" s="264"/>
      <c r="K244" s="41"/>
    </row>
    <row r="245" spans="2:14" x14ac:dyDescent="0.2">
      <c r="B245" s="38"/>
      <c r="C245" s="40" t="s">
        <v>360</v>
      </c>
      <c r="D245" s="291"/>
      <c r="E245" s="291"/>
      <c r="F245" s="291"/>
      <c r="G245" s="291"/>
      <c r="H245" s="291"/>
      <c r="I245" s="291"/>
      <c r="J245" s="264"/>
      <c r="K245" s="41"/>
    </row>
    <row r="246" spans="2:14" x14ac:dyDescent="0.2">
      <c r="B246" s="38"/>
      <c r="C246" s="40" t="s">
        <v>260</v>
      </c>
      <c r="D246" s="40"/>
      <c r="E246" s="40"/>
      <c r="F246" s="40"/>
      <c r="G246" s="40"/>
      <c r="H246" s="40"/>
      <c r="I246" s="40"/>
      <c r="J246" s="245" t="str">
        <f>IF(OR(J243=0,J243="Not Calculated")=TRUE,"Not Calculated",IF(J243-J244=0,4,(IF(((J243+J245)/(J243-J244))&lt;=1,0,IF(((J243+J245)/(J243-J244))&lt;=1.05,1,IF(((J243+J245)/(J243-J244))&lt;=1.5,2,IF(((J243+J245)/(J243-J244))&lt;=2,3,4)))))))</f>
        <v>Not Calculated</v>
      </c>
      <c r="K246" s="41"/>
    </row>
    <row r="247" spans="2:14" ht="9.75" customHeight="1" x14ac:dyDescent="0.2">
      <c r="B247" s="38"/>
      <c r="C247" s="279" t="str">
        <f>"0:"</f>
        <v>0:</v>
      </c>
      <c r="D247" s="278" t="s">
        <v>918</v>
      </c>
      <c r="E247" s="40"/>
      <c r="F247" s="40"/>
      <c r="G247" s="40"/>
      <c r="H247" s="40"/>
      <c r="I247" s="40"/>
      <c r="J247" s="40"/>
      <c r="K247" s="41"/>
    </row>
    <row r="248" spans="2:14" ht="9.75" customHeight="1" x14ac:dyDescent="0.2">
      <c r="B248" s="38"/>
      <c r="C248" s="280" t="str">
        <f>"1:"</f>
        <v>1:</v>
      </c>
      <c r="D248" s="278" t="s">
        <v>923</v>
      </c>
      <c r="E248" s="40"/>
      <c r="F248" s="40"/>
      <c r="G248" s="40"/>
      <c r="H248" s="40"/>
      <c r="I248" s="40"/>
      <c r="J248" s="40"/>
      <c r="K248" s="41"/>
    </row>
    <row r="249" spans="2:14" ht="9.75" customHeight="1" x14ac:dyDescent="0.2">
      <c r="B249" s="38"/>
      <c r="C249" s="280" t="str">
        <f>"2:"</f>
        <v>2:</v>
      </c>
      <c r="D249" s="278" t="s">
        <v>924</v>
      </c>
      <c r="E249" s="40"/>
      <c r="F249" s="40"/>
      <c r="G249" s="40"/>
      <c r="H249" s="40"/>
      <c r="I249" s="40"/>
      <c r="J249" s="40"/>
      <c r="K249" s="41"/>
    </row>
    <row r="250" spans="2:14" ht="9.75" customHeight="1" x14ac:dyDescent="0.2">
      <c r="B250" s="38"/>
      <c r="C250" s="280" t="str">
        <f>"3:"</f>
        <v>3:</v>
      </c>
      <c r="D250" s="278" t="s">
        <v>925</v>
      </c>
      <c r="E250" s="40"/>
      <c r="F250" s="40"/>
      <c r="G250" s="40"/>
      <c r="H250" s="40"/>
      <c r="I250" s="40"/>
      <c r="J250" s="40"/>
      <c r="K250" s="41"/>
    </row>
    <row r="251" spans="2:14" ht="9.75" customHeight="1" x14ac:dyDescent="0.2">
      <c r="B251" s="38"/>
      <c r="C251" s="280" t="str">
        <f>"4:"</f>
        <v>4:</v>
      </c>
      <c r="D251" s="278" t="s">
        <v>926</v>
      </c>
      <c r="E251" s="40"/>
      <c r="F251" s="40"/>
      <c r="G251" s="40"/>
      <c r="H251" s="40"/>
      <c r="I251" s="40"/>
      <c r="J251" s="40"/>
      <c r="K251" s="41"/>
      <c r="N251" s="12" t="s">
        <v>661</v>
      </c>
    </row>
    <row r="252" spans="2:14" x14ac:dyDescent="0.2">
      <c r="B252" s="38"/>
      <c r="C252" s="174" t="s">
        <v>662</v>
      </c>
      <c r="D252" s="40"/>
      <c r="E252" s="40"/>
      <c r="F252" s="40"/>
      <c r="G252" s="40"/>
      <c r="H252" s="40"/>
      <c r="I252" s="40"/>
      <c r="J252" s="265" t="s">
        <v>661</v>
      </c>
      <c r="K252" s="41"/>
      <c r="N252" s="12" t="s">
        <v>894</v>
      </c>
    </row>
    <row r="253" spans="2:14" x14ac:dyDescent="0.2">
      <c r="B253" s="38"/>
      <c r="C253" s="174" t="s">
        <v>660</v>
      </c>
      <c r="D253" s="40"/>
      <c r="E253" s="40"/>
      <c r="F253" s="40"/>
      <c r="G253" s="40"/>
      <c r="H253" s="40"/>
      <c r="I253" s="40"/>
      <c r="J253" s="246" t="str">
        <f>IF(J252=N251,"N/A",IF(J252=N252,0,IF(J252=N253,1,IF(J252=N254,2,IF(J252=N255,3,IF(J252=N256,4,"N/A"))))))</f>
        <v>N/A</v>
      </c>
      <c r="K253" s="41"/>
      <c r="N253" s="12" t="s">
        <v>899</v>
      </c>
    </row>
    <row r="254" spans="2:14" x14ac:dyDescent="0.2">
      <c r="B254" s="38"/>
      <c r="C254" s="40" t="s">
        <v>257</v>
      </c>
      <c r="D254" s="40"/>
      <c r="E254" s="40"/>
      <c r="F254" s="40"/>
      <c r="G254" s="40"/>
      <c r="H254" s="40"/>
      <c r="I254" s="40"/>
      <c r="J254" s="266"/>
      <c r="K254" s="41"/>
      <c r="N254" s="12" t="s">
        <v>900</v>
      </c>
    </row>
    <row r="255" spans="2:14" x14ac:dyDescent="0.2">
      <c r="B255" s="38"/>
      <c r="C255" s="40" t="s">
        <v>261</v>
      </c>
      <c r="D255" s="40"/>
      <c r="E255" s="40"/>
      <c r="F255" s="40"/>
      <c r="G255" s="40"/>
      <c r="H255" s="40"/>
      <c r="I255" s="40"/>
      <c r="J255" s="245" t="str">
        <f>IF(J254=$B$973,$A$973,IF(J254=$B$974,$A$974,IF(J254=$B$975,$A$975,IF(J254=$B$976,$A$976,IF(J254=$B$977,$A$977,"Not Calculated")))))</f>
        <v>Not Calculated</v>
      </c>
      <c r="K255" s="41"/>
      <c r="N255" s="12" t="s">
        <v>901</v>
      </c>
    </row>
    <row r="256" spans="2:14" x14ac:dyDescent="0.2">
      <c r="B256" s="38"/>
      <c r="C256" s="40" t="s">
        <v>893</v>
      </c>
      <c r="D256" s="40"/>
      <c r="E256" s="40"/>
      <c r="F256" s="40"/>
      <c r="G256" s="40"/>
      <c r="H256" s="40"/>
      <c r="I256" s="40"/>
      <c r="J256" s="40"/>
      <c r="K256" s="41"/>
      <c r="N256" s="12" t="s">
        <v>902</v>
      </c>
    </row>
    <row r="257" spans="2:11" x14ac:dyDescent="0.2">
      <c r="B257" s="38"/>
      <c r="C257" s="399"/>
      <c r="D257" s="400"/>
      <c r="E257" s="400"/>
      <c r="F257" s="400"/>
      <c r="G257" s="400"/>
      <c r="H257" s="400"/>
      <c r="I257" s="400"/>
      <c r="J257" s="401"/>
      <c r="K257" s="41"/>
    </row>
    <row r="258" spans="2:11" x14ac:dyDescent="0.2">
      <c r="B258" s="38"/>
      <c r="C258" s="40"/>
      <c r="D258" s="40"/>
      <c r="E258" s="40"/>
      <c r="F258" s="40"/>
      <c r="G258" s="40"/>
      <c r="H258" s="40"/>
      <c r="I258" s="40"/>
      <c r="J258" s="40"/>
      <c r="K258" s="41"/>
    </row>
    <row r="259" spans="2:11" x14ac:dyDescent="0.2">
      <c r="B259" s="38"/>
      <c r="C259" s="179" t="s">
        <v>279</v>
      </c>
      <c r="D259" s="40"/>
      <c r="E259" s="40"/>
      <c r="F259" s="40"/>
      <c r="G259" s="40"/>
      <c r="H259" s="40"/>
      <c r="I259" s="40"/>
      <c r="J259" s="245" t="str">
        <f>IF(J253="N/A",IF(OR(J246="Not Calculated",J255="Not Calculated")=TRUE,"Not Calculated",AVERAGE(J246,J255)),AVERAGE(J253,J255))</f>
        <v>Not Calculated</v>
      </c>
      <c r="K259" s="41"/>
    </row>
    <row r="260" spans="2:11" x14ac:dyDescent="0.2">
      <c r="B260" s="38"/>
      <c r="C260" s="40"/>
      <c r="D260" s="40"/>
      <c r="E260" s="40"/>
      <c r="F260" s="40"/>
      <c r="G260" s="40"/>
      <c r="H260" s="40"/>
      <c r="I260" s="40"/>
      <c r="J260" s="40"/>
      <c r="K260" s="41"/>
    </row>
    <row r="261" spans="2:11" ht="18" x14ac:dyDescent="0.2">
      <c r="B261" s="38"/>
      <c r="C261" s="180" t="s">
        <v>272</v>
      </c>
      <c r="D261" s="40"/>
      <c r="E261" s="40"/>
      <c r="F261" s="40"/>
      <c r="G261" s="40"/>
      <c r="H261" s="40"/>
      <c r="I261" s="40"/>
      <c r="J261" s="244" t="str">
        <f>IF(OR(J157="Not Calculated",J178="Not Calculated",J198="Not Calculated",J218="Not Calculated",J239="Not Calculated",J259="Not Calculated",)=TRUE,"Not Calculated",AVERAGE(J157,J178,J198,J218,J239,J259))</f>
        <v>Not Calculated</v>
      </c>
      <c r="K261" s="41"/>
    </row>
    <row r="262" spans="2:11" ht="16" thickBot="1" x14ac:dyDescent="0.25">
      <c r="B262" s="46"/>
      <c r="C262" s="47"/>
      <c r="D262" s="47"/>
      <c r="E262" s="47"/>
      <c r="F262" s="47"/>
      <c r="G262" s="47"/>
      <c r="H262" s="47"/>
      <c r="I262" s="47"/>
      <c r="J262" s="47"/>
      <c r="K262" s="49"/>
    </row>
    <row r="263" spans="2:11" ht="16" thickBot="1" x14ac:dyDescent="0.25"/>
    <row r="264" spans="2:11" x14ac:dyDescent="0.2">
      <c r="B264" s="33"/>
      <c r="C264" s="34"/>
      <c r="D264" s="34"/>
      <c r="E264" s="34"/>
      <c r="F264" s="34"/>
      <c r="G264" s="34"/>
      <c r="H264" s="34"/>
      <c r="I264" s="34"/>
      <c r="J264" s="34"/>
      <c r="K264" s="37"/>
    </row>
    <row r="265" spans="2:11" ht="21" x14ac:dyDescent="0.25">
      <c r="B265" s="38"/>
      <c r="C265" s="40"/>
      <c r="D265" s="40"/>
      <c r="E265" s="40"/>
      <c r="F265" s="40"/>
      <c r="G265" s="172" t="s">
        <v>864</v>
      </c>
      <c r="H265" s="40"/>
      <c r="I265" s="40"/>
      <c r="J265" s="40"/>
      <c r="K265" s="41"/>
    </row>
    <row r="266" spans="2:11" ht="15" customHeight="1" x14ac:dyDescent="0.2">
      <c r="B266" s="38"/>
      <c r="C266" s="40"/>
      <c r="D266" s="40"/>
      <c r="E266" s="40"/>
      <c r="F266" s="40"/>
      <c r="G266" s="40"/>
      <c r="H266" s="40"/>
      <c r="I266" s="40"/>
      <c r="J266" s="40"/>
      <c r="K266" s="41"/>
    </row>
    <row r="267" spans="2:11" ht="16" x14ac:dyDescent="0.2">
      <c r="B267" s="38"/>
      <c r="C267" s="45" t="s">
        <v>80</v>
      </c>
      <c r="D267" s="40"/>
      <c r="E267" s="40"/>
      <c r="F267" s="40"/>
      <c r="G267" s="40"/>
      <c r="H267" s="40"/>
      <c r="I267" s="40"/>
      <c r="J267" s="40"/>
      <c r="K267" s="41"/>
    </row>
    <row r="268" spans="2:11" x14ac:dyDescent="0.2">
      <c r="B268" s="38"/>
      <c r="C268" s="40" t="s">
        <v>283</v>
      </c>
      <c r="D268" s="40"/>
      <c r="E268" s="40"/>
      <c r="F268" s="40"/>
      <c r="G268" s="40"/>
      <c r="H268" s="40"/>
      <c r="I268" s="40"/>
      <c r="J268" s="250">
        <f>'Baseline Health'!G88</f>
        <v>0</v>
      </c>
      <c r="K268" s="41"/>
    </row>
    <row r="269" spans="2:11" x14ac:dyDescent="0.2">
      <c r="B269" s="38"/>
      <c r="C269" s="40" t="s">
        <v>284</v>
      </c>
      <c r="D269" s="40"/>
      <c r="E269" s="40"/>
      <c r="F269" s="40"/>
      <c r="G269" s="40"/>
      <c r="H269" s="40"/>
      <c r="I269" s="40"/>
      <c r="J269" s="264"/>
      <c r="K269" s="41"/>
    </row>
    <row r="270" spans="2:11" x14ac:dyDescent="0.2">
      <c r="B270" s="38"/>
      <c r="C270" s="40" t="s">
        <v>285</v>
      </c>
      <c r="D270" s="40"/>
      <c r="E270" s="40"/>
      <c r="F270" s="40"/>
      <c r="G270" s="40"/>
      <c r="H270" s="40"/>
      <c r="I270" s="40"/>
      <c r="J270" s="259">
        <f>'Baseline Health'!G93</f>
        <v>0</v>
      </c>
      <c r="K270" s="41"/>
    </row>
    <row r="271" spans="2:11" x14ac:dyDescent="0.2">
      <c r="B271" s="38"/>
      <c r="C271" s="40" t="s">
        <v>286</v>
      </c>
      <c r="D271" s="40"/>
      <c r="E271" s="40"/>
      <c r="F271" s="40"/>
      <c r="G271" s="40"/>
      <c r="H271" s="40"/>
      <c r="I271" s="40"/>
      <c r="J271" s="250">
        <f>J184</f>
        <v>0</v>
      </c>
      <c r="K271" s="41"/>
    </row>
    <row r="272" spans="2:11" x14ac:dyDescent="0.2">
      <c r="B272" s="38"/>
      <c r="C272" s="40"/>
      <c r="D272" s="40" t="s">
        <v>432</v>
      </c>
      <c r="E272" s="40"/>
      <c r="F272" s="40"/>
      <c r="G272" s="40"/>
      <c r="H272" s="40"/>
      <c r="I272" s="40"/>
      <c r="J272" s="40"/>
      <c r="K272" s="41"/>
    </row>
    <row r="273" spans="2:14" x14ac:dyDescent="0.2">
      <c r="B273" s="38"/>
      <c r="C273" s="40" t="s">
        <v>292</v>
      </c>
      <c r="D273" s="40"/>
      <c r="E273" s="40"/>
      <c r="F273" s="40"/>
      <c r="G273" s="40"/>
      <c r="H273" s="40"/>
      <c r="I273" s="40"/>
      <c r="J273" s="258" t="str">
        <f>'Baseline Health'!G97</f>
        <v>N/A</v>
      </c>
      <c r="K273" s="41"/>
    </row>
    <row r="274" spans="2:14" x14ac:dyDescent="0.2">
      <c r="B274" s="38"/>
      <c r="C274" s="40" t="s">
        <v>293</v>
      </c>
      <c r="D274" s="40"/>
      <c r="E274" s="40"/>
      <c r="F274" s="40"/>
      <c r="G274" s="40"/>
      <c r="H274" s="40"/>
      <c r="I274" s="40"/>
      <c r="J274" s="258" t="str">
        <f>IF(J273="N/A","N/A",IF(J268-J269=0,"No Nurses",((J270+J271)/(J268-J269))))</f>
        <v>N/A</v>
      </c>
      <c r="K274" s="41"/>
    </row>
    <row r="275" spans="2:14" x14ac:dyDescent="0.2">
      <c r="B275" s="38"/>
      <c r="C275" s="40" t="s">
        <v>260</v>
      </c>
      <c r="D275" s="40"/>
      <c r="E275" s="40"/>
      <c r="F275" s="40"/>
      <c r="G275" s="40"/>
      <c r="H275" s="40"/>
      <c r="I275" s="40"/>
      <c r="J275" s="245">
        <f>IF(J273=0,"Not Calculated",IF(J274="N/A",0,IF(J274="No Nurses",4,IF((J274/J273)&lt;=1,0,IF((J274/J273)&lt;=1.1,1,IF((J274/J273)&lt;=1=1.25,2,IF((J274/J273)&lt;=1.5,3,4)))))))</f>
        <v>0</v>
      </c>
      <c r="K275" s="41"/>
    </row>
    <row r="276" spans="2:14" ht="9.75" customHeight="1" x14ac:dyDescent="0.2">
      <c r="B276" s="38"/>
      <c r="C276" s="279" t="str">
        <f>"0:"</f>
        <v>0:</v>
      </c>
      <c r="D276" s="278" t="s">
        <v>927</v>
      </c>
      <c r="E276" s="40"/>
      <c r="F276" s="40"/>
      <c r="G276" s="40"/>
      <c r="H276" s="40"/>
      <c r="I276" s="40"/>
      <c r="J276" s="258"/>
      <c r="K276" s="41"/>
    </row>
    <row r="277" spans="2:14" ht="9.75" customHeight="1" x14ac:dyDescent="0.2">
      <c r="B277" s="38"/>
      <c r="C277" s="280" t="str">
        <f>"1:"</f>
        <v>1:</v>
      </c>
      <c r="D277" s="278" t="s">
        <v>928</v>
      </c>
      <c r="E277" s="40"/>
      <c r="F277" s="40"/>
      <c r="G277" s="40"/>
      <c r="H277" s="40"/>
      <c r="I277" s="40"/>
      <c r="J277" s="258"/>
      <c r="K277" s="41"/>
    </row>
    <row r="278" spans="2:14" ht="9.75" customHeight="1" x14ac:dyDescent="0.2">
      <c r="B278" s="38"/>
      <c r="C278" s="280" t="str">
        <f>"2:"</f>
        <v>2:</v>
      </c>
      <c r="D278" s="278" t="s">
        <v>929</v>
      </c>
      <c r="E278" s="40"/>
      <c r="F278" s="40"/>
      <c r="G278" s="40"/>
      <c r="H278" s="40"/>
      <c r="I278" s="40"/>
      <c r="J278" s="258"/>
      <c r="K278" s="41"/>
    </row>
    <row r="279" spans="2:14" ht="9.75" customHeight="1" x14ac:dyDescent="0.2">
      <c r="B279" s="38"/>
      <c r="C279" s="280" t="str">
        <f>"3:"</f>
        <v>3:</v>
      </c>
      <c r="D279" s="278" t="s">
        <v>930</v>
      </c>
      <c r="E279" s="40"/>
      <c r="F279" s="40"/>
      <c r="G279" s="40"/>
      <c r="H279" s="40"/>
      <c r="I279" s="40"/>
      <c r="J279" s="258"/>
      <c r="K279" s="41"/>
    </row>
    <row r="280" spans="2:14" ht="9.75" customHeight="1" x14ac:dyDescent="0.2">
      <c r="B280" s="38"/>
      <c r="C280" s="280" t="str">
        <f>"4:"</f>
        <v>4:</v>
      </c>
      <c r="D280" s="278" t="s">
        <v>931</v>
      </c>
      <c r="E280" s="40"/>
      <c r="F280" s="40"/>
      <c r="G280" s="40"/>
      <c r="H280" s="40"/>
      <c r="I280" s="40"/>
      <c r="J280" s="40"/>
      <c r="K280" s="41"/>
      <c r="N280" s="12" t="s">
        <v>661</v>
      </c>
    </row>
    <row r="281" spans="2:14" x14ac:dyDescent="0.2">
      <c r="B281" s="38"/>
      <c r="C281" s="174" t="s">
        <v>662</v>
      </c>
      <c r="D281" s="40"/>
      <c r="E281" s="40"/>
      <c r="F281" s="40"/>
      <c r="G281" s="40"/>
      <c r="H281" s="40"/>
      <c r="I281" s="40"/>
      <c r="J281" s="265" t="s">
        <v>661</v>
      </c>
      <c r="K281" s="41"/>
      <c r="N281" s="12" t="s">
        <v>903</v>
      </c>
    </row>
    <row r="282" spans="2:14" x14ac:dyDescent="0.2">
      <c r="B282" s="38"/>
      <c r="C282" s="174" t="s">
        <v>660</v>
      </c>
      <c r="D282" s="40"/>
      <c r="E282" s="40"/>
      <c r="F282" s="40"/>
      <c r="G282" s="40"/>
      <c r="H282" s="40"/>
      <c r="I282" s="40"/>
      <c r="J282" s="246" t="str">
        <f>IF(J281=N280,"N/A",IF(J281=N281,0,IF(J281=N282,1,IF(J281=N283,2,IF(J281=N284,3,IF(J281=N285,4,"N/A"))))))</f>
        <v>N/A</v>
      </c>
      <c r="K282" s="41"/>
      <c r="N282" s="12" t="s">
        <v>904</v>
      </c>
    </row>
    <row r="283" spans="2:14" x14ac:dyDescent="0.2">
      <c r="B283" s="38"/>
      <c r="C283" s="40" t="s">
        <v>257</v>
      </c>
      <c r="D283" s="40"/>
      <c r="E283" s="40"/>
      <c r="F283" s="40"/>
      <c r="G283" s="40"/>
      <c r="H283" s="40"/>
      <c r="I283" s="40"/>
      <c r="J283" s="266"/>
      <c r="K283" s="41"/>
      <c r="N283" s="12" t="s">
        <v>905</v>
      </c>
    </row>
    <row r="284" spans="2:14" x14ac:dyDescent="0.2">
      <c r="B284" s="38"/>
      <c r="C284" s="40" t="s">
        <v>261</v>
      </c>
      <c r="D284" s="40"/>
      <c r="E284" s="40"/>
      <c r="F284" s="40"/>
      <c r="G284" s="40"/>
      <c r="H284" s="40"/>
      <c r="I284" s="40"/>
      <c r="J284" s="248" t="str">
        <f>IF(J283=$B$973,$A$973,IF(J283=$B$974,$A$974,IF(J283=$B$975,$A$975,IF(J283=$B$976,$A$976,IF(J283=$B$977,$A$977,"Not Calculated")))))</f>
        <v>Not Calculated</v>
      </c>
      <c r="K284" s="41"/>
      <c r="N284" s="12" t="s">
        <v>906</v>
      </c>
    </row>
    <row r="285" spans="2:14" x14ac:dyDescent="0.2">
      <c r="B285" s="38"/>
      <c r="C285" s="40" t="s">
        <v>893</v>
      </c>
      <c r="D285" s="40"/>
      <c r="E285" s="40"/>
      <c r="F285" s="40"/>
      <c r="G285" s="40"/>
      <c r="H285" s="40"/>
      <c r="I285" s="40"/>
      <c r="J285" s="40"/>
      <c r="K285" s="41"/>
      <c r="N285" s="12" t="s">
        <v>907</v>
      </c>
    </row>
    <row r="286" spans="2:14" x14ac:dyDescent="0.2">
      <c r="B286" s="38"/>
      <c r="C286" s="399"/>
      <c r="D286" s="400"/>
      <c r="E286" s="400"/>
      <c r="F286" s="400"/>
      <c r="G286" s="400"/>
      <c r="H286" s="400"/>
      <c r="I286" s="400"/>
      <c r="J286" s="401"/>
      <c r="K286" s="41"/>
    </row>
    <row r="287" spans="2:14" x14ac:dyDescent="0.2">
      <c r="B287" s="38"/>
      <c r="C287" s="40"/>
      <c r="D287" s="40"/>
      <c r="E287" s="40"/>
      <c r="F287" s="40"/>
      <c r="G287" s="40"/>
      <c r="H287" s="40"/>
      <c r="I287" s="40"/>
      <c r="J287" s="40"/>
      <c r="K287" s="41"/>
    </row>
    <row r="288" spans="2:14" x14ac:dyDescent="0.2">
      <c r="B288" s="38"/>
      <c r="C288" s="179" t="s">
        <v>295</v>
      </c>
      <c r="D288" s="40"/>
      <c r="E288" s="40"/>
      <c r="F288" s="40"/>
      <c r="G288" s="40"/>
      <c r="H288" s="40"/>
      <c r="I288" s="40"/>
      <c r="J288" s="245" t="str">
        <f>IF(J282="N/A",IF(OR(J275="Not Calculated",J284="Not Calculated")=TRUE,"Not Calculated",AVERAGE(J275,J284)),AVERAGE(J282,J284))</f>
        <v>Not Calculated</v>
      </c>
      <c r="K288" s="41"/>
    </row>
    <row r="289" spans="2:11" x14ac:dyDescent="0.2">
      <c r="B289" s="38"/>
      <c r="C289" s="40"/>
      <c r="D289" s="40"/>
      <c r="E289" s="40"/>
      <c r="F289" s="40"/>
      <c r="G289" s="40"/>
      <c r="H289" s="40"/>
      <c r="I289" s="40"/>
      <c r="J289" s="245"/>
      <c r="K289" s="41"/>
    </row>
    <row r="290" spans="2:11" x14ac:dyDescent="0.2">
      <c r="B290" s="38"/>
      <c r="C290" s="40"/>
      <c r="D290" s="40"/>
      <c r="E290" s="40"/>
      <c r="F290" s="40"/>
      <c r="G290" s="40"/>
      <c r="H290" s="40"/>
      <c r="I290" s="40"/>
      <c r="J290" s="40"/>
      <c r="K290" s="41"/>
    </row>
    <row r="291" spans="2:11" ht="16" x14ac:dyDescent="0.2">
      <c r="B291" s="38"/>
      <c r="C291" s="45" t="s">
        <v>856</v>
      </c>
      <c r="D291" s="40"/>
      <c r="E291" s="40"/>
      <c r="F291" s="40"/>
      <c r="G291" s="40"/>
      <c r="H291" s="40"/>
      <c r="I291" s="40"/>
      <c r="J291" s="40"/>
      <c r="K291" s="41"/>
    </row>
    <row r="292" spans="2:11" ht="15" customHeight="1" x14ac:dyDescent="0.2">
      <c r="B292" s="38"/>
      <c r="C292" s="380" t="s">
        <v>855</v>
      </c>
      <c r="D292" s="380"/>
      <c r="E292" s="380"/>
      <c r="F292" s="380"/>
      <c r="G292" s="380"/>
      <c r="H292" s="380"/>
      <c r="I292" s="380"/>
      <c r="J292" s="40"/>
      <c r="K292" s="41"/>
    </row>
    <row r="293" spans="2:11" x14ac:dyDescent="0.2">
      <c r="B293" s="38"/>
      <c r="C293" s="380"/>
      <c r="D293" s="380"/>
      <c r="E293" s="380"/>
      <c r="F293" s="380"/>
      <c r="G293" s="380"/>
      <c r="H293" s="380"/>
      <c r="I293" s="380"/>
      <c r="J293" s="264"/>
      <c r="K293" s="41"/>
    </row>
    <row r="294" spans="2:11" x14ac:dyDescent="0.2">
      <c r="B294" s="38"/>
      <c r="C294" s="40" t="s">
        <v>853</v>
      </c>
      <c r="D294" s="291"/>
      <c r="E294" s="291"/>
      <c r="F294" s="291"/>
      <c r="G294" s="291"/>
      <c r="H294" s="291"/>
      <c r="I294" s="291"/>
      <c r="J294" s="255">
        <f>'Baseline Health'!$G$102</f>
        <v>0</v>
      </c>
      <c r="K294" s="41"/>
    </row>
    <row r="295" spans="2:11" x14ac:dyDescent="0.2">
      <c r="B295" s="38"/>
      <c r="C295" s="40" t="s">
        <v>842</v>
      </c>
      <c r="D295" s="40"/>
      <c r="E295" s="40"/>
      <c r="F295" s="40"/>
      <c r="G295" s="40"/>
      <c r="H295" s="40"/>
      <c r="I295" s="40"/>
      <c r="J295" s="244" t="str">
        <f>IF('Baseline Health'!$G$102=0,"Not Calculated",100*J293/'Baseline Health'!$G$102)</f>
        <v>Not Calculated</v>
      </c>
      <c r="K295" s="41"/>
    </row>
    <row r="296" spans="2:11" x14ac:dyDescent="0.2">
      <c r="B296" s="38"/>
      <c r="C296" s="40" t="s">
        <v>260</v>
      </c>
      <c r="D296" s="40"/>
      <c r="E296" s="40"/>
      <c r="F296" s="40"/>
      <c r="G296" s="40"/>
      <c r="H296" s="40"/>
      <c r="I296" s="40"/>
      <c r="J296" s="245">
        <f>IF(J295&lt;=0,0,IF(J295&lt;=1,1,IF(J295&lt;=5,2,IF(J295&lt;=10,3,4))))</f>
        <v>4</v>
      </c>
      <c r="K296" s="41"/>
    </row>
    <row r="297" spans="2:11" ht="9.75" customHeight="1" x14ac:dyDescent="0.2">
      <c r="B297" s="38"/>
      <c r="C297" s="279" t="str">
        <f>"0:"</f>
        <v>0:</v>
      </c>
      <c r="D297" s="278" t="s">
        <v>932</v>
      </c>
      <c r="E297" s="40"/>
      <c r="F297" s="40"/>
      <c r="G297" s="40"/>
      <c r="H297" s="40"/>
      <c r="I297" s="40"/>
      <c r="J297" s="244"/>
      <c r="K297" s="41"/>
    </row>
    <row r="298" spans="2:11" ht="9.75" customHeight="1" x14ac:dyDescent="0.2">
      <c r="B298" s="38"/>
      <c r="C298" s="280" t="str">
        <f>"1:"</f>
        <v>1:</v>
      </c>
      <c r="D298" s="278" t="s">
        <v>934</v>
      </c>
      <c r="E298" s="40"/>
      <c r="F298" s="40"/>
      <c r="G298" s="40"/>
      <c r="H298" s="40"/>
      <c r="I298" s="40"/>
      <c r="J298" s="244"/>
      <c r="K298" s="41"/>
    </row>
    <row r="299" spans="2:11" ht="9.75" customHeight="1" x14ac:dyDescent="0.2">
      <c r="B299" s="38"/>
      <c r="C299" s="280" t="str">
        <f>"2:"</f>
        <v>2:</v>
      </c>
      <c r="D299" s="278" t="s">
        <v>933</v>
      </c>
      <c r="E299" s="40"/>
      <c r="F299" s="40"/>
      <c r="G299" s="40"/>
      <c r="H299" s="40"/>
      <c r="I299" s="40"/>
      <c r="J299" s="244"/>
      <c r="K299" s="41"/>
    </row>
    <row r="300" spans="2:11" ht="9.75" customHeight="1" x14ac:dyDescent="0.2">
      <c r="B300" s="38"/>
      <c r="C300" s="280" t="str">
        <f>"3:"</f>
        <v>3:</v>
      </c>
      <c r="D300" s="278" t="s">
        <v>935</v>
      </c>
      <c r="E300" s="40"/>
      <c r="F300" s="40"/>
      <c r="G300" s="40"/>
      <c r="H300" s="40"/>
      <c r="I300" s="40"/>
      <c r="J300" s="244"/>
      <c r="K300" s="41"/>
    </row>
    <row r="301" spans="2:11" ht="9.75" customHeight="1" x14ac:dyDescent="0.2">
      <c r="B301" s="38"/>
      <c r="C301" s="280" t="str">
        <f>"4:"</f>
        <v>4:</v>
      </c>
      <c r="D301" s="278" t="s">
        <v>936</v>
      </c>
      <c r="E301" s="40"/>
      <c r="F301" s="40"/>
      <c r="G301" s="40"/>
      <c r="H301" s="40"/>
      <c r="I301" s="40"/>
      <c r="J301" s="40"/>
      <c r="K301" s="41"/>
    </row>
    <row r="302" spans="2:11" x14ac:dyDescent="0.2">
      <c r="B302" s="38"/>
      <c r="C302" s="40" t="s">
        <v>257</v>
      </c>
      <c r="D302" s="40"/>
      <c r="E302" s="40"/>
      <c r="F302" s="40"/>
      <c r="G302" s="40"/>
      <c r="H302" s="40"/>
      <c r="I302" s="40"/>
      <c r="J302" s="266"/>
      <c r="K302" s="41"/>
    </row>
    <row r="303" spans="2:11" x14ac:dyDescent="0.2">
      <c r="B303" s="38"/>
      <c r="C303" s="40" t="s">
        <v>261</v>
      </c>
      <c r="D303" s="40"/>
      <c r="E303" s="40"/>
      <c r="F303" s="40"/>
      <c r="G303" s="40"/>
      <c r="H303" s="40"/>
      <c r="I303" s="40"/>
      <c r="J303" s="245" t="str">
        <f>IF(J302=$B$980,$A$980,IF(J302=$B$981,$A$981,IF(J302=$B$982,$A$982,IF(J302=$B$983,$A$983,IF(J302=$B$984,$A$984,"Not Calculated")))))</f>
        <v>Not Calculated</v>
      </c>
      <c r="K303" s="41"/>
    </row>
    <row r="304" spans="2:11" x14ac:dyDescent="0.2">
      <c r="B304" s="38"/>
      <c r="C304" s="40" t="s">
        <v>893</v>
      </c>
      <c r="D304" s="40"/>
      <c r="E304" s="40"/>
      <c r="F304" s="40"/>
      <c r="G304" s="40"/>
      <c r="H304" s="40"/>
      <c r="I304" s="40"/>
      <c r="J304" s="40"/>
      <c r="K304" s="41"/>
    </row>
    <row r="305" spans="2:11" ht="15" customHeight="1" x14ac:dyDescent="0.2">
      <c r="B305" s="38"/>
      <c r="C305" s="399"/>
      <c r="D305" s="400"/>
      <c r="E305" s="400"/>
      <c r="F305" s="400"/>
      <c r="G305" s="400"/>
      <c r="H305" s="400"/>
      <c r="I305" s="400"/>
      <c r="J305" s="401"/>
      <c r="K305" s="41"/>
    </row>
    <row r="306" spans="2:11" x14ac:dyDescent="0.2">
      <c r="B306" s="38"/>
      <c r="C306" s="40"/>
      <c r="D306" s="40"/>
      <c r="E306" s="40"/>
      <c r="F306" s="40"/>
      <c r="G306" s="40"/>
      <c r="H306" s="40"/>
      <c r="I306" s="40"/>
      <c r="J306" s="40"/>
      <c r="K306" s="41"/>
    </row>
    <row r="307" spans="2:11" x14ac:dyDescent="0.2">
      <c r="B307" s="38"/>
      <c r="C307" s="179" t="s">
        <v>885</v>
      </c>
      <c r="D307" s="40"/>
      <c r="E307" s="40"/>
      <c r="F307" s="40"/>
      <c r="G307" s="40"/>
      <c r="H307" s="40"/>
      <c r="I307" s="40"/>
      <c r="J307" s="245" t="str">
        <f>IF(OR(J296="Not Calculated",J303="Not Calculated")=TRUE,"Not Calculated",AVERAGE(J296,J303))</f>
        <v>Not Calculated</v>
      </c>
      <c r="K307" s="41"/>
    </row>
    <row r="308" spans="2:11" x14ac:dyDescent="0.2">
      <c r="B308" s="38"/>
      <c r="C308" s="40"/>
      <c r="D308" s="40"/>
      <c r="E308" s="40"/>
      <c r="F308" s="40"/>
      <c r="G308" s="40"/>
      <c r="H308" s="40"/>
      <c r="I308" s="40"/>
      <c r="J308" s="40"/>
      <c r="K308" s="41"/>
    </row>
    <row r="309" spans="2:11" x14ac:dyDescent="0.2">
      <c r="B309" s="38"/>
      <c r="C309" s="40"/>
      <c r="D309" s="40"/>
      <c r="E309" s="40"/>
      <c r="F309" s="40"/>
      <c r="G309" s="40"/>
      <c r="H309" s="40"/>
      <c r="I309" s="40"/>
      <c r="J309" s="40"/>
      <c r="K309" s="41"/>
    </row>
    <row r="310" spans="2:11" ht="16" x14ac:dyDescent="0.2">
      <c r="B310" s="38"/>
      <c r="C310" s="45" t="s">
        <v>857</v>
      </c>
      <c r="D310" s="40"/>
      <c r="E310" s="40"/>
      <c r="F310" s="40"/>
      <c r="G310" s="40"/>
      <c r="H310" s="40"/>
      <c r="I310" s="40"/>
      <c r="J310" s="40"/>
      <c r="K310" s="41"/>
    </row>
    <row r="311" spans="2:11" x14ac:dyDescent="0.2">
      <c r="B311" s="38"/>
      <c r="C311" s="380" t="s">
        <v>843</v>
      </c>
      <c r="D311" s="380"/>
      <c r="E311" s="380"/>
      <c r="F311" s="380"/>
      <c r="G311" s="380"/>
      <c r="H311" s="380"/>
      <c r="I311" s="380"/>
      <c r="J311" s="40"/>
      <c r="K311" s="41"/>
    </row>
    <row r="312" spans="2:11" x14ac:dyDescent="0.2">
      <c r="B312" s="38"/>
      <c r="C312" s="380"/>
      <c r="D312" s="380"/>
      <c r="E312" s="380"/>
      <c r="F312" s="380"/>
      <c r="G312" s="380"/>
      <c r="H312" s="380"/>
      <c r="I312" s="380"/>
      <c r="J312" s="264"/>
      <c r="K312" s="41"/>
    </row>
    <row r="313" spans="2:11" x14ac:dyDescent="0.2">
      <c r="B313" s="38"/>
      <c r="C313" s="40" t="s">
        <v>853</v>
      </c>
      <c r="D313" s="291"/>
      <c r="E313" s="291"/>
      <c r="F313" s="291"/>
      <c r="G313" s="291"/>
      <c r="H313" s="291"/>
      <c r="I313" s="291"/>
      <c r="J313" s="255">
        <f>'Baseline Health'!$G$102</f>
        <v>0</v>
      </c>
      <c r="K313" s="41"/>
    </row>
    <row r="314" spans="2:11" x14ac:dyDescent="0.2">
      <c r="B314" s="38"/>
      <c r="C314" s="40" t="s">
        <v>842</v>
      </c>
      <c r="D314" s="40"/>
      <c r="E314" s="40"/>
      <c r="F314" s="40"/>
      <c r="G314" s="40"/>
      <c r="H314" s="40"/>
      <c r="I314" s="40"/>
      <c r="J314" s="244" t="str">
        <f>IF('Baseline Health'!$G$102=0,"Not Calculated",100*J312/'Baseline Health'!$G$102)</f>
        <v>Not Calculated</v>
      </c>
      <c r="K314" s="41"/>
    </row>
    <row r="315" spans="2:11" x14ac:dyDescent="0.2">
      <c r="B315" s="38"/>
      <c r="C315" s="40" t="s">
        <v>260</v>
      </c>
      <c r="D315" s="40"/>
      <c r="E315" s="40"/>
      <c r="F315" s="40"/>
      <c r="G315" s="40"/>
      <c r="H315" s="40"/>
      <c r="I315" s="40"/>
      <c r="J315" s="245">
        <f>IF(J314&lt;=0,0,IF(J314&lt;=1,1,IF(J314&lt;=5,2,IF(J314&lt;=10,3,4))))</f>
        <v>4</v>
      </c>
      <c r="K315" s="41"/>
    </row>
    <row r="316" spans="2:11" ht="9.75" customHeight="1" x14ac:dyDescent="0.2">
      <c r="B316" s="38"/>
      <c r="C316" s="279" t="str">
        <f>"0:"</f>
        <v>0:</v>
      </c>
      <c r="D316" s="278" t="s">
        <v>932</v>
      </c>
      <c r="E316" s="40"/>
      <c r="F316" s="40"/>
      <c r="G316" s="40"/>
      <c r="H316" s="40"/>
      <c r="I316" s="40"/>
      <c r="J316" s="244"/>
      <c r="K316" s="41"/>
    </row>
    <row r="317" spans="2:11" ht="9.75" customHeight="1" x14ac:dyDescent="0.2">
      <c r="B317" s="38"/>
      <c r="C317" s="280" t="str">
        <f>"1:"</f>
        <v>1:</v>
      </c>
      <c r="D317" s="278" t="s">
        <v>934</v>
      </c>
      <c r="E317" s="40"/>
      <c r="F317" s="40"/>
      <c r="G317" s="40"/>
      <c r="H317" s="40"/>
      <c r="I317" s="40"/>
      <c r="J317" s="244"/>
      <c r="K317" s="41"/>
    </row>
    <row r="318" spans="2:11" ht="9.75" customHeight="1" x14ac:dyDescent="0.2">
      <c r="B318" s="38"/>
      <c r="C318" s="280" t="str">
        <f>"2:"</f>
        <v>2:</v>
      </c>
      <c r="D318" s="278" t="s">
        <v>933</v>
      </c>
      <c r="E318" s="40"/>
      <c r="F318" s="40"/>
      <c r="G318" s="40"/>
      <c r="H318" s="40"/>
      <c r="I318" s="40"/>
      <c r="J318" s="244"/>
      <c r="K318" s="41"/>
    </row>
    <row r="319" spans="2:11" ht="9.75" customHeight="1" x14ac:dyDescent="0.2">
      <c r="B319" s="38"/>
      <c r="C319" s="280" t="str">
        <f>"3:"</f>
        <v>3:</v>
      </c>
      <c r="D319" s="278" t="s">
        <v>935</v>
      </c>
      <c r="E319" s="40"/>
      <c r="F319" s="40"/>
      <c r="G319" s="40"/>
      <c r="H319" s="40"/>
      <c r="I319" s="40"/>
      <c r="J319" s="244"/>
      <c r="K319" s="41"/>
    </row>
    <row r="320" spans="2:11" ht="9.75" customHeight="1" x14ac:dyDescent="0.2">
      <c r="B320" s="38"/>
      <c r="C320" s="280" t="str">
        <f>"4:"</f>
        <v>4:</v>
      </c>
      <c r="D320" s="278" t="s">
        <v>936</v>
      </c>
      <c r="E320" s="40"/>
      <c r="F320" s="40"/>
      <c r="G320" s="40"/>
      <c r="H320" s="40"/>
      <c r="I320" s="40"/>
      <c r="J320" s="40"/>
      <c r="K320" s="41"/>
    </row>
    <row r="321" spans="2:11" x14ac:dyDescent="0.2">
      <c r="B321" s="38"/>
      <c r="C321" s="40" t="s">
        <v>296</v>
      </c>
      <c r="D321" s="40"/>
      <c r="E321" s="40"/>
      <c r="F321" s="40"/>
      <c r="G321" s="40"/>
      <c r="H321" s="40"/>
      <c r="I321" s="40"/>
      <c r="J321" s="266"/>
      <c r="K321" s="41"/>
    </row>
    <row r="322" spans="2:11" x14ac:dyDescent="0.2">
      <c r="B322" s="38"/>
      <c r="C322" s="40" t="s">
        <v>261</v>
      </c>
      <c r="D322" s="40"/>
      <c r="E322" s="40"/>
      <c r="F322" s="40"/>
      <c r="G322" s="40"/>
      <c r="H322" s="40"/>
      <c r="I322" s="40"/>
      <c r="J322" s="245">
        <f>IF(J321&lt;=0,0,IF(J321&lt;=2,1,IF(J321&lt;=6,2,IF(J321&lt;=12,3,4))))</f>
        <v>0</v>
      </c>
      <c r="K322" s="41"/>
    </row>
    <row r="323" spans="2:11" x14ac:dyDescent="0.2">
      <c r="B323" s="38"/>
      <c r="C323" s="40" t="s">
        <v>893</v>
      </c>
      <c r="D323" s="40"/>
      <c r="E323" s="40"/>
      <c r="F323" s="40"/>
      <c r="G323" s="40"/>
      <c r="H323" s="40"/>
      <c r="I323" s="40"/>
      <c r="J323" s="40"/>
      <c r="K323" s="41"/>
    </row>
    <row r="324" spans="2:11" ht="15" customHeight="1" x14ac:dyDescent="0.2">
      <c r="B324" s="38"/>
      <c r="C324" s="399"/>
      <c r="D324" s="400"/>
      <c r="E324" s="400"/>
      <c r="F324" s="400"/>
      <c r="G324" s="400"/>
      <c r="H324" s="400"/>
      <c r="I324" s="400"/>
      <c r="J324" s="401"/>
      <c r="K324" s="41"/>
    </row>
    <row r="325" spans="2:11" x14ac:dyDescent="0.2">
      <c r="B325" s="38"/>
      <c r="C325" s="40"/>
      <c r="D325" s="40"/>
      <c r="E325" s="40"/>
      <c r="F325" s="40"/>
      <c r="G325" s="40"/>
      <c r="H325" s="40"/>
      <c r="I325" s="40"/>
      <c r="J325" s="40"/>
      <c r="K325" s="41"/>
    </row>
    <row r="326" spans="2:11" x14ac:dyDescent="0.2">
      <c r="B326" s="38"/>
      <c r="C326" s="179" t="s">
        <v>886</v>
      </c>
      <c r="D326" s="40"/>
      <c r="E326" s="40"/>
      <c r="F326" s="40"/>
      <c r="G326" s="40"/>
      <c r="H326" s="40"/>
      <c r="I326" s="40"/>
      <c r="J326" s="245">
        <f>IF(OR(J315="Not Calculated",J322="Not Calculated")=TRUE,"Not Calculated",AVERAGE(J315,J322))</f>
        <v>2</v>
      </c>
      <c r="K326" s="41"/>
    </row>
    <row r="327" spans="2:11" x14ac:dyDescent="0.2">
      <c r="B327" s="38"/>
      <c r="C327" s="40"/>
      <c r="D327" s="40"/>
      <c r="E327" s="40"/>
      <c r="F327" s="40"/>
      <c r="G327" s="40"/>
      <c r="H327" s="40"/>
      <c r="I327" s="40"/>
      <c r="J327" s="40"/>
      <c r="K327" s="41"/>
    </row>
    <row r="328" spans="2:11" x14ac:dyDescent="0.2">
      <c r="B328" s="38"/>
      <c r="C328" s="40"/>
      <c r="D328" s="40"/>
      <c r="E328" s="40"/>
      <c r="F328" s="40"/>
      <c r="G328" s="40"/>
      <c r="H328" s="40"/>
      <c r="I328" s="40"/>
      <c r="J328" s="40"/>
      <c r="K328" s="41"/>
    </row>
    <row r="329" spans="2:11" ht="16" x14ac:dyDescent="0.2">
      <c r="B329" s="38"/>
      <c r="C329" s="45" t="s">
        <v>858</v>
      </c>
      <c r="D329" s="40"/>
      <c r="E329" s="40"/>
      <c r="F329" s="40"/>
      <c r="G329" s="40"/>
      <c r="H329" s="40"/>
      <c r="I329" s="40"/>
      <c r="J329" s="40"/>
      <c r="K329" s="41"/>
    </row>
    <row r="330" spans="2:11" ht="15" customHeight="1" x14ac:dyDescent="0.2">
      <c r="B330" s="38"/>
      <c r="C330" s="380" t="s">
        <v>844</v>
      </c>
      <c r="D330" s="380"/>
      <c r="E330" s="380"/>
      <c r="F330" s="380"/>
      <c r="G330" s="380"/>
      <c r="H330" s="380"/>
      <c r="I330" s="380"/>
      <c r="J330" s="40"/>
      <c r="K330" s="41"/>
    </row>
    <row r="331" spans="2:11" x14ac:dyDescent="0.2">
      <c r="B331" s="38"/>
      <c r="C331" s="380"/>
      <c r="D331" s="380"/>
      <c r="E331" s="380"/>
      <c r="F331" s="380"/>
      <c r="G331" s="380"/>
      <c r="H331" s="380"/>
      <c r="I331" s="380"/>
      <c r="J331" s="264"/>
      <c r="K331" s="41"/>
    </row>
    <row r="332" spans="2:11" x14ac:dyDescent="0.2">
      <c r="B332" s="38"/>
      <c r="C332" s="40" t="s">
        <v>853</v>
      </c>
      <c r="D332" s="291"/>
      <c r="E332" s="291"/>
      <c r="F332" s="291"/>
      <c r="G332" s="291"/>
      <c r="H332" s="291"/>
      <c r="I332" s="291"/>
      <c r="J332" s="255">
        <f>'Baseline Health'!$G$102</f>
        <v>0</v>
      </c>
      <c r="K332" s="41"/>
    </row>
    <row r="333" spans="2:11" x14ac:dyDescent="0.2">
      <c r="B333" s="38"/>
      <c r="C333" s="40" t="s">
        <v>845</v>
      </c>
      <c r="D333" s="40"/>
      <c r="E333" s="40"/>
      <c r="F333" s="40"/>
      <c r="G333" s="40"/>
      <c r="H333" s="40"/>
      <c r="I333" s="40"/>
      <c r="J333" s="244" t="str">
        <f>IF('Baseline Health'!$G$102=0,"Not Calculated",100*J331/'Baseline Health'!$G$102)</f>
        <v>Not Calculated</v>
      </c>
      <c r="K333" s="41"/>
    </row>
    <row r="334" spans="2:11" x14ac:dyDescent="0.2">
      <c r="B334" s="38"/>
      <c r="C334" s="40" t="s">
        <v>260</v>
      </c>
      <c r="D334" s="40"/>
      <c r="E334" s="40"/>
      <c r="F334" s="40"/>
      <c r="G334" s="40"/>
      <c r="H334" s="40"/>
      <c r="I334" s="40"/>
      <c r="J334" s="245">
        <f>IF(J333&lt;=0,0,IF(J333&lt;=1,1,IF(J333&lt;=5,2,IF(J333&lt;=10,3,4))))</f>
        <v>4</v>
      </c>
      <c r="K334" s="41"/>
    </row>
    <row r="335" spans="2:11" ht="9.75" customHeight="1" x14ac:dyDescent="0.2">
      <c r="B335" s="38"/>
      <c r="C335" s="279" t="str">
        <f>"0:"</f>
        <v>0:</v>
      </c>
      <c r="D335" s="278" t="s">
        <v>932</v>
      </c>
      <c r="E335" s="40"/>
      <c r="F335" s="40"/>
      <c r="G335" s="40"/>
      <c r="H335" s="40"/>
      <c r="I335" s="40"/>
      <c r="J335" s="244"/>
      <c r="K335" s="41"/>
    </row>
    <row r="336" spans="2:11" ht="9.75" customHeight="1" x14ac:dyDescent="0.2">
      <c r="B336" s="38"/>
      <c r="C336" s="280" t="str">
        <f>"1:"</f>
        <v>1:</v>
      </c>
      <c r="D336" s="278" t="s">
        <v>934</v>
      </c>
      <c r="E336" s="40"/>
      <c r="F336" s="40"/>
      <c r="G336" s="40"/>
      <c r="H336" s="40"/>
      <c r="I336" s="40"/>
      <c r="J336" s="244"/>
      <c r="K336" s="41"/>
    </row>
    <row r="337" spans="2:11" ht="9.75" customHeight="1" x14ac:dyDescent="0.2">
      <c r="B337" s="38"/>
      <c r="C337" s="280" t="str">
        <f>"2:"</f>
        <v>2:</v>
      </c>
      <c r="D337" s="278" t="s">
        <v>933</v>
      </c>
      <c r="E337" s="40"/>
      <c r="F337" s="40"/>
      <c r="G337" s="40"/>
      <c r="H337" s="40"/>
      <c r="I337" s="40"/>
      <c r="J337" s="244"/>
      <c r="K337" s="41"/>
    </row>
    <row r="338" spans="2:11" ht="9.75" customHeight="1" x14ac:dyDescent="0.2">
      <c r="B338" s="38"/>
      <c r="C338" s="280" t="str">
        <f>"3:"</f>
        <v>3:</v>
      </c>
      <c r="D338" s="278" t="s">
        <v>935</v>
      </c>
      <c r="E338" s="40"/>
      <c r="F338" s="40"/>
      <c r="G338" s="40"/>
      <c r="H338" s="40"/>
      <c r="I338" s="40"/>
      <c r="J338" s="244"/>
      <c r="K338" s="41"/>
    </row>
    <row r="339" spans="2:11" ht="9.75" customHeight="1" x14ac:dyDescent="0.2">
      <c r="B339" s="38"/>
      <c r="C339" s="280" t="str">
        <f>"4:"</f>
        <v>4:</v>
      </c>
      <c r="D339" s="278" t="s">
        <v>936</v>
      </c>
      <c r="E339" s="40"/>
      <c r="F339" s="40"/>
      <c r="G339" s="40"/>
      <c r="H339" s="40"/>
      <c r="I339" s="40"/>
      <c r="J339" s="40"/>
      <c r="K339" s="41"/>
    </row>
    <row r="340" spans="2:11" x14ac:dyDescent="0.2">
      <c r="B340" s="38"/>
      <c r="C340" s="380" t="s">
        <v>84</v>
      </c>
      <c r="D340" s="380"/>
      <c r="E340" s="380"/>
      <c r="F340" s="380"/>
      <c r="G340" s="380"/>
      <c r="H340" s="380"/>
      <c r="I340" s="380"/>
      <c r="J340" s="245"/>
      <c r="K340" s="41"/>
    </row>
    <row r="341" spans="2:11" x14ac:dyDescent="0.2">
      <c r="B341" s="38"/>
      <c r="C341" s="380"/>
      <c r="D341" s="380"/>
      <c r="E341" s="380"/>
      <c r="F341" s="380"/>
      <c r="G341" s="380"/>
      <c r="H341" s="380"/>
      <c r="I341" s="380"/>
      <c r="J341" s="245">
        <f>'Baseline Health'!G108</f>
        <v>40</v>
      </c>
      <c r="K341" s="41"/>
    </row>
    <row r="342" spans="2:11" ht="15" customHeight="1" x14ac:dyDescent="0.2">
      <c r="B342" s="38"/>
      <c r="C342" s="40" t="s">
        <v>833</v>
      </c>
      <c r="D342" s="40"/>
      <c r="E342" s="40"/>
      <c r="F342" s="40"/>
      <c r="G342" s="40"/>
      <c r="H342" s="40"/>
      <c r="I342" s="40"/>
      <c r="J342" s="245">
        <f>IF(J341&gt;J321,0,J321-J341)</f>
        <v>0</v>
      </c>
      <c r="K342" s="41"/>
    </row>
    <row r="343" spans="2:11" x14ac:dyDescent="0.2">
      <c r="B343" s="38"/>
      <c r="C343" s="40"/>
      <c r="D343" s="380" t="s">
        <v>834</v>
      </c>
      <c r="E343" s="380"/>
      <c r="F343" s="380"/>
      <c r="G343" s="380"/>
      <c r="H343" s="380"/>
      <c r="I343" s="380"/>
      <c r="J343" s="40"/>
      <c r="K343" s="41"/>
    </row>
    <row r="344" spans="2:11" x14ac:dyDescent="0.2">
      <c r="B344" s="38"/>
      <c r="C344" s="40"/>
      <c r="D344" s="380"/>
      <c r="E344" s="380"/>
      <c r="F344" s="380"/>
      <c r="G344" s="380"/>
      <c r="H344" s="380"/>
      <c r="I344" s="380"/>
      <c r="J344" s="40"/>
      <c r="K344" s="41"/>
    </row>
    <row r="345" spans="2:11" x14ac:dyDescent="0.2">
      <c r="B345" s="38"/>
      <c r="C345" s="40" t="s">
        <v>261</v>
      </c>
      <c r="D345" s="40"/>
      <c r="E345" s="40"/>
      <c r="F345" s="40"/>
      <c r="G345" s="40"/>
      <c r="H345" s="40"/>
      <c r="I345" s="40"/>
      <c r="J345" s="245">
        <f>IF(J342&lt;=0,0,IF(J342&lt;=2,1,IF(J342&lt;=6,2,IF(J342&lt;=12,3,4))))</f>
        <v>0</v>
      </c>
      <c r="K345" s="41"/>
    </row>
    <row r="346" spans="2:11" x14ac:dyDescent="0.2">
      <c r="B346" s="38"/>
      <c r="C346" s="40" t="s">
        <v>893</v>
      </c>
      <c r="D346" s="40"/>
      <c r="E346" s="40"/>
      <c r="F346" s="40"/>
      <c r="G346" s="40"/>
      <c r="H346" s="40"/>
      <c r="I346" s="40"/>
      <c r="J346" s="40"/>
      <c r="K346" s="41"/>
    </row>
    <row r="347" spans="2:11" ht="15" customHeight="1" x14ac:dyDescent="0.2">
      <c r="B347" s="38"/>
      <c r="C347" s="399"/>
      <c r="D347" s="400"/>
      <c r="E347" s="400"/>
      <c r="F347" s="400"/>
      <c r="G347" s="400"/>
      <c r="H347" s="400"/>
      <c r="I347" s="400"/>
      <c r="J347" s="401"/>
      <c r="K347" s="41"/>
    </row>
    <row r="348" spans="2:11" x14ac:dyDescent="0.2">
      <c r="B348" s="38"/>
      <c r="C348" s="40"/>
      <c r="D348" s="40"/>
      <c r="E348" s="40"/>
      <c r="F348" s="40"/>
      <c r="G348" s="40"/>
      <c r="H348" s="40"/>
      <c r="I348" s="40"/>
      <c r="J348" s="40"/>
      <c r="K348" s="41"/>
    </row>
    <row r="349" spans="2:11" x14ac:dyDescent="0.2">
      <c r="B349" s="38"/>
      <c r="C349" s="179" t="s">
        <v>887</v>
      </c>
      <c r="D349" s="40"/>
      <c r="E349" s="40"/>
      <c r="F349" s="40"/>
      <c r="G349" s="40"/>
      <c r="H349" s="40"/>
      <c r="I349" s="40"/>
      <c r="J349" s="245">
        <f>IF(OR(J334="Not Calculated",J345="Not Calculated")=TRUE,"Not Calculated",AVERAGE(J334,J345))</f>
        <v>2</v>
      </c>
      <c r="K349" s="41"/>
    </row>
    <row r="350" spans="2:11" x14ac:dyDescent="0.2">
      <c r="B350" s="38"/>
      <c r="C350" s="40"/>
      <c r="D350" s="40"/>
      <c r="E350" s="40"/>
      <c r="F350" s="40"/>
      <c r="G350" s="40"/>
      <c r="H350" s="40"/>
      <c r="I350" s="40"/>
      <c r="J350" s="40"/>
      <c r="K350" s="41"/>
    </row>
    <row r="351" spans="2:11" x14ac:dyDescent="0.2">
      <c r="B351" s="38"/>
      <c r="C351" s="40"/>
      <c r="D351" s="40"/>
      <c r="E351" s="40"/>
      <c r="F351" s="40"/>
      <c r="G351" s="40"/>
      <c r="H351" s="40"/>
      <c r="I351" s="40"/>
      <c r="J351" s="40"/>
      <c r="K351" s="41"/>
    </row>
    <row r="352" spans="2:11" ht="15" customHeight="1" x14ac:dyDescent="0.2">
      <c r="B352" s="38"/>
      <c r="C352" s="45" t="s">
        <v>859</v>
      </c>
      <c r="D352" s="40"/>
      <c r="E352" s="40"/>
      <c r="F352" s="40"/>
      <c r="G352" s="40"/>
      <c r="H352" s="40"/>
      <c r="I352" s="40"/>
      <c r="J352" s="40"/>
      <c r="K352" s="41"/>
    </row>
    <row r="353" spans="2:11" x14ac:dyDescent="0.2">
      <c r="B353" s="38"/>
      <c r="C353" s="40" t="s">
        <v>846</v>
      </c>
      <c r="D353" s="40"/>
      <c r="E353" s="40"/>
      <c r="F353" s="40"/>
      <c r="G353" s="40"/>
      <c r="H353" s="40"/>
      <c r="I353" s="40"/>
      <c r="J353" s="264"/>
      <c r="K353" s="41"/>
    </row>
    <row r="354" spans="2:11" x14ac:dyDescent="0.2">
      <c r="B354" s="38"/>
      <c r="C354" s="40" t="s">
        <v>854</v>
      </c>
      <c r="D354" s="40"/>
      <c r="E354" s="40"/>
      <c r="F354" s="40"/>
      <c r="G354" s="40"/>
      <c r="H354" s="40"/>
      <c r="I354" s="40"/>
      <c r="J354" s="255">
        <f>'Baseline Health'!$G$59</f>
        <v>0</v>
      </c>
      <c r="K354" s="41"/>
    </row>
    <row r="355" spans="2:11" x14ac:dyDescent="0.2">
      <c r="B355" s="38"/>
      <c r="C355" s="40" t="s">
        <v>847</v>
      </c>
      <c r="D355" s="40"/>
      <c r="E355" s="40"/>
      <c r="F355" s="40"/>
      <c r="G355" s="40"/>
      <c r="H355" s="40"/>
      <c r="I355" s="40"/>
      <c r="J355" s="244">
        <f>IF(J353=0,0,IF('Baseline Health'!G$59=0,"Not Calculated",100*J353/'Baseline Health'!$G$59))</f>
        <v>0</v>
      </c>
      <c r="K355" s="41"/>
    </row>
    <row r="356" spans="2:11" x14ac:dyDescent="0.2">
      <c r="B356" s="38"/>
      <c r="C356" s="40" t="s">
        <v>260</v>
      </c>
      <c r="D356" s="40"/>
      <c r="E356" s="40"/>
      <c r="F356" s="40"/>
      <c r="G356" s="40"/>
      <c r="H356" s="40"/>
      <c r="I356" s="40"/>
      <c r="J356" s="245">
        <f>IF(J355&lt;=0,0,IF(J355&lt;=5,1,IF(J355&lt;=10,2,IF(J355&lt;=25,3,4))))</f>
        <v>0</v>
      </c>
      <c r="K356" s="41"/>
    </row>
    <row r="357" spans="2:11" ht="9.75" customHeight="1" x14ac:dyDescent="0.2">
      <c r="B357" s="38"/>
      <c r="C357" s="279" t="str">
        <f>"0:"</f>
        <v>0:</v>
      </c>
      <c r="D357" s="278" t="s">
        <v>932</v>
      </c>
      <c r="E357" s="40"/>
      <c r="F357" s="40"/>
      <c r="G357" s="40"/>
      <c r="H357" s="40"/>
      <c r="I357" s="40"/>
      <c r="J357" s="244"/>
      <c r="K357" s="41"/>
    </row>
    <row r="358" spans="2:11" ht="9.75" customHeight="1" x14ac:dyDescent="0.2">
      <c r="B358" s="38"/>
      <c r="C358" s="280" t="str">
        <f>"1:"</f>
        <v>1:</v>
      </c>
      <c r="D358" s="278" t="s">
        <v>933</v>
      </c>
      <c r="E358" s="40"/>
      <c r="F358" s="40"/>
      <c r="G358" s="40"/>
      <c r="H358" s="40"/>
      <c r="I358" s="40"/>
      <c r="J358" s="244"/>
      <c r="K358" s="41"/>
    </row>
    <row r="359" spans="2:11" ht="9.75" customHeight="1" x14ac:dyDescent="0.2">
      <c r="B359" s="38"/>
      <c r="C359" s="280" t="str">
        <f>"2:"</f>
        <v>2:</v>
      </c>
      <c r="D359" s="278" t="s">
        <v>935</v>
      </c>
      <c r="E359" s="40"/>
      <c r="F359" s="40"/>
      <c r="G359" s="40"/>
      <c r="H359" s="40"/>
      <c r="I359" s="40"/>
      <c r="J359" s="244"/>
      <c r="K359" s="41"/>
    </row>
    <row r="360" spans="2:11" ht="9.75" customHeight="1" x14ac:dyDescent="0.2">
      <c r="B360" s="38"/>
      <c r="C360" s="280" t="str">
        <f>"3:"</f>
        <v>3:</v>
      </c>
      <c r="D360" s="278" t="s">
        <v>937</v>
      </c>
      <c r="E360" s="40"/>
      <c r="F360" s="40"/>
      <c r="G360" s="40"/>
      <c r="H360" s="40"/>
      <c r="I360" s="40"/>
      <c r="J360" s="244"/>
      <c r="K360" s="41"/>
    </row>
    <row r="361" spans="2:11" ht="9.75" customHeight="1" x14ac:dyDescent="0.2">
      <c r="B361" s="38"/>
      <c r="C361" s="280" t="str">
        <f>"4:"</f>
        <v>4:</v>
      </c>
      <c r="D361" s="278" t="s">
        <v>938</v>
      </c>
      <c r="E361" s="40"/>
      <c r="F361" s="40"/>
      <c r="G361" s="40"/>
      <c r="H361" s="40"/>
      <c r="I361" s="40"/>
      <c r="J361" s="40"/>
      <c r="K361" s="41"/>
    </row>
    <row r="362" spans="2:11" x14ac:dyDescent="0.2">
      <c r="B362" s="38"/>
      <c r="C362" s="40" t="s">
        <v>257</v>
      </c>
      <c r="D362" s="40"/>
      <c r="E362" s="40"/>
      <c r="F362" s="40"/>
      <c r="G362" s="40"/>
      <c r="H362" s="40"/>
      <c r="I362" s="40"/>
      <c r="J362" s="266"/>
      <c r="K362" s="41"/>
    </row>
    <row r="363" spans="2:11" x14ac:dyDescent="0.2">
      <c r="B363" s="38"/>
      <c r="C363" s="40" t="s">
        <v>261</v>
      </c>
      <c r="D363" s="40"/>
      <c r="E363" s="40"/>
      <c r="F363" s="40"/>
      <c r="G363" s="40"/>
      <c r="H363" s="40"/>
      <c r="I363" s="40"/>
      <c r="J363" s="245" t="str">
        <f>IF(J362=$B$980,$A$980,IF(J362=$B$981,$A$981,IF(J362=$B$982,$A$982,IF(J362=$B$983,$A$983,IF(J362=$B$984,$A$984,"Not Calculated")))))</f>
        <v>Not Calculated</v>
      </c>
      <c r="K363" s="41"/>
    </row>
    <row r="364" spans="2:11" x14ac:dyDescent="0.2">
      <c r="B364" s="38"/>
      <c r="C364" s="40" t="s">
        <v>893</v>
      </c>
      <c r="D364" s="40"/>
      <c r="E364" s="40"/>
      <c r="F364" s="40"/>
      <c r="G364" s="40"/>
      <c r="H364" s="40"/>
      <c r="I364" s="40"/>
      <c r="J364" s="40"/>
      <c r="K364" s="41"/>
    </row>
    <row r="365" spans="2:11" ht="15" customHeight="1" x14ac:dyDescent="0.2">
      <c r="B365" s="38"/>
      <c r="C365" s="399"/>
      <c r="D365" s="400"/>
      <c r="E365" s="400"/>
      <c r="F365" s="400"/>
      <c r="G365" s="400"/>
      <c r="H365" s="400"/>
      <c r="I365" s="400"/>
      <c r="J365" s="401"/>
      <c r="K365" s="41"/>
    </row>
    <row r="366" spans="2:11" x14ac:dyDescent="0.2">
      <c r="B366" s="38"/>
      <c r="C366" s="40"/>
      <c r="D366" s="40"/>
      <c r="E366" s="40"/>
      <c r="F366" s="40"/>
      <c r="G366" s="40"/>
      <c r="H366" s="40"/>
      <c r="I366" s="40"/>
      <c r="J366" s="40"/>
      <c r="K366" s="41"/>
    </row>
    <row r="367" spans="2:11" x14ac:dyDescent="0.2">
      <c r="B367" s="38"/>
      <c r="C367" s="179" t="s">
        <v>888</v>
      </c>
      <c r="D367" s="40"/>
      <c r="E367" s="40"/>
      <c r="F367" s="40"/>
      <c r="G367" s="40"/>
      <c r="H367" s="40"/>
      <c r="I367" s="40"/>
      <c r="J367" s="245" t="str">
        <f>IF(OR(J356="Not Calculated",J363="Not Calculated")=TRUE,"Not Calculated",AVERAGE(J356,J363))</f>
        <v>Not Calculated</v>
      </c>
      <c r="K367" s="41"/>
    </row>
    <row r="368" spans="2:11" x14ac:dyDescent="0.2">
      <c r="B368" s="38"/>
      <c r="C368" s="40"/>
      <c r="D368" s="40"/>
      <c r="E368" s="40"/>
      <c r="F368" s="40"/>
      <c r="G368" s="40"/>
      <c r="H368" s="40"/>
      <c r="I368" s="40"/>
      <c r="J368" s="40"/>
      <c r="K368" s="41"/>
    </row>
    <row r="369" spans="2:11" x14ac:dyDescent="0.2">
      <c r="B369" s="38"/>
      <c r="C369" s="40"/>
      <c r="D369" s="40"/>
      <c r="E369" s="40"/>
      <c r="F369" s="40"/>
      <c r="G369" s="40"/>
      <c r="H369" s="40"/>
      <c r="I369" s="40"/>
      <c r="J369" s="40"/>
      <c r="K369" s="41"/>
    </row>
    <row r="370" spans="2:11" ht="16" x14ac:dyDescent="0.2">
      <c r="B370" s="38"/>
      <c r="C370" s="45" t="s">
        <v>863</v>
      </c>
      <c r="D370" s="40"/>
      <c r="E370" s="40"/>
      <c r="F370" s="40"/>
      <c r="G370" s="40"/>
      <c r="H370" s="40"/>
      <c r="I370" s="40"/>
      <c r="J370" s="40"/>
      <c r="K370" s="41"/>
    </row>
    <row r="371" spans="2:11" ht="15" customHeight="1" x14ac:dyDescent="0.2">
      <c r="B371" s="38"/>
      <c r="C371" s="380" t="s">
        <v>848</v>
      </c>
      <c r="D371" s="380"/>
      <c r="E371" s="380"/>
      <c r="F371" s="380"/>
      <c r="G371" s="380"/>
      <c r="H371" s="380"/>
      <c r="I371" s="380"/>
      <c r="J371" s="181"/>
      <c r="K371" s="41"/>
    </row>
    <row r="372" spans="2:11" x14ac:dyDescent="0.2">
      <c r="B372" s="38"/>
      <c r="C372" s="380"/>
      <c r="D372" s="380"/>
      <c r="E372" s="380"/>
      <c r="F372" s="380"/>
      <c r="G372" s="380"/>
      <c r="H372" s="380"/>
      <c r="I372" s="380"/>
      <c r="J372" s="264"/>
      <c r="K372" s="41"/>
    </row>
    <row r="373" spans="2:11" x14ac:dyDescent="0.2">
      <c r="B373" s="38"/>
      <c r="C373" s="40" t="s">
        <v>853</v>
      </c>
      <c r="D373" s="291"/>
      <c r="E373" s="291"/>
      <c r="F373" s="291"/>
      <c r="G373" s="291"/>
      <c r="H373" s="291"/>
      <c r="I373" s="291"/>
      <c r="J373" s="255">
        <f>'Baseline Health'!$G$102</f>
        <v>0</v>
      </c>
      <c r="K373" s="41"/>
    </row>
    <row r="374" spans="2:11" x14ac:dyDescent="0.2">
      <c r="B374" s="38"/>
      <c r="C374" s="40" t="s">
        <v>842</v>
      </c>
      <c r="D374" s="291"/>
      <c r="E374" s="291"/>
      <c r="F374" s="291"/>
      <c r="G374" s="291"/>
      <c r="H374" s="291"/>
      <c r="I374" s="291"/>
      <c r="J374" s="244" t="str">
        <f>IF('Baseline Health'!$G$102=0,"Not Calculated",100*J372/'Baseline Health'!$G$102)</f>
        <v>Not Calculated</v>
      </c>
      <c r="K374" s="41"/>
    </row>
    <row r="375" spans="2:11" x14ac:dyDescent="0.2">
      <c r="B375" s="38"/>
      <c r="C375" s="40" t="s">
        <v>260</v>
      </c>
      <c r="D375" s="40"/>
      <c r="E375" s="40"/>
      <c r="F375" s="40"/>
      <c r="G375" s="40"/>
      <c r="H375" s="40"/>
      <c r="I375" s="40"/>
      <c r="J375" s="251">
        <f>IF(J374&lt;=0,0,IF(J374&lt;=1,1,IF(J374&lt;=5,2,IF(J374&lt;=10,3,4))))</f>
        <v>4</v>
      </c>
      <c r="K375" s="41"/>
    </row>
    <row r="376" spans="2:11" ht="9.75" customHeight="1" x14ac:dyDescent="0.2">
      <c r="B376" s="38"/>
      <c r="C376" s="279" t="str">
        <f>"0:"</f>
        <v>0:</v>
      </c>
      <c r="D376" s="278" t="s">
        <v>932</v>
      </c>
      <c r="E376" s="291"/>
      <c r="F376" s="291"/>
      <c r="G376" s="291"/>
      <c r="H376" s="291"/>
      <c r="I376" s="291"/>
      <c r="J376" s="244"/>
      <c r="K376" s="41"/>
    </row>
    <row r="377" spans="2:11" ht="9.75" customHeight="1" x14ac:dyDescent="0.2">
      <c r="B377" s="38"/>
      <c r="C377" s="280" t="str">
        <f>"1:"</f>
        <v>1:</v>
      </c>
      <c r="D377" s="278" t="s">
        <v>934</v>
      </c>
      <c r="E377" s="291"/>
      <c r="F377" s="291"/>
      <c r="G377" s="291"/>
      <c r="H377" s="291"/>
      <c r="I377" s="291"/>
      <c r="J377" s="244"/>
      <c r="K377" s="41"/>
    </row>
    <row r="378" spans="2:11" ht="9.75" customHeight="1" x14ac:dyDescent="0.2">
      <c r="B378" s="38"/>
      <c r="C378" s="280" t="str">
        <f>"2:"</f>
        <v>2:</v>
      </c>
      <c r="D378" s="278" t="s">
        <v>933</v>
      </c>
      <c r="E378" s="291"/>
      <c r="F378" s="291"/>
      <c r="G378" s="291"/>
      <c r="H378" s="291"/>
      <c r="I378" s="291"/>
      <c r="J378" s="244"/>
      <c r="K378" s="41"/>
    </row>
    <row r="379" spans="2:11" ht="9.75" customHeight="1" x14ac:dyDescent="0.2">
      <c r="B379" s="38"/>
      <c r="C379" s="280" t="str">
        <f>"3:"</f>
        <v>3:</v>
      </c>
      <c r="D379" s="278" t="s">
        <v>935</v>
      </c>
      <c r="E379" s="291"/>
      <c r="F379" s="291"/>
      <c r="G379" s="291"/>
      <c r="H379" s="291"/>
      <c r="I379" s="291"/>
      <c r="J379" s="244"/>
      <c r="K379" s="41"/>
    </row>
    <row r="380" spans="2:11" ht="9.75" customHeight="1" x14ac:dyDescent="0.2">
      <c r="B380" s="38"/>
      <c r="C380" s="280" t="str">
        <f>"4:"</f>
        <v>4:</v>
      </c>
      <c r="D380" s="278" t="s">
        <v>936</v>
      </c>
      <c r="E380" s="40"/>
      <c r="F380" s="40"/>
      <c r="G380" s="40"/>
      <c r="H380" s="40"/>
      <c r="I380" s="40"/>
      <c r="J380" s="40"/>
      <c r="K380" s="41"/>
    </row>
    <row r="381" spans="2:11" x14ac:dyDescent="0.2">
      <c r="B381" s="38"/>
      <c r="C381" s="40" t="s">
        <v>85</v>
      </c>
      <c r="D381" s="40"/>
      <c r="E381" s="40"/>
      <c r="F381" s="40"/>
      <c r="G381" s="40"/>
      <c r="H381" s="40"/>
      <c r="I381" s="40"/>
      <c r="J381" s="252">
        <f>'Baseline Health'!G114</f>
        <v>7</v>
      </c>
      <c r="K381" s="41"/>
    </row>
    <row r="382" spans="2:11" x14ac:dyDescent="0.2">
      <c r="B382" s="38"/>
      <c r="C382" s="40" t="s">
        <v>297</v>
      </c>
      <c r="D382" s="40"/>
      <c r="E382" s="40"/>
      <c r="F382" s="40"/>
      <c r="G382" s="40"/>
      <c r="H382" s="40"/>
      <c r="I382" s="40"/>
      <c r="J382" s="266"/>
      <c r="K382" s="41"/>
    </row>
    <row r="383" spans="2:11" x14ac:dyDescent="0.2">
      <c r="B383" s="38"/>
      <c r="C383" s="40" t="s">
        <v>261</v>
      </c>
      <c r="D383" s="40"/>
      <c r="E383" s="40"/>
      <c r="F383" s="40"/>
      <c r="G383" s="40"/>
      <c r="H383" s="40"/>
      <c r="I383" s="40"/>
      <c r="J383" s="248">
        <f>IF((J382-J381)&lt;1,0,IF((J382-J381)&lt;3,1,IF((J382-J381)&lt;5,2,IF((J382-J381)&lt;7,3,4))))</f>
        <v>0</v>
      </c>
      <c r="K383" s="41"/>
    </row>
    <row r="384" spans="2:11" x14ac:dyDescent="0.2">
      <c r="B384" s="38"/>
      <c r="C384" s="40" t="s">
        <v>893</v>
      </c>
      <c r="D384" s="40"/>
      <c r="E384" s="40"/>
      <c r="F384" s="40"/>
      <c r="G384" s="40"/>
      <c r="H384" s="40"/>
      <c r="I384" s="40"/>
      <c r="J384" s="40"/>
      <c r="K384" s="41"/>
    </row>
    <row r="385" spans="2:11" x14ac:dyDescent="0.2">
      <c r="B385" s="38"/>
      <c r="C385" s="399"/>
      <c r="D385" s="400"/>
      <c r="E385" s="400"/>
      <c r="F385" s="400"/>
      <c r="G385" s="400"/>
      <c r="H385" s="400"/>
      <c r="I385" s="400"/>
      <c r="J385" s="401"/>
      <c r="K385" s="41"/>
    </row>
    <row r="386" spans="2:11" x14ac:dyDescent="0.2">
      <c r="B386" s="38"/>
      <c r="C386" s="40"/>
      <c r="D386" s="40"/>
      <c r="E386" s="40"/>
      <c r="F386" s="40"/>
      <c r="G386" s="40"/>
      <c r="H386" s="40"/>
      <c r="I386" s="40"/>
      <c r="J386" s="40"/>
      <c r="K386" s="41"/>
    </row>
    <row r="387" spans="2:11" x14ac:dyDescent="0.2">
      <c r="B387" s="38"/>
      <c r="C387" s="179" t="s">
        <v>889</v>
      </c>
      <c r="D387" s="40"/>
      <c r="E387" s="40"/>
      <c r="F387" s="40"/>
      <c r="G387" s="40"/>
      <c r="H387" s="40"/>
      <c r="I387" s="40"/>
      <c r="J387" s="245">
        <f>IF(OR(J375="Not Calculated",J383="Not Calculated")=TRUE,"Not Calculated",AVERAGE(J375,J383))</f>
        <v>2</v>
      </c>
      <c r="K387" s="41"/>
    </row>
    <row r="388" spans="2:11" x14ac:dyDescent="0.2">
      <c r="B388" s="38"/>
      <c r="C388" s="40"/>
      <c r="D388" s="40"/>
      <c r="E388" s="40"/>
      <c r="F388" s="40"/>
      <c r="G388" s="40"/>
      <c r="H388" s="40"/>
      <c r="I388" s="40"/>
      <c r="J388" s="40"/>
      <c r="K388" s="41"/>
    </row>
    <row r="389" spans="2:11" x14ac:dyDescent="0.2">
      <c r="B389" s="38"/>
      <c r="C389" s="40"/>
      <c r="D389" s="40"/>
      <c r="E389" s="40"/>
      <c r="F389" s="40"/>
      <c r="G389" s="40"/>
      <c r="H389" s="40"/>
      <c r="I389" s="40"/>
      <c r="J389" s="40"/>
      <c r="K389" s="41"/>
    </row>
    <row r="390" spans="2:11" ht="16" x14ac:dyDescent="0.2">
      <c r="B390" s="38"/>
      <c r="C390" s="45" t="s">
        <v>860</v>
      </c>
      <c r="D390" s="40"/>
      <c r="E390" s="40"/>
      <c r="F390" s="40"/>
      <c r="G390" s="40"/>
      <c r="H390" s="40"/>
      <c r="I390" s="40"/>
      <c r="J390" s="40"/>
      <c r="K390" s="41"/>
    </row>
    <row r="391" spans="2:11" x14ac:dyDescent="0.2">
      <c r="B391" s="38"/>
      <c r="C391" s="380" t="s">
        <v>849</v>
      </c>
      <c r="D391" s="380"/>
      <c r="E391" s="380"/>
      <c r="F391" s="380"/>
      <c r="G391" s="380"/>
      <c r="H391" s="380"/>
      <c r="I391" s="380"/>
      <c r="J391" s="181"/>
      <c r="K391" s="41"/>
    </row>
    <row r="392" spans="2:11" x14ac:dyDescent="0.2">
      <c r="B392" s="38"/>
      <c r="C392" s="380"/>
      <c r="D392" s="380"/>
      <c r="E392" s="380"/>
      <c r="F392" s="380"/>
      <c r="G392" s="380"/>
      <c r="H392" s="380"/>
      <c r="I392" s="380"/>
      <c r="J392" s="264"/>
      <c r="K392" s="41"/>
    </row>
    <row r="393" spans="2:11" x14ac:dyDescent="0.2">
      <c r="B393" s="38"/>
      <c r="C393" s="40" t="s">
        <v>853</v>
      </c>
      <c r="D393" s="291"/>
      <c r="E393" s="291"/>
      <c r="F393" s="291"/>
      <c r="G393" s="291"/>
      <c r="H393" s="291"/>
      <c r="I393" s="291"/>
      <c r="J393" s="255">
        <f>'Baseline Health'!$G$102</f>
        <v>0</v>
      </c>
      <c r="K393" s="41"/>
    </row>
    <row r="394" spans="2:11" ht="15" customHeight="1" x14ac:dyDescent="0.2">
      <c r="B394" s="38"/>
      <c r="C394" s="40" t="s">
        <v>850</v>
      </c>
      <c r="D394" s="291"/>
      <c r="E394" s="291"/>
      <c r="F394" s="291"/>
      <c r="G394" s="291"/>
      <c r="H394" s="291"/>
      <c r="I394" s="291"/>
      <c r="J394" s="244" t="str">
        <f>IF('Baseline Health'!$G$102=0,"Not Calculated",100*J392/'Baseline Health'!$G$102)</f>
        <v>Not Calculated</v>
      </c>
      <c r="K394" s="41"/>
    </row>
    <row r="395" spans="2:11" ht="15" customHeight="1" x14ac:dyDescent="0.2">
      <c r="B395" s="38"/>
      <c r="C395" s="40" t="s">
        <v>260</v>
      </c>
      <c r="D395" s="40"/>
      <c r="E395" s="40"/>
      <c r="F395" s="40"/>
      <c r="G395" s="40"/>
      <c r="H395" s="40"/>
      <c r="I395" s="40"/>
      <c r="J395" s="43">
        <f>IF(J394&lt;=0,0,IF(J394&lt;=1,1,IF(J394&lt;=5,2,IF(J394&lt;=10,3,4))))</f>
        <v>4</v>
      </c>
      <c r="K395" s="41"/>
    </row>
    <row r="396" spans="2:11" ht="9.75" customHeight="1" x14ac:dyDescent="0.2">
      <c r="B396" s="38"/>
      <c r="C396" s="279" t="str">
        <f>"0:"</f>
        <v>0:</v>
      </c>
      <c r="D396" s="278" t="s">
        <v>932</v>
      </c>
      <c r="E396" s="291"/>
      <c r="F396" s="291"/>
      <c r="G396" s="291"/>
      <c r="H396" s="291"/>
      <c r="I396" s="291"/>
      <c r="J396" s="244"/>
      <c r="K396" s="41"/>
    </row>
    <row r="397" spans="2:11" ht="9.75" customHeight="1" x14ac:dyDescent="0.2">
      <c r="B397" s="38"/>
      <c r="C397" s="280" t="str">
        <f>"1:"</f>
        <v>1:</v>
      </c>
      <c r="D397" s="278" t="s">
        <v>934</v>
      </c>
      <c r="E397" s="291"/>
      <c r="F397" s="291"/>
      <c r="G397" s="291"/>
      <c r="H397" s="291"/>
      <c r="I397" s="291"/>
      <c r="J397" s="244"/>
      <c r="K397" s="41"/>
    </row>
    <row r="398" spans="2:11" ht="9.75" customHeight="1" x14ac:dyDescent="0.2">
      <c r="B398" s="38"/>
      <c r="C398" s="280" t="str">
        <f>"2:"</f>
        <v>2:</v>
      </c>
      <c r="D398" s="278" t="s">
        <v>933</v>
      </c>
      <c r="E398" s="291"/>
      <c r="F398" s="291"/>
      <c r="G398" s="291"/>
      <c r="H398" s="291"/>
      <c r="I398" s="291"/>
      <c r="J398" s="244"/>
      <c r="K398" s="41"/>
    </row>
    <row r="399" spans="2:11" ht="9.75" customHeight="1" x14ac:dyDescent="0.2">
      <c r="B399" s="38"/>
      <c r="C399" s="280" t="str">
        <f>"3:"</f>
        <v>3:</v>
      </c>
      <c r="D399" s="278" t="s">
        <v>935</v>
      </c>
      <c r="E399" s="291"/>
      <c r="F399" s="291"/>
      <c r="G399" s="291"/>
      <c r="H399" s="291"/>
      <c r="I399" s="291"/>
      <c r="J399" s="244"/>
      <c r="K399" s="41"/>
    </row>
    <row r="400" spans="2:11" ht="9.75" customHeight="1" x14ac:dyDescent="0.2">
      <c r="B400" s="38"/>
      <c r="C400" s="280" t="str">
        <f>"4:"</f>
        <v>4:</v>
      </c>
      <c r="D400" s="278" t="s">
        <v>936</v>
      </c>
      <c r="E400" s="40"/>
      <c r="F400" s="40"/>
      <c r="G400" s="40"/>
      <c r="H400" s="40"/>
      <c r="I400" s="40"/>
      <c r="J400" s="40"/>
      <c r="K400" s="41"/>
    </row>
    <row r="401" spans="2:11" x14ac:dyDescent="0.2">
      <c r="B401" s="38"/>
      <c r="C401" s="40" t="s">
        <v>893</v>
      </c>
      <c r="D401" s="40"/>
      <c r="E401" s="40"/>
      <c r="F401" s="40"/>
      <c r="G401" s="40"/>
      <c r="H401" s="40"/>
      <c r="I401" s="40"/>
      <c r="J401" s="40"/>
      <c r="K401" s="41"/>
    </row>
    <row r="402" spans="2:11" ht="15" customHeight="1" x14ac:dyDescent="0.2">
      <c r="B402" s="38"/>
      <c r="C402" s="399"/>
      <c r="D402" s="400"/>
      <c r="E402" s="400"/>
      <c r="F402" s="400"/>
      <c r="G402" s="400"/>
      <c r="H402" s="400"/>
      <c r="I402" s="400"/>
      <c r="J402" s="401"/>
      <c r="K402" s="41"/>
    </row>
    <row r="403" spans="2:11" x14ac:dyDescent="0.2">
      <c r="B403" s="38"/>
      <c r="C403" s="40"/>
      <c r="D403" s="40"/>
      <c r="E403" s="40"/>
      <c r="F403" s="40"/>
      <c r="G403" s="40"/>
      <c r="H403" s="40"/>
      <c r="I403" s="40"/>
      <c r="J403" s="40"/>
      <c r="K403" s="41"/>
    </row>
    <row r="404" spans="2:11" x14ac:dyDescent="0.2">
      <c r="B404" s="38"/>
      <c r="C404" s="179" t="s">
        <v>890</v>
      </c>
      <c r="D404" s="40"/>
      <c r="E404" s="40"/>
      <c r="F404" s="40"/>
      <c r="G404" s="40"/>
      <c r="H404" s="40"/>
      <c r="I404" s="40"/>
      <c r="J404" s="245">
        <f>J395</f>
        <v>4</v>
      </c>
      <c r="K404" s="41"/>
    </row>
    <row r="405" spans="2:11" x14ac:dyDescent="0.2">
      <c r="B405" s="38"/>
      <c r="C405" s="40"/>
      <c r="D405" s="40"/>
      <c r="E405" s="40"/>
      <c r="F405" s="40"/>
      <c r="G405" s="40"/>
      <c r="H405" s="40"/>
      <c r="I405" s="40"/>
      <c r="J405" s="40"/>
      <c r="K405" s="41"/>
    </row>
    <row r="406" spans="2:11" x14ac:dyDescent="0.2">
      <c r="B406" s="38"/>
      <c r="C406" s="40"/>
      <c r="D406" s="40"/>
      <c r="E406" s="40"/>
      <c r="F406" s="40"/>
      <c r="G406" s="40"/>
      <c r="H406" s="40"/>
      <c r="I406" s="40"/>
      <c r="J406" s="40"/>
      <c r="K406" s="41"/>
    </row>
    <row r="407" spans="2:11" ht="16" x14ac:dyDescent="0.2">
      <c r="B407" s="38"/>
      <c r="C407" s="45" t="s">
        <v>861</v>
      </c>
      <c r="D407" s="40"/>
      <c r="E407" s="40"/>
      <c r="F407" s="40"/>
      <c r="G407" s="40"/>
      <c r="H407" s="40"/>
      <c r="I407" s="40"/>
      <c r="J407" s="40"/>
      <c r="K407" s="41"/>
    </row>
    <row r="408" spans="2:11" x14ac:dyDescent="0.2">
      <c r="B408" s="38"/>
      <c r="C408" s="40" t="s">
        <v>298</v>
      </c>
      <c r="D408" s="40"/>
      <c r="E408" s="40"/>
      <c r="F408" s="40"/>
      <c r="G408" s="40"/>
      <c r="H408" s="40"/>
      <c r="I408" s="40"/>
      <c r="J408" s="269"/>
      <c r="K408" s="41"/>
    </row>
    <row r="409" spans="2:11" x14ac:dyDescent="0.2">
      <c r="B409" s="38"/>
      <c r="C409" s="40" t="s">
        <v>260</v>
      </c>
      <c r="D409" s="40"/>
      <c r="E409" s="40"/>
      <c r="F409" s="40"/>
      <c r="G409" s="40"/>
      <c r="H409" s="40"/>
      <c r="I409" s="40"/>
      <c r="J409" s="253">
        <f>IF(J408&lt;=0,0,IF(J408&lt;=(J161*0.01),1,IF(J408&lt;=(J161*0.05),2,IF(J408&lt;=(J161*0.1),3,4))))</f>
        <v>0</v>
      </c>
      <c r="K409" s="41"/>
    </row>
    <row r="410" spans="2:11" ht="9.75" customHeight="1" x14ac:dyDescent="0.2">
      <c r="B410" s="38"/>
      <c r="C410" s="279" t="str">
        <f>"0:"</f>
        <v>0:</v>
      </c>
      <c r="D410" s="278" t="s">
        <v>939</v>
      </c>
      <c r="E410" s="40"/>
      <c r="F410" s="40"/>
      <c r="G410" s="40"/>
      <c r="H410" s="40"/>
      <c r="I410" s="40"/>
      <c r="J410" s="282"/>
      <c r="K410" s="41"/>
    </row>
    <row r="411" spans="2:11" ht="9.75" customHeight="1" x14ac:dyDescent="0.2">
      <c r="B411" s="38"/>
      <c r="C411" s="280" t="str">
        <f>"1:"</f>
        <v>1:</v>
      </c>
      <c r="D411" s="278" t="s">
        <v>940</v>
      </c>
      <c r="E411" s="40"/>
      <c r="F411" s="40"/>
      <c r="G411" s="40"/>
      <c r="H411" s="40"/>
      <c r="I411" s="40"/>
      <c r="J411" s="282"/>
      <c r="K411" s="41"/>
    </row>
    <row r="412" spans="2:11" ht="9.75" customHeight="1" x14ac:dyDescent="0.2">
      <c r="B412" s="38"/>
      <c r="C412" s="280" t="str">
        <f>"2:"</f>
        <v>2:</v>
      </c>
      <c r="D412" s="278" t="s">
        <v>941</v>
      </c>
      <c r="E412" s="40"/>
      <c r="F412" s="40"/>
      <c r="G412" s="40"/>
      <c r="H412" s="40"/>
      <c r="I412" s="40"/>
      <c r="J412" s="282"/>
      <c r="K412" s="41"/>
    </row>
    <row r="413" spans="2:11" ht="9.75" customHeight="1" x14ac:dyDescent="0.2">
      <c r="B413" s="38"/>
      <c r="C413" s="280" t="str">
        <f>"3:"</f>
        <v>3:</v>
      </c>
      <c r="D413" s="278" t="s">
        <v>942</v>
      </c>
      <c r="E413" s="40"/>
      <c r="F413" s="40"/>
      <c r="G413" s="40"/>
      <c r="H413" s="40"/>
      <c r="I413" s="40"/>
      <c r="J413" s="282"/>
      <c r="K413" s="41"/>
    </row>
    <row r="414" spans="2:11" ht="9.75" customHeight="1" x14ac:dyDescent="0.2">
      <c r="B414" s="38"/>
      <c r="C414" s="280" t="str">
        <f>"4:"</f>
        <v>4:</v>
      </c>
      <c r="D414" s="278" t="s">
        <v>943</v>
      </c>
      <c r="E414" s="40"/>
      <c r="F414" s="40"/>
      <c r="G414" s="40"/>
      <c r="H414" s="40"/>
      <c r="I414" s="40"/>
      <c r="J414" s="40"/>
      <c r="K414" s="41"/>
    </row>
    <row r="415" spans="2:11" x14ac:dyDescent="0.2">
      <c r="B415" s="38"/>
      <c r="C415" s="40" t="s">
        <v>893</v>
      </c>
      <c r="D415" s="40"/>
      <c r="E415" s="40"/>
      <c r="F415" s="40"/>
      <c r="G415" s="40"/>
      <c r="H415" s="40"/>
      <c r="I415" s="40"/>
      <c r="J415" s="40"/>
      <c r="K415" s="41"/>
    </row>
    <row r="416" spans="2:11" ht="15" customHeight="1" x14ac:dyDescent="0.2">
      <c r="B416" s="38"/>
      <c r="C416" s="399"/>
      <c r="D416" s="400"/>
      <c r="E416" s="400"/>
      <c r="F416" s="400"/>
      <c r="G416" s="400"/>
      <c r="H416" s="400"/>
      <c r="I416" s="400"/>
      <c r="J416" s="401"/>
      <c r="K416" s="41"/>
    </row>
    <row r="417" spans="2:11" x14ac:dyDescent="0.2">
      <c r="B417" s="38"/>
      <c r="C417" s="40"/>
      <c r="D417" s="40"/>
      <c r="E417" s="40"/>
      <c r="F417" s="40"/>
      <c r="G417" s="40"/>
      <c r="H417" s="40"/>
      <c r="I417" s="40"/>
      <c r="J417" s="40"/>
      <c r="K417" s="41"/>
    </row>
    <row r="418" spans="2:11" x14ac:dyDescent="0.2">
      <c r="B418" s="38"/>
      <c r="C418" s="179" t="s">
        <v>891</v>
      </c>
      <c r="D418" s="40"/>
      <c r="E418" s="40"/>
      <c r="F418" s="40"/>
      <c r="G418" s="40"/>
      <c r="H418" s="40"/>
      <c r="I418" s="40"/>
      <c r="J418" s="245">
        <f>J409</f>
        <v>0</v>
      </c>
      <c r="K418" s="41"/>
    </row>
    <row r="419" spans="2:11" x14ac:dyDescent="0.2">
      <c r="B419" s="38"/>
      <c r="C419" s="40"/>
      <c r="D419" s="40"/>
      <c r="E419" s="40"/>
      <c r="F419" s="40"/>
      <c r="G419" s="40"/>
      <c r="H419" s="40"/>
      <c r="I419" s="40"/>
      <c r="J419" s="40"/>
      <c r="K419" s="41"/>
    </row>
    <row r="420" spans="2:11" x14ac:dyDescent="0.2">
      <c r="B420" s="38"/>
      <c r="C420" s="410" t="s">
        <v>881</v>
      </c>
      <c r="D420" s="410"/>
      <c r="E420" s="410"/>
      <c r="F420" s="410"/>
      <c r="G420" s="410"/>
      <c r="H420" s="410"/>
      <c r="I420" s="410"/>
      <c r="J420" s="40"/>
      <c r="K420" s="41"/>
    </row>
    <row r="421" spans="2:11" x14ac:dyDescent="0.2">
      <c r="B421" s="38"/>
      <c r="C421" s="410"/>
      <c r="D421" s="410"/>
      <c r="E421" s="410"/>
      <c r="F421" s="410"/>
      <c r="G421" s="410"/>
      <c r="H421" s="410"/>
      <c r="I421" s="410"/>
      <c r="J421" s="244" t="str">
        <f>IF(OR(J288="Not Calculated",J307="Not Calculated",J326="Not Calculated",J349="Not Calculated",J367="Not Calculated",J387="Not Calculated",J404="Not Calculated",J418="Not Calculated")=TRUE,"Not Calculated",AVERAGE(J288,J307,J326,J349,J367,J387,J404,J418))</f>
        <v>Not Calculated</v>
      </c>
      <c r="K421" s="41"/>
    </row>
    <row r="422" spans="2:11" ht="16" thickBot="1" x14ac:dyDescent="0.25">
      <c r="B422" s="46"/>
      <c r="C422" s="47"/>
      <c r="D422" s="47"/>
      <c r="E422" s="47"/>
      <c r="F422" s="47"/>
      <c r="G422" s="47"/>
      <c r="H422" s="47"/>
      <c r="I422" s="47"/>
      <c r="J422" s="47"/>
      <c r="K422" s="49"/>
    </row>
    <row r="423" spans="2:11" ht="16" thickBot="1" x14ac:dyDescent="0.25"/>
    <row r="424" spans="2:11" x14ac:dyDescent="0.2">
      <c r="B424" s="33"/>
      <c r="C424" s="34"/>
      <c r="D424" s="34"/>
      <c r="E424" s="34"/>
      <c r="F424" s="34"/>
      <c r="G424" s="34"/>
      <c r="H424" s="34"/>
      <c r="I424" s="34"/>
      <c r="J424" s="34"/>
      <c r="K424" s="37"/>
    </row>
    <row r="425" spans="2:11" ht="21" x14ac:dyDescent="0.25">
      <c r="B425" s="38"/>
      <c r="C425" s="40"/>
      <c r="D425" s="40"/>
      <c r="E425" s="40"/>
      <c r="F425" s="40"/>
      <c r="G425" s="172" t="s">
        <v>230</v>
      </c>
      <c r="H425" s="40"/>
      <c r="I425" s="40"/>
      <c r="J425" s="40"/>
      <c r="K425" s="41"/>
    </row>
    <row r="426" spans="2:11" x14ac:dyDescent="0.2">
      <c r="B426" s="38"/>
      <c r="C426" s="40"/>
      <c r="D426" s="40"/>
      <c r="E426" s="40"/>
      <c r="F426" s="40"/>
      <c r="G426" s="40"/>
      <c r="H426" s="40"/>
      <c r="I426" s="40"/>
      <c r="J426" s="40"/>
      <c r="K426" s="41"/>
    </row>
    <row r="427" spans="2:11" ht="16" x14ac:dyDescent="0.2">
      <c r="B427" s="38"/>
      <c r="C427" s="45" t="s">
        <v>299</v>
      </c>
      <c r="D427" s="40"/>
      <c r="E427" s="40"/>
      <c r="F427" s="40"/>
      <c r="G427" s="40"/>
      <c r="H427" s="40"/>
      <c r="I427" s="40"/>
      <c r="J427" s="40"/>
      <c r="K427" s="41"/>
    </row>
    <row r="428" spans="2:11" x14ac:dyDescent="0.2">
      <c r="B428" s="38"/>
      <c r="C428" s="40" t="s">
        <v>300</v>
      </c>
      <c r="D428" s="40"/>
      <c r="E428" s="40"/>
      <c r="F428" s="40"/>
      <c r="G428" s="40"/>
      <c r="H428" s="40"/>
      <c r="I428" s="40"/>
      <c r="J428" s="270"/>
      <c r="K428" s="41"/>
    </row>
    <row r="429" spans="2:11" x14ac:dyDescent="0.2">
      <c r="B429" s="38"/>
      <c r="C429" s="40" t="s">
        <v>260</v>
      </c>
      <c r="D429" s="40"/>
      <c r="E429" s="40"/>
      <c r="F429" s="40"/>
      <c r="G429" s="40"/>
      <c r="H429" s="40"/>
      <c r="I429" s="40"/>
      <c r="J429" s="248">
        <f>IF(J428&lt;=0,0,IF(J428&lt;=1,1,IF(J428&lt;=5,2,IF(J428&lt;=10,3,4))))</f>
        <v>0</v>
      </c>
      <c r="K429" s="41"/>
    </row>
    <row r="430" spans="2:11" s="98" customFormat="1" ht="9.75" customHeight="1" x14ac:dyDescent="0.2">
      <c r="B430" s="288"/>
      <c r="C430" s="279" t="str">
        <f>"0:"</f>
        <v>0:</v>
      </c>
      <c r="D430" s="290" t="s">
        <v>944</v>
      </c>
      <c r="E430" s="245"/>
      <c r="F430" s="245"/>
      <c r="G430" s="245"/>
      <c r="H430" s="245"/>
      <c r="I430" s="245"/>
      <c r="J430" s="245"/>
      <c r="K430" s="289"/>
    </row>
    <row r="431" spans="2:11" s="98" customFormat="1" ht="9.75" customHeight="1" x14ac:dyDescent="0.2">
      <c r="B431" s="288"/>
      <c r="C431" s="280" t="str">
        <f>"1:"</f>
        <v>1:</v>
      </c>
      <c r="D431" s="290" t="s">
        <v>945</v>
      </c>
      <c r="E431" s="245"/>
      <c r="F431" s="245"/>
      <c r="G431" s="245"/>
      <c r="H431" s="245"/>
      <c r="I431" s="245"/>
      <c r="J431" s="245"/>
      <c r="K431" s="289"/>
    </row>
    <row r="432" spans="2:11" s="98" customFormat="1" ht="9.75" customHeight="1" x14ac:dyDescent="0.2">
      <c r="B432" s="288"/>
      <c r="C432" s="280" t="str">
        <f>"2:"</f>
        <v>2:</v>
      </c>
      <c r="D432" s="290" t="s">
        <v>946</v>
      </c>
      <c r="E432" s="245"/>
      <c r="F432" s="245"/>
      <c r="G432" s="245"/>
      <c r="H432" s="245"/>
      <c r="I432" s="245"/>
      <c r="J432" s="245"/>
      <c r="K432" s="289"/>
    </row>
    <row r="433" spans="2:11" s="98" customFormat="1" ht="9.75" customHeight="1" x14ac:dyDescent="0.2">
      <c r="B433" s="288"/>
      <c r="C433" s="280" t="str">
        <f>"3:"</f>
        <v>3:</v>
      </c>
      <c r="D433" s="290" t="s">
        <v>947</v>
      </c>
      <c r="E433" s="245"/>
      <c r="F433" s="245"/>
      <c r="G433" s="245"/>
      <c r="H433" s="245"/>
      <c r="I433" s="245"/>
      <c r="J433" s="245"/>
      <c r="K433" s="289"/>
    </row>
    <row r="434" spans="2:11" s="98" customFormat="1" ht="9.75" customHeight="1" x14ac:dyDescent="0.2">
      <c r="B434" s="288"/>
      <c r="C434" s="280" t="str">
        <f>"4:"</f>
        <v>4:</v>
      </c>
      <c r="D434" s="290" t="s">
        <v>948</v>
      </c>
      <c r="E434" s="245"/>
      <c r="F434" s="245"/>
      <c r="G434" s="245"/>
      <c r="H434" s="245"/>
      <c r="I434" s="245"/>
      <c r="J434" s="247"/>
      <c r="K434" s="289"/>
    </row>
    <row r="435" spans="2:11" x14ac:dyDescent="0.2">
      <c r="B435" s="38"/>
      <c r="C435" s="40" t="s">
        <v>257</v>
      </c>
      <c r="D435" s="40"/>
      <c r="E435" s="40"/>
      <c r="F435" s="40"/>
      <c r="G435" s="40"/>
      <c r="H435" s="40"/>
      <c r="I435" s="40"/>
      <c r="J435" s="266"/>
      <c r="K435" s="41"/>
    </row>
    <row r="436" spans="2:11" x14ac:dyDescent="0.2">
      <c r="B436" s="38"/>
      <c r="C436" s="40" t="s">
        <v>261</v>
      </c>
      <c r="D436" s="40"/>
      <c r="E436" s="40"/>
      <c r="F436" s="40"/>
      <c r="G436" s="40"/>
      <c r="H436" s="40"/>
      <c r="I436" s="40"/>
      <c r="J436" s="245" t="str">
        <f>IF(J435=$B$973,$A$973,IF(J435=$B$974,$A$974,IF(J435=$B$975,$A$975,IF(J435=$B$976,$A$976,IF(J435=$B$977,$A$977,"Not Calculated")))))</f>
        <v>Not Calculated</v>
      </c>
      <c r="K436" s="41"/>
    </row>
    <row r="437" spans="2:11" x14ac:dyDescent="0.2">
      <c r="B437" s="38"/>
      <c r="C437" s="40" t="s">
        <v>893</v>
      </c>
      <c r="D437" s="40"/>
      <c r="E437" s="40"/>
      <c r="F437" s="40"/>
      <c r="G437" s="40"/>
      <c r="H437" s="40"/>
      <c r="I437" s="40"/>
      <c r="J437" s="40"/>
      <c r="K437" s="41"/>
    </row>
    <row r="438" spans="2:11" x14ac:dyDescent="0.2">
      <c r="B438" s="38"/>
      <c r="C438" s="399"/>
      <c r="D438" s="400"/>
      <c r="E438" s="400"/>
      <c r="F438" s="400"/>
      <c r="G438" s="400"/>
      <c r="H438" s="400"/>
      <c r="I438" s="400"/>
      <c r="J438" s="401"/>
      <c r="K438" s="41"/>
    </row>
    <row r="439" spans="2:11" x14ac:dyDescent="0.2">
      <c r="B439" s="38"/>
      <c r="C439" s="40"/>
      <c r="D439" s="40"/>
      <c r="E439" s="40"/>
      <c r="F439" s="40"/>
      <c r="G439" s="40"/>
      <c r="H439" s="40"/>
      <c r="I439" s="40"/>
      <c r="J439" s="40"/>
      <c r="K439" s="41"/>
    </row>
    <row r="440" spans="2:11" x14ac:dyDescent="0.2">
      <c r="B440" s="38"/>
      <c r="C440" s="179" t="s">
        <v>301</v>
      </c>
      <c r="D440" s="40"/>
      <c r="E440" s="40"/>
      <c r="F440" s="40"/>
      <c r="G440" s="40"/>
      <c r="H440" s="40"/>
      <c r="I440" s="40"/>
      <c r="J440" s="245" t="str">
        <f>IF(OR(J429="Not Calculated",J436="Not Calculated")=TRUE,"Not Calculated",AVERAGE(J429,J436))</f>
        <v>Not Calculated</v>
      </c>
      <c r="K440" s="41"/>
    </row>
    <row r="441" spans="2:11" x14ac:dyDescent="0.2">
      <c r="B441" s="38"/>
      <c r="C441" s="40"/>
      <c r="D441" s="40"/>
      <c r="E441" s="40"/>
      <c r="F441" s="40"/>
      <c r="G441" s="40"/>
      <c r="H441" s="40"/>
      <c r="I441" s="40"/>
      <c r="J441" s="40"/>
      <c r="K441" s="41"/>
    </row>
    <row r="442" spans="2:11" x14ac:dyDescent="0.2">
      <c r="B442" s="38"/>
      <c r="C442" s="40"/>
      <c r="D442" s="40"/>
      <c r="E442" s="40"/>
      <c r="F442" s="40"/>
      <c r="G442" s="40"/>
      <c r="H442" s="40"/>
      <c r="I442" s="40"/>
      <c r="J442" s="40"/>
      <c r="K442" s="41"/>
    </row>
    <row r="443" spans="2:11" ht="16" x14ac:dyDescent="0.2">
      <c r="B443" s="38"/>
      <c r="C443" s="45" t="s">
        <v>303</v>
      </c>
      <c r="D443" s="40"/>
      <c r="E443" s="40"/>
      <c r="F443" s="40"/>
      <c r="G443" s="40"/>
      <c r="H443" s="40"/>
      <c r="I443" s="40"/>
      <c r="J443" s="40"/>
      <c r="K443" s="41"/>
    </row>
    <row r="444" spans="2:11" ht="15" customHeight="1" x14ac:dyDescent="0.2">
      <c r="B444" s="38"/>
      <c r="C444" s="380" t="s">
        <v>305</v>
      </c>
      <c r="D444" s="380"/>
      <c r="E444" s="380"/>
      <c r="F444" s="380"/>
      <c r="G444" s="380"/>
      <c r="H444" s="380"/>
      <c r="I444" s="380"/>
      <c r="J444" s="40"/>
      <c r="K444" s="41"/>
    </row>
    <row r="445" spans="2:11" x14ac:dyDescent="0.2">
      <c r="B445" s="38"/>
      <c r="C445" s="380"/>
      <c r="D445" s="380"/>
      <c r="E445" s="380"/>
      <c r="F445" s="380"/>
      <c r="G445" s="380"/>
      <c r="H445" s="380"/>
      <c r="I445" s="380"/>
      <c r="J445" s="270"/>
      <c r="K445" s="41"/>
    </row>
    <row r="446" spans="2:11" x14ac:dyDescent="0.2">
      <c r="B446" s="38"/>
      <c r="C446" s="40" t="s">
        <v>260</v>
      </c>
      <c r="D446" s="40"/>
      <c r="E446" s="40"/>
      <c r="F446" s="40"/>
      <c r="G446" s="40"/>
      <c r="H446" s="40"/>
      <c r="I446" s="40"/>
      <c r="J446" s="248">
        <f>IF(J445&lt;=0,0,IF(J445&lt;=1,1,IF(J445&lt;=5,2,IF(J445&lt;=10,3,4))))</f>
        <v>0</v>
      </c>
      <c r="K446" s="41"/>
    </row>
    <row r="447" spans="2:11" ht="9.75" customHeight="1" x14ac:dyDescent="0.2">
      <c r="B447" s="38"/>
      <c r="C447" s="279" t="str">
        <f>"0:"</f>
        <v>0:</v>
      </c>
      <c r="D447" s="278" t="s">
        <v>944</v>
      </c>
      <c r="E447" s="40"/>
      <c r="F447" s="40"/>
      <c r="G447" s="40"/>
      <c r="H447" s="40"/>
      <c r="I447" s="40"/>
      <c r="J447" s="245"/>
      <c r="K447" s="41"/>
    </row>
    <row r="448" spans="2:11" ht="9.75" customHeight="1" x14ac:dyDescent="0.2">
      <c r="B448" s="38"/>
      <c r="C448" s="280" t="str">
        <f>"1:"</f>
        <v>1:</v>
      </c>
      <c r="D448" s="278" t="s">
        <v>945</v>
      </c>
      <c r="E448" s="40"/>
      <c r="F448" s="40"/>
      <c r="G448" s="40"/>
      <c r="H448" s="40"/>
      <c r="I448" s="40"/>
      <c r="J448" s="245"/>
      <c r="K448" s="41"/>
    </row>
    <row r="449" spans="2:11" ht="9.75" customHeight="1" x14ac:dyDescent="0.2">
      <c r="B449" s="38"/>
      <c r="C449" s="280" t="str">
        <f>"2:"</f>
        <v>2:</v>
      </c>
      <c r="D449" s="278" t="s">
        <v>946</v>
      </c>
      <c r="E449" s="40"/>
      <c r="F449" s="40"/>
      <c r="G449" s="40"/>
      <c r="H449" s="40"/>
      <c r="I449" s="40"/>
      <c r="J449" s="245"/>
      <c r="K449" s="41"/>
    </row>
    <row r="450" spans="2:11" ht="9.75" customHeight="1" x14ac:dyDescent="0.2">
      <c r="B450" s="38"/>
      <c r="C450" s="280" t="str">
        <f>"3:"</f>
        <v>3:</v>
      </c>
      <c r="D450" s="278" t="s">
        <v>947</v>
      </c>
      <c r="E450" s="40"/>
      <c r="F450" s="40"/>
      <c r="G450" s="40"/>
      <c r="H450" s="40"/>
      <c r="I450" s="40"/>
      <c r="J450" s="245"/>
      <c r="K450" s="41"/>
    </row>
    <row r="451" spans="2:11" ht="9.75" customHeight="1" x14ac:dyDescent="0.2">
      <c r="B451" s="38"/>
      <c r="C451" s="280" t="str">
        <f>"4:"</f>
        <v>4:</v>
      </c>
      <c r="D451" s="278" t="s">
        <v>948</v>
      </c>
      <c r="E451" s="40"/>
      <c r="F451" s="40"/>
      <c r="G451" s="40"/>
      <c r="H451" s="40"/>
      <c r="I451" s="40"/>
      <c r="J451" s="247"/>
      <c r="K451" s="41"/>
    </row>
    <row r="452" spans="2:11" x14ac:dyDescent="0.2">
      <c r="B452" s="38"/>
      <c r="C452" s="40" t="s">
        <v>257</v>
      </c>
      <c r="D452" s="40"/>
      <c r="E452" s="40"/>
      <c r="F452" s="40"/>
      <c r="G452" s="40"/>
      <c r="H452" s="40"/>
      <c r="I452" s="40"/>
      <c r="J452" s="266"/>
      <c r="K452" s="41"/>
    </row>
    <row r="453" spans="2:11" x14ac:dyDescent="0.2">
      <c r="B453" s="38"/>
      <c r="C453" s="40" t="s">
        <v>261</v>
      </c>
      <c r="D453" s="40"/>
      <c r="E453" s="40"/>
      <c r="F453" s="40"/>
      <c r="G453" s="40"/>
      <c r="H453" s="40"/>
      <c r="I453" s="40"/>
      <c r="J453" s="245" t="str">
        <f>IF(J452=$B$973,$A$973,IF(J452=$B$974,$A$974,IF(J452=$B$975,$A$975,IF(J452=$B$976,$A$976,IF(J452=$B$977,$A$977,"Not Calculated")))))</f>
        <v>Not Calculated</v>
      </c>
      <c r="K453" s="41"/>
    </row>
    <row r="454" spans="2:11" x14ac:dyDescent="0.2">
      <c r="B454" s="38"/>
      <c r="C454" s="40" t="s">
        <v>893</v>
      </c>
      <c r="D454" s="40"/>
      <c r="E454" s="40"/>
      <c r="F454" s="40"/>
      <c r="G454" s="40"/>
      <c r="H454" s="40"/>
      <c r="I454" s="40"/>
      <c r="J454" s="40"/>
      <c r="K454" s="41"/>
    </row>
    <row r="455" spans="2:11" ht="15" customHeight="1" x14ac:dyDescent="0.2">
      <c r="B455" s="38"/>
      <c r="C455" s="399"/>
      <c r="D455" s="400"/>
      <c r="E455" s="400"/>
      <c r="F455" s="400"/>
      <c r="G455" s="400"/>
      <c r="H455" s="400"/>
      <c r="I455" s="400"/>
      <c r="J455" s="401"/>
      <c r="K455" s="41"/>
    </row>
    <row r="456" spans="2:11" x14ac:dyDescent="0.2">
      <c r="B456" s="38"/>
      <c r="C456" s="40"/>
      <c r="D456" s="40"/>
      <c r="E456" s="40"/>
      <c r="F456" s="40"/>
      <c r="G456" s="40"/>
      <c r="H456" s="40"/>
      <c r="I456" s="40"/>
      <c r="J456" s="40"/>
      <c r="K456" s="41"/>
    </row>
    <row r="457" spans="2:11" x14ac:dyDescent="0.2">
      <c r="B457" s="38"/>
      <c r="C457" s="179" t="s">
        <v>304</v>
      </c>
      <c r="D457" s="40"/>
      <c r="E457" s="40"/>
      <c r="F457" s="40"/>
      <c r="G457" s="40"/>
      <c r="H457" s="40"/>
      <c r="I457" s="40"/>
      <c r="J457" s="245" t="str">
        <f>IF(OR(J446="Not Calculated",J453="Not Calculated")=TRUE,"Not Calculated",AVERAGE(J446,J453))</f>
        <v>Not Calculated</v>
      </c>
      <c r="K457" s="41"/>
    </row>
    <row r="458" spans="2:11" x14ac:dyDescent="0.2">
      <c r="B458" s="38"/>
      <c r="C458" s="40"/>
      <c r="D458" s="40"/>
      <c r="E458" s="40"/>
      <c r="F458" s="40"/>
      <c r="G458" s="40"/>
      <c r="H458" s="40"/>
      <c r="I458" s="40"/>
      <c r="J458" s="40"/>
      <c r="K458" s="41"/>
    </row>
    <row r="459" spans="2:11" x14ac:dyDescent="0.2">
      <c r="B459" s="38"/>
      <c r="C459" s="40"/>
      <c r="D459" s="40"/>
      <c r="E459" s="40"/>
      <c r="F459" s="40"/>
      <c r="G459" s="40"/>
      <c r="H459" s="40"/>
      <c r="I459" s="40"/>
      <c r="J459" s="40"/>
      <c r="K459" s="41"/>
    </row>
    <row r="460" spans="2:11" ht="16" x14ac:dyDescent="0.2">
      <c r="B460" s="38"/>
      <c r="C460" s="45" t="s">
        <v>306</v>
      </c>
      <c r="D460" s="40"/>
      <c r="E460" s="40"/>
      <c r="F460" s="40"/>
      <c r="G460" s="40"/>
      <c r="H460" s="40"/>
      <c r="I460" s="40"/>
      <c r="J460" s="40"/>
      <c r="K460" s="41"/>
    </row>
    <row r="461" spans="2:11" x14ac:dyDescent="0.2">
      <c r="B461" s="38"/>
      <c r="C461" s="40" t="s">
        <v>949</v>
      </c>
      <c r="D461" s="40"/>
      <c r="E461" s="40"/>
      <c r="F461" s="40"/>
      <c r="G461" s="40"/>
      <c r="H461" s="40"/>
      <c r="I461" s="40"/>
      <c r="J461" s="270"/>
      <c r="K461" s="41"/>
    </row>
    <row r="462" spans="2:11" x14ac:dyDescent="0.2">
      <c r="B462" s="38"/>
      <c r="C462" s="40" t="s">
        <v>260</v>
      </c>
      <c r="D462" s="40"/>
      <c r="E462" s="40"/>
      <c r="F462" s="40"/>
      <c r="G462" s="40"/>
      <c r="H462" s="40"/>
      <c r="I462" s="40"/>
      <c r="J462" s="248">
        <f>IF(J461&lt;=0,0,IF(J461&lt;=1,1,IF(J461&lt;=5,2,IF(J461&lt;=10,3,4))))</f>
        <v>0</v>
      </c>
      <c r="K462" s="41"/>
    </row>
    <row r="463" spans="2:11" ht="9.75" customHeight="1" x14ac:dyDescent="0.2">
      <c r="B463" s="38"/>
      <c r="C463" s="279" t="str">
        <f>"0:"</f>
        <v>0:</v>
      </c>
      <c r="D463" s="290" t="s">
        <v>944</v>
      </c>
      <c r="E463" s="40"/>
      <c r="F463" s="40"/>
      <c r="G463" s="40"/>
      <c r="H463" s="40"/>
      <c r="I463" s="40"/>
      <c r="J463" s="245"/>
      <c r="K463" s="41"/>
    </row>
    <row r="464" spans="2:11" ht="9.75" customHeight="1" x14ac:dyDescent="0.2">
      <c r="B464" s="38"/>
      <c r="C464" s="280" t="str">
        <f>"1:"</f>
        <v>1:</v>
      </c>
      <c r="D464" s="290" t="s">
        <v>945</v>
      </c>
      <c r="E464" s="40"/>
      <c r="F464" s="40"/>
      <c r="G464" s="40"/>
      <c r="H464" s="40"/>
      <c r="I464" s="40"/>
      <c r="J464" s="245"/>
      <c r="K464" s="41"/>
    </row>
    <row r="465" spans="2:11" ht="9.75" customHeight="1" x14ac:dyDescent="0.2">
      <c r="B465" s="38"/>
      <c r="C465" s="280" t="str">
        <f>"2:"</f>
        <v>2:</v>
      </c>
      <c r="D465" s="290" t="s">
        <v>946</v>
      </c>
      <c r="E465" s="40"/>
      <c r="F465" s="40"/>
      <c r="G465" s="40"/>
      <c r="H465" s="40"/>
      <c r="I465" s="40"/>
      <c r="J465" s="245"/>
      <c r="K465" s="41"/>
    </row>
    <row r="466" spans="2:11" ht="9.75" customHeight="1" x14ac:dyDescent="0.2">
      <c r="B466" s="38"/>
      <c r="C466" s="280" t="str">
        <f>"3:"</f>
        <v>3:</v>
      </c>
      <c r="D466" s="290" t="s">
        <v>947</v>
      </c>
      <c r="E466" s="40"/>
      <c r="F466" s="40"/>
      <c r="G466" s="40"/>
      <c r="H466" s="40"/>
      <c r="I466" s="40"/>
      <c r="J466" s="245"/>
      <c r="K466" s="41"/>
    </row>
    <row r="467" spans="2:11" ht="9.75" customHeight="1" x14ac:dyDescent="0.2">
      <c r="B467" s="38"/>
      <c r="C467" s="280" t="str">
        <f>"4:"</f>
        <v>4:</v>
      </c>
      <c r="D467" s="290" t="s">
        <v>948</v>
      </c>
      <c r="E467" s="40"/>
      <c r="F467" s="40"/>
      <c r="G467" s="40"/>
      <c r="H467" s="40"/>
      <c r="I467" s="40"/>
      <c r="J467" s="247"/>
      <c r="K467" s="41"/>
    </row>
    <row r="468" spans="2:11" x14ac:dyDescent="0.2">
      <c r="B468" s="38"/>
      <c r="C468" s="40" t="s">
        <v>257</v>
      </c>
      <c r="D468" s="40"/>
      <c r="E468" s="40"/>
      <c r="F468" s="40"/>
      <c r="G468" s="40"/>
      <c r="H468" s="40"/>
      <c r="I468" s="40"/>
      <c r="J468" s="266"/>
      <c r="K468" s="41"/>
    </row>
    <row r="469" spans="2:11" ht="15" customHeight="1" x14ac:dyDescent="0.2">
      <c r="B469" s="38"/>
      <c r="C469" s="40" t="s">
        <v>261</v>
      </c>
      <c r="D469" s="40"/>
      <c r="E469" s="40"/>
      <c r="F469" s="40"/>
      <c r="G469" s="40"/>
      <c r="H469" s="40"/>
      <c r="I469" s="40"/>
      <c r="J469" s="245" t="str">
        <f>IF(J468=$B$973,$A$973,IF(J468=$B$974,$A$974,IF(J468=$B$975,$A$975,IF(J468=$B$976,$A$976,IF(J468=$B$977,$A$977,"Not Calculated")))))</f>
        <v>Not Calculated</v>
      </c>
      <c r="K469" s="41"/>
    </row>
    <row r="470" spans="2:11" x14ac:dyDescent="0.2">
      <c r="B470" s="38"/>
      <c r="C470" s="40" t="s">
        <v>893</v>
      </c>
      <c r="D470" s="40"/>
      <c r="E470" s="40"/>
      <c r="F470" s="40"/>
      <c r="G470" s="40"/>
      <c r="H470" s="40"/>
      <c r="I470" s="40"/>
      <c r="J470" s="40"/>
      <c r="K470" s="41"/>
    </row>
    <row r="471" spans="2:11" x14ac:dyDescent="0.2">
      <c r="B471" s="38"/>
      <c r="C471" s="399"/>
      <c r="D471" s="400"/>
      <c r="E471" s="400"/>
      <c r="F471" s="400"/>
      <c r="G471" s="400"/>
      <c r="H471" s="400"/>
      <c r="I471" s="400"/>
      <c r="J471" s="401"/>
      <c r="K471" s="41"/>
    </row>
    <row r="472" spans="2:11" x14ac:dyDescent="0.2">
      <c r="B472" s="38"/>
      <c r="C472" s="40"/>
      <c r="D472" s="40"/>
      <c r="E472" s="40"/>
      <c r="F472" s="40"/>
      <c r="G472" s="40"/>
      <c r="H472" s="40"/>
      <c r="I472" s="40"/>
      <c r="J472" s="40"/>
      <c r="K472" s="41"/>
    </row>
    <row r="473" spans="2:11" x14ac:dyDescent="0.2">
      <c r="B473" s="38"/>
      <c r="C473" s="179" t="s">
        <v>307</v>
      </c>
      <c r="D473" s="40"/>
      <c r="E473" s="40"/>
      <c r="F473" s="40"/>
      <c r="G473" s="40"/>
      <c r="H473" s="40"/>
      <c r="I473" s="40"/>
      <c r="J473" s="245" t="str">
        <f>IF(OR(J462="Not Calculated",J469="Not Calculated")=TRUE,"Not Calculated",AVERAGE(J462,J469))</f>
        <v>Not Calculated</v>
      </c>
      <c r="K473" s="41"/>
    </row>
    <row r="474" spans="2:11" x14ac:dyDescent="0.2">
      <c r="B474" s="38"/>
      <c r="C474" s="40"/>
      <c r="D474" s="40"/>
      <c r="E474" s="40"/>
      <c r="F474" s="40"/>
      <c r="G474" s="40"/>
      <c r="H474" s="40"/>
      <c r="I474" s="40"/>
      <c r="J474" s="40"/>
      <c r="K474" s="41"/>
    </row>
    <row r="475" spans="2:11" x14ac:dyDescent="0.2">
      <c r="B475" s="38"/>
      <c r="C475" s="40"/>
      <c r="D475" s="40"/>
      <c r="E475" s="40"/>
      <c r="F475" s="40"/>
      <c r="G475" s="40"/>
      <c r="H475" s="40"/>
      <c r="I475" s="40"/>
      <c r="J475" s="40"/>
      <c r="K475" s="41"/>
    </row>
    <row r="476" spans="2:11" ht="16" x14ac:dyDescent="0.2">
      <c r="B476" s="38"/>
      <c r="C476" s="45" t="s">
        <v>308</v>
      </c>
      <c r="D476" s="40"/>
      <c r="E476" s="40"/>
      <c r="F476" s="40"/>
      <c r="G476" s="40"/>
      <c r="H476" s="40"/>
      <c r="I476" s="40"/>
      <c r="J476" s="40"/>
      <c r="K476" s="41"/>
    </row>
    <row r="477" spans="2:11" ht="15" customHeight="1" x14ac:dyDescent="0.2">
      <c r="B477" s="38"/>
      <c r="C477" s="380" t="s">
        <v>310</v>
      </c>
      <c r="D477" s="380"/>
      <c r="E477" s="380"/>
      <c r="F477" s="380"/>
      <c r="G477" s="380"/>
      <c r="H477" s="380"/>
      <c r="I477" s="380"/>
      <c r="J477" s="40"/>
      <c r="K477" s="41"/>
    </row>
    <row r="478" spans="2:11" x14ac:dyDescent="0.2">
      <c r="B478" s="38"/>
      <c r="C478" s="380"/>
      <c r="D478" s="380"/>
      <c r="E478" s="380"/>
      <c r="F478" s="380"/>
      <c r="G478" s="380"/>
      <c r="H478" s="380"/>
      <c r="I478" s="380"/>
      <c r="J478" s="131"/>
      <c r="K478" s="41"/>
    </row>
    <row r="479" spans="2:11" x14ac:dyDescent="0.2">
      <c r="B479" s="38"/>
      <c r="C479" s="40" t="s">
        <v>261</v>
      </c>
      <c r="D479" s="40"/>
      <c r="E479" s="40"/>
      <c r="F479" s="40"/>
      <c r="G479" s="40"/>
      <c r="H479" s="40"/>
      <c r="I479" s="40"/>
      <c r="J479" s="245">
        <f>IF(J478&lt;=0,0,IF(J478&lt;=1,1,IF(J478&lt;=7,2,IF(J478&lt;=14,3,4))))</f>
        <v>0</v>
      </c>
      <c r="K479" s="41"/>
    </row>
    <row r="480" spans="2:11" s="51" customFormat="1" ht="9.75" customHeight="1" x14ac:dyDescent="0.2">
      <c r="B480" s="283"/>
      <c r="C480" s="279" t="str">
        <f>"0:"</f>
        <v>0:</v>
      </c>
      <c r="D480" s="284" t="s">
        <v>950</v>
      </c>
      <c r="E480" s="285"/>
      <c r="F480" s="285"/>
      <c r="G480" s="285"/>
      <c r="H480" s="285"/>
      <c r="I480" s="285"/>
      <c r="J480" s="43"/>
      <c r="K480" s="286"/>
    </row>
    <row r="481" spans="2:11" s="51" customFormat="1" ht="9.75" customHeight="1" x14ac:dyDescent="0.2">
      <c r="B481" s="283"/>
      <c r="C481" s="280" t="str">
        <f>"1:"</f>
        <v>1:</v>
      </c>
      <c r="D481" s="284" t="s">
        <v>951</v>
      </c>
      <c r="E481" s="285"/>
      <c r="F481" s="285"/>
      <c r="G481" s="285"/>
      <c r="H481" s="285"/>
      <c r="I481" s="285"/>
      <c r="J481" s="43"/>
      <c r="K481" s="286"/>
    </row>
    <row r="482" spans="2:11" s="51" customFormat="1" ht="9.75" customHeight="1" x14ac:dyDescent="0.2">
      <c r="B482" s="283"/>
      <c r="C482" s="280" t="str">
        <f>"2:"</f>
        <v>2:</v>
      </c>
      <c r="D482" s="284" t="s">
        <v>952</v>
      </c>
      <c r="E482" s="285"/>
      <c r="F482" s="285"/>
      <c r="G482" s="285"/>
      <c r="H482" s="285"/>
      <c r="I482" s="285"/>
      <c r="J482" s="43"/>
      <c r="K482" s="286"/>
    </row>
    <row r="483" spans="2:11" s="51" customFormat="1" ht="9.75" customHeight="1" x14ac:dyDescent="0.2">
      <c r="B483" s="283"/>
      <c r="C483" s="280" t="str">
        <f>"3:"</f>
        <v>3:</v>
      </c>
      <c r="D483" s="284" t="s">
        <v>953</v>
      </c>
      <c r="E483" s="285"/>
      <c r="F483" s="285"/>
      <c r="G483" s="285"/>
      <c r="H483" s="285"/>
      <c r="I483" s="285"/>
      <c r="J483" s="43"/>
      <c r="K483" s="286"/>
    </row>
    <row r="484" spans="2:11" s="51" customFormat="1" ht="9.75" customHeight="1" x14ac:dyDescent="0.2">
      <c r="B484" s="283"/>
      <c r="C484" s="280" t="str">
        <f>"4:"</f>
        <v>4:</v>
      </c>
      <c r="D484" s="284" t="s">
        <v>954</v>
      </c>
      <c r="E484" s="285"/>
      <c r="F484" s="285"/>
      <c r="G484" s="285"/>
      <c r="H484" s="285"/>
      <c r="I484" s="285"/>
      <c r="J484" s="43"/>
      <c r="K484" s="286"/>
    </row>
    <row r="485" spans="2:11" x14ac:dyDescent="0.2">
      <c r="B485" s="38"/>
      <c r="C485" s="40" t="s">
        <v>893</v>
      </c>
      <c r="D485" s="40"/>
      <c r="E485" s="40"/>
      <c r="F485" s="40"/>
      <c r="G485" s="40"/>
      <c r="H485" s="40"/>
      <c r="I485" s="40"/>
      <c r="J485" s="40"/>
      <c r="K485" s="41"/>
    </row>
    <row r="486" spans="2:11" x14ac:dyDescent="0.2">
      <c r="B486" s="38"/>
      <c r="C486" s="399"/>
      <c r="D486" s="400"/>
      <c r="E486" s="400"/>
      <c r="F486" s="400"/>
      <c r="G486" s="400"/>
      <c r="H486" s="400"/>
      <c r="I486" s="400"/>
      <c r="J486" s="401"/>
      <c r="K486" s="41"/>
    </row>
    <row r="487" spans="2:11" x14ac:dyDescent="0.2">
      <c r="B487" s="38"/>
      <c r="C487" s="40"/>
      <c r="D487" s="40"/>
      <c r="E487" s="40"/>
      <c r="F487" s="40"/>
      <c r="G487" s="40"/>
      <c r="H487" s="40"/>
      <c r="I487" s="40"/>
      <c r="J487" s="40"/>
      <c r="K487" s="41"/>
    </row>
    <row r="488" spans="2:11" x14ac:dyDescent="0.2">
      <c r="B488" s="38"/>
      <c r="C488" s="179" t="s">
        <v>309</v>
      </c>
      <c r="D488" s="40"/>
      <c r="E488" s="40"/>
      <c r="F488" s="40"/>
      <c r="G488" s="40"/>
      <c r="H488" s="40"/>
      <c r="I488" s="40"/>
      <c r="J488" s="245">
        <f>J479</f>
        <v>0</v>
      </c>
      <c r="K488" s="41"/>
    </row>
    <row r="489" spans="2:11" x14ac:dyDescent="0.2">
      <c r="B489" s="38"/>
      <c r="C489" s="40"/>
      <c r="D489" s="40"/>
      <c r="E489" s="40"/>
      <c r="F489" s="40"/>
      <c r="G489" s="40"/>
      <c r="H489" s="40"/>
      <c r="I489" s="40"/>
      <c r="J489" s="40"/>
      <c r="K489" s="41"/>
    </row>
    <row r="490" spans="2:11" x14ac:dyDescent="0.2">
      <c r="B490" s="38"/>
      <c r="C490" s="40"/>
      <c r="D490" s="40"/>
      <c r="E490" s="40"/>
      <c r="F490" s="40"/>
      <c r="G490" s="40"/>
      <c r="H490" s="40"/>
      <c r="I490" s="40"/>
      <c r="J490" s="40"/>
      <c r="K490" s="41"/>
    </row>
    <row r="491" spans="2:11" ht="16" x14ac:dyDescent="0.2">
      <c r="B491" s="38"/>
      <c r="C491" s="45" t="s">
        <v>311</v>
      </c>
      <c r="D491" s="40"/>
      <c r="E491" s="40"/>
      <c r="F491" s="40"/>
      <c r="G491" s="40"/>
      <c r="H491" s="40"/>
      <c r="I491" s="40"/>
      <c r="J491" s="40"/>
      <c r="K491" s="41"/>
    </row>
    <row r="492" spans="2:11" x14ac:dyDescent="0.2">
      <c r="B492" s="38"/>
      <c r="C492" s="40" t="s">
        <v>312</v>
      </c>
      <c r="D492" s="40"/>
      <c r="E492" s="40"/>
      <c r="F492" s="40"/>
      <c r="G492" s="40"/>
      <c r="H492" s="40"/>
      <c r="I492" s="40"/>
      <c r="J492" s="270"/>
      <c r="K492" s="41"/>
    </row>
    <row r="493" spans="2:11" x14ac:dyDescent="0.2">
      <c r="B493" s="38"/>
      <c r="C493" s="40" t="s">
        <v>260</v>
      </c>
      <c r="D493" s="40"/>
      <c r="E493" s="40"/>
      <c r="F493" s="40"/>
      <c r="G493" s="40"/>
      <c r="H493" s="40"/>
      <c r="I493" s="40"/>
      <c r="J493" s="248">
        <f>IF(J492&lt;=0,0,IF(J492&lt;=1,1,IF(J492&lt;=5,2,IF(J492&lt;=10,3,4))))</f>
        <v>0</v>
      </c>
      <c r="K493" s="41"/>
    </row>
    <row r="494" spans="2:11" ht="9.75" customHeight="1" x14ac:dyDescent="0.2">
      <c r="B494" s="38"/>
      <c r="C494" s="279" t="str">
        <f>"0:"</f>
        <v>0:</v>
      </c>
      <c r="D494" s="290" t="s">
        <v>955</v>
      </c>
      <c r="E494" s="40"/>
      <c r="F494" s="40"/>
      <c r="G494" s="40"/>
      <c r="H494" s="40"/>
      <c r="I494" s="40"/>
      <c r="J494" s="245"/>
      <c r="K494" s="41"/>
    </row>
    <row r="495" spans="2:11" ht="9.75" customHeight="1" x14ac:dyDescent="0.2">
      <c r="B495" s="38"/>
      <c r="C495" s="280" t="str">
        <f>"1:"</f>
        <v>1:</v>
      </c>
      <c r="D495" s="290" t="s">
        <v>956</v>
      </c>
      <c r="E495" s="40"/>
      <c r="F495" s="40"/>
      <c r="G495" s="40"/>
      <c r="H495" s="40"/>
      <c r="I495" s="40"/>
      <c r="J495" s="245"/>
      <c r="K495" s="41"/>
    </row>
    <row r="496" spans="2:11" ht="9.75" customHeight="1" x14ac:dyDescent="0.2">
      <c r="B496" s="38"/>
      <c r="C496" s="280" t="str">
        <f>"2:"</f>
        <v>2:</v>
      </c>
      <c r="D496" s="290" t="s">
        <v>957</v>
      </c>
      <c r="E496" s="40"/>
      <c r="F496" s="40"/>
      <c r="G496" s="40"/>
      <c r="H496" s="40"/>
      <c r="I496" s="40"/>
      <c r="J496" s="245"/>
      <c r="K496" s="41"/>
    </row>
    <row r="497" spans="2:11" ht="9.75" customHeight="1" x14ac:dyDescent="0.2">
      <c r="B497" s="38"/>
      <c r="C497" s="280" t="str">
        <f>"3:"</f>
        <v>3:</v>
      </c>
      <c r="D497" s="290" t="s">
        <v>958</v>
      </c>
      <c r="E497" s="40"/>
      <c r="F497" s="40"/>
      <c r="G497" s="40"/>
      <c r="H497" s="40"/>
      <c r="I497" s="40"/>
      <c r="J497" s="245"/>
      <c r="K497" s="41"/>
    </row>
    <row r="498" spans="2:11" ht="9.75" customHeight="1" x14ac:dyDescent="0.2">
      <c r="B498" s="38"/>
      <c r="C498" s="280" t="str">
        <f>"4:"</f>
        <v>4:</v>
      </c>
      <c r="D498" s="290" t="s">
        <v>959</v>
      </c>
      <c r="E498" s="40"/>
      <c r="F498" s="40"/>
      <c r="G498" s="40"/>
      <c r="H498" s="40"/>
      <c r="I498" s="40"/>
      <c r="J498" s="247"/>
      <c r="K498" s="41"/>
    </row>
    <row r="499" spans="2:11" x14ac:dyDescent="0.2">
      <c r="B499" s="38"/>
      <c r="C499" s="40" t="s">
        <v>313</v>
      </c>
      <c r="D499" s="40"/>
      <c r="E499" s="40"/>
      <c r="F499" s="40"/>
      <c r="G499" s="40"/>
      <c r="H499" s="40"/>
      <c r="I499" s="40"/>
      <c r="J499" s="266"/>
      <c r="K499" s="41"/>
    </row>
    <row r="500" spans="2:11" x14ac:dyDescent="0.2">
      <c r="B500" s="38"/>
      <c r="C500" s="40" t="s">
        <v>261</v>
      </c>
      <c r="D500" s="40"/>
      <c r="E500" s="40"/>
      <c r="F500" s="40"/>
      <c r="G500" s="40"/>
      <c r="H500" s="40"/>
      <c r="I500" s="40"/>
      <c r="J500" s="245" t="str">
        <f>IF(J499=$B$973,$A$973,IF(J499=$B$974,$A$974,IF(J499=$B$975,$A$975,IF(J499=$B$976,$A$976,IF(J499=$B$977,$A$977,"Not Calculated")))))</f>
        <v>Not Calculated</v>
      </c>
      <c r="K500" s="41"/>
    </row>
    <row r="501" spans="2:11" x14ac:dyDescent="0.2">
      <c r="B501" s="38"/>
      <c r="C501" s="40" t="s">
        <v>893</v>
      </c>
      <c r="D501" s="40"/>
      <c r="E501" s="40"/>
      <c r="F501" s="40"/>
      <c r="G501" s="40"/>
      <c r="H501" s="40"/>
      <c r="I501" s="40"/>
      <c r="J501" s="40"/>
      <c r="K501" s="41"/>
    </row>
    <row r="502" spans="2:11" x14ac:dyDescent="0.2">
      <c r="B502" s="38"/>
      <c r="C502" s="399"/>
      <c r="D502" s="400"/>
      <c r="E502" s="400"/>
      <c r="F502" s="400"/>
      <c r="G502" s="400"/>
      <c r="H502" s="400"/>
      <c r="I502" s="400"/>
      <c r="J502" s="401"/>
      <c r="K502" s="41"/>
    </row>
    <row r="503" spans="2:11" x14ac:dyDescent="0.2">
      <c r="B503" s="38"/>
      <c r="C503" s="40"/>
      <c r="D503" s="40"/>
      <c r="E503" s="40"/>
      <c r="F503" s="40"/>
      <c r="G503" s="40"/>
      <c r="H503" s="40"/>
      <c r="I503" s="40"/>
      <c r="J503" s="40"/>
      <c r="K503" s="41"/>
    </row>
    <row r="504" spans="2:11" x14ac:dyDescent="0.2">
      <c r="B504" s="38"/>
      <c r="C504" s="179" t="s">
        <v>321</v>
      </c>
      <c r="D504" s="40"/>
      <c r="E504" s="40"/>
      <c r="F504" s="40"/>
      <c r="G504" s="40"/>
      <c r="H504" s="40"/>
      <c r="I504" s="40"/>
      <c r="J504" s="245" t="str">
        <f>IF(OR(J493="Not Calculated",J500="Not Calculated")=TRUE,"Not Calculated",AVERAGE(J493,J500))</f>
        <v>Not Calculated</v>
      </c>
      <c r="K504" s="41"/>
    </row>
    <row r="505" spans="2:11" x14ac:dyDescent="0.2">
      <c r="B505" s="38"/>
      <c r="C505" s="40"/>
      <c r="D505" s="40"/>
      <c r="E505" s="40"/>
      <c r="F505" s="40"/>
      <c r="G505" s="40"/>
      <c r="H505" s="40"/>
      <c r="I505" s="40"/>
      <c r="J505" s="40"/>
      <c r="K505" s="41"/>
    </row>
    <row r="506" spans="2:11" x14ac:dyDescent="0.2">
      <c r="B506" s="38"/>
      <c r="C506" s="40"/>
      <c r="D506" s="40"/>
      <c r="E506" s="40"/>
      <c r="F506" s="40"/>
      <c r="G506" s="40"/>
      <c r="H506" s="40"/>
      <c r="I506" s="40"/>
      <c r="J506" s="40"/>
      <c r="K506" s="41"/>
    </row>
    <row r="507" spans="2:11" ht="16" x14ac:dyDescent="0.2">
      <c r="B507" s="38"/>
      <c r="C507" s="45" t="s">
        <v>314</v>
      </c>
      <c r="D507" s="40"/>
      <c r="E507" s="40"/>
      <c r="F507" s="40"/>
      <c r="G507" s="40"/>
      <c r="H507" s="40"/>
      <c r="I507" s="40"/>
      <c r="J507" s="40"/>
      <c r="K507" s="41"/>
    </row>
    <row r="508" spans="2:11" x14ac:dyDescent="0.2">
      <c r="B508" s="38"/>
      <c r="C508" s="40" t="s">
        <v>316</v>
      </c>
      <c r="D508" s="40"/>
      <c r="E508" s="40"/>
      <c r="F508" s="40"/>
      <c r="G508" s="40"/>
      <c r="H508" s="40"/>
      <c r="I508" s="40"/>
      <c r="J508" s="269"/>
      <c r="K508" s="41"/>
    </row>
    <row r="509" spans="2:11" x14ac:dyDescent="0.2">
      <c r="B509" s="38"/>
      <c r="C509" s="40" t="s">
        <v>260</v>
      </c>
      <c r="D509" s="40"/>
      <c r="E509" s="40"/>
      <c r="F509" s="40"/>
      <c r="G509" s="40"/>
      <c r="H509" s="40"/>
      <c r="I509" s="40"/>
      <c r="J509" s="248">
        <f>IF(J508&lt;=0,0,IF(J508&lt;=1000,1,IF(J508&lt;=5000,2,IF(J508&lt;=25000,3,4))))</f>
        <v>0</v>
      </c>
      <c r="K509" s="41"/>
    </row>
    <row r="510" spans="2:11" s="51" customFormat="1" ht="9.75" customHeight="1" x14ac:dyDescent="0.2">
      <c r="B510" s="283"/>
      <c r="C510" s="279" t="str">
        <f>"0:"</f>
        <v>0:</v>
      </c>
      <c r="D510" s="284" t="s">
        <v>960</v>
      </c>
      <c r="E510" s="285"/>
      <c r="F510" s="285"/>
      <c r="G510" s="285"/>
      <c r="H510" s="285"/>
      <c r="I510" s="285"/>
      <c r="J510" s="43"/>
      <c r="K510" s="286"/>
    </row>
    <row r="511" spans="2:11" s="51" customFormat="1" ht="9.75" customHeight="1" x14ac:dyDescent="0.2">
      <c r="B511" s="283"/>
      <c r="C511" s="280" t="str">
        <f>"1:"</f>
        <v>1:</v>
      </c>
      <c r="D511" s="284" t="s">
        <v>961</v>
      </c>
      <c r="E511" s="285"/>
      <c r="F511" s="285"/>
      <c r="G511" s="285"/>
      <c r="H511" s="285"/>
      <c r="I511" s="285"/>
      <c r="J511" s="43"/>
      <c r="K511" s="286"/>
    </row>
    <row r="512" spans="2:11" s="51" customFormat="1" ht="9.75" customHeight="1" x14ac:dyDescent="0.2">
      <c r="B512" s="283"/>
      <c r="C512" s="280" t="str">
        <f>"2:"</f>
        <v>2:</v>
      </c>
      <c r="D512" s="284" t="s">
        <v>962</v>
      </c>
      <c r="E512" s="285"/>
      <c r="F512" s="285"/>
      <c r="G512" s="285"/>
      <c r="H512" s="285"/>
      <c r="I512" s="285"/>
      <c r="J512" s="43"/>
      <c r="K512" s="286"/>
    </row>
    <row r="513" spans="2:11" s="51" customFormat="1" ht="9.75" customHeight="1" x14ac:dyDescent="0.2">
      <c r="B513" s="283"/>
      <c r="C513" s="280" t="str">
        <f>"3:"</f>
        <v>3:</v>
      </c>
      <c r="D513" s="284" t="s">
        <v>963</v>
      </c>
      <c r="E513" s="285"/>
      <c r="F513" s="285"/>
      <c r="G513" s="285"/>
      <c r="H513" s="285"/>
      <c r="I513" s="285"/>
      <c r="J513" s="43"/>
      <c r="K513" s="286"/>
    </row>
    <row r="514" spans="2:11" s="51" customFormat="1" ht="9.75" customHeight="1" x14ac:dyDescent="0.2">
      <c r="B514" s="283"/>
      <c r="C514" s="280" t="str">
        <f>"4:"</f>
        <v>4:</v>
      </c>
      <c r="D514" s="284" t="s">
        <v>964</v>
      </c>
      <c r="E514" s="285"/>
      <c r="F514" s="285"/>
      <c r="G514" s="285"/>
      <c r="H514" s="285"/>
      <c r="I514" s="285"/>
      <c r="J514" s="287"/>
      <c r="K514" s="286"/>
    </row>
    <row r="515" spans="2:11" x14ac:dyDescent="0.2">
      <c r="B515" s="38"/>
      <c r="C515" s="40" t="s">
        <v>315</v>
      </c>
      <c r="D515" s="40"/>
      <c r="E515" s="40"/>
      <c r="F515" s="40"/>
      <c r="G515" s="40"/>
      <c r="H515" s="40"/>
      <c r="I515" s="40"/>
      <c r="J515" s="266"/>
      <c r="K515" s="41"/>
    </row>
    <row r="516" spans="2:11" x14ac:dyDescent="0.2">
      <c r="B516" s="38"/>
      <c r="C516" s="40" t="s">
        <v>261</v>
      </c>
      <c r="D516" s="40"/>
      <c r="E516" s="40"/>
      <c r="F516" s="40"/>
      <c r="G516" s="40"/>
      <c r="H516" s="40"/>
      <c r="I516" s="40"/>
      <c r="J516" s="245" t="str">
        <f>IF(J515=$B$973,$A$973,IF(J515=$B$974,$A$974,IF(J515=$B$975,$A$975,IF(J515=$B$976,$A$976,IF(J515=$B$977,$A$977,"Not Calculated")))))</f>
        <v>Not Calculated</v>
      </c>
      <c r="K516" s="41"/>
    </row>
    <row r="517" spans="2:11" x14ac:dyDescent="0.2">
      <c r="B517" s="38"/>
      <c r="C517" s="40" t="s">
        <v>893</v>
      </c>
      <c r="D517" s="40"/>
      <c r="E517" s="40"/>
      <c r="F517" s="40"/>
      <c r="G517" s="40"/>
      <c r="H517" s="40"/>
      <c r="I517" s="40"/>
      <c r="J517" s="40"/>
      <c r="K517" s="41"/>
    </row>
    <row r="518" spans="2:11" ht="15" customHeight="1" x14ac:dyDescent="0.2">
      <c r="B518" s="38"/>
      <c r="C518" s="399"/>
      <c r="D518" s="400"/>
      <c r="E518" s="400"/>
      <c r="F518" s="400"/>
      <c r="G518" s="400"/>
      <c r="H518" s="400"/>
      <c r="I518" s="400"/>
      <c r="J518" s="401"/>
      <c r="K518" s="41"/>
    </row>
    <row r="519" spans="2:11" x14ac:dyDescent="0.2">
      <c r="B519" s="38"/>
      <c r="C519" s="40"/>
      <c r="D519" s="40"/>
      <c r="E519" s="40"/>
      <c r="F519" s="40"/>
      <c r="G519" s="40"/>
      <c r="H519" s="40"/>
      <c r="I519" s="40"/>
      <c r="J519" s="40"/>
      <c r="K519" s="41"/>
    </row>
    <row r="520" spans="2:11" x14ac:dyDescent="0.2">
      <c r="B520" s="38"/>
      <c r="C520" s="179" t="s">
        <v>320</v>
      </c>
      <c r="D520" s="40"/>
      <c r="E520" s="40"/>
      <c r="F520" s="40"/>
      <c r="G520" s="40"/>
      <c r="H520" s="40"/>
      <c r="I520" s="40"/>
      <c r="J520" s="245" t="str">
        <f>IF(OR(J509="Not Calculated",J516="Not Calculated")=TRUE,"Not Calculated",AVERAGE(J509,J516))</f>
        <v>Not Calculated</v>
      </c>
      <c r="K520" s="41"/>
    </row>
    <row r="521" spans="2:11" x14ac:dyDescent="0.2">
      <c r="B521" s="38"/>
      <c r="C521" s="40"/>
      <c r="D521" s="40"/>
      <c r="E521" s="40"/>
      <c r="F521" s="40"/>
      <c r="G521" s="40"/>
      <c r="H521" s="40"/>
      <c r="I521" s="40"/>
      <c r="J521" s="40"/>
      <c r="K521" s="41"/>
    </row>
    <row r="522" spans="2:11" x14ac:dyDescent="0.2">
      <c r="B522" s="38"/>
      <c r="C522" s="40"/>
      <c r="D522" s="40"/>
      <c r="E522" s="40"/>
      <c r="F522" s="40"/>
      <c r="G522" s="40"/>
      <c r="H522" s="40"/>
      <c r="I522" s="40"/>
      <c r="J522" s="40"/>
      <c r="K522" s="41"/>
    </row>
    <row r="523" spans="2:11" ht="16" x14ac:dyDescent="0.2">
      <c r="B523" s="38"/>
      <c r="C523" s="45" t="s">
        <v>317</v>
      </c>
      <c r="D523" s="40"/>
      <c r="E523" s="40"/>
      <c r="F523" s="40"/>
      <c r="G523" s="40"/>
      <c r="H523" s="40"/>
      <c r="I523" s="40"/>
      <c r="J523" s="40"/>
      <c r="K523" s="41"/>
    </row>
    <row r="524" spans="2:11" ht="15" customHeight="1" x14ac:dyDescent="0.2">
      <c r="B524" s="38"/>
      <c r="C524" s="380" t="s">
        <v>318</v>
      </c>
      <c r="D524" s="380"/>
      <c r="E524" s="380"/>
      <c r="F524" s="380"/>
      <c r="G524" s="380"/>
      <c r="H524" s="380"/>
      <c r="I524" s="380"/>
      <c r="J524" s="40"/>
      <c r="K524" s="41"/>
    </row>
    <row r="525" spans="2:11" x14ac:dyDescent="0.2">
      <c r="B525" s="38"/>
      <c r="C525" s="380"/>
      <c r="D525" s="380"/>
      <c r="E525" s="380"/>
      <c r="F525" s="380"/>
      <c r="G525" s="380"/>
      <c r="H525" s="380"/>
      <c r="I525" s="380"/>
      <c r="J525" s="274"/>
      <c r="K525" s="41"/>
    </row>
    <row r="526" spans="2:11" x14ac:dyDescent="0.2">
      <c r="B526" s="38"/>
      <c r="C526" s="40" t="s">
        <v>260</v>
      </c>
      <c r="D526" s="40"/>
      <c r="E526" s="40"/>
      <c r="F526" s="40"/>
      <c r="G526" s="40"/>
      <c r="H526" s="40"/>
      <c r="I526" s="40"/>
      <c r="J526" s="248">
        <f>IF(J525&lt;=0,0,IF(J525&lt;=1,1,IF(J525&lt;=5,2,IF(J525&lt;=10,3,4))))</f>
        <v>0</v>
      </c>
      <c r="K526" s="41"/>
    </row>
    <row r="527" spans="2:11" s="51" customFormat="1" ht="9.75" customHeight="1" x14ac:dyDescent="0.2">
      <c r="B527" s="283"/>
      <c r="C527" s="279" t="str">
        <f>"0:"</f>
        <v>0:</v>
      </c>
      <c r="D527" s="284" t="s">
        <v>965</v>
      </c>
      <c r="E527" s="285"/>
      <c r="F527" s="285"/>
      <c r="G527" s="285"/>
      <c r="H527" s="285"/>
      <c r="I527" s="285"/>
      <c r="J527" s="43"/>
      <c r="K527" s="286"/>
    </row>
    <row r="528" spans="2:11" s="51" customFormat="1" ht="9.75" customHeight="1" x14ac:dyDescent="0.2">
      <c r="B528" s="283"/>
      <c r="C528" s="280" t="str">
        <f>"1:"</f>
        <v>1:</v>
      </c>
      <c r="D528" s="284" t="s">
        <v>966</v>
      </c>
      <c r="E528" s="285"/>
      <c r="F528" s="285"/>
      <c r="G528" s="285"/>
      <c r="H528" s="285"/>
      <c r="I528" s="285"/>
      <c r="J528" s="43"/>
      <c r="K528" s="286"/>
    </row>
    <row r="529" spans="2:11" s="51" customFormat="1" ht="9.75" customHeight="1" x14ac:dyDescent="0.2">
      <c r="B529" s="283"/>
      <c r="C529" s="280" t="str">
        <f>"2:"</f>
        <v>2:</v>
      </c>
      <c r="D529" s="284" t="s">
        <v>967</v>
      </c>
      <c r="E529" s="285"/>
      <c r="F529" s="285"/>
      <c r="G529" s="285"/>
      <c r="H529" s="285"/>
      <c r="I529" s="285"/>
      <c r="J529" s="43"/>
      <c r="K529" s="286"/>
    </row>
    <row r="530" spans="2:11" s="51" customFormat="1" ht="9.75" customHeight="1" x14ac:dyDescent="0.2">
      <c r="B530" s="283"/>
      <c r="C530" s="280" t="str">
        <f>"3:"</f>
        <v>3:</v>
      </c>
      <c r="D530" s="284" t="s">
        <v>968</v>
      </c>
      <c r="E530" s="285"/>
      <c r="F530" s="285"/>
      <c r="G530" s="285"/>
      <c r="H530" s="285"/>
      <c r="I530" s="285"/>
      <c r="J530" s="43"/>
      <c r="K530" s="286"/>
    </row>
    <row r="531" spans="2:11" s="51" customFormat="1" ht="9.75" customHeight="1" x14ac:dyDescent="0.2">
      <c r="B531" s="283"/>
      <c r="C531" s="280" t="str">
        <f>"4:"</f>
        <v>4:</v>
      </c>
      <c r="D531" s="284" t="s">
        <v>969</v>
      </c>
      <c r="E531" s="285"/>
      <c r="F531" s="285"/>
      <c r="G531" s="285"/>
      <c r="H531" s="285"/>
      <c r="I531" s="285"/>
      <c r="J531" s="287"/>
      <c r="K531" s="286"/>
    </row>
    <row r="532" spans="2:11" x14ac:dyDescent="0.2">
      <c r="B532" s="38"/>
      <c r="C532" s="40" t="s">
        <v>257</v>
      </c>
      <c r="D532" s="40"/>
      <c r="E532" s="40"/>
      <c r="F532" s="40"/>
      <c r="G532" s="40"/>
      <c r="H532" s="40"/>
      <c r="I532" s="40"/>
      <c r="J532" s="266"/>
      <c r="K532" s="41"/>
    </row>
    <row r="533" spans="2:11" x14ac:dyDescent="0.2">
      <c r="B533" s="38"/>
      <c r="C533" s="40" t="s">
        <v>261</v>
      </c>
      <c r="D533" s="40"/>
      <c r="E533" s="40"/>
      <c r="F533" s="40"/>
      <c r="G533" s="40"/>
      <c r="H533" s="40"/>
      <c r="I533" s="40"/>
      <c r="J533" s="245" t="str">
        <f>IF(J532=$B$973,$A$973,IF(J532=$B$974,$A$974,IF(J532=$B$975,$A$975,IF(J532=$B$976,$A$976,IF(J532=$B$977,$A$977,"Not Calculated")))))</f>
        <v>Not Calculated</v>
      </c>
      <c r="K533" s="41"/>
    </row>
    <row r="534" spans="2:11" x14ac:dyDescent="0.2">
      <c r="B534" s="38"/>
      <c r="C534" s="40" t="s">
        <v>893</v>
      </c>
      <c r="D534" s="40"/>
      <c r="E534" s="40"/>
      <c r="F534" s="40"/>
      <c r="G534" s="40"/>
      <c r="H534" s="40"/>
      <c r="I534" s="40"/>
      <c r="J534" s="40"/>
      <c r="K534" s="41"/>
    </row>
    <row r="535" spans="2:11" ht="15" customHeight="1" x14ac:dyDescent="0.2">
      <c r="B535" s="38"/>
      <c r="C535" s="399"/>
      <c r="D535" s="400"/>
      <c r="E535" s="400"/>
      <c r="F535" s="400"/>
      <c r="G535" s="400"/>
      <c r="H535" s="400"/>
      <c r="I535" s="400"/>
      <c r="J535" s="401"/>
      <c r="K535" s="41"/>
    </row>
    <row r="536" spans="2:11" x14ac:dyDescent="0.2">
      <c r="B536" s="38"/>
      <c r="C536" s="40"/>
      <c r="D536" s="40"/>
      <c r="E536" s="40"/>
      <c r="F536" s="40"/>
      <c r="G536" s="40"/>
      <c r="H536" s="40"/>
      <c r="I536" s="40"/>
      <c r="J536" s="40"/>
      <c r="K536" s="41"/>
    </row>
    <row r="537" spans="2:11" x14ac:dyDescent="0.2">
      <c r="B537" s="38"/>
      <c r="C537" s="179" t="s">
        <v>319</v>
      </c>
      <c r="D537" s="40"/>
      <c r="E537" s="40"/>
      <c r="F537" s="40"/>
      <c r="G537" s="40"/>
      <c r="H537" s="40"/>
      <c r="I537" s="40"/>
      <c r="J537" s="245" t="str">
        <f>IF(OR(J526="Not Calculated",J533="Not Calculated")=TRUE,"Not Calculated",AVERAGE(J526,J533))</f>
        <v>Not Calculated</v>
      </c>
      <c r="K537" s="41"/>
    </row>
    <row r="538" spans="2:11" x14ac:dyDescent="0.2">
      <c r="B538" s="38"/>
      <c r="C538" s="40"/>
      <c r="D538" s="40"/>
      <c r="E538" s="40"/>
      <c r="F538" s="40"/>
      <c r="G538" s="40"/>
      <c r="H538" s="40"/>
      <c r="I538" s="40"/>
      <c r="J538" s="40"/>
      <c r="K538" s="41"/>
    </row>
    <row r="539" spans="2:11" ht="18" x14ac:dyDescent="0.2">
      <c r="B539" s="38"/>
      <c r="C539" s="180" t="s">
        <v>302</v>
      </c>
      <c r="D539" s="40"/>
      <c r="E539" s="40"/>
      <c r="F539" s="40"/>
      <c r="G539" s="40"/>
      <c r="H539" s="40"/>
      <c r="I539" s="40"/>
      <c r="J539" s="244" t="str">
        <f>IF(OR(J440="Not Calculated",J457="Not Calculated",J473="Not Calculated",J488="Not Calculated",J504="Not Calculated",J520="Not Calculated",J537="Not Calculated")=TRUE,"Not Calculated",AVERAGE(J440,J457,J473,J488,J504,J520,J537))</f>
        <v>Not Calculated</v>
      </c>
      <c r="K539" s="41"/>
    </row>
    <row r="540" spans="2:11" ht="16" thickBot="1" x14ac:dyDescent="0.25">
      <c r="B540" s="46"/>
      <c r="C540" s="47"/>
      <c r="D540" s="47"/>
      <c r="E540" s="47"/>
      <c r="F540" s="47"/>
      <c r="G540" s="47"/>
      <c r="H540" s="47"/>
      <c r="I540" s="47"/>
      <c r="J540" s="47"/>
      <c r="K540" s="49"/>
    </row>
    <row r="541" spans="2:11" ht="16" thickBot="1" x14ac:dyDescent="0.25"/>
    <row r="542" spans="2:11" x14ac:dyDescent="0.2">
      <c r="B542" s="33"/>
      <c r="C542" s="34"/>
      <c r="D542" s="34"/>
      <c r="E542" s="34"/>
      <c r="F542" s="34"/>
      <c r="G542" s="34"/>
      <c r="H542" s="34"/>
      <c r="I542" s="34"/>
      <c r="J542" s="34"/>
      <c r="K542" s="37"/>
    </row>
    <row r="543" spans="2:11" ht="21" x14ac:dyDescent="0.25">
      <c r="B543" s="38"/>
      <c r="C543" s="40"/>
      <c r="D543" s="40"/>
      <c r="E543" s="40"/>
      <c r="F543" s="40"/>
      <c r="G543" s="172" t="s">
        <v>29</v>
      </c>
      <c r="H543" s="40"/>
      <c r="I543" s="40"/>
      <c r="J543" s="40"/>
      <c r="K543" s="41"/>
    </row>
    <row r="544" spans="2:11" ht="15" customHeight="1" x14ac:dyDescent="0.2">
      <c r="B544" s="38"/>
      <c r="C544" s="40"/>
      <c r="D544" s="40"/>
      <c r="E544" s="40"/>
      <c r="F544" s="40"/>
      <c r="G544" s="40"/>
      <c r="H544" s="40"/>
      <c r="I544" s="40"/>
      <c r="J544" s="40"/>
      <c r="K544" s="41"/>
    </row>
    <row r="545" spans="2:14" ht="16" x14ac:dyDescent="0.2">
      <c r="B545" s="38"/>
      <c r="C545" s="45" t="s">
        <v>88</v>
      </c>
      <c r="D545" s="40"/>
      <c r="E545" s="40"/>
      <c r="F545" s="40"/>
      <c r="G545" s="40"/>
      <c r="H545" s="40"/>
      <c r="I545" s="40"/>
      <c r="J545" s="40"/>
      <c r="K545" s="41"/>
    </row>
    <row r="546" spans="2:14" x14ac:dyDescent="0.2">
      <c r="B546" s="38"/>
      <c r="C546" s="40" t="s">
        <v>448</v>
      </c>
      <c r="D546" s="40"/>
      <c r="E546" s="40"/>
      <c r="F546" s="40"/>
      <c r="G546" s="40"/>
      <c r="H546" s="40"/>
      <c r="I546" s="40"/>
      <c r="J546" s="251">
        <f>'Baseline Health'!G123</f>
        <v>0</v>
      </c>
      <c r="K546" s="41"/>
    </row>
    <row r="547" spans="2:14" x14ac:dyDescent="0.2">
      <c r="B547" s="38"/>
      <c r="C547" s="40" t="s">
        <v>322</v>
      </c>
      <c r="D547" s="40"/>
      <c r="E547" s="40"/>
      <c r="F547" s="40"/>
      <c r="G547" s="40"/>
      <c r="H547" s="40"/>
      <c r="I547" s="40"/>
      <c r="J547" s="264"/>
      <c r="K547" s="41"/>
    </row>
    <row r="548" spans="2:14" x14ac:dyDescent="0.2">
      <c r="B548" s="38"/>
      <c r="C548" s="40" t="s">
        <v>428</v>
      </c>
      <c r="D548" s="40"/>
      <c r="E548" s="40"/>
      <c r="F548" s="40"/>
      <c r="G548" s="40"/>
      <c r="H548" s="40"/>
      <c r="I548" s="40"/>
      <c r="J548" s="264"/>
      <c r="K548" s="41"/>
    </row>
    <row r="549" spans="2:14" x14ac:dyDescent="0.2">
      <c r="B549" s="38"/>
      <c r="C549" s="40" t="s">
        <v>260</v>
      </c>
      <c r="D549" s="40"/>
      <c r="E549" s="40"/>
      <c r="F549" s="40"/>
      <c r="G549" s="40"/>
      <c r="H549" s="40"/>
      <c r="I549" s="40"/>
      <c r="J549" s="245" t="str">
        <f>IF(OR(J546=0,J546="Not Calculated")=TRUE,"Not Calculated",IF(J546-J547=0,4,(IF(((J546+J548)/(J546-J547))&lt;=1,0,IF(((J546+J548)/(J546-J547))&lt;=1.05,1,IF(((J546+J548)/(J546-J547))&lt;=1.5, 2,IF(((J546+J548)/(J546-J547))&lt;=2,3,4)))))))</f>
        <v>Not Calculated</v>
      </c>
      <c r="K549" s="41"/>
    </row>
    <row r="550" spans="2:14" ht="9.75" customHeight="1" x14ac:dyDescent="0.2">
      <c r="B550" s="38"/>
      <c r="C550" s="279" t="str">
        <f>"0:"</f>
        <v>0:</v>
      </c>
      <c r="D550" s="278" t="s">
        <v>918</v>
      </c>
      <c r="E550" s="40"/>
      <c r="F550" s="40"/>
      <c r="G550" s="40"/>
      <c r="H550" s="40"/>
      <c r="I550" s="40"/>
      <c r="J550" s="251"/>
      <c r="K550" s="41"/>
    </row>
    <row r="551" spans="2:14" ht="9.75" customHeight="1" x14ac:dyDescent="0.2">
      <c r="B551" s="38"/>
      <c r="C551" s="280" t="str">
        <f>"1:"</f>
        <v>1:</v>
      </c>
      <c r="D551" s="278" t="s">
        <v>923</v>
      </c>
      <c r="E551" s="40"/>
      <c r="F551" s="40"/>
      <c r="G551" s="40"/>
      <c r="H551" s="40"/>
      <c r="I551" s="40"/>
      <c r="J551" s="251"/>
      <c r="K551" s="41"/>
    </row>
    <row r="552" spans="2:14" ht="9.75" customHeight="1" x14ac:dyDescent="0.2">
      <c r="B552" s="38"/>
      <c r="C552" s="280" t="str">
        <f>"2:"</f>
        <v>2:</v>
      </c>
      <c r="D552" s="278" t="s">
        <v>924</v>
      </c>
      <c r="E552" s="40"/>
      <c r="F552" s="40"/>
      <c r="G552" s="40"/>
      <c r="H552" s="40"/>
      <c r="I552" s="40"/>
      <c r="J552" s="251"/>
      <c r="K552" s="41"/>
    </row>
    <row r="553" spans="2:14" ht="9.75" customHeight="1" x14ac:dyDescent="0.2">
      <c r="B553" s="38"/>
      <c r="C553" s="280" t="str">
        <f>"3:"</f>
        <v>3:</v>
      </c>
      <c r="D553" s="278" t="s">
        <v>925</v>
      </c>
      <c r="E553" s="40"/>
      <c r="F553" s="40"/>
      <c r="G553" s="40"/>
      <c r="H553" s="40"/>
      <c r="I553" s="40"/>
      <c r="J553" s="251"/>
      <c r="K553" s="41"/>
    </row>
    <row r="554" spans="2:14" ht="9.75" customHeight="1" x14ac:dyDescent="0.2">
      <c r="B554" s="38"/>
      <c r="C554" s="280" t="str">
        <f>"4:"</f>
        <v>4:</v>
      </c>
      <c r="D554" s="278" t="s">
        <v>926</v>
      </c>
      <c r="E554" s="40"/>
      <c r="F554" s="40"/>
      <c r="G554" s="40"/>
      <c r="H554" s="40"/>
      <c r="I554" s="40"/>
      <c r="J554" s="40"/>
      <c r="K554" s="41"/>
      <c r="N554" s="12" t="s">
        <v>661</v>
      </c>
    </row>
    <row r="555" spans="2:14" x14ac:dyDescent="0.2">
      <c r="B555" s="38"/>
      <c r="C555" s="174" t="s">
        <v>662</v>
      </c>
      <c r="D555" s="40"/>
      <c r="E555" s="40"/>
      <c r="F555" s="40"/>
      <c r="G555" s="40"/>
      <c r="H555" s="40"/>
      <c r="I555" s="40"/>
      <c r="J555" s="265" t="s">
        <v>661</v>
      </c>
      <c r="K555" s="41"/>
      <c r="N555" s="12" t="s">
        <v>894</v>
      </c>
    </row>
    <row r="556" spans="2:14" x14ac:dyDescent="0.2">
      <c r="B556" s="38"/>
      <c r="C556" s="174" t="s">
        <v>660</v>
      </c>
      <c r="D556" s="40"/>
      <c r="E556" s="40"/>
      <c r="F556" s="40"/>
      <c r="G556" s="40"/>
      <c r="H556" s="40"/>
      <c r="I556" s="40"/>
      <c r="J556" s="247" t="str">
        <f>IF(J555=N554,"N/A",IF(J555=N555,0,IF(J555=N556,1,IF(J555=N557,2,IF(J555=N558,3,IF(J555=N559,4,"N/A"))))))</f>
        <v>N/A</v>
      </c>
      <c r="K556" s="41"/>
      <c r="N556" s="12" t="s">
        <v>899</v>
      </c>
    </row>
    <row r="557" spans="2:14" x14ac:dyDescent="0.2">
      <c r="B557" s="38"/>
      <c r="C557" s="40" t="s">
        <v>257</v>
      </c>
      <c r="D557" s="40"/>
      <c r="E557" s="40"/>
      <c r="F557" s="40"/>
      <c r="G557" s="40"/>
      <c r="H557" s="40"/>
      <c r="I557" s="40"/>
      <c r="J557" s="266"/>
      <c r="K557" s="41"/>
      <c r="N557" s="12" t="s">
        <v>900</v>
      </c>
    </row>
    <row r="558" spans="2:14" x14ac:dyDescent="0.2">
      <c r="B558" s="38"/>
      <c r="C558" s="40" t="s">
        <v>261</v>
      </c>
      <c r="D558" s="40"/>
      <c r="E558" s="40"/>
      <c r="F558" s="40"/>
      <c r="G558" s="40"/>
      <c r="H558" s="40"/>
      <c r="I558" s="40"/>
      <c r="J558" s="245" t="str">
        <f>IF(J557=$B$973,$A$973,IF(J557=$B$974,$A$974,IF(J557=$B$975,$A$975,IF(J557=$B$976,$A$976,IF(J557=$B$977,$A$977,"Not Calculated")))))</f>
        <v>Not Calculated</v>
      </c>
      <c r="K558" s="41"/>
      <c r="N558" s="12" t="s">
        <v>901</v>
      </c>
    </row>
    <row r="559" spans="2:14" x14ac:dyDescent="0.2">
      <c r="B559" s="38"/>
      <c r="C559" s="40" t="s">
        <v>893</v>
      </c>
      <c r="D559" s="40"/>
      <c r="E559" s="40"/>
      <c r="F559" s="40"/>
      <c r="G559" s="40"/>
      <c r="H559" s="40"/>
      <c r="I559" s="40"/>
      <c r="J559" s="40"/>
      <c r="K559" s="41"/>
      <c r="N559" s="12" t="s">
        <v>902</v>
      </c>
    </row>
    <row r="560" spans="2:14" ht="15" customHeight="1" x14ac:dyDescent="0.2">
      <c r="B560" s="38"/>
      <c r="C560" s="399"/>
      <c r="D560" s="400"/>
      <c r="E560" s="400"/>
      <c r="F560" s="400"/>
      <c r="G560" s="400"/>
      <c r="H560" s="400"/>
      <c r="I560" s="400"/>
      <c r="J560" s="401"/>
      <c r="K560" s="41"/>
    </row>
    <row r="561" spans="2:11" x14ac:dyDescent="0.2">
      <c r="B561" s="38"/>
      <c r="C561" s="40"/>
      <c r="D561" s="40"/>
      <c r="E561" s="40"/>
      <c r="F561" s="40"/>
      <c r="G561" s="40"/>
      <c r="H561" s="40"/>
      <c r="I561" s="40"/>
      <c r="J561" s="40"/>
      <c r="K561" s="41"/>
    </row>
    <row r="562" spans="2:11" x14ac:dyDescent="0.2">
      <c r="B562" s="38"/>
      <c r="C562" s="179" t="s">
        <v>323</v>
      </c>
      <c r="D562" s="40"/>
      <c r="E562" s="40"/>
      <c r="F562" s="40"/>
      <c r="G562" s="40"/>
      <c r="H562" s="40"/>
      <c r="I562" s="40"/>
      <c r="J562" s="245" t="str">
        <f>IF(J556="N/A",IF(OR(J549="Not Calculated",J558="Not Calculated")=TRUE,"Not Calculated",AVERAGE(J549,J558)),AVERAGE(J556,J558))</f>
        <v>Not Calculated</v>
      </c>
      <c r="K562" s="41"/>
    </row>
    <row r="563" spans="2:11" x14ac:dyDescent="0.2">
      <c r="B563" s="38"/>
      <c r="C563" s="40"/>
      <c r="D563" s="40"/>
      <c r="E563" s="40"/>
      <c r="F563" s="40"/>
      <c r="G563" s="40"/>
      <c r="H563" s="40"/>
      <c r="I563" s="40"/>
      <c r="J563" s="40"/>
      <c r="K563" s="41"/>
    </row>
    <row r="564" spans="2:11" x14ac:dyDescent="0.2">
      <c r="B564" s="38"/>
      <c r="C564" s="40"/>
      <c r="D564" s="40"/>
      <c r="E564" s="40"/>
      <c r="F564" s="40"/>
      <c r="G564" s="40"/>
      <c r="H564" s="40"/>
      <c r="I564" s="40"/>
      <c r="J564" s="40"/>
      <c r="K564" s="41"/>
    </row>
    <row r="565" spans="2:11" ht="16" x14ac:dyDescent="0.2">
      <c r="B565" s="38"/>
      <c r="C565" s="45" t="s">
        <v>89</v>
      </c>
      <c r="D565" s="40"/>
      <c r="E565" s="40"/>
      <c r="F565" s="40"/>
      <c r="G565" s="40"/>
      <c r="H565" s="40"/>
      <c r="I565" s="40"/>
      <c r="J565" s="40"/>
      <c r="K565" s="41"/>
    </row>
    <row r="566" spans="2:11" ht="15" customHeight="1" x14ac:dyDescent="0.2">
      <c r="B566" s="38"/>
      <c r="C566" s="380" t="s">
        <v>333</v>
      </c>
      <c r="D566" s="380"/>
      <c r="E566" s="380"/>
      <c r="F566" s="380"/>
      <c r="G566" s="380"/>
      <c r="H566" s="380"/>
      <c r="I566" s="380"/>
      <c r="J566" s="40"/>
      <c r="K566" s="41"/>
    </row>
    <row r="567" spans="2:11" x14ac:dyDescent="0.2">
      <c r="B567" s="38"/>
      <c r="C567" s="380"/>
      <c r="D567" s="380"/>
      <c r="E567" s="380"/>
      <c r="F567" s="380"/>
      <c r="G567" s="380"/>
      <c r="H567" s="380"/>
      <c r="I567" s="380"/>
      <c r="J567" s="40"/>
      <c r="K567" s="41"/>
    </row>
    <row r="568" spans="2:11" x14ac:dyDescent="0.2">
      <c r="B568" s="38"/>
      <c r="C568" s="380"/>
      <c r="D568" s="380"/>
      <c r="E568" s="380"/>
      <c r="F568" s="380"/>
      <c r="G568" s="380"/>
      <c r="H568" s="380"/>
      <c r="I568" s="380"/>
      <c r="J568" s="251">
        <f>'Baseline Health'!G132</f>
        <v>0</v>
      </c>
      <c r="K568" s="41"/>
    </row>
    <row r="569" spans="2:11" ht="15" customHeight="1" x14ac:dyDescent="0.2">
      <c r="B569" s="38"/>
      <c r="C569" s="380" t="s">
        <v>334</v>
      </c>
      <c r="D569" s="380"/>
      <c r="E569" s="380"/>
      <c r="F569" s="380"/>
      <c r="G569" s="380"/>
      <c r="H569" s="380"/>
      <c r="I569" s="380"/>
      <c r="J569" s="245"/>
      <c r="K569" s="41"/>
    </row>
    <row r="570" spans="2:11" x14ac:dyDescent="0.2">
      <c r="B570" s="38"/>
      <c r="C570" s="380"/>
      <c r="D570" s="380"/>
      <c r="E570" s="380"/>
      <c r="F570" s="380"/>
      <c r="G570" s="380"/>
      <c r="H570" s="380"/>
      <c r="I570" s="380"/>
      <c r="J570" s="245"/>
      <c r="K570" s="41"/>
    </row>
    <row r="571" spans="2:11" x14ac:dyDescent="0.2">
      <c r="B571" s="38"/>
      <c r="C571" s="380"/>
      <c r="D571" s="380"/>
      <c r="E571" s="380"/>
      <c r="F571" s="380"/>
      <c r="G571" s="380"/>
      <c r="H571" s="380"/>
      <c r="I571" s="380"/>
      <c r="J571" s="264"/>
      <c r="K571" s="41"/>
    </row>
    <row r="572" spans="2:11" x14ac:dyDescent="0.2">
      <c r="B572" s="38"/>
      <c r="C572" s="40" t="s">
        <v>260</v>
      </c>
      <c r="D572" s="40"/>
      <c r="E572" s="40"/>
      <c r="F572" s="40"/>
      <c r="G572" s="40"/>
      <c r="H572" s="40"/>
      <c r="I572" s="40"/>
      <c r="J572" s="245" t="str">
        <f>IF(OR(J568=0,J568="Not Calculated")=TRUE,"Not Calculated",IF(((J568+J571)/J568)&lt;=1,0,IF(((J568+J571)/J568)&lt;=1.05,1,IF(((J568+J571)/J568)&lt;=1.5, 2,IF(((J568+J571)/J568)&lt;=2,3,4)))))</f>
        <v>Not Calculated</v>
      </c>
      <c r="K572" s="41"/>
    </row>
    <row r="573" spans="2:11" ht="9.75" customHeight="1" x14ac:dyDescent="0.2">
      <c r="B573" s="38"/>
      <c r="C573" s="279" t="str">
        <f>"0:"</f>
        <v>0:</v>
      </c>
      <c r="D573" s="281" t="s">
        <v>918</v>
      </c>
      <c r="E573" s="291"/>
      <c r="F573" s="291"/>
      <c r="G573" s="291"/>
      <c r="H573" s="291"/>
      <c r="I573" s="291"/>
      <c r="J573" s="251"/>
      <c r="K573" s="41"/>
    </row>
    <row r="574" spans="2:11" ht="9.75" customHeight="1" x14ac:dyDescent="0.2">
      <c r="B574" s="38"/>
      <c r="C574" s="280" t="str">
        <f>"1:"</f>
        <v>1:</v>
      </c>
      <c r="D574" s="281" t="s">
        <v>919</v>
      </c>
      <c r="E574" s="291"/>
      <c r="F574" s="291"/>
      <c r="G574" s="291"/>
      <c r="H574" s="291"/>
      <c r="I574" s="291"/>
      <c r="J574" s="251"/>
      <c r="K574" s="41"/>
    </row>
    <row r="575" spans="2:11" ht="9.75" customHeight="1" x14ac:dyDescent="0.2">
      <c r="B575" s="38"/>
      <c r="C575" s="280" t="str">
        <f>"2:"</f>
        <v>2:</v>
      </c>
      <c r="D575" s="281" t="s">
        <v>920</v>
      </c>
      <c r="E575" s="291"/>
      <c r="F575" s="291"/>
      <c r="G575" s="291"/>
      <c r="H575" s="291"/>
      <c r="I575" s="291"/>
      <c r="J575" s="251"/>
      <c r="K575" s="41"/>
    </row>
    <row r="576" spans="2:11" ht="9.75" customHeight="1" x14ac:dyDescent="0.2">
      <c r="B576" s="38"/>
      <c r="C576" s="280" t="str">
        <f>"3:"</f>
        <v>3:</v>
      </c>
      <c r="D576" s="281" t="s">
        <v>921</v>
      </c>
      <c r="E576" s="291"/>
      <c r="F576" s="291"/>
      <c r="G576" s="291"/>
      <c r="H576" s="291"/>
      <c r="I576" s="291"/>
      <c r="J576" s="251"/>
      <c r="K576" s="41"/>
    </row>
    <row r="577" spans="2:14" ht="9.75" customHeight="1" x14ac:dyDescent="0.2">
      <c r="B577" s="38"/>
      <c r="C577" s="280" t="str">
        <f>"4:"</f>
        <v>4:</v>
      </c>
      <c r="D577" s="281" t="s">
        <v>922</v>
      </c>
      <c r="E577" s="40"/>
      <c r="F577" s="40"/>
      <c r="G577" s="40"/>
      <c r="H577" s="40"/>
      <c r="I577" s="40"/>
      <c r="J577" s="40"/>
      <c r="K577" s="41"/>
      <c r="N577" s="12" t="s">
        <v>661</v>
      </c>
    </row>
    <row r="578" spans="2:14" ht="15" customHeight="1" x14ac:dyDescent="0.2">
      <c r="B578" s="38"/>
      <c r="C578" s="174" t="s">
        <v>662</v>
      </c>
      <c r="D578" s="40"/>
      <c r="E578" s="40"/>
      <c r="F578" s="40"/>
      <c r="G578" s="40"/>
      <c r="H578" s="40"/>
      <c r="I578" s="40"/>
      <c r="J578" s="265" t="s">
        <v>661</v>
      </c>
      <c r="K578" s="41"/>
      <c r="N578" s="12" t="s">
        <v>894</v>
      </c>
    </row>
    <row r="579" spans="2:14" ht="15" customHeight="1" x14ac:dyDescent="0.2">
      <c r="B579" s="38"/>
      <c r="C579" s="174" t="s">
        <v>660</v>
      </c>
      <c r="D579" s="40"/>
      <c r="E579" s="40"/>
      <c r="F579" s="40"/>
      <c r="G579" s="40"/>
      <c r="H579" s="40"/>
      <c r="I579" s="40"/>
      <c r="J579" s="247" t="str">
        <f>IF(J578=N577,"N/A",IF(J578=N578,0,IF(J578=N579,1,IF(J578=N580,2,IF(J578=N581,3,IF(J578=N582,4,"N/A"))))))</f>
        <v>N/A</v>
      </c>
      <c r="K579" s="41"/>
      <c r="N579" s="12" t="s">
        <v>895</v>
      </c>
    </row>
    <row r="580" spans="2:14" x14ac:dyDescent="0.2">
      <c r="B580" s="38"/>
      <c r="C580" s="40" t="s">
        <v>257</v>
      </c>
      <c r="D580" s="40"/>
      <c r="E580" s="40"/>
      <c r="F580" s="40"/>
      <c r="G580" s="40"/>
      <c r="H580" s="40"/>
      <c r="I580" s="40"/>
      <c r="J580" s="266"/>
      <c r="K580" s="41"/>
      <c r="N580" s="12" t="s">
        <v>896</v>
      </c>
    </row>
    <row r="581" spans="2:14" x14ac:dyDescent="0.2">
      <c r="B581" s="38"/>
      <c r="C581" s="40" t="s">
        <v>261</v>
      </c>
      <c r="D581" s="40"/>
      <c r="E581" s="40"/>
      <c r="F581" s="40"/>
      <c r="G581" s="40"/>
      <c r="H581" s="40"/>
      <c r="I581" s="40"/>
      <c r="J581" s="245" t="str">
        <f>IF(J580=$B$973,$A$973,IF(J580=$B$974,$A$974,IF(J580=$B$975,$A$975,IF(J580=$B$976,$A$976,IF(J580=$B$977,$A$977,"Not Calculated")))))</f>
        <v>Not Calculated</v>
      </c>
      <c r="K581" s="41"/>
      <c r="N581" s="12" t="s">
        <v>897</v>
      </c>
    </row>
    <row r="582" spans="2:14" x14ac:dyDescent="0.2">
      <c r="B582" s="38"/>
      <c r="C582" s="40" t="s">
        <v>893</v>
      </c>
      <c r="D582" s="40"/>
      <c r="E582" s="40"/>
      <c r="F582" s="40"/>
      <c r="G582" s="40"/>
      <c r="H582" s="40"/>
      <c r="I582" s="40"/>
      <c r="J582" s="40"/>
      <c r="K582" s="41"/>
      <c r="N582" s="12" t="s">
        <v>898</v>
      </c>
    </row>
    <row r="583" spans="2:14" ht="15" customHeight="1" x14ac:dyDescent="0.2">
      <c r="B583" s="38"/>
      <c r="C583" s="399"/>
      <c r="D583" s="400"/>
      <c r="E583" s="400"/>
      <c r="F583" s="400"/>
      <c r="G583" s="400"/>
      <c r="H583" s="400"/>
      <c r="I583" s="400"/>
      <c r="J583" s="401"/>
      <c r="K583" s="41"/>
    </row>
    <row r="584" spans="2:14" x14ac:dyDescent="0.2">
      <c r="B584" s="38"/>
      <c r="C584" s="40"/>
      <c r="D584" s="40"/>
      <c r="E584" s="40"/>
      <c r="F584" s="40"/>
      <c r="G584" s="40"/>
      <c r="H584" s="40"/>
      <c r="I584" s="40"/>
      <c r="J584" s="40"/>
      <c r="K584" s="41"/>
    </row>
    <row r="585" spans="2:14" x14ac:dyDescent="0.2">
      <c r="B585" s="38"/>
      <c r="C585" s="179" t="s">
        <v>324</v>
      </c>
      <c r="D585" s="40"/>
      <c r="E585" s="40"/>
      <c r="F585" s="40"/>
      <c r="G585" s="40"/>
      <c r="H585" s="40"/>
      <c r="I585" s="40"/>
      <c r="J585" s="245" t="str">
        <f>IF(J579="N/A",IF(OR(J572="Not Calculated",J581="Not Calculated")=TRUE,"Not Calculated",AVERAGE(J572,J581)),AVERAGE(J579,J581))</f>
        <v>Not Calculated</v>
      </c>
      <c r="K585" s="41"/>
    </row>
    <row r="586" spans="2:14" x14ac:dyDescent="0.2">
      <c r="B586" s="38"/>
      <c r="C586" s="40"/>
      <c r="D586" s="40"/>
      <c r="E586" s="40"/>
      <c r="F586" s="40"/>
      <c r="G586" s="40"/>
      <c r="H586" s="40"/>
      <c r="I586" s="40"/>
      <c r="J586" s="40"/>
      <c r="K586" s="41"/>
    </row>
    <row r="587" spans="2:14" x14ac:dyDescent="0.2">
      <c r="B587" s="38"/>
      <c r="C587" s="40"/>
      <c r="D587" s="40"/>
      <c r="E587" s="40"/>
      <c r="F587" s="40"/>
      <c r="G587" s="40"/>
      <c r="H587" s="40"/>
      <c r="I587" s="40"/>
      <c r="J587" s="40"/>
      <c r="K587" s="41"/>
    </row>
    <row r="588" spans="2:14" ht="16" x14ac:dyDescent="0.2">
      <c r="B588" s="38"/>
      <c r="C588" s="45" t="s">
        <v>115</v>
      </c>
      <c r="D588" s="40"/>
      <c r="E588" s="40"/>
      <c r="F588" s="40"/>
      <c r="G588" s="40"/>
      <c r="H588" s="40"/>
      <c r="I588" s="40"/>
      <c r="J588" s="40"/>
      <c r="K588" s="41"/>
    </row>
    <row r="589" spans="2:14" x14ac:dyDescent="0.2">
      <c r="B589" s="38"/>
      <c r="C589" s="40" t="s">
        <v>335</v>
      </c>
      <c r="D589" s="40"/>
      <c r="E589" s="40"/>
      <c r="F589" s="40"/>
      <c r="G589" s="40"/>
      <c r="H589" s="40"/>
      <c r="I589" s="40"/>
      <c r="J589" s="264"/>
      <c r="K589" s="41"/>
    </row>
    <row r="590" spans="2:14" x14ac:dyDescent="0.2">
      <c r="B590" s="38"/>
      <c r="C590" s="40" t="s">
        <v>260</v>
      </c>
      <c r="D590" s="40"/>
      <c r="E590" s="40"/>
      <c r="F590" s="40"/>
      <c r="G590" s="40"/>
      <c r="H590" s="40"/>
      <c r="I590" s="40"/>
      <c r="J590" s="255">
        <f>IF(J589&lt;=0,0,IF(J589&lt;=1000,1,IF(J589&lt;=5000,2,IF(J589&lt;=25000,3,4))))</f>
        <v>0</v>
      </c>
      <c r="K590" s="41"/>
    </row>
    <row r="591" spans="2:14" ht="9.75" customHeight="1" x14ac:dyDescent="0.2">
      <c r="B591" s="38"/>
      <c r="C591" s="279" t="str">
        <f>"0:"</f>
        <v>0:</v>
      </c>
      <c r="D591" s="284" t="s">
        <v>970</v>
      </c>
      <c r="E591" s="40"/>
      <c r="F591" s="40"/>
      <c r="G591" s="40"/>
      <c r="H591" s="40"/>
      <c r="I591" s="40"/>
      <c r="J591" s="251"/>
      <c r="K591" s="41"/>
    </row>
    <row r="592" spans="2:14" ht="9.75" customHeight="1" x14ac:dyDescent="0.2">
      <c r="B592" s="38"/>
      <c r="C592" s="280" t="str">
        <f>"1:"</f>
        <v>1:</v>
      </c>
      <c r="D592" s="284" t="s">
        <v>961</v>
      </c>
      <c r="E592" s="40"/>
      <c r="F592" s="40"/>
      <c r="G592" s="40"/>
      <c r="H592" s="40"/>
      <c r="I592" s="40"/>
      <c r="J592" s="251"/>
      <c r="K592" s="41"/>
    </row>
    <row r="593" spans="2:11" ht="9.75" customHeight="1" x14ac:dyDescent="0.2">
      <c r="B593" s="38"/>
      <c r="C593" s="280" t="str">
        <f>"2:"</f>
        <v>2:</v>
      </c>
      <c r="D593" s="284" t="s">
        <v>971</v>
      </c>
      <c r="E593" s="40"/>
      <c r="F593" s="40"/>
      <c r="G593" s="40"/>
      <c r="H593" s="40"/>
      <c r="I593" s="40"/>
      <c r="J593" s="251"/>
      <c r="K593" s="41"/>
    </row>
    <row r="594" spans="2:11" ht="9.75" customHeight="1" x14ac:dyDescent="0.2">
      <c r="B594" s="38"/>
      <c r="C594" s="280" t="str">
        <f>"3:"</f>
        <v>3:</v>
      </c>
      <c r="D594" s="284" t="s">
        <v>963</v>
      </c>
      <c r="E594" s="40"/>
      <c r="F594" s="40"/>
      <c r="G594" s="40"/>
      <c r="H594" s="40"/>
      <c r="I594" s="40"/>
      <c r="J594" s="251"/>
      <c r="K594" s="41"/>
    </row>
    <row r="595" spans="2:11" ht="9.75" customHeight="1" x14ac:dyDescent="0.2">
      <c r="B595" s="38"/>
      <c r="C595" s="280" t="str">
        <f>"4:"</f>
        <v>4:</v>
      </c>
      <c r="D595" s="284" t="s">
        <v>964</v>
      </c>
      <c r="E595" s="40"/>
      <c r="F595" s="40"/>
      <c r="G595" s="40"/>
      <c r="H595" s="40"/>
      <c r="I595" s="40"/>
      <c r="J595" s="40"/>
      <c r="K595" s="41"/>
    </row>
    <row r="596" spans="2:11" ht="15" customHeight="1" x14ac:dyDescent="0.2">
      <c r="B596" s="38"/>
      <c r="C596" s="40" t="s">
        <v>257</v>
      </c>
      <c r="D596" s="40"/>
      <c r="E596" s="40"/>
      <c r="F596" s="40"/>
      <c r="G596" s="40"/>
      <c r="H596" s="40"/>
      <c r="I596" s="40"/>
      <c r="J596" s="266"/>
      <c r="K596" s="41"/>
    </row>
    <row r="597" spans="2:11" ht="15" customHeight="1" x14ac:dyDescent="0.2">
      <c r="B597" s="38"/>
      <c r="C597" s="40" t="s">
        <v>261</v>
      </c>
      <c r="D597" s="40"/>
      <c r="E597" s="40"/>
      <c r="F597" s="40"/>
      <c r="G597" s="40"/>
      <c r="H597" s="40"/>
      <c r="I597" s="40"/>
      <c r="J597" s="245" t="str">
        <f>IF(J596=$B$973,$A$973,IF(J596=$B$974,$A$974,IF(J596=$B$975,$A$975,IF(J596=$B$976,$A$976,IF(J596=$B$977,$A$977,"Not Calculated")))))</f>
        <v>Not Calculated</v>
      </c>
      <c r="K597" s="41"/>
    </row>
    <row r="598" spans="2:11" x14ac:dyDescent="0.2">
      <c r="B598" s="38"/>
      <c r="C598" s="40" t="s">
        <v>893</v>
      </c>
      <c r="D598" s="40"/>
      <c r="E598" s="40"/>
      <c r="F598" s="40"/>
      <c r="G598" s="40"/>
      <c r="H598" s="40"/>
      <c r="I598" s="40"/>
      <c r="J598" s="40"/>
      <c r="K598" s="41"/>
    </row>
    <row r="599" spans="2:11" ht="15" customHeight="1" x14ac:dyDescent="0.2">
      <c r="B599" s="38"/>
      <c r="C599" s="399"/>
      <c r="D599" s="400"/>
      <c r="E599" s="400"/>
      <c r="F599" s="400"/>
      <c r="G599" s="400"/>
      <c r="H599" s="400"/>
      <c r="I599" s="400"/>
      <c r="J599" s="401"/>
      <c r="K599" s="41"/>
    </row>
    <row r="600" spans="2:11" x14ac:dyDescent="0.2">
      <c r="B600" s="38"/>
      <c r="C600" s="40"/>
      <c r="D600" s="40"/>
      <c r="E600" s="40"/>
      <c r="F600" s="40"/>
      <c r="G600" s="40"/>
      <c r="H600" s="40"/>
      <c r="I600" s="40"/>
      <c r="J600" s="40"/>
      <c r="K600" s="41"/>
    </row>
    <row r="601" spans="2:11" x14ac:dyDescent="0.2">
      <c r="B601" s="38"/>
      <c r="C601" s="179" t="s">
        <v>325</v>
      </c>
      <c r="D601" s="40"/>
      <c r="E601" s="40"/>
      <c r="F601" s="40"/>
      <c r="G601" s="40"/>
      <c r="H601" s="40"/>
      <c r="I601" s="40"/>
      <c r="J601" s="245">
        <f>IF(J590="Not Calculated","Not Calculated",AVERAGE(J590,J597))</f>
        <v>0</v>
      </c>
      <c r="K601" s="41"/>
    </row>
    <row r="602" spans="2:11" x14ac:dyDescent="0.2">
      <c r="B602" s="38"/>
      <c r="C602" s="40"/>
      <c r="D602" s="40"/>
      <c r="E602" s="40"/>
      <c r="F602" s="40"/>
      <c r="G602" s="40"/>
      <c r="H602" s="40"/>
      <c r="I602" s="40"/>
      <c r="J602" s="40"/>
      <c r="K602" s="41"/>
    </row>
    <row r="603" spans="2:11" x14ac:dyDescent="0.2">
      <c r="B603" s="38"/>
      <c r="C603" s="40"/>
      <c r="D603" s="40"/>
      <c r="E603" s="40"/>
      <c r="F603" s="40"/>
      <c r="G603" s="40"/>
      <c r="H603" s="40"/>
      <c r="I603" s="40"/>
      <c r="J603" s="40"/>
      <c r="K603" s="41"/>
    </row>
    <row r="604" spans="2:11" ht="16" x14ac:dyDescent="0.2">
      <c r="B604" s="38"/>
      <c r="C604" s="45" t="s">
        <v>326</v>
      </c>
      <c r="D604" s="40"/>
      <c r="E604" s="40"/>
      <c r="F604" s="40"/>
      <c r="G604" s="40"/>
      <c r="H604" s="40"/>
      <c r="I604" s="40"/>
      <c r="J604" s="40"/>
      <c r="K604" s="41"/>
    </row>
    <row r="605" spans="2:11" x14ac:dyDescent="0.2">
      <c r="B605" s="38"/>
      <c r="C605" s="40" t="s">
        <v>336</v>
      </c>
      <c r="D605" s="40"/>
      <c r="E605" s="40"/>
      <c r="F605" s="40"/>
      <c r="G605" s="40"/>
      <c r="H605" s="40"/>
      <c r="I605" s="40"/>
      <c r="J605" s="271"/>
      <c r="K605" s="41"/>
    </row>
    <row r="606" spans="2:11" x14ac:dyDescent="0.2">
      <c r="B606" s="38"/>
      <c r="C606" s="40" t="s">
        <v>260</v>
      </c>
      <c r="D606" s="40"/>
      <c r="E606" s="40"/>
      <c r="F606" s="40"/>
      <c r="G606" s="40"/>
      <c r="H606" s="40"/>
      <c r="I606" s="40"/>
      <c r="J606" s="248">
        <f>IF(J605&lt;=0,0,IF(J605&lt;=10,1,IF(J605&lt;=25,2,IF(J605&lt;=50,3,4))))</f>
        <v>0</v>
      </c>
      <c r="K606" s="41"/>
    </row>
    <row r="607" spans="2:11" ht="9.75" customHeight="1" x14ac:dyDescent="0.2">
      <c r="B607" s="38"/>
      <c r="C607" s="279" t="str">
        <f>"0:"</f>
        <v>0:</v>
      </c>
      <c r="D607" s="290" t="s">
        <v>944</v>
      </c>
      <c r="E607" s="40"/>
      <c r="F607" s="40"/>
      <c r="G607" s="40"/>
      <c r="H607" s="40"/>
      <c r="I607" s="40"/>
      <c r="J607" s="244"/>
      <c r="K607" s="41"/>
    </row>
    <row r="608" spans="2:11" ht="9.75" customHeight="1" x14ac:dyDescent="0.2">
      <c r="B608" s="38"/>
      <c r="C608" s="280" t="str">
        <f>"1:"</f>
        <v>1:</v>
      </c>
      <c r="D608" s="290" t="s">
        <v>947</v>
      </c>
      <c r="E608" s="40"/>
      <c r="F608" s="40"/>
      <c r="G608" s="40"/>
      <c r="H608" s="40"/>
      <c r="I608" s="40"/>
      <c r="J608" s="244"/>
      <c r="K608" s="41"/>
    </row>
    <row r="609" spans="2:11" ht="9.75" customHeight="1" x14ac:dyDescent="0.2">
      <c r="B609" s="38"/>
      <c r="C609" s="280" t="str">
        <f>"2:"</f>
        <v>2:</v>
      </c>
      <c r="D609" s="290" t="s">
        <v>972</v>
      </c>
      <c r="E609" s="40"/>
      <c r="F609" s="40"/>
      <c r="G609" s="40"/>
      <c r="H609" s="40"/>
      <c r="I609" s="40"/>
      <c r="J609" s="244"/>
      <c r="K609" s="41"/>
    </row>
    <row r="610" spans="2:11" ht="9.75" customHeight="1" x14ac:dyDescent="0.2">
      <c r="B610" s="38"/>
      <c r="C610" s="280" t="str">
        <f>"3:"</f>
        <v>3:</v>
      </c>
      <c r="D610" s="290" t="s">
        <v>973</v>
      </c>
      <c r="E610" s="40"/>
      <c r="F610" s="40"/>
      <c r="G610" s="40"/>
      <c r="H610" s="40"/>
      <c r="I610" s="40"/>
      <c r="J610" s="244"/>
      <c r="K610" s="41"/>
    </row>
    <row r="611" spans="2:11" ht="9.75" customHeight="1" x14ac:dyDescent="0.2">
      <c r="B611" s="38"/>
      <c r="C611" s="280" t="str">
        <f>"4:"</f>
        <v>4:</v>
      </c>
      <c r="D611" s="290" t="s">
        <v>974</v>
      </c>
      <c r="E611" s="40"/>
      <c r="F611" s="40"/>
      <c r="G611" s="40"/>
      <c r="H611" s="40"/>
      <c r="I611" s="40"/>
      <c r="J611" s="40"/>
      <c r="K611" s="41"/>
    </row>
    <row r="612" spans="2:11" x14ac:dyDescent="0.2">
      <c r="B612" s="38"/>
      <c r="C612" s="40" t="s">
        <v>893</v>
      </c>
      <c r="D612" s="40"/>
      <c r="E612" s="40"/>
      <c r="F612" s="40"/>
      <c r="G612" s="40"/>
      <c r="H612" s="40"/>
      <c r="I612" s="40"/>
      <c r="J612" s="40"/>
      <c r="K612" s="41"/>
    </row>
    <row r="613" spans="2:11" ht="15" customHeight="1" x14ac:dyDescent="0.2">
      <c r="B613" s="38"/>
      <c r="C613" s="399"/>
      <c r="D613" s="400"/>
      <c r="E613" s="400"/>
      <c r="F613" s="400"/>
      <c r="G613" s="400"/>
      <c r="H613" s="400"/>
      <c r="I613" s="400"/>
      <c r="J613" s="401"/>
      <c r="K613" s="41"/>
    </row>
    <row r="614" spans="2:11" x14ac:dyDescent="0.2">
      <c r="B614" s="38"/>
      <c r="C614" s="40"/>
      <c r="D614" s="40"/>
      <c r="E614" s="40"/>
      <c r="F614" s="40"/>
      <c r="G614" s="40"/>
      <c r="H614" s="40"/>
      <c r="I614" s="40"/>
      <c r="J614" s="40"/>
      <c r="K614" s="41"/>
    </row>
    <row r="615" spans="2:11" x14ac:dyDescent="0.2">
      <c r="B615" s="38"/>
      <c r="C615" s="179" t="s">
        <v>327</v>
      </c>
      <c r="D615" s="40"/>
      <c r="E615" s="40"/>
      <c r="F615" s="40"/>
      <c r="G615" s="40"/>
      <c r="H615" s="40"/>
      <c r="I615" s="40"/>
      <c r="J615" s="245">
        <f>J606</f>
        <v>0</v>
      </c>
      <c r="K615" s="41"/>
    </row>
    <row r="616" spans="2:11" x14ac:dyDescent="0.2">
      <c r="B616" s="38"/>
      <c r="C616" s="40"/>
      <c r="D616" s="40"/>
      <c r="E616" s="40"/>
      <c r="F616" s="40"/>
      <c r="G616" s="40"/>
      <c r="H616" s="40"/>
      <c r="I616" s="40"/>
      <c r="J616" s="40"/>
      <c r="K616" s="41"/>
    </row>
    <row r="617" spans="2:11" x14ac:dyDescent="0.2">
      <c r="B617" s="38"/>
      <c r="C617" s="40"/>
      <c r="D617" s="40"/>
      <c r="E617" s="40"/>
      <c r="F617" s="40"/>
      <c r="G617" s="40"/>
      <c r="H617" s="40"/>
      <c r="I617" s="40"/>
      <c r="J617" s="40"/>
      <c r="K617" s="41"/>
    </row>
    <row r="618" spans="2:11" ht="16" x14ac:dyDescent="0.2">
      <c r="B618" s="38"/>
      <c r="C618" s="45" t="s">
        <v>92</v>
      </c>
      <c r="D618" s="40"/>
      <c r="E618" s="40"/>
      <c r="F618" s="40"/>
      <c r="G618" s="40"/>
      <c r="H618" s="40"/>
      <c r="I618" s="40"/>
      <c r="J618" s="40"/>
      <c r="K618" s="41"/>
    </row>
    <row r="619" spans="2:11" x14ac:dyDescent="0.2">
      <c r="B619" s="38"/>
      <c r="C619" s="40" t="s">
        <v>337</v>
      </c>
      <c r="D619" s="40"/>
      <c r="E619" s="40"/>
      <c r="F619" s="40"/>
      <c r="G619" s="40"/>
      <c r="H619" s="40"/>
      <c r="I619" s="40"/>
      <c r="J619" s="251">
        <f>'Baseline Health'!G137</f>
        <v>1</v>
      </c>
      <c r="K619" s="41"/>
    </row>
    <row r="620" spans="2:11" ht="15" customHeight="1" x14ac:dyDescent="0.2">
      <c r="B620" s="38"/>
      <c r="C620" s="380" t="s">
        <v>338</v>
      </c>
      <c r="D620" s="380"/>
      <c r="E620" s="380"/>
      <c r="F620" s="380"/>
      <c r="G620" s="380"/>
      <c r="H620" s="380"/>
      <c r="I620" s="380"/>
      <c r="J620" s="251"/>
      <c r="K620" s="41"/>
    </row>
    <row r="621" spans="2:11" x14ac:dyDescent="0.2">
      <c r="B621" s="38"/>
      <c r="C621" s="380"/>
      <c r="D621" s="380"/>
      <c r="E621" s="380"/>
      <c r="F621" s="380"/>
      <c r="G621" s="380"/>
      <c r="H621" s="380"/>
      <c r="I621" s="380"/>
      <c r="J621" s="264"/>
      <c r="K621" s="41"/>
    </row>
    <row r="622" spans="2:11" x14ac:dyDescent="0.2">
      <c r="B622" s="38"/>
      <c r="C622" s="40" t="s">
        <v>260</v>
      </c>
      <c r="D622" s="40"/>
      <c r="E622" s="40"/>
      <c r="F622" s="40"/>
      <c r="G622" s="40"/>
      <c r="H622" s="40"/>
      <c r="I622" s="40"/>
      <c r="J622" s="245">
        <f>IF(OR(J619=0,J619="Not Calculated")=TRUE,"Not Calculated",IF(((J619+J621)/J619)&lt;=1,0,IF(((J619+J621)/J619)&lt;=1.05,1,IF(((J619+J621)/J619)&lt;=1.5, 2,IF(((J619+J621)/J619)&lt;=2,3,4)))))</f>
        <v>0</v>
      </c>
      <c r="K622" s="41"/>
    </row>
    <row r="623" spans="2:11" ht="9.75" customHeight="1" x14ac:dyDescent="0.2">
      <c r="B623" s="38"/>
      <c r="C623" s="279" t="str">
        <f>"0:"</f>
        <v>0:</v>
      </c>
      <c r="D623" s="281" t="s">
        <v>918</v>
      </c>
      <c r="E623" s="291"/>
      <c r="F623" s="291"/>
      <c r="G623" s="291"/>
      <c r="H623" s="291"/>
      <c r="I623" s="291"/>
      <c r="J623" s="251"/>
      <c r="K623" s="41"/>
    </row>
    <row r="624" spans="2:11" ht="9.75" customHeight="1" x14ac:dyDescent="0.2">
      <c r="B624" s="38"/>
      <c r="C624" s="280" t="str">
        <f>"1:"</f>
        <v>1:</v>
      </c>
      <c r="D624" s="281" t="s">
        <v>919</v>
      </c>
      <c r="E624" s="291"/>
      <c r="F624" s="291"/>
      <c r="G624" s="291"/>
      <c r="H624" s="291"/>
      <c r="I624" s="291"/>
      <c r="J624" s="251"/>
      <c r="K624" s="41"/>
    </row>
    <row r="625" spans="2:14" ht="9.75" customHeight="1" x14ac:dyDescent="0.2">
      <c r="B625" s="38"/>
      <c r="C625" s="280" t="str">
        <f>"2:"</f>
        <v>2:</v>
      </c>
      <c r="D625" s="281" t="s">
        <v>920</v>
      </c>
      <c r="E625" s="291"/>
      <c r="F625" s="291"/>
      <c r="G625" s="291"/>
      <c r="H625" s="291"/>
      <c r="I625" s="291"/>
      <c r="J625" s="251"/>
      <c r="K625" s="41"/>
    </row>
    <row r="626" spans="2:14" ht="9.75" customHeight="1" x14ac:dyDescent="0.2">
      <c r="B626" s="38"/>
      <c r="C626" s="280" t="str">
        <f>"3:"</f>
        <v>3:</v>
      </c>
      <c r="D626" s="281" t="s">
        <v>921</v>
      </c>
      <c r="E626" s="291"/>
      <c r="F626" s="291"/>
      <c r="G626" s="291"/>
      <c r="H626" s="291"/>
      <c r="I626" s="291"/>
      <c r="J626" s="251"/>
      <c r="K626" s="41"/>
    </row>
    <row r="627" spans="2:14" ht="9.75" customHeight="1" x14ac:dyDescent="0.2">
      <c r="B627" s="38"/>
      <c r="C627" s="280" t="str">
        <f>"4:"</f>
        <v>4:</v>
      </c>
      <c r="D627" s="281" t="s">
        <v>922</v>
      </c>
      <c r="E627" s="40"/>
      <c r="F627" s="40"/>
      <c r="G627" s="40"/>
      <c r="H627" s="40"/>
      <c r="I627" s="40"/>
      <c r="J627" s="40"/>
      <c r="K627" s="41"/>
      <c r="N627" s="12" t="s">
        <v>661</v>
      </c>
    </row>
    <row r="628" spans="2:14" x14ac:dyDescent="0.2">
      <c r="B628" s="38"/>
      <c r="C628" s="174" t="s">
        <v>662</v>
      </c>
      <c r="D628" s="40"/>
      <c r="E628" s="40"/>
      <c r="F628" s="40"/>
      <c r="G628" s="40"/>
      <c r="H628" s="40"/>
      <c r="I628" s="40"/>
      <c r="J628" s="265" t="s">
        <v>661</v>
      </c>
      <c r="K628" s="41"/>
      <c r="N628" s="12" t="s">
        <v>894</v>
      </c>
    </row>
    <row r="629" spans="2:14" x14ac:dyDescent="0.2">
      <c r="B629" s="38"/>
      <c r="C629" s="174" t="s">
        <v>660</v>
      </c>
      <c r="D629" s="40"/>
      <c r="E629" s="40"/>
      <c r="F629" s="40"/>
      <c r="G629" s="40"/>
      <c r="H629" s="40"/>
      <c r="I629" s="40"/>
      <c r="J629" s="247" t="str">
        <f>IF(J628=N627,"N/A",IF(J628=N628,0,IF(J628=N629,1,IF(J628=N630,2,IF(J628=N631,3,IF(J628=N632,4,"N/A"))))))</f>
        <v>N/A</v>
      </c>
      <c r="K629" s="41"/>
      <c r="N629" s="12" t="s">
        <v>895</v>
      </c>
    </row>
    <row r="630" spans="2:14" x14ac:dyDescent="0.2">
      <c r="B630" s="38"/>
      <c r="C630" s="40" t="s">
        <v>257</v>
      </c>
      <c r="D630" s="40"/>
      <c r="E630" s="40"/>
      <c r="F630" s="40"/>
      <c r="G630" s="40"/>
      <c r="H630" s="40"/>
      <c r="I630" s="40"/>
      <c r="J630" s="266"/>
      <c r="K630" s="41"/>
      <c r="N630" s="12" t="s">
        <v>896</v>
      </c>
    </row>
    <row r="631" spans="2:14" x14ac:dyDescent="0.2">
      <c r="B631" s="38"/>
      <c r="C631" s="40" t="s">
        <v>261</v>
      </c>
      <c r="D631" s="40"/>
      <c r="E631" s="40"/>
      <c r="F631" s="40"/>
      <c r="G631" s="40"/>
      <c r="H631" s="40"/>
      <c r="I631" s="40"/>
      <c r="J631" s="245" t="str">
        <f>IF(J630=$B$973,$A$973,IF(J630=$B$974,$A$974,IF(J630=$B$975,$A$975,IF(J630=$B$976,$A$976,IF(J630=$B$977,$A$977,"Not Calculated")))))</f>
        <v>Not Calculated</v>
      </c>
      <c r="K631" s="41"/>
      <c r="N631" s="12" t="s">
        <v>897</v>
      </c>
    </row>
    <row r="632" spans="2:14" x14ac:dyDescent="0.2">
      <c r="B632" s="38"/>
      <c r="C632" s="40" t="s">
        <v>893</v>
      </c>
      <c r="D632" s="40"/>
      <c r="E632" s="40"/>
      <c r="F632" s="40"/>
      <c r="G632" s="40"/>
      <c r="H632" s="40"/>
      <c r="I632" s="40"/>
      <c r="J632" s="40"/>
      <c r="K632" s="41"/>
      <c r="N632" s="12" t="s">
        <v>898</v>
      </c>
    </row>
    <row r="633" spans="2:14" ht="15" customHeight="1" x14ac:dyDescent="0.2">
      <c r="B633" s="38"/>
      <c r="C633" s="399"/>
      <c r="D633" s="400"/>
      <c r="E633" s="400"/>
      <c r="F633" s="400"/>
      <c r="G633" s="400"/>
      <c r="H633" s="400"/>
      <c r="I633" s="400"/>
      <c r="J633" s="401"/>
      <c r="K633" s="41"/>
    </row>
    <row r="634" spans="2:14" x14ac:dyDescent="0.2">
      <c r="B634" s="38"/>
      <c r="C634" s="40"/>
      <c r="D634" s="40"/>
      <c r="E634" s="40"/>
      <c r="F634" s="40"/>
      <c r="G634" s="40"/>
      <c r="H634" s="40"/>
      <c r="I634" s="40"/>
      <c r="J634" s="40"/>
      <c r="K634" s="41"/>
    </row>
    <row r="635" spans="2:14" x14ac:dyDescent="0.2">
      <c r="B635" s="38"/>
      <c r="C635" s="179" t="s">
        <v>328</v>
      </c>
      <c r="D635" s="40"/>
      <c r="E635" s="40"/>
      <c r="F635" s="40"/>
      <c r="G635" s="40"/>
      <c r="H635" s="40"/>
      <c r="I635" s="40"/>
      <c r="J635" s="245" t="str">
        <f>IF(J629="N/A",IF(OR(J622="Not Calculated",J631="Not Calculated")=TRUE,"Not Calculated",AVERAGE(J622,J631)),AVERAGE(J629,J631))</f>
        <v>Not Calculated</v>
      </c>
      <c r="K635" s="41"/>
    </row>
    <row r="636" spans="2:14" x14ac:dyDescent="0.2">
      <c r="B636" s="38"/>
      <c r="C636" s="40"/>
      <c r="D636" s="40"/>
      <c r="E636" s="40"/>
      <c r="F636" s="40"/>
      <c r="G636" s="40"/>
      <c r="H636" s="40"/>
      <c r="I636" s="40"/>
      <c r="J636" s="40"/>
      <c r="K636" s="41"/>
    </row>
    <row r="637" spans="2:14" x14ac:dyDescent="0.2">
      <c r="B637" s="38"/>
      <c r="C637" s="40"/>
      <c r="D637" s="40"/>
      <c r="E637" s="40"/>
      <c r="F637" s="40"/>
      <c r="G637" s="40"/>
      <c r="H637" s="40"/>
      <c r="I637" s="40"/>
      <c r="J637" s="40"/>
      <c r="K637" s="41"/>
    </row>
    <row r="638" spans="2:14" ht="16" x14ac:dyDescent="0.2">
      <c r="B638" s="38"/>
      <c r="C638" s="45" t="s">
        <v>329</v>
      </c>
      <c r="D638" s="40"/>
      <c r="E638" s="40"/>
      <c r="F638" s="40"/>
      <c r="G638" s="40"/>
      <c r="H638" s="40"/>
      <c r="I638" s="40"/>
      <c r="J638" s="40"/>
      <c r="K638" s="41"/>
    </row>
    <row r="639" spans="2:14" ht="15" customHeight="1" x14ac:dyDescent="0.2">
      <c r="B639" s="38"/>
      <c r="C639" s="380" t="s">
        <v>339</v>
      </c>
      <c r="D639" s="380"/>
      <c r="E639" s="380"/>
      <c r="F639" s="380"/>
      <c r="G639" s="380"/>
      <c r="H639" s="380"/>
      <c r="I639" s="380"/>
      <c r="J639" s="40"/>
      <c r="K639" s="41"/>
    </row>
    <row r="640" spans="2:14" x14ac:dyDescent="0.2">
      <c r="B640" s="38"/>
      <c r="C640" s="380"/>
      <c r="D640" s="380"/>
      <c r="E640" s="380"/>
      <c r="F640" s="380"/>
      <c r="G640" s="380"/>
      <c r="H640" s="380"/>
      <c r="I640" s="380"/>
      <c r="J640" s="250">
        <f>'Baseline Health'!G145</f>
        <v>0</v>
      </c>
      <c r="K640" s="41"/>
    </row>
    <row r="641" spans="2:14" ht="15" customHeight="1" x14ac:dyDescent="0.2">
      <c r="B641" s="38"/>
      <c r="C641" s="380" t="s">
        <v>340</v>
      </c>
      <c r="D641" s="380"/>
      <c r="E641" s="380"/>
      <c r="F641" s="380"/>
      <c r="G641" s="380"/>
      <c r="H641" s="380"/>
      <c r="I641" s="380"/>
      <c r="J641" s="245"/>
      <c r="K641" s="41"/>
    </row>
    <row r="642" spans="2:14" x14ac:dyDescent="0.2">
      <c r="B642" s="38"/>
      <c r="C642" s="380"/>
      <c r="D642" s="380"/>
      <c r="E642" s="380"/>
      <c r="F642" s="380"/>
      <c r="G642" s="380"/>
      <c r="H642" s="380"/>
      <c r="I642" s="380"/>
      <c r="J642" s="245"/>
      <c r="K642" s="41"/>
    </row>
    <row r="643" spans="2:14" x14ac:dyDescent="0.2">
      <c r="B643" s="38"/>
      <c r="C643" s="380"/>
      <c r="D643" s="380"/>
      <c r="E643" s="380"/>
      <c r="F643" s="380"/>
      <c r="G643" s="380"/>
      <c r="H643" s="380"/>
      <c r="I643" s="380"/>
      <c r="J643" s="272"/>
      <c r="K643" s="41"/>
    </row>
    <row r="644" spans="2:14" x14ac:dyDescent="0.2">
      <c r="B644" s="38"/>
      <c r="C644" s="40" t="s">
        <v>260</v>
      </c>
      <c r="D644" s="40"/>
      <c r="E644" s="40"/>
      <c r="F644" s="40"/>
      <c r="G644" s="40"/>
      <c r="H644" s="40"/>
      <c r="I644" s="40"/>
      <c r="J644" s="245" t="str">
        <f>IF(OR(J640=0,J640="Not Calculated")=TRUE,"Not Calculated",IF(((J640+J643)/J640)&lt;=1,0,IF(((J640+J643)/J640)&lt;=1.05,1,IF(((J640+J643)/J640)&lt;=1.5, 2,IF(((J640+J643)/J640)&lt;=2,3,4)))))</f>
        <v>Not Calculated</v>
      </c>
      <c r="K644" s="41"/>
    </row>
    <row r="645" spans="2:14" ht="9.75" customHeight="1" x14ac:dyDescent="0.2">
      <c r="B645" s="38"/>
      <c r="C645" s="279" t="str">
        <f>"0:"</f>
        <v>0:</v>
      </c>
      <c r="D645" s="281" t="s">
        <v>918</v>
      </c>
      <c r="E645" s="291"/>
      <c r="F645" s="291"/>
      <c r="G645" s="291"/>
      <c r="H645" s="291"/>
      <c r="I645" s="291"/>
      <c r="J645" s="250"/>
      <c r="K645" s="41"/>
    </row>
    <row r="646" spans="2:14" ht="9.75" customHeight="1" x14ac:dyDescent="0.2">
      <c r="B646" s="38"/>
      <c r="C646" s="280" t="str">
        <f>"1:"</f>
        <v>1:</v>
      </c>
      <c r="D646" s="281" t="s">
        <v>919</v>
      </c>
      <c r="E646" s="291"/>
      <c r="F646" s="291"/>
      <c r="G646" s="291"/>
      <c r="H646" s="291"/>
      <c r="I646" s="291"/>
      <c r="J646" s="250"/>
      <c r="K646" s="41"/>
    </row>
    <row r="647" spans="2:14" ht="9.75" customHeight="1" x14ac:dyDescent="0.2">
      <c r="B647" s="38"/>
      <c r="C647" s="280" t="str">
        <f>"2:"</f>
        <v>2:</v>
      </c>
      <c r="D647" s="281" t="s">
        <v>920</v>
      </c>
      <c r="E647" s="291"/>
      <c r="F647" s="291"/>
      <c r="G647" s="291"/>
      <c r="H647" s="291"/>
      <c r="I647" s="291"/>
      <c r="J647" s="250"/>
      <c r="K647" s="41"/>
    </row>
    <row r="648" spans="2:14" ht="9.75" customHeight="1" x14ac:dyDescent="0.2">
      <c r="B648" s="38"/>
      <c r="C648" s="280" t="str">
        <f>"3:"</f>
        <v>3:</v>
      </c>
      <c r="D648" s="281" t="s">
        <v>921</v>
      </c>
      <c r="E648" s="291"/>
      <c r="F648" s="291"/>
      <c r="G648" s="291"/>
      <c r="H648" s="291"/>
      <c r="I648" s="291"/>
      <c r="J648" s="250"/>
      <c r="K648" s="41"/>
    </row>
    <row r="649" spans="2:14" ht="9.75" customHeight="1" x14ac:dyDescent="0.2">
      <c r="B649" s="38"/>
      <c r="C649" s="280" t="str">
        <f>"4:"</f>
        <v>4:</v>
      </c>
      <c r="D649" s="281" t="s">
        <v>922</v>
      </c>
      <c r="E649" s="40"/>
      <c r="F649" s="40"/>
      <c r="G649" s="40"/>
      <c r="H649" s="40"/>
      <c r="I649" s="40"/>
      <c r="J649" s="40"/>
      <c r="K649" s="41"/>
      <c r="N649" s="12" t="s">
        <v>661</v>
      </c>
    </row>
    <row r="650" spans="2:14" x14ac:dyDescent="0.2">
      <c r="B650" s="38"/>
      <c r="C650" s="174" t="s">
        <v>662</v>
      </c>
      <c r="D650" s="40"/>
      <c r="E650" s="40"/>
      <c r="F650" s="40"/>
      <c r="G650" s="40"/>
      <c r="H650" s="40"/>
      <c r="I650" s="40"/>
      <c r="J650" s="265" t="s">
        <v>661</v>
      </c>
      <c r="K650" s="41"/>
      <c r="N650" s="12" t="s">
        <v>894</v>
      </c>
    </row>
    <row r="651" spans="2:14" x14ac:dyDescent="0.2">
      <c r="B651" s="38"/>
      <c r="C651" s="174" t="s">
        <v>660</v>
      </c>
      <c r="D651" s="40"/>
      <c r="E651" s="40"/>
      <c r="F651" s="40"/>
      <c r="G651" s="40"/>
      <c r="H651" s="40"/>
      <c r="I651" s="40"/>
      <c r="J651" s="247" t="str">
        <f>IF(J650=N649,"N/A",IF(J650=N650,0,IF(J650=N651,1,IF(J650=N652,2,IF(J650=N653,3,IF(J650=N654,4,"N/A"))))))</f>
        <v>N/A</v>
      </c>
      <c r="K651" s="41"/>
      <c r="N651" s="12" t="s">
        <v>895</v>
      </c>
    </row>
    <row r="652" spans="2:14" ht="15" customHeight="1" x14ac:dyDescent="0.2">
      <c r="B652" s="38"/>
      <c r="C652" s="40" t="s">
        <v>257</v>
      </c>
      <c r="D652" s="40"/>
      <c r="E652" s="40"/>
      <c r="F652" s="40"/>
      <c r="G652" s="40"/>
      <c r="H652" s="40"/>
      <c r="I652" s="40"/>
      <c r="J652" s="266"/>
      <c r="K652" s="41"/>
      <c r="N652" s="12" t="s">
        <v>896</v>
      </c>
    </row>
    <row r="653" spans="2:14" x14ac:dyDescent="0.2">
      <c r="B653" s="38"/>
      <c r="C653" s="40" t="s">
        <v>261</v>
      </c>
      <c r="D653" s="40"/>
      <c r="E653" s="40"/>
      <c r="F653" s="40"/>
      <c r="G653" s="40"/>
      <c r="H653" s="40"/>
      <c r="I653" s="40"/>
      <c r="J653" s="245" t="str">
        <f>IF(J652=$B$973,$A$973,IF(J652=$B$974,$A$974,IF(J652=$B$975,$A$975,IF(J652=$B$976,$A$976,IF(J652=$B$977,$A$977,"Not Calculated")))))</f>
        <v>Not Calculated</v>
      </c>
      <c r="K653" s="41"/>
      <c r="N653" s="12" t="s">
        <v>897</v>
      </c>
    </row>
    <row r="654" spans="2:14" x14ac:dyDescent="0.2">
      <c r="B654" s="38"/>
      <c r="C654" s="40" t="s">
        <v>893</v>
      </c>
      <c r="D654" s="40"/>
      <c r="E654" s="40"/>
      <c r="F654" s="40"/>
      <c r="G654" s="40"/>
      <c r="H654" s="40"/>
      <c r="I654" s="40"/>
      <c r="J654" s="40"/>
      <c r="K654" s="41"/>
      <c r="N654" s="12" t="s">
        <v>898</v>
      </c>
    </row>
    <row r="655" spans="2:14" x14ac:dyDescent="0.2">
      <c r="B655" s="38"/>
      <c r="C655" s="399"/>
      <c r="D655" s="400"/>
      <c r="E655" s="400"/>
      <c r="F655" s="400"/>
      <c r="G655" s="400"/>
      <c r="H655" s="400"/>
      <c r="I655" s="400"/>
      <c r="J655" s="401"/>
      <c r="K655" s="41"/>
    </row>
    <row r="656" spans="2:14" x14ac:dyDescent="0.2">
      <c r="B656" s="38"/>
      <c r="C656" s="40"/>
      <c r="D656" s="40"/>
      <c r="E656" s="40"/>
      <c r="F656" s="40"/>
      <c r="G656" s="40"/>
      <c r="H656" s="40"/>
      <c r="I656" s="40"/>
      <c r="J656" s="40"/>
      <c r="K656" s="41"/>
    </row>
    <row r="657" spans="2:14" x14ac:dyDescent="0.2">
      <c r="B657" s="38"/>
      <c r="C657" s="179" t="s">
        <v>330</v>
      </c>
      <c r="D657" s="40"/>
      <c r="E657" s="40"/>
      <c r="F657" s="40"/>
      <c r="G657" s="40"/>
      <c r="H657" s="40"/>
      <c r="I657" s="40"/>
      <c r="J657" s="245" t="str">
        <f>IF(J651="N/A",IF(OR(J644="Not Calculated",J653="Not Calculated")=TRUE,"Not Calculated",AVERAGE(J644,J653)),AVERAGE(J651,J653))</f>
        <v>Not Calculated</v>
      </c>
      <c r="K657" s="41"/>
    </row>
    <row r="658" spans="2:14" x14ac:dyDescent="0.2">
      <c r="B658" s="38"/>
      <c r="C658" s="40"/>
      <c r="D658" s="40"/>
      <c r="E658" s="40"/>
      <c r="F658" s="40"/>
      <c r="G658" s="40"/>
      <c r="H658" s="40"/>
      <c r="I658" s="40"/>
      <c r="J658" s="40"/>
      <c r="K658" s="41"/>
    </row>
    <row r="659" spans="2:14" x14ac:dyDescent="0.2">
      <c r="B659" s="38"/>
      <c r="C659" s="40"/>
      <c r="D659" s="40"/>
      <c r="E659" s="40"/>
      <c r="F659" s="40"/>
      <c r="G659" s="40"/>
      <c r="H659" s="40"/>
      <c r="I659" s="40"/>
      <c r="J659" s="40"/>
      <c r="K659" s="41"/>
    </row>
    <row r="660" spans="2:14" ht="16" x14ac:dyDescent="0.2">
      <c r="B660" s="38"/>
      <c r="C660" s="45" t="s">
        <v>97</v>
      </c>
      <c r="D660" s="40"/>
      <c r="E660" s="40"/>
      <c r="F660" s="40"/>
      <c r="G660" s="40"/>
      <c r="H660" s="40"/>
      <c r="I660" s="40"/>
      <c r="J660" s="40"/>
      <c r="K660" s="41"/>
    </row>
    <row r="661" spans="2:14" x14ac:dyDescent="0.2">
      <c r="B661" s="38"/>
      <c r="C661" s="40" t="s">
        <v>449</v>
      </c>
      <c r="D661" s="40"/>
      <c r="E661" s="40"/>
      <c r="F661" s="40"/>
      <c r="G661" s="40"/>
      <c r="H661" s="40"/>
      <c r="I661" s="40"/>
      <c r="J661" s="263">
        <f>'Baseline Health'!G150</f>
        <v>0</v>
      </c>
      <c r="K661" s="41"/>
    </row>
    <row r="662" spans="2:14" x14ac:dyDescent="0.2">
      <c r="B662" s="38"/>
      <c r="C662" s="40" t="s">
        <v>341</v>
      </c>
      <c r="D662" s="40"/>
      <c r="E662" s="40"/>
      <c r="F662" s="40"/>
      <c r="G662" s="40"/>
      <c r="H662" s="40"/>
      <c r="I662" s="40"/>
      <c r="J662" s="273"/>
      <c r="K662" s="41"/>
    </row>
    <row r="663" spans="2:14" x14ac:dyDescent="0.2">
      <c r="B663" s="38"/>
      <c r="C663" s="40" t="s">
        <v>450</v>
      </c>
      <c r="D663" s="40"/>
      <c r="E663" s="40"/>
      <c r="F663" s="40"/>
      <c r="G663" s="40"/>
      <c r="H663" s="40"/>
      <c r="I663" s="40"/>
      <c r="J663" s="263">
        <f>J26</f>
        <v>0</v>
      </c>
      <c r="K663" s="41"/>
    </row>
    <row r="664" spans="2:14" ht="15" customHeight="1" x14ac:dyDescent="0.2">
      <c r="B664" s="38"/>
      <c r="C664" s="291"/>
      <c r="D664" s="380" t="s">
        <v>342</v>
      </c>
      <c r="E664" s="380"/>
      <c r="F664" s="380"/>
      <c r="G664" s="380"/>
      <c r="H664" s="380"/>
      <c r="I664" s="380"/>
      <c r="J664" s="245"/>
      <c r="K664" s="41"/>
    </row>
    <row r="665" spans="2:14" x14ac:dyDescent="0.2">
      <c r="B665" s="38"/>
      <c r="C665" s="291"/>
      <c r="D665" s="380"/>
      <c r="E665" s="380"/>
      <c r="F665" s="380"/>
      <c r="G665" s="380"/>
      <c r="H665" s="380"/>
      <c r="I665" s="380"/>
      <c r="J665" s="245"/>
      <c r="K665" s="41"/>
    </row>
    <row r="666" spans="2:14" x14ac:dyDescent="0.2">
      <c r="B666" s="38"/>
      <c r="C666" s="40" t="s">
        <v>260</v>
      </c>
      <c r="D666" s="40"/>
      <c r="E666" s="40"/>
      <c r="F666" s="40"/>
      <c r="G666" s="40"/>
      <c r="H666" s="40"/>
      <c r="I666" s="40"/>
      <c r="J666" s="245" t="str">
        <f>IF(OR(J661=0,J661="Not Calculated")=TRUE,"Not Calculated",IF(((J661+J663)/(J661-J662))&lt;=1,0,IF(((J661+J663)/(J661-J662))&lt;=1.1,1,IF(((J661+J663)/(J661-J662))&lt;=1.5, 2,IF(((J661+J663)/(J661-J662))&lt;=2,3,4)))))</f>
        <v>Not Calculated</v>
      </c>
      <c r="K666" s="41"/>
    </row>
    <row r="667" spans="2:14" ht="9.75" customHeight="1" x14ac:dyDescent="0.2">
      <c r="B667" s="38"/>
      <c r="C667" s="279" t="str">
        <f>"0:"</f>
        <v>0:</v>
      </c>
      <c r="D667" s="278" t="s">
        <v>918</v>
      </c>
      <c r="E667" s="291"/>
      <c r="F667" s="291"/>
      <c r="G667" s="291"/>
      <c r="H667" s="291"/>
      <c r="I667" s="291"/>
      <c r="J667" s="245"/>
      <c r="K667" s="41"/>
    </row>
    <row r="668" spans="2:14" ht="9.75" customHeight="1" x14ac:dyDescent="0.2">
      <c r="B668" s="38"/>
      <c r="C668" s="280" t="str">
        <f>"1:"</f>
        <v>1:</v>
      </c>
      <c r="D668" s="278" t="s">
        <v>923</v>
      </c>
      <c r="E668" s="291"/>
      <c r="F668" s="291"/>
      <c r="G668" s="291"/>
      <c r="H668" s="291"/>
      <c r="I668" s="291"/>
      <c r="J668" s="245"/>
      <c r="K668" s="41"/>
    </row>
    <row r="669" spans="2:14" ht="9.75" customHeight="1" x14ac:dyDescent="0.2">
      <c r="B669" s="38"/>
      <c r="C669" s="280" t="str">
        <f>"2:"</f>
        <v>2:</v>
      </c>
      <c r="D669" s="278" t="s">
        <v>924</v>
      </c>
      <c r="E669" s="291"/>
      <c r="F669" s="291"/>
      <c r="G669" s="291"/>
      <c r="H669" s="291"/>
      <c r="I669" s="291"/>
      <c r="J669" s="245"/>
      <c r="K669" s="41"/>
    </row>
    <row r="670" spans="2:14" ht="9.75" customHeight="1" x14ac:dyDescent="0.2">
      <c r="B670" s="38"/>
      <c r="C670" s="280" t="str">
        <f>"3:"</f>
        <v>3:</v>
      </c>
      <c r="D670" s="278" t="s">
        <v>925</v>
      </c>
      <c r="E670" s="291"/>
      <c r="F670" s="291"/>
      <c r="G670" s="291"/>
      <c r="H670" s="291"/>
      <c r="I670" s="291"/>
      <c r="J670" s="245"/>
      <c r="K670" s="41"/>
    </row>
    <row r="671" spans="2:14" ht="9.75" customHeight="1" x14ac:dyDescent="0.2">
      <c r="B671" s="38"/>
      <c r="C671" s="280" t="str">
        <f>"4:"</f>
        <v>4:</v>
      </c>
      <c r="D671" s="278" t="s">
        <v>926</v>
      </c>
      <c r="E671" s="40"/>
      <c r="F671" s="40"/>
      <c r="G671" s="40"/>
      <c r="H671" s="40"/>
      <c r="I671" s="40"/>
      <c r="J671" s="40"/>
      <c r="K671" s="41"/>
      <c r="N671" s="12" t="s">
        <v>661</v>
      </c>
    </row>
    <row r="672" spans="2:14" ht="15" customHeight="1" x14ac:dyDescent="0.2">
      <c r="B672" s="38"/>
      <c r="C672" s="174" t="s">
        <v>662</v>
      </c>
      <c r="D672" s="40"/>
      <c r="E672" s="40"/>
      <c r="F672" s="40"/>
      <c r="G672" s="40"/>
      <c r="H672" s="40"/>
      <c r="I672" s="40"/>
      <c r="J672" s="265" t="s">
        <v>661</v>
      </c>
      <c r="K672" s="41"/>
      <c r="N672" s="12" t="s">
        <v>894</v>
      </c>
    </row>
    <row r="673" spans="2:14" ht="15" customHeight="1" x14ac:dyDescent="0.2">
      <c r="B673" s="38"/>
      <c r="C673" s="174" t="s">
        <v>660</v>
      </c>
      <c r="D673" s="40"/>
      <c r="E673" s="40"/>
      <c r="F673" s="40"/>
      <c r="G673" s="40"/>
      <c r="H673" s="40"/>
      <c r="I673" s="40"/>
      <c r="J673" s="246" t="str">
        <f>IF(J672=N671,"N/A",IF(J672=N672,0,IF(J672=N673,1,IF(J672=N674,2,IF(J672=N675,3,IF(J672=N676,4,"N/A"))))))</f>
        <v>N/A</v>
      </c>
      <c r="K673" s="41"/>
      <c r="N673" s="12" t="s">
        <v>908</v>
      </c>
    </row>
    <row r="674" spans="2:14" ht="15" customHeight="1" x14ac:dyDescent="0.2">
      <c r="B674" s="38"/>
      <c r="C674" s="40" t="s">
        <v>257</v>
      </c>
      <c r="D674" s="40"/>
      <c r="E674" s="40"/>
      <c r="F674" s="40"/>
      <c r="G674" s="40"/>
      <c r="H674" s="40"/>
      <c r="I674" s="40"/>
      <c r="J674" s="266"/>
      <c r="K674" s="41"/>
      <c r="N674" s="12" t="s">
        <v>900</v>
      </c>
    </row>
    <row r="675" spans="2:14" x14ac:dyDescent="0.2">
      <c r="B675" s="38"/>
      <c r="C675" s="40" t="s">
        <v>261</v>
      </c>
      <c r="D675" s="40"/>
      <c r="E675" s="40"/>
      <c r="F675" s="40"/>
      <c r="G675" s="40"/>
      <c r="H675" s="40"/>
      <c r="I675" s="40"/>
      <c r="J675" s="245" t="str">
        <f>IF(J674=$B$973,$A$973,IF(J674=$B$974,$A$974,IF(J674=$B$975,$A$975,IF(J674=$B$976,$A$976,IF(J674=$B$977,$A$977,"Not Calculated")))))</f>
        <v>Not Calculated</v>
      </c>
      <c r="K675" s="41"/>
      <c r="N675" s="12" t="s">
        <v>901</v>
      </c>
    </row>
    <row r="676" spans="2:14" ht="15" customHeight="1" x14ac:dyDescent="0.2">
      <c r="B676" s="38"/>
      <c r="C676" s="40" t="s">
        <v>893</v>
      </c>
      <c r="D676" s="40"/>
      <c r="E676" s="40"/>
      <c r="F676" s="40"/>
      <c r="G676" s="40"/>
      <c r="H676" s="40"/>
      <c r="I676" s="40"/>
      <c r="J676" s="40"/>
      <c r="K676" s="41"/>
      <c r="N676" s="12" t="s">
        <v>909</v>
      </c>
    </row>
    <row r="677" spans="2:14" ht="15" customHeight="1" x14ac:dyDescent="0.2">
      <c r="B677" s="38"/>
      <c r="C677" s="399"/>
      <c r="D677" s="400"/>
      <c r="E677" s="400"/>
      <c r="F677" s="400"/>
      <c r="G677" s="400"/>
      <c r="H677" s="400"/>
      <c r="I677" s="400"/>
      <c r="J677" s="401"/>
      <c r="K677" s="41"/>
    </row>
    <row r="678" spans="2:14" x14ac:dyDescent="0.2">
      <c r="B678" s="38"/>
      <c r="C678" s="40"/>
      <c r="D678" s="40"/>
      <c r="E678" s="40"/>
      <c r="F678" s="40"/>
      <c r="G678" s="40"/>
      <c r="H678" s="40"/>
      <c r="I678" s="40"/>
      <c r="J678" s="40"/>
      <c r="K678" s="41"/>
    </row>
    <row r="679" spans="2:14" x14ac:dyDescent="0.2">
      <c r="B679" s="38"/>
      <c r="C679" s="179" t="s">
        <v>331</v>
      </c>
      <c r="D679" s="40"/>
      <c r="E679" s="40"/>
      <c r="F679" s="40"/>
      <c r="G679" s="40"/>
      <c r="H679" s="40"/>
      <c r="I679" s="40"/>
      <c r="J679" s="245" t="str">
        <f>IF(J673="N/A",IF(OR(J666="Not Calculated",J675="Not Calculated")=TRUE,"Not Calculated",AVERAGE(J666,J675)),AVERAGE(J673,J675))</f>
        <v>Not Calculated</v>
      </c>
      <c r="K679" s="41"/>
    </row>
    <row r="680" spans="2:14" x14ac:dyDescent="0.2">
      <c r="B680" s="38"/>
      <c r="C680" s="40"/>
      <c r="D680" s="40"/>
      <c r="E680" s="40"/>
      <c r="F680" s="40"/>
      <c r="G680" s="40"/>
      <c r="H680" s="40"/>
      <c r="I680" s="40"/>
      <c r="J680" s="40"/>
      <c r="K680" s="41"/>
    </row>
    <row r="681" spans="2:14" ht="18" x14ac:dyDescent="0.2">
      <c r="B681" s="38"/>
      <c r="C681" s="180" t="s">
        <v>332</v>
      </c>
      <c r="D681" s="40"/>
      <c r="E681" s="40"/>
      <c r="F681" s="40"/>
      <c r="G681" s="40"/>
      <c r="H681" s="40"/>
      <c r="I681" s="40"/>
      <c r="J681" s="244" t="str">
        <f>IF(OR(J562="Not Calculated",J585="Not Calculated",J601="Not Calculated",J615="Not Calculated",J635="Not Calculated",J657="Not Calculated",J679="Not Calculated")=TRUE,"Not Calculated",AVERAGE(J562,J585,J601,J615,J635,J657,J679))</f>
        <v>Not Calculated</v>
      </c>
      <c r="K681" s="41"/>
    </row>
    <row r="682" spans="2:14" ht="16" thickBot="1" x14ac:dyDescent="0.25">
      <c r="B682" s="46"/>
      <c r="C682" s="47"/>
      <c r="D682" s="47"/>
      <c r="E682" s="47"/>
      <c r="F682" s="47"/>
      <c r="G682" s="47"/>
      <c r="H682" s="47"/>
      <c r="I682" s="47"/>
      <c r="J682" s="47"/>
      <c r="K682" s="49"/>
    </row>
    <row r="683" spans="2:14" ht="16" thickBot="1" x14ac:dyDescent="0.25"/>
    <row r="684" spans="2:14" x14ac:dyDescent="0.2">
      <c r="B684" s="33"/>
      <c r="C684" s="34"/>
      <c r="D684" s="34"/>
      <c r="E684" s="34"/>
      <c r="F684" s="34"/>
      <c r="G684" s="34"/>
      <c r="H684" s="34"/>
      <c r="I684" s="34"/>
      <c r="J684" s="34"/>
      <c r="K684" s="37"/>
    </row>
    <row r="685" spans="2:14" ht="21" x14ac:dyDescent="0.25">
      <c r="B685" s="38"/>
      <c r="C685" s="40"/>
      <c r="D685" s="40"/>
      <c r="E685" s="40"/>
      <c r="F685" s="40"/>
      <c r="G685" s="172" t="s">
        <v>346</v>
      </c>
      <c r="H685" s="40"/>
      <c r="I685" s="40"/>
      <c r="J685" s="40"/>
      <c r="K685" s="41"/>
    </row>
    <row r="686" spans="2:14" x14ac:dyDescent="0.2">
      <c r="B686" s="38"/>
      <c r="C686" s="40"/>
      <c r="D686" s="40"/>
      <c r="E686" s="40"/>
      <c r="F686" s="40"/>
      <c r="G686" s="40"/>
      <c r="H686" s="40"/>
      <c r="I686" s="40"/>
      <c r="J686" s="40"/>
      <c r="K686" s="41"/>
    </row>
    <row r="687" spans="2:14" ht="16" x14ac:dyDescent="0.2">
      <c r="B687" s="38"/>
      <c r="C687" s="182" t="s">
        <v>986</v>
      </c>
      <c r="D687" s="40"/>
      <c r="E687" s="40"/>
      <c r="F687" s="40"/>
      <c r="G687" s="40"/>
      <c r="H687" s="40"/>
      <c r="I687" s="40"/>
      <c r="J687" s="257" t="str">
        <f>IF(OR($J$133="Not Calculated",$J$261="Not Calculated",$J$421="Not Calculated",$J$539="Not Calculated",$J$681="Not Calculated")=TRUE,"Not Calculated",AVERAGE($J$133,$J$261,$J$421,$J$539,$J$681))</f>
        <v>Not Calculated</v>
      </c>
      <c r="K687" s="41"/>
    </row>
    <row r="688" spans="2:14" x14ac:dyDescent="0.2">
      <c r="B688" s="38"/>
      <c r="C688" s="40"/>
      <c r="D688" s="40" t="s">
        <v>343</v>
      </c>
      <c r="E688" s="40"/>
      <c r="F688" s="40"/>
      <c r="G688" s="40"/>
      <c r="H688" s="40"/>
      <c r="I688" s="40"/>
      <c r="J688" s="40"/>
      <c r="K688" s="41"/>
    </row>
    <row r="689" spans="2:11" ht="15" customHeight="1" x14ac:dyDescent="0.2">
      <c r="B689" s="38"/>
      <c r="C689" s="40"/>
      <c r="D689" s="40"/>
      <c r="E689" s="40"/>
      <c r="F689" s="40"/>
      <c r="G689" s="40"/>
      <c r="H689" s="40"/>
      <c r="I689" s="40"/>
      <c r="J689" s="40"/>
      <c r="K689" s="41"/>
    </row>
    <row r="690" spans="2:11" ht="16" x14ac:dyDescent="0.2">
      <c r="B690" s="38"/>
      <c r="C690" s="182" t="s">
        <v>987</v>
      </c>
      <c r="D690" s="40"/>
      <c r="E690" s="40"/>
      <c r="F690" s="40"/>
      <c r="G690" s="40"/>
      <c r="H690" s="40"/>
      <c r="I690" s="40"/>
      <c r="J690" s="257" t="str">
        <f>IF(OR($J$133="Not Calculated",$J$261="Not Calculated",$J$539="Not Calculated",$J$681="Not Calculated")=TRUE,"Not Calculated",AVERAGE($J$133,$J$261,$J$539,$J$681))</f>
        <v>Not Calculated</v>
      </c>
      <c r="K690" s="41"/>
    </row>
    <row r="691" spans="2:11" ht="15" customHeight="1" x14ac:dyDescent="0.2">
      <c r="B691" s="38"/>
      <c r="C691" s="40"/>
      <c r="D691" s="40" t="s">
        <v>344</v>
      </c>
      <c r="E691" s="40"/>
      <c r="F691" s="40"/>
      <c r="G691" s="40"/>
      <c r="H691" s="40"/>
      <c r="I691" s="40"/>
      <c r="J691" s="40"/>
      <c r="K691" s="41"/>
    </row>
    <row r="692" spans="2:11" x14ac:dyDescent="0.2">
      <c r="B692" s="38"/>
      <c r="C692" s="40"/>
      <c r="D692" s="40"/>
      <c r="E692" s="40"/>
      <c r="F692" s="40"/>
      <c r="G692" s="40"/>
      <c r="H692" s="40"/>
      <c r="I692" s="40"/>
      <c r="J692" s="40"/>
      <c r="K692" s="41"/>
    </row>
    <row r="693" spans="2:11" ht="16" x14ac:dyDescent="0.2">
      <c r="B693" s="38"/>
      <c r="C693" s="182" t="s">
        <v>988</v>
      </c>
      <c r="D693" s="40"/>
      <c r="E693" s="40"/>
      <c r="F693" s="40"/>
      <c r="G693" s="40"/>
      <c r="H693" s="40"/>
      <c r="I693" s="40"/>
      <c r="J693" s="257" t="str">
        <f>IF(OR($J$133="Not Calculated",$J$261="Not Calculated",$J$421="Not Calculated")=TRUE,"Not Calculated",AVERAGE($J$133,$J$261,$J$421))</f>
        <v>Not Calculated</v>
      </c>
      <c r="K693" s="41"/>
    </row>
    <row r="694" spans="2:11" x14ac:dyDescent="0.2">
      <c r="B694" s="38"/>
      <c r="C694" s="40"/>
      <c r="D694" s="40" t="s">
        <v>345</v>
      </c>
      <c r="E694" s="40"/>
      <c r="F694" s="40"/>
      <c r="G694" s="40"/>
      <c r="H694" s="40"/>
      <c r="I694" s="40"/>
      <c r="J694" s="40"/>
      <c r="K694" s="41"/>
    </row>
    <row r="695" spans="2:11" ht="16" thickBot="1" x14ac:dyDescent="0.25">
      <c r="B695" s="46"/>
      <c r="C695" s="47"/>
      <c r="D695" s="47"/>
      <c r="E695" s="47"/>
      <c r="F695" s="47"/>
      <c r="G695" s="47"/>
      <c r="H695" s="47"/>
      <c r="I695" s="47"/>
      <c r="J695" s="47"/>
      <c r="K695" s="49"/>
    </row>
    <row r="696" spans="2:11" ht="16" thickBot="1" x14ac:dyDescent="0.25"/>
    <row r="697" spans="2:11" x14ac:dyDescent="0.2">
      <c r="B697" s="183"/>
      <c r="C697" s="184"/>
      <c r="D697" s="184"/>
      <c r="E697" s="184"/>
      <c r="F697" s="184"/>
      <c r="G697" s="184"/>
      <c r="H697" s="184"/>
      <c r="I697" s="184"/>
      <c r="J697" s="184"/>
      <c r="K697" s="185"/>
    </row>
    <row r="698" spans="2:11" ht="21" x14ac:dyDescent="0.25">
      <c r="B698" s="186"/>
      <c r="C698" s="187"/>
      <c r="D698" s="187"/>
      <c r="E698" s="187"/>
      <c r="F698" s="187"/>
      <c r="G698" s="188" t="s">
        <v>231</v>
      </c>
      <c r="H698" s="187"/>
      <c r="I698" s="187"/>
      <c r="J698" s="187"/>
      <c r="K698" s="189"/>
    </row>
    <row r="699" spans="2:11" x14ac:dyDescent="0.2">
      <c r="B699" s="186"/>
      <c r="C699" s="187"/>
      <c r="D699" s="187"/>
      <c r="E699" s="187"/>
      <c r="F699" s="187"/>
      <c r="G699" s="187"/>
      <c r="H699" s="187"/>
      <c r="I699" s="187"/>
      <c r="J699" s="187"/>
      <c r="K699" s="189"/>
    </row>
    <row r="700" spans="2:11" ht="16" x14ac:dyDescent="0.2">
      <c r="B700" s="186"/>
      <c r="C700" s="190" t="s">
        <v>989</v>
      </c>
      <c r="D700" s="187"/>
      <c r="E700" s="187"/>
      <c r="F700" s="187"/>
      <c r="G700" s="187"/>
      <c r="H700" s="187"/>
      <c r="I700" s="187"/>
      <c r="J700" s="256" t="str">
        <f>IF(OR(J687="Not Calculated",$E$17="Not Calculated")=TRUE,"Not Calculated",(J687*$E$17*100/16))</f>
        <v>Not Calculated</v>
      </c>
      <c r="K700" s="189"/>
    </row>
    <row r="701" spans="2:11" x14ac:dyDescent="0.2">
      <c r="B701" s="186"/>
      <c r="C701" s="187"/>
      <c r="D701" s="187" t="s">
        <v>377</v>
      </c>
      <c r="E701" s="187"/>
      <c r="F701" s="187"/>
      <c r="G701" s="187"/>
      <c r="H701" s="187"/>
      <c r="I701" s="187"/>
      <c r="J701" s="187"/>
      <c r="K701" s="189"/>
    </row>
    <row r="702" spans="2:11" x14ac:dyDescent="0.2">
      <c r="B702" s="186"/>
      <c r="C702" s="187"/>
      <c r="D702" s="187"/>
      <c r="E702" s="187"/>
      <c r="F702" s="187"/>
      <c r="G702" s="187"/>
      <c r="H702" s="187"/>
      <c r="I702" s="187"/>
      <c r="J702" s="187"/>
      <c r="K702" s="189"/>
    </row>
    <row r="703" spans="2:11" ht="16" x14ac:dyDescent="0.2">
      <c r="B703" s="186"/>
      <c r="C703" s="190" t="s">
        <v>990</v>
      </c>
      <c r="D703" s="187"/>
      <c r="E703" s="187"/>
      <c r="F703" s="187"/>
      <c r="G703" s="187"/>
      <c r="H703" s="187"/>
      <c r="I703" s="187"/>
      <c r="J703" s="256" t="str">
        <f>IF(OR(J690="Not Calculated",$E$17="Not Calculated")=TRUE,"Not Calculated",(J690*$E$17*100/16))</f>
        <v>Not Calculated</v>
      </c>
      <c r="K703" s="189"/>
    </row>
    <row r="704" spans="2:11" x14ac:dyDescent="0.2">
      <c r="B704" s="186"/>
      <c r="C704" s="187"/>
      <c r="D704" s="187" t="s">
        <v>378</v>
      </c>
      <c r="E704" s="187"/>
      <c r="F704" s="187"/>
      <c r="G704" s="187"/>
      <c r="H704" s="187"/>
      <c r="I704" s="187"/>
      <c r="J704" s="187"/>
      <c r="K704" s="189"/>
    </row>
    <row r="705" spans="2:11" x14ac:dyDescent="0.2">
      <c r="B705" s="186"/>
      <c r="C705" s="187"/>
      <c r="D705" s="187"/>
      <c r="E705" s="187"/>
      <c r="F705" s="187"/>
      <c r="G705" s="187"/>
      <c r="H705" s="187"/>
      <c r="I705" s="187"/>
      <c r="J705" s="187"/>
      <c r="K705" s="189"/>
    </row>
    <row r="706" spans="2:11" ht="16" x14ac:dyDescent="0.2">
      <c r="B706" s="186"/>
      <c r="C706" s="190" t="s">
        <v>991</v>
      </c>
      <c r="D706" s="187"/>
      <c r="E706" s="187"/>
      <c r="F706" s="187"/>
      <c r="G706" s="187"/>
      <c r="H706" s="187"/>
      <c r="I706" s="187"/>
      <c r="J706" s="256" t="str">
        <f>IF(OR(J693="Not Calculated",$E$17="Not Calculated")=TRUE,"Not Calculated",(J693*$E$17*100/16))</f>
        <v>Not Calculated</v>
      </c>
      <c r="K706" s="189"/>
    </row>
    <row r="707" spans="2:11" x14ac:dyDescent="0.2">
      <c r="B707" s="186"/>
      <c r="C707" s="187"/>
      <c r="D707" s="187" t="s">
        <v>379</v>
      </c>
      <c r="E707" s="187"/>
      <c r="F707" s="187"/>
      <c r="G707" s="187"/>
      <c r="H707" s="187"/>
      <c r="I707" s="187"/>
      <c r="J707" s="187"/>
      <c r="K707" s="189"/>
    </row>
    <row r="708" spans="2:11" ht="16" thickBot="1" x14ac:dyDescent="0.25">
      <c r="B708" s="191"/>
      <c r="C708" s="192"/>
      <c r="D708" s="192"/>
      <c r="E708" s="192"/>
      <c r="F708" s="192"/>
      <c r="G708" s="192"/>
      <c r="H708" s="192"/>
      <c r="I708" s="192"/>
      <c r="J708" s="192"/>
      <c r="K708" s="193"/>
    </row>
    <row r="709" spans="2:11" ht="16" thickBot="1" x14ac:dyDescent="0.25"/>
    <row r="710" spans="2:11" x14ac:dyDescent="0.2">
      <c r="B710" s="53"/>
      <c r="C710" s="54"/>
      <c r="D710" s="54"/>
      <c r="E710" s="54"/>
      <c r="F710" s="54"/>
      <c r="G710" s="54"/>
      <c r="H710" s="54"/>
      <c r="I710" s="54"/>
      <c r="J710" s="54"/>
      <c r="K710" s="56"/>
    </row>
    <row r="711" spans="2:11" ht="21" x14ac:dyDescent="0.25">
      <c r="B711" s="57"/>
      <c r="C711" s="59"/>
      <c r="D711" s="59"/>
      <c r="E711" s="59"/>
      <c r="F711" s="59"/>
      <c r="G711" s="194" t="s">
        <v>232</v>
      </c>
      <c r="H711" s="59"/>
      <c r="I711" s="59"/>
      <c r="J711" s="59"/>
      <c r="K711" s="61"/>
    </row>
    <row r="712" spans="2:11" x14ac:dyDescent="0.2">
      <c r="B712" s="57"/>
      <c r="C712" s="59"/>
      <c r="D712" s="59"/>
      <c r="E712" s="59"/>
      <c r="F712" s="59"/>
      <c r="G712" s="59"/>
      <c r="H712" s="59"/>
      <c r="I712" s="59"/>
      <c r="J712" s="59"/>
      <c r="K712" s="61"/>
    </row>
    <row r="713" spans="2:11" ht="16" x14ac:dyDescent="0.2">
      <c r="B713" s="57"/>
      <c r="C713" s="195" t="s">
        <v>363</v>
      </c>
      <c r="D713" s="59"/>
      <c r="E713" s="59"/>
      <c r="F713" s="59"/>
      <c r="G713" s="59"/>
      <c r="H713" s="59"/>
      <c r="I713" s="59"/>
      <c r="J713" s="59"/>
      <c r="K713" s="61"/>
    </row>
    <row r="714" spans="2:11" ht="15" customHeight="1" x14ac:dyDescent="0.2">
      <c r="B714" s="57"/>
      <c r="C714" s="411" t="s">
        <v>364</v>
      </c>
      <c r="D714" s="411"/>
      <c r="E714" s="411"/>
      <c r="F714" s="411"/>
      <c r="G714" s="411"/>
      <c r="H714" s="411"/>
      <c r="I714" s="411"/>
      <c r="J714" s="411"/>
      <c r="K714" s="61"/>
    </row>
    <row r="715" spans="2:11" x14ac:dyDescent="0.2">
      <c r="B715" s="57"/>
      <c r="C715" s="411"/>
      <c r="D715" s="411"/>
      <c r="E715" s="411"/>
      <c r="F715" s="411"/>
      <c r="G715" s="411"/>
      <c r="H715" s="411"/>
      <c r="I715" s="411"/>
      <c r="J715" s="411"/>
      <c r="K715" s="61"/>
    </row>
    <row r="716" spans="2:11" x14ac:dyDescent="0.2">
      <c r="B716" s="57"/>
      <c r="C716" s="411"/>
      <c r="D716" s="411"/>
      <c r="E716" s="411"/>
      <c r="F716" s="411"/>
      <c r="G716" s="411"/>
      <c r="H716" s="411"/>
      <c r="I716" s="411"/>
      <c r="J716" s="411"/>
      <c r="K716" s="61"/>
    </row>
    <row r="717" spans="2:11" x14ac:dyDescent="0.2">
      <c r="B717" s="57"/>
      <c r="C717" s="196" t="s">
        <v>30</v>
      </c>
      <c r="D717" s="59"/>
      <c r="E717" s="59"/>
      <c r="F717" s="59"/>
      <c r="G717" s="431"/>
      <c r="H717" s="431"/>
      <c r="I717" s="59"/>
      <c r="J717" s="260" t="str">
        <f>IF(G717=$B$994,$A$994,IF(G717=$B$995,$A$995,"Not Calculated"))</f>
        <v>Not Calculated</v>
      </c>
      <c r="K717" s="61"/>
    </row>
    <row r="718" spans="2:11" x14ac:dyDescent="0.2">
      <c r="B718" s="57"/>
      <c r="C718" s="196" t="s">
        <v>32</v>
      </c>
      <c r="D718" s="59"/>
      <c r="E718" s="59"/>
      <c r="F718" s="59"/>
      <c r="G718" s="431"/>
      <c r="H718" s="431"/>
      <c r="I718" s="59"/>
      <c r="J718" s="260" t="str">
        <f t="shared" ref="J718:J725" si="0">IF(G718=$B$994,$A$994,IF(G718=$B$995,$A$995,"Not Calculated"))</f>
        <v>Not Calculated</v>
      </c>
      <c r="K718" s="61"/>
    </row>
    <row r="719" spans="2:11" x14ac:dyDescent="0.2">
      <c r="B719" s="57"/>
      <c r="C719" s="196" t="s">
        <v>34</v>
      </c>
      <c r="D719" s="59"/>
      <c r="E719" s="59"/>
      <c r="F719" s="59"/>
      <c r="G719" s="431"/>
      <c r="H719" s="431"/>
      <c r="I719" s="59"/>
      <c r="J719" s="260" t="str">
        <f t="shared" si="0"/>
        <v>Not Calculated</v>
      </c>
      <c r="K719" s="61"/>
    </row>
    <row r="720" spans="2:11" x14ac:dyDescent="0.2">
      <c r="B720" s="57"/>
      <c r="C720" s="196" t="s">
        <v>35</v>
      </c>
      <c r="D720" s="59"/>
      <c r="E720" s="59"/>
      <c r="F720" s="59"/>
      <c r="G720" s="431"/>
      <c r="H720" s="431"/>
      <c r="I720" s="59"/>
      <c r="J720" s="260" t="str">
        <f t="shared" si="0"/>
        <v>Not Calculated</v>
      </c>
      <c r="K720" s="61"/>
    </row>
    <row r="721" spans="2:11" x14ac:dyDescent="0.2">
      <c r="B721" s="57"/>
      <c r="C721" s="196" t="s">
        <v>37</v>
      </c>
      <c r="D721" s="59"/>
      <c r="E721" s="59"/>
      <c r="F721" s="59"/>
      <c r="G721" s="431"/>
      <c r="H721" s="431"/>
      <c r="I721" s="59"/>
      <c r="J721" s="260" t="str">
        <f t="shared" si="0"/>
        <v>Not Calculated</v>
      </c>
      <c r="K721" s="61"/>
    </row>
    <row r="722" spans="2:11" x14ac:dyDescent="0.2">
      <c r="B722" s="57"/>
      <c r="C722" s="196" t="s">
        <v>38</v>
      </c>
      <c r="D722" s="59"/>
      <c r="E722" s="59"/>
      <c r="F722" s="59"/>
      <c r="G722" s="431"/>
      <c r="H722" s="431"/>
      <c r="I722" s="59"/>
      <c r="J722" s="260" t="str">
        <f t="shared" si="0"/>
        <v>Not Calculated</v>
      </c>
      <c r="K722" s="61"/>
    </row>
    <row r="723" spans="2:11" x14ac:dyDescent="0.2">
      <c r="B723" s="57"/>
      <c r="C723" s="196" t="s">
        <v>40</v>
      </c>
      <c r="D723" s="59"/>
      <c r="E723" s="59"/>
      <c r="F723" s="59"/>
      <c r="G723" s="431"/>
      <c r="H723" s="431"/>
      <c r="I723" s="59"/>
      <c r="J723" s="260" t="str">
        <f t="shared" si="0"/>
        <v>Not Calculated</v>
      </c>
      <c r="K723" s="61"/>
    </row>
    <row r="724" spans="2:11" x14ac:dyDescent="0.2">
      <c r="B724" s="57"/>
      <c r="C724" s="196" t="s">
        <v>41</v>
      </c>
      <c r="D724" s="59"/>
      <c r="E724" s="59"/>
      <c r="F724" s="59"/>
      <c r="G724" s="431"/>
      <c r="H724" s="431"/>
      <c r="I724" s="59"/>
      <c r="J724" s="260" t="str">
        <f t="shared" si="0"/>
        <v>Not Calculated</v>
      </c>
      <c r="K724" s="61"/>
    </row>
    <row r="725" spans="2:11" x14ac:dyDescent="0.2">
      <c r="B725" s="57"/>
      <c r="C725" s="196" t="s">
        <v>43</v>
      </c>
      <c r="D725" s="59"/>
      <c r="E725" s="59"/>
      <c r="F725" s="59"/>
      <c r="G725" s="431"/>
      <c r="H725" s="431"/>
      <c r="I725" s="59"/>
      <c r="J725" s="260" t="str">
        <f t="shared" si="0"/>
        <v>Not Calculated</v>
      </c>
      <c r="K725" s="61"/>
    </row>
    <row r="726" spans="2:11" x14ac:dyDescent="0.2">
      <c r="B726" s="57"/>
      <c r="C726" s="59"/>
      <c r="D726" s="59"/>
      <c r="E726" s="59"/>
      <c r="F726" s="59"/>
      <c r="G726" s="59"/>
      <c r="H726" s="59"/>
      <c r="I726" s="59"/>
      <c r="J726" s="59"/>
      <c r="K726" s="61"/>
    </row>
    <row r="727" spans="2:11" x14ac:dyDescent="0.2">
      <c r="B727" s="57"/>
      <c r="C727" s="59"/>
      <c r="D727" s="59"/>
      <c r="E727" s="59"/>
      <c r="F727" s="59"/>
      <c r="G727" s="59"/>
      <c r="H727" s="59"/>
      <c r="I727" s="59"/>
      <c r="J727" s="59"/>
      <c r="K727" s="61"/>
    </row>
    <row r="728" spans="2:11" ht="16" x14ac:dyDescent="0.2">
      <c r="B728" s="57"/>
      <c r="C728" s="195" t="s">
        <v>115</v>
      </c>
      <c r="D728" s="59"/>
      <c r="E728" s="59"/>
      <c r="F728" s="59"/>
      <c r="G728" s="59"/>
      <c r="H728" s="59"/>
      <c r="I728" s="59"/>
      <c r="J728" s="59"/>
      <c r="K728" s="61"/>
    </row>
    <row r="729" spans="2:11" ht="15" customHeight="1" x14ac:dyDescent="0.2">
      <c r="B729" s="57"/>
      <c r="C729" s="411" t="s">
        <v>365</v>
      </c>
      <c r="D729" s="411"/>
      <c r="E729" s="411"/>
      <c r="F729" s="411"/>
      <c r="G729" s="411"/>
      <c r="H729" s="411"/>
      <c r="I729" s="411"/>
      <c r="J729" s="411"/>
      <c r="K729" s="61"/>
    </row>
    <row r="730" spans="2:11" x14ac:dyDescent="0.2">
      <c r="B730" s="57"/>
      <c r="C730" s="411"/>
      <c r="D730" s="411"/>
      <c r="E730" s="411"/>
      <c r="F730" s="411"/>
      <c r="G730" s="411"/>
      <c r="H730" s="411"/>
      <c r="I730" s="411"/>
      <c r="J730" s="411"/>
      <c r="K730" s="61"/>
    </row>
    <row r="731" spans="2:11" x14ac:dyDescent="0.2">
      <c r="B731" s="57"/>
      <c r="C731" s="411"/>
      <c r="D731" s="411"/>
      <c r="E731" s="411"/>
      <c r="F731" s="411"/>
      <c r="G731" s="411"/>
      <c r="H731" s="411"/>
      <c r="I731" s="411"/>
      <c r="J731" s="411"/>
      <c r="K731" s="61"/>
    </row>
    <row r="732" spans="2:11" x14ac:dyDescent="0.2">
      <c r="B732" s="57"/>
      <c r="C732" s="196" t="s">
        <v>30</v>
      </c>
      <c r="D732" s="59"/>
      <c r="E732" s="59"/>
      <c r="F732" s="59"/>
      <c r="G732" s="431"/>
      <c r="H732" s="431"/>
      <c r="I732" s="59"/>
      <c r="J732" s="260" t="str">
        <f>IF(G732=$B$994,$A$994,IF(G732=$B$995,$A$995,"Not Calculated"))</f>
        <v>Not Calculated</v>
      </c>
      <c r="K732" s="61"/>
    </row>
    <row r="733" spans="2:11" x14ac:dyDescent="0.2">
      <c r="B733" s="57"/>
      <c r="C733" s="196" t="s">
        <v>32</v>
      </c>
      <c r="D733" s="59"/>
      <c r="E733" s="59"/>
      <c r="F733" s="59"/>
      <c r="G733" s="431"/>
      <c r="H733" s="431"/>
      <c r="I733" s="59"/>
      <c r="J733" s="260" t="str">
        <f t="shared" ref="J733:J740" si="1">IF(G733=$B$994,$A$994,IF(G733=$B$995,$A$995,"Not Calculated"))</f>
        <v>Not Calculated</v>
      </c>
      <c r="K733" s="61"/>
    </row>
    <row r="734" spans="2:11" ht="15" customHeight="1" x14ac:dyDescent="0.2">
      <c r="B734" s="57"/>
      <c r="C734" s="196" t="s">
        <v>34</v>
      </c>
      <c r="D734" s="59"/>
      <c r="E734" s="59"/>
      <c r="F734" s="59"/>
      <c r="G734" s="431"/>
      <c r="H734" s="431"/>
      <c r="I734" s="59"/>
      <c r="J734" s="260" t="str">
        <f t="shared" si="1"/>
        <v>Not Calculated</v>
      </c>
      <c r="K734" s="61"/>
    </row>
    <row r="735" spans="2:11" x14ac:dyDescent="0.2">
      <c r="B735" s="57"/>
      <c r="C735" s="196" t="s">
        <v>35</v>
      </c>
      <c r="D735" s="59"/>
      <c r="E735" s="59"/>
      <c r="F735" s="59"/>
      <c r="G735" s="431"/>
      <c r="H735" s="431"/>
      <c r="I735" s="59"/>
      <c r="J735" s="260" t="str">
        <f t="shared" si="1"/>
        <v>Not Calculated</v>
      </c>
      <c r="K735" s="61"/>
    </row>
    <row r="736" spans="2:11" x14ac:dyDescent="0.2">
      <c r="B736" s="57"/>
      <c r="C736" s="196" t="s">
        <v>37</v>
      </c>
      <c r="D736" s="59"/>
      <c r="E736" s="59"/>
      <c r="F736" s="59"/>
      <c r="G736" s="431"/>
      <c r="H736" s="431"/>
      <c r="I736" s="59"/>
      <c r="J736" s="260" t="str">
        <f t="shared" si="1"/>
        <v>Not Calculated</v>
      </c>
      <c r="K736" s="61"/>
    </row>
    <row r="737" spans="2:11" x14ac:dyDescent="0.2">
      <c r="B737" s="57"/>
      <c r="C737" s="196" t="s">
        <v>38</v>
      </c>
      <c r="D737" s="59"/>
      <c r="E737" s="59"/>
      <c r="F737" s="59"/>
      <c r="G737" s="431"/>
      <c r="H737" s="431"/>
      <c r="I737" s="59"/>
      <c r="J737" s="260" t="str">
        <f t="shared" si="1"/>
        <v>Not Calculated</v>
      </c>
      <c r="K737" s="61"/>
    </row>
    <row r="738" spans="2:11" x14ac:dyDescent="0.2">
      <c r="B738" s="57"/>
      <c r="C738" s="196" t="s">
        <v>40</v>
      </c>
      <c r="D738" s="59"/>
      <c r="E738" s="59"/>
      <c r="F738" s="59"/>
      <c r="G738" s="431"/>
      <c r="H738" s="431"/>
      <c r="I738" s="59"/>
      <c r="J738" s="260" t="str">
        <f t="shared" si="1"/>
        <v>Not Calculated</v>
      </c>
      <c r="K738" s="61"/>
    </row>
    <row r="739" spans="2:11" x14ac:dyDescent="0.2">
      <c r="B739" s="57"/>
      <c r="C739" s="196" t="s">
        <v>41</v>
      </c>
      <c r="D739" s="59"/>
      <c r="E739" s="59"/>
      <c r="F739" s="59"/>
      <c r="G739" s="431"/>
      <c r="H739" s="431"/>
      <c r="I739" s="59"/>
      <c r="J739" s="260" t="str">
        <f t="shared" si="1"/>
        <v>Not Calculated</v>
      </c>
      <c r="K739" s="61"/>
    </row>
    <row r="740" spans="2:11" x14ac:dyDescent="0.2">
      <c r="B740" s="57"/>
      <c r="C740" s="196" t="s">
        <v>43</v>
      </c>
      <c r="D740" s="59"/>
      <c r="E740" s="59"/>
      <c r="F740" s="59"/>
      <c r="G740" s="431"/>
      <c r="H740" s="431"/>
      <c r="I740" s="59"/>
      <c r="J740" s="260" t="str">
        <f t="shared" si="1"/>
        <v>Not Calculated</v>
      </c>
      <c r="K740" s="61"/>
    </row>
    <row r="741" spans="2:11" x14ac:dyDescent="0.2">
      <c r="B741" s="57"/>
      <c r="C741" s="59"/>
      <c r="D741" s="59"/>
      <c r="E741" s="59"/>
      <c r="F741" s="59"/>
      <c r="G741" s="59"/>
      <c r="H741" s="59"/>
      <c r="I741" s="59"/>
      <c r="J741" s="59"/>
      <c r="K741" s="61"/>
    </row>
    <row r="742" spans="2:11" x14ac:dyDescent="0.2">
      <c r="B742" s="57"/>
      <c r="C742" s="59"/>
      <c r="D742" s="59"/>
      <c r="E742" s="59"/>
      <c r="F742" s="59"/>
      <c r="G742" s="59"/>
      <c r="H742" s="59"/>
      <c r="I742" s="59"/>
      <c r="J742" s="59"/>
      <c r="K742" s="61"/>
    </row>
    <row r="743" spans="2:11" ht="16" x14ac:dyDescent="0.2">
      <c r="B743" s="57"/>
      <c r="C743" s="195" t="s">
        <v>366</v>
      </c>
      <c r="D743" s="59"/>
      <c r="E743" s="59"/>
      <c r="F743" s="59"/>
      <c r="G743" s="59"/>
      <c r="H743" s="59"/>
      <c r="I743" s="59"/>
      <c r="J743" s="59"/>
      <c r="K743" s="61"/>
    </row>
    <row r="744" spans="2:11" ht="15" customHeight="1" x14ac:dyDescent="0.2">
      <c r="B744" s="57"/>
      <c r="C744" s="411" t="s">
        <v>367</v>
      </c>
      <c r="D744" s="411"/>
      <c r="E744" s="411"/>
      <c r="F744" s="411"/>
      <c r="G744" s="411"/>
      <c r="H744" s="411"/>
      <c r="I744" s="411"/>
      <c r="J744" s="411"/>
      <c r="K744" s="61"/>
    </row>
    <row r="745" spans="2:11" x14ac:dyDescent="0.2">
      <c r="B745" s="57"/>
      <c r="C745" s="411"/>
      <c r="D745" s="411"/>
      <c r="E745" s="411"/>
      <c r="F745" s="411"/>
      <c r="G745" s="411"/>
      <c r="H745" s="411"/>
      <c r="I745" s="411"/>
      <c r="J745" s="411"/>
      <c r="K745" s="61"/>
    </row>
    <row r="746" spans="2:11" x14ac:dyDescent="0.2">
      <c r="B746" s="57"/>
      <c r="C746" s="411"/>
      <c r="D746" s="411"/>
      <c r="E746" s="411"/>
      <c r="F746" s="411"/>
      <c r="G746" s="411"/>
      <c r="H746" s="411"/>
      <c r="I746" s="411"/>
      <c r="J746" s="411"/>
      <c r="K746" s="61"/>
    </row>
    <row r="747" spans="2:11" x14ac:dyDescent="0.2">
      <c r="B747" s="57"/>
      <c r="C747" s="196" t="s">
        <v>30</v>
      </c>
      <c r="D747" s="59"/>
      <c r="E747" s="59"/>
      <c r="F747" s="59"/>
      <c r="G747" s="431"/>
      <c r="H747" s="431"/>
      <c r="I747" s="59"/>
      <c r="J747" s="260" t="str">
        <f>IF(G747=$B$994,$A$994,IF(G747=$B$995,$A$995,"Not Calculated"))</f>
        <v>Not Calculated</v>
      </c>
      <c r="K747" s="61"/>
    </row>
    <row r="748" spans="2:11" x14ac:dyDescent="0.2">
      <c r="B748" s="57"/>
      <c r="C748" s="196" t="s">
        <v>32</v>
      </c>
      <c r="D748" s="59"/>
      <c r="E748" s="59"/>
      <c r="F748" s="59"/>
      <c r="G748" s="431"/>
      <c r="H748" s="431"/>
      <c r="I748" s="59"/>
      <c r="J748" s="260" t="str">
        <f t="shared" ref="J748:J755" si="2">IF(G748=$B$994,$A$994,IF(G748=$B$995,$A$995,"Not Calculated"))</f>
        <v>Not Calculated</v>
      </c>
      <c r="K748" s="61"/>
    </row>
    <row r="749" spans="2:11" ht="15" customHeight="1" x14ac:dyDescent="0.2">
      <c r="B749" s="57"/>
      <c r="C749" s="196" t="s">
        <v>34</v>
      </c>
      <c r="D749" s="59"/>
      <c r="E749" s="59"/>
      <c r="F749" s="59"/>
      <c r="G749" s="431"/>
      <c r="H749" s="431"/>
      <c r="I749" s="59"/>
      <c r="J749" s="260" t="str">
        <f t="shared" si="2"/>
        <v>Not Calculated</v>
      </c>
      <c r="K749" s="61"/>
    </row>
    <row r="750" spans="2:11" x14ac:dyDescent="0.2">
      <c r="B750" s="57"/>
      <c r="C750" s="196" t="s">
        <v>35</v>
      </c>
      <c r="D750" s="59"/>
      <c r="E750" s="59"/>
      <c r="F750" s="59"/>
      <c r="G750" s="431"/>
      <c r="H750" s="431"/>
      <c r="I750" s="59"/>
      <c r="J750" s="260" t="str">
        <f t="shared" si="2"/>
        <v>Not Calculated</v>
      </c>
      <c r="K750" s="61"/>
    </row>
    <row r="751" spans="2:11" x14ac:dyDescent="0.2">
      <c r="B751" s="57"/>
      <c r="C751" s="196" t="s">
        <v>37</v>
      </c>
      <c r="D751" s="59"/>
      <c r="E751" s="59"/>
      <c r="F751" s="59"/>
      <c r="G751" s="431"/>
      <c r="H751" s="431"/>
      <c r="I751" s="59"/>
      <c r="J751" s="260" t="str">
        <f t="shared" si="2"/>
        <v>Not Calculated</v>
      </c>
      <c r="K751" s="61"/>
    </row>
    <row r="752" spans="2:11" x14ac:dyDescent="0.2">
      <c r="B752" s="57"/>
      <c r="C752" s="196" t="s">
        <v>38</v>
      </c>
      <c r="D752" s="59"/>
      <c r="E752" s="59"/>
      <c r="F752" s="59"/>
      <c r="G752" s="431"/>
      <c r="H752" s="431"/>
      <c r="I752" s="59"/>
      <c r="J752" s="260" t="str">
        <f t="shared" si="2"/>
        <v>Not Calculated</v>
      </c>
      <c r="K752" s="61"/>
    </row>
    <row r="753" spans="2:11" x14ac:dyDescent="0.2">
      <c r="B753" s="57"/>
      <c r="C753" s="196" t="s">
        <v>40</v>
      </c>
      <c r="D753" s="59"/>
      <c r="E753" s="59"/>
      <c r="F753" s="59"/>
      <c r="G753" s="431"/>
      <c r="H753" s="431"/>
      <c r="I753" s="59"/>
      <c r="J753" s="260" t="str">
        <f t="shared" si="2"/>
        <v>Not Calculated</v>
      </c>
      <c r="K753" s="61"/>
    </row>
    <row r="754" spans="2:11" x14ac:dyDescent="0.2">
      <c r="B754" s="57"/>
      <c r="C754" s="196" t="s">
        <v>41</v>
      </c>
      <c r="D754" s="59"/>
      <c r="E754" s="59"/>
      <c r="F754" s="59"/>
      <c r="G754" s="431"/>
      <c r="H754" s="431"/>
      <c r="I754" s="59"/>
      <c r="J754" s="260" t="str">
        <f t="shared" si="2"/>
        <v>Not Calculated</v>
      </c>
      <c r="K754" s="61"/>
    </row>
    <row r="755" spans="2:11" x14ac:dyDescent="0.2">
      <c r="B755" s="57"/>
      <c r="C755" s="196" t="s">
        <v>43</v>
      </c>
      <c r="D755" s="59"/>
      <c r="E755" s="59"/>
      <c r="F755" s="59"/>
      <c r="G755" s="431"/>
      <c r="H755" s="431"/>
      <c r="I755" s="59"/>
      <c r="J755" s="260" t="str">
        <f t="shared" si="2"/>
        <v>Not Calculated</v>
      </c>
      <c r="K755" s="61"/>
    </row>
    <row r="756" spans="2:11" x14ac:dyDescent="0.2">
      <c r="B756" s="57"/>
      <c r="C756" s="59"/>
      <c r="D756" s="59"/>
      <c r="E756" s="59"/>
      <c r="F756" s="59"/>
      <c r="G756" s="59"/>
      <c r="H756" s="59"/>
      <c r="I756" s="59"/>
      <c r="J756" s="59"/>
      <c r="K756" s="61"/>
    </row>
    <row r="757" spans="2:11" x14ac:dyDescent="0.2">
      <c r="B757" s="57"/>
      <c r="C757" s="59"/>
      <c r="D757" s="59"/>
      <c r="E757" s="59"/>
      <c r="F757" s="59"/>
      <c r="G757" s="59"/>
      <c r="H757" s="59"/>
      <c r="I757" s="59"/>
      <c r="J757" s="59"/>
      <c r="K757" s="61"/>
    </row>
    <row r="758" spans="2:11" ht="16" x14ac:dyDescent="0.2">
      <c r="B758" s="57"/>
      <c r="C758" s="195" t="s">
        <v>368</v>
      </c>
      <c r="D758" s="59"/>
      <c r="E758" s="59"/>
      <c r="F758" s="59"/>
      <c r="G758" s="59"/>
      <c r="H758" s="59"/>
      <c r="I758" s="59"/>
      <c r="J758" s="59"/>
      <c r="K758" s="61"/>
    </row>
    <row r="759" spans="2:11" ht="15" customHeight="1" x14ac:dyDescent="0.2">
      <c r="B759" s="57"/>
      <c r="C759" s="411" t="s">
        <v>369</v>
      </c>
      <c r="D759" s="411"/>
      <c r="E759" s="411"/>
      <c r="F759" s="411"/>
      <c r="G759" s="411"/>
      <c r="H759" s="411"/>
      <c r="I759" s="411"/>
      <c r="J759" s="411"/>
      <c r="K759" s="61"/>
    </row>
    <row r="760" spans="2:11" x14ac:dyDescent="0.2">
      <c r="B760" s="57"/>
      <c r="C760" s="411"/>
      <c r="D760" s="411"/>
      <c r="E760" s="411"/>
      <c r="F760" s="411"/>
      <c r="G760" s="411"/>
      <c r="H760" s="411"/>
      <c r="I760" s="411"/>
      <c r="J760" s="411"/>
      <c r="K760" s="61"/>
    </row>
    <row r="761" spans="2:11" x14ac:dyDescent="0.2">
      <c r="B761" s="57"/>
      <c r="C761" s="411"/>
      <c r="D761" s="411"/>
      <c r="E761" s="411"/>
      <c r="F761" s="411"/>
      <c r="G761" s="411"/>
      <c r="H761" s="411"/>
      <c r="I761" s="411"/>
      <c r="J761" s="411"/>
      <c r="K761" s="61"/>
    </row>
    <row r="762" spans="2:11" x14ac:dyDescent="0.2">
      <c r="B762" s="57"/>
      <c r="C762" s="196" t="s">
        <v>30</v>
      </c>
      <c r="D762" s="59"/>
      <c r="E762" s="59"/>
      <c r="F762" s="59"/>
      <c r="G762" s="431"/>
      <c r="H762" s="431"/>
      <c r="I762" s="59"/>
      <c r="J762" s="260" t="str">
        <f>IF(G762=$B$994,$A$994,IF(G762=$B$995,$A$995,"Not Calculated"))</f>
        <v>Not Calculated</v>
      </c>
      <c r="K762" s="61"/>
    </row>
    <row r="763" spans="2:11" x14ac:dyDescent="0.2">
      <c r="B763" s="57"/>
      <c r="C763" s="196" t="s">
        <v>32</v>
      </c>
      <c r="D763" s="59"/>
      <c r="E763" s="59"/>
      <c r="F763" s="59"/>
      <c r="G763" s="431"/>
      <c r="H763" s="431"/>
      <c r="I763" s="59"/>
      <c r="J763" s="260" t="str">
        <f t="shared" ref="J763:J770" si="3">IF(G763=$B$994,$A$994,IF(G763=$B$995,$A$995,"Not Calculated"))</f>
        <v>Not Calculated</v>
      </c>
      <c r="K763" s="61"/>
    </row>
    <row r="764" spans="2:11" ht="15" customHeight="1" x14ac:dyDescent="0.2">
      <c r="B764" s="57"/>
      <c r="C764" s="196" t="s">
        <v>34</v>
      </c>
      <c r="D764" s="59"/>
      <c r="E764" s="59"/>
      <c r="F764" s="59"/>
      <c r="G764" s="431"/>
      <c r="H764" s="431"/>
      <c r="I764" s="59"/>
      <c r="J764" s="260" t="str">
        <f t="shared" si="3"/>
        <v>Not Calculated</v>
      </c>
      <c r="K764" s="61"/>
    </row>
    <row r="765" spans="2:11" x14ac:dyDescent="0.2">
      <c r="B765" s="57"/>
      <c r="C765" s="196" t="s">
        <v>35</v>
      </c>
      <c r="D765" s="59"/>
      <c r="E765" s="59"/>
      <c r="F765" s="59"/>
      <c r="G765" s="431"/>
      <c r="H765" s="431"/>
      <c r="I765" s="59"/>
      <c r="J765" s="260" t="str">
        <f t="shared" si="3"/>
        <v>Not Calculated</v>
      </c>
      <c r="K765" s="61"/>
    </row>
    <row r="766" spans="2:11" x14ac:dyDescent="0.2">
      <c r="B766" s="57"/>
      <c r="C766" s="196" t="s">
        <v>37</v>
      </c>
      <c r="D766" s="59"/>
      <c r="E766" s="59"/>
      <c r="F766" s="59"/>
      <c r="G766" s="431"/>
      <c r="H766" s="431"/>
      <c r="I766" s="59"/>
      <c r="J766" s="260" t="str">
        <f t="shared" si="3"/>
        <v>Not Calculated</v>
      </c>
      <c r="K766" s="61"/>
    </row>
    <row r="767" spans="2:11" x14ac:dyDescent="0.2">
      <c r="B767" s="57"/>
      <c r="C767" s="196" t="s">
        <v>38</v>
      </c>
      <c r="D767" s="59"/>
      <c r="E767" s="59"/>
      <c r="F767" s="59"/>
      <c r="G767" s="431"/>
      <c r="H767" s="431"/>
      <c r="I767" s="59"/>
      <c r="J767" s="260" t="str">
        <f t="shared" si="3"/>
        <v>Not Calculated</v>
      </c>
      <c r="K767" s="61"/>
    </row>
    <row r="768" spans="2:11" x14ac:dyDescent="0.2">
      <c r="B768" s="57"/>
      <c r="C768" s="196" t="s">
        <v>40</v>
      </c>
      <c r="D768" s="59"/>
      <c r="E768" s="59"/>
      <c r="F768" s="59"/>
      <c r="G768" s="431"/>
      <c r="H768" s="431"/>
      <c r="I768" s="59"/>
      <c r="J768" s="260" t="str">
        <f t="shared" si="3"/>
        <v>Not Calculated</v>
      </c>
      <c r="K768" s="61"/>
    </row>
    <row r="769" spans="2:11" x14ac:dyDescent="0.2">
      <c r="B769" s="57"/>
      <c r="C769" s="196" t="s">
        <v>41</v>
      </c>
      <c r="D769" s="59"/>
      <c r="E769" s="59"/>
      <c r="F769" s="59"/>
      <c r="G769" s="431"/>
      <c r="H769" s="431"/>
      <c r="I769" s="59"/>
      <c r="J769" s="260" t="str">
        <f t="shared" si="3"/>
        <v>Not Calculated</v>
      </c>
      <c r="K769" s="61"/>
    </row>
    <row r="770" spans="2:11" x14ac:dyDescent="0.2">
      <c r="B770" s="57"/>
      <c r="C770" s="196" t="s">
        <v>43</v>
      </c>
      <c r="D770" s="59"/>
      <c r="E770" s="59"/>
      <c r="F770" s="59"/>
      <c r="G770" s="431"/>
      <c r="H770" s="431"/>
      <c r="I770" s="59"/>
      <c r="J770" s="260" t="str">
        <f t="shared" si="3"/>
        <v>Not Calculated</v>
      </c>
      <c r="K770" s="61"/>
    </row>
    <row r="771" spans="2:11" x14ac:dyDescent="0.2">
      <c r="B771" s="57"/>
      <c r="C771" s="59"/>
      <c r="D771" s="59"/>
      <c r="E771" s="59"/>
      <c r="F771" s="59"/>
      <c r="G771" s="59"/>
      <c r="H771" s="59"/>
      <c r="I771" s="59"/>
      <c r="J771" s="59"/>
      <c r="K771" s="61"/>
    </row>
    <row r="772" spans="2:11" x14ac:dyDescent="0.2">
      <c r="B772" s="57"/>
      <c r="C772" s="59"/>
      <c r="D772" s="59"/>
      <c r="E772" s="59"/>
      <c r="F772" s="59"/>
      <c r="G772" s="59"/>
      <c r="H772" s="59"/>
      <c r="I772" s="59"/>
      <c r="J772" s="59"/>
      <c r="K772" s="61"/>
    </row>
    <row r="773" spans="2:11" ht="16" x14ac:dyDescent="0.2">
      <c r="B773" s="57"/>
      <c r="C773" s="197" t="s">
        <v>30</v>
      </c>
      <c r="D773" s="59"/>
      <c r="E773" s="59"/>
      <c r="F773" s="59"/>
      <c r="G773" s="59"/>
      <c r="H773" s="59"/>
      <c r="I773" s="59"/>
      <c r="J773" s="59"/>
      <c r="K773" s="61"/>
    </row>
    <row r="774" spans="2:11" x14ac:dyDescent="0.2">
      <c r="B774" s="57"/>
      <c r="C774" s="59"/>
      <c r="D774" s="59" t="s">
        <v>370</v>
      </c>
      <c r="E774" s="59"/>
      <c r="F774" s="59"/>
      <c r="G774" s="59"/>
      <c r="H774" s="59"/>
      <c r="I774" s="59"/>
      <c r="J774" s="60">
        <f>'Baseline At-Risk Pops'!H8</f>
        <v>0</v>
      </c>
      <c r="K774" s="61"/>
    </row>
    <row r="775" spans="2:11" x14ac:dyDescent="0.2">
      <c r="B775" s="57"/>
      <c r="C775" s="59"/>
      <c r="D775" s="59" t="s">
        <v>371</v>
      </c>
      <c r="E775" s="59"/>
      <c r="F775" s="59"/>
      <c r="G775" s="59"/>
      <c r="H775" s="59"/>
      <c r="I775" s="59"/>
      <c r="J775" s="60">
        <f>SUM(J717,J732,J747,J762)</f>
        <v>0</v>
      </c>
      <c r="K775" s="61"/>
    </row>
    <row r="776" spans="2:11" x14ac:dyDescent="0.2">
      <c r="B776" s="57"/>
      <c r="C776" s="59"/>
      <c r="D776" s="196" t="s">
        <v>372</v>
      </c>
      <c r="E776" s="59"/>
      <c r="F776" s="59"/>
      <c r="G776" s="59"/>
      <c r="H776" s="59"/>
      <c r="I776" s="59"/>
      <c r="J776" s="60">
        <f>AVERAGE(J774,J775)</f>
        <v>0</v>
      </c>
      <c r="K776" s="61"/>
    </row>
    <row r="777" spans="2:11" ht="16" x14ac:dyDescent="0.2">
      <c r="B777" s="57"/>
      <c r="C777" s="197" t="s">
        <v>32</v>
      </c>
      <c r="D777" s="59"/>
      <c r="E777" s="59"/>
      <c r="F777" s="59"/>
      <c r="G777" s="59"/>
      <c r="H777" s="59"/>
      <c r="I777" s="59"/>
      <c r="J777" s="60"/>
      <c r="K777" s="61"/>
    </row>
    <row r="778" spans="2:11" x14ac:dyDescent="0.2">
      <c r="B778" s="57"/>
      <c r="C778" s="59"/>
      <c r="D778" s="59" t="s">
        <v>370</v>
      </c>
      <c r="E778" s="59"/>
      <c r="F778" s="59"/>
      <c r="G778" s="59"/>
      <c r="H778" s="59"/>
      <c r="I778" s="59"/>
      <c r="J778" s="60">
        <f>'Baseline At-Risk Pops'!H14</f>
        <v>0</v>
      </c>
      <c r="K778" s="61"/>
    </row>
    <row r="779" spans="2:11" ht="15" customHeight="1" x14ac:dyDescent="0.2">
      <c r="B779" s="57"/>
      <c r="C779" s="59"/>
      <c r="D779" s="59" t="s">
        <v>371</v>
      </c>
      <c r="E779" s="59"/>
      <c r="F779" s="59"/>
      <c r="G779" s="59"/>
      <c r="H779" s="59"/>
      <c r="I779" s="59"/>
      <c r="J779" s="60">
        <f>SUM(J718,J733,J748,J763)</f>
        <v>0</v>
      </c>
      <c r="K779" s="61"/>
    </row>
    <row r="780" spans="2:11" x14ac:dyDescent="0.2">
      <c r="B780" s="57"/>
      <c r="C780" s="59"/>
      <c r="D780" s="196" t="s">
        <v>372</v>
      </c>
      <c r="E780" s="59"/>
      <c r="F780" s="59"/>
      <c r="G780" s="59"/>
      <c r="H780" s="59"/>
      <c r="I780" s="59"/>
      <c r="J780" s="60">
        <f>AVERAGE(J778,J779)</f>
        <v>0</v>
      </c>
      <c r="K780" s="61"/>
    </row>
    <row r="781" spans="2:11" ht="16" x14ac:dyDescent="0.2">
      <c r="B781" s="57"/>
      <c r="C781" s="197" t="s">
        <v>34</v>
      </c>
      <c r="D781" s="59"/>
      <c r="E781" s="59"/>
      <c r="F781" s="59"/>
      <c r="G781" s="59"/>
      <c r="H781" s="59"/>
      <c r="I781" s="59"/>
      <c r="J781" s="60"/>
      <c r="K781" s="61"/>
    </row>
    <row r="782" spans="2:11" ht="16" x14ac:dyDescent="0.2">
      <c r="B782" s="57"/>
      <c r="C782" s="197"/>
      <c r="D782" s="59" t="s">
        <v>370</v>
      </c>
      <c r="E782" s="59"/>
      <c r="F782" s="59"/>
      <c r="G782" s="59"/>
      <c r="H782" s="59"/>
      <c r="I782" s="59"/>
      <c r="J782" s="60">
        <f>'Baseline At-Risk Pops'!H21</f>
        <v>0</v>
      </c>
      <c r="K782" s="61"/>
    </row>
    <row r="783" spans="2:11" x14ac:dyDescent="0.2">
      <c r="B783" s="57"/>
      <c r="C783" s="59"/>
      <c r="D783" s="59" t="s">
        <v>371</v>
      </c>
      <c r="E783" s="59"/>
      <c r="F783" s="59"/>
      <c r="G783" s="59"/>
      <c r="H783" s="59"/>
      <c r="I783" s="59"/>
      <c r="J783" s="60">
        <f>SUM(J719,J734,J749,J764)</f>
        <v>0</v>
      </c>
      <c r="K783" s="61"/>
    </row>
    <row r="784" spans="2:11" x14ac:dyDescent="0.2">
      <c r="B784" s="57"/>
      <c r="C784" s="59"/>
      <c r="D784" s="196" t="s">
        <v>372</v>
      </c>
      <c r="E784" s="59"/>
      <c r="F784" s="59"/>
      <c r="G784" s="59"/>
      <c r="H784" s="59"/>
      <c r="I784" s="59"/>
      <c r="J784" s="60">
        <f>AVERAGE(J782,J783)</f>
        <v>0</v>
      </c>
      <c r="K784" s="61"/>
    </row>
    <row r="785" spans="2:11" ht="16" x14ac:dyDescent="0.2">
      <c r="B785" s="57"/>
      <c r="C785" s="197" t="s">
        <v>35</v>
      </c>
      <c r="D785" s="59"/>
      <c r="E785" s="59"/>
      <c r="F785" s="59"/>
      <c r="G785" s="59"/>
      <c r="H785" s="59"/>
      <c r="I785" s="59"/>
      <c r="J785" s="60"/>
      <c r="K785" s="61"/>
    </row>
    <row r="786" spans="2:11" x14ac:dyDescent="0.2">
      <c r="B786" s="57"/>
      <c r="C786" s="59"/>
      <c r="D786" s="59" t="s">
        <v>370</v>
      </c>
      <c r="E786" s="59"/>
      <c r="F786" s="59"/>
      <c r="G786" s="59"/>
      <c r="H786" s="59"/>
      <c r="I786" s="59"/>
      <c r="J786" s="60">
        <f>'Baseline At-Risk Pops'!H27</f>
        <v>0</v>
      </c>
      <c r="K786" s="61"/>
    </row>
    <row r="787" spans="2:11" x14ac:dyDescent="0.2">
      <c r="B787" s="57"/>
      <c r="C787" s="59"/>
      <c r="D787" s="59" t="s">
        <v>371</v>
      </c>
      <c r="E787" s="59"/>
      <c r="F787" s="59"/>
      <c r="G787" s="59"/>
      <c r="H787" s="59"/>
      <c r="I787" s="59"/>
      <c r="J787" s="60">
        <f>SUM(J720,J735,J750,J765)</f>
        <v>0</v>
      </c>
      <c r="K787" s="61"/>
    </row>
    <row r="788" spans="2:11" x14ac:dyDescent="0.2">
      <c r="B788" s="57"/>
      <c r="C788" s="59"/>
      <c r="D788" s="196" t="s">
        <v>372</v>
      </c>
      <c r="E788" s="59"/>
      <c r="F788" s="59"/>
      <c r="G788" s="59"/>
      <c r="H788" s="59"/>
      <c r="I788" s="59"/>
      <c r="J788" s="60">
        <f>AVERAGE(J786,J787)</f>
        <v>0</v>
      </c>
      <c r="K788" s="61"/>
    </row>
    <row r="789" spans="2:11" ht="16" x14ac:dyDescent="0.2">
      <c r="B789" s="57"/>
      <c r="C789" s="197" t="s">
        <v>37</v>
      </c>
      <c r="D789" s="59"/>
      <c r="E789" s="59"/>
      <c r="F789" s="59"/>
      <c r="G789" s="59"/>
      <c r="H789" s="59"/>
      <c r="I789" s="59"/>
      <c r="J789" s="60"/>
      <c r="K789" s="61"/>
    </row>
    <row r="790" spans="2:11" x14ac:dyDescent="0.2">
      <c r="B790" s="57"/>
      <c r="C790" s="59"/>
      <c r="D790" s="59" t="s">
        <v>370</v>
      </c>
      <c r="E790" s="59"/>
      <c r="F790" s="59"/>
      <c r="G790" s="59"/>
      <c r="H790" s="59"/>
      <c r="I790" s="59"/>
      <c r="J790" s="60">
        <f>'Baseline At-Risk Pops'!H34</f>
        <v>0</v>
      </c>
      <c r="K790" s="61"/>
    </row>
    <row r="791" spans="2:11" x14ac:dyDescent="0.2">
      <c r="B791" s="57"/>
      <c r="C791" s="59"/>
      <c r="D791" s="59" t="s">
        <v>371</v>
      </c>
      <c r="E791" s="59"/>
      <c r="F791" s="59"/>
      <c r="G791" s="59"/>
      <c r="H791" s="59"/>
      <c r="I791" s="59"/>
      <c r="J791" s="60">
        <f>SUM(J721,J736,J751,J766)</f>
        <v>0</v>
      </c>
      <c r="K791" s="61"/>
    </row>
    <row r="792" spans="2:11" x14ac:dyDescent="0.2">
      <c r="B792" s="57"/>
      <c r="C792" s="59"/>
      <c r="D792" s="196" t="s">
        <v>372</v>
      </c>
      <c r="E792" s="59"/>
      <c r="F792" s="59"/>
      <c r="G792" s="59"/>
      <c r="H792" s="59"/>
      <c r="I792" s="59"/>
      <c r="J792" s="60">
        <f>AVERAGE(J790,J791)</f>
        <v>0</v>
      </c>
      <c r="K792" s="61"/>
    </row>
    <row r="793" spans="2:11" ht="16" x14ac:dyDescent="0.2">
      <c r="B793" s="57"/>
      <c r="C793" s="197" t="s">
        <v>38</v>
      </c>
      <c r="D793" s="59"/>
      <c r="E793" s="59"/>
      <c r="F793" s="59"/>
      <c r="G793" s="59"/>
      <c r="H793" s="59"/>
      <c r="I793" s="59"/>
      <c r="J793" s="60"/>
      <c r="K793" s="61"/>
    </row>
    <row r="794" spans="2:11" x14ac:dyDescent="0.2">
      <c r="B794" s="57"/>
      <c r="C794" s="59"/>
      <c r="D794" s="59" t="s">
        <v>370</v>
      </c>
      <c r="E794" s="59"/>
      <c r="F794" s="59"/>
      <c r="G794" s="59"/>
      <c r="H794" s="59"/>
      <c r="I794" s="59"/>
      <c r="J794" s="60">
        <f>'Baseline At-Risk Pops'!H40</f>
        <v>0</v>
      </c>
      <c r="K794" s="61"/>
    </row>
    <row r="795" spans="2:11" x14ac:dyDescent="0.2">
      <c r="B795" s="57"/>
      <c r="C795" s="59"/>
      <c r="D795" s="59" t="s">
        <v>371</v>
      </c>
      <c r="E795" s="59"/>
      <c r="F795" s="59"/>
      <c r="G795" s="59"/>
      <c r="H795" s="59"/>
      <c r="I795" s="59"/>
      <c r="J795" s="60">
        <f>SUM(J722,J737,J752,J767)</f>
        <v>0</v>
      </c>
      <c r="K795" s="61"/>
    </row>
    <row r="796" spans="2:11" x14ac:dyDescent="0.2">
      <c r="B796" s="57"/>
      <c r="C796" s="59"/>
      <c r="D796" s="196" t="s">
        <v>372</v>
      </c>
      <c r="E796" s="59"/>
      <c r="F796" s="59"/>
      <c r="G796" s="59"/>
      <c r="H796" s="59"/>
      <c r="I796" s="59"/>
      <c r="J796" s="60">
        <f>AVERAGE(J794,J795)</f>
        <v>0</v>
      </c>
      <c r="K796" s="61"/>
    </row>
    <row r="797" spans="2:11" ht="16" x14ac:dyDescent="0.2">
      <c r="B797" s="57"/>
      <c r="C797" s="197" t="s">
        <v>40</v>
      </c>
      <c r="D797" s="59"/>
      <c r="E797" s="59"/>
      <c r="F797" s="59"/>
      <c r="G797" s="59"/>
      <c r="H797" s="59"/>
      <c r="I797" s="59"/>
      <c r="J797" s="60"/>
      <c r="K797" s="61"/>
    </row>
    <row r="798" spans="2:11" x14ac:dyDescent="0.2">
      <c r="B798" s="57"/>
      <c r="C798" s="59"/>
      <c r="D798" s="59" t="s">
        <v>370</v>
      </c>
      <c r="E798" s="59"/>
      <c r="F798" s="59"/>
      <c r="G798" s="59"/>
      <c r="H798" s="59"/>
      <c r="I798" s="59"/>
      <c r="J798" s="60">
        <f>'Baseline At-Risk Pops'!H46</f>
        <v>0</v>
      </c>
      <c r="K798" s="61"/>
    </row>
    <row r="799" spans="2:11" x14ac:dyDescent="0.2">
      <c r="B799" s="57"/>
      <c r="C799" s="59"/>
      <c r="D799" s="59" t="s">
        <v>371</v>
      </c>
      <c r="E799" s="59"/>
      <c r="F799" s="59"/>
      <c r="G799" s="59"/>
      <c r="H799" s="59"/>
      <c r="I799" s="59"/>
      <c r="J799" s="60">
        <f>SUM(J723,J738,J753,J768)</f>
        <v>0</v>
      </c>
      <c r="K799" s="61"/>
    </row>
    <row r="800" spans="2:11" x14ac:dyDescent="0.2">
      <c r="B800" s="57"/>
      <c r="C800" s="59"/>
      <c r="D800" s="196" t="s">
        <v>372</v>
      </c>
      <c r="E800" s="59"/>
      <c r="F800" s="59"/>
      <c r="G800" s="59"/>
      <c r="H800" s="59"/>
      <c r="I800" s="59"/>
      <c r="J800" s="60">
        <f>AVERAGE(J798,J799)</f>
        <v>0</v>
      </c>
      <c r="K800" s="61"/>
    </row>
    <row r="801" spans="2:11" ht="16" x14ac:dyDescent="0.2">
      <c r="B801" s="57"/>
      <c r="C801" s="197" t="s">
        <v>41</v>
      </c>
      <c r="D801" s="59"/>
      <c r="E801" s="59"/>
      <c r="F801" s="59"/>
      <c r="G801" s="59"/>
      <c r="H801" s="59"/>
      <c r="I801" s="59"/>
      <c r="J801" s="60"/>
      <c r="K801" s="61"/>
    </row>
    <row r="802" spans="2:11" ht="16" x14ac:dyDescent="0.2">
      <c r="B802" s="57"/>
      <c r="C802" s="197"/>
      <c r="D802" s="59" t="s">
        <v>370</v>
      </c>
      <c r="E802" s="59"/>
      <c r="F802" s="59"/>
      <c r="G802" s="59"/>
      <c r="H802" s="59"/>
      <c r="I802" s="59"/>
      <c r="J802" s="60">
        <f>'Baseline At-Risk Pops'!H52</f>
        <v>0</v>
      </c>
      <c r="K802" s="61"/>
    </row>
    <row r="803" spans="2:11" x14ac:dyDescent="0.2">
      <c r="B803" s="57"/>
      <c r="C803" s="59"/>
      <c r="D803" s="59" t="s">
        <v>371</v>
      </c>
      <c r="E803" s="59"/>
      <c r="F803" s="59"/>
      <c r="G803" s="59"/>
      <c r="H803" s="59"/>
      <c r="I803" s="59"/>
      <c r="J803" s="60">
        <f>SUM(J724,J739,J754,J769)</f>
        <v>0</v>
      </c>
      <c r="K803" s="61"/>
    </row>
    <row r="804" spans="2:11" x14ac:dyDescent="0.2">
      <c r="B804" s="57"/>
      <c r="C804" s="59"/>
      <c r="D804" s="196" t="s">
        <v>372</v>
      </c>
      <c r="E804" s="59"/>
      <c r="F804" s="59"/>
      <c r="G804" s="59"/>
      <c r="H804" s="59"/>
      <c r="I804" s="59"/>
      <c r="J804" s="60">
        <f>AVERAGE(J802,J803)</f>
        <v>0</v>
      </c>
      <c r="K804" s="61"/>
    </row>
    <row r="805" spans="2:11" ht="16" x14ac:dyDescent="0.2">
      <c r="B805" s="57"/>
      <c r="C805" s="197" t="s">
        <v>43</v>
      </c>
      <c r="D805" s="59"/>
      <c r="E805" s="59"/>
      <c r="F805" s="59"/>
      <c r="G805" s="59"/>
      <c r="H805" s="59"/>
      <c r="I805" s="59"/>
      <c r="J805" s="60"/>
      <c r="K805" s="61"/>
    </row>
    <row r="806" spans="2:11" x14ac:dyDescent="0.2">
      <c r="B806" s="57"/>
      <c r="C806" s="59"/>
      <c r="D806" s="59" t="s">
        <v>370</v>
      </c>
      <c r="E806" s="59"/>
      <c r="F806" s="59"/>
      <c r="G806" s="59"/>
      <c r="H806" s="59"/>
      <c r="I806" s="59"/>
      <c r="J806" s="60">
        <f>'Baseline At-Risk Pops'!H58</f>
        <v>0</v>
      </c>
      <c r="K806" s="61"/>
    </row>
    <row r="807" spans="2:11" x14ac:dyDescent="0.2">
      <c r="B807" s="57"/>
      <c r="C807" s="59"/>
      <c r="D807" s="59" t="s">
        <v>371</v>
      </c>
      <c r="E807" s="59"/>
      <c r="F807" s="59"/>
      <c r="G807" s="59"/>
      <c r="H807" s="59"/>
      <c r="I807" s="59"/>
      <c r="J807" s="60">
        <f>SUM(J725,J740,J755,J770)</f>
        <v>0</v>
      </c>
      <c r="K807" s="61"/>
    </row>
    <row r="808" spans="2:11" x14ac:dyDescent="0.2">
      <c r="B808" s="57"/>
      <c r="C808" s="59"/>
      <c r="D808" s="196" t="s">
        <v>372</v>
      </c>
      <c r="E808" s="59"/>
      <c r="F808" s="59"/>
      <c r="G808" s="59"/>
      <c r="H808" s="59"/>
      <c r="I808" s="59"/>
      <c r="J808" s="60">
        <f>AVERAGE(J806,J807)</f>
        <v>0</v>
      </c>
      <c r="K808" s="61"/>
    </row>
    <row r="809" spans="2:11" x14ac:dyDescent="0.2">
      <c r="B809" s="57"/>
      <c r="C809" s="59"/>
      <c r="D809" s="59"/>
      <c r="E809" s="59"/>
      <c r="F809" s="59"/>
      <c r="G809" s="59"/>
      <c r="H809" s="59"/>
      <c r="I809" s="59"/>
      <c r="J809" s="59"/>
      <c r="K809" s="61"/>
    </row>
    <row r="810" spans="2:11" x14ac:dyDescent="0.2">
      <c r="B810" s="57"/>
      <c r="C810" s="59"/>
      <c r="D810" s="59"/>
      <c r="E810" s="59"/>
      <c r="F810" s="59"/>
      <c r="G810" s="59"/>
      <c r="H810" s="59"/>
      <c r="I810" s="59"/>
      <c r="J810" s="59"/>
      <c r="K810" s="61"/>
    </row>
    <row r="811" spans="2:11" ht="16" x14ac:dyDescent="0.2">
      <c r="B811" s="57"/>
      <c r="C811" s="198" t="s">
        <v>373</v>
      </c>
      <c r="D811" s="59"/>
      <c r="E811" s="59"/>
      <c r="F811" s="59"/>
      <c r="G811" s="59"/>
      <c r="H811" s="59"/>
      <c r="I811" s="59"/>
      <c r="J811" s="261">
        <f>AVERAGE(J776,J780,J784,J788,J792,J796,J800,J804,J808)</f>
        <v>0</v>
      </c>
      <c r="K811" s="61"/>
    </row>
    <row r="812" spans="2:11" ht="16" thickBot="1" x14ac:dyDescent="0.25">
      <c r="B812" s="73"/>
      <c r="C812" s="74"/>
      <c r="D812" s="74"/>
      <c r="E812" s="74"/>
      <c r="F812" s="74"/>
      <c r="G812" s="74"/>
      <c r="H812" s="74"/>
      <c r="I812" s="74"/>
      <c r="J812" s="74"/>
      <c r="K812" s="76"/>
    </row>
    <row r="813" spans="2:11" ht="16" thickBot="1" x14ac:dyDescent="0.25"/>
    <row r="814" spans="2:11" x14ac:dyDescent="0.2">
      <c r="B814" s="199"/>
      <c r="C814" s="200"/>
      <c r="D814" s="200"/>
      <c r="E814" s="200"/>
      <c r="F814" s="200"/>
      <c r="G814" s="200"/>
      <c r="H814" s="200"/>
      <c r="I814" s="200"/>
      <c r="J814" s="200"/>
      <c r="K814" s="201"/>
    </row>
    <row r="815" spans="2:11" ht="21" x14ac:dyDescent="0.25">
      <c r="B815" s="202"/>
      <c r="C815" s="203"/>
      <c r="D815" s="203"/>
      <c r="E815" s="203"/>
      <c r="F815" s="203"/>
      <c r="G815" s="204" t="s">
        <v>233</v>
      </c>
      <c r="H815" s="203"/>
      <c r="I815" s="203"/>
      <c r="J815" s="203"/>
      <c r="K815" s="205"/>
    </row>
    <row r="816" spans="2:11" x14ac:dyDescent="0.2">
      <c r="B816" s="202"/>
      <c r="C816" s="203"/>
      <c r="D816" s="203"/>
      <c r="E816" s="203"/>
      <c r="F816" s="203"/>
      <c r="G816" s="203"/>
      <c r="H816" s="203"/>
      <c r="I816" s="203"/>
      <c r="J816" s="203"/>
      <c r="K816" s="205"/>
    </row>
    <row r="817" spans="2:11" ht="16" x14ac:dyDescent="0.2">
      <c r="B817" s="202"/>
      <c r="C817" s="206" t="s">
        <v>992</v>
      </c>
      <c r="D817" s="203"/>
      <c r="E817" s="203"/>
      <c r="F817" s="203"/>
      <c r="G817" s="203"/>
      <c r="H817" s="203"/>
      <c r="I817" s="203"/>
      <c r="J817" s="262" t="str">
        <f>IF(J700="Not Calculated","Not Calculated",J700*(($J$811/4)+1))</f>
        <v>Not Calculated</v>
      </c>
      <c r="K817" s="205"/>
    </row>
    <row r="818" spans="2:11" x14ac:dyDescent="0.2">
      <c r="B818" s="202"/>
      <c r="C818" s="203"/>
      <c r="D818" s="203" t="s">
        <v>374</v>
      </c>
      <c r="E818" s="203"/>
      <c r="F818" s="203"/>
      <c r="G818" s="203"/>
      <c r="H818" s="203"/>
      <c r="I818" s="203"/>
      <c r="J818" s="203"/>
      <c r="K818" s="205"/>
    </row>
    <row r="819" spans="2:11" x14ac:dyDescent="0.2">
      <c r="B819" s="202"/>
      <c r="C819" s="203"/>
      <c r="D819" s="203"/>
      <c r="E819" s="203"/>
      <c r="F819" s="203"/>
      <c r="G819" s="203"/>
      <c r="H819" s="203"/>
      <c r="I819" s="203"/>
      <c r="J819" s="203"/>
      <c r="K819" s="205"/>
    </row>
    <row r="820" spans="2:11" ht="16" x14ac:dyDescent="0.2">
      <c r="B820" s="202"/>
      <c r="C820" s="206" t="s">
        <v>993</v>
      </c>
      <c r="D820" s="203"/>
      <c r="E820" s="203"/>
      <c r="F820" s="203"/>
      <c r="G820" s="203"/>
      <c r="H820" s="203"/>
      <c r="I820" s="203"/>
      <c r="J820" s="262" t="str">
        <f>IF(J703="Not Calculated","Not Calculated",J703*(($J$811/4)+1))</f>
        <v>Not Calculated</v>
      </c>
      <c r="K820" s="205"/>
    </row>
    <row r="821" spans="2:11" x14ac:dyDescent="0.2">
      <c r="B821" s="202"/>
      <c r="C821" s="203"/>
      <c r="D821" s="203" t="s">
        <v>375</v>
      </c>
      <c r="E821" s="203"/>
      <c r="F821" s="203"/>
      <c r="G821" s="203"/>
      <c r="H821" s="203"/>
      <c r="I821" s="203"/>
      <c r="J821" s="203"/>
      <c r="K821" s="205"/>
    </row>
    <row r="822" spans="2:11" x14ac:dyDescent="0.2">
      <c r="B822" s="202"/>
      <c r="C822" s="203"/>
      <c r="D822" s="203"/>
      <c r="E822" s="203"/>
      <c r="F822" s="203"/>
      <c r="G822" s="203"/>
      <c r="H822" s="203"/>
      <c r="I822" s="203"/>
      <c r="J822" s="203"/>
      <c r="K822" s="205"/>
    </row>
    <row r="823" spans="2:11" ht="16" x14ac:dyDescent="0.2">
      <c r="B823" s="202"/>
      <c r="C823" s="206" t="s">
        <v>994</v>
      </c>
      <c r="D823" s="203"/>
      <c r="E823" s="203"/>
      <c r="F823" s="203"/>
      <c r="G823" s="203"/>
      <c r="H823" s="203"/>
      <c r="I823" s="203"/>
      <c r="J823" s="262" t="str">
        <f>IF(J706="Not Calculated","Not Calculated",J706*(($J$811/4)+1))</f>
        <v>Not Calculated</v>
      </c>
      <c r="K823" s="205"/>
    </row>
    <row r="824" spans="2:11" x14ac:dyDescent="0.2">
      <c r="B824" s="202"/>
      <c r="C824" s="203"/>
      <c r="D824" s="203" t="s">
        <v>376</v>
      </c>
      <c r="E824" s="203"/>
      <c r="F824" s="203"/>
      <c r="G824" s="203"/>
      <c r="H824" s="203"/>
      <c r="I824" s="203"/>
      <c r="J824" s="203"/>
      <c r="K824" s="205"/>
    </row>
    <row r="825" spans="2:11" ht="16" thickBot="1" x14ac:dyDescent="0.25">
      <c r="B825" s="207"/>
      <c r="C825" s="208"/>
      <c r="D825" s="208"/>
      <c r="E825" s="208"/>
      <c r="F825" s="208"/>
      <c r="G825" s="208"/>
      <c r="H825" s="208"/>
      <c r="I825" s="208"/>
      <c r="J825" s="208"/>
      <c r="K825" s="209"/>
    </row>
    <row r="826" spans="2:11" ht="16" thickBot="1" x14ac:dyDescent="0.25"/>
    <row r="827" spans="2:11" x14ac:dyDescent="0.2">
      <c r="B827" s="77"/>
      <c r="C827" s="78"/>
      <c r="D827" s="78"/>
      <c r="E827" s="78"/>
      <c r="F827" s="78"/>
      <c r="G827" s="78"/>
      <c r="H827" s="78"/>
      <c r="I827" s="78"/>
      <c r="J827" s="78"/>
      <c r="K827" s="80"/>
    </row>
    <row r="828" spans="2:11" ht="21" x14ac:dyDescent="0.25">
      <c r="B828" s="81"/>
      <c r="C828" s="85"/>
      <c r="D828" s="85"/>
      <c r="E828" s="85"/>
      <c r="F828" s="85"/>
      <c r="G828" s="210" t="s">
        <v>806</v>
      </c>
      <c r="H828" s="85"/>
      <c r="I828" s="85"/>
      <c r="J828" s="85"/>
      <c r="K828" s="87"/>
    </row>
    <row r="829" spans="2:11" x14ac:dyDescent="0.2">
      <c r="B829" s="81"/>
      <c r="C829" s="85"/>
      <c r="D829" s="85"/>
      <c r="E829" s="85"/>
      <c r="F829" s="85"/>
      <c r="G829" s="85"/>
      <c r="H829" s="85"/>
      <c r="I829" s="85"/>
      <c r="J829" s="85"/>
      <c r="K829" s="87"/>
    </row>
    <row r="830" spans="2:11" ht="15" customHeight="1" x14ac:dyDescent="0.2">
      <c r="B830" s="81"/>
      <c r="C830" s="424" t="s">
        <v>808</v>
      </c>
      <c r="D830" s="424"/>
      <c r="E830" s="424"/>
      <c r="F830" s="424"/>
      <c r="G830" s="424"/>
      <c r="H830" s="424"/>
      <c r="I830" s="424"/>
      <c r="J830" s="424"/>
      <c r="K830" s="87"/>
    </row>
    <row r="831" spans="2:11" x14ac:dyDescent="0.2">
      <c r="B831" s="81"/>
      <c r="C831" s="424"/>
      <c r="D831" s="424"/>
      <c r="E831" s="424"/>
      <c r="F831" s="424"/>
      <c r="G831" s="424"/>
      <c r="H831" s="424"/>
      <c r="I831" s="424"/>
      <c r="J831" s="424"/>
      <c r="K831" s="87"/>
    </row>
    <row r="832" spans="2:11" x14ac:dyDescent="0.2">
      <c r="B832" s="81"/>
      <c r="C832" s="85"/>
      <c r="D832" s="85"/>
      <c r="E832" s="85"/>
      <c r="F832" s="85"/>
      <c r="G832" s="85"/>
      <c r="H832" s="85"/>
      <c r="I832" s="85"/>
      <c r="J832" s="85"/>
      <c r="K832" s="87"/>
    </row>
    <row r="833" spans="2:11" ht="16" x14ac:dyDescent="0.2">
      <c r="B833" s="81"/>
      <c r="C833" s="211" t="s">
        <v>654</v>
      </c>
      <c r="D833" s="85"/>
      <c r="E833" s="85"/>
      <c r="F833" s="85"/>
      <c r="G833" s="85"/>
      <c r="H833" s="85"/>
      <c r="I833" s="85"/>
      <c r="J833" s="85"/>
      <c r="K833" s="87"/>
    </row>
    <row r="834" spans="2:11" x14ac:dyDescent="0.2">
      <c r="B834" s="81"/>
      <c r="C834" s="85" t="s">
        <v>380</v>
      </c>
      <c r="D834" s="85"/>
      <c r="E834" s="85"/>
      <c r="F834" s="85"/>
      <c r="G834" s="406"/>
      <c r="H834" s="407"/>
      <c r="I834" s="85"/>
      <c r="J834" s="83" t="str">
        <f>IF(G834=$B$998,$A$998,IF(G834=$B$999,$A$999,IF(G834=$B$1000,$A$1000,IF(G834=$B$1001,$A$1001,IF(G834=$B$1002,$A$1002,"Not Calculated")))))</f>
        <v>Not Calculated</v>
      </c>
      <c r="K834" s="87"/>
    </row>
    <row r="835" spans="2:11" x14ac:dyDescent="0.2">
      <c r="B835" s="81"/>
      <c r="C835" s="85" t="s">
        <v>134</v>
      </c>
      <c r="D835" s="85"/>
      <c r="E835" s="85"/>
      <c r="F835" s="85"/>
      <c r="G835" s="85"/>
      <c r="H835" s="85"/>
      <c r="I835" s="85"/>
      <c r="J835" s="240">
        <f>'Baseline PHP'!J16</f>
        <v>0</v>
      </c>
      <c r="K835" s="87"/>
    </row>
    <row r="836" spans="2:11" x14ac:dyDescent="0.2">
      <c r="B836" s="81"/>
      <c r="C836" s="85"/>
      <c r="D836" s="85"/>
      <c r="E836" s="85"/>
      <c r="F836" s="85"/>
      <c r="G836" s="85"/>
      <c r="H836" s="85"/>
      <c r="I836" s="85"/>
      <c r="J836" s="85"/>
      <c r="K836" s="87"/>
    </row>
    <row r="837" spans="2:11" ht="16" x14ac:dyDescent="0.2">
      <c r="B837" s="81"/>
      <c r="C837" s="211" t="s">
        <v>655</v>
      </c>
      <c r="D837" s="85"/>
      <c r="E837" s="85"/>
      <c r="F837" s="85"/>
      <c r="G837" s="85"/>
      <c r="H837" s="85"/>
      <c r="I837" s="85"/>
      <c r="J837" s="85"/>
      <c r="K837" s="87"/>
    </row>
    <row r="838" spans="2:11" x14ac:dyDescent="0.2">
      <c r="B838" s="81"/>
      <c r="C838" s="85" t="s">
        <v>380</v>
      </c>
      <c r="D838" s="85"/>
      <c r="E838" s="85"/>
      <c r="F838" s="85"/>
      <c r="G838" s="406"/>
      <c r="H838" s="407"/>
      <c r="I838" s="85"/>
      <c r="J838" s="83" t="str">
        <f>IF(G838=$B$998,$A$998,IF(G838=$B$999,$A$999,IF(G838=$B$1000,$A$1000,IF(G838=$B$1001,$A$1001,IF(G838=$B$1002,$A$1002,"Not Calculated")))))</f>
        <v>Not Calculated</v>
      </c>
      <c r="K838" s="87"/>
    </row>
    <row r="839" spans="2:11" x14ac:dyDescent="0.2">
      <c r="B839" s="81"/>
      <c r="C839" s="85" t="s">
        <v>134</v>
      </c>
      <c r="D839" s="85"/>
      <c r="E839" s="85"/>
      <c r="F839" s="85"/>
      <c r="G839" s="85"/>
      <c r="H839" s="85"/>
      <c r="I839" s="85"/>
      <c r="J839" s="240">
        <f>'Baseline PHP'!J28</f>
        <v>0</v>
      </c>
      <c r="K839" s="87"/>
    </row>
    <row r="840" spans="2:11" x14ac:dyDescent="0.2">
      <c r="B840" s="81"/>
      <c r="C840" s="85"/>
      <c r="D840" s="85"/>
      <c r="E840" s="85"/>
      <c r="F840" s="85"/>
      <c r="G840" s="85"/>
      <c r="H840" s="85"/>
      <c r="I840" s="85"/>
      <c r="J840" s="85"/>
      <c r="K840" s="87"/>
    </row>
    <row r="841" spans="2:11" ht="16" x14ac:dyDescent="0.2">
      <c r="B841" s="81"/>
      <c r="C841" s="211" t="s">
        <v>645</v>
      </c>
      <c r="D841" s="85"/>
      <c r="E841" s="85"/>
      <c r="F841" s="85"/>
      <c r="G841" s="85"/>
      <c r="H841" s="85"/>
      <c r="I841" s="85"/>
      <c r="J841" s="85"/>
      <c r="K841" s="87"/>
    </row>
    <row r="842" spans="2:11" x14ac:dyDescent="0.2">
      <c r="B842" s="81"/>
      <c r="C842" s="85" t="s">
        <v>380</v>
      </c>
      <c r="D842" s="85"/>
      <c r="E842" s="85"/>
      <c r="F842" s="85"/>
      <c r="G842" s="406"/>
      <c r="H842" s="407"/>
      <c r="I842" s="85"/>
      <c r="J842" s="83" t="str">
        <f>IF(G842=$B$998,$A$998,IF(G842=$B$999,$A$999,IF(G842=$B$1000,$A$1000,IF(G842=$B$1001,$A$1001,IF(G842=$B$1002,$A$1002,"Not Calculated")))))</f>
        <v>Not Calculated</v>
      </c>
      <c r="K842" s="87"/>
    </row>
    <row r="843" spans="2:11" x14ac:dyDescent="0.2">
      <c r="B843" s="81"/>
      <c r="C843" s="85" t="s">
        <v>134</v>
      </c>
      <c r="D843" s="85"/>
      <c r="E843" s="85"/>
      <c r="F843" s="85"/>
      <c r="G843" s="85"/>
      <c r="H843" s="85"/>
      <c r="I843" s="85"/>
      <c r="J843" s="240">
        <f>'Baseline PHP'!J44</f>
        <v>0</v>
      </c>
      <c r="K843" s="87"/>
    </row>
    <row r="844" spans="2:11" x14ac:dyDescent="0.2">
      <c r="B844" s="81"/>
      <c r="C844" s="85"/>
      <c r="D844" s="85"/>
      <c r="E844" s="85"/>
      <c r="F844" s="85"/>
      <c r="G844" s="85"/>
      <c r="H844" s="85"/>
      <c r="I844" s="85"/>
      <c r="J844" s="85"/>
      <c r="K844" s="87"/>
    </row>
    <row r="845" spans="2:11" ht="16" x14ac:dyDescent="0.2">
      <c r="B845" s="81"/>
      <c r="C845" s="211" t="s">
        <v>646</v>
      </c>
      <c r="D845" s="85"/>
      <c r="E845" s="85"/>
      <c r="F845" s="85"/>
      <c r="G845" s="85"/>
      <c r="H845" s="85"/>
      <c r="I845" s="85"/>
      <c r="J845" s="85"/>
      <c r="K845" s="87"/>
    </row>
    <row r="846" spans="2:11" x14ac:dyDescent="0.2">
      <c r="B846" s="81"/>
      <c r="C846" s="85" t="s">
        <v>380</v>
      </c>
      <c r="D846" s="85"/>
      <c r="E846" s="85"/>
      <c r="F846" s="85"/>
      <c r="G846" s="406"/>
      <c r="H846" s="407"/>
      <c r="I846" s="85"/>
      <c r="J846" s="83" t="str">
        <f>IF(G846=$B$998,$A$998,IF(G846=$B$999,$A$999,IF(G846=$B$1000,$A$1000,IF(G846=$B$1001,$A$1001,IF(G846=$B$1002,$A$1002,"Not Calculated")))))</f>
        <v>Not Calculated</v>
      </c>
      <c r="K846" s="87"/>
    </row>
    <row r="847" spans="2:11" x14ac:dyDescent="0.2">
      <c r="B847" s="81"/>
      <c r="C847" s="85" t="s">
        <v>134</v>
      </c>
      <c r="D847" s="85"/>
      <c r="E847" s="85"/>
      <c r="F847" s="85"/>
      <c r="G847" s="85"/>
      <c r="H847" s="85"/>
      <c r="I847" s="85"/>
      <c r="J847" s="240">
        <f>'Baseline PHP'!J60</f>
        <v>0</v>
      </c>
      <c r="K847" s="87"/>
    </row>
    <row r="848" spans="2:11" x14ac:dyDescent="0.2">
      <c r="B848" s="81"/>
      <c r="C848" s="85"/>
      <c r="D848" s="85"/>
      <c r="E848" s="85"/>
      <c r="F848" s="85"/>
      <c r="G848" s="85"/>
      <c r="H848" s="85"/>
      <c r="I848" s="85"/>
      <c r="J848" s="85"/>
      <c r="K848" s="87"/>
    </row>
    <row r="849" spans="2:11" ht="16" x14ac:dyDescent="0.2">
      <c r="B849" s="81"/>
      <c r="C849" s="211" t="s">
        <v>648</v>
      </c>
      <c r="D849" s="85"/>
      <c r="E849" s="85"/>
      <c r="F849" s="85"/>
      <c r="G849" s="85"/>
      <c r="H849" s="85"/>
      <c r="I849" s="85"/>
      <c r="J849" s="85"/>
      <c r="K849" s="87"/>
    </row>
    <row r="850" spans="2:11" ht="15" customHeight="1" x14ac:dyDescent="0.2">
      <c r="B850" s="81"/>
      <c r="C850" s="85" t="s">
        <v>380</v>
      </c>
      <c r="D850" s="85"/>
      <c r="E850" s="85"/>
      <c r="F850" s="85"/>
      <c r="G850" s="406"/>
      <c r="H850" s="407"/>
      <c r="I850" s="85"/>
      <c r="J850" s="83" t="str">
        <f>IF(G850=$B$998,$A$998,IF(G850=$B$999,$A$999,IF(G850=$B$1000,$A$1000,IF(G850=$B$1001,$A$1001,IF(G850=$B$1002,$A$1002,"Not Calculated")))))</f>
        <v>Not Calculated</v>
      </c>
      <c r="K850" s="87"/>
    </row>
    <row r="851" spans="2:11" x14ac:dyDescent="0.2">
      <c r="B851" s="81"/>
      <c r="C851" s="85" t="s">
        <v>134</v>
      </c>
      <c r="D851" s="85"/>
      <c r="E851" s="85"/>
      <c r="F851" s="85"/>
      <c r="G851" s="85"/>
      <c r="H851" s="85"/>
      <c r="I851" s="85"/>
      <c r="J851" s="240">
        <f>'Baseline PHP'!J76</f>
        <v>0</v>
      </c>
      <c r="K851" s="87"/>
    </row>
    <row r="852" spans="2:11" x14ac:dyDescent="0.2">
      <c r="B852" s="81"/>
      <c r="C852" s="85"/>
      <c r="D852" s="85"/>
      <c r="E852" s="85"/>
      <c r="F852" s="85"/>
      <c r="G852" s="85"/>
      <c r="H852" s="85"/>
      <c r="I852" s="85"/>
      <c r="J852" s="85"/>
      <c r="K852" s="87"/>
    </row>
    <row r="853" spans="2:11" ht="16" x14ac:dyDescent="0.2">
      <c r="B853" s="81"/>
      <c r="C853" s="211" t="s">
        <v>647</v>
      </c>
      <c r="D853" s="85"/>
      <c r="E853" s="85"/>
      <c r="F853" s="85"/>
      <c r="G853" s="85"/>
      <c r="H853" s="85"/>
      <c r="I853" s="85"/>
      <c r="J853" s="85"/>
      <c r="K853" s="87"/>
    </row>
    <row r="854" spans="2:11" x14ac:dyDescent="0.2">
      <c r="B854" s="81"/>
      <c r="C854" s="85" t="s">
        <v>380</v>
      </c>
      <c r="D854" s="85"/>
      <c r="E854" s="85"/>
      <c r="F854" s="85"/>
      <c r="G854" s="406"/>
      <c r="H854" s="407"/>
      <c r="I854" s="85"/>
      <c r="J854" s="83" t="str">
        <f>IF(G854=$B$998,$A$998,IF(G854=$B$999,$A$999,IF(G854=$B$1000,$A$1000,IF(G854=$B$1001,$A$1001,IF(G854=$B$1002,$A$1002,"Not Calculated")))))</f>
        <v>Not Calculated</v>
      </c>
      <c r="K854" s="87"/>
    </row>
    <row r="855" spans="2:11" x14ac:dyDescent="0.2">
      <c r="B855" s="81"/>
      <c r="C855" s="85" t="s">
        <v>134</v>
      </c>
      <c r="D855" s="85"/>
      <c r="E855" s="85"/>
      <c r="F855" s="85"/>
      <c r="G855" s="85"/>
      <c r="H855" s="85"/>
      <c r="I855" s="85"/>
      <c r="J855" s="240">
        <f>'Baseline PHP'!J88</f>
        <v>0</v>
      </c>
      <c r="K855" s="87"/>
    </row>
    <row r="856" spans="2:11" x14ac:dyDescent="0.2">
      <c r="B856" s="81"/>
      <c r="C856" s="85"/>
      <c r="D856" s="85"/>
      <c r="E856" s="85"/>
      <c r="F856" s="85"/>
      <c r="G856" s="85"/>
      <c r="H856" s="85"/>
      <c r="I856" s="85"/>
      <c r="J856" s="85"/>
      <c r="K856" s="87"/>
    </row>
    <row r="857" spans="2:11" ht="16" x14ac:dyDescent="0.2">
      <c r="B857" s="81"/>
      <c r="C857" s="211" t="s">
        <v>115</v>
      </c>
      <c r="D857" s="85"/>
      <c r="E857" s="85"/>
      <c r="F857" s="85"/>
      <c r="G857" s="85"/>
      <c r="H857" s="85"/>
      <c r="I857" s="85"/>
      <c r="J857" s="85"/>
      <c r="K857" s="87"/>
    </row>
    <row r="858" spans="2:11" x14ac:dyDescent="0.2">
      <c r="B858" s="81"/>
      <c r="C858" s="85" t="s">
        <v>380</v>
      </c>
      <c r="D858" s="85"/>
      <c r="E858" s="85"/>
      <c r="F858" s="85"/>
      <c r="G858" s="406"/>
      <c r="H858" s="407"/>
      <c r="I858" s="85"/>
      <c r="J858" s="83" t="str">
        <f>IF(G858=$B$998,$A$998,IF(G858=$B$999,$A$999,IF(G858=$B$1000,$A$1000,IF(G858=$B$1001,$A$1001,IF(G858=$B$1002,$A$1002,"Not Calculated")))))</f>
        <v>Not Calculated</v>
      </c>
      <c r="K858" s="87"/>
    </row>
    <row r="859" spans="2:11" x14ac:dyDescent="0.2">
      <c r="B859" s="81"/>
      <c r="C859" s="85" t="s">
        <v>134</v>
      </c>
      <c r="D859" s="85"/>
      <c r="E859" s="85"/>
      <c r="F859" s="85"/>
      <c r="G859" s="85"/>
      <c r="H859" s="85"/>
      <c r="I859" s="85"/>
      <c r="J859" s="240">
        <f>'Baseline PHP'!J102</f>
        <v>0</v>
      </c>
      <c r="K859" s="87"/>
    </row>
    <row r="860" spans="2:11" x14ac:dyDescent="0.2">
      <c r="B860" s="81"/>
      <c r="C860" s="85"/>
      <c r="D860" s="85"/>
      <c r="E860" s="85"/>
      <c r="F860" s="85"/>
      <c r="G860" s="85"/>
      <c r="H860" s="85"/>
      <c r="I860" s="85"/>
      <c r="J860" s="85"/>
      <c r="K860" s="87"/>
    </row>
    <row r="861" spans="2:11" ht="16" x14ac:dyDescent="0.2">
      <c r="B861" s="81"/>
      <c r="C861" s="211" t="s">
        <v>649</v>
      </c>
      <c r="D861" s="85"/>
      <c r="E861" s="85"/>
      <c r="F861" s="85"/>
      <c r="G861" s="85"/>
      <c r="H861" s="85"/>
      <c r="I861" s="85"/>
      <c r="J861" s="85"/>
      <c r="K861" s="87"/>
    </row>
    <row r="862" spans="2:11" x14ac:dyDescent="0.2">
      <c r="B862" s="81"/>
      <c r="C862" s="85" t="s">
        <v>380</v>
      </c>
      <c r="D862" s="85"/>
      <c r="E862" s="85"/>
      <c r="F862" s="85"/>
      <c r="G862" s="406"/>
      <c r="H862" s="407"/>
      <c r="I862" s="85"/>
      <c r="J862" s="83" t="str">
        <f>IF(G862=$B$998,$A$998,IF(G862=$B$999,$A$999,IF(G862=$B$1000,$A$1000,IF(G862=$B$1001,$A$1001,IF(G862=$B$1002,$A$1002,"Not Calculated")))))</f>
        <v>Not Calculated</v>
      </c>
      <c r="K862" s="87"/>
    </row>
    <row r="863" spans="2:11" x14ac:dyDescent="0.2">
      <c r="B863" s="81"/>
      <c r="C863" s="85" t="s">
        <v>134</v>
      </c>
      <c r="D863" s="85"/>
      <c r="E863" s="85"/>
      <c r="F863" s="85"/>
      <c r="G863" s="85"/>
      <c r="H863" s="85"/>
      <c r="I863" s="85"/>
      <c r="J863" s="240">
        <f>'Baseline PHP'!J118</f>
        <v>0</v>
      </c>
      <c r="K863" s="87"/>
    </row>
    <row r="864" spans="2:11" x14ac:dyDescent="0.2">
      <c r="B864" s="81"/>
      <c r="C864" s="85"/>
      <c r="D864" s="85"/>
      <c r="E864" s="85"/>
      <c r="F864" s="85"/>
      <c r="G864" s="85"/>
      <c r="H864" s="85"/>
      <c r="I864" s="85"/>
      <c r="J864" s="85"/>
      <c r="K864" s="87"/>
    </row>
    <row r="865" spans="2:11" ht="16" x14ac:dyDescent="0.2">
      <c r="B865" s="81"/>
      <c r="C865" s="211" t="s">
        <v>656</v>
      </c>
      <c r="D865" s="85"/>
      <c r="E865" s="85"/>
      <c r="F865" s="85"/>
      <c r="G865" s="85"/>
      <c r="H865" s="85"/>
      <c r="I865" s="85"/>
      <c r="J865" s="85"/>
      <c r="K865" s="87"/>
    </row>
    <row r="866" spans="2:11" x14ac:dyDescent="0.2">
      <c r="B866" s="81"/>
      <c r="C866" s="85" t="s">
        <v>380</v>
      </c>
      <c r="D866" s="85"/>
      <c r="E866" s="85"/>
      <c r="F866" s="85"/>
      <c r="G866" s="406"/>
      <c r="H866" s="407"/>
      <c r="I866" s="85"/>
      <c r="J866" s="83" t="str">
        <f>IF(G866=$B$998,$A$998,IF(G866=$B$999,$A$999,IF(G866=$B$1000,$A$1000,IF(G866=$B$1001,$A$1001,IF(G866=$B$1002,$A$1002,"Not Calculated")))))</f>
        <v>Not Calculated</v>
      </c>
      <c r="K866" s="87"/>
    </row>
    <row r="867" spans="2:11" x14ac:dyDescent="0.2">
      <c r="B867" s="81"/>
      <c r="C867" s="85" t="s">
        <v>134</v>
      </c>
      <c r="D867" s="85"/>
      <c r="E867" s="85"/>
      <c r="F867" s="85"/>
      <c r="G867" s="85"/>
      <c r="H867" s="85"/>
      <c r="I867" s="85"/>
      <c r="J867" s="240">
        <f>'Baseline PHP'!J136</f>
        <v>0</v>
      </c>
      <c r="K867" s="87"/>
    </row>
    <row r="868" spans="2:11" x14ac:dyDescent="0.2">
      <c r="B868" s="81"/>
      <c r="C868" s="85"/>
      <c r="D868" s="85"/>
      <c r="E868" s="85"/>
      <c r="F868" s="85"/>
      <c r="G868" s="85"/>
      <c r="H868" s="85"/>
      <c r="I868" s="85"/>
      <c r="J868" s="85"/>
      <c r="K868" s="87"/>
    </row>
    <row r="869" spans="2:11" ht="16" x14ac:dyDescent="0.2">
      <c r="B869" s="81"/>
      <c r="C869" s="211" t="s">
        <v>121</v>
      </c>
      <c r="D869" s="85"/>
      <c r="E869" s="85"/>
      <c r="F869" s="85"/>
      <c r="G869" s="85"/>
      <c r="H869" s="85"/>
      <c r="I869" s="85"/>
      <c r="J869" s="85"/>
      <c r="K869" s="87"/>
    </row>
    <row r="870" spans="2:11" x14ac:dyDescent="0.2">
      <c r="B870" s="81"/>
      <c r="C870" s="85" t="s">
        <v>380</v>
      </c>
      <c r="D870" s="85"/>
      <c r="E870" s="85"/>
      <c r="F870" s="85"/>
      <c r="G870" s="406"/>
      <c r="H870" s="407"/>
      <c r="I870" s="85"/>
      <c r="J870" s="83" t="str">
        <f>IF(G870=$B$998,$A$998,IF(G870=$B$999,$A$999,IF(G870=$B$1000,$A$1000,IF(G870=$B$1001,$A$1001,IF(G870=$B$1002,$A$1002,"Not Calculated")))))</f>
        <v>Not Calculated</v>
      </c>
      <c r="K870" s="87"/>
    </row>
    <row r="871" spans="2:11" x14ac:dyDescent="0.2">
      <c r="B871" s="81"/>
      <c r="C871" s="85" t="s">
        <v>134</v>
      </c>
      <c r="D871" s="85"/>
      <c r="E871" s="85"/>
      <c r="F871" s="85"/>
      <c r="G871" s="85"/>
      <c r="H871" s="85"/>
      <c r="I871" s="85"/>
      <c r="J871" s="240">
        <f>'Baseline PHP'!J150</f>
        <v>0</v>
      </c>
      <c r="K871" s="87"/>
    </row>
    <row r="872" spans="2:11" x14ac:dyDescent="0.2">
      <c r="B872" s="81"/>
      <c r="C872" s="85"/>
      <c r="D872" s="85"/>
      <c r="E872" s="85"/>
      <c r="F872" s="85"/>
      <c r="G872" s="85"/>
      <c r="H872" s="85"/>
      <c r="I872" s="85"/>
      <c r="J872" s="85"/>
      <c r="K872" s="87"/>
    </row>
    <row r="873" spans="2:11" ht="16" x14ac:dyDescent="0.2">
      <c r="B873" s="81"/>
      <c r="C873" s="211" t="s">
        <v>657</v>
      </c>
      <c r="D873" s="85"/>
      <c r="E873" s="85"/>
      <c r="F873" s="85"/>
      <c r="G873" s="85"/>
      <c r="H873" s="85"/>
      <c r="I873" s="85"/>
      <c r="J873" s="85"/>
      <c r="K873" s="87"/>
    </row>
    <row r="874" spans="2:11" x14ac:dyDescent="0.2">
      <c r="B874" s="81"/>
      <c r="C874" s="85" t="s">
        <v>380</v>
      </c>
      <c r="D874" s="85"/>
      <c r="E874" s="85"/>
      <c r="F874" s="85"/>
      <c r="G874" s="406"/>
      <c r="H874" s="407"/>
      <c r="I874" s="85"/>
      <c r="J874" s="83" t="str">
        <f>IF(G874=$B$998,$A$998,IF(G874=$B$999,$A$999,IF(G874=$B$1000,$A$1000,IF(G874=$B$1001,$A$1001,IF(G874=$B$1002,$A$1002,"Not Calculated")))))</f>
        <v>Not Calculated</v>
      </c>
      <c r="K874" s="87"/>
    </row>
    <row r="875" spans="2:11" x14ac:dyDescent="0.2">
      <c r="B875" s="81"/>
      <c r="C875" s="85" t="s">
        <v>134</v>
      </c>
      <c r="D875" s="85"/>
      <c r="E875" s="85"/>
      <c r="F875" s="85"/>
      <c r="G875" s="85"/>
      <c r="H875" s="85"/>
      <c r="I875" s="85"/>
      <c r="J875" s="240">
        <f>'Baseline PHP'!J164</f>
        <v>0</v>
      </c>
      <c r="K875" s="87"/>
    </row>
    <row r="876" spans="2:11" x14ac:dyDescent="0.2">
      <c r="B876" s="81"/>
      <c r="C876" s="85"/>
      <c r="D876" s="85"/>
      <c r="E876" s="85"/>
      <c r="F876" s="85"/>
      <c r="G876" s="85"/>
      <c r="H876" s="85"/>
      <c r="I876" s="85"/>
      <c r="J876" s="85"/>
      <c r="K876" s="87"/>
    </row>
    <row r="877" spans="2:11" ht="16" x14ac:dyDescent="0.2">
      <c r="B877" s="81"/>
      <c r="C877" s="211" t="s">
        <v>650</v>
      </c>
      <c r="D877" s="85"/>
      <c r="E877" s="85"/>
      <c r="F877" s="85"/>
      <c r="G877" s="85"/>
      <c r="H877" s="85"/>
      <c r="I877" s="85"/>
      <c r="J877" s="85"/>
      <c r="K877" s="87"/>
    </row>
    <row r="878" spans="2:11" x14ac:dyDescent="0.2">
      <c r="B878" s="81"/>
      <c r="C878" s="85" t="s">
        <v>380</v>
      </c>
      <c r="D878" s="85"/>
      <c r="E878" s="85"/>
      <c r="F878" s="85"/>
      <c r="G878" s="406"/>
      <c r="H878" s="407"/>
      <c r="I878" s="85"/>
      <c r="J878" s="83" t="str">
        <f>IF(G878=$B$998,$A$998,IF(G878=$B$999,$A$999,IF(G878=$B$1000,$A$1000,IF(G878=$B$1001,$A$1001,IF(G878=$B$1002,$A$1002,"Not Calculated")))))</f>
        <v>Not Calculated</v>
      </c>
      <c r="K878" s="87"/>
    </row>
    <row r="879" spans="2:11" x14ac:dyDescent="0.2">
      <c r="B879" s="81"/>
      <c r="C879" s="85" t="s">
        <v>134</v>
      </c>
      <c r="D879" s="85"/>
      <c r="E879" s="85"/>
      <c r="F879" s="85"/>
      <c r="G879" s="85"/>
      <c r="H879" s="85"/>
      <c r="I879" s="85"/>
      <c r="J879" s="240">
        <f>'Baseline PHP'!J180</f>
        <v>0</v>
      </c>
      <c r="K879" s="87"/>
    </row>
    <row r="880" spans="2:11" x14ac:dyDescent="0.2">
      <c r="B880" s="81"/>
      <c r="C880" s="85"/>
      <c r="D880" s="85"/>
      <c r="E880" s="85"/>
      <c r="F880" s="85"/>
      <c r="G880" s="85"/>
      <c r="H880" s="85"/>
      <c r="I880" s="85"/>
      <c r="J880" s="85"/>
      <c r="K880" s="87"/>
    </row>
    <row r="881" spans="2:11" ht="16" x14ac:dyDescent="0.2">
      <c r="B881" s="81"/>
      <c r="C881" s="211" t="s">
        <v>651</v>
      </c>
      <c r="D881" s="85"/>
      <c r="E881" s="85"/>
      <c r="F881" s="85"/>
      <c r="G881" s="85"/>
      <c r="H881" s="85"/>
      <c r="I881" s="85"/>
      <c r="J881" s="85"/>
      <c r="K881" s="87"/>
    </row>
    <row r="882" spans="2:11" x14ac:dyDescent="0.2">
      <c r="B882" s="81"/>
      <c r="C882" s="85" t="s">
        <v>380</v>
      </c>
      <c r="D882" s="85"/>
      <c r="E882" s="85"/>
      <c r="F882" s="85"/>
      <c r="G882" s="406"/>
      <c r="H882" s="407"/>
      <c r="I882" s="85"/>
      <c r="J882" s="83" t="str">
        <f>IF(G882=$B$998,$A$998,IF(G882=$B$999,$A$999,IF(G882=$B$1000,$A$1000,IF(G882=$B$1001,$A$1001,IF(G882=$B$1002,$A$1002,"Not Calculated")))))</f>
        <v>Not Calculated</v>
      </c>
      <c r="K882" s="87"/>
    </row>
    <row r="883" spans="2:11" x14ac:dyDescent="0.2">
      <c r="B883" s="81"/>
      <c r="C883" s="85" t="s">
        <v>134</v>
      </c>
      <c r="D883" s="85"/>
      <c r="E883" s="85"/>
      <c r="F883" s="85"/>
      <c r="G883" s="85"/>
      <c r="H883" s="85"/>
      <c r="I883" s="85"/>
      <c r="J883" s="240">
        <f>'Baseline PHP'!J194</f>
        <v>0</v>
      </c>
      <c r="K883" s="87"/>
    </row>
    <row r="884" spans="2:11" x14ac:dyDescent="0.2">
      <c r="B884" s="81"/>
      <c r="C884" s="85"/>
      <c r="D884" s="85"/>
      <c r="E884" s="85"/>
      <c r="F884" s="85"/>
      <c r="G884" s="85"/>
      <c r="H884" s="85"/>
      <c r="I884" s="85"/>
      <c r="J884" s="85"/>
      <c r="K884" s="87"/>
    </row>
    <row r="885" spans="2:11" ht="16" x14ac:dyDescent="0.2">
      <c r="B885" s="81"/>
      <c r="C885" s="211" t="s">
        <v>652</v>
      </c>
      <c r="D885" s="85"/>
      <c r="E885" s="85"/>
      <c r="F885" s="85"/>
      <c r="G885" s="85"/>
      <c r="H885" s="85"/>
      <c r="I885" s="85"/>
      <c r="J885" s="85"/>
      <c r="K885" s="87"/>
    </row>
    <row r="886" spans="2:11" x14ac:dyDescent="0.2">
      <c r="B886" s="81"/>
      <c r="C886" s="85" t="s">
        <v>380</v>
      </c>
      <c r="D886" s="85"/>
      <c r="E886" s="85"/>
      <c r="F886" s="85"/>
      <c r="G886" s="406"/>
      <c r="H886" s="407"/>
      <c r="I886" s="85"/>
      <c r="J886" s="83" t="str">
        <f>IF(G886=$B$998,$A$998,IF(G886=$B$999,$A$999,IF(G886=$B$1000,$A$1000,IF(G886=$B$1001,$A$1001,IF(G886=$B$1002,$A$1002,"Not Calculated")))))</f>
        <v>Not Calculated</v>
      </c>
      <c r="K886" s="87"/>
    </row>
    <row r="887" spans="2:11" x14ac:dyDescent="0.2">
      <c r="B887" s="81"/>
      <c r="C887" s="85" t="s">
        <v>134</v>
      </c>
      <c r="D887" s="85"/>
      <c r="E887" s="85"/>
      <c r="F887" s="85"/>
      <c r="G887" s="85"/>
      <c r="H887" s="85"/>
      <c r="I887" s="85"/>
      <c r="J887" s="240">
        <f>'Baseline PHP'!J208</f>
        <v>0</v>
      </c>
      <c r="K887" s="87"/>
    </row>
    <row r="888" spans="2:11" x14ac:dyDescent="0.2">
      <c r="B888" s="81"/>
      <c r="C888" s="85"/>
      <c r="D888" s="85"/>
      <c r="E888" s="85"/>
      <c r="F888" s="85"/>
      <c r="G888" s="85"/>
      <c r="H888" s="85"/>
      <c r="I888" s="85"/>
      <c r="J888" s="85"/>
      <c r="K888" s="87"/>
    </row>
    <row r="889" spans="2:11" ht="16" x14ac:dyDescent="0.2">
      <c r="B889" s="81"/>
      <c r="C889" s="211" t="s">
        <v>653</v>
      </c>
      <c r="D889" s="85"/>
      <c r="E889" s="85"/>
      <c r="F889" s="85"/>
      <c r="G889" s="85"/>
      <c r="H889" s="85"/>
      <c r="I889" s="85"/>
      <c r="J889" s="85"/>
      <c r="K889" s="87"/>
    </row>
    <row r="890" spans="2:11" x14ac:dyDescent="0.2">
      <c r="B890" s="81"/>
      <c r="C890" s="85" t="s">
        <v>380</v>
      </c>
      <c r="D890" s="85"/>
      <c r="E890" s="85"/>
      <c r="F890" s="85"/>
      <c r="G890" s="406"/>
      <c r="H890" s="407"/>
      <c r="I890" s="85"/>
      <c r="J890" s="83" t="str">
        <f>IF(G890=$B$998,$A$998,IF(G890=$B$999,$A$999,IF(G890=$B$1000,$A$1000,IF(G890=$B$1001,$A$1001,IF(G890=$B$1002,$A$1002,"Not Calculated")))))</f>
        <v>Not Calculated</v>
      </c>
      <c r="K890" s="87"/>
    </row>
    <row r="891" spans="2:11" x14ac:dyDescent="0.2">
      <c r="B891" s="81"/>
      <c r="C891" s="85" t="s">
        <v>134</v>
      </c>
      <c r="D891" s="85"/>
      <c r="E891" s="85"/>
      <c r="F891" s="85"/>
      <c r="G891" s="85"/>
      <c r="H891" s="85"/>
      <c r="I891" s="85"/>
      <c r="J891" s="240">
        <f>'Baseline PHP'!J222</f>
        <v>0</v>
      </c>
      <c r="K891" s="87"/>
    </row>
    <row r="892" spans="2:11" x14ac:dyDescent="0.2">
      <c r="B892" s="81"/>
      <c r="C892" s="85"/>
      <c r="D892" s="85"/>
      <c r="E892" s="85"/>
      <c r="F892" s="85"/>
      <c r="G892" s="85"/>
      <c r="H892" s="85"/>
      <c r="I892" s="85"/>
      <c r="J892" s="85"/>
      <c r="K892" s="87"/>
    </row>
    <row r="893" spans="2:11" x14ac:dyDescent="0.2">
      <c r="B893" s="81"/>
      <c r="C893" s="85"/>
      <c r="D893" s="85"/>
      <c r="E893" s="85"/>
      <c r="F893" s="85"/>
      <c r="G893" s="85"/>
      <c r="H893" s="85"/>
      <c r="I893" s="85"/>
      <c r="J893" s="85"/>
      <c r="K893" s="87"/>
    </row>
    <row r="894" spans="2:11" ht="16" x14ac:dyDescent="0.2">
      <c r="B894" s="81"/>
      <c r="C894" s="212" t="s">
        <v>813</v>
      </c>
      <c r="D894" s="85"/>
      <c r="E894" s="85"/>
      <c r="F894" s="85"/>
      <c r="G894" s="85"/>
      <c r="H894" s="85"/>
      <c r="I894" s="85"/>
      <c r="J894" s="241" t="str">
        <f>IF(OR(J854="Not Calculated",J858="Not Calculated",J862="Not Calculated",J866="Not Calculated",J870="Not Calculated",J874="Not Calculated",J878="Not Calculated",J882="Not Calculated",J886="Not Calculated",J890="Not Calculated",J834="Not Calculated",J838="Not Calculated",J842="Not Calculated",J846="Not Calculated",J850="Not Calculated",J855="Not Calculated",J859="Not Calculated",J863="Not Calculated",J867="Not Calculated",J871="Not Calculated",J875="Not Calculated",J879="Not Calculated",J883="Not Calculated",J887="Not Calculated",J891="Not Calculated",J835="Not Calculated",J839="Not Calculated",J843="Not Calculated",J847="Not Calculated",J851="Not Calculated")=TRUE,"Not Calculated",((J834*J835)+(J838*J839)+(J842*J843)+(J846*J847)+(J850*J851)+(J854*J855)+(J858*J859)+(J862*J863)+(J866*J867)+(J870*J871)+(J874*J875)+(J878*J879)+(J882*J883)+(J886*J887)+(J890*J891))/(J834+J838+J842+J846+J850+J854+J858+J862+J866+J870+J874+J878+J882+J886+J890))</f>
        <v>Not Calculated</v>
      </c>
      <c r="K894" s="87"/>
    </row>
    <row r="895" spans="2:11" ht="16" thickBot="1" x14ac:dyDescent="0.25">
      <c r="B895" s="213"/>
      <c r="C895" s="94"/>
      <c r="D895" s="94"/>
      <c r="E895" s="94"/>
      <c r="F895" s="94"/>
      <c r="G895" s="94"/>
      <c r="H895" s="94"/>
      <c r="I895" s="94"/>
      <c r="J895" s="94"/>
      <c r="K895" s="96"/>
    </row>
    <row r="896" spans="2:11" ht="16" thickBot="1" x14ac:dyDescent="0.25"/>
    <row r="897" spans="2:11" x14ac:dyDescent="0.2">
      <c r="B897" s="77"/>
      <c r="C897" s="78"/>
      <c r="D897" s="78"/>
      <c r="E897" s="78"/>
      <c r="F897" s="78"/>
      <c r="G897" s="78"/>
      <c r="H897" s="78"/>
      <c r="I897" s="78"/>
      <c r="J897" s="78"/>
      <c r="K897" s="80"/>
    </row>
    <row r="898" spans="2:11" ht="21" x14ac:dyDescent="0.25">
      <c r="B898" s="81"/>
      <c r="C898" s="85"/>
      <c r="D898" s="85"/>
      <c r="E898" s="85"/>
      <c r="F898" s="85"/>
      <c r="G898" s="210" t="s">
        <v>807</v>
      </c>
      <c r="H898" s="85"/>
      <c r="I898" s="85"/>
      <c r="J898" s="85"/>
      <c r="K898" s="87"/>
    </row>
    <row r="899" spans="2:11" x14ac:dyDescent="0.2">
      <c r="B899" s="81"/>
      <c r="C899" s="85"/>
      <c r="D899" s="85"/>
      <c r="E899" s="85"/>
      <c r="F899" s="85"/>
      <c r="G899" s="85"/>
      <c r="H899" s="85"/>
      <c r="I899" s="85"/>
      <c r="J899" s="85"/>
      <c r="K899" s="87"/>
    </row>
    <row r="900" spans="2:11" ht="15" customHeight="1" x14ac:dyDescent="0.2">
      <c r="B900" s="81"/>
      <c r="C900" s="424" t="s">
        <v>809</v>
      </c>
      <c r="D900" s="424"/>
      <c r="E900" s="424"/>
      <c r="F900" s="424"/>
      <c r="G900" s="424"/>
      <c r="H900" s="424"/>
      <c r="I900" s="424"/>
      <c r="J900" s="424"/>
      <c r="K900" s="87"/>
    </row>
    <row r="901" spans="2:11" x14ac:dyDescent="0.2">
      <c r="B901" s="81"/>
      <c r="C901" s="424"/>
      <c r="D901" s="424"/>
      <c r="E901" s="424"/>
      <c r="F901" s="424"/>
      <c r="G901" s="424"/>
      <c r="H901" s="424"/>
      <c r="I901" s="424"/>
      <c r="J901" s="424"/>
      <c r="K901" s="87"/>
    </row>
    <row r="902" spans="2:11" x14ac:dyDescent="0.2">
      <c r="B902" s="81"/>
      <c r="C902" s="85"/>
      <c r="D902" s="85"/>
      <c r="E902" s="85"/>
      <c r="F902" s="85"/>
      <c r="G902" s="85"/>
      <c r="H902" s="85"/>
      <c r="I902" s="85"/>
      <c r="J902" s="85"/>
      <c r="K902" s="87"/>
    </row>
    <row r="903" spans="2:11" ht="16" x14ac:dyDescent="0.2">
      <c r="B903" s="81"/>
      <c r="C903" s="211" t="s">
        <v>810</v>
      </c>
      <c r="D903" s="85"/>
      <c r="E903" s="85"/>
      <c r="F903" s="85"/>
      <c r="G903" s="85"/>
      <c r="H903" s="85"/>
      <c r="I903" s="85"/>
      <c r="J903" s="85"/>
      <c r="K903" s="87"/>
    </row>
    <row r="904" spans="2:11" x14ac:dyDescent="0.2">
      <c r="B904" s="81"/>
      <c r="C904" s="85" t="s">
        <v>380</v>
      </c>
      <c r="D904" s="85"/>
      <c r="E904" s="85"/>
      <c r="F904" s="85"/>
      <c r="G904" s="406"/>
      <c r="H904" s="407"/>
      <c r="I904" s="85"/>
      <c r="J904" s="83" t="str">
        <f>IF(G904=$B$998,$A$998,IF(G904=$B$999,$A$999,IF(G904=$B$1000,$A$1000,IF(G904=$B$1001,$A$1001,IF(G904=$B$1002,$A$1002,"Not Calculated")))))</f>
        <v>Not Calculated</v>
      </c>
      <c r="K904" s="87"/>
    </row>
    <row r="905" spans="2:11" x14ac:dyDescent="0.2">
      <c r="B905" s="81"/>
      <c r="C905" s="85" t="s">
        <v>134</v>
      </c>
      <c r="D905" s="85"/>
      <c r="E905" s="85"/>
      <c r="F905" s="85"/>
      <c r="G905" s="85"/>
      <c r="H905" s="85"/>
      <c r="I905" s="85"/>
      <c r="J905" s="240">
        <f>'Baseline HP'!J22</f>
        <v>0</v>
      </c>
      <c r="K905" s="87"/>
    </row>
    <row r="906" spans="2:11" x14ac:dyDescent="0.2">
      <c r="B906" s="81"/>
      <c r="C906" s="85"/>
      <c r="D906" s="85"/>
      <c r="E906" s="85"/>
      <c r="F906" s="85"/>
      <c r="G906" s="85"/>
      <c r="H906" s="85"/>
      <c r="I906" s="85"/>
      <c r="J906" s="85"/>
      <c r="K906" s="87"/>
    </row>
    <row r="907" spans="2:11" ht="16" x14ac:dyDescent="0.2">
      <c r="B907" s="81"/>
      <c r="C907" s="211" t="s">
        <v>811</v>
      </c>
      <c r="D907" s="85"/>
      <c r="E907" s="85"/>
      <c r="F907" s="85"/>
      <c r="G907" s="85"/>
      <c r="H907" s="85"/>
      <c r="I907" s="85"/>
      <c r="J907" s="85"/>
      <c r="K907" s="87"/>
    </row>
    <row r="908" spans="2:11" x14ac:dyDescent="0.2">
      <c r="B908" s="81"/>
      <c r="C908" s="85" t="s">
        <v>380</v>
      </c>
      <c r="D908" s="85"/>
      <c r="E908" s="85"/>
      <c r="F908" s="85"/>
      <c r="G908" s="406"/>
      <c r="H908" s="407"/>
      <c r="I908" s="85"/>
      <c r="J908" s="83" t="str">
        <f>IF(G908=$B$998,$A$998,IF(G908=$B$999,$A$999,IF(G908=$B$1000,$A$1000,IF(G908=$B$1001,$A$1001,IF(G908=$B$1002,$A$1002,"Not Calculated")))))</f>
        <v>Not Calculated</v>
      </c>
      <c r="K908" s="87"/>
    </row>
    <row r="909" spans="2:11" x14ac:dyDescent="0.2">
      <c r="B909" s="81"/>
      <c r="C909" s="85" t="s">
        <v>134</v>
      </c>
      <c r="D909" s="85"/>
      <c r="E909" s="85"/>
      <c r="F909" s="85"/>
      <c r="G909" s="85"/>
      <c r="H909" s="85"/>
      <c r="I909" s="85"/>
      <c r="J909" s="240">
        <f>'Baseline HP'!J32</f>
        <v>0</v>
      </c>
      <c r="K909" s="87"/>
    </row>
    <row r="910" spans="2:11" x14ac:dyDescent="0.2">
      <c r="B910" s="81"/>
      <c r="C910" s="85"/>
      <c r="D910" s="85"/>
      <c r="E910" s="85"/>
      <c r="F910" s="85"/>
      <c r="G910" s="85"/>
      <c r="H910" s="85"/>
      <c r="I910" s="85"/>
      <c r="J910" s="85"/>
      <c r="K910" s="87"/>
    </row>
    <row r="911" spans="2:11" ht="16" x14ac:dyDescent="0.2">
      <c r="B911" s="81"/>
      <c r="C911" s="211" t="s">
        <v>645</v>
      </c>
      <c r="D911" s="85"/>
      <c r="E911" s="85"/>
      <c r="F911" s="85"/>
      <c r="G911" s="85"/>
      <c r="H911" s="85"/>
      <c r="I911" s="85"/>
      <c r="J911" s="85"/>
      <c r="K911" s="87"/>
    </row>
    <row r="912" spans="2:11" x14ac:dyDescent="0.2">
      <c r="B912" s="81"/>
      <c r="C912" s="85" t="s">
        <v>380</v>
      </c>
      <c r="D912" s="85"/>
      <c r="E912" s="85"/>
      <c r="F912" s="85"/>
      <c r="G912" s="406"/>
      <c r="H912" s="407"/>
      <c r="I912" s="85"/>
      <c r="J912" s="83" t="str">
        <f>IF(G912=$B$998,$A$998,IF(G912=$B$999,$A$999,IF(G912=$B$1000,$A$1000,IF(G912=$B$1001,$A$1001,IF(G912=$B$1002,$A$1002,"Not Calculated")))))</f>
        <v>Not Calculated</v>
      </c>
      <c r="K912" s="87"/>
    </row>
    <row r="913" spans="2:11" x14ac:dyDescent="0.2">
      <c r="B913" s="81"/>
      <c r="C913" s="85" t="s">
        <v>134</v>
      </c>
      <c r="D913" s="85"/>
      <c r="E913" s="85"/>
      <c r="F913" s="85"/>
      <c r="G913" s="85"/>
      <c r="H913" s="85"/>
      <c r="I913" s="85"/>
      <c r="J913" s="240">
        <f>'Baseline HP'!J46</f>
        <v>0</v>
      </c>
      <c r="K913" s="87"/>
    </row>
    <row r="914" spans="2:11" x14ac:dyDescent="0.2">
      <c r="B914" s="81"/>
      <c r="C914" s="85"/>
      <c r="D914" s="85"/>
      <c r="E914" s="85"/>
      <c r="F914" s="85"/>
      <c r="G914" s="85"/>
      <c r="H914" s="85"/>
      <c r="I914" s="85"/>
      <c r="J914" s="85"/>
      <c r="K914" s="87"/>
    </row>
    <row r="915" spans="2:11" ht="16" x14ac:dyDescent="0.2">
      <c r="B915" s="81"/>
      <c r="C915" s="211" t="s">
        <v>648</v>
      </c>
      <c r="D915" s="85"/>
      <c r="E915" s="85"/>
      <c r="F915" s="85"/>
      <c r="G915" s="85"/>
      <c r="H915" s="85"/>
      <c r="I915" s="85"/>
      <c r="J915" s="85"/>
      <c r="K915" s="87"/>
    </row>
    <row r="916" spans="2:11" ht="15" customHeight="1" x14ac:dyDescent="0.2">
      <c r="B916" s="81"/>
      <c r="C916" s="85" t="s">
        <v>380</v>
      </c>
      <c r="D916" s="85"/>
      <c r="E916" s="85"/>
      <c r="F916" s="85"/>
      <c r="G916" s="406"/>
      <c r="H916" s="407"/>
      <c r="I916" s="85"/>
      <c r="J916" s="83" t="str">
        <f>IF(G916=$B$998,$A$998,IF(G916=$B$999,$A$999,IF(G916=$B$1000,$A$1000,IF(G916=$B$1001,$A$1001,IF(G916=$B$1002,$A$1002,"Not Calculated")))))</f>
        <v>Not Calculated</v>
      </c>
      <c r="K916" s="87"/>
    </row>
    <row r="917" spans="2:11" x14ac:dyDescent="0.2">
      <c r="B917" s="81"/>
      <c r="C917" s="85" t="s">
        <v>134</v>
      </c>
      <c r="D917" s="85"/>
      <c r="E917" s="85"/>
      <c r="F917" s="85"/>
      <c r="G917" s="85"/>
      <c r="H917" s="85"/>
      <c r="I917" s="85"/>
      <c r="J917" s="240">
        <f>'Baseline HP'!J58</f>
        <v>0</v>
      </c>
      <c r="K917" s="87"/>
    </row>
    <row r="918" spans="2:11" x14ac:dyDescent="0.2">
      <c r="B918" s="81"/>
      <c r="C918" s="85"/>
      <c r="D918" s="85"/>
      <c r="E918" s="85"/>
      <c r="F918" s="85"/>
      <c r="G918" s="85"/>
      <c r="H918" s="85"/>
      <c r="I918" s="85"/>
      <c r="J918" s="85"/>
      <c r="K918" s="87"/>
    </row>
    <row r="919" spans="2:11" ht="16" x14ac:dyDescent="0.2">
      <c r="B919" s="81"/>
      <c r="C919" s="211" t="s">
        <v>647</v>
      </c>
      <c r="D919" s="85"/>
      <c r="E919" s="85"/>
      <c r="F919" s="85"/>
      <c r="G919" s="85"/>
      <c r="H919" s="85"/>
      <c r="I919" s="85"/>
      <c r="J919" s="85"/>
      <c r="K919" s="87"/>
    </row>
    <row r="920" spans="2:11" x14ac:dyDescent="0.2">
      <c r="B920" s="81"/>
      <c r="C920" s="85" t="s">
        <v>380</v>
      </c>
      <c r="D920" s="85"/>
      <c r="E920" s="85"/>
      <c r="F920" s="85"/>
      <c r="G920" s="406"/>
      <c r="H920" s="407"/>
      <c r="I920" s="85"/>
      <c r="J920" s="83" t="str">
        <f>IF(G920=$B$998,$A$998,IF(G920=$B$999,$A$999,IF(G920=$B$1000,$A$1000,IF(G920=$B$1001,$A$1001,IF(G920=$B$1002,$A$1002,"Not Calculated")))))</f>
        <v>Not Calculated</v>
      </c>
      <c r="K920" s="87"/>
    </row>
    <row r="921" spans="2:11" x14ac:dyDescent="0.2">
      <c r="B921" s="81"/>
      <c r="C921" s="85" t="s">
        <v>134</v>
      </c>
      <c r="D921" s="85"/>
      <c r="E921" s="85"/>
      <c r="F921" s="85"/>
      <c r="G921" s="85"/>
      <c r="H921" s="85"/>
      <c r="I921" s="85"/>
      <c r="J921" s="240">
        <f>'Baseline HP'!J68</f>
        <v>0</v>
      </c>
      <c r="K921" s="87"/>
    </row>
    <row r="922" spans="2:11" x14ac:dyDescent="0.2">
      <c r="B922" s="81"/>
      <c r="C922" s="85"/>
      <c r="D922" s="85"/>
      <c r="E922" s="85"/>
      <c r="F922" s="85"/>
      <c r="G922" s="85"/>
      <c r="H922" s="85"/>
      <c r="I922" s="85"/>
      <c r="J922" s="85"/>
      <c r="K922" s="87"/>
    </row>
    <row r="923" spans="2:11" ht="16" x14ac:dyDescent="0.2">
      <c r="B923" s="81"/>
      <c r="C923" s="211" t="s">
        <v>121</v>
      </c>
      <c r="D923" s="85"/>
      <c r="E923" s="85"/>
      <c r="F923" s="85"/>
      <c r="G923" s="85"/>
      <c r="H923" s="85"/>
      <c r="I923" s="85"/>
      <c r="J923" s="85"/>
      <c r="K923" s="87"/>
    </row>
    <row r="924" spans="2:11" x14ac:dyDescent="0.2">
      <c r="B924" s="81"/>
      <c r="C924" s="85" t="s">
        <v>380</v>
      </c>
      <c r="D924" s="85"/>
      <c r="E924" s="85"/>
      <c r="F924" s="85"/>
      <c r="G924" s="406"/>
      <c r="H924" s="407"/>
      <c r="I924" s="85"/>
      <c r="J924" s="83" t="str">
        <f>IF(G924=$B$998,$A$998,IF(G924=$B$999,$A$999,IF(G924=$B$1000,$A$1000,IF(G924=$B$1001,$A$1001,IF(G924=$B$1002,$A$1002,"Not Calculated")))))</f>
        <v>Not Calculated</v>
      </c>
      <c r="K924" s="87"/>
    </row>
    <row r="925" spans="2:11" x14ac:dyDescent="0.2">
      <c r="B925" s="81"/>
      <c r="C925" s="85" t="s">
        <v>134</v>
      </c>
      <c r="D925" s="85"/>
      <c r="E925" s="85"/>
      <c r="F925" s="85"/>
      <c r="G925" s="85"/>
      <c r="H925" s="85"/>
      <c r="I925" s="85"/>
      <c r="J925" s="240">
        <f>'Baseline HP'!J84</f>
        <v>0</v>
      </c>
      <c r="K925" s="87"/>
    </row>
    <row r="926" spans="2:11" x14ac:dyDescent="0.2">
      <c r="B926" s="81"/>
      <c r="C926" s="85"/>
      <c r="D926" s="85"/>
      <c r="E926" s="85"/>
      <c r="F926" s="85"/>
      <c r="G926" s="85"/>
      <c r="H926" s="85"/>
      <c r="I926" s="85"/>
      <c r="J926" s="85"/>
      <c r="K926" s="87"/>
    </row>
    <row r="927" spans="2:11" ht="16" x14ac:dyDescent="0.2">
      <c r="B927" s="81"/>
      <c r="C927" s="211" t="s">
        <v>652</v>
      </c>
      <c r="D927" s="85"/>
      <c r="E927" s="85"/>
      <c r="F927" s="85"/>
      <c r="G927" s="85"/>
      <c r="H927" s="85"/>
      <c r="I927" s="85"/>
      <c r="J927" s="85"/>
      <c r="K927" s="87"/>
    </row>
    <row r="928" spans="2:11" x14ac:dyDescent="0.2">
      <c r="B928" s="81"/>
      <c r="C928" s="85" t="s">
        <v>380</v>
      </c>
      <c r="D928" s="85"/>
      <c r="E928" s="85"/>
      <c r="F928" s="85"/>
      <c r="G928" s="406"/>
      <c r="H928" s="407"/>
      <c r="I928" s="85"/>
      <c r="J928" s="83" t="str">
        <f>IF(G928=$B$998,$A$998,IF(G928=$B$999,$A$999,IF(G928=$B$1000,$A$1000,IF(G928=$B$1001,$A$1001,IF(G928=$B$1002,$A$1002,"Not Calculated")))))</f>
        <v>Not Calculated</v>
      </c>
      <c r="K928" s="87"/>
    </row>
    <row r="929" spans="2:11" x14ac:dyDescent="0.2">
      <c r="B929" s="81"/>
      <c r="C929" s="85" t="s">
        <v>134</v>
      </c>
      <c r="D929" s="85"/>
      <c r="E929" s="85"/>
      <c r="F929" s="85"/>
      <c r="G929" s="85"/>
      <c r="H929" s="85"/>
      <c r="I929" s="85"/>
      <c r="J929" s="240">
        <f>'Baseline HP'!J94</f>
        <v>0</v>
      </c>
      <c r="K929" s="87"/>
    </row>
    <row r="930" spans="2:11" x14ac:dyDescent="0.2">
      <c r="B930" s="81"/>
      <c r="C930" s="85"/>
      <c r="D930" s="85"/>
      <c r="E930" s="85"/>
      <c r="F930" s="85"/>
      <c r="G930" s="85"/>
      <c r="H930" s="85"/>
      <c r="I930" s="85"/>
      <c r="J930" s="85"/>
      <c r="K930" s="87"/>
    </row>
    <row r="931" spans="2:11" ht="16" x14ac:dyDescent="0.2">
      <c r="B931" s="81"/>
      <c r="C931" s="211" t="s">
        <v>653</v>
      </c>
      <c r="D931" s="85"/>
      <c r="E931" s="85"/>
      <c r="F931" s="85"/>
      <c r="G931" s="85"/>
      <c r="H931" s="85"/>
      <c r="I931" s="85"/>
      <c r="J931" s="85"/>
      <c r="K931" s="87"/>
    </row>
    <row r="932" spans="2:11" x14ac:dyDescent="0.2">
      <c r="B932" s="81"/>
      <c r="C932" s="85" t="s">
        <v>380</v>
      </c>
      <c r="D932" s="85"/>
      <c r="E932" s="85"/>
      <c r="F932" s="85"/>
      <c r="G932" s="406"/>
      <c r="H932" s="407"/>
      <c r="I932" s="85"/>
      <c r="J932" s="83" t="str">
        <f>IF(G932=$B$998,$A$998,IF(G932=$B$999,$A$999,IF(G932=$B$1000,$A$1000,IF(G932=$B$1001,$A$1001,IF(G932=$B$1002,$A$1002,"Not Calculated")))))</f>
        <v>Not Calculated</v>
      </c>
      <c r="K932" s="87"/>
    </row>
    <row r="933" spans="2:11" x14ac:dyDescent="0.2">
      <c r="B933" s="81"/>
      <c r="C933" s="85" t="s">
        <v>134</v>
      </c>
      <c r="D933" s="85"/>
      <c r="E933" s="85"/>
      <c r="F933" s="85"/>
      <c r="G933" s="85"/>
      <c r="H933" s="85"/>
      <c r="I933" s="85"/>
      <c r="J933" s="240">
        <f>'Baseline HP'!J108</f>
        <v>0</v>
      </c>
      <c r="K933" s="87"/>
    </row>
    <row r="934" spans="2:11" x14ac:dyDescent="0.2">
      <c r="B934" s="81"/>
      <c r="C934" s="85"/>
      <c r="D934" s="85"/>
      <c r="E934" s="85"/>
      <c r="F934" s="85"/>
      <c r="G934" s="85"/>
      <c r="H934" s="85"/>
      <c r="I934" s="85"/>
      <c r="J934" s="85"/>
      <c r="K934" s="87"/>
    </row>
    <row r="935" spans="2:11" x14ac:dyDescent="0.2">
      <c r="B935" s="81"/>
      <c r="C935" s="85"/>
      <c r="D935" s="85"/>
      <c r="E935" s="85"/>
      <c r="F935" s="85"/>
      <c r="G935" s="85"/>
      <c r="H935" s="85"/>
      <c r="I935" s="85"/>
      <c r="J935" s="85"/>
      <c r="K935" s="87"/>
    </row>
    <row r="936" spans="2:11" ht="16" x14ac:dyDescent="0.2">
      <c r="B936" s="81"/>
      <c r="C936" s="212" t="s">
        <v>812</v>
      </c>
      <c r="D936" s="85"/>
      <c r="E936" s="85"/>
      <c r="F936" s="85"/>
      <c r="G936" s="85"/>
      <c r="H936" s="85"/>
      <c r="I936" s="85"/>
      <c r="J936" s="241" t="str">
        <f>IF(OR(J920="Not Calculated",J924="Not Calculated",J928="Not Calculated",J932="Not Calculated",J904="Not Calculated",J908="Not Calculated",J912="Not Calculated",J916="Not Calculated",J921="Not Calculated",J925="Not Calculated",J929="Not Calculated",J933="Not Calculated",J905="Not Calculated",J909="Not Calculated",J913="Not Calculated",J917="Not Calculated")=TRUE,"Not Calculated",((J904*J905)+(J908*J909)+(J912*J913)+(J916*J917)+(J920*J921)+(J924*J925)+(J928*J929)+(J932*J933))/(J904+J908+J912+J916+J920+J924+J928+J932))</f>
        <v>Not Calculated</v>
      </c>
      <c r="K936" s="87"/>
    </row>
    <row r="937" spans="2:11" ht="16" thickBot="1" x14ac:dyDescent="0.25">
      <c r="B937" s="213"/>
      <c r="C937" s="94"/>
      <c r="D937" s="94"/>
      <c r="E937" s="94"/>
      <c r="F937" s="94"/>
      <c r="G937" s="94"/>
      <c r="H937" s="94"/>
      <c r="I937" s="94"/>
      <c r="J937" s="94"/>
      <c r="K937" s="96"/>
    </row>
    <row r="938" spans="2:11" ht="16" thickBot="1" x14ac:dyDescent="0.25"/>
    <row r="939" spans="2:11" x14ac:dyDescent="0.2">
      <c r="B939" s="77"/>
      <c r="C939" s="78"/>
      <c r="D939" s="78"/>
      <c r="E939" s="78"/>
      <c r="F939" s="78"/>
      <c r="G939" s="78"/>
      <c r="H939" s="78"/>
      <c r="I939" s="78"/>
      <c r="J939" s="78"/>
      <c r="K939" s="80"/>
    </row>
    <row r="940" spans="2:11" ht="21" x14ac:dyDescent="0.25">
      <c r="B940" s="81"/>
      <c r="C940" s="85"/>
      <c r="D940" s="85"/>
      <c r="E940" s="85"/>
      <c r="F940" s="85"/>
      <c r="G940" s="210" t="s">
        <v>815</v>
      </c>
      <c r="H940" s="85"/>
      <c r="I940" s="85"/>
      <c r="J940" s="85"/>
      <c r="K940" s="87"/>
    </row>
    <row r="941" spans="2:11" ht="21" x14ac:dyDescent="0.25">
      <c r="B941" s="81"/>
      <c r="C941" s="85"/>
      <c r="D941" s="85"/>
      <c r="E941" s="85"/>
      <c r="F941" s="85"/>
      <c r="G941" s="210"/>
      <c r="H941" s="85"/>
      <c r="I941" s="85"/>
      <c r="J941" s="85"/>
      <c r="K941" s="87"/>
    </row>
    <row r="942" spans="2:11" ht="16" x14ac:dyDescent="0.2">
      <c r="B942" s="81"/>
      <c r="C942" s="212" t="s">
        <v>995</v>
      </c>
      <c r="D942" s="85"/>
      <c r="E942" s="85"/>
      <c r="F942" s="85"/>
      <c r="G942" s="85"/>
      <c r="H942" s="85"/>
      <c r="I942" s="85"/>
      <c r="J942" s="241" t="str">
        <f>IF(OR(J936="Not Calculated",J894="Not Calculated")=TRUE,"Not Calculated",AVERAGE(J936,J894))</f>
        <v>Not Calculated</v>
      </c>
      <c r="K942" s="87"/>
    </row>
    <row r="943" spans="2:11" ht="16" x14ac:dyDescent="0.2">
      <c r="B943" s="81"/>
      <c r="C943" s="212"/>
      <c r="D943" s="85" t="s">
        <v>814</v>
      </c>
      <c r="E943" s="85"/>
      <c r="F943" s="85"/>
      <c r="G943" s="85"/>
      <c r="H943" s="85"/>
      <c r="I943" s="85"/>
      <c r="J943" s="241"/>
      <c r="K943" s="87"/>
    </row>
    <row r="944" spans="2:11" ht="17" thickBot="1" x14ac:dyDescent="0.25">
      <c r="B944" s="213"/>
      <c r="C944" s="227"/>
      <c r="D944" s="94"/>
      <c r="E944" s="94"/>
      <c r="F944" s="94"/>
      <c r="G944" s="94"/>
      <c r="H944" s="94"/>
      <c r="I944" s="94"/>
      <c r="J944" s="228"/>
      <c r="K944" s="96"/>
    </row>
    <row r="945" spans="2:11" ht="16" thickBot="1" x14ac:dyDescent="0.25"/>
    <row r="946" spans="2:11" x14ac:dyDescent="0.2">
      <c r="B946" s="214"/>
      <c r="C946" s="215"/>
      <c r="D946" s="215"/>
      <c r="E946" s="215"/>
      <c r="F946" s="215"/>
      <c r="G946" s="215"/>
      <c r="H946" s="215"/>
      <c r="I946" s="215"/>
      <c r="J946" s="215"/>
      <c r="K946" s="216"/>
    </row>
    <row r="947" spans="2:11" ht="21" x14ac:dyDescent="0.25">
      <c r="B947" s="217"/>
      <c r="C947" s="218"/>
      <c r="D947" s="218"/>
      <c r="E947" s="218"/>
      <c r="F947" s="218"/>
      <c r="G947" s="219" t="s">
        <v>239</v>
      </c>
      <c r="H947" s="218"/>
      <c r="I947" s="218"/>
      <c r="J947" s="218"/>
      <c r="K947" s="220"/>
    </row>
    <row r="948" spans="2:11" x14ac:dyDescent="0.2">
      <c r="B948" s="217"/>
      <c r="C948" s="218"/>
      <c r="D948" s="218"/>
      <c r="E948" s="218"/>
      <c r="F948" s="218"/>
      <c r="G948" s="218"/>
      <c r="H948" s="218"/>
      <c r="I948" s="218"/>
      <c r="J948" s="218"/>
      <c r="K948" s="220"/>
    </row>
    <row r="949" spans="2:11" ht="16" x14ac:dyDescent="0.2">
      <c r="B949" s="217"/>
      <c r="C949" s="221" t="s">
        <v>393</v>
      </c>
      <c r="D949" s="218"/>
      <c r="E949" s="218"/>
      <c r="F949" s="218"/>
      <c r="G949" s="218"/>
      <c r="H949" s="218"/>
      <c r="I949" s="218"/>
      <c r="J949" s="242" t="str">
        <f>IF(OR(J817="Not Calculated",J942="Not Calculated")=TRUE,"Not Calculated",J817/J942)</f>
        <v>Not Calculated</v>
      </c>
      <c r="K949" s="220"/>
    </row>
    <row r="950" spans="2:11" x14ac:dyDescent="0.2">
      <c r="B950" s="217"/>
      <c r="C950" s="218"/>
      <c r="D950" s="218" t="s">
        <v>816</v>
      </c>
      <c r="E950" s="218"/>
      <c r="F950" s="218"/>
      <c r="G950" s="218"/>
      <c r="H950" s="218"/>
      <c r="I950" s="218"/>
      <c r="J950" s="218"/>
      <c r="K950" s="220"/>
    </row>
    <row r="951" spans="2:11" x14ac:dyDescent="0.2">
      <c r="B951" s="217"/>
      <c r="C951" s="218"/>
      <c r="D951" s="218"/>
      <c r="E951" s="218"/>
      <c r="F951" s="218"/>
      <c r="G951" s="218"/>
      <c r="H951" s="218"/>
      <c r="I951" s="218"/>
      <c r="J951" s="218"/>
      <c r="K951" s="220"/>
    </row>
    <row r="952" spans="2:11" ht="16" x14ac:dyDescent="0.2">
      <c r="B952" s="217"/>
      <c r="C952" s="221" t="s">
        <v>996</v>
      </c>
      <c r="D952" s="218"/>
      <c r="E952" s="218"/>
      <c r="F952" s="218"/>
      <c r="G952" s="218"/>
      <c r="H952" s="218"/>
      <c r="I952" s="218"/>
      <c r="J952" s="242" t="str">
        <f>IF(OR(J820="Not Calculated",J894="Not Calculated")=TRUE,"Not Calculated",J820/J894)</f>
        <v>Not Calculated</v>
      </c>
      <c r="K952" s="220"/>
    </row>
    <row r="953" spans="2:11" x14ac:dyDescent="0.2">
      <c r="B953" s="217"/>
      <c r="C953" s="218"/>
      <c r="D953" s="218" t="s">
        <v>817</v>
      </c>
      <c r="E953" s="218"/>
      <c r="F953" s="218"/>
      <c r="G953" s="218"/>
      <c r="H953" s="218"/>
      <c r="I953" s="218"/>
      <c r="J953" s="218"/>
      <c r="K953" s="220"/>
    </row>
    <row r="954" spans="2:11" x14ac:dyDescent="0.2">
      <c r="B954" s="217"/>
      <c r="C954" s="218"/>
      <c r="D954" s="218"/>
      <c r="E954" s="218"/>
      <c r="F954" s="218"/>
      <c r="G954" s="218"/>
      <c r="H954" s="218"/>
      <c r="I954" s="218"/>
      <c r="J954" s="218"/>
      <c r="K954" s="220"/>
    </row>
    <row r="955" spans="2:11" ht="16" x14ac:dyDescent="0.2">
      <c r="B955" s="217"/>
      <c r="C955" s="221" t="s">
        <v>997</v>
      </c>
      <c r="D955" s="218"/>
      <c r="E955" s="218"/>
      <c r="F955" s="218"/>
      <c r="G955" s="218"/>
      <c r="H955" s="218"/>
      <c r="I955" s="218"/>
      <c r="J955" s="242" t="str">
        <f>IF(OR(J936="Not Calculated",J823="Not Calculated")=TRUE,"Not Calculated",J823/J936)</f>
        <v>Not Calculated</v>
      </c>
      <c r="K955" s="220"/>
    </row>
    <row r="956" spans="2:11" x14ac:dyDescent="0.2">
      <c r="B956" s="217"/>
      <c r="C956" s="218"/>
      <c r="D956" s="218" t="s">
        <v>818</v>
      </c>
      <c r="E956" s="218"/>
      <c r="F956" s="218"/>
      <c r="G956" s="218"/>
      <c r="H956" s="218"/>
      <c r="I956" s="218"/>
      <c r="J956" s="218"/>
      <c r="K956" s="220"/>
    </row>
    <row r="957" spans="2:11" ht="16" thickBot="1" x14ac:dyDescent="0.25">
      <c r="B957" s="222"/>
      <c r="C957" s="223"/>
      <c r="D957" s="223"/>
      <c r="E957" s="223"/>
      <c r="F957" s="223"/>
      <c r="G957" s="223"/>
      <c r="H957" s="223"/>
      <c r="I957" s="223"/>
      <c r="J957" s="223"/>
      <c r="K957" s="224"/>
    </row>
    <row r="959" spans="2:11" ht="15" customHeight="1" x14ac:dyDescent="0.2">
      <c r="F959" s="405"/>
      <c r="G959" s="405"/>
      <c r="H959" s="405"/>
    </row>
    <row r="960" spans="2:11" x14ac:dyDescent="0.2">
      <c r="F960" s="405"/>
      <c r="G960" s="405"/>
      <c r="H960" s="405"/>
    </row>
    <row r="965" spans="1:3" ht="15" hidden="1" customHeight="1" x14ac:dyDescent="0.2">
      <c r="A965" s="12" t="s">
        <v>228</v>
      </c>
    </row>
    <row r="966" spans="1:3" ht="15" hidden="1" customHeight="1" x14ac:dyDescent="0.2">
      <c r="A966" s="12">
        <v>0</v>
      </c>
      <c r="B966" s="12" t="s">
        <v>250</v>
      </c>
      <c r="C966" s="12" t="s">
        <v>240</v>
      </c>
    </row>
    <row r="967" spans="1:3" ht="15" hidden="1" customHeight="1" x14ac:dyDescent="0.2">
      <c r="A967" s="12">
        <v>1</v>
      </c>
      <c r="B967" s="12" t="s">
        <v>251</v>
      </c>
      <c r="C967" s="12" t="s">
        <v>241</v>
      </c>
    </row>
    <row r="968" spans="1:3" ht="15" hidden="1" customHeight="1" x14ac:dyDescent="0.2">
      <c r="A968" s="12">
        <v>2</v>
      </c>
      <c r="B968" s="12" t="s">
        <v>252</v>
      </c>
      <c r="C968" s="12" t="s">
        <v>242</v>
      </c>
    </row>
    <row r="969" spans="1:3" ht="15" hidden="1" customHeight="1" x14ac:dyDescent="0.2">
      <c r="A969" s="12">
        <v>3</v>
      </c>
      <c r="B969" s="12" t="s">
        <v>253</v>
      </c>
      <c r="C969" s="12" t="s">
        <v>227</v>
      </c>
    </row>
    <row r="970" spans="1:3" ht="15" hidden="1" customHeight="1" x14ac:dyDescent="0.2">
      <c r="A970" s="12">
        <v>4</v>
      </c>
      <c r="B970" s="12" t="s">
        <v>254</v>
      </c>
      <c r="C970" s="12" t="s">
        <v>243</v>
      </c>
    </row>
    <row r="971" spans="1:3" ht="15" hidden="1" customHeight="1" x14ac:dyDescent="0.2"/>
    <row r="972" spans="1:3" ht="15" hidden="1" customHeight="1" x14ac:dyDescent="0.2">
      <c r="A972" s="12" t="s">
        <v>259</v>
      </c>
    </row>
    <row r="973" spans="1:3" ht="15" hidden="1" customHeight="1" x14ac:dyDescent="0.2">
      <c r="A973" s="12">
        <v>0</v>
      </c>
      <c r="B973" s="225" t="s">
        <v>870</v>
      </c>
    </row>
    <row r="974" spans="1:3" ht="15" hidden="1" customHeight="1" x14ac:dyDescent="0.2">
      <c r="A974" s="12">
        <v>1</v>
      </c>
      <c r="B974" s="12" t="s">
        <v>880</v>
      </c>
    </row>
    <row r="975" spans="1:3" ht="15" hidden="1" customHeight="1" x14ac:dyDescent="0.2">
      <c r="A975" s="12">
        <v>2</v>
      </c>
      <c r="B975" s="12" t="s">
        <v>872</v>
      </c>
    </row>
    <row r="976" spans="1:3" ht="15" hidden="1" customHeight="1" x14ac:dyDescent="0.2">
      <c r="A976" s="12">
        <v>3</v>
      </c>
      <c r="B976" s="12" t="s">
        <v>873</v>
      </c>
    </row>
    <row r="977" spans="1:2" ht="15" hidden="1" customHeight="1" x14ac:dyDescent="0.2">
      <c r="A977" s="12">
        <v>4</v>
      </c>
      <c r="B977" s="12" t="s">
        <v>874</v>
      </c>
    </row>
    <row r="978" spans="1:2" ht="15" hidden="1" customHeight="1" x14ac:dyDescent="0.2"/>
    <row r="979" spans="1:2" ht="15" hidden="1" customHeight="1" x14ac:dyDescent="0.2">
      <c r="A979" s="12" t="s">
        <v>294</v>
      </c>
    </row>
    <row r="980" spans="1:2" ht="15" hidden="1" customHeight="1" x14ac:dyDescent="0.2">
      <c r="A980" s="12">
        <v>0</v>
      </c>
      <c r="B980" s="225" t="s">
        <v>870</v>
      </c>
    </row>
    <row r="981" spans="1:2" ht="15" hidden="1" customHeight="1" x14ac:dyDescent="0.2">
      <c r="A981" s="12">
        <v>1</v>
      </c>
      <c r="B981" s="12" t="s">
        <v>875</v>
      </c>
    </row>
    <row r="982" spans="1:2" ht="15" hidden="1" customHeight="1" x14ac:dyDescent="0.2">
      <c r="A982" s="12">
        <v>2</v>
      </c>
      <c r="B982" s="12" t="s">
        <v>876</v>
      </c>
    </row>
    <row r="983" spans="1:2" ht="15" hidden="1" customHeight="1" x14ac:dyDescent="0.2">
      <c r="A983" s="12">
        <v>3</v>
      </c>
      <c r="B983" s="12" t="s">
        <v>877</v>
      </c>
    </row>
    <row r="984" spans="1:2" ht="15" hidden="1" customHeight="1" x14ac:dyDescent="0.2">
      <c r="A984" s="12">
        <v>4</v>
      </c>
      <c r="B984" s="12" t="s">
        <v>878</v>
      </c>
    </row>
    <row r="985" spans="1:2" ht="15" hidden="1" customHeight="1" x14ac:dyDescent="0.2"/>
    <row r="986" spans="1:2" ht="15" hidden="1" customHeight="1" x14ac:dyDescent="0.2">
      <c r="A986" s="12" t="s">
        <v>244</v>
      </c>
    </row>
    <row r="987" spans="1:2" ht="15" hidden="1" customHeight="1" x14ac:dyDescent="0.2">
      <c r="A987" s="12">
        <v>0</v>
      </c>
      <c r="B987" s="12" t="s">
        <v>245</v>
      </c>
    </row>
    <row r="988" spans="1:2" ht="15" hidden="1" customHeight="1" x14ac:dyDescent="0.2">
      <c r="A988" s="12">
        <v>1</v>
      </c>
      <c r="B988" s="12" t="s">
        <v>246</v>
      </c>
    </row>
    <row r="989" spans="1:2" ht="15" hidden="1" customHeight="1" x14ac:dyDescent="0.2">
      <c r="A989" s="12">
        <v>2</v>
      </c>
      <c r="B989" s="12" t="s">
        <v>247</v>
      </c>
    </row>
    <row r="990" spans="1:2" ht="15" hidden="1" customHeight="1" x14ac:dyDescent="0.2">
      <c r="A990" s="12">
        <v>3</v>
      </c>
      <c r="B990" s="12" t="s">
        <v>229</v>
      </c>
    </row>
    <row r="991" spans="1:2" ht="15" hidden="1" customHeight="1" x14ac:dyDescent="0.2">
      <c r="A991" s="12">
        <v>4</v>
      </c>
      <c r="B991" s="12" t="s">
        <v>248</v>
      </c>
    </row>
    <row r="992" spans="1:2" ht="15" hidden="1" customHeight="1" x14ac:dyDescent="0.2"/>
    <row r="993" spans="1:11" ht="15" hidden="1" customHeight="1" x14ac:dyDescent="0.2">
      <c r="A993" s="12" t="s">
        <v>381</v>
      </c>
    </row>
    <row r="994" spans="1:11" ht="15" hidden="1" customHeight="1" x14ac:dyDescent="0.2">
      <c r="A994" s="12">
        <v>0</v>
      </c>
      <c r="B994" s="12" t="s">
        <v>202</v>
      </c>
    </row>
    <row r="995" spans="1:11" ht="15" hidden="1" customHeight="1" x14ac:dyDescent="0.2">
      <c r="A995" s="12">
        <v>1</v>
      </c>
      <c r="B995" s="12" t="s">
        <v>190</v>
      </c>
    </row>
    <row r="996" spans="1:11" ht="15" hidden="1" customHeight="1" x14ac:dyDescent="0.2"/>
    <row r="997" spans="1:11" ht="15" hidden="1" customHeight="1" x14ac:dyDescent="0.2">
      <c r="A997" s="12" t="s">
        <v>249</v>
      </c>
    </row>
    <row r="998" spans="1:11" ht="15" hidden="1" customHeight="1" x14ac:dyDescent="0.2">
      <c r="A998" s="12">
        <v>0</v>
      </c>
      <c r="B998" s="12" t="s">
        <v>236</v>
      </c>
    </row>
    <row r="999" spans="1:11" ht="15" hidden="1" customHeight="1" x14ac:dyDescent="0.2">
      <c r="A999" s="12">
        <v>1</v>
      </c>
      <c r="B999" s="12" t="s">
        <v>237</v>
      </c>
    </row>
    <row r="1000" spans="1:11" ht="15" hidden="1" customHeight="1" x14ac:dyDescent="0.2">
      <c r="A1000" s="12">
        <v>2</v>
      </c>
      <c r="B1000" s="12" t="s">
        <v>235</v>
      </c>
    </row>
    <row r="1001" spans="1:11" ht="15" hidden="1" customHeight="1" x14ac:dyDescent="0.2">
      <c r="A1001" s="12">
        <v>3</v>
      </c>
      <c r="B1001" s="12" t="s">
        <v>238</v>
      </c>
    </row>
    <row r="1002" spans="1:11" ht="15" hidden="1" customHeight="1" x14ac:dyDescent="0.2">
      <c r="A1002" s="12">
        <v>4</v>
      </c>
      <c r="B1002" s="12" t="s">
        <v>234</v>
      </c>
    </row>
    <row r="1003" spans="1:11" ht="15" customHeight="1" x14ac:dyDescent="0.2">
      <c r="B1003" s="12" t="s">
        <v>685</v>
      </c>
    </row>
    <row r="1004" spans="1:11" ht="15" customHeight="1" x14ac:dyDescent="0.2">
      <c r="B1004" s="402"/>
      <c r="C1004" s="403"/>
      <c r="D1004" s="403"/>
      <c r="E1004" s="403"/>
      <c r="F1004" s="403"/>
      <c r="G1004" s="403"/>
      <c r="H1004" s="403"/>
      <c r="I1004" s="403"/>
      <c r="J1004" s="403"/>
      <c r="K1004" s="404"/>
    </row>
    <row r="1005" spans="1:11" ht="15" customHeight="1" x14ac:dyDescent="0.2">
      <c r="B1005" s="396"/>
      <c r="C1005" s="397"/>
      <c r="D1005" s="397"/>
      <c r="E1005" s="397"/>
      <c r="F1005" s="397"/>
      <c r="G1005" s="397"/>
      <c r="H1005" s="397"/>
      <c r="I1005" s="397"/>
      <c r="J1005" s="397"/>
      <c r="K1005" s="398"/>
    </row>
    <row r="1006" spans="1:11" ht="15" customHeight="1" x14ac:dyDescent="0.2">
      <c r="B1006" s="396"/>
      <c r="C1006" s="397"/>
      <c r="D1006" s="397"/>
      <c r="E1006" s="397"/>
      <c r="F1006" s="397"/>
      <c r="G1006" s="397"/>
      <c r="H1006" s="397"/>
      <c r="I1006" s="397"/>
      <c r="J1006" s="397"/>
      <c r="K1006" s="398"/>
    </row>
    <row r="1007" spans="1:11" ht="15" customHeight="1" x14ac:dyDescent="0.2">
      <c r="B1007" s="396"/>
      <c r="C1007" s="397"/>
      <c r="D1007" s="397"/>
      <c r="E1007" s="397"/>
      <c r="F1007" s="397"/>
      <c r="G1007" s="397"/>
      <c r="H1007" s="397"/>
      <c r="I1007" s="397"/>
      <c r="J1007" s="397"/>
      <c r="K1007" s="398"/>
    </row>
    <row r="1008" spans="1:11" ht="15" customHeight="1" x14ac:dyDescent="0.2">
      <c r="B1008" s="396"/>
      <c r="C1008" s="397"/>
      <c r="D1008" s="397"/>
      <c r="E1008" s="397"/>
      <c r="F1008" s="397"/>
      <c r="G1008" s="397"/>
      <c r="H1008" s="397"/>
      <c r="I1008" s="397"/>
      <c r="J1008" s="397"/>
      <c r="K1008" s="398"/>
    </row>
    <row r="1009" spans="2:11" ht="15" customHeight="1" x14ac:dyDescent="0.2">
      <c r="B1009" s="396"/>
      <c r="C1009" s="397"/>
      <c r="D1009" s="397"/>
      <c r="E1009" s="397"/>
      <c r="F1009" s="397"/>
      <c r="G1009" s="397"/>
      <c r="H1009" s="397"/>
      <c r="I1009" s="397"/>
      <c r="J1009" s="397"/>
      <c r="K1009" s="398"/>
    </row>
    <row r="1010" spans="2:11" x14ac:dyDescent="0.2">
      <c r="B1010" s="396"/>
      <c r="C1010" s="397"/>
      <c r="D1010" s="397"/>
      <c r="E1010" s="397"/>
      <c r="F1010" s="397"/>
      <c r="G1010" s="397"/>
      <c r="H1010" s="397"/>
      <c r="I1010" s="397"/>
      <c r="J1010" s="397"/>
      <c r="K1010" s="398"/>
    </row>
    <row r="1011" spans="2:11" ht="15" customHeight="1" x14ac:dyDescent="0.2">
      <c r="B1011" s="396"/>
      <c r="C1011" s="397"/>
      <c r="D1011" s="397"/>
      <c r="E1011" s="397"/>
      <c r="F1011" s="397"/>
      <c r="G1011" s="397"/>
      <c r="H1011" s="397"/>
      <c r="I1011" s="397"/>
      <c r="J1011" s="397"/>
      <c r="K1011" s="398"/>
    </row>
    <row r="1012" spans="2:11" ht="30" customHeight="1" x14ac:dyDescent="0.2">
      <c r="B1012" s="396"/>
      <c r="C1012" s="397"/>
      <c r="D1012" s="397"/>
      <c r="E1012" s="397"/>
      <c r="F1012" s="397"/>
      <c r="G1012" s="397"/>
      <c r="H1012" s="397"/>
      <c r="I1012" s="397"/>
      <c r="J1012" s="397"/>
      <c r="K1012" s="398"/>
    </row>
    <row r="1013" spans="2:11" ht="15" customHeight="1" x14ac:dyDescent="0.2">
      <c r="B1013" s="396"/>
      <c r="C1013" s="397"/>
      <c r="D1013" s="397"/>
      <c r="E1013" s="397"/>
      <c r="F1013" s="397"/>
      <c r="G1013" s="397"/>
      <c r="H1013" s="397"/>
      <c r="I1013" s="397"/>
      <c r="J1013" s="397"/>
      <c r="K1013" s="398"/>
    </row>
    <row r="1014" spans="2:11" ht="15" customHeight="1" x14ac:dyDescent="0.2">
      <c r="B1014" s="396"/>
      <c r="C1014" s="397"/>
      <c r="D1014" s="397"/>
      <c r="E1014" s="397"/>
      <c r="F1014" s="397"/>
      <c r="G1014" s="397"/>
      <c r="H1014" s="397"/>
      <c r="I1014" s="397"/>
      <c r="J1014" s="397"/>
      <c r="K1014" s="398"/>
    </row>
    <row r="1015" spans="2:11" ht="15" customHeight="1" x14ac:dyDescent="0.2">
      <c r="B1015" s="396"/>
      <c r="C1015" s="397"/>
      <c r="D1015" s="397"/>
      <c r="E1015" s="397"/>
      <c r="F1015" s="397"/>
      <c r="G1015" s="397"/>
      <c r="H1015" s="397"/>
      <c r="I1015" s="397"/>
      <c r="J1015" s="397"/>
      <c r="K1015" s="398"/>
    </row>
    <row r="1016" spans="2:11" x14ac:dyDescent="0.2">
      <c r="B1016" s="396"/>
      <c r="C1016" s="397"/>
      <c r="D1016" s="397"/>
      <c r="E1016" s="397"/>
      <c r="F1016" s="397"/>
      <c r="G1016" s="397"/>
      <c r="H1016" s="397"/>
      <c r="I1016" s="397"/>
      <c r="J1016" s="397"/>
      <c r="K1016" s="398"/>
    </row>
    <row r="1017" spans="2:11" ht="15" customHeight="1" x14ac:dyDescent="0.2">
      <c r="B1017" s="396"/>
      <c r="C1017" s="397"/>
      <c r="D1017" s="397"/>
      <c r="E1017" s="397"/>
      <c r="F1017" s="397"/>
      <c r="G1017" s="397"/>
      <c r="H1017" s="397"/>
      <c r="I1017" s="397"/>
      <c r="J1017" s="397"/>
      <c r="K1017" s="398"/>
    </row>
    <row r="1018" spans="2:11" ht="15" customHeight="1" x14ac:dyDescent="0.2">
      <c r="B1018" s="396"/>
      <c r="C1018" s="397"/>
      <c r="D1018" s="397"/>
      <c r="E1018" s="397"/>
      <c r="F1018" s="397"/>
      <c r="G1018" s="397"/>
      <c r="H1018" s="397"/>
      <c r="I1018" s="397"/>
      <c r="J1018" s="397"/>
      <c r="K1018" s="398"/>
    </row>
    <row r="1019" spans="2:11" ht="15" customHeight="1" x14ac:dyDescent="0.2">
      <c r="B1019" s="396"/>
      <c r="C1019" s="397"/>
      <c r="D1019" s="397"/>
      <c r="E1019" s="397"/>
      <c r="F1019" s="397"/>
      <c r="G1019" s="397"/>
      <c r="H1019" s="397"/>
      <c r="I1019" s="397"/>
      <c r="J1019" s="397"/>
      <c r="K1019" s="398"/>
    </row>
    <row r="1020" spans="2:11" ht="15" customHeight="1" x14ac:dyDescent="0.2">
      <c r="B1020" s="396"/>
      <c r="C1020" s="397"/>
      <c r="D1020" s="397"/>
      <c r="E1020" s="397"/>
      <c r="F1020" s="397"/>
      <c r="G1020" s="397"/>
      <c r="H1020" s="397"/>
      <c r="I1020" s="397"/>
      <c r="J1020" s="397"/>
      <c r="K1020" s="398"/>
    </row>
    <row r="1021" spans="2:11" ht="15" customHeight="1" x14ac:dyDescent="0.2">
      <c r="B1021" s="396"/>
      <c r="C1021" s="397"/>
      <c r="D1021" s="397"/>
      <c r="E1021" s="397"/>
      <c r="F1021" s="397"/>
      <c r="G1021" s="397"/>
      <c r="H1021" s="397"/>
      <c r="I1021" s="397"/>
      <c r="J1021" s="397"/>
      <c r="K1021" s="398"/>
    </row>
    <row r="1022" spans="2:11" ht="15" customHeight="1" x14ac:dyDescent="0.2">
      <c r="B1022" s="396"/>
      <c r="C1022" s="397"/>
      <c r="D1022" s="397"/>
      <c r="E1022" s="397"/>
      <c r="F1022" s="397"/>
      <c r="G1022" s="397"/>
      <c r="H1022" s="397"/>
      <c r="I1022" s="397"/>
      <c r="J1022" s="397"/>
      <c r="K1022" s="398"/>
    </row>
    <row r="1023" spans="2:11" ht="15" customHeight="1" x14ac:dyDescent="0.2">
      <c r="B1023" s="396"/>
      <c r="C1023" s="397"/>
      <c r="D1023" s="397"/>
      <c r="E1023" s="397"/>
      <c r="F1023" s="397"/>
      <c r="G1023" s="397"/>
      <c r="H1023" s="397"/>
      <c r="I1023" s="397"/>
      <c r="J1023" s="397"/>
      <c r="K1023" s="398"/>
    </row>
    <row r="1024" spans="2:11" ht="15" customHeight="1" x14ac:dyDescent="0.2">
      <c r="B1024" s="396"/>
      <c r="C1024" s="397"/>
      <c r="D1024" s="397"/>
      <c r="E1024" s="397"/>
      <c r="F1024" s="397"/>
      <c r="G1024" s="397"/>
      <c r="H1024" s="397"/>
      <c r="I1024" s="397"/>
      <c r="J1024" s="397"/>
      <c r="K1024" s="398"/>
    </row>
    <row r="1025" spans="2:11" ht="15" customHeight="1" x14ac:dyDescent="0.2">
      <c r="B1025" s="396"/>
      <c r="C1025" s="397"/>
      <c r="D1025" s="397"/>
      <c r="E1025" s="397"/>
      <c r="F1025" s="397"/>
      <c r="G1025" s="397"/>
      <c r="H1025" s="397"/>
      <c r="I1025" s="397"/>
      <c r="J1025" s="397"/>
      <c r="K1025" s="398"/>
    </row>
    <row r="1026" spans="2:11" ht="15" customHeight="1" x14ac:dyDescent="0.2">
      <c r="B1026" s="396"/>
      <c r="C1026" s="397"/>
      <c r="D1026" s="397"/>
      <c r="E1026" s="397"/>
      <c r="F1026" s="397"/>
      <c r="G1026" s="397"/>
      <c r="H1026" s="397"/>
      <c r="I1026" s="397"/>
      <c r="J1026" s="397"/>
      <c r="K1026" s="398"/>
    </row>
    <row r="1027" spans="2:11" ht="15" customHeight="1" x14ac:dyDescent="0.2">
      <c r="B1027" s="396"/>
      <c r="C1027" s="397"/>
      <c r="D1027" s="397"/>
      <c r="E1027" s="397"/>
      <c r="F1027" s="397"/>
      <c r="G1027" s="397"/>
      <c r="H1027" s="397"/>
      <c r="I1027" s="397"/>
      <c r="J1027" s="397"/>
      <c r="K1027" s="398"/>
    </row>
    <row r="1028" spans="2:11" ht="15" customHeight="1" x14ac:dyDescent="0.2">
      <c r="B1028" s="396"/>
      <c r="C1028" s="397"/>
      <c r="D1028" s="397"/>
      <c r="E1028" s="397"/>
      <c r="F1028" s="397"/>
      <c r="G1028" s="397"/>
      <c r="H1028" s="397"/>
      <c r="I1028" s="397"/>
      <c r="J1028" s="397"/>
      <c r="K1028" s="398"/>
    </row>
    <row r="1029" spans="2:11" ht="15" customHeight="1" x14ac:dyDescent="0.2">
      <c r="B1029" s="393"/>
      <c r="C1029" s="394"/>
      <c r="D1029" s="394"/>
      <c r="E1029" s="394"/>
      <c r="F1029" s="394"/>
      <c r="G1029" s="394"/>
      <c r="H1029" s="394"/>
      <c r="I1029" s="394"/>
      <c r="J1029" s="394"/>
      <c r="K1029" s="395"/>
    </row>
  </sheetData>
  <sheetProtection password="C7B0" sheet="1" objects="1" scenarios="1" formatCells="0" formatColumns="0" formatRows="0" selectLockedCells="1"/>
  <mergeCells count="152">
    <mergeCell ref="B1027:K1027"/>
    <mergeCell ref="B1028:K1028"/>
    <mergeCell ref="B1029:K1029"/>
    <mergeCell ref="B1021:K1021"/>
    <mergeCell ref="B1022:K1022"/>
    <mergeCell ref="B1023:K1023"/>
    <mergeCell ref="B1024:K1024"/>
    <mergeCell ref="B1025:K1025"/>
    <mergeCell ref="B1026:K1026"/>
    <mergeCell ref="B1015:K1015"/>
    <mergeCell ref="B1016:K1016"/>
    <mergeCell ref="B1017:K1017"/>
    <mergeCell ref="B1018:K1018"/>
    <mergeCell ref="B1019:K1019"/>
    <mergeCell ref="B1020:K1020"/>
    <mergeCell ref="B1009:K1009"/>
    <mergeCell ref="B1010:K1010"/>
    <mergeCell ref="B1011:K1011"/>
    <mergeCell ref="B1012:K1012"/>
    <mergeCell ref="B1013:K1013"/>
    <mergeCell ref="B1014:K1014"/>
    <mergeCell ref="F959:H960"/>
    <mergeCell ref="B1004:K1004"/>
    <mergeCell ref="B1005:K1005"/>
    <mergeCell ref="B1006:K1006"/>
    <mergeCell ref="B1007:K1007"/>
    <mergeCell ref="B1008:K1008"/>
    <mergeCell ref="G912:H912"/>
    <mergeCell ref="G916:H916"/>
    <mergeCell ref="G920:H920"/>
    <mergeCell ref="G924:H924"/>
    <mergeCell ref="G928:H928"/>
    <mergeCell ref="G932:H932"/>
    <mergeCell ref="G882:H882"/>
    <mergeCell ref="G886:H886"/>
    <mergeCell ref="G890:H890"/>
    <mergeCell ref="C900:J901"/>
    <mergeCell ref="G904:H904"/>
    <mergeCell ref="G908:H908"/>
    <mergeCell ref="G858:H858"/>
    <mergeCell ref="G862:H862"/>
    <mergeCell ref="G866:H866"/>
    <mergeCell ref="G870:H870"/>
    <mergeCell ref="G874:H874"/>
    <mergeCell ref="G878:H878"/>
    <mergeCell ref="G834:H834"/>
    <mergeCell ref="G838:H838"/>
    <mergeCell ref="G842:H842"/>
    <mergeCell ref="G846:H846"/>
    <mergeCell ref="G850:H850"/>
    <mergeCell ref="G854:H854"/>
    <mergeCell ref="G766:H766"/>
    <mergeCell ref="G767:H767"/>
    <mergeCell ref="G768:H768"/>
    <mergeCell ref="G769:H769"/>
    <mergeCell ref="G770:H770"/>
    <mergeCell ref="C830:J831"/>
    <mergeCell ref="G755:H755"/>
    <mergeCell ref="C759:J761"/>
    <mergeCell ref="G762:H762"/>
    <mergeCell ref="G763:H763"/>
    <mergeCell ref="G764:H764"/>
    <mergeCell ref="G765:H765"/>
    <mergeCell ref="G749:H749"/>
    <mergeCell ref="G750:H750"/>
    <mergeCell ref="G751:H751"/>
    <mergeCell ref="G752:H752"/>
    <mergeCell ref="G753:H753"/>
    <mergeCell ref="G754:H754"/>
    <mergeCell ref="G738:H738"/>
    <mergeCell ref="G739:H739"/>
    <mergeCell ref="G740:H740"/>
    <mergeCell ref="C744:J746"/>
    <mergeCell ref="G747:H747"/>
    <mergeCell ref="G748:H748"/>
    <mergeCell ref="G732:H732"/>
    <mergeCell ref="G733:H733"/>
    <mergeCell ref="G734:H734"/>
    <mergeCell ref="G735:H735"/>
    <mergeCell ref="G736:H736"/>
    <mergeCell ref="G737:H737"/>
    <mergeCell ref="G721:H721"/>
    <mergeCell ref="G722:H722"/>
    <mergeCell ref="G723:H723"/>
    <mergeCell ref="G724:H724"/>
    <mergeCell ref="G725:H725"/>
    <mergeCell ref="C729:J731"/>
    <mergeCell ref="C677:J677"/>
    <mergeCell ref="C714:J716"/>
    <mergeCell ref="G717:H717"/>
    <mergeCell ref="G718:H718"/>
    <mergeCell ref="G719:H719"/>
    <mergeCell ref="G720:H720"/>
    <mergeCell ref="C620:I621"/>
    <mergeCell ref="C633:J633"/>
    <mergeCell ref="C639:I640"/>
    <mergeCell ref="C641:I643"/>
    <mergeCell ref="C655:J655"/>
    <mergeCell ref="D664:I665"/>
    <mergeCell ref="C560:J560"/>
    <mergeCell ref="C566:I568"/>
    <mergeCell ref="C569:I571"/>
    <mergeCell ref="C583:J583"/>
    <mergeCell ref="C599:J599"/>
    <mergeCell ref="C613:J613"/>
    <mergeCell ref="C477:I478"/>
    <mergeCell ref="C486:J486"/>
    <mergeCell ref="C502:J502"/>
    <mergeCell ref="C518:J518"/>
    <mergeCell ref="C524:I525"/>
    <mergeCell ref="C535:J535"/>
    <mergeCell ref="C416:J416"/>
    <mergeCell ref="C420:I421"/>
    <mergeCell ref="C438:J438"/>
    <mergeCell ref="C444:I445"/>
    <mergeCell ref="C455:J455"/>
    <mergeCell ref="C471:J471"/>
    <mergeCell ref="C347:J347"/>
    <mergeCell ref="C365:J365"/>
    <mergeCell ref="C371:I372"/>
    <mergeCell ref="C385:J385"/>
    <mergeCell ref="C391:I392"/>
    <mergeCell ref="C402:J402"/>
    <mergeCell ref="C305:J305"/>
    <mergeCell ref="C311:I312"/>
    <mergeCell ref="C324:J324"/>
    <mergeCell ref="C330:I331"/>
    <mergeCell ref="C340:I341"/>
    <mergeCell ref="D343:I344"/>
    <mergeCell ref="C196:J196"/>
    <mergeCell ref="C216:J216"/>
    <mergeCell ref="C237:J237"/>
    <mergeCell ref="C257:J257"/>
    <mergeCell ref="C286:J286"/>
    <mergeCell ref="C292:I293"/>
    <mergeCell ref="C114:J114"/>
    <mergeCell ref="C120:J122"/>
    <mergeCell ref="C123:J124"/>
    <mergeCell ref="C129:J129"/>
    <mergeCell ref="C155:J155"/>
    <mergeCell ref="C176:J176"/>
    <mergeCell ref="B10:K10"/>
    <mergeCell ref="E15:J15"/>
    <mergeCell ref="C38:J38"/>
    <mergeCell ref="C57:J57"/>
    <mergeCell ref="C76:J76"/>
    <mergeCell ref="C95:J95"/>
    <mergeCell ref="G3:I3"/>
    <mergeCell ref="B6:K6"/>
    <mergeCell ref="B7:K7"/>
    <mergeCell ref="B8:K8"/>
    <mergeCell ref="B9:K9"/>
  </mergeCells>
  <dataValidations count="23">
    <dataValidation type="list" allowBlank="1" showInputMessage="1" showErrorMessage="1" sqref="E15:J15" xr:uid="{00000000-0002-0000-2600-000000000000}">
      <formula1>$C$966:$C$970</formula1>
    </dataValidation>
    <dataValidation type="list" allowBlank="1" showInputMessage="1" showErrorMessage="1" sqref="G834:H834 G890:H890 G886:H886 G882:H882 G878:H878 G874:H874 G870:H870 G866:H866 G862:H862 G858:H858 G854:H854 G850:H850 G846:H846 G842:H842 G838:H838 G904:H904 G932:H932 G928:H928 G924:H924 G920:H920 G916:H916 G912:H912 G908:H908" xr:uid="{00000000-0002-0000-2600-000001000000}">
      <formula1>$B$998:$B$1002</formula1>
    </dataValidation>
    <dataValidation type="list" allowBlank="1" showInputMessage="1" showErrorMessage="1" sqref="G717:H725 G762:H770 G732:H740 G747:H755" xr:uid="{00000000-0002-0000-2600-000002000000}">
      <formula1>$B$994:$B$995</formula1>
    </dataValidation>
    <dataValidation type="list" allowBlank="1" showInputMessage="1" showErrorMessage="1" sqref="J302 J362" xr:uid="{00000000-0002-0000-2600-000003000000}">
      <formula1>$B$980:$B$984</formula1>
    </dataValidation>
    <dataValidation type="list" allowBlank="1" showInputMessage="1" showErrorMessage="1" sqref="C123:J124" xr:uid="{00000000-0002-0000-2600-000004000000}">
      <formula1>$B$987:$B$991</formula1>
    </dataValidation>
    <dataValidation type="list" allowBlank="1" showInputMessage="1" showErrorMessage="1" sqref="J35 J213 J283 J652 J234 J54 J193 J173 J152 J126 J111 J92 J73 J254 J435 J452 J468 J499 J515 J532 J557 J580 J596 J674 J630" xr:uid="{00000000-0002-0000-2600-000005000000}">
      <formula1>$B$973:$B$977</formula1>
    </dataValidation>
    <dataValidation type="list" allowBlank="1" showInputMessage="1" showErrorMessage="1" sqref="J33" xr:uid="{00000000-0002-0000-2600-000006000000}">
      <formula1>$N$32:$N$37</formula1>
    </dataValidation>
    <dataValidation type="list" allowBlank="1" showInputMessage="1" showErrorMessage="1" sqref="J52" xr:uid="{00000000-0002-0000-2600-000007000000}">
      <formula1>$N$51:$N$56</formula1>
    </dataValidation>
    <dataValidation type="list" allowBlank="1" showInputMessage="1" showErrorMessage="1" sqref="J71" xr:uid="{00000000-0002-0000-2600-000008000000}">
      <formula1>$N$70:$N$75</formula1>
    </dataValidation>
    <dataValidation type="list" allowBlank="1" showInputMessage="1" showErrorMessage="1" sqref="J90" xr:uid="{00000000-0002-0000-2600-000009000000}">
      <formula1>$N$89:$N$94</formula1>
    </dataValidation>
    <dataValidation type="list" allowBlank="1" showInputMessage="1" showErrorMessage="1" sqref="J109" xr:uid="{00000000-0002-0000-2600-00000A000000}">
      <formula1>$N$108:$N$113</formula1>
    </dataValidation>
    <dataValidation type="list" allowBlank="1" showInputMessage="1" showErrorMessage="1" sqref="J150" xr:uid="{00000000-0002-0000-2600-00000B000000}">
      <formula1>$N$149:$N$154</formula1>
    </dataValidation>
    <dataValidation type="list" allowBlank="1" showInputMessage="1" showErrorMessage="1" sqref="J171" xr:uid="{00000000-0002-0000-2600-00000C000000}">
      <formula1>$N$170:$N$175</formula1>
    </dataValidation>
    <dataValidation type="list" allowBlank="1" showInputMessage="1" showErrorMessage="1" sqref="J191" xr:uid="{00000000-0002-0000-2600-00000D000000}">
      <formula1>$N$190:$N$195</formula1>
    </dataValidation>
    <dataValidation type="list" allowBlank="1" showInputMessage="1" showErrorMessage="1" sqref="J211" xr:uid="{00000000-0002-0000-2600-00000E000000}">
      <formula1>$N$210:$N$215</formula1>
    </dataValidation>
    <dataValidation type="list" allowBlank="1" showInputMessage="1" showErrorMessage="1" sqref="J232" xr:uid="{00000000-0002-0000-2600-00000F000000}">
      <formula1>$N$231:$N$236</formula1>
    </dataValidation>
    <dataValidation type="list" allowBlank="1" showInputMessage="1" showErrorMessage="1" sqref="J252" xr:uid="{00000000-0002-0000-2600-000010000000}">
      <formula1>$N$251:$N$256</formula1>
    </dataValidation>
    <dataValidation type="list" allowBlank="1" showInputMessage="1" showErrorMessage="1" sqref="J281" xr:uid="{00000000-0002-0000-2600-000011000000}">
      <formula1>$N$280:$N$285</formula1>
    </dataValidation>
    <dataValidation type="list" allowBlank="1" showInputMessage="1" showErrorMessage="1" sqref="J555" xr:uid="{00000000-0002-0000-2600-000012000000}">
      <formula1>$N$554:$N$559</formula1>
    </dataValidation>
    <dataValidation type="list" allowBlank="1" showInputMessage="1" showErrorMessage="1" sqref="J578" xr:uid="{00000000-0002-0000-2600-000013000000}">
      <formula1>$N$577:$N$582</formula1>
    </dataValidation>
    <dataValidation type="list" allowBlank="1" showInputMessage="1" showErrorMessage="1" sqref="J628" xr:uid="{00000000-0002-0000-2600-000014000000}">
      <formula1>$N$627:$N$632</formula1>
    </dataValidation>
    <dataValidation type="list" allowBlank="1" showInputMessage="1" showErrorMessage="1" sqref="J650" xr:uid="{00000000-0002-0000-2600-000015000000}">
      <formula1>$N$649:$N$654</formula1>
    </dataValidation>
    <dataValidation type="list" allowBlank="1" showInputMessage="1" showErrorMessage="1" sqref="J672" xr:uid="{00000000-0002-0000-2600-000016000000}">
      <formula1>$N$671:$N$676</formula1>
    </dataValidation>
  </dataValidations>
  <pageMargins left="0.7" right="0.7" top="0.75" bottom="0.75" header="0.3" footer="0.3"/>
  <pageSetup scale="7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4"/>
  <dimension ref="B1:K110"/>
  <sheetViews>
    <sheetView showGridLines="0" showRowColHeaders="0" zoomScaleNormal="100" zoomScaleSheetLayoutView="85" workbookViewId="0"/>
  </sheetViews>
  <sheetFormatPr baseColWidth="10" defaultColWidth="9.1640625" defaultRowHeight="15" x14ac:dyDescent="0.2"/>
  <cols>
    <col min="1" max="1" width="9.1640625" style="12"/>
    <col min="2" max="2" width="26.6640625" style="232" customWidth="1"/>
    <col min="3" max="3" width="9.1640625" style="12" customWidth="1"/>
    <col min="4" max="4" width="9" style="29" customWidth="1"/>
    <col min="5" max="5" width="13.5" style="12" customWidth="1"/>
    <col min="6" max="6" width="9" style="12" customWidth="1"/>
    <col min="7" max="7" width="13.5" style="12" customWidth="1"/>
    <col min="8" max="8" width="9" style="12" customWidth="1"/>
    <col min="9" max="9" width="13.5" style="12" customWidth="1"/>
    <col min="10" max="10" width="9" style="12" customWidth="1"/>
    <col min="11" max="11" width="13.5" style="12" customWidth="1"/>
    <col min="12" max="16384" width="9.1640625" style="12"/>
  </cols>
  <sheetData>
    <row r="1" spans="2:10" x14ac:dyDescent="0.2">
      <c r="B1" s="231"/>
      <c r="D1" s="12"/>
      <c r="I1" s="15"/>
      <c r="J1" s="15"/>
    </row>
    <row r="2" spans="2:10" ht="33" x14ac:dyDescent="0.2">
      <c r="E2" s="16" t="s">
        <v>1038</v>
      </c>
      <c r="I2" s="15"/>
      <c r="J2" s="15"/>
    </row>
    <row r="3" spans="2:10" ht="16.5" customHeight="1" x14ac:dyDescent="0.2">
      <c r="H3" s="16"/>
      <c r="I3" s="15"/>
      <c r="J3" s="15"/>
    </row>
    <row r="4" spans="2:10" ht="75" customHeight="1" x14ac:dyDescent="0.2">
      <c r="B4" s="374" t="s">
        <v>1313</v>
      </c>
      <c r="C4" s="375"/>
      <c r="D4" s="375"/>
      <c r="E4" s="375"/>
      <c r="F4" s="375"/>
      <c r="G4" s="375"/>
      <c r="H4" s="375"/>
      <c r="I4" s="375"/>
      <c r="J4" s="375"/>
    </row>
    <row r="5" spans="2:10" x14ac:dyDescent="0.2">
      <c r="B5" s="317"/>
      <c r="C5" s="318" t="s">
        <v>659</v>
      </c>
      <c r="D5" s="376" t="s">
        <v>916</v>
      </c>
      <c r="E5" s="376"/>
      <c r="F5" s="376"/>
      <c r="G5" s="376"/>
      <c r="I5" s="15"/>
      <c r="J5" s="15"/>
    </row>
    <row r="6" spans="2:10" x14ac:dyDescent="0.2">
      <c r="B6" s="317"/>
      <c r="C6" s="318" t="s">
        <v>659</v>
      </c>
      <c r="D6" s="376" t="s">
        <v>917</v>
      </c>
      <c r="E6" s="376"/>
      <c r="F6" s="376"/>
      <c r="G6" s="376"/>
      <c r="I6" s="15"/>
      <c r="J6" s="15"/>
    </row>
    <row r="7" spans="2:10" x14ac:dyDescent="0.2">
      <c r="B7" s="231"/>
      <c r="D7" s="12"/>
      <c r="I7" s="15"/>
      <c r="J7" s="15"/>
    </row>
    <row r="8" spans="2:10" ht="23" x14ac:dyDescent="0.2">
      <c r="B8" s="231"/>
      <c r="D8" s="12"/>
      <c r="E8" s="233" t="s">
        <v>1072</v>
      </c>
      <c r="I8" s="15"/>
      <c r="J8" s="15"/>
    </row>
    <row r="9" spans="2:10" ht="16" thickBot="1" x14ac:dyDescent="0.25">
      <c r="B9" s="231"/>
      <c r="D9" s="12"/>
      <c r="I9" s="15"/>
      <c r="J9" s="15"/>
    </row>
    <row r="10" spans="2:10" x14ac:dyDescent="0.2">
      <c r="B10" s="367" t="s">
        <v>228</v>
      </c>
    </row>
    <row r="11" spans="2:10" ht="16" thickBot="1" x14ac:dyDescent="0.25">
      <c r="B11" s="368"/>
    </row>
    <row r="13" spans="2:10" ht="16" thickBot="1" x14ac:dyDescent="0.25"/>
    <row r="14" spans="2:10" x14ac:dyDescent="0.2">
      <c r="B14" s="369" t="s">
        <v>1056</v>
      </c>
      <c r="G14" s="353" t="s">
        <v>390</v>
      </c>
    </row>
    <row r="15" spans="2:10" ht="16" thickBot="1" x14ac:dyDescent="0.25">
      <c r="B15" s="370"/>
      <c r="G15" s="355"/>
    </row>
    <row r="16" spans="2:10" ht="16" thickBot="1" x14ac:dyDescent="0.25"/>
    <row r="17" spans="2:11" x14ac:dyDescent="0.2">
      <c r="B17" s="369" t="s">
        <v>1057</v>
      </c>
    </row>
    <row r="18" spans="2:11" ht="16" thickBot="1" x14ac:dyDescent="0.25">
      <c r="B18" s="370"/>
    </row>
    <row r="19" spans="2:11" ht="16" thickBot="1" x14ac:dyDescent="0.25"/>
    <row r="20" spans="2:11" ht="23.25" customHeight="1" x14ac:dyDescent="0.2">
      <c r="B20" s="369" t="s">
        <v>1058</v>
      </c>
      <c r="E20" s="369" t="s">
        <v>388</v>
      </c>
    </row>
    <row r="21" spans="2:11" ht="23.25" customHeight="1" thickBot="1" x14ac:dyDescent="0.25">
      <c r="B21" s="370"/>
      <c r="E21" s="370"/>
    </row>
    <row r="22" spans="2:11" ht="16" thickBot="1" x14ac:dyDescent="0.25">
      <c r="I22" s="356" t="s">
        <v>391</v>
      </c>
    </row>
    <row r="23" spans="2:11" ht="16" thickBot="1" x14ac:dyDescent="0.25">
      <c r="B23" s="369" t="s">
        <v>1059</v>
      </c>
      <c r="I23" s="358"/>
    </row>
    <row r="24" spans="2:11" ht="16" thickBot="1" x14ac:dyDescent="0.25">
      <c r="B24" s="370"/>
    </row>
    <row r="25" spans="2:11" ht="16" thickBot="1" x14ac:dyDescent="0.25"/>
    <row r="26" spans="2:11" x14ac:dyDescent="0.2">
      <c r="B26" s="369" t="s">
        <v>1060</v>
      </c>
    </row>
    <row r="27" spans="2:11" ht="16" thickBot="1" x14ac:dyDescent="0.25">
      <c r="B27" s="370"/>
    </row>
    <row r="28" spans="2:11" ht="16" thickBot="1" x14ac:dyDescent="0.25"/>
    <row r="29" spans="2:11" ht="16" thickBot="1" x14ac:dyDescent="0.25">
      <c r="K29" s="350" t="s">
        <v>392</v>
      </c>
    </row>
    <row r="30" spans="2:11" ht="16" thickBot="1" x14ac:dyDescent="0.25">
      <c r="B30" s="361" t="s">
        <v>381</v>
      </c>
      <c r="K30" s="352"/>
    </row>
    <row r="31" spans="2:11" ht="16" thickBot="1" x14ac:dyDescent="0.25">
      <c r="B31" s="362"/>
    </row>
    <row r="33" spans="2:5" ht="16" thickBot="1" x14ac:dyDescent="0.25"/>
    <row r="34" spans="2:5" ht="16" thickBot="1" x14ac:dyDescent="0.25">
      <c r="B34" s="371" t="s">
        <v>1061</v>
      </c>
    </row>
    <row r="35" spans="2:5" ht="15.75" customHeight="1" thickBot="1" x14ac:dyDescent="0.25">
      <c r="B35" s="372"/>
      <c r="E35" s="371" t="s">
        <v>1063</v>
      </c>
    </row>
    <row r="36" spans="2:5" ht="16" thickBot="1" x14ac:dyDescent="0.25">
      <c r="E36" s="373"/>
    </row>
    <row r="37" spans="2:5" ht="16" thickBot="1" x14ac:dyDescent="0.25">
      <c r="B37" s="365" t="s">
        <v>1062</v>
      </c>
      <c r="E37" s="372"/>
    </row>
    <row r="38" spans="2:5" ht="16" thickBot="1" x14ac:dyDescent="0.25">
      <c r="B38" s="366"/>
    </row>
    <row r="44" spans="2:5" ht="23" x14ac:dyDescent="0.2">
      <c r="E44" s="233" t="s">
        <v>916</v>
      </c>
    </row>
    <row r="45" spans="2:5" ht="16" thickBot="1" x14ac:dyDescent="0.25"/>
    <row r="46" spans="2:5" x14ac:dyDescent="0.2">
      <c r="B46" s="367" t="s">
        <v>226</v>
      </c>
    </row>
    <row r="47" spans="2:5" ht="16" thickBot="1" x14ac:dyDescent="0.25">
      <c r="B47" s="368"/>
    </row>
    <row r="49" spans="2:9" ht="15.75" customHeight="1" thickBot="1" x14ac:dyDescent="0.25"/>
    <row r="50" spans="2:9" ht="15" customHeight="1" x14ac:dyDescent="0.2">
      <c r="B50" s="369" t="s">
        <v>1056</v>
      </c>
      <c r="G50" s="353" t="s">
        <v>1065</v>
      </c>
    </row>
    <row r="51" spans="2:9" ht="16" thickBot="1" x14ac:dyDescent="0.25">
      <c r="B51" s="370"/>
      <c r="G51" s="354"/>
    </row>
    <row r="52" spans="2:9" ht="16" thickBot="1" x14ac:dyDescent="0.25">
      <c r="G52" s="355"/>
    </row>
    <row r="53" spans="2:9" ht="15" customHeight="1" x14ac:dyDescent="0.2">
      <c r="B53" s="369" t="s">
        <v>1057</v>
      </c>
    </row>
    <row r="54" spans="2:9" ht="16" thickBot="1" x14ac:dyDescent="0.25">
      <c r="B54" s="370"/>
    </row>
    <row r="55" spans="2:9" ht="16" thickBot="1" x14ac:dyDescent="0.25"/>
    <row r="56" spans="2:9" ht="22.5" customHeight="1" x14ac:dyDescent="0.2">
      <c r="B56" s="359" t="s">
        <v>1058</v>
      </c>
      <c r="E56" s="369" t="s">
        <v>1064</v>
      </c>
    </row>
    <row r="57" spans="2:9" ht="22.5" customHeight="1" thickBot="1" x14ac:dyDescent="0.25">
      <c r="B57" s="360"/>
      <c r="E57" s="370"/>
    </row>
    <row r="58" spans="2:9" ht="15.75" customHeight="1" thickBot="1" x14ac:dyDescent="0.25">
      <c r="I58" s="356" t="s">
        <v>1066</v>
      </c>
    </row>
    <row r="59" spans="2:9" ht="15" customHeight="1" x14ac:dyDescent="0.2">
      <c r="B59" s="369" t="s">
        <v>1059</v>
      </c>
      <c r="I59" s="357"/>
    </row>
    <row r="60" spans="2:9" ht="16" thickBot="1" x14ac:dyDescent="0.25">
      <c r="B60" s="370"/>
      <c r="I60" s="357"/>
    </row>
    <row r="61" spans="2:9" ht="16" thickBot="1" x14ac:dyDescent="0.25">
      <c r="I61" s="358"/>
    </row>
    <row r="62" spans="2:9" ht="15" customHeight="1" x14ac:dyDescent="0.2">
      <c r="B62" s="369" t="s">
        <v>1060</v>
      </c>
    </row>
    <row r="63" spans="2:9" ht="16" thickBot="1" x14ac:dyDescent="0.25">
      <c r="B63" s="370"/>
    </row>
    <row r="64" spans="2:9" ht="15" customHeight="1" thickBot="1" x14ac:dyDescent="0.25"/>
    <row r="65" spans="2:11" ht="15.75" customHeight="1" thickBot="1" x14ac:dyDescent="0.25">
      <c r="K65" s="350" t="s">
        <v>1067</v>
      </c>
    </row>
    <row r="66" spans="2:11" x14ac:dyDescent="0.2">
      <c r="B66" s="361" t="s">
        <v>381</v>
      </c>
      <c r="K66" s="351"/>
    </row>
    <row r="67" spans="2:11" ht="16" thickBot="1" x14ac:dyDescent="0.25">
      <c r="B67" s="362"/>
      <c r="K67" s="351"/>
    </row>
    <row r="68" spans="2:11" ht="16" thickBot="1" x14ac:dyDescent="0.25">
      <c r="K68" s="352"/>
    </row>
    <row r="69" spans="2:11" ht="16" thickBot="1" x14ac:dyDescent="0.25"/>
    <row r="70" spans="2:11" ht="15" customHeight="1" x14ac:dyDescent="0.2">
      <c r="B70" s="371" t="s">
        <v>1061</v>
      </c>
    </row>
    <row r="71" spans="2:11" ht="16" thickBot="1" x14ac:dyDescent="0.25">
      <c r="B71" s="372"/>
    </row>
    <row r="72" spans="2:11" ht="16" thickBot="1" x14ac:dyDescent="0.25"/>
    <row r="73" spans="2:11" x14ac:dyDescent="0.2">
      <c r="B73" s="363" t="s">
        <v>1062</v>
      </c>
    </row>
    <row r="74" spans="2:11" ht="16" thickBot="1" x14ac:dyDescent="0.25">
      <c r="B74" s="364"/>
    </row>
    <row r="80" spans="2:11" ht="23" x14ac:dyDescent="0.2">
      <c r="E80" s="233" t="s">
        <v>917</v>
      </c>
    </row>
    <row r="81" spans="2:9" ht="16" thickBot="1" x14ac:dyDescent="0.25"/>
    <row r="82" spans="2:9" x14ac:dyDescent="0.2">
      <c r="B82" s="367" t="s">
        <v>226</v>
      </c>
    </row>
    <row r="83" spans="2:9" ht="16" thickBot="1" x14ac:dyDescent="0.25">
      <c r="B83" s="368"/>
    </row>
    <row r="85" spans="2:9" ht="16" thickBot="1" x14ac:dyDescent="0.25"/>
    <row r="86" spans="2:9" ht="15" customHeight="1" x14ac:dyDescent="0.2">
      <c r="B86" s="369" t="s">
        <v>1056</v>
      </c>
      <c r="G86" s="353" t="s">
        <v>1069</v>
      </c>
    </row>
    <row r="87" spans="2:9" ht="16" thickBot="1" x14ac:dyDescent="0.25">
      <c r="B87" s="370"/>
      <c r="G87" s="354"/>
    </row>
    <row r="88" spans="2:9" ht="16" thickBot="1" x14ac:dyDescent="0.25">
      <c r="G88" s="355"/>
    </row>
    <row r="89" spans="2:9" ht="15" customHeight="1" x14ac:dyDescent="0.2">
      <c r="B89" s="369" t="s">
        <v>1057</v>
      </c>
    </row>
    <row r="90" spans="2:9" ht="16" thickBot="1" x14ac:dyDescent="0.25">
      <c r="B90" s="370"/>
    </row>
    <row r="91" spans="2:9" ht="16" thickBot="1" x14ac:dyDescent="0.25"/>
    <row r="92" spans="2:9" ht="22.5" customHeight="1" x14ac:dyDescent="0.2">
      <c r="B92" s="369" t="s">
        <v>1058</v>
      </c>
      <c r="E92" s="369" t="s">
        <v>1068</v>
      </c>
    </row>
    <row r="93" spans="2:9" ht="22.5" customHeight="1" thickBot="1" x14ac:dyDescent="0.25">
      <c r="B93" s="370"/>
      <c r="E93" s="370"/>
    </row>
    <row r="94" spans="2:9" ht="15.75" customHeight="1" thickBot="1" x14ac:dyDescent="0.25">
      <c r="I94" s="356" t="s">
        <v>1070</v>
      </c>
    </row>
    <row r="95" spans="2:9" x14ac:dyDescent="0.2">
      <c r="B95" s="359" t="s">
        <v>1059</v>
      </c>
      <c r="I95" s="357"/>
    </row>
    <row r="96" spans="2:9" ht="16" thickBot="1" x14ac:dyDescent="0.25">
      <c r="B96" s="360"/>
      <c r="I96" s="357"/>
    </row>
    <row r="97" spans="2:11" ht="16" thickBot="1" x14ac:dyDescent="0.25">
      <c r="I97" s="358"/>
    </row>
    <row r="98" spans="2:11" x14ac:dyDescent="0.2">
      <c r="B98" s="359" t="s">
        <v>1060</v>
      </c>
    </row>
    <row r="99" spans="2:11" ht="16" thickBot="1" x14ac:dyDescent="0.25">
      <c r="B99" s="360"/>
    </row>
    <row r="100" spans="2:11" ht="16" thickBot="1" x14ac:dyDescent="0.25"/>
    <row r="101" spans="2:11" ht="15.75" customHeight="1" thickBot="1" x14ac:dyDescent="0.25">
      <c r="K101" s="350" t="s">
        <v>1071</v>
      </c>
    </row>
    <row r="102" spans="2:11" x14ac:dyDescent="0.2">
      <c r="B102" s="361" t="s">
        <v>381</v>
      </c>
      <c r="K102" s="351"/>
    </row>
    <row r="103" spans="2:11" ht="16" thickBot="1" x14ac:dyDescent="0.25">
      <c r="B103" s="362"/>
      <c r="K103" s="351"/>
    </row>
    <row r="104" spans="2:11" ht="16" thickBot="1" x14ac:dyDescent="0.25">
      <c r="K104" s="352"/>
    </row>
    <row r="105" spans="2:11" ht="16" thickBot="1" x14ac:dyDescent="0.25"/>
    <row r="106" spans="2:11" x14ac:dyDescent="0.2">
      <c r="B106" s="363" t="s">
        <v>1061</v>
      </c>
    </row>
    <row r="107" spans="2:11" ht="15.75" customHeight="1" thickBot="1" x14ac:dyDescent="0.25">
      <c r="B107" s="364"/>
    </row>
    <row r="108" spans="2:11" ht="16" thickBot="1" x14ac:dyDescent="0.25"/>
    <row r="109" spans="2:11" ht="15" customHeight="1" x14ac:dyDescent="0.2">
      <c r="B109" s="365" t="s">
        <v>1062</v>
      </c>
    </row>
    <row r="110" spans="2:11" ht="16" thickBot="1" x14ac:dyDescent="0.25">
      <c r="B110" s="366"/>
    </row>
  </sheetData>
  <mergeCells count="43">
    <mergeCell ref="B17:B18"/>
    <mergeCell ref="B20:B21"/>
    <mergeCell ref="B23:B24"/>
    <mergeCell ref="G14:G15"/>
    <mergeCell ref="B46:B47"/>
    <mergeCell ref="B30:B31"/>
    <mergeCell ref="B34:B35"/>
    <mergeCell ref="B37:B38"/>
    <mergeCell ref="E20:E21"/>
    <mergeCell ref="B26:B27"/>
    <mergeCell ref="B4:J4"/>
    <mergeCell ref="D5:G5"/>
    <mergeCell ref="D6:G6"/>
    <mergeCell ref="B10:B11"/>
    <mergeCell ref="B14:B15"/>
    <mergeCell ref="E56:E57"/>
    <mergeCell ref="B59:B60"/>
    <mergeCell ref="I22:I23"/>
    <mergeCell ref="E35:E37"/>
    <mergeCell ref="K29:K30"/>
    <mergeCell ref="B62:B63"/>
    <mergeCell ref="B66:B67"/>
    <mergeCell ref="B70:B71"/>
    <mergeCell ref="B73:B74"/>
    <mergeCell ref="B50:B51"/>
    <mergeCell ref="B53:B54"/>
    <mergeCell ref="B56:B57"/>
    <mergeCell ref="B82:B83"/>
    <mergeCell ref="B86:B87"/>
    <mergeCell ref="B89:B90"/>
    <mergeCell ref="B92:B93"/>
    <mergeCell ref="E92:E93"/>
    <mergeCell ref="B95:B96"/>
    <mergeCell ref="B98:B99"/>
    <mergeCell ref="B102:B103"/>
    <mergeCell ref="B106:B107"/>
    <mergeCell ref="B109:B110"/>
    <mergeCell ref="K65:K68"/>
    <mergeCell ref="G86:G88"/>
    <mergeCell ref="I94:I97"/>
    <mergeCell ref="K101:K104"/>
    <mergeCell ref="G50:G52"/>
    <mergeCell ref="I58:I61"/>
  </mergeCells>
  <hyperlinks>
    <hyperlink ref="D5" location="Overview!A44:L75" display="Public Health System Risk Assessment" xr:uid="{00000000-0004-0000-0300-000000000000}"/>
    <hyperlink ref="D6" location="Overview!A80:L111" display="Healthcare System Risk Assessment" xr:uid="{00000000-0004-0000-0300-000001000000}"/>
  </hyperlinks>
  <pageMargins left="0.7" right="0.7" top="0.75" bottom="0.75" header="0.3" footer="0.3"/>
  <pageSetup scale="73" fitToHeight="3" orientation="landscape" r:id="rId1"/>
  <rowBreaks count="2" manualBreakCount="2">
    <brk id="39" max="11" man="1"/>
    <brk id="78" max="11" man="1"/>
  </rowBreaks>
  <drawing r:id="rId2"/>
  <legacy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pageSetUpPr fitToPage="1"/>
  </sheetPr>
  <dimension ref="A1:AF157"/>
  <sheetViews>
    <sheetView showGridLines="0" showRowColHeaders="0" zoomScaleNormal="100" zoomScaleSheetLayoutView="40" workbookViewId="0">
      <pane xSplit="2" ySplit="6" topLeftCell="C7" activePane="bottomRight" state="frozen"/>
      <selection pane="topRight" activeCell="C1" sqref="C1"/>
      <selection pane="bottomLeft" activeCell="A7" sqref="A7"/>
      <selection pane="bottomRight"/>
    </sheetView>
  </sheetViews>
  <sheetFormatPr baseColWidth="10" defaultColWidth="9.1640625" defaultRowHeight="15" x14ac:dyDescent="0.2"/>
  <cols>
    <col min="1" max="1" width="20.6640625" style="12" customWidth="1"/>
    <col min="2" max="2" width="31.5" style="12" customWidth="1"/>
    <col min="3" max="32" width="21.5" style="12" customWidth="1"/>
    <col min="33" max="16384" width="9.1640625" style="12"/>
  </cols>
  <sheetData>
    <row r="1" spans="1:32" x14ac:dyDescent="0.2">
      <c r="F1" s="29"/>
      <c r="G1" s="29"/>
    </row>
    <row r="2" spans="1:32" ht="33" x14ac:dyDescent="0.2">
      <c r="E2" s="16" t="s">
        <v>1038</v>
      </c>
      <c r="H2" s="29"/>
    </row>
    <row r="3" spans="1:32" ht="23" x14ac:dyDescent="0.25">
      <c r="E3" s="30" t="s">
        <v>23</v>
      </c>
      <c r="H3" s="29"/>
      <c r="I3" s="29"/>
      <c r="K3" s="31"/>
      <c r="U3" s="31"/>
      <c r="AE3" s="31"/>
    </row>
    <row r="4" spans="1:32" ht="16" x14ac:dyDescent="0.2">
      <c r="G4" s="32"/>
      <c r="H4" s="29"/>
      <c r="I4" s="29"/>
    </row>
    <row r="5" spans="1:32" x14ac:dyDescent="0.2">
      <c r="W5" s="235" t="s">
        <v>1044</v>
      </c>
      <c r="X5" s="235" t="s">
        <v>1045</v>
      </c>
      <c r="Y5" s="235" t="s">
        <v>1046</v>
      </c>
      <c r="Z5" s="235" t="s">
        <v>1047</v>
      </c>
      <c r="AA5" s="235" t="s">
        <v>1048</v>
      </c>
      <c r="AB5" s="235" t="s">
        <v>1049</v>
      </c>
      <c r="AC5" s="235" t="s">
        <v>1050</v>
      </c>
      <c r="AD5" s="235" t="s">
        <v>1051</v>
      </c>
      <c r="AE5" s="235" t="s">
        <v>1052</v>
      </c>
      <c r="AF5" s="235" t="s">
        <v>1053</v>
      </c>
    </row>
    <row r="6" spans="1:32" ht="34" x14ac:dyDescent="0.2">
      <c r="C6" s="123" t="s">
        <v>15</v>
      </c>
      <c r="D6" s="123" t="s">
        <v>16</v>
      </c>
      <c r="E6" s="123" t="s">
        <v>17</v>
      </c>
      <c r="F6" s="123" t="s">
        <v>14</v>
      </c>
      <c r="G6" s="123" t="s">
        <v>3</v>
      </c>
      <c r="H6" s="123" t="s">
        <v>18</v>
      </c>
      <c r="I6" s="123" t="s">
        <v>382</v>
      </c>
      <c r="J6" s="123" t="s">
        <v>10</v>
      </c>
      <c r="K6" s="123" t="s">
        <v>11</v>
      </c>
      <c r="L6" s="123" t="s">
        <v>4</v>
      </c>
      <c r="M6" s="123" t="s">
        <v>20</v>
      </c>
      <c r="N6" s="123" t="s">
        <v>8</v>
      </c>
      <c r="O6" s="123" t="s">
        <v>13</v>
      </c>
      <c r="P6" s="123" t="s">
        <v>9</v>
      </c>
      <c r="Q6" s="123" t="s">
        <v>19</v>
      </c>
      <c r="R6" s="123" t="s">
        <v>6</v>
      </c>
      <c r="S6" s="123" t="s">
        <v>7</v>
      </c>
      <c r="T6" s="123" t="s">
        <v>12</v>
      </c>
      <c r="U6" s="123" t="s">
        <v>1039</v>
      </c>
      <c r="V6" s="123" t="s">
        <v>5</v>
      </c>
      <c r="W6" s="123" t="str">
        <f ca="1">IF(INDIRECT("'"&amp;W$5&amp;"'!$G$3")=0,"Additional Hazard 1",INDIRECT("'"&amp;W$5&amp;"'!$G$3"))</f>
        <v>Additional Hazard 1</v>
      </c>
      <c r="X6" s="123" t="str">
        <f ca="1">IF(INDIRECT("'"&amp;X$5&amp;"'!$G$3")=0,"Additional Hazard 2",INDIRECT("'"&amp;X$5&amp;"'!$G$3"))</f>
        <v>Additional Hazard 2</v>
      </c>
      <c r="Y6" s="123" t="str">
        <f ca="1">IF(INDIRECT("'"&amp;Y$5&amp;"'!$G$3")=0,"Additional Hazard 3",INDIRECT("'"&amp;Y$5&amp;"'!$G$3"))</f>
        <v>Additional Hazard 3</v>
      </c>
      <c r="Z6" s="123" t="str">
        <f ca="1">IF(INDIRECT("'"&amp;Z$5&amp;"'!$G$3")=0,"Additional Hazard 4",INDIRECT("'"&amp;Z$5&amp;"'!$G$3"))</f>
        <v>Additional Hazard 4</v>
      </c>
      <c r="AA6" s="123" t="str">
        <f ca="1">IF(INDIRECT("'"&amp;AA$5&amp;"'!$G$3")=0,"Additional Hazard 5",INDIRECT("'"&amp;AA$5&amp;"'!$G$3"))</f>
        <v>Additional Hazard 5</v>
      </c>
      <c r="AB6" s="123" t="str">
        <f ca="1">IF(INDIRECT("'"&amp;AB$5&amp;"'!$G$3")=0,"Additional Hazard 6",INDIRECT("'"&amp;AB$5&amp;"'!$G$3"))</f>
        <v>Additional Hazard 6</v>
      </c>
      <c r="AC6" s="123" t="str">
        <f ca="1">IF(INDIRECT("'"&amp;AC$5&amp;"'!$G$3")=0,"Additional Hazard 7",INDIRECT("'"&amp;AC$5&amp;"'!$G$3"))</f>
        <v>Additional Hazard 7</v>
      </c>
      <c r="AD6" s="123" t="str">
        <f ca="1">IF(INDIRECT("'"&amp;AD$5&amp;"'!$G$3")=0,"Additional Hazard 8",INDIRECT("'"&amp;AD$5&amp;"'!$G$3"))</f>
        <v>Additional Hazard 8</v>
      </c>
      <c r="AE6" s="123" t="str">
        <f ca="1">IF(INDIRECT("'"&amp;AE$5&amp;"'!$G$3")=0,"Additional Hazard 9",INDIRECT("'"&amp;AE$5&amp;"'!$G$3"))</f>
        <v>Additional Hazard 9</v>
      </c>
      <c r="AF6" s="123" t="str">
        <f ca="1">IF(INDIRECT("'"&amp;AF$5&amp;"'!$G$3")=0,"Additional Hazard 10",INDIRECT("'"&amp;AF$5&amp;"'!$G$3"))</f>
        <v>Additional Hazard 10</v>
      </c>
    </row>
    <row r="7" spans="1:32" ht="15" customHeight="1" x14ac:dyDescent="0.2">
      <c r="A7" s="482" t="s">
        <v>226</v>
      </c>
      <c r="B7" s="483"/>
      <c r="C7" s="128" t="str">
        <f ca="1">INDIRECT("'"&amp;C$6&amp;"'!$E$18")</f>
        <v>Occasional</v>
      </c>
      <c r="D7" s="128" t="str">
        <f t="shared" ref="D7:V7" ca="1" si="0">INDIRECT("'"&amp;D$6&amp;"'!$E$18")</f>
        <v>Remote</v>
      </c>
      <c r="E7" s="128" t="str">
        <f t="shared" ca="1" si="0"/>
        <v>Remote</v>
      </c>
      <c r="F7" s="128" t="str">
        <f t="shared" ca="1" si="0"/>
        <v>Occasional</v>
      </c>
      <c r="G7" s="128" t="str">
        <f t="shared" ca="1" si="0"/>
        <v>Improbable</v>
      </c>
      <c r="H7" s="128" t="str">
        <f t="shared" ca="1" si="0"/>
        <v>Occasional</v>
      </c>
      <c r="I7" s="128" t="str">
        <f t="shared" ca="1" si="0"/>
        <v>Remote</v>
      </c>
      <c r="J7" s="128" t="str">
        <f t="shared" ca="1" si="0"/>
        <v>Probable</v>
      </c>
      <c r="K7" s="128" t="str">
        <f t="shared" ca="1" si="0"/>
        <v>Occasional</v>
      </c>
      <c r="L7" s="128" t="str">
        <f t="shared" ca="1" si="0"/>
        <v>Probable</v>
      </c>
      <c r="M7" s="128" t="str">
        <f t="shared" ca="1" si="0"/>
        <v>Occasional</v>
      </c>
      <c r="N7" s="128" t="str">
        <f t="shared" ca="1" si="0"/>
        <v>Probable</v>
      </c>
      <c r="O7" s="128" t="str">
        <f t="shared" ca="1" si="0"/>
        <v>Improbable</v>
      </c>
      <c r="P7" s="128" t="str">
        <f t="shared" ca="1" si="0"/>
        <v>Occasional</v>
      </c>
      <c r="Q7" s="128" t="str">
        <f t="shared" ca="1" si="0"/>
        <v>Remote</v>
      </c>
      <c r="R7" s="128" t="str">
        <f t="shared" ca="1" si="0"/>
        <v>Probable</v>
      </c>
      <c r="S7" s="128" t="str">
        <f t="shared" ca="1" si="0"/>
        <v>Occasional</v>
      </c>
      <c r="T7" s="128" t="str">
        <f t="shared" ca="1" si="0"/>
        <v>Probable</v>
      </c>
      <c r="U7" s="128" t="str">
        <f ca="1">INDIRECT("'"&amp;U$6&amp;"'!$E$18")</f>
        <v>Improbable</v>
      </c>
      <c r="V7" s="128" t="str">
        <f t="shared" ca="1" si="0"/>
        <v>Frequent</v>
      </c>
      <c r="W7" s="128" t="str">
        <f ca="1">IF(INDIRECT("'"&amp;W$5&amp;"'!$G$3")=0,"",INDIRECT("'"&amp;W$5&amp;"'!$E$18"))</f>
        <v/>
      </c>
      <c r="X7" s="128" t="str">
        <f t="shared" ref="X7:AF7" ca="1" si="1">IF(INDIRECT("'"&amp;X$5&amp;"'!$G$3")=0,"",INDIRECT("'"&amp;X$5&amp;"'!$E$18"))</f>
        <v/>
      </c>
      <c r="Y7" s="128" t="str">
        <f t="shared" ca="1" si="1"/>
        <v/>
      </c>
      <c r="Z7" s="128" t="str">
        <f t="shared" ca="1" si="1"/>
        <v/>
      </c>
      <c r="AA7" s="128" t="str">
        <f t="shared" ca="1" si="1"/>
        <v/>
      </c>
      <c r="AB7" s="128" t="str">
        <f t="shared" ca="1" si="1"/>
        <v/>
      </c>
      <c r="AC7" s="128" t="str">
        <f t="shared" ca="1" si="1"/>
        <v/>
      </c>
      <c r="AD7" s="128" t="str">
        <f t="shared" ca="1" si="1"/>
        <v/>
      </c>
      <c r="AE7" s="128" t="str">
        <f t="shared" ca="1" si="1"/>
        <v/>
      </c>
      <c r="AF7" s="128" t="str">
        <f t="shared" ca="1" si="1"/>
        <v/>
      </c>
    </row>
    <row r="8" spans="1:32" x14ac:dyDescent="0.2">
      <c r="A8" s="492"/>
      <c r="B8" s="493"/>
      <c r="C8" s="141"/>
      <c r="D8" s="141"/>
      <c r="E8" s="141"/>
      <c r="F8" s="141"/>
      <c r="G8" s="141"/>
      <c r="H8" s="141"/>
      <c r="I8" s="141"/>
      <c r="J8" s="141"/>
      <c r="K8" s="141"/>
      <c r="L8" s="141"/>
      <c r="M8" s="141"/>
      <c r="N8" s="141"/>
      <c r="O8" s="141"/>
      <c r="P8" s="141"/>
      <c r="Q8" s="141"/>
      <c r="R8" s="141"/>
      <c r="S8" s="141"/>
      <c r="T8" s="141"/>
      <c r="U8" s="141"/>
      <c r="V8" s="141"/>
      <c r="W8" s="141"/>
      <c r="X8" s="141"/>
      <c r="Y8" s="141"/>
      <c r="Z8" s="141"/>
      <c r="AA8" s="141"/>
      <c r="AB8" s="141"/>
      <c r="AC8" s="141"/>
      <c r="AD8" s="141"/>
      <c r="AE8" s="141"/>
      <c r="AF8" s="141"/>
    </row>
    <row r="9" spans="1:32" ht="15.75" customHeight="1" x14ac:dyDescent="0.2">
      <c r="A9" s="494" t="s">
        <v>26</v>
      </c>
      <c r="B9" s="495"/>
      <c r="C9" s="141"/>
      <c r="D9" s="141"/>
      <c r="E9" s="141"/>
      <c r="F9" s="141"/>
      <c r="G9" s="141"/>
      <c r="H9" s="141"/>
      <c r="I9" s="141"/>
      <c r="J9" s="141"/>
      <c r="K9" s="141"/>
      <c r="L9" s="141"/>
      <c r="M9" s="141"/>
      <c r="N9" s="141"/>
      <c r="O9" s="141"/>
      <c r="P9" s="141"/>
      <c r="Q9" s="141"/>
      <c r="R9" s="141"/>
      <c r="S9" s="141"/>
      <c r="T9" s="141"/>
      <c r="U9" s="141"/>
      <c r="V9" s="141"/>
      <c r="W9" s="141"/>
      <c r="X9" s="141"/>
      <c r="Y9" s="141"/>
      <c r="Z9" s="141"/>
      <c r="AA9" s="141"/>
      <c r="AB9" s="141"/>
      <c r="AC9" s="141"/>
      <c r="AD9" s="141"/>
      <c r="AE9" s="141"/>
      <c r="AF9" s="141"/>
    </row>
    <row r="10" spans="1:32" ht="15" customHeight="1" x14ac:dyDescent="0.2">
      <c r="A10" s="482" t="s">
        <v>632</v>
      </c>
      <c r="B10" s="483"/>
      <c r="C10" s="147">
        <f ca="1">IF(INDIRECT("'"&amp;C$6&amp;"'!$J$34")="N/A",INDIRECT("'"&amp;C$6&amp;"'!$J$26"),INDIRECT("'"&amp;C$6&amp;"'!$J$33"))</f>
        <v>33</v>
      </c>
      <c r="D10" s="147">
        <f t="shared" ref="D10:V10" ca="1" si="2">IF(INDIRECT("'"&amp;D$6&amp;"'!$J$34")="N/A",INDIRECT("'"&amp;D$6&amp;"'!$J$26"),INDIRECT("'"&amp;D$6&amp;"'!$J$33"))</f>
        <v>34</v>
      </c>
      <c r="E10" s="147">
        <f t="shared" ca="1" si="2"/>
        <v>0</v>
      </c>
      <c r="F10" s="147">
        <f t="shared" ca="1" si="2"/>
        <v>0</v>
      </c>
      <c r="G10" s="147">
        <f t="shared" ca="1" si="2"/>
        <v>0</v>
      </c>
      <c r="H10" s="147">
        <f t="shared" ca="1" si="2"/>
        <v>0</v>
      </c>
      <c r="I10" s="147">
        <f t="shared" ca="1" si="2"/>
        <v>0</v>
      </c>
      <c r="J10" s="147">
        <f t="shared" ca="1" si="2"/>
        <v>0</v>
      </c>
      <c r="K10" s="147">
        <f t="shared" ca="1" si="2"/>
        <v>10</v>
      </c>
      <c r="L10" s="147">
        <f t="shared" ca="1" si="2"/>
        <v>7</v>
      </c>
      <c r="M10" s="147">
        <f t="shared" ca="1" si="2"/>
        <v>9</v>
      </c>
      <c r="N10" s="147">
        <f t="shared" ca="1" si="2"/>
        <v>0</v>
      </c>
      <c r="O10" s="147">
        <f t="shared" ca="1" si="2"/>
        <v>0</v>
      </c>
      <c r="P10" s="147">
        <f t="shared" ca="1" si="2"/>
        <v>0</v>
      </c>
      <c r="Q10" s="147">
        <f t="shared" ca="1" si="2"/>
        <v>0</v>
      </c>
      <c r="R10" s="147">
        <f t="shared" ca="1" si="2"/>
        <v>0</v>
      </c>
      <c r="S10" s="147">
        <f t="shared" ca="1" si="2"/>
        <v>160</v>
      </c>
      <c r="T10" s="147">
        <f t="shared" ca="1" si="2"/>
        <v>2</v>
      </c>
      <c r="U10" s="147">
        <f ca="1">IF(INDIRECT("'"&amp;U$6&amp;"'!$J$34")="N/A",INDIRECT("'"&amp;U$6&amp;"'!$J$26"),INDIRECT("'"&amp;U$6&amp;"'!$J$33"))</f>
        <v>0</v>
      </c>
      <c r="V10" s="147">
        <f t="shared" ca="1" si="2"/>
        <v>0</v>
      </c>
      <c r="W10" s="147" t="str">
        <f ca="1">IF(INDIRECT("'"&amp;W$5&amp;"'!$G$3")=0,"",IF(INDIRECT("'"&amp;W$5&amp;"'!$J$34")="N/A",INDIRECT("'"&amp;W$5&amp;"'!$J$26"),INDIRECT("'"&amp;W$5&amp;"'!$J$33")))</f>
        <v/>
      </c>
      <c r="X10" s="147" t="str">
        <f t="shared" ref="X10:AF10" ca="1" si="3">IF(INDIRECT("'"&amp;X$5&amp;"'!$G$3")=0,"",IF(INDIRECT("'"&amp;X$5&amp;"'!$J$34")="N/A",INDIRECT("'"&amp;X$5&amp;"'!$J$26"),INDIRECT("'"&amp;X$5&amp;"'!$J$33")))</f>
        <v/>
      </c>
      <c r="Y10" s="147" t="str">
        <f t="shared" ca="1" si="3"/>
        <v/>
      </c>
      <c r="Z10" s="147" t="str">
        <f t="shared" ca="1" si="3"/>
        <v/>
      </c>
      <c r="AA10" s="147" t="str">
        <f t="shared" ca="1" si="3"/>
        <v/>
      </c>
      <c r="AB10" s="147" t="str">
        <f t="shared" ca="1" si="3"/>
        <v/>
      </c>
      <c r="AC10" s="147" t="str">
        <f t="shared" ca="1" si="3"/>
        <v/>
      </c>
      <c r="AD10" s="147" t="str">
        <f t="shared" ca="1" si="3"/>
        <v/>
      </c>
      <c r="AE10" s="147" t="str">
        <f t="shared" ca="1" si="3"/>
        <v/>
      </c>
      <c r="AF10" s="147" t="str">
        <f t="shared" ca="1" si="3"/>
        <v/>
      </c>
    </row>
    <row r="11" spans="1:32" ht="15" customHeight="1" x14ac:dyDescent="0.2">
      <c r="A11" s="482" t="s">
        <v>633</v>
      </c>
      <c r="B11" s="483"/>
      <c r="C11" s="147">
        <f ca="1">IF(INDIRECT("'"&amp;C$6&amp;"'!$J$53")="N/A",INDIRECT("'"&amp;C$6&amp;"'!$J$45"),INDIRECT("'"&amp;C$6&amp;"'!$J$52"))</f>
        <v>17</v>
      </c>
      <c r="D11" s="147">
        <f t="shared" ref="D11:V11" ca="1" si="4">IF(INDIRECT("'"&amp;D$6&amp;"'!$J$53")="N/A",INDIRECT("'"&amp;D$6&amp;"'!$J$45"),INDIRECT("'"&amp;D$6&amp;"'!$J$52"))</f>
        <v>2.57</v>
      </c>
      <c r="E11" s="147">
        <f t="shared" ca="1" si="4"/>
        <v>0</v>
      </c>
      <c r="F11" s="147">
        <f t="shared" ca="1" si="4"/>
        <v>7</v>
      </c>
      <c r="G11" s="147">
        <f t="shared" ca="1" si="4"/>
        <v>0</v>
      </c>
      <c r="H11" s="147">
        <f t="shared" ca="1" si="4"/>
        <v>0</v>
      </c>
      <c r="I11" s="147">
        <f t="shared" ca="1" si="4"/>
        <v>0</v>
      </c>
      <c r="J11" s="147">
        <f t="shared" ca="1" si="4"/>
        <v>0</v>
      </c>
      <c r="K11" s="147">
        <f t="shared" ca="1" si="4"/>
        <v>50</v>
      </c>
      <c r="L11" s="147">
        <f t="shared" ca="1" si="4"/>
        <v>0</v>
      </c>
      <c r="M11" s="147">
        <f t="shared" ca="1" si="4"/>
        <v>511</v>
      </c>
      <c r="N11" s="147">
        <f t="shared" ca="1" si="4"/>
        <v>12</v>
      </c>
      <c r="O11" s="147">
        <f t="shared" ca="1" si="4"/>
        <v>0</v>
      </c>
      <c r="P11" s="147">
        <f t="shared" ca="1" si="4"/>
        <v>0</v>
      </c>
      <c r="Q11" s="147">
        <f t="shared" ca="1" si="4"/>
        <v>0</v>
      </c>
      <c r="R11" s="147">
        <f t="shared" ca="1" si="4"/>
        <v>0</v>
      </c>
      <c r="S11" s="147">
        <f t="shared" ca="1" si="4"/>
        <v>1000</v>
      </c>
      <c r="T11" s="147">
        <f t="shared" ca="1" si="4"/>
        <v>0</v>
      </c>
      <c r="U11" s="147">
        <f ca="1">IF(INDIRECT("'"&amp;U$6&amp;"'!$J$53")="N/A",INDIRECT("'"&amp;U$6&amp;"'!$J$45"),INDIRECT("'"&amp;U$6&amp;"'!$J$52"))</f>
        <v>0</v>
      </c>
      <c r="V11" s="147">
        <f t="shared" ca="1" si="4"/>
        <v>0</v>
      </c>
      <c r="W11" s="147" t="str">
        <f ca="1">IF(INDIRECT("'"&amp;W$5&amp;"'!$G$3")=0,"",IF(INDIRECT("'"&amp;W$5&amp;"'!$J$53")="N/A",INDIRECT("'"&amp;W$5&amp;"'!$J$45"),INDIRECT("'"&amp;W$5&amp;"'!$J$52")))</f>
        <v/>
      </c>
      <c r="X11" s="147" t="str">
        <f t="shared" ref="X11:AF11" ca="1" si="5">IF(INDIRECT("'"&amp;X$5&amp;"'!$G$3")=0,"",IF(INDIRECT("'"&amp;X$5&amp;"'!$J$53")="N/A",INDIRECT("'"&amp;X$5&amp;"'!$J$45"),INDIRECT("'"&amp;X$5&amp;"'!$J$52")))</f>
        <v/>
      </c>
      <c r="Y11" s="147" t="str">
        <f t="shared" ca="1" si="5"/>
        <v/>
      </c>
      <c r="Z11" s="147" t="str">
        <f t="shared" ca="1" si="5"/>
        <v/>
      </c>
      <c r="AA11" s="147" t="str">
        <f t="shared" ca="1" si="5"/>
        <v/>
      </c>
      <c r="AB11" s="147" t="str">
        <f t="shared" ca="1" si="5"/>
        <v/>
      </c>
      <c r="AC11" s="147" t="str">
        <f t="shared" ca="1" si="5"/>
        <v/>
      </c>
      <c r="AD11" s="147" t="str">
        <f t="shared" ca="1" si="5"/>
        <v/>
      </c>
      <c r="AE11" s="147" t="str">
        <f t="shared" ca="1" si="5"/>
        <v/>
      </c>
      <c r="AF11" s="147" t="str">
        <f t="shared" ca="1" si="5"/>
        <v/>
      </c>
    </row>
    <row r="12" spans="1:32" ht="15" customHeight="1" x14ac:dyDescent="0.2">
      <c r="A12" s="482" t="s">
        <v>639</v>
      </c>
      <c r="B12" s="483"/>
      <c r="C12" s="147">
        <f ca="1">IF(INDIRECT("'"&amp;C$6&amp;"'!$J$72")="N/A",INDIRECT("'"&amp;C$6&amp;"'!$J$64"),INDIRECT("'"&amp;C$6&amp;"'!$J$71"))</f>
        <v>27</v>
      </c>
      <c r="D12" s="147">
        <f t="shared" ref="D12:V12" ca="1" si="6">IF(INDIRECT("'"&amp;D$6&amp;"'!$J$72")="N/A",INDIRECT("'"&amp;D$6&amp;"'!$J$64"),INDIRECT("'"&amp;D$6&amp;"'!$J$71"))</f>
        <v>9</v>
      </c>
      <c r="E12" s="147">
        <f t="shared" ca="1" si="6"/>
        <v>0</v>
      </c>
      <c r="F12" s="147">
        <f t="shared" ca="1" si="6"/>
        <v>7</v>
      </c>
      <c r="G12" s="147">
        <f t="shared" ca="1" si="6"/>
        <v>0</v>
      </c>
      <c r="H12" s="147">
        <f t="shared" ca="1" si="6"/>
        <v>0</v>
      </c>
      <c r="I12" s="147">
        <f t="shared" ca="1" si="6"/>
        <v>0</v>
      </c>
      <c r="J12" s="147">
        <f t="shared" ca="1" si="6"/>
        <v>0</v>
      </c>
      <c r="K12" s="147">
        <f t="shared" ca="1" si="6"/>
        <v>1</v>
      </c>
      <c r="L12" s="147">
        <f t="shared" ca="1" si="6"/>
        <v>0</v>
      </c>
      <c r="M12" s="147">
        <f t="shared" ca="1" si="6"/>
        <v>511</v>
      </c>
      <c r="N12" s="147">
        <f t="shared" ca="1" si="6"/>
        <v>0</v>
      </c>
      <c r="O12" s="147">
        <f t="shared" ca="1" si="6"/>
        <v>0</v>
      </c>
      <c r="P12" s="147">
        <f t="shared" ca="1" si="6"/>
        <v>0</v>
      </c>
      <c r="Q12" s="147">
        <f t="shared" ca="1" si="6"/>
        <v>50000</v>
      </c>
      <c r="R12" s="147">
        <f t="shared" ca="1" si="6"/>
        <v>0</v>
      </c>
      <c r="S12" s="147">
        <f t="shared" ca="1" si="6"/>
        <v>1000</v>
      </c>
      <c r="T12" s="147">
        <f t="shared" ca="1" si="6"/>
        <v>0</v>
      </c>
      <c r="U12" s="147">
        <f ca="1">IF(INDIRECT("'"&amp;U$6&amp;"'!$J$72")="N/A",INDIRECT("'"&amp;U$6&amp;"'!$J$64"),INDIRECT("'"&amp;U$6&amp;"'!$J$71"))</f>
        <v>0</v>
      </c>
      <c r="V12" s="147">
        <f t="shared" ca="1" si="6"/>
        <v>0</v>
      </c>
      <c r="W12" s="147" t="str">
        <f ca="1">IF(INDIRECT("'"&amp;W$5&amp;"'!$G$3")=0,"",IF(INDIRECT("'"&amp;W$5&amp;"'!$J$72")="N/A",INDIRECT("'"&amp;W$5&amp;"'!$J$64"),INDIRECT("'"&amp;W$5&amp;"'!$J$71")))</f>
        <v/>
      </c>
      <c r="X12" s="147" t="str">
        <f t="shared" ref="X12:AF12" ca="1" si="7">IF(INDIRECT("'"&amp;X$5&amp;"'!$G$3")=0,"",IF(INDIRECT("'"&amp;X$5&amp;"'!$J$72")="N/A",INDIRECT("'"&amp;X$5&amp;"'!$J$64"),INDIRECT("'"&amp;X$5&amp;"'!$J$71")))</f>
        <v/>
      </c>
      <c r="Y12" s="147" t="str">
        <f t="shared" ca="1" si="7"/>
        <v/>
      </c>
      <c r="Z12" s="147" t="str">
        <f t="shared" ca="1" si="7"/>
        <v/>
      </c>
      <c r="AA12" s="147" t="str">
        <f t="shared" ca="1" si="7"/>
        <v/>
      </c>
      <c r="AB12" s="147" t="str">
        <f t="shared" ca="1" si="7"/>
        <v/>
      </c>
      <c r="AC12" s="147" t="str">
        <f t="shared" ca="1" si="7"/>
        <v/>
      </c>
      <c r="AD12" s="147" t="str">
        <f t="shared" ca="1" si="7"/>
        <v/>
      </c>
      <c r="AE12" s="147" t="str">
        <f t="shared" ca="1" si="7"/>
        <v/>
      </c>
      <c r="AF12" s="147" t="str">
        <f t="shared" ca="1" si="7"/>
        <v/>
      </c>
    </row>
    <row r="13" spans="1:32" ht="15" customHeight="1" x14ac:dyDescent="0.2">
      <c r="A13" s="482" t="s">
        <v>640</v>
      </c>
      <c r="B13" s="483"/>
      <c r="C13" s="147">
        <f ca="1">IF(INDIRECT("'"&amp;C$6&amp;"'!$J$91")="N/A",INDIRECT("'"&amp;C$6&amp;"'!$J$83"),INDIRECT("'"&amp;C$6&amp;"'!$J$90"))</f>
        <v>0</v>
      </c>
      <c r="D13" s="147">
        <f t="shared" ref="D13:V13" ca="1" si="8">IF(INDIRECT("'"&amp;D$6&amp;"'!$J$91")="N/A",INDIRECT("'"&amp;D$6&amp;"'!$J$83"),INDIRECT("'"&amp;D$6&amp;"'!$J$90"))</f>
        <v>1715</v>
      </c>
      <c r="E13" s="147">
        <f t="shared" ca="1" si="8"/>
        <v>0</v>
      </c>
      <c r="F13" s="147">
        <f t="shared" ca="1" si="8"/>
        <v>0</v>
      </c>
      <c r="G13" s="147">
        <f t="shared" ca="1" si="8"/>
        <v>0</v>
      </c>
      <c r="H13" s="147">
        <f t="shared" ca="1" si="8"/>
        <v>0</v>
      </c>
      <c r="I13" s="147">
        <f t="shared" ca="1" si="8"/>
        <v>0</v>
      </c>
      <c r="J13" s="147">
        <f t="shared" ca="1" si="8"/>
        <v>0</v>
      </c>
      <c r="K13" s="147">
        <f t="shared" ca="1" si="8"/>
        <v>0</v>
      </c>
      <c r="L13" s="147">
        <f t="shared" ca="1" si="8"/>
        <v>0</v>
      </c>
      <c r="M13" s="147">
        <f t="shared" ca="1" si="8"/>
        <v>18</v>
      </c>
      <c r="N13" s="147">
        <f t="shared" ca="1" si="8"/>
        <v>0</v>
      </c>
      <c r="O13" s="147">
        <f t="shared" ca="1" si="8"/>
        <v>0</v>
      </c>
      <c r="P13" s="147">
        <f t="shared" ca="1" si="8"/>
        <v>0</v>
      </c>
      <c r="Q13" s="147">
        <f t="shared" ca="1" si="8"/>
        <v>0</v>
      </c>
      <c r="R13" s="147">
        <f t="shared" ca="1" si="8"/>
        <v>0</v>
      </c>
      <c r="S13" s="147">
        <f t="shared" ca="1" si="8"/>
        <v>0</v>
      </c>
      <c r="T13" s="147">
        <f t="shared" ca="1" si="8"/>
        <v>0</v>
      </c>
      <c r="U13" s="147">
        <f ca="1">IF(INDIRECT("'"&amp;U$6&amp;"'!$J$91")="N/A",INDIRECT("'"&amp;U$6&amp;"'!$J$83"),INDIRECT("'"&amp;U$6&amp;"'!$J$90"))</f>
        <v>0</v>
      </c>
      <c r="V13" s="147">
        <f t="shared" ca="1" si="8"/>
        <v>0</v>
      </c>
      <c r="W13" s="147" t="str">
        <f ca="1">IF(INDIRECT("'"&amp;W$5&amp;"'!$G$3")=0,"",IF(INDIRECT("'"&amp;W$5&amp;"'!$J$91")="N/A",INDIRECT("'"&amp;W$5&amp;"'!$J$83"),INDIRECT("'"&amp;W$5&amp;"'!$J$90")))</f>
        <v/>
      </c>
      <c r="X13" s="147" t="str">
        <f t="shared" ref="X13:AF13" ca="1" si="9">IF(INDIRECT("'"&amp;X$5&amp;"'!$G$3")=0,"",IF(INDIRECT("'"&amp;X$5&amp;"'!$J$91")="N/A",INDIRECT("'"&amp;X$5&amp;"'!$J$83"),INDIRECT("'"&amp;X$5&amp;"'!$J$90")))</f>
        <v/>
      </c>
      <c r="Y13" s="147" t="str">
        <f t="shared" ca="1" si="9"/>
        <v/>
      </c>
      <c r="Z13" s="147" t="str">
        <f t="shared" ca="1" si="9"/>
        <v/>
      </c>
      <c r="AA13" s="147" t="str">
        <f t="shared" ca="1" si="9"/>
        <v/>
      </c>
      <c r="AB13" s="147" t="str">
        <f t="shared" ca="1" si="9"/>
        <v/>
      </c>
      <c r="AC13" s="147" t="str">
        <f t="shared" ca="1" si="9"/>
        <v/>
      </c>
      <c r="AD13" s="147" t="str">
        <f t="shared" ca="1" si="9"/>
        <v/>
      </c>
      <c r="AE13" s="147" t="str">
        <f t="shared" ca="1" si="9"/>
        <v/>
      </c>
      <c r="AF13" s="147" t="str">
        <f t="shared" ca="1" si="9"/>
        <v/>
      </c>
    </row>
    <row r="14" spans="1:32" ht="30" customHeight="1" x14ac:dyDescent="0.2">
      <c r="A14" s="482" t="s">
        <v>641</v>
      </c>
      <c r="B14" s="483"/>
      <c r="C14" s="147">
        <f ca="1">IF(INDIRECT("'"&amp;C$6&amp;"'!$J$110")="N/A",INDIRECT("'"&amp;C$6&amp;"'!$J$102"),INDIRECT("'"&amp;C$6&amp;"'!$J$109"))</f>
        <v>12</v>
      </c>
      <c r="D14" s="147">
        <f t="shared" ref="D14:V14" ca="1" si="10">IF(INDIRECT("'"&amp;D$6&amp;"'!$J$110")="N/A",INDIRECT("'"&amp;D$6&amp;"'!$J$102"),INDIRECT("'"&amp;D$6&amp;"'!$J$109"))</f>
        <v>0</v>
      </c>
      <c r="E14" s="147">
        <f t="shared" ca="1" si="10"/>
        <v>2</v>
      </c>
      <c r="F14" s="147">
        <f t="shared" ca="1" si="10"/>
        <v>0</v>
      </c>
      <c r="G14" s="147">
        <f t="shared" ca="1" si="10"/>
        <v>0</v>
      </c>
      <c r="H14" s="147">
        <f t="shared" ca="1" si="10"/>
        <v>0</v>
      </c>
      <c r="I14" s="147">
        <f t="shared" ca="1" si="10"/>
        <v>0</v>
      </c>
      <c r="J14" s="147">
        <f t="shared" ca="1" si="10"/>
        <v>0</v>
      </c>
      <c r="K14" s="147">
        <f t="shared" ca="1" si="10"/>
        <v>0</v>
      </c>
      <c r="L14" s="147">
        <f t="shared" ca="1" si="10"/>
        <v>0</v>
      </c>
      <c r="M14" s="147">
        <f t="shared" ca="1" si="10"/>
        <v>0</v>
      </c>
      <c r="N14" s="147">
        <f t="shared" ca="1" si="10"/>
        <v>0</v>
      </c>
      <c r="O14" s="147">
        <f t="shared" ca="1" si="10"/>
        <v>0</v>
      </c>
      <c r="P14" s="147">
        <f t="shared" ca="1" si="10"/>
        <v>0</v>
      </c>
      <c r="Q14" s="147">
        <f t="shared" ca="1" si="10"/>
        <v>0</v>
      </c>
      <c r="R14" s="147">
        <f t="shared" ca="1" si="10"/>
        <v>0</v>
      </c>
      <c r="S14" s="147">
        <f t="shared" ca="1" si="10"/>
        <v>22</v>
      </c>
      <c r="T14" s="147">
        <f t="shared" ca="1" si="10"/>
        <v>0</v>
      </c>
      <c r="U14" s="147">
        <f ca="1">IF(INDIRECT("'"&amp;U$6&amp;"'!$J$110")="N/A",INDIRECT("'"&amp;U$6&amp;"'!$J$102"),INDIRECT("'"&amp;U$6&amp;"'!$J$109"))</f>
        <v>0</v>
      </c>
      <c r="V14" s="147">
        <f t="shared" ca="1" si="10"/>
        <v>0</v>
      </c>
      <c r="W14" s="147" t="str">
        <f ca="1">IF(INDIRECT("'"&amp;W$5&amp;"'!$G$3")=0,"",IF(INDIRECT("'"&amp;W$5&amp;"'!$J$110")="N/A",INDIRECT("'"&amp;W$5&amp;"'!$J$102"),INDIRECT("'"&amp;W$5&amp;"'!$J$109")))</f>
        <v/>
      </c>
      <c r="X14" s="147" t="str">
        <f t="shared" ref="X14:AF14" ca="1" si="11">IF(INDIRECT("'"&amp;X$5&amp;"'!$G$3")=0,"",IF(INDIRECT("'"&amp;X$5&amp;"'!$J$110")="N/A",INDIRECT("'"&amp;X$5&amp;"'!$J$102"),INDIRECT("'"&amp;X$5&amp;"'!$J$109")))</f>
        <v/>
      </c>
      <c r="Y14" s="147" t="str">
        <f t="shared" ca="1" si="11"/>
        <v/>
      </c>
      <c r="Z14" s="147" t="str">
        <f t="shared" ca="1" si="11"/>
        <v/>
      </c>
      <c r="AA14" s="147" t="str">
        <f t="shared" ca="1" si="11"/>
        <v/>
      </c>
      <c r="AB14" s="147" t="str">
        <f t="shared" ca="1" si="11"/>
        <v/>
      </c>
      <c r="AC14" s="147" t="str">
        <f t="shared" ca="1" si="11"/>
        <v/>
      </c>
      <c r="AD14" s="147" t="str">
        <f t="shared" ca="1" si="11"/>
        <v/>
      </c>
      <c r="AE14" s="147" t="str">
        <f t="shared" ca="1" si="11"/>
        <v/>
      </c>
      <c r="AF14" s="147" t="str">
        <f t="shared" ca="1" si="11"/>
        <v/>
      </c>
    </row>
    <row r="15" spans="1:32" ht="120" customHeight="1" x14ac:dyDescent="0.2">
      <c r="A15" s="490" t="s">
        <v>612</v>
      </c>
      <c r="B15" s="491"/>
      <c r="C15" s="128" t="str">
        <f ca="1">INDIRECT("'"&amp;C$6&amp;"'!$C$123")</f>
        <v>Population displays distress with 25% - 49% psychopathology.</v>
      </c>
      <c r="D15" s="128" t="str">
        <f t="shared" ref="D15:V15" ca="1" si="12">INDIRECT("'"&amp;D$6&amp;"'!$C$123")</f>
        <v>Population displays distress with ≥50% psychopathology.</v>
      </c>
      <c r="E15" s="128" t="str">
        <f t="shared" ca="1" si="12"/>
        <v>Population displays distress with ≥50% psychopathology.</v>
      </c>
      <c r="F15" s="128" t="str">
        <f t="shared" ca="1" si="12"/>
        <v xml:space="preserve">Population displays distress with &lt;25% psychopathology. </v>
      </c>
      <c r="G15" s="128" t="str">
        <f t="shared" ca="1" si="12"/>
        <v>Minimal change in population behavior and negligible effects on social functioning.</v>
      </c>
      <c r="H15" s="128" t="str">
        <f t="shared" ca="1" si="12"/>
        <v>Population displays distress with 25% - 49% psychopathology.</v>
      </c>
      <c r="I15" s="128" t="str">
        <f t="shared" ca="1" si="12"/>
        <v xml:space="preserve">Population displays distress with &lt;25% psychopathology. </v>
      </c>
      <c r="J15" s="128" t="str">
        <f t="shared" ca="1" si="12"/>
        <v xml:space="preserve">Population displays distress with &lt;25% psychopathology. </v>
      </c>
      <c r="K15" s="128" t="str">
        <f t="shared" ca="1" si="12"/>
        <v>Minimal change in population behavior and negligible effects on social functioning.</v>
      </c>
      <c r="L15" s="128" t="str">
        <f t="shared" ca="1" si="12"/>
        <v>Effects weak or highly transient; occasional or minor loss of nonessential social functions in a circumscribed geographical area.</v>
      </c>
      <c r="M15" s="128" t="str">
        <f t="shared" ca="1" si="12"/>
        <v>Population displays distress with ≥50% psychopathology.</v>
      </c>
      <c r="N15" s="128" t="str">
        <f t="shared" ca="1" si="12"/>
        <v xml:space="preserve">Population displays distress with &lt;25% psychopathology. </v>
      </c>
      <c r="O15" s="128" t="str">
        <f t="shared" ca="1" si="12"/>
        <v>Population displays distress with ≥50% psychopathology.</v>
      </c>
      <c r="P15" s="128" t="str">
        <f t="shared" ca="1" si="12"/>
        <v>Population displays distress with 25% - 49% psychopathology.</v>
      </c>
      <c r="Q15" s="128" t="str">
        <f t="shared" ca="1" si="12"/>
        <v>Population displays distress with ≥50% psychopathology.</v>
      </c>
      <c r="R15" s="128" t="str">
        <f t="shared" ca="1" si="12"/>
        <v>Minimal change in population behavior and negligible effects on social functioning.</v>
      </c>
      <c r="S15" s="128" t="str">
        <f t="shared" ca="1" si="12"/>
        <v>Population displays distress with ≥50% psychopathology.</v>
      </c>
      <c r="T15" s="128" t="str">
        <f t="shared" ca="1" si="12"/>
        <v xml:space="preserve">Population displays distress with &lt;25% psychopathology. </v>
      </c>
      <c r="U15" s="128" t="str">
        <f ca="1">INDIRECT("'"&amp;U$6&amp;"'!$C$123")</f>
        <v>Minimal change in population behavior and negligible effects on social functioning.</v>
      </c>
      <c r="V15" s="128" t="str">
        <f t="shared" ca="1" si="12"/>
        <v>Minimal change in population behavior and negligible effects on social functioning.</v>
      </c>
      <c r="W15" s="128" t="str">
        <f ca="1">IF(INDIRECT("'"&amp;W$5&amp;"'!$G$3")=0,"",INDIRECT("'"&amp;W$5&amp;"'!$C$123"))</f>
        <v/>
      </c>
      <c r="X15" s="128" t="str">
        <f t="shared" ref="X15:AF15" ca="1" si="13">IF(INDIRECT("'"&amp;X$5&amp;"'!$G$3")=0,"",INDIRECT("'"&amp;X$5&amp;"'!$C$123"))</f>
        <v/>
      </c>
      <c r="Y15" s="128" t="str">
        <f t="shared" ca="1" si="13"/>
        <v/>
      </c>
      <c r="Z15" s="128" t="str">
        <f t="shared" ca="1" si="13"/>
        <v/>
      </c>
      <c r="AA15" s="128" t="str">
        <f t="shared" ca="1" si="13"/>
        <v/>
      </c>
      <c r="AB15" s="128" t="str">
        <f t="shared" ca="1" si="13"/>
        <v/>
      </c>
      <c r="AC15" s="128" t="str">
        <f t="shared" ca="1" si="13"/>
        <v/>
      </c>
      <c r="AD15" s="128" t="str">
        <f t="shared" ca="1" si="13"/>
        <v/>
      </c>
      <c r="AE15" s="128" t="str">
        <f t="shared" ca="1" si="13"/>
        <v/>
      </c>
      <c r="AF15" s="128" t="str">
        <f t="shared" ca="1" si="13"/>
        <v/>
      </c>
    </row>
    <row r="16" spans="1:32" x14ac:dyDescent="0.2">
      <c r="A16" s="492"/>
      <c r="B16" s="493"/>
      <c r="C16" s="141"/>
      <c r="D16" s="141"/>
      <c r="E16" s="141"/>
      <c r="F16" s="141"/>
      <c r="G16" s="141"/>
      <c r="H16" s="141"/>
      <c r="I16" s="141"/>
      <c r="J16" s="141"/>
      <c r="K16" s="141"/>
      <c r="L16" s="141"/>
      <c r="M16" s="141"/>
      <c r="N16" s="141"/>
      <c r="O16" s="141"/>
      <c r="P16" s="141"/>
      <c r="Q16" s="141"/>
      <c r="R16" s="141"/>
      <c r="S16" s="141"/>
      <c r="T16" s="141"/>
      <c r="U16" s="141"/>
      <c r="V16" s="141"/>
      <c r="W16" s="141"/>
      <c r="X16" s="141"/>
      <c r="Y16" s="141"/>
      <c r="Z16" s="141"/>
      <c r="AA16" s="141"/>
      <c r="AB16" s="141"/>
      <c r="AC16" s="141"/>
      <c r="AD16" s="141"/>
      <c r="AE16" s="141"/>
      <c r="AF16" s="141"/>
    </row>
    <row r="17" spans="1:32" ht="15.75" customHeight="1" x14ac:dyDescent="0.2">
      <c r="A17" s="494" t="s">
        <v>27</v>
      </c>
      <c r="B17" s="495"/>
      <c r="C17" s="141"/>
      <c r="D17" s="141"/>
      <c r="E17" s="141"/>
      <c r="F17" s="141"/>
      <c r="G17" s="141"/>
      <c r="H17" s="141"/>
      <c r="I17" s="141"/>
      <c r="J17" s="141"/>
      <c r="K17" s="141"/>
      <c r="L17" s="141"/>
      <c r="M17" s="141"/>
      <c r="N17" s="141"/>
      <c r="O17" s="141"/>
      <c r="P17" s="141"/>
      <c r="Q17" s="141"/>
      <c r="R17" s="141"/>
      <c r="S17" s="141"/>
      <c r="T17" s="141"/>
      <c r="U17" s="141"/>
      <c r="V17" s="141"/>
      <c r="W17" s="141"/>
      <c r="X17" s="141"/>
      <c r="Y17" s="141"/>
      <c r="Z17" s="141"/>
      <c r="AA17" s="141"/>
      <c r="AB17" s="141"/>
      <c r="AC17" s="141"/>
      <c r="AD17" s="141"/>
      <c r="AE17" s="141"/>
      <c r="AF17" s="141"/>
    </row>
    <row r="18" spans="1:32" ht="15" customHeight="1" x14ac:dyDescent="0.2">
      <c r="A18" s="488" t="s">
        <v>627</v>
      </c>
      <c r="B18" s="126" t="s">
        <v>613</v>
      </c>
      <c r="C18" s="148">
        <f ca="1">IF(INDIRECT("'"&amp;C$6&amp;"'!$J$151")="N/A",INDIRECT("'"&amp;C$6&amp;"'!$J$141"),"-")</f>
        <v>0</v>
      </c>
      <c r="D18" s="148">
        <f t="shared" ref="D18:V18" ca="1" si="14">IF(INDIRECT("'"&amp;D$6&amp;"'!$J$151")="N/A",INDIRECT("'"&amp;D$6&amp;"'!$J$141"),"-")</f>
        <v>0</v>
      </c>
      <c r="E18" s="148">
        <f t="shared" ca="1" si="14"/>
        <v>0</v>
      </c>
      <c r="F18" s="148">
        <f t="shared" ca="1" si="14"/>
        <v>0</v>
      </c>
      <c r="G18" s="148" t="str">
        <f t="shared" ca="1" si="14"/>
        <v>-</v>
      </c>
      <c r="H18" s="148">
        <f t="shared" ca="1" si="14"/>
        <v>0</v>
      </c>
      <c r="I18" s="148">
        <f t="shared" ca="1" si="14"/>
        <v>0</v>
      </c>
      <c r="J18" s="148">
        <f t="shared" ca="1" si="14"/>
        <v>0</v>
      </c>
      <c r="K18" s="148">
        <f t="shared" ca="1" si="14"/>
        <v>0</v>
      </c>
      <c r="L18" s="148">
        <f t="shared" ca="1" si="14"/>
        <v>0</v>
      </c>
      <c r="M18" s="148">
        <f t="shared" ca="1" si="14"/>
        <v>0</v>
      </c>
      <c r="N18" s="148">
        <f t="shared" ca="1" si="14"/>
        <v>4.5</v>
      </c>
      <c r="O18" s="148">
        <f t="shared" ca="1" si="14"/>
        <v>0</v>
      </c>
      <c r="P18" s="148">
        <f t="shared" ca="1" si="14"/>
        <v>0</v>
      </c>
      <c r="Q18" s="148">
        <f t="shared" ca="1" si="14"/>
        <v>0</v>
      </c>
      <c r="R18" s="148">
        <f t="shared" ca="1" si="14"/>
        <v>0</v>
      </c>
      <c r="S18" s="148">
        <f t="shared" ca="1" si="14"/>
        <v>0</v>
      </c>
      <c r="T18" s="148">
        <f t="shared" ca="1" si="14"/>
        <v>0</v>
      </c>
      <c r="U18" s="148">
        <f ca="1">IF(INDIRECT("'"&amp;U$6&amp;"'!$J$151")="N/A",INDIRECT("'"&amp;U$6&amp;"'!$J$141"),"-")</f>
        <v>0</v>
      </c>
      <c r="V18" s="148">
        <f t="shared" ca="1" si="14"/>
        <v>0</v>
      </c>
      <c r="W18" s="148" t="str">
        <f ca="1">IF(INDIRECT("'"&amp;W$5&amp;"'!$G$3")=0,"",IF(INDIRECT("'"&amp;W$5&amp;"'!$J$151")="N/A",INDIRECT("'"&amp;W$5&amp;"'!$J$141"),"-"))</f>
        <v/>
      </c>
      <c r="X18" s="148" t="str">
        <f t="shared" ref="X18:AF18" ca="1" si="15">IF(INDIRECT("'"&amp;X$5&amp;"'!$G$3")=0,"",IF(INDIRECT("'"&amp;X$5&amp;"'!$J$151")="N/A",INDIRECT("'"&amp;X$5&amp;"'!$J$141"),"-"))</f>
        <v/>
      </c>
      <c r="Y18" s="148" t="str">
        <f t="shared" ca="1" si="15"/>
        <v/>
      </c>
      <c r="Z18" s="148" t="str">
        <f t="shared" ca="1" si="15"/>
        <v/>
      </c>
      <c r="AA18" s="148" t="str">
        <f t="shared" ca="1" si="15"/>
        <v/>
      </c>
      <c r="AB18" s="148" t="str">
        <f t="shared" ca="1" si="15"/>
        <v/>
      </c>
      <c r="AC18" s="148" t="str">
        <f t="shared" ca="1" si="15"/>
        <v/>
      </c>
      <c r="AD18" s="148" t="str">
        <f t="shared" ca="1" si="15"/>
        <v/>
      </c>
      <c r="AE18" s="148" t="str">
        <f t="shared" ca="1" si="15"/>
        <v/>
      </c>
      <c r="AF18" s="148" t="str">
        <f t="shared" ca="1" si="15"/>
        <v/>
      </c>
    </row>
    <row r="19" spans="1:32" ht="32" x14ac:dyDescent="0.2">
      <c r="A19" s="489"/>
      <c r="B19" s="127" t="s">
        <v>614</v>
      </c>
      <c r="C19" s="149">
        <f ca="1">IF(INDIRECT("'"&amp;C$6&amp;"'!$J$151")="N/A",INDIRECT("'"&amp;C$6&amp;"'!$J$142"), INDIRECT("'"&amp;C$6&amp;"'!$J$150"))</f>
        <v>0</v>
      </c>
      <c r="D19" s="149">
        <f t="shared" ref="D19:V19" ca="1" si="16">IF(INDIRECT("'"&amp;D$6&amp;"'!$J$151")="N/A",INDIRECT("'"&amp;D$6&amp;"'!$J$142"), INDIRECT("'"&amp;D$6&amp;"'!$J$150"))</f>
        <v>85.75</v>
      </c>
      <c r="E19" s="149">
        <f t="shared" ca="1" si="16"/>
        <v>0</v>
      </c>
      <c r="F19" s="149">
        <f t="shared" ca="1" si="16"/>
        <v>0</v>
      </c>
      <c r="G19" s="149" t="str">
        <f t="shared" ca="1" si="16"/>
        <v>No change from baseline (Score = 0)</v>
      </c>
      <c r="H19" s="149">
        <f t="shared" ca="1" si="16"/>
        <v>0</v>
      </c>
      <c r="I19" s="149">
        <f t="shared" ca="1" si="16"/>
        <v>0</v>
      </c>
      <c r="J19" s="149">
        <f t="shared" ca="1" si="16"/>
        <v>0</v>
      </c>
      <c r="K19" s="149">
        <f t="shared" ca="1" si="16"/>
        <v>0</v>
      </c>
      <c r="L19" s="149">
        <f t="shared" ca="1" si="16"/>
        <v>0</v>
      </c>
      <c r="M19" s="149">
        <f t="shared" ca="1" si="16"/>
        <v>0.9</v>
      </c>
      <c r="N19" s="149">
        <f t="shared" ca="1" si="16"/>
        <v>0</v>
      </c>
      <c r="O19" s="149">
        <f t="shared" ca="1" si="16"/>
        <v>0</v>
      </c>
      <c r="P19" s="149">
        <f t="shared" ca="1" si="16"/>
        <v>0</v>
      </c>
      <c r="Q19" s="149">
        <f t="shared" ca="1" si="16"/>
        <v>0</v>
      </c>
      <c r="R19" s="149">
        <f t="shared" ca="1" si="16"/>
        <v>0</v>
      </c>
      <c r="S19" s="149">
        <f t="shared" ca="1" si="16"/>
        <v>0</v>
      </c>
      <c r="T19" s="149">
        <f t="shared" ca="1" si="16"/>
        <v>0</v>
      </c>
      <c r="U19" s="149">
        <f ca="1">IF(INDIRECT("'"&amp;U$6&amp;"'!$J$151")="N/A",INDIRECT("'"&amp;U$6&amp;"'!$J$142"), INDIRECT("'"&amp;U$6&amp;"'!$J$150"))</f>
        <v>0</v>
      </c>
      <c r="V19" s="149">
        <f t="shared" ca="1" si="16"/>
        <v>0</v>
      </c>
      <c r="W19" s="149" t="str">
        <f ca="1">IF(INDIRECT("'"&amp;W$5&amp;"'!$G$3")=0,"",IF(INDIRECT("'"&amp;W$5&amp;"'!$J$151")="N/A",INDIRECT("'"&amp;W$5&amp;"'!$J$142"), INDIRECT("'"&amp;W$5&amp;"'!$J$150")))</f>
        <v/>
      </c>
      <c r="X19" s="149" t="str">
        <f t="shared" ref="X19:AF19" ca="1" si="17">IF(INDIRECT("'"&amp;X$5&amp;"'!$G$3")=0,"",IF(INDIRECT("'"&amp;X$5&amp;"'!$J$151")="N/A",INDIRECT("'"&amp;X$5&amp;"'!$J$142"), INDIRECT("'"&amp;X$5&amp;"'!$J$150")))</f>
        <v/>
      </c>
      <c r="Y19" s="149" t="str">
        <f t="shared" ca="1" si="17"/>
        <v/>
      </c>
      <c r="Z19" s="149" t="str">
        <f t="shared" ca="1" si="17"/>
        <v/>
      </c>
      <c r="AA19" s="149" t="str">
        <f t="shared" ca="1" si="17"/>
        <v/>
      </c>
      <c r="AB19" s="149" t="str">
        <f t="shared" ca="1" si="17"/>
        <v/>
      </c>
      <c r="AC19" s="149" t="str">
        <f t="shared" ca="1" si="17"/>
        <v/>
      </c>
      <c r="AD19" s="149" t="str">
        <f t="shared" ca="1" si="17"/>
        <v/>
      </c>
      <c r="AE19" s="149" t="str">
        <f t="shared" ca="1" si="17"/>
        <v/>
      </c>
      <c r="AF19" s="149" t="str">
        <f t="shared" ca="1" si="17"/>
        <v/>
      </c>
    </row>
    <row r="20" spans="1:32" ht="15" customHeight="1" x14ac:dyDescent="0.2">
      <c r="A20" s="488" t="s">
        <v>628</v>
      </c>
      <c r="B20" s="126" t="s">
        <v>613</v>
      </c>
      <c r="C20" s="148">
        <f ca="1">IF(INDIRECT("'"&amp;C$6&amp;"'!$J$172")="N/A",INDIRECT("'"&amp;C$6&amp;"'!$J$162"),"-")</f>
        <v>0</v>
      </c>
      <c r="D20" s="148">
        <f t="shared" ref="D20:V20" ca="1" si="18">IF(INDIRECT("'"&amp;D$6&amp;"'!$J$172")="N/A",INDIRECT("'"&amp;D$6&amp;"'!$J$162"),"-")</f>
        <v>2</v>
      </c>
      <c r="E20" s="148">
        <f t="shared" ca="1" si="18"/>
        <v>0</v>
      </c>
      <c r="F20" s="148">
        <f t="shared" ca="1" si="18"/>
        <v>0</v>
      </c>
      <c r="G20" s="148" t="str">
        <f t="shared" ca="1" si="18"/>
        <v>-</v>
      </c>
      <c r="H20" s="148">
        <f t="shared" ca="1" si="18"/>
        <v>0</v>
      </c>
      <c r="I20" s="148">
        <f t="shared" ca="1" si="18"/>
        <v>0</v>
      </c>
      <c r="J20" s="148">
        <f t="shared" ca="1" si="18"/>
        <v>0</v>
      </c>
      <c r="K20" s="148">
        <f t="shared" ca="1" si="18"/>
        <v>0</v>
      </c>
      <c r="L20" s="148">
        <f t="shared" ca="1" si="18"/>
        <v>0</v>
      </c>
      <c r="M20" s="148">
        <f t="shared" ca="1" si="18"/>
        <v>0</v>
      </c>
      <c r="N20" s="148">
        <f t="shared" ca="1" si="18"/>
        <v>0</v>
      </c>
      <c r="O20" s="148">
        <f t="shared" ca="1" si="18"/>
        <v>0</v>
      </c>
      <c r="P20" s="148">
        <f t="shared" ca="1" si="18"/>
        <v>0</v>
      </c>
      <c r="Q20" s="148">
        <f t="shared" ca="1" si="18"/>
        <v>0</v>
      </c>
      <c r="R20" s="148">
        <f t="shared" ca="1" si="18"/>
        <v>0</v>
      </c>
      <c r="S20" s="148">
        <f t="shared" ca="1" si="18"/>
        <v>0</v>
      </c>
      <c r="T20" s="148">
        <f t="shared" ca="1" si="18"/>
        <v>0</v>
      </c>
      <c r="U20" s="148">
        <f ca="1">IF(INDIRECT("'"&amp;U$6&amp;"'!$J$172")="N/A",INDIRECT("'"&amp;U$6&amp;"'!$J$162"),"-")</f>
        <v>0</v>
      </c>
      <c r="V20" s="148">
        <f t="shared" ca="1" si="18"/>
        <v>0</v>
      </c>
      <c r="W20" s="148" t="str">
        <f ca="1">IF(INDIRECT("'"&amp;W$5&amp;"'!$G$3")=0,"",IF(INDIRECT("'"&amp;W$5&amp;"'!$J$172")="N/A",INDIRECT("'"&amp;W$5&amp;"'!$J$162"),"-"))</f>
        <v/>
      </c>
      <c r="X20" s="148" t="str">
        <f t="shared" ref="X20:AF20" ca="1" si="19">IF(INDIRECT("'"&amp;X$5&amp;"'!$G$3")=0,"",IF(INDIRECT("'"&amp;X$5&amp;"'!$J$172")="N/A",INDIRECT("'"&amp;X$5&amp;"'!$J$162"),"-"))</f>
        <v/>
      </c>
      <c r="Y20" s="148" t="str">
        <f t="shared" ca="1" si="19"/>
        <v/>
      </c>
      <c r="Z20" s="148" t="str">
        <f t="shared" ca="1" si="19"/>
        <v/>
      </c>
      <c r="AA20" s="148" t="str">
        <f t="shared" ca="1" si="19"/>
        <v/>
      </c>
      <c r="AB20" s="148" t="str">
        <f t="shared" ca="1" si="19"/>
        <v/>
      </c>
      <c r="AC20" s="148" t="str">
        <f t="shared" ca="1" si="19"/>
        <v/>
      </c>
      <c r="AD20" s="148" t="str">
        <f t="shared" ca="1" si="19"/>
        <v/>
      </c>
      <c r="AE20" s="148" t="str">
        <f t="shared" ca="1" si="19"/>
        <v/>
      </c>
      <c r="AF20" s="148" t="str">
        <f t="shared" ca="1" si="19"/>
        <v/>
      </c>
    </row>
    <row r="21" spans="1:32" ht="31.5" customHeight="1" x14ac:dyDescent="0.2">
      <c r="A21" s="489"/>
      <c r="B21" s="127" t="s">
        <v>614</v>
      </c>
      <c r="C21" s="149">
        <f ca="1">IF(INDIRECT("'"&amp;C$6&amp;"'!$J$172")="N/A",INDIRECT("'"&amp;C$6&amp;"'!$J$163"), INDIRECT("'"&amp;C$6&amp;"'!$J$171"))</f>
        <v>6</v>
      </c>
      <c r="D21" s="149">
        <f t="shared" ref="D21:V21" ca="1" si="20">IF(INDIRECT("'"&amp;D$6&amp;"'!$J$172")="N/A",INDIRECT("'"&amp;D$6&amp;"'!$J$163"), INDIRECT("'"&amp;D$6&amp;"'!$J$171"))</f>
        <v>2</v>
      </c>
      <c r="E21" s="149">
        <f t="shared" ca="1" si="20"/>
        <v>0</v>
      </c>
      <c r="F21" s="149">
        <f t="shared" ca="1" si="20"/>
        <v>1.5555555555555556</v>
      </c>
      <c r="G21" s="149" t="str">
        <f t="shared" ca="1" si="20"/>
        <v>No change from baseline (Score = 0)</v>
      </c>
      <c r="H21" s="149">
        <f t="shared" ca="1" si="20"/>
        <v>0</v>
      </c>
      <c r="I21" s="149">
        <f t="shared" ca="1" si="20"/>
        <v>0</v>
      </c>
      <c r="J21" s="149">
        <f t="shared" ca="1" si="20"/>
        <v>0</v>
      </c>
      <c r="K21" s="149">
        <f t="shared" ca="1" si="20"/>
        <v>0.22222222222222221</v>
      </c>
      <c r="L21" s="149">
        <f t="shared" ca="1" si="20"/>
        <v>0</v>
      </c>
      <c r="M21" s="149">
        <f t="shared" ca="1" si="20"/>
        <v>113.55555555555556</v>
      </c>
      <c r="N21" s="149">
        <f t="shared" ca="1" si="20"/>
        <v>0</v>
      </c>
      <c r="O21" s="149">
        <f t="shared" ca="1" si="20"/>
        <v>0</v>
      </c>
      <c r="P21" s="149">
        <f t="shared" ca="1" si="20"/>
        <v>0</v>
      </c>
      <c r="Q21" s="149">
        <f t="shared" ca="1" si="20"/>
        <v>11111.111111111111</v>
      </c>
      <c r="R21" s="149">
        <f t="shared" ca="1" si="20"/>
        <v>0</v>
      </c>
      <c r="S21" s="149">
        <f t="shared" ca="1" si="20"/>
        <v>222.22222222222223</v>
      </c>
      <c r="T21" s="149">
        <f t="shared" ca="1" si="20"/>
        <v>0</v>
      </c>
      <c r="U21" s="149">
        <f ca="1">IF(INDIRECT("'"&amp;U$6&amp;"'!$J$172")="N/A",INDIRECT("'"&amp;U$6&amp;"'!$J$163"), INDIRECT("'"&amp;U$6&amp;"'!$J$171"))</f>
        <v>0</v>
      </c>
      <c r="V21" s="149">
        <f t="shared" ca="1" si="20"/>
        <v>0</v>
      </c>
      <c r="W21" s="149" t="str">
        <f ca="1">IF(INDIRECT("'"&amp;W$5&amp;"'!$G$3")=0,"",IF(INDIRECT("'"&amp;W$5&amp;"'!$J$172")="N/A",INDIRECT("'"&amp;W$5&amp;"'!$J$163"), INDIRECT("'"&amp;W$5&amp;"'!$J$171")))</f>
        <v/>
      </c>
      <c r="X21" s="149" t="str">
        <f t="shared" ref="X21:AF21" ca="1" si="21">IF(INDIRECT("'"&amp;X$5&amp;"'!$G$3")=0,"",IF(INDIRECT("'"&amp;X$5&amp;"'!$J$172")="N/A",INDIRECT("'"&amp;X$5&amp;"'!$J$163"), INDIRECT("'"&amp;X$5&amp;"'!$J$171")))</f>
        <v/>
      </c>
      <c r="Y21" s="149" t="str">
        <f t="shared" ca="1" si="21"/>
        <v/>
      </c>
      <c r="Z21" s="149" t="str">
        <f t="shared" ca="1" si="21"/>
        <v/>
      </c>
      <c r="AA21" s="149" t="str">
        <f t="shared" ca="1" si="21"/>
        <v/>
      </c>
      <c r="AB21" s="149" t="str">
        <f t="shared" ca="1" si="21"/>
        <v/>
      </c>
      <c r="AC21" s="149" t="str">
        <f t="shared" ca="1" si="21"/>
        <v/>
      </c>
      <c r="AD21" s="149" t="str">
        <f t="shared" ca="1" si="21"/>
        <v/>
      </c>
      <c r="AE21" s="149" t="str">
        <f t="shared" ca="1" si="21"/>
        <v/>
      </c>
      <c r="AF21" s="149" t="str">
        <f t="shared" ca="1" si="21"/>
        <v/>
      </c>
    </row>
    <row r="22" spans="1:32" ht="15" customHeight="1" x14ac:dyDescent="0.2">
      <c r="A22" s="488" t="s">
        <v>634</v>
      </c>
      <c r="B22" s="126" t="s">
        <v>613</v>
      </c>
      <c r="C22" s="148">
        <f ca="1">IF(INDIRECT("'"&amp;C$6&amp;"'!$J$192")="N/A",INDIRECT("'"&amp;C$6&amp;"'!$J$183"),"-")</f>
        <v>0</v>
      </c>
      <c r="D22" s="148">
        <f t="shared" ref="D22:V22" ca="1" si="22">IF(INDIRECT("'"&amp;D$6&amp;"'!$J$192")="N/A",INDIRECT("'"&amp;D$6&amp;"'!$J$183"),"-")</f>
        <v>0</v>
      </c>
      <c r="E22" s="148">
        <f t="shared" ca="1" si="22"/>
        <v>0</v>
      </c>
      <c r="F22" s="148">
        <f t="shared" ca="1" si="22"/>
        <v>0</v>
      </c>
      <c r="G22" s="148" t="str">
        <f t="shared" ca="1" si="22"/>
        <v>-</v>
      </c>
      <c r="H22" s="148">
        <f t="shared" ca="1" si="22"/>
        <v>0</v>
      </c>
      <c r="I22" s="148">
        <f t="shared" ca="1" si="22"/>
        <v>0</v>
      </c>
      <c r="J22" s="148">
        <f t="shared" ca="1" si="22"/>
        <v>0</v>
      </c>
      <c r="K22" s="148">
        <f t="shared" ca="1" si="22"/>
        <v>0</v>
      </c>
      <c r="L22" s="148">
        <f t="shared" ca="1" si="22"/>
        <v>0</v>
      </c>
      <c r="M22" s="148">
        <f t="shared" ca="1" si="22"/>
        <v>0</v>
      </c>
      <c r="N22" s="148">
        <f t="shared" ca="1" si="22"/>
        <v>0</v>
      </c>
      <c r="O22" s="148">
        <f t="shared" ca="1" si="22"/>
        <v>0</v>
      </c>
      <c r="P22" s="148">
        <f t="shared" ca="1" si="22"/>
        <v>0</v>
      </c>
      <c r="Q22" s="148">
        <f t="shared" ca="1" si="22"/>
        <v>0</v>
      </c>
      <c r="R22" s="148">
        <f t="shared" ca="1" si="22"/>
        <v>0</v>
      </c>
      <c r="S22" s="148">
        <f t="shared" ca="1" si="22"/>
        <v>367</v>
      </c>
      <c r="T22" s="148">
        <f t="shared" ca="1" si="22"/>
        <v>0</v>
      </c>
      <c r="U22" s="148">
        <f ca="1">IF(INDIRECT("'"&amp;U$6&amp;"'!$J$192")="N/A",INDIRECT("'"&amp;U$6&amp;"'!$J$183"),"-")</f>
        <v>0</v>
      </c>
      <c r="V22" s="148">
        <f t="shared" ca="1" si="22"/>
        <v>0</v>
      </c>
      <c r="W22" s="148" t="str">
        <f ca="1">IF(INDIRECT("'"&amp;W$5&amp;"'!$G$3")=0,"",IF(INDIRECT("'"&amp;W$5&amp;"'!$J$192")="N/A",INDIRECT("'"&amp;W$5&amp;"'!$J$183"),"-"))</f>
        <v/>
      </c>
      <c r="X22" s="148" t="str">
        <f t="shared" ref="X22:AF22" ca="1" si="23">IF(INDIRECT("'"&amp;X$5&amp;"'!$G$3")=0,"",IF(INDIRECT("'"&amp;X$5&amp;"'!$J$192")="N/A",INDIRECT("'"&amp;X$5&amp;"'!$J$183"),"-"))</f>
        <v/>
      </c>
      <c r="Y22" s="148" t="str">
        <f t="shared" ca="1" si="23"/>
        <v/>
      </c>
      <c r="Z22" s="148" t="str">
        <f t="shared" ca="1" si="23"/>
        <v/>
      </c>
      <c r="AA22" s="148" t="str">
        <f t="shared" ca="1" si="23"/>
        <v/>
      </c>
      <c r="AB22" s="148" t="str">
        <f t="shared" ca="1" si="23"/>
        <v/>
      </c>
      <c r="AC22" s="148" t="str">
        <f t="shared" ca="1" si="23"/>
        <v/>
      </c>
      <c r="AD22" s="148" t="str">
        <f t="shared" ca="1" si="23"/>
        <v/>
      </c>
      <c r="AE22" s="148" t="str">
        <f t="shared" ca="1" si="23"/>
        <v/>
      </c>
      <c r="AF22" s="148" t="str">
        <f t="shared" ca="1" si="23"/>
        <v/>
      </c>
    </row>
    <row r="23" spans="1:32" ht="32" x14ac:dyDescent="0.2">
      <c r="A23" s="489"/>
      <c r="B23" s="127" t="s">
        <v>614</v>
      </c>
      <c r="C23" s="149">
        <f ca="1">IF(INDIRECT("'"&amp;C$6&amp;"'!$J$192")="N/A",INDIRECT("'"&amp;C$6&amp;"'!$J$184"), INDIRECT("'"&amp;C$6&amp;"'!$J$191"))</f>
        <v>27</v>
      </c>
      <c r="D23" s="149">
        <f t="shared" ref="D23:V23" ca="1" si="24">IF(INDIRECT("'"&amp;D$6&amp;"'!$J$192")="N/A",INDIRECT("'"&amp;D$6&amp;"'!$J$184"), INDIRECT("'"&amp;D$6&amp;"'!$J$191"))</f>
        <v>15409</v>
      </c>
      <c r="E23" s="149">
        <f t="shared" ca="1" si="24"/>
        <v>0</v>
      </c>
      <c r="F23" s="149">
        <f t="shared" ca="1" si="24"/>
        <v>0</v>
      </c>
      <c r="G23" s="149" t="str">
        <f t="shared" ca="1" si="24"/>
        <v>No change from baseline (Score = 0)</v>
      </c>
      <c r="H23" s="149">
        <f t="shared" ca="1" si="24"/>
        <v>0</v>
      </c>
      <c r="I23" s="149">
        <f t="shared" ca="1" si="24"/>
        <v>0</v>
      </c>
      <c r="J23" s="149">
        <f t="shared" ca="1" si="24"/>
        <v>0</v>
      </c>
      <c r="K23" s="149">
        <f t="shared" ca="1" si="24"/>
        <v>0</v>
      </c>
      <c r="L23" s="149">
        <f t="shared" ca="1" si="24"/>
        <v>0</v>
      </c>
      <c r="M23" s="149">
        <f t="shared" ca="1" si="24"/>
        <v>69</v>
      </c>
      <c r="N23" s="149">
        <f t="shared" ca="1" si="24"/>
        <v>36</v>
      </c>
      <c r="O23" s="149">
        <f t="shared" ca="1" si="24"/>
        <v>0</v>
      </c>
      <c r="P23" s="149">
        <f t="shared" ca="1" si="24"/>
        <v>0</v>
      </c>
      <c r="Q23" s="149">
        <f t="shared" ca="1" si="24"/>
        <v>0</v>
      </c>
      <c r="R23" s="149">
        <f t="shared" ca="1" si="24"/>
        <v>0</v>
      </c>
      <c r="S23" s="149">
        <f t="shared" ca="1" si="24"/>
        <v>250</v>
      </c>
      <c r="T23" s="149">
        <f t="shared" ca="1" si="24"/>
        <v>0</v>
      </c>
      <c r="U23" s="149">
        <f ca="1">IF(INDIRECT("'"&amp;U$6&amp;"'!$J$192")="N/A",INDIRECT("'"&amp;U$6&amp;"'!$J$184"), INDIRECT("'"&amp;U$6&amp;"'!$J$191"))</f>
        <v>0</v>
      </c>
      <c r="V23" s="149">
        <f t="shared" ca="1" si="24"/>
        <v>0</v>
      </c>
      <c r="W23" s="149" t="str">
        <f ca="1">IF(INDIRECT("'"&amp;W$5&amp;"'!$G$3")=0,"",IF(INDIRECT("'"&amp;W$5&amp;"'!$J$192")="N/A",INDIRECT("'"&amp;W$5&amp;"'!$J$184"), INDIRECT("'"&amp;W$5&amp;"'!$J$191")))</f>
        <v/>
      </c>
      <c r="X23" s="149" t="str">
        <f t="shared" ref="X23:AF23" ca="1" si="25">IF(INDIRECT("'"&amp;X$5&amp;"'!$G$3")=0,"",IF(INDIRECT("'"&amp;X$5&amp;"'!$J$192")="N/A",INDIRECT("'"&amp;X$5&amp;"'!$J$184"), INDIRECT("'"&amp;X$5&amp;"'!$J$191")))</f>
        <v/>
      </c>
      <c r="Y23" s="149" t="str">
        <f t="shared" ca="1" si="25"/>
        <v/>
      </c>
      <c r="Z23" s="149" t="str">
        <f t="shared" ca="1" si="25"/>
        <v/>
      </c>
      <c r="AA23" s="149" t="str">
        <f t="shared" ca="1" si="25"/>
        <v/>
      </c>
      <c r="AB23" s="149" t="str">
        <f t="shared" ca="1" si="25"/>
        <v/>
      </c>
      <c r="AC23" s="149" t="str">
        <f t="shared" ca="1" si="25"/>
        <v/>
      </c>
      <c r="AD23" s="149" t="str">
        <f t="shared" ca="1" si="25"/>
        <v/>
      </c>
      <c r="AE23" s="149" t="str">
        <f t="shared" ca="1" si="25"/>
        <v/>
      </c>
      <c r="AF23" s="149" t="str">
        <f t="shared" ca="1" si="25"/>
        <v/>
      </c>
    </row>
    <row r="24" spans="1:32" ht="15" customHeight="1" x14ac:dyDescent="0.2">
      <c r="A24" s="488" t="s">
        <v>629</v>
      </c>
      <c r="B24" s="126" t="s">
        <v>613</v>
      </c>
      <c r="C24" s="148">
        <f ca="1">IF(INDIRECT("'"&amp;C$6&amp;"'!$J$212")="N/A",INDIRECT("'"&amp;C$6&amp;"'!$J$203"),"-")</f>
        <v>0</v>
      </c>
      <c r="D24" s="148">
        <f t="shared" ref="D24:V24" ca="1" si="26">IF(INDIRECT("'"&amp;D$6&amp;"'!$J$212")="N/A",INDIRECT("'"&amp;D$6&amp;"'!$J$203"),"-")</f>
        <v>0</v>
      </c>
      <c r="E24" s="148">
        <f t="shared" ca="1" si="26"/>
        <v>0</v>
      </c>
      <c r="F24" s="148">
        <f t="shared" ca="1" si="26"/>
        <v>0</v>
      </c>
      <c r="G24" s="148" t="str">
        <f t="shared" ca="1" si="26"/>
        <v>-</v>
      </c>
      <c r="H24" s="148">
        <f t="shared" ca="1" si="26"/>
        <v>0</v>
      </c>
      <c r="I24" s="148">
        <f t="shared" ca="1" si="26"/>
        <v>0</v>
      </c>
      <c r="J24" s="148">
        <f t="shared" ca="1" si="26"/>
        <v>0</v>
      </c>
      <c r="K24" s="148">
        <f t="shared" ca="1" si="26"/>
        <v>0</v>
      </c>
      <c r="L24" s="148">
        <f t="shared" ca="1" si="26"/>
        <v>0</v>
      </c>
      <c r="M24" s="148">
        <f t="shared" ca="1" si="26"/>
        <v>0</v>
      </c>
      <c r="N24" s="148">
        <f t="shared" ca="1" si="26"/>
        <v>20.58</v>
      </c>
      <c r="O24" s="148">
        <f t="shared" ca="1" si="26"/>
        <v>0</v>
      </c>
      <c r="P24" s="148">
        <f t="shared" ca="1" si="26"/>
        <v>0</v>
      </c>
      <c r="Q24" s="148">
        <f t="shared" ca="1" si="26"/>
        <v>0</v>
      </c>
      <c r="R24" s="148">
        <f t="shared" ca="1" si="26"/>
        <v>0</v>
      </c>
      <c r="S24" s="148">
        <f t="shared" ca="1" si="26"/>
        <v>0</v>
      </c>
      <c r="T24" s="148">
        <f t="shared" ca="1" si="26"/>
        <v>0</v>
      </c>
      <c r="U24" s="148">
        <f ca="1">IF(INDIRECT("'"&amp;U$6&amp;"'!$J$212")="N/A",INDIRECT("'"&amp;U$6&amp;"'!$J$203"),"-")</f>
        <v>0</v>
      </c>
      <c r="V24" s="148">
        <f t="shared" ca="1" si="26"/>
        <v>0</v>
      </c>
      <c r="W24" s="148" t="str">
        <f ca="1">IF(INDIRECT("'"&amp;W$5&amp;"'!$G$3")=0,"",IF(INDIRECT("'"&amp;W$5&amp;"'!$J$212")="N/A",INDIRECT("'"&amp;W$5&amp;"'!$J$203"),"-"))</f>
        <v/>
      </c>
      <c r="X24" s="148" t="str">
        <f t="shared" ref="X24:AF24" ca="1" si="27">IF(INDIRECT("'"&amp;X$5&amp;"'!$G$3")=0,"",IF(INDIRECT("'"&amp;X$5&amp;"'!$J$212")="N/A",INDIRECT("'"&amp;X$5&amp;"'!$J$203"),"-"))</f>
        <v/>
      </c>
      <c r="Y24" s="148" t="str">
        <f t="shared" ca="1" si="27"/>
        <v/>
      </c>
      <c r="Z24" s="148" t="str">
        <f t="shared" ca="1" si="27"/>
        <v/>
      </c>
      <c r="AA24" s="148" t="str">
        <f t="shared" ca="1" si="27"/>
        <v/>
      </c>
      <c r="AB24" s="148" t="str">
        <f t="shared" ca="1" si="27"/>
        <v/>
      </c>
      <c r="AC24" s="148" t="str">
        <f t="shared" ca="1" si="27"/>
        <v/>
      </c>
      <c r="AD24" s="148" t="str">
        <f t="shared" ca="1" si="27"/>
        <v/>
      </c>
      <c r="AE24" s="148" t="str">
        <f t="shared" ca="1" si="27"/>
        <v/>
      </c>
      <c r="AF24" s="148" t="str">
        <f t="shared" ca="1" si="27"/>
        <v/>
      </c>
    </row>
    <row r="25" spans="1:32" ht="32" x14ac:dyDescent="0.2">
      <c r="A25" s="489"/>
      <c r="B25" s="127" t="s">
        <v>614</v>
      </c>
      <c r="C25" s="149">
        <f ca="1">IF(INDIRECT("'"&amp;C$6&amp;"'!$J$212")="N/A",INDIRECT("'"&amp;C$6&amp;"'!$J$204"), INDIRECT("'"&amp;C$6&amp;"'!$J$211"))</f>
        <v>0</v>
      </c>
      <c r="D25" s="149">
        <f t="shared" ref="D25:V25" ca="1" si="28">IF(INDIRECT("'"&amp;D$6&amp;"'!$J$212")="N/A",INDIRECT("'"&amp;D$6&amp;"'!$J$204"), INDIRECT("'"&amp;D$6&amp;"'!$J$211"))</f>
        <v>2</v>
      </c>
      <c r="E25" s="149">
        <f t="shared" ca="1" si="28"/>
        <v>0</v>
      </c>
      <c r="F25" s="149">
        <f t="shared" ca="1" si="28"/>
        <v>0</v>
      </c>
      <c r="G25" s="149" t="str">
        <f t="shared" ca="1" si="28"/>
        <v>No change from baseline (Score = 0)</v>
      </c>
      <c r="H25" s="149">
        <f t="shared" ca="1" si="28"/>
        <v>0</v>
      </c>
      <c r="I25" s="149">
        <f t="shared" ca="1" si="28"/>
        <v>0</v>
      </c>
      <c r="J25" s="149">
        <f t="shared" ca="1" si="28"/>
        <v>0</v>
      </c>
      <c r="K25" s="149">
        <f t="shared" ca="1" si="28"/>
        <v>0</v>
      </c>
      <c r="L25" s="149">
        <f t="shared" ca="1" si="28"/>
        <v>0</v>
      </c>
      <c r="M25" s="149">
        <f t="shared" ca="1" si="28"/>
        <v>0</v>
      </c>
      <c r="N25" s="149">
        <f t="shared" ca="1" si="28"/>
        <v>0</v>
      </c>
      <c r="O25" s="149">
        <f t="shared" ca="1" si="28"/>
        <v>0</v>
      </c>
      <c r="P25" s="149">
        <f t="shared" ca="1" si="28"/>
        <v>0</v>
      </c>
      <c r="Q25" s="149">
        <f t="shared" ca="1" si="28"/>
        <v>0</v>
      </c>
      <c r="R25" s="149">
        <f t="shared" ca="1" si="28"/>
        <v>0</v>
      </c>
      <c r="S25" s="149">
        <f t="shared" ca="1" si="28"/>
        <v>0</v>
      </c>
      <c r="T25" s="149">
        <f t="shared" ca="1" si="28"/>
        <v>0</v>
      </c>
      <c r="U25" s="149">
        <f ca="1">IF(INDIRECT("'"&amp;U$6&amp;"'!$J$212")="N/A",INDIRECT("'"&amp;U$6&amp;"'!$J$204"), INDIRECT("'"&amp;U$6&amp;"'!$J$211"))</f>
        <v>0</v>
      </c>
      <c r="V25" s="149">
        <f t="shared" ca="1" si="28"/>
        <v>0</v>
      </c>
      <c r="W25" s="149" t="str">
        <f ca="1">IF(INDIRECT("'"&amp;W$5&amp;"'!$G$3")=0,"",IF(INDIRECT("'"&amp;W$5&amp;"'!$J$212")="N/A",INDIRECT("'"&amp;W$5&amp;"'!$J$204"), INDIRECT("'"&amp;W$5&amp;"'!$J$211")))</f>
        <v/>
      </c>
      <c r="X25" s="149" t="str">
        <f t="shared" ref="X25:AF25" ca="1" si="29">IF(INDIRECT("'"&amp;X$5&amp;"'!$G$3")=0,"",IF(INDIRECT("'"&amp;X$5&amp;"'!$J$212")="N/A",INDIRECT("'"&amp;X$5&amp;"'!$J$204"), INDIRECT("'"&amp;X$5&amp;"'!$J$211")))</f>
        <v/>
      </c>
      <c r="Y25" s="149" t="str">
        <f t="shared" ca="1" si="29"/>
        <v/>
      </c>
      <c r="Z25" s="149" t="str">
        <f t="shared" ca="1" si="29"/>
        <v/>
      </c>
      <c r="AA25" s="149" t="str">
        <f t="shared" ca="1" si="29"/>
        <v/>
      </c>
      <c r="AB25" s="149" t="str">
        <f t="shared" ca="1" si="29"/>
        <v/>
      </c>
      <c r="AC25" s="149" t="str">
        <f t="shared" ca="1" si="29"/>
        <v/>
      </c>
      <c r="AD25" s="149" t="str">
        <f t="shared" ca="1" si="29"/>
        <v/>
      </c>
      <c r="AE25" s="149" t="str">
        <f t="shared" ca="1" si="29"/>
        <v/>
      </c>
      <c r="AF25" s="149" t="str">
        <f t="shared" ca="1" si="29"/>
        <v/>
      </c>
    </row>
    <row r="26" spans="1:32" ht="15" customHeight="1" x14ac:dyDescent="0.2">
      <c r="A26" s="488" t="s">
        <v>630</v>
      </c>
      <c r="B26" s="126" t="s">
        <v>613</v>
      </c>
      <c r="C26" s="148">
        <f ca="1">IF(INDIRECT("'"&amp;C$6&amp;"'!$J$233")="N/A",INDIRECT("'"&amp;C$6&amp;"'!$J$223"),"-")</f>
        <v>0</v>
      </c>
      <c r="D26" s="148">
        <f t="shared" ref="D26:V26" ca="1" si="30">IF(INDIRECT("'"&amp;D$6&amp;"'!$J$233")="N/A",INDIRECT("'"&amp;D$6&amp;"'!$J$223"),"-")</f>
        <v>0</v>
      </c>
      <c r="E26" s="148">
        <f t="shared" ca="1" si="30"/>
        <v>0</v>
      </c>
      <c r="F26" s="148">
        <f t="shared" ca="1" si="30"/>
        <v>0</v>
      </c>
      <c r="G26" s="148" t="str">
        <f t="shared" ca="1" si="30"/>
        <v>-</v>
      </c>
      <c r="H26" s="148">
        <f t="shared" ca="1" si="30"/>
        <v>0</v>
      </c>
      <c r="I26" s="148">
        <f t="shared" ca="1" si="30"/>
        <v>0</v>
      </c>
      <c r="J26" s="148">
        <f t="shared" ca="1" si="30"/>
        <v>0</v>
      </c>
      <c r="K26" s="148">
        <f t="shared" ca="1" si="30"/>
        <v>0</v>
      </c>
      <c r="L26" s="148">
        <f t="shared" ca="1" si="30"/>
        <v>0</v>
      </c>
      <c r="M26" s="148">
        <f t="shared" ca="1" si="30"/>
        <v>0</v>
      </c>
      <c r="N26" s="148">
        <f t="shared" ca="1" si="30"/>
        <v>0</v>
      </c>
      <c r="O26" s="148">
        <f t="shared" ca="1" si="30"/>
        <v>0</v>
      </c>
      <c r="P26" s="148">
        <f t="shared" ca="1" si="30"/>
        <v>0</v>
      </c>
      <c r="Q26" s="148">
        <f t="shared" ca="1" si="30"/>
        <v>0</v>
      </c>
      <c r="R26" s="148">
        <f t="shared" ca="1" si="30"/>
        <v>0</v>
      </c>
      <c r="S26" s="148">
        <f t="shared" ca="1" si="30"/>
        <v>1</v>
      </c>
      <c r="T26" s="148">
        <f t="shared" ca="1" si="30"/>
        <v>0</v>
      </c>
      <c r="U26" s="148">
        <f ca="1">IF(INDIRECT("'"&amp;U$6&amp;"'!$J$233")="N/A",INDIRECT("'"&amp;U$6&amp;"'!$J$223"),"-")</f>
        <v>0</v>
      </c>
      <c r="V26" s="148">
        <f t="shared" ca="1" si="30"/>
        <v>0</v>
      </c>
      <c r="W26" s="148" t="str">
        <f ca="1">IF(INDIRECT("'"&amp;W$5&amp;"'!$G$3")=0,"",IF(INDIRECT("'"&amp;W$5&amp;"'!$J$233")="N/A",INDIRECT("'"&amp;W$5&amp;"'!$J$223"),"-"))</f>
        <v/>
      </c>
      <c r="X26" s="148" t="str">
        <f t="shared" ref="X26:AF26" ca="1" si="31">IF(INDIRECT("'"&amp;X$5&amp;"'!$G$3")=0,"",IF(INDIRECT("'"&amp;X$5&amp;"'!$J$233")="N/A",INDIRECT("'"&amp;X$5&amp;"'!$J$223"),"-"))</f>
        <v/>
      </c>
      <c r="Y26" s="148" t="str">
        <f t="shared" ca="1" si="31"/>
        <v/>
      </c>
      <c r="Z26" s="148" t="str">
        <f t="shared" ca="1" si="31"/>
        <v/>
      </c>
      <c r="AA26" s="148" t="str">
        <f t="shared" ca="1" si="31"/>
        <v/>
      </c>
      <c r="AB26" s="148" t="str">
        <f t="shared" ca="1" si="31"/>
        <v/>
      </c>
      <c r="AC26" s="148" t="str">
        <f t="shared" ca="1" si="31"/>
        <v/>
      </c>
      <c r="AD26" s="148" t="str">
        <f t="shared" ca="1" si="31"/>
        <v/>
      </c>
      <c r="AE26" s="148" t="str">
        <f t="shared" ca="1" si="31"/>
        <v/>
      </c>
      <c r="AF26" s="148" t="str">
        <f t="shared" ca="1" si="31"/>
        <v/>
      </c>
    </row>
    <row r="27" spans="1:32" ht="32" x14ac:dyDescent="0.2">
      <c r="A27" s="489"/>
      <c r="B27" s="127" t="s">
        <v>614</v>
      </c>
      <c r="C27" s="149">
        <f ca="1">IF(INDIRECT("'"&amp;C$6&amp;"'!$J$233")="N/A",INDIRECT("'"&amp;C$6&amp;"'!$J$224"), INDIRECT("'"&amp;C$6&amp;"'!$J$232"))</f>
        <v>12</v>
      </c>
      <c r="D27" s="149">
        <f t="shared" ref="D27:V27" ca="1" si="32">IF(INDIRECT("'"&amp;D$6&amp;"'!$J$233")="N/A",INDIRECT("'"&amp;D$6&amp;"'!$J$224"), INDIRECT("'"&amp;D$6&amp;"'!$J$232"))</f>
        <v>0</v>
      </c>
      <c r="E27" s="149">
        <f t="shared" ca="1" si="32"/>
        <v>2</v>
      </c>
      <c r="F27" s="149">
        <f t="shared" ca="1" si="32"/>
        <v>0</v>
      </c>
      <c r="G27" s="149" t="str">
        <f t="shared" ca="1" si="32"/>
        <v>No change from baseline (Score = 0)</v>
      </c>
      <c r="H27" s="149">
        <f t="shared" ca="1" si="32"/>
        <v>0</v>
      </c>
      <c r="I27" s="149">
        <f t="shared" ca="1" si="32"/>
        <v>0</v>
      </c>
      <c r="J27" s="149">
        <f t="shared" ca="1" si="32"/>
        <v>0</v>
      </c>
      <c r="K27" s="149">
        <f t="shared" ca="1" si="32"/>
        <v>0</v>
      </c>
      <c r="L27" s="149">
        <f t="shared" ca="1" si="32"/>
        <v>0</v>
      </c>
      <c r="M27" s="149">
        <f t="shared" ca="1" si="32"/>
        <v>0</v>
      </c>
      <c r="N27" s="149">
        <f t="shared" ca="1" si="32"/>
        <v>0</v>
      </c>
      <c r="O27" s="149">
        <f t="shared" ca="1" si="32"/>
        <v>0</v>
      </c>
      <c r="P27" s="149">
        <f t="shared" ca="1" si="32"/>
        <v>0</v>
      </c>
      <c r="Q27" s="149">
        <f t="shared" ca="1" si="32"/>
        <v>0</v>
      </c>
      <c r="R27" s="149">
        <f t="shared" ca="1" si="32"/>
        <v>0</v>
      </c>
      <c r="S27" s="149">
        <f t="shared" ca="1" si="32"/>
        <v>22</v>
      </c>
      <c r="T27" s="149">
        <f t="shared" ca="1" si="32"/>
        <v>0</v>
      </c>
      <c r="U27" s="149">
        <f ca="1">IF(INDIRECT("'"&amp;U$6&amp;"'!$J$233")="N/A",INDIRECT("'"&amp;U$6&amp;"'!$J$224"), INDIRECT("'"&amp;U$6&amp;"'!$J$232"))</f>
        <v>0</v>
      </c>
      <c r="V27" s="149">
        <f t="shared" ca="1" si="32"/>
        <v>0</v>
      </c>
      <c r="W27" s="149" t="str">
        <f ca="1">IF(INDIRECT("'"&amp;W$5&amp;"'!$G$3")=0,"",IF(INDIRECT("'"&amp;W$5&amp;"'!$J$233")="N/A",INDIRECT("'"&amp;W$5&amp;"'!$J$224"), INDIRECT("'"&amp;W$5&amp;"'!$J$232")))</f>
        <v/>
      </c>
      <c r="X27" s="149" t="str">
        <f t="shared" ref="X27:AF27" ca="1" si="33">IF(INDIRECT("'"&amp;X$5&amp;"'!$G$3")=0,"",IF(INDIRECT("'"&amp;X$5&amp;"'!$J$233")="N/A",INDIRECT("'"&amp;X$5&amp;"'!$J$224"), INDIRECT("'"&amp;X$5&amp;"'!$J$232")))</f>
        <v/>
      </c>
      <c r="Y27" s="149" t="str">
        <f t="shared" ca="1" si="33"/>
        <v/>
      </c>
      <c r="Z27" s="149" t="str">
        <f t="shared" ca="1" si="33"/>
        <v/>
      </c>
      <c r="AA27" s="149" t="str">
        <f t="shared" ca="1" si="33"/>
        <v/>
      </c>
      <c r="AB27" s="149" t="str">
        <f t="shared" ca="1" si="33"/>
        <v/>
      </c>
      <c r="AC27" s="149" t="str">
        <f t="shared" ca="1" si="33"/>
        <v/>
      </c>
      <c r="AD27" s="149" t="str">
        <f t="shared" ca="1" si="33"/>
        <v/>
      </c>
      <c r="AE27" s="149" t="str">
        <f t="shared" ca="1" si="33"/>
        <v/>
      </c>
      <c r="AF27" s="149" t="str">
        <f t="shared" ca="1" si="33"/>
        <v/>
      </c>
    </row>
    <row r="28" spans="1:32" ht="15" customHeight="1" x14ac:dyDescent="0.2">
      <c r="A28" s="488" t="s">
        <v>631</v>
      </c>
      <c r="B28" s="126" t="s">
        <v>613</v>
      </c>
      <c r="C28" s="148">
        <f ca="1">IF(INDIRECT("'"&amp;C$6&amp;"'!$J$253")="N/A",INDIRECT("'"&amp;C$6&amp;"'!$J$244"),"-")</f>
        <v>0</v>
      </c>
      <c r="D28" s="148">
        <f t="shared" ref="D28:V28" ca="1" si="34">IF(INDIRECT("'"&amp;D$6&amp;"'!$J$253")="N/A",INDIRECT("'"&amp;D$6&amp;"'!$J$244"),"-")</f>
        <v>0</v>
      </c>
      <c r="E28" s="148">
        <f t="shared" ca="1" si="34"/>
        <v>0</v>
      </c>
      <c r="F28" s="148">
        <f t="shared" ca="1" si="34"/>
        <v>0</v>
      </c>
      <c r="G28" s="148" t="str">
        <f t="shared" ca="1" si="34"/>
        <v>-</v>
      </c>
      <c r="H28" s="148">
        <f t="shared" ca="1" si="34"/>
        <v>0</v>
      </c>
      <c r="I28" s="148">
        <f t="shared" ca="1" si="34"/>
        <v>0</v>
      </c>
      <c r="J28" s="148">
        <f t="shared" ca="1" si="34"/>
        <v>0</v>
      </c>
      <c r="K28" s="148">
        <f t="shared" ca="1" si="34"/>
        <v>0</v>
      </c>
      <c r="L28" s="148">
        <f t="shared" ca="1" si="34"/>
        <v>0</v>
      </c>
      <c r="M28" s="148">
        <f t="shared" ca="1" si="34"/>
        <v>0</v>
      </c>
      <c r="N28" s="148">
        <f t="shared" ca="1" si="34"/>
        <v>20</v>
      </c>
      <c r="O28" s="148">
        <f t="shared" ca="1" si="34"/>
        <v>0</v>
      </c>
      <c r="P28" s="148">
        <f t="shared" ca="1" si="34"/>
        <v>0</v>
      </c>
      <c r="Q28" s="148">
        <f t="shared" ca="1" si="34"/>
        <v>0</v>
      </c>
      <c r="R28" s="148">
        <f t="shared" ca="1" si="34"/>
        <v>0</v>
      </c>
      <c r="S28" s="148">
        <f t="shared" ca="1" si="34"/>
        <v>0</v>
      </c>
      <c r="T28" s="148">
        <f t="shared" ca="1" si="34"/>
        <v>0</v>
      </c>
      <c r="U28" s="148">
        <f ca="1">IF(INDIRECT("'"&amp;U$6&amp;"'!$J$253")="N/A",INDIRECT("'"&amp;U$6&amp;"'!$J$244"),"-")</f>
        <v>0</v>
      </c>
      <c r="V28" s="148">
        <f t="shared" ca="1" si="34"/>
        <v>0</v>
      </c>
      <c r="W28" s="148" t="str">
        <f ca="1">IF(INDIRECT("'"&amp;W$5&amp;"'!$G$3")=0,"",IF(INDIRECT("'"&amp;W$5&amp;"'!$J$253")="N/A",INDIRECT("'"&amp;W$5&amp;"'!$J$244"),"-"))</f>
        <v/>
      </c>
      <c r="X28" s="148" t="str">
        <f t="shared" ref="X28:AF28" ca="1" si="35">IF(INDIRECT("'"&amp;X$5&amp;"'!$G$3")=0,"",IF(INDIRECT("'"&amp;X$5&amp;"'!$J$253")="N/A",INDIRECT("'"&amp;X$5&amp;"'!$J$244"),"-"))</f>
        <v/>
      </c>
      <c r="Y28" s="148" t="str">
        <f t="shared" ca="1" si="35"/>
        <v/>
      </c>
      <c r="Z28" s="148" t="str">
        <f t="shared" ca="1" si="35"/>
        <v/>
      </c>
      <c r="AA28" s="148" t="str">
        <f t="shared" ca="1" si="35"/>
        <v/>
      </c>
      <c r="AB28" s="148" t="str">
        <f t="shared" ca="1" si="35"/>
        <v/>
      </c>
      <c r="AC28" s="148" t="str">
        <f t="shared" ca="1" si="35"/>
        <v/>
      </c>
      <c r="AD28" s="148" t="str">
        <f t="shared" ca="1" si="35"/>
        <v/>
      </c>
      <c r="AE28" s="148" t="str">
        <f t="shared" ca="1" si="35"/>
        <v/>
      </c>
      <c r="AF28" s="148" t="str">
        <f t="shared" ca="1" si="35"/>
        <v/>
      </c>
    </row>
    <row r="29" spans="1:32" ht="31.5" customHeight="1" x14ac:dyDescent="0.2">
      <c r="A29" s="489"/>
      <c r="B29" s="127" t="s">
        <v>614</v>
      </c>
      <c r="C29" s="150">
        <f ca="1">IF(INDIRECT("'"&amp;C$6&amp;"'!$J$253")="N/A",INDIRECT("'"&amp;C$6&amp;"'!$J$245"), INDIRECT("'"&amp;C$6&amp;"'!$J$252"))</f>
        <v>0</v>
      </c>
      <c r="D29" s="150">
        <f t="shared" ref="D29:V29" ca="1" si="36">IF(INDIRECT("'"&amp;D$6&amp;"'!$J$253")="N/A",INDIRECT("'"&amp;D$6&amp;"'!$J$245"), INDIRECT("'"&amp;D$6&amp;"'!$J$252"))</f>
        <v>4116.32</v>
      </c>
      <c r="E29" s="150">
        <f t="shared" ca="1" si="36"/>
        <v>0</v>
      </c>
      <c r="F29" s="150">
        <f t="shared" ca="1" si="36"/>
        <v>0</v>
      </c>
      <c r="G29" s="150" t="str">
        <f t="shared" ca="1" si="36"/>
        <v>No change from baseline (Score = 0)</v>
      </c>
      <c r="H29" s="150">
        <f t="shared" ca="1" si="36"/>
        <v>0</v>
      </c>
      <c r="I29" s="150">
        <f t="shared" ca="1" si="36"/>
        <v>0</v>
      </c>
      <c r="J29" s="150">
        <f t="shared" ca="1" si="36"/>
        <v>0</v>
      </c>
      <c r="K29" s="150">
        <f t="shared" ca="1" si="36"/>
        <v>0</v>
      </c>
      <c r="L29" s="150">
        <f t="shared" ca="1" si="36"/>
        <v>0</v>
      </c>
      <c r="M29" s="150">
        <f t="shared" ca="1" si="36"/>
        <v>0</v>
      </c>
      <c r="N29" s="150">
        <f t="shared" ca="1" si="36"/>
        <v>0</v>
      </c>
      <c r="O29" s="150">
        <f t="shared" ca="1" si="36"/>
        <v>0</v>
      </c>
      <c r="P29" s="150">
        <f t="shared" ca="1" si="36"/>
        <v>0</v>
      </c>
      <c r="Q29" s="150">
        <f t="shared" ca="1" si="36"/>
        <v>0</v>
      </c>
      <c r="R29" s="150">
        <f t="shared" ca="1" si="36"/>
        <v>0</v>
      </c>
      <c r="S29" s="150">
        <f t="shared" ca="1" si="36"/>
        <v>0</v>
      </c>
      <c r="T29" s="150">
        <f t="shared" ca="1" si="36"/>
        <v>0</v>
      </c>
      <c r="U29" s="150">
        <f ca="1">IF(INDIRECT("'"&amp;U$6&amp;"'!$J$253")="N/A",INDIRECT("'"&amp;U$6&amp;"'!$J$245"), INDIRECT("'"&amp;U$6&amp;"'!$J$252"))</f>
        <v>0</v>
      </c>
      <c r="V29" s="150">
        <f t="shared" ca="1" si="36"/>
        <v>0</v>
      </c>
      <c r="W29" s="150" t="str">
        <f ca="1">IF(INDIRECT("'"&amp;W$5&amp;"'!$G$3")=0,"",IF(INDIRECT("'"&amp;W$5&amp;"'!$J$253")="N/A",INDIRECT("'"&amp;W$5&amp;"'!$J$245"), INDIRECT("'"&amp;W$5&amp;"'!$J$252")))</f>
        <v/>
      </c>
      <c r="X29" s="150" t="str">
        <f t="shared" ref="X29:AF29" ca="1" si="37">IF(INDIRECT("'"&amp;X$5&amp;"'!$G$3")=0,"",IF(INDIRECT("'"&amp;X$5&amp;"'!$J$253")="N/A",INDIRECT("'"&amp;X$5&amp;"'!$J$245"), INDIRECT("'"&amp;X$5&amp;"'!$J$252")))</f>
        <v/>
      </c>
      <c r="Y29" s="150" t="str">
        <f t="shared" ca="1" si="37"/>
        <v/>
      </c>
      <c r="Z29" s="150" t="str">
        <f t="shared" ca="1" si="37"/>
        <v/>
      </c>
      <c r="AA29" s="150" t="str">
        <f t="shared" ca="1" si="37"/>
        <v/>
      </c>
      <c r="AB29" s="150" t="str">
        <f t="shared" ca="1" si="37"/>
        <v/>
      </c>
      <c r="AC29" s="150" t="str">
        <f t="shared" ca="1" si="37"/>
        <v/>
      </c>
      <c r="AD29" s="150" t="str">
        <f t="shared" ca="1" si="37"/>
        <v/>
      </c>
      <c r="AE29" s="150" t="str">
        <f t="shared" ca="1" si="37"/>
        <v/>
      </c>
      <c r="AF29" s="150" t="str">
        <f t="shared" ca="1" si="37"/>
        <v/>
      </c>
    </row>
    <row r="30" spans="1:32" x14ac:dyDescent="0.2">
      <c r="A30" s="486"/>
      <c r="B30" s="487"/>
      <c r="C30" s="141"/>
      <c r="D30" s="141"/>
      <c r="E30" s="141"/>
      <c r="F30" s="141"/>
      <c r="G30" s="141"/>
      <c r="H30" s="141"/>
      <c r="I30" s="141"/>
      <c r="J30" s="141"/>
      <c r="K30" s="141"/>
      <c r="L30" s="141"/>
      <c r="M30" s="141"/>
      <c r="N30" s="141"/>
      <c r="O30" s="141"/>
      <c r="P30" s="141"/>
      <c r="Q30" s="141"/>
      <c r="R30" s="141"/>
      <c r="S30" s="141"/>
      <c r="T30" s="141"/>
      <c r="U30" s="141"/>
      <c r="V30" s="141"/>
      <c r="W30" s="141"/>
      <c r="X30" s="141"/>
      <c r="Y30" s="141"/>
      <c r="Z30" s="141"/>
      <c r="AA30" s="141"/>
      <c r="AB30" s="141"/>
      <c r="AC30" s="141"/>
      <c r="AD30" s="141"/>
      <c r="AE30" s="141"/>
      <c r="AF30" s="141"/>
    </row>
    <row r="31" spans="1:32" ht="15.75" customHeight="1" x14ac:dyDescent="0.2">
      <c r="A31" s="484" t="s">
        <v>864</v>
      </c>
      <c r="B31" s="485"/>
      <c r="C31" s="141"/>
      <c r="D31" s="141"/>
      <c r="E31" s="141"/>
      <c r="F31" s="141"/>
      <c r="G31" s="141"/>
      <c r="H31" s="141"/>
      <c r="I31" s="141"/>
      <c r="J31" s="141"/>
      <c r="K31" s="141"/>
      <c r="L31" s="141"/>
      <c r="M31" s="141"/>
      <c r="N31" s="141"/>
      <c r="O31" s="141"/>
      <c r="P31" s="141"/>
      <c r="Q31" s="141"/>
      <c r="R31" s="141"/>
      <c r="S31" s="141"/>
      <c r="T31" s="141"/>
      <c r="U31" s="141"/>
      <c r="V31" s="141"/>
      <c r="W31" s="141"/>
      <c r="X31" s="141"/>
      <c r="Y31" s="141"/>
      <c r="Z31" s="141"/>
      <c r="AA31" s="141"/>
      <c r="AB31" s="141"/>
      <c r="AC31" s="141"/>
      <c r="AD31" s="141"/>
      <c r="AE31" s="141"/>
      <c r="AF31" s="141"/>
    </row>
    <row r="32" spans="1:32" ht="15" customHeight="1" x14ac:dyDescent="0.2">
      <c r="A32" s="496" t="s">
        <v>682</v>
      </c>
      <c r="B32" s="138" t="s">
        <v>683</v>
      </c>
      <c r="C32" s="148">
        <f ca="1">IF(INDIRECT("'"&amp;C$6&amp;"'!$J$282")="N/A",INDIRECT("'"&amp;C$6&amp;"'!$J$269"),"-")</f>
        <v>0</v>
      </c>
      <c r="D32" s="148">
        <f t="shared" ref="D32:V32" ca="1" si="38">IF(INDIRECT("'"&amp;D$6&amp;"'!$J$282")="N/A",INDIRECT("'"&amp;D$6&amp;"'!$J$269"),"-")</f>
        <v>0</v>
      </c>
      <c r="E32" s="148">
        <f t="shared" ca="1" si="38"/>
        <v>0</v>
      </c>
      <c r="F32" s="148">
        <f t="shared" ca="1" si="38"/>
        <v>0</v>
      </c>
      <c r="G32" s="148" t="str">
        <f t="shared" ca="1" si="38"/>
        <v>-</v>
      </c>
      <c r="H32" s="148">
        <f t="shared" ca="1" si="38"/>
        <v>0</v>
      </c>
      <c r="I32" s="148">
        <f t="shared" ca="1" si="38"/>
        <v>0</v>
      </c>
      <c r="J32" s="148">
        <f t="shared" ca="1" si="38"/>
        <v>0</v>
      </c>
      <c r="K32" s="148">
        <f t="shared" ca="1" si="38"/>
        <v>0</v>
      </c>
      <c r="L32" s="148">
        <f t="shared" ca="1" si="38"/>
        <v>0</v>
      </c>
      <c r="M32" s="148">
        <f t="shared" ca="1" si="38"/>
        <v>0</v>
      </c>
      <c r="N32" s="148">
        <f t="shared" ca="1" si="38"/>
        <v>7</v>
      </c>
      <c r="O32" s="148">
        <f t="shared" ca="1" si="38"/>
        <v>0</v>
      </c>
      <c r="P32" s="148">
        <f t="shared" ca="1" si="38"/>
        <v>0</v>
      </c>
      <c r="Q32" s="148">
        <f t="shared" ca="1" si="38"/>
        <v>0</v>
      </c>
      <c r="R32" s="148">
        <f t="shared" ca="1" si="38"/>
        <v>0</v>
      </c>
      <c r="S32" s="148">
        <f t="shared" ca="1" si="38"/>
        <v>10</v>
      </c>
      <c r="T32" s="148">
        <f t="shared" ca="1" si="38"/>
        <v>0</v>
      </c>
      <c r="U32" s="148">
        <f ca="1">IF(INDIRECT("'"&amp;U$6&amp;"'!$J$282")="N/A",INDIRECT("'"&amp;U$6&amp;"'!$J$269"),"-")</f>
        <v>0</v>
      </c>
      <c r="V32" s="148">
        <f t="shared" ca="1" si="38"/>
        <v>0</v>
      </c>
      <c r="W32" s="148" t="str">
        <f ca="1">IF(INDIRECT("'"&amp;W$5&amp;"'!$G$3")=0,"",IF(INDIRECT("'"&amp;W$5&amp;"'!$J$282")="N/A",INDIRECT("'"&amp;W$5&amp;"'!$J$269"),"-"))</f>
        <v/>
      </c>
      <c r="X32" s="148" t="str">
        <f t="shared" ref="X32:AF32" ca="1" si="39">IF(INDIRECT("'"&amp;X$5&amp;"'!$G$3")=0,"",IF(INDIRECT("'"&amp;X$5&amp;"'!$J$282")="N/A",INDIRECT("'"&amp;X$5&amp;"'!$J$269"),"-"))</f>
        <v/>
      </c>
      <c r="Y32" s="148" t="str">
        <f t="shared" ca="1" si="39"/>
        <v/>
      </c>
      <c r="Z32" s="148" t="str">
        <f t="shared" ca="1" si="39"/>
        <v/>
      </c>
      <c r="AA32" s="148" t="str">
        <f t="shared" ca="1" si="39"/>
        <v/>
      </c>
      <c r="AB32" s="148" t="str">
        <f t="shared" ca="1" si="39"/>
        <v/>
      </c>
      <c r="AC32" s="148" t="str">
        <f t="shared" ca="1" si="39"/>
        <v/>
      </c>
      <c r="AD32" s="148" t="str">
        <f t="shared" ca="1" si="39"/>
        <v/>
      </c>
      <c r="AE32" s="148" t="str">
        <f t="shared" ca="1" si="39"/>
        <v/>
      </c>
      <c r="AF32" s="148" t="str">
        <f t="shared" ca="1" si="39"/>
        <v/>
      </c>
    </row>
    <row r="33" spans="1:32" ht="15" customHeight="1" x14ac:dyDescent="0.2">
      <c r="A33" s="497"/>
      <c r="B33" s="140" t="s">
        <v>684</v>
      </c>
      <c r="C33" s="150" t="e">
        <f ca="1">IF(INDIRECT("'"&amp;C$6&amp;"'!$J$282")="N/A",(INDIRECT("'"&amp;C$6&amp;"'!$J$274")/INDIRECT("'"&amp;C$6&amp;"'!$J$273")),INDIRECT("'"&amp;C$6&amp;"'!$J$281"))</f>
        <v>#VALUE!</v>
      </c>
      <c r="D33" s="150" t="e">
        <f t="shared" ref="D33:V33" ca="1" si="40">IF(INDIRECT("'"&amp;D$6&amp;"'!$J$282")="N/A",(INDIRECT("'"&amp;D$6&amp;"'!$J$274")/INDIRECT("'"&amp;D$6&amp;"'!$J$273")),INDIRECT("'"&amp;D$6&amp;"'!$J$281"))</f>
        <v>#VALUE!</v>
      </c>
      <c r="E33" s="150" t="e">
        <f t="shared" ca="1" si="40"/>
        <v>#VALUE!</v>
      </c>
      <c r="F33" s="150" t="e">
        <f t="shared" ca="1" si="40"/>
        <v>#VALUE!</v>
      </c>
      <c r="G33" s="150" t="str">
        <f t="shared" ca="1" si="40"/>
        <v>Ratio = Baseline (Score = 0)</v>
      </c>
      <c r="H33" s="150" t="e">
        <f t="shared" ca="1" si="40"/>
        <v>#VALUE!</v>
      </c>
      <c r="I33" s="150" t="e">
        <f t="shared" ca="1" si="40"/>
        <v>#VALUE!</v>
      </c>
      <c r="J33" s="150" t="e">
        <f t="shared" ca="1" si="40"/>
        <v>#VALUE!</v>
      </c>
      <c r="K33" s="150" t="e">
        <f t="shared" ca="1" si="40"/>
        <v>#VALUE!</v>
      </c>
      <c r="L33" s="150" t="e">
        <f t="shared" ca="1" si="40"/>
        <v>#VALUE!</v>
      </c>
      <c r="M33" s="150" t="e">
        <f t="shared" ca="1" si="40"/>
        <v>#VALUE!</v>
      </c>
      <c r="N33" s="150" t="e">
        <f t="shared" ca="1" si="40"/>
        <v>#VALUE!</v>
      </c>
      <c r="O33" s="150" t="e">
        <f t="shared" ca="1" si="40"/>
        <v>#VALUE!</v>
      </c>
      <c r="P33" s="150" t="e">
        <f t="shared" ca="1" si="40"/>
        <v>#VALUE!</v>
      </c>
      <c r="Q33" s="150" t="e">
        <f t="shared" ca="1" si="40"/>
        <v>#VALUE!</v>
      </c>
      <c r="R33" s="150" t="e">
        <f t="shared" ca="1" si="40"/>
        <v>#VALUE!</v>
      </c>
      <c r="S33" s="150" t="e">
        <f t="shared" ca="1" si="40"/>
        <v>#VALUE!</v>
      </c>
      <c r="T33" s="150" t="e">
        <f t="shared" ca="1" si="40"/>
        <v>#VALUE!</v>
      </c>
      <c r="U33" s="150" t="e">
        <f ca="1">IF(INDIRECT("'"&amp;U$6&amp;"'!$J$282")="N/A",(INDIRECT("'"&amp;U$6&amp;"'!$J$274")/INDIRECT("'"&amp;U$6&amp;"'!$J$273")),INDIRECT("'"&amp;U$6&amp;"'!$J$281"))</f>
        <v>#VALUE!</v>
      </c>
      <c r="V33" s="150" t="e">
        <f t="shared" ca="1" si="40"/>
        <v>#VALUE!</v>
      </c>
      <c r="W33" s="150" t="str">
        <f ca="1">IF(INDIRECT("'"&amp;W$5&amp;"'!$G$3")=0,"",IF(INDIRECT("'"&amp;W$5&amp;"'!$J$282")="N/A",(INDIRECT("'"&amp;W$5&amp;"'!$J$274")/INDIRECT("'"&amp;W$5&amp;"'!$J$273")),INDIRECT("'"&amp;W$5&amp;"'!$J$281")))</f>
        <v/>
      </c>
      <c r="X33" s="150" t="str">
        <f t="shared" ref="X33:AF33" ca="1" si="41">IF(INDIRECT("'"&amp;X$5&amp;"'!$G$3")=0,"",IF(INDIRECT("'"&amp;X$5&amp;"'!$J$282")="N/A",(INDIRECT("'"&amp;X$5&amp;"'!$J$274")/INDIRECT("'"&amp;X$5&amp;"'!$J$273")),INDIRECT("'"&amp;X$5&amp;"'!$J$281")))</f>
        <v/>
      </c>
      <c r="Y33" s="150" t="str">
        <f t="shared" ca="1" si="41"/>
        <v/>
      </c>
      <c r="Z33" s="150" t="str">
        <f t="shared" ca="1" si="41"/>
        <v/>
      </c>
      <c r="AA33" s="150" t="str">
        <f t="shared" ca="1" si="41"/>
        <v/>
      </c>
      <c r="AB33" s="150" t="str">
        <f t="shared" ca="1" si="41"/>
        <v/>
      </c>
      <c r="AC33" s="150" t="str">
        <f t="shared" ca="1" si="41"/>
        <v/>
      </c>
      <c r="AD33" s="150" t="str">
        <f t="shared" ca="1" si="41"/>
        <v/>
      </c>
      <c r="AE33" s="150" t="str">
        <f t="shared" ca="1" si="41"/>
        <v/>
      </c>
      <c r="AF33" s="150" t="str">
        <f t="shared" ca="1" si="41"/>
        <v/>
      </c>
    </row>
    <row r="34" spans="1:32" ht="30" customHeight="1" x14ac:dyDescent="0.2">
      <c r="A34" s="502" t="s">
        <v>856</v>
      </c>
      <c r="B34" s="137" t="s">
        <v>979</v>
      </c>
      <c r="C34" s="151">
        <f ca="1">INDIRECT("'"&amp;C$6&amp;"'!$J$293")</f>
        <v>0</v>
      </c>
      <c r="D34" s="151">
        <f t="shared" ref="D34:V34" ca="1" si="42">INDIRECT("'"&amp;D$6&amp;"'!$J$293")</f>
        <v>0</v>
      </c>
      <c r="E34" s="151">
        <f t="shared" ca="1" si="42"/>
        <v>0</v>
      </c>
      <c r="F34" s="151">
        <f t="shared" ca="1" si="42"/>
        <v>0</v>
      </c>
      <c r="G34" s="151">
        <f t="shared" ca="1" si="42"/>
        <v>0</v>
      </c>
      <c r="H34" s="151">
        <f t="shared" ca="1" si="42"/>
        <v>0</v>
      </c>
      <c r="I34" s="151">
        <f t="shared" ca="1" si="42"/>
        <v>0</v>
      </c>
      <c r="J34" s="151">
        <f t="shared" ca="1" si="42"/>
        <v>0</v>
      </c>
      <c r="K34" s="151">
        <f t="shared" ca="1" si="42"/>
        <v>0</v>
      </c>
      <c r="L34" s="151">
        <f t="shared" ca="1" si="42"/>
        <v>0</v>
      </c>
      <c r="M34" s="151">
        <f t="shared" ca="1" si="42"/>
        <v>0</v>
      </c>
      <c r="N34" s="151">
        <f t="shared" ca="1" si="42"/>
        <v>0</v>
      </c>
      <c r="O34" s="151">
        <f t="shared" ca="1" si="42"/>
        <v>0</v>
      </c>
      <c r="P34" s="151">
        <f t="shared" ca="1" si="42"/>
        <v>0</v>
      </c>
      <c r="Q34" s="151">
        <f t="shared" ca="1" si="42"/>
        <v>0</v>
      </c>
      <c r="R34" s="151">
        <f t="shared" ca="1" si="42"/>
        <v>0</v>
      </c>
      <c r="S34" s="151">
        <f t="shared" ca="1" si="42"/>
        <v>367</v>
      </c>
      <c r="T34" s="151">
        <f t="shared" ca="1" si="42"/>
        <v>0</v>
      </c>
      <c r="U34" s="151">
        <f ca="1">INDIRECT("'"&amp;U$6&amp;"'!$J$293")</f>
        <v>0</v>
      </c>
      <c r="V34" s="151">
        <f t="shared" ca="1" si="42"/>
        <v>0</v>
      </c>
      <c r="W34" s="151" t="str">
        <f ca="1">IF(INDIRECT("'"&amp;W$5&amp;"'!$G$3")=0,"",INDIRECT("'"&amp;W$5&amp;"'!$J$293"))</f>
        <v/>
      </c>
      <c r="X34" s="151" t="str">
        <f t="shared" ref="X34:AF34" ca="1" si="43">IF(INDIRECT("'"&amp;X$5&amp;"'!$G$3")=0,"",INDIRECT("'"&amp;X$5&amp;"'!$J$293"))</f>
        <v/>
      </c>
      <c r="Y34" s="151" t="str">
        <f t="shared" ca="1" si="43"/>
        <v/>
      </c>
      <c r="Z34" s="151" t="str">
        <f t="shared" ca="1" si="43"/>
        <v/>
      </c>
      <c r="AA34" s="151" t="str">
        <f t="shared" ca="1" si="43"/>
        <v/>
      </c>
      <c r="AB34" s="151" t="str">
        <f t="shared" ca="1" si="43"/>
        <v/>
      </c>
      <c r="AC34" s="151" t="str">
        <f t="shared" ca="1" si="43"/>
        <v/>
      </c>
      <c r="AD34" s="151" t="str">
        <f t="shared" ca="1" si="43"/>
        <v/>
      </c>
      <c r="AE34" s="151" t="str">
        <f t="shared" ca="1" si="43"/>
        <v/>
      </c>
      <c r="AF34" s="151" t="str">
        <f t="shared" ca="1" si="43"/>
        <v/>
      </c>
    </row>
    <row r="35" spans="1:32" ht="15" customHeight="1" x14ac:dyDescent="0.2">
      <c r="A35" s="497"/>
      <c r="B35" s="136" t="s">
        <v>635</v>
      </c>
      <c r="C35" s="149" t="str">
        <f ca="1">INDIRECT("'"&amp;C$6&amp;"'!$J$302")</f>
        <v>No impact (Score = 0)</v>
      </c>
      <c r="D35" s="149" t="str">
        <f t="shared" ref="D35:V35" ca="1" si="44">INDIRECT("'"&amp;D$6&amp;"'!$J$302")</f>
        <v>No impact (Score = 0)</v>
      </c>
      <c r="E35" s="149" t="str">
        <f t="shared" ca="1" si="44"/>
        <v>No impact (Score = 0)</v>
      </c>
      <c r="F35" s="149" t="str">
        <f t="shared" ca="1" si="44"/>
        <v>No impact (Score = 0)</v>
      </c>
      <c r="G35" s="149" t="str">
        <f t="shared" ca="1" si="44"/>
        <v>No impact (Score = 0)</v>
      </c>
      <c r="H35" s="149" t="str">
        <f t="shared" ca="1" si="44"/>
        <v>No impact (Score = 0)</v>
      </c>
      <c r="I35" s="149" t="str">
        <f t="shared" ca="1" si="44"/>
        <v>No impact (Score = 0)</v>
      </c>
      <c r="J35" s="149" t="str">
        <f t="shared" ca="1" si="44"/>
        <v>No impact (Score = 0)</v>
      </c>
      <c r="K35" s="149" t="str">
        <f t="shared" ca="1" si="44"/>
        <v>No impact (Score = 0)</v>
      </c>
      <c r="L35" s="149" t="str">
        <f t="shared" ca="1" si="44"/>
        <v>No impact (Score = 0)</v>
      </c>
      <c r="M35" s="149" t="str">
        <f t="shared" ca="1" si="44"/>
        <v>No impact (Score = 0)</v>
      </c>
      <c r="N35" s="149" t="str">
        <f t="shared" ca="1" si="44"/>
        <v>No impact (Score = 0)</v>
      </c>
      <c r="O35" s="149" t="str">
        <f t="shared" ca="1" si="44"/>
        <v>No impact (Score = 0)</v>
      </c>
      <c r="P35" s="149" t="str">
        <f t="shared" ca="1" si="44"/>
        <v>No impact (Score = 0)</v>
      </c>
      <c r="Q35" s="149" t="str">
        <f t="shared" ca="1" si="44"/>
        <v>No impact (Score = 0)</v>
      </c>
      <c r="R35" s="149" t="str">
        <f t="shared" ca="1" si="44"/>
        <v>No impact (Score = 0)</v>
      </c>
      <c r="S35" s="149" t="str">
        <f t="shared" ca="1" si="44"/>
        <v>&gt; 12 hours (Score = 4)</v>
      </c>
      <c r="T35" s="149" t="str">
        <f t="shared" ca="1" si="44"/>
        <v>No impact (Score = 0)</v>
      </c>
      <c r="U35" s="149" t="str">
        <f ca="1">INDIRECT("'"&amp;U$6&amp;"'!$J$302")</f>
        <v>No impact (Score = 0)</v>
      </c>
      <c r="V35" s="149" t="str">
        <f t="shared" ca="1" si="44"/>
        <v>No impact (Score = 0)</v>
      </c>
      <c r="W35" s="149" t="str">
        <f ca="1">IF(INDIRECT("'"&amp;W$5&amp;"'!$G$3")=0,"",INDIRECT("'"&amp;W$5&amp;"'!$J$302"))</f>
        <v/>
      </c>
      <c r="X35" s="149" t="str">
        <f t="shared" ref="X35:AF35" ca="1" si="45">IF(INDIRECT("'"&amp;X$5&amp;"'!$G$3")=0,"",INDIRECT("'"&amp;X$5&amp;"'!$J$302"))</f>
        <v/>
      </c>
      <c r="Y35" s="149" t="str">
        <f t="shared" ca="1" si="45"/>
        <v/>
      </c>
      <c r="Z35" s="149" t="str">
        <f t="shared" ca="1" si="45"/>
        <v/>
      </c>
      <c r="AA35" s="149" t="str">
        <f t="shared" ca="1" si="45"/>
        <v/>
      </c>
      <c r="AB35" s="149" t="str">
        <f t="shared" ca="1" si="45"/>
        <v/>
      </c>
      <c r="AC35" s="149" t="str">
        <f t="shared" ca="1" si="45"/>
        <v/>
      </c>
      <c r="AD35" s="149" t="str">
        <f t="shared" ca="1" si="45"/>
        <v/>
      </c>
      <c r="AE35" s="149" t="str">
        <f t="shared" ca="1" si="45"/>
        <v/>
      </c>
      <c r="AF35" s="149" t="str">
        <f t="shared" ca="1" si="45"/>
        <v/>
      </c>
    </row>
    <row r="36" spans="1:32" ht="30" customHeight="1" x14ac:dyDescent="0.2">
      <c r="A36" s="496" t="s">
        <v>910</v>
      </c>
      <c r="B36" s="138" t="s">
        <v>980</v>
      </c>
      <c r="C36" s="152">
        <f ca="1">INDIRECT("'"&amp;C$6&amp;"'!$J$312")</f>
        <v>0</v>
      </c>
      <c r="D36" s="152">
        <f t="shared" ref="D36:V36" ca="1" si="46">INDIRECT("'"&amp;D$6&amp;"'!$J$312")</f>
        <v>0</v>
      </c>
      <c r="E36" s="152">
        <f t="shared" ca="1" si="46"/>
        <v>0</v>
      </c>
      <c r="F36" s="152">
        <f t="shared" ca="1" si="46"/>
        <v>0</v>
      </c>
      <c r="G36" s="152">
        <f t="shared" ca="1" si="46"/>
        <v>0</v>
      </c>
      <c r="H36" s="152">
        <f t="shared" ca="1" si="46"/>
        <v>0</v>
      </c>
      <c r="I36" s="152">
        <f t="shared" ca="1" si="46"/>
        <v>0</v>
      </c>
      <c r="J36" s="152">
        <f t="shared" ca="1" si="46"/>
        <v>0</v>
      </c>
      <c r="K36" s="152">
        <f t="shared" ca="1" si="46"/>
        <v>0</v>
      </c>
      <c r="L36" s="152">
        <f t="shared" ca="1" si="46"/>
        <v>0</v>
      </c>
      <c r="M36" s="152">
        <f t="shared" ca="1" si="46"/>
        <v>0</v>
      </c>
      <c r="N36" s="152">
        <f t="shared" ca="1" si="46"/>
        <v>0</v>
      </c>
      <c r="O36" s="152">
        <f t="shared" ca="1" si="46"/>
        <v>0</v>
      </c>
      <c r="P36" s="152">
        <f t="shared" ca="1" si="46"/>
        <v>0</v>
      </c>
      <c r="Q36" s="152">
        <f t="shared" ca="1" si="46"/>
        <v>0</v>
      </c>
      <c r="R36" s="152">
        <f t="shared" ca="1" si="46"/>
        <v>0</v>
      </c>
      <c r="S36" s="152">
        <f t="shared" ca="1" si="46"/>
        <v>367</v>
      </c>
      <c r="T36" s="152">
        <f t="shared" ca="1" si="46"/>
        <v>0</v>
      </c>
      <c r="U36" s="152">
        <f ca="1">INDIRECT("'"&amp;U$6&amp;"'!$J$312")</f>
        <v>0</v>
      </c>
      <c r="V36" s="152">
        <f t="shared" ca="1" si="46"/>
        <v>0</v>
      </c>
      <c r="W36" s="152" t="str">
        <f ca="1">IF(INDIRECT("'"&amp;W$5&amp;"'!$G$3")=0,"",INDIRECT("'"&amp;W$5&amp;"'!$J$312"))</f>
        <v/>
      </c>
      <c r="X36" s="152" t="str">
        <f t="shared" ref="X36:AF36" ca="1" si="47">IF(INDIRECT("'"&amp;X$5&amp;"'!$G$3")=0,"",INDIRECT("'"&amp;X$5&amp;"'!$J$312"))</f>
        <v/>
      </c>
      <c r="Y36" s="152" t="str">
        <f t="shared" ca="1" si="47"/>
        <v/>
      </c>
      <c r="Z36" s="152" t="str">
        <f t="shared" ca="1" si="47"/>
        <v/>
      </c>
      <c r="AA36" s="152" t="str">
        <f t="shared" ca="1" si="47"/>
        <v/>
      </c>
      <c r="AB36" s="152" t="str">
        <f t="shared" ca="1" si="47"/>
        <v/>
      </c>
      <c r="AC36" s="152" t="str">
        <f t="shared" ca="1" si="47"/>
        <v/>
      </c>
      <c r="AD36" s="152" t="str">
        <f t="shared" ca="1" si="47"/>
        <v/>
      </c>
      <c r="AE36" s="152" t="str">
        <f t="shared" ca="1" si="47"/>
        <v/>
      </c>
      <c r="AF36" s="152" t="str">
        <f t="shared" ca="1" si="47"/>
        <v/>
      </c>
    </row>
    <row r="37" spans="1:32" ht="15" customHeight="1" x14ac:dyDescent="0.2">
      <c r="A37" s="497"/>
      <c r="B37" s="136" t="s">
        <v>636</v>
      </c>
      <c r="C37" s="153">
        <f ca="1">INDIRECT("'"&amp;C$6&amp;"'!$J$321")</f>
        <v>0</v>
      </c>
      <c r="D37" s="153">
        <f t="shared" ref="D37:V37" ca="1" si="48">INDIRECT("'"&amp;D$6&amp;"'!$J$321")</f>
        <v>0</v>
      </c>
      <c r="E37" s="153">
        <f t="shared" ca="1" si="48"/>
        <v>0</v>
      </c>
      <c r="F37" s="153">
        <f t="shared" ca="1" si="48"/>
        <v>0</v>
      </c>
      <c r="G37" s="153">
        <f t="shared" ca="1" si="48"/>
        <v>0</v>
      </c>
      <c r="H37" s="153">
        <f t="shared" ca="1" si="48"/>
        <v>0</v>
      </c>
      <c r="I37" s="153">
        <f t="shared" ca="1" si="48"/>
        <v>0</v>
      </c>
      <c r="J37" s="153">
        <f t="shared" ca="1" si="48"/>
        <v>0</v>
      </c>
      <c r="K37" s="153">
        <f t="shared" ca="1" si="48"/>
        <v>0</v>
      </c>
      <c r="L37" s="153">
        <f t="shared" ca="1" si="48"/>
        <v>0</v>
      </c>
      <c r="M37" s="153">
        <f t="shared" ca="1" si="48"/>
        <v>0</v>
      </c>
      <c r="N37" s="153">
        <f t="shared" ca="1" si="48"/>
        <v>0</v>
      </c>
      <c r="O37" s="153">
        <f t="shared" ca="1" si="48"/>
        <v>0</v>
      </c>
      <c r="P37" s="153">
        <f t="shared" ca="1" si="48"/>
        <v>4</v>
      </c>
      <c r="Q37" s="153">
        <f t="shared" ca="1" si="48"/>
        <v>0</v>
      </c>
      <c r="R37" s="153">
        <f t="shared" ca="1" si="48"/>
        <v>0</v>
      </c>
      <c r="S37" s="153">
        <f t="shared" ca="1" si="48"/>
        <v>0</v>
      </c>
      <c r="T37" s="153">
        <f t="shared" ca="1" si="48"/>
        <v>72</v>
      </c>
      <c r="U37" s="153">
        <f ca="1">INDIRECT("'"&amp;U$6&amp;"'!$J$321")</f>
        <v>0</v>
      </c>
      <c r="V37" s="153">
        <f t="shared" ca="1" si="48"/>
        <v>0</v>
      </c>
      <c r="W37" s="153" t="str">
        <f ca="1">IF(INDIRECT("'"&amp;W$5&amp;"'!$G$3")=0,"",INDIRECT("'"&amp;W$5&amp;"'!$J$321"))</f>
        <v/>
      </c>
      <c r="X37" s="153" t="str">
        <f t="shared" ref="X37:AF37" ca="1" si="49">IF(INDIRECT("'"&amp;X$5&amp;"'!$G$3")=0,"",INDIRECT("'"&amp;X$5&amp;"'!$J$321"))</f>
        <v/>
      </c>
      <c r="Y37" s="153" t="str">
        <f t="shared" ca="1" si="49"/>
        <v/>
      </c>
      <c r="Z37" s="153" t="str">
        <f t="shared" ca="1" si="49"/>
        <v/>
      </c>
      <c r="AA37" s="153" t="str">
        <f t="shared" ca="1" si="49"/>
        <v/>
      </c>
      <c r="AB37" s="153" t="str">
        <f t="shared" ca="1" si="49"/>
        <v/>
      </c>
      <c r="AC37" s="153" t="str">
        <f t="shared" ca="1" si="49"/>
        <v/>
      </c>
      <c r="AD37" s="153" t="str">
        <f t="shared" ca="1" si="49"/>
        <v/>
      </c>
      <c r="AE37" s="153" t="str">
        <f t="shared" ca="1" si="49"/>
        <v/>
      </c>
      <c r="AF37" s="153" t="str">
        <f t="shared" ca="1" si="49"/>
        <v/>
      </c>
    </row>
    <row r="38" spans="1:32" ht="45" customHeight="1" x14ac:dyDescent="0.2">
      <c r="A38" s="496" t="s">
        <v>858</v>
      </c>
      <c r="B38" s="139" t="s">
        <v>981</v>
      </c>
      <c r="C38" s="152">
        <f ca="1">INDIRECT("'"&amp;C$6&amp;"'!$J$331")</f>
        <v>0</v>
      </c>
      <c r="D38" s="152">
        <f t="shared" ref="D38:V38" ca="1" si="50">INDIRECT("'"&amp;D$6&amp;"'!$J$331")</f>
        <v>0</v>
      </c>
      <c r="E38" s="152">
        <f t="shared" ca="1" si="50"/>
        <v>0</v>
      </c>
      <c r="F38" s="152">
        <f t="shared" ca="1" si="50"/>
        <v>0</v>
      </c>
      <c r="G38" s="152">
        <f t="shared" ca="1" si="50"/>
        <v>0</v>
      </c>
      <c r="H38" s="152">
        <f t="shared" ca="1" si="50"/>
        <v>0</v>
      </c>
      <c r="I38" s="152">
        <f t="shared" ca="1" si="50"/>
        <v>0</v>
      </c>
      <c r="J38" s="152">
        <f t="shared" ca="1" si="50"/>
        <v>0</v>
      </c>
      <c r="K38" s="152">
        <f t="shared" ca="1" si="50"/>
        <v>0</v>
      </c>
      <c r="L38" s="152">
        <f t="shared" ca="1" si="50"/>
        <v>0</v>
      </c>
      <c r="M38" s="152">
        <f t="shared" ca="1" si="50"/>
        <v>0</v>
      </c>
      <c r="N38" s="152">
        <f t="shared" ca="1" si="50"/>
        <v>0</v>
      </c>
      <c r="O38" s="152">
        <f t="shared" ca="1" si="50"/>
        <v>0</v>
      </c>
      <c r="P38" s="152">
        <f t="shared" ca="1" si="50"/>
        <v>0</v>
      </c>
      <c r="Q38" s="152">
        <f t="shared" ca="1" si="50"/>
        <v>0</v>
      </c>
      <c r="R38" s="152">
        <f t="shared" ca="1" si="50"/>
        <v>0</v>
      </c>
      <c r="S38" s="152">
        <f t="shared" ca="1" si="50"/>
        <v>60</v>
      </c>
      <c r="T38" s="152">
        <f t="shared" ca="1" si="50"/>
        <v>0</v>
      </c>
      <c r="U38" s="152">
        <f ca="1">INDIRECT("'"&amp;U$6&amp;"'!$J$331")</f>
        <v>0</v>
      </c>
      <c r="V38" s="152">
        <f t="shared" ca="1" si="50"/>
        <v>0</v>
      </c>
      <c r="W38" s="152" t="str">
        <f ca="1">IF(INDIRECT("'"&amp;W$5&amp;"'!$G$3")=0,"",INDIRECT("'"&amp;W$5&amp;"'!$J$331"))</f>
        <v/>
      </c>
      <c r="X38" s="152" t="str">
        <f t="shared" ref="X38:AF38" ca="1" si="51">IF(INDIRECT("'"&amp;X$5&amp;"'!$G$3")=0,"",INDIRECT("'"&amp;X$5&amp;"'!$J$331"))</f>
        <v/>
      </c>
      <c r="Y38" s="152" t="str">
        <f t="shared" ca="1" si="51"/>
        <v/>
      </c>
      <c r="Z38" s="152" t="str">
        <f t="shared" ca="1" si="51"/>
        <v/>
      </c>
      <c r="AA38" s="152" t="str">
        <f t="shared" ca="1" si="51"/>
        <v/>
      </c>
      <c r="AB38" s="152" t="str">
        <f t="shared" ca="1" si="51"/>
        <v/>
      </c>
      <c r="AC38" s="152" t="str">
        <f t="shared" ca="1" si="51"/>
        <v/>
      </c>
      <c r="AD38" s="152" t="str">
        <f t="shared" ca="1" si="51"/>
        <v/>
      </c>
      <c r="AE38" s="152" t="str">
        <f t="shared" ca="1" si="51"/>
        <v/>
      </c>
      <c r="AF38" s="152" t="str">
        <f t="shared" ca="1" si="51"/>
        <v/>
      </c>
    </row>
    <row r="39" spans="1:32" ht="15" customHeight="1" x14ac:dyDescent="0.2">
      <c r="A39" s="497"/>
      <c r="B39" s="136" t="s">
        <v>837</v>
      </c>
      <c r="C39" s="153">
        <f ca="1">INDIRECT("'"&amp;C$6&amp;"'!$J$342")</f>
        <v>0</v>
      </c>
      <c r="D39" s="153">
        <f t="shared" ref="D39:V39" ca="1" si="52">INDIRECT("'"&amp;D$6&amp;"'!$J$342")</f>
        <v>0</v>
      </c>
      <c r="E39" s="153">
        <f t="shared" ca="1" si="52"/>
        <v>0</v>
      </c>
      <c r="F39" s="153">
        <f t="shared" ca="1" si="52"/>
        <v>0</v>
      </c>
      <c r="G39" s="153">
        <f t="shared" ca="1" si="52"/>
        <v>0</v>
      </c>
      <c r="H39" s="153">
        <f t="shared" ca="1" si="52"/>
        <v>0</v>
      </c>
      <c r="I39" s="153">
        <f t="shared" ca="1" si="52"/>
        <v>0</v>
      </c>
      <c r="J39" s="153">
        <f t="shared" ca="1" si="52"/>
        <v>0</v>
      </c>
      <c r="K39" s="153">
        <f t="shared" ca="1" si="52"/>
        <v>0</v>
      </c>
      <c r="L39" s="153">
        <f t="shared" ca="1" si="52"/>
        <v>0</v>
      </c>
      <c r="M39" s="153">
        <f t="shared" ca="1" si="52"/>
        <v>0</v>
      </c>
      <c r="N39" s="153">
        <f t="shared" ca="1" si="52"/>
        <v>0</v>
      </c>
      <c r="O39" s="153">
        <f t="shared" ca="1" si="52"/>
        <v>0</v>
      </c>
      <c r="P39" s="153">
        <f t="shared" ca="1" si="52"/>
        <v>0</v>
      </c>
      <c r="Q39" s="153">
        <f t="shared" ca="1" si="52"/>
        <v>0</v>
      </c>
      <c r="R39" s="153">
        <f t="shared" ca="1" si="52"/>
        <v>0</v>
      </c>
      <c r="S39" s="153">
        <f t="shared" ca="1" si="52"/>
        <v>0</v>
      </c>
      <c r="T39" s="153">
        <f t="shared" ca="1" si="52"/>
        <v>32</v>
      </c>
      <c r="U39" s="153">
        <f ca="1">INDIRECT("'"&amp;U$6&amp;"'!$J$342")</f>
        <v>0</v>
      </c>
      <c r="V39" s="153">
        <f t="shared" ca="1" si="52"/>
        <v>0</v>
      </c>
      <c r="W39" s="153" t="str">
        <f ca="1">IF(INDIRECT("'"&amp;W$5&amp;"'!$G$3")=0,"",INDIRECT("'"&amp;W$5&amp;"'!$J$342"))</f>
        <v/>
      </c>
      <c r="X39" s="153" t="str">
        <f t="shared" ref="X39:AF39" ca="1" si="53">IF(INDIRECT("'"&amp;X$5&amp;"'!$G$3")=0,"",INDIRECT("'"&amp;X$5&amp;"'!$J$342"))</f>
        <v/>
      </c>
      <c r="Y39" s="153" t="str">
        <f t="shared" ca="1" si="53"/>
        <v/>
      </c>
      <c r="Z39" s="153" t="str">
        <f t="shared" ca="1" si="53"/>
        <v/>
      </c>
      <c r="AA39" s="153" t="str">
        <f t="shared" ca="1" si="53"/>
        <v/>
      </c>
      <c r="AB39" s="153" t="str">
        <f t="shared" ca="1" si="53"/>
        <v/>
      </c>
      <c r="AC39" s="153" t="str">
        <f t="shared" ca="1" si="53"/>
        <v/>
      </c>
      <c r="AD39" s="153" t="str">
        <f t="shared" ca="1" si="53"/>
        <v/>
      </c>
      <c r="AE39" s="153" t="str">
        <f t="shared" ca="1" si="53"/>
        <v/>
      </c>
      <c r="AF39" s="153" t="str">
        <f t="shared" ca="1" si="53"/>
        <v/>
      </c>
    </row>
    <row r="40" spans="1:32" ht="30" customHeight="1" x14ac:dyDescent="0.2">
      <c r="A40" s="496" t="s">
        <v>859</v>
      </c>
      <c r="B40" s="139" t="s">
        <v>982</v>
      </c>
      <c r="C40" s="152">
        <f ca="1">INDIRECT("'"&amp;C$6&amp;"'!$J$353")</f>
        <v>0</v>
      </c>
      <c r="D40" s="152">
        <f t="shared" ref="D40:V40" ca="1" si="54">INDIRECT("'"&amp;D$6&amp;"'!$J$353")</f>
        <v>0</v>
      </c>
      <c r="E40" s="152">
        <f t="shared" ca="1" si="54"/>
        <v>0</v>
      </c>
      <c r="F40" s="152">
        <f t="shared" ca="1" si="54"/>
        <v>0</v>
      </c>
      <c r="G40" s="152">
        <f t="shared" ca="1" si="54"/>
        <v>0</v>
      </c>
      <c r="H40" s="152">
        <f t="shared" ca="1" si="54"/>
        <v>0</v>
      </c>
      <c r="I40" s="152">
        <f t="shared" ca="1" si="54"/>
        <v>0</v>
      </c>
      <c r="J40" s="152">
        <f t="shared" ca="1" si="54"/>
        <v>0</v>
      </c>
      <c r="K40" s="152">
        <f t="shared" ca="1" si="54"/>
        <v>0</v>
      </c>
      <c r="L40" s="152">
        <f t="shared" ca="1" si="54"/>
        <v>0</v>
      </c>
      <c r="M40" s="152">
        <f t="shared" ca="1" si="54"/>
        <v>0</v>
      </c>
      <c r="N40" s="152">
        <f t="shared" ca="1" si="54"/>
        <v>0</v>
      </c>
      <c r="O40" s="152">
        <f t="shared" ca="1" si="54"/>
        <v>0</v>
      </c>
      <c r="P40" s="152">
        <f t="shared" ca="1" si="54"/>
        <v>0</v>
      </c>
      <c r="Q40" s="152">
        <f t="shared" ca="1" si="54"/>
        <v>0</v>
      </c>
      <c r="R40" s="152">
        <f t="shared" ca="1" si="54"/>
        <v>0</v>
      </c>
      <c r="S40" s="152">
        <f t="shared" ca="1" si="54"/>
        <v>367</v>
      </c>
      <c r="T40" s="152">
        <f t="shared" ca="1" si="54"/>
        <v>0</v>
      </c>
      <c r="U40" s="152">
        <f ca="1">INDIRECT("'"&amp;U$6&amp;"'!$J$353")</f>
        <v>0</v>
      </c>
      <c r="V40" s="152">
        <f t="shared" ca="1" si="54"/>
        <v>0</v>
      </c>
      <c r="W40" s="152" t="str">
        <f ca="1">IF(INDIRECT("'"&amp;W$5&amp;"'!$G$3")=0,"",INDIRECT("'"&amp;W$5&amp;"'!$J$353"))</f>
        <v/>
      </c>
      <c r="X40" s="152" t="str">
        <f t="shared" ref="X40:AF40" ca="1" si="55">IF(INDIRECT("'"&amp;X$5&amp;"'!$G$3")=0,"",INDIRECT("'"&amp;X$5&amp;"'!$J$353"))</f>
        <v/>
      </c>
      <c r="Y40" s="152" t="str">
        <f t="shared" ca="1" si="55"/>
        <v/>
      </c>
      <c r="Z40" s="152" t="str">
        <f t="shared" ca="1" si="55"/>
        <v/>
      </c>
      <c r="AA40" s="152" t="str">
        <f t="shared" ca="1" si="55"/>
        <v/>
      </c>
      <c r="AB40" s="152" t="str">
        <f t="shared" ca="1" si="55"/>
        <v/>
      </c>
      <c r="AC40" s="152" t="str">
        <f t="shared" ca="1" si="55"/>
        <v/>
      </c>
      <c r="AD40" s="152" t="str">
        <f t="shared" ca="1" si="55"/>
        <v/>
      </c>
      <c r="AE40" s="152" t="str">
        <f t="shared" ca="1" si="55"/>
        <v/>
      </c>
      <c r="AF40" s="152" t="str">
        <f t="shared" ca="1" si="55"/>
        <v/>
      </c>
    </row>
    <row r="41" spans="1:32" ht="15" customHeight="1" x14ac:dyDescent="0.2">
      <c r="A41" s="497"/>
      <c r="B41" s="136" t="s">
        <v>637</v>
      </c>
      <c r="C41" s="150" t="str">
        <f ca="1">INDIRECT("'"&amp;C$6&amp;"'!$J$362")</f>
        <v>No impact (Score = 0)</v>
      </c>
      <c r="D41" s="150" t="str">
        <f t="shared" ref="D41:V41" ca="1" si="56">INDIRECT("'"&amp;D$6&amp;"'!$J$362")</f>
        <v>No impact (Score = 0)</v>
      </c>
      <c r="E41" s="150" t="str">
        <f t="shared" ca="1" si="56"/>
        <v>No impact (Score = 0)</v>
      </c>
      <c r="F41" s="150" t="str">
        <f t="shared" ca="1" si="56"/>
        <v>No impact (Score = 0)</v>
      </c>
      <c r="G41" s="150" t="str">
        <f t="shared" ca="1" si="56"/>
        <v>No impact (Score = 0)</v>
      </c>
      <c r="H41" s="150" t="str">
        <f t="shared" ca="1" si="56"/>
        <v>No impact (Score = 0)</v>
      </c>
      <c r="I41" s="150" t="str">
        <f t="shared" ca="1" si="56"/>
        <v>&gt; 12 hours (Score = 4)</v>
      </c>
      <c r="J41" s="150" t="str">
        <f t="shared" ca="1" si="56"/>
        <v>No impact (Score = 0)</v>
      </c>
      <c r="K41" s="150" t="str">
        <f t="shared" ca="1" si="56"/>
        <v>No impact (Score = 0)</v>
      </c>
      <c r="L41" s="150" t="str">
        <f t="shared" ca="1" si="56"/>
        <v>No impact (Score = 0)</v>
      </c>
      <c r="M41" s="150" t="str">
        <f t="shared" ca="1" si="56"/>
        <v>No impact (Score = 0)</v>
      </c>
      <c r="N41" s="150" t="str">
        <f t="shared" ca="1" si="56"/>
        <v>No impact (Score = 0)</v>
      </c>
      <c r="O41" s="150" t="str">
        <f t="shared" ca="1" si="56"/>
        <v>No impact (Score = 0)</v>
      </c>
      <c r="P41" s="150" t="str">
        <f t="shared" ca="1" si="56"/>
        <v>No impact (Score = 0)</v>
      </c>
      <c r="Q41" s="150" t="str">
        <f t="shared" ca="1" si="56"/>
        <v>No impact (Score = 0)</v>
      </c>
      <c r="R41" s="150" t="str">
        <f t="shared" ca="1" si="56"/>
        <v>No impact (Score = 0)</v>
      </c>
      <c r="S41" s="150" t="str">
        <f t="shared" ca="1" si="56"/>
        <v>&gt; 12 hours (Score = 4)</v>
      </c>
      <c r="T41" s="150" t="str">
        <f t="shared" ca="1" si="56"/>
        <v>≤ 2 hours (Score = 1)</v>
      </c>
      <c r="U41" s="150" t="str">
        <f ca="1">INDIRECT("'"&amp;U$6&amp;"'!$J$362")</f>
        <v>No impact (Score = 0)</v>
      </c>
      <c r="V41" s="150" t="str">
        <f t="shared" ca="1" si="56"/>
        <v>No impact (Score = 0)</v>
      </c>
      <c r="W41" s="150" t="str">
        <f ca="1">IF(INDIRECT("'"&amp;W$5&amp;"'!$G$3")=0,"",INDIRECT("'"&amp;W$5&amp;"'!$J$362"))</f>
        <v/>
      </c>
      <c r="X41" s="150" t="str">
        <f t="shared" ref="X41:AF41" ca="1" si="57">IF(INDIRECT("'"&amp;X$5&amp;"'!$G$3")=0,"",INDIRECT("'"&amp;X$5&amp;"'!$J$362"))</f>
        <v/>
      </c>
      <c r="Y41" s="150" t="str">
        <f t="shared" ca="1" si="57"/>
        <v/>
      </c>
      <c r="Z41" s="150" t="str">
        <f t="shared" ca="1" si="57"/>
        <v/>
      </c>
      <c r="AA41" s="150" t="str">
        <f t="shared" ca="1" si="57"/>
        <v/>
      </c>
      <c r="AB41" s="150" t="str">
        <f t="shared" ca="1" si="57"/>
        <v/>
      </c>
      <c r="AC41" s="150" t="str">
        <f t="shared" ca="1" si="57"/>
        <v/>
      </c>
      <c r="AD41" s="150" t="str">
        <f t="shared" ca="1" si="57"/>
        <v/>
      </c>
      <c r="AE41" s="150" t="str">
        <f t="shared" ca="1" si="57"/>
        <v/>
      </c>
      <c r="AF41" s="150" t="str">
        <f t="shared" ca="1" si="57"/>
        <v/>
      </c>
    </row>
    <row r="42" spans="1:32" ht="30" customHeight="1" x14ac:dyDescent="0.2">
      <c r="A42" s="496" t="s">
        <v>863</v>
      </c>
      <c r="B42" s="138" t="s">
        <v>983</v>
      </c>
      <c r="C42" s="152">
        <f ca="1">INDIRECT("'"&amp;C$6&amp;"'!$J$372")</f>
        <v>0</v>
      </c>
      <c r="D42" s="152">
        <f t="shared" ref="D42:V42" ca="1" si="58">INDIRECT("'"&amp;D$6&amp;"'!$J$372")</f>
        <v>0</v>
      </c>
      <c r="E42" s="152">
        <f t="shared" ca="1" si="58"/>
        <v>0</v>
      </c>
      <c r="F42" s="152">
        <f t="shared" ca="1" si="58"/>
        <v>0</v>
      </c>
      <c r="G42" s="152">
        <f t="shared" ca="1" si="58"/>
        <v>0</v>
      </c>
      <c r="H42" s="152">
        <f t="shared" ca="1" si="58"/>
        <v>0</v>
      </c>
      <c r="I42" s="152">
        <f t="shared" ca="1" si="58"/>
        <v>0</v>
      </c>
      <c r="J42" s="152">
        <f t="shared" ca="1" si="58"/>
        <v>0</v>
      </c>
      <c r="K42" s="152">
        <f t="shared" ca="1" si="58"/>
        <v>0</v>
      </c>
      <c r="L42" s="152">
        <f t="shared" ca="1" si="58"/>
        <v>0</v>
      </c>
      <c r="M42" s="152">
        <f t="shared" ca="1" si="58"/>
        <v>0</v>
      </c>
      <c r="N42" s="152">
        <f t="shared" ca="1" si="58"/>
        <v>0</v>
      </c>
      <c r="O42" s="152">
        <f t="shared" ca="1" si="58"/>
        <v>0</v>
      </c>
      <c r="P42" s="152">
        <f t="shared" ca="1" si="58"/>
        <v>0</v>
      </c>
      <c r="Q42" s="152">
        <f t="shared" ca="1" si="58"/>
        <v>0</v>
      </c>
      <c r="R42" s="152">
        <f t="shared" ca="1" si="58"/>
        <v>0</v>
      </c>
      <c r="S42" s="152">
        <f t="shared" ca="1" si="58"/>
        <v>367</v>
      </c>
      <c r="T42" s="152">
        <f t="shared" ca="1" si="58"/>
        <v>0</v>
      </c>
      <c r="U42" s="152">
        <f ca="1">INDIRECT("'"&amp;U$6&amp;"'!$J$372")</f>
        <v>0</v>
      </c>
      <c r="V42" s="152">
        <f t="shared" ca="1" si="58"/>
        <v>0</v>
      </c>
      <c r="W42" s="152" t="str">
        <f ca="1">IF(INDIRECT("'"&amp;W$5&amp;"'!$G$3")=0,"",INDIRECT("'"&amp;W$5&amp;"'!$J$372"))</f>
        <v/>
      </c>
      <c r="X42" s="152" t="str">
        <f t="shared" ref="X42:AF42" ca="1" si="59">IF(INDIRECT("'"&amp;X$5&amp;"'!$G$3")=0,"",INDIRECT("'"&amp;X$5&amp;"'!$J$372"))</f>
        <v/>
      </c>
      <c r="Y42" s="152" t="str">
        <f t="shared" ca="1" si="59"/>
        <v/>
      </c>
      <c r="Z42" s="152" t="str">
        <f t="shared" ca="1" si="59"/>
        <v/>
      </c>
      <c r="AA42" s="152" t="str">
        <f t="shared" ca="1" si="59"/>
        <v/>
      </c>
      <c r="AB42" s="152" t="str">
        <f t="shared" ca="1" si="59"/>
        <v/>
      </c>
      <c r="AC42" s="152" t="str">
        <f t="shared" ca="1" si="59"/>
        <v/>
      </c>
      <c r="AD42" s="152" t="str">
        <f t="shared" ca="1" si="59"/>
        <v/>
      </c>
      <c r="AE42" s="152" t="str">
        <f t="shared" ca="1" si="59"/>
        <v/>
      </c>
      <c r="AF42" s="152" t="str">
        <f t="shared" ca="1" si="59"/>
        <v/>
      </c>
    </row>
    <row r="43" spans="1:32" ht="15" customHeight="1" x14ac:dyDescent="0.2">
      <c r="A43" s="497"/>
      <c r="B43" s="136" t="s">
        <v>638</v>
      </c>
      <c r="C43" s="153">
        <f ca="1">INDIRECT("'"&amp;C$6&amp;"'!$J$382")</f>
        <v>0</v>
      </c>
      <c r="D43" s="153">
        <f t="shared" ref="D43:V43" ca="1" si="60">INDIRECT("'"&amp;D$6&amp;"'!$J$382")</f>
        <v>0</v>
      </c>
      <c r="E43" s="153">
        <f t="shared" ca="1" si="60"/>
        <v>0</v>
      </c>
      <c r="F43" s="153">
        <f t="shared" ca="1" si="60"/>
        <v>0</v>
      </c>
      <c r="G43" s="153">
        <f t="shared" ca="1" si="60"/>
        <v>0</v>
      </c>
      <c r="H43" s="153">
        <f t="shared" ca="1" si="60"/>
        <v>0</v>
      </c>
      <c r="I43" s="153">
        <f t="shared" ca="1" si="60"/>
        <v>0</v>
      </c>
      <c r="J43" s="153">
        <f t="shared" ca="1" si="60"/>
        <v>0</v>
      </c>
      <c r="K43" s="153">
        <f t="shared" ca="1" si="60"/>
        <v>0</v>
      </c>
      <c r="L43" s="153">
        <f t="shared" ca="1" si="60"/>
        <v>1</v>
      </c>
      <c r="M43" s="153">
        <f t="shared" ca="1" si="60"/>
        <v>0</v>
      </c>
      <c r="N43" s="153">
        <f t="shared" ca="1" si="60"/>
        <v>0</v>
      </c>
      <c r="O43" s="153">
        <f t="shared" ca="1" si="60"/>
        <v>0</v>
      </c>
      <c r="P43" s="153">
        <f t="shared" ca="1" si="60"/>
        <v>2</v>
      </c>
      <c r="Q43" s="153">
        <f t="shared" ca="1" si="60"/>
        <v>0</v>
      </c>
      <c r="R43" s="153">
        <f t="shared" ca="1" si="60"/>
        <v>0</v>
      </c>
      <c r="S43" s="153">
        <f t="shared" ca="1" si="60"/>
        <v>7</v>
      </c>
      <c r="T43" s="153">
        <f t="shared" ca="1" si="60"/>
        <v>0</v>
      </c>
      <c r="U43" s="153">
        <f ca="1">INDIRECT("'"&amp;U$6&amp;"'!$J$382")</f>
        <v>0</v>
      </c>
      <c r="V43" s="153">
        <f t="shared" ca="1" si="60"/>
        <v>1</v>
      </c>
      <c r="W43" s="153" t="str">
        <f ca="1">IF(INDIRECT("'"&amp;W$5&amp;"'!$G$3")=0,"",INDIRECT("'"&amp;W$5&amp;"'!$J$382"))</f>
        <v/>
      </c>
      <c r="X43" s="153" t="str">
        <f t="shared" ref="X43:AF43" ca="1" si="61">IF(INDIRECT("'"&amp;X$5&amp;"'!$G$3")=0,"",INDIRECT("'"&amp;X$5&amp;"'!$J$382"))</f>
        <v/>
      </c>
      <c r="Y43" s="153" t="str">
        <f t="shared" ca="1" si="61"/>
        <v/>
      </c>
      <c r="Z43" s="153" t="str">
        <f t="shared" ca="1" si="61"/>
        <v/>
      </c>
      <c r="AA43" s="153" t="str">
        <f t="shared" ca="1" si="61"/>
        <v/>
      </c>
      <c r="AB43" s="153" t="str">
        <f t="shared" ca="1" si="61"/>
        <v/>
      </c>
      <c r="AC43" s="153" t="str">
        <f t="shared" ca="1" si="61"/>
        <v/>
      </c>
      <c r="AD43" s="153" t="str">
        <f t="shared" ca="1" si="61"/>
        <v/>
      </c>
      <c r="AE43" s="153" t="str">
        <f t="shared" ca="1" si="61"/>
        <v/>
      </c>
      <c r="AF43" s="153" t="str">
        <f t="shared" ca="1" si="61"/>
        <v/>
      </c>
    </row>
    <row r="44" spans="1:32" ht="30" customHeight="1" x14ac:dyDescent="0.2">
      <c r="A44" s="490" t="s">
        <v>984</v>
      </c>
      <c r="B44" s="491"/>
      <c r="C44" s="153">
        <f ca="1">INDIRECT("'"&amp;C$6&amp;"'!$J$392")</f>
        <v>0</v>
      </c>
      <c r="D44" s="153">
        <f t="shared" ref="D44:V44" ca="1" si="62">INDIRECT("'"&amp;D$6&amp;"'!$J$392")</f>
        <v>0</v>
      </c>
      <c r="E44" s="153">
        <f t="shared" ca="1" si="62"/>
        <v>0</v>
      </c>
      <c r="F44" s="153">
        <f t="shared" ca="1" si="62"/>
        <v>0</v>
      </c>
      <c r="G44" s="153">
        <f t="shared" ca="1" si="62"/>
        <v>0</v>
      </c>
      <c r="H44" s="153">
        <f t="shared" ca="1" si="62"/>
        <v>0</v>
      </c>
      <c r="I44" s="153">
        <f t="shared" ca="1" si="62"/>
        <v>0</v>
      </c>
      <c r="J44" s="153">
        <f t="shared" ca="1" si="62"/>
        <v>0</v>
      </c>
      <c r="K44" s="153">
        <f t="shared" ca="1" si="62"/>
        <v>0</v>
      </c>
      <c r="L44" s="153">
        <f t="shared" ca="1" si="62"/>
        <v>0</v>
      </c>
      <c r="M44" s="153">
        <f t="shared" ca="1" si="62"/>
        <v>0</v>
      </c>
      <c r="N44" s="153">
        <f t="shared" ca="1" si="62"/>
        <v>0</v>
      </c>
      <c r="O44" s="153">
        <f t="shared" ca="1" si="62"/>
        <v>0</v>
      </c>
      <c r="P44" s="153">
        <f t="shared" ca="1" si="62"/>
        <v>0</v>
      </c>
      <c r="Q44" s="153">
        <f t="shared" ca="1" si="62"/>
        <v>0</v>
      </c>
      <c r="R44" s="153">
        <f t="shared" ca="1" si="62"/>
        <v>0</v>
      </c>
      <c r="S44" s="153">
        <f t="shared" ca="1" si="62"/>
        <v>183</v>
      </c>
      <c r="T44" s="153">
        <f t="shared" ca="1" si="62"/>
        <v>0</v>
      </c>
      <c r="U44" s="153">
        <f ca="1">INDIRECT("'"&amp;U$6&amp;"'!$J$392")</f>
        <v>0</v>
      </c>
      <c r="V44" s="153">
        <f t="shared" ca="1" si="62"/>
        <v>0</v>
      </c>
      <c r="W44" s="153" t="str">
        <f ca="1">IF(INDIRECT("'"&amp;W$5&amp;"'!$G$3")=0,"",INDIRECT("'"&amp;W$5&amp;"'!$J$392"))</f>
        <v/>
      </c>
      <c r="X44" s="153" t="str">
        <f t="shared" ref="X44:AF44" ca="1" si="63">IF(INDIRECT("'"&amp;X$5&amp;"'!$G$3")=0,"",INDIRECT("'"&amp;X$5&amp;"'!$J$392"))</f>
        <v/>
      </c>
      <c r="Y44" s="153" t="str">
        <f t="shared" ca="1" si="63"/>
        <v/>
      </c>
      <c r="Z44" s="153" t="str">
        <f t="shared" ca="1" si="63"/>
        <v/>
      </c>
      <c r="AA44" s="153" t="str">
        <f t="shared" ca="1" si="63"/>
        <v/>
      </c>
      <c r="AB44" s="153" t="str">
        <f t="shared" ca="1" si="63"/>
        <v/>
      </c>
      <c r="AC44" s="153" t="str">
        <f t="shared" ca="1" si="63"/>
        <v/>
      </c>
      <c r="AD44" s="153" t="str">
        <f t="shared" ca="1" si="63"/>
        <v/>
      </c>
      <c r="AE44" s="153" t="str">
        <f t="shared" ca="1" si="63"/>
        <v/>
      </c>
      <c r="AF44" s="153" t="str">
        <f t="shared" ca="1" si="63"/>
        <v/>
      </c>
    </row>
    <row r="45" spans="1:32" ht="30" customHeight="1" x14ac:dyDescent="0.2">
      <c r="A45" s="490" t="s">
        <v>985</v>
      </c>
      <c r="B45" s="491"/>
      <c r="C45" s="147">
        <f ca="1">INDIRECT("'"&amp;C$6&amp;"'!$J$408")</f>
        <v>0</v>
      </c>
      <c r="D45" s="147">
        <f t="shared" ref="D45:V45" ca="1" si="64">INDIRECT("'"&amp;D$6&amp;"'!$J$408")</f>
        <v>180</v>
      </c>
      <c r="E45" s="147">
        <f t="shared" ca="1" si="64"/>
        <v>0</v>
      </c>
      <c r="F45" s="147">
        <f t="shared" ca="1" si="64"/>
        <v>0</v>
      </c>
      <c r="G45" s="147">
        <f t="shared" ca="1" si="64"/>
        <v>0</v>
      </c>
      <c r="H45" s="147">
        <f t="shared" ca="1" si="64"/>
        <v>0</v>
      </c>
      <c r="I45" s="147">
        <f t="shared" ca="1" si="64"/>
        <v>0</v>
      </c>
      <c r="J45" s="147">
        <f t="shared" ca="1" si="64"/>
        <v>0</v>
      </c>
      <c r="K45" s="147">
        <f t="shared" ca="1" si="64"/>
        <v>0</v>
      </c>
      <c r="L45" s="147">
        <f t="shared" ca="1" si="64"/>
        <v>0</v>
      </c>
      <c r="M45" s="147">
        <f t="shared" ca="1" si="64"/>
        <v>255.5</v>
      </c>
      <c r="N45" s="147">
        <f t="shared" ca="1" si="64"/>
        <v>0</v>
      </c>
      <c r="O45" s="147" t="str">
        <f t="shared" ca="1" si="64"/>
        <v xml:space="preserve"> </v>
      </c>
      <c r="P45" s="147">
        <f t="shared" ca="1" si="64"/>
        <v>0</v>
      </c>
      <c r="Q45" s="147">
        <f t="shared" ca="1" si="64"/>
        <v>0</v>
      </c>
      <c r="R45" s="147">
        <f t="shared" ca="1" si="64"/>
        <v>0</v>
      </c>
      <c r="S45" s="147">
        <f t="shared" ca="1" si="64"/>
        <v>0</v>
      </c>
      <c r="T45" s="147">
        <f t="shared" ca="1" si="64"/>
        <v>0</v>
      </c>
      <c r="U45" s="147">
        <f ca="1">INDIRECT("'"&amp;U$6&amp;"'!$J$408")</f>
        <v>0</v>
      </c>
      <c r="V45" s="147">
        <f t="shared" ca="1" si="64"/>
        <v>0</v>
      </c>
      <c r="W45" s="147" t="str">
        <f ca="1">IF(INDIRECT("'"&amp;W$5&amp;"'!$G$3")=0,"",INDIRECT("'"&amp;W$5&amp;"'!$J$408"))</f>
        <v/>
      </c>
      <c r="X45" s="147" t="str">
        <f t="shared" ref="X45:AF45" ca="1" si="65">IF(INDIRECT("'"&amp;X$5&amp;"'!$G$3")=0,"",INDIRECT("'"&amp;X$5&amp;"'!$J$408"))</f>
        <v/>
      </c>
      <c r="Y45" s="147" t="str">
        <f t="shared" ca="1" si="65"/>
        <v/>
      </c>
      <c r="Z45" s="147" t="str">
        <f t="shared" ca="1" si="65"/>
        <v/>
      </c>
      <c r="AA45" s="147" t="str">
        <f t="shared" ca="1" si="65"/>
        <v/>
      </c>
      <c r="AB45" s="147" t="str">
        <f t="shared" ca="1" si="65"/>
        <v/>
      </c>
      <c r="AC45" s="147" t="str">
        <f t="shared" ca="1" si="65"/>
        <v/>
      </c>
      <c r="AD45" s="147" t="str">
        <f t="shared" ca="1" si="65"/>
        <v/>
      </c>
      <c r="AE45" s="147" t="str">
        <f t="shared" ca="1" si="65"/>
        <v/>
      </c>
      <c r="AF45" s="147" t="str">
        <f t="shared" ca="1" si="65"/>
        <v/>
      </c>
    </row>
    <row r="46" spans="1:32" x14ac:dyDescent="0.2">
      <c r="A46" s="492"/>
      <c r="B46" s="493"/>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141"/>
      <c r="AB46" s="141"/>
      <c r="AC46" s="141"/>
      <c r="AD46" s="141"/>
      <c r="AE46" s="141"/>
      <c r="AF46" s="141"/>
    </row>
    <row r="47" spans="1:32" ht="15.75" customHeight="1" x14ac:dyDescent="0.2">
      <c r="A47" s="484" t="s">
        <v>230</v>
      </c>
      <c r="B47" s="485"/>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141"/>
      <c r="AB47" s="141"/>
      <c r="AC47" s="141"/>
      <c r="AD47" s="141"/>
      <c r="AE47" s="141"/>
      <c r="AF47" s="141"/>
    </row>
    <row r="48" spans="1:32" ht="15" customHeight="1" x14ac:dyDescent="0.2">
      <c r="A48" s="496" t="s">
        <v>299</v>
      </c>
      <c r="B48" s="138" t="s">
        <v>643</v>
      </c>
      <c r="C48" s="152">
        <f ca="1">INDIRECT("'"&amp;C$6&amp;"'!$J$428")</f>
        <v>0</v>
      </c>
      <c r="D48" s="152">
        <f t="shared" ref="D48:V48" ca="1" si="66">INDIRECT("'"&amp;D$6&amp;"'!$J$428")</f>
        <v>0</v>
      </c>
      <c r="E48" s="152">
        <f t="shared" ca="1" si="66"/>
        <v>0</v>
      </c>
      <c r="F48" s="152">
        <f t="shared" ca="1" si="66"/>
        <v>0</v>
      </c>
      <c r="G48" s="152">
        <f t="shared" ca="1" si="66"/>
        <v>0</v>
      </c>
      <c r="H48" s="152">
        <f t="shared" ca="1" si="66"/>
        <v>0</v>
      </c>
      <c r="I48" s="152">
        <f t="shared" ca="1" si="66"/>
        <v>0</v>
      </c>
      <c r="J48" s="152">
        <f t="shared" ca="1" si="66"/>
        <v>5</v>
      </c>
      <c r="K48" s="152">
        <f t="shared" ca="1" si="66"/>
        <v>0</v>
      </c>
      <c r="L48" s="152">
        <f t="shared" ca="1" si="66"/>
        <v>0</v>
      </c>
      <c r="M48" s="152">
        <f t="shared" ca="1" si="66"/>
        <v>0</v>
      </c>
      <c r="N48" s="152">
        <f t="shared" ca="1" si="66"/>
        <v>0</v>
      </c>
      <c r="O48" s="152" t="str">
        <f t="shared" ca="1" si="66"/>
        <v>Not Calculated</v>
      </c>
      <c r="P48" s="152">
        <f t="shared" ca="1" si="66"/>
        <v>10</v>
      </c>
      <c r="Q48" s="152">
        <f t="shared" ca="1" si="66"/>
        <v>0</v>
      </c>
      <c r="R48" s="152">
        <f t="shared" ca="1" si="66"/>
        <v>1</v>
      </c>
      <c r="S48" s="152">
        <f t="shared" ca="1" si="66"/>
        <v>0</v>
      </c>
      <c r="T48" s="152">
        <f t="shared" ca="1" si="66"/>
        <v>0</v>
      </c>
      <c r="U48" s="152">
        <f ca="1">INDIRECT("'"&amp;U$6&amp;"'!$J$428")</f>
        <v>0</v>
      </c>
      <c r="V48" s="152">
        <f t="shared" ca="1" si="66"/>
        <v>0</v>
      </c>
      <c r="W48" s="152" t="str">
        <f ca="1">IF(INDIRECT("'"&amp;W$5&amp;"'!$G$3")=0,"",INDIRECT("'"&amp;W$5&amp;"'!$J$428"))</f>
        <v/>
      </c>
      <c r="X48" s="152" t="str">
        <f t="shared" ref="X48:AF48" ca="1" si="67">IF(INDIRECT("'"&amp;X$5&amp;"'!$G$3")=0,"",INDIRECT("'"&amp;X$5&amp;"'!$J$428"))</f>
        <v/>
      </c>
      <c r="Y48" s="152" t="str">
        <f t="shared" ca="1" si="67"/>
        <v/>
      </c>
      <c r="Z48" s="152" t="str">
        <f t="shared" ca="1" si="67"/>
        <v/>
      </c>
      <c r="AA48" s="152" t="str">
        <f t="shared" ca="1" si="67"/>
        <v/>
      </c>
      <c r="AB48" s="152" t="str">
        <f t="shared" ca="1" si="67"/>
        <v/>
      </c>
      <c r="AC48" s="152" t="str">
        <f t="shared" ca="1" si="67"/>
        <v/>
      </c>
      <c r="AD48" s="152" t="str">
        <f t="shared" ca="1" si="67"/>
        <v/>
      </c>
      <c r="AE48" s="152" t="str">
        <f t="shared" ca="1" si="67"/>
        <v/>
      </c>
      <c r="AF48" s="152" t="str">
        <f t="shared" ca="1" si="67"/>
        <v/>
      </c>
    </row>
    <row r="49" spans="1:32" ht="15" customHeight="1" x14ac:dyDescent="0.2">
      <c r="A49" s="497"/>
      <c r="B49" s="136" t="s">
        <v>635</v>
      </c>
      <c r="C49" s="143" t="str">
        <f ca="1">INDIRECT("'"&amp;C$6&amp;"'!$J$435")</f>
        <v>No impact (Score = 0)</v>
      </c>
      <c r="D49" s="143" t="str">
        <f t="shared" ref="D49:V49" ca="1" si="68">INDIRECT("'"&amp;D$6&amp;"'!$J$435")</f>
        <v>No impact (Score = 0)</v>
      </c>
      <c r="E49" s="143" t="str">
        <f t="shared" ca="1" si="68"/>
        <v>No impact (Score = 0)</v>
      </c>
      <c r="F49" s="143" t="str">
        <f t="shared" ca="1" si="68"/>
        <v>No impact (Score = 0)</v>
      </c>
      <c r="G49" s="143" t="str">
        <f t="shared" ca="1" si="68"/>
        <v>No impact (Score = 0)</v>
      </c>
      <c r="H49" s="143" t="str">
        <f t="shared" ca="1" si="68"/>
        <v>No impact (Score = 0)</v>
      </c>
      <c r="I49" s="143" t="str">
        <f t="shared" ca="1" si="68"/>
        <v>No impact (Score = 0)</v>
      </c>
      <c r="J49" s="143" t="str">
        <f t="shared" ca="1" si="68"/>
        <v>≤ 1 week (Score = 2)</v>
      </c>
      <c r="K49" s="143" t="str">
        <f t="shared" ca="1" si="68"/>
        <v>&gt; 2 weeks (Score = 4)</v>
      </c>
      <c r="L49" s="143" t="str">
        <f t="shared" ca="1" si="68"/>
        <v>≤ 1 week (Score = 2)</v>
      </c>
      <c r="M49" s="143" t="str">
        <f t="shared" ca="1" si="68"/>
        <v>No impact (Score = 0)</v>
      </c>
      <c r="N49" s="143" t="str">
        <f t="shared" ca="1" si="68"/>
        <v>No impact (Score = 0)</v>
      </c>
      <c r="O49" s="143" t="str">
        <f t="shared" ca="1" si="68"/>
        <v>No impact (Score = 0)</v>
      </c>
      <c r="P49" s="143" t="str">
        <f t="shared" ca="1" si="68"/>
        <v>≤ 1 week (Score = 2)</v>
      </c>
      <c r="Q49" s="143" t="str">
        <f t="shared" ca="1" si="68"/>
        <v>No impact (Score = 0)</v>
      </c>
      <c r="R49" s="143" t="str">
        <f t="shared" ca="1" si="68"/>
        <v>≤ 1 day (Score = 1)</v>
      </c>
      <c r="S49" s="143" t="str">
        <f t="shared" ca="1" si="68"/>
        <v>≤ 1 week (Score = 2)</v>
      </c>
      <c r="T49" s="143" t="str">
        <f t="shared" ca="1" si="68"/>
        <v>≤ 1 week (Score = 2)</v>
      </c>
      <c r="U49" s="143" t="str">
        <f ca="1">INDIRECT("'"&amp;U$6&amp;"'!$J$435")</f>
        <v>No impact (Score = 0)</v>
      </c>
      <c r="V49" s="143" t="str">
        <f t="shared" ca="1" si="68"/>
        <v>≤ 1 week (Score = 2)</v>
      </c>
      <c r="W49" s="143" t="str">
        <f ca="1">IF(INDIRECT("'"&amp;W$5&amp;"'!$G$3")=0,"",INDIRECT("'"&amp;W$5&amp;"'!$J$435"))</f>
        <v/>
      </c>
      <c r="X49" s="143" t="str">
        <f t="shared" ref="X49:AF49" ca="1" si="69">IF(INDIRECT("'"&amp;X$5&amp;"'!$G$3")=0,"",INDIRECT("'"&amp;X$5&amp;"'!$J$435"))</f>
        <v/>
      </c>
      <c r="Y49" s="143" t="str">
        <f t="shared" ca="1" si="69"/>
        <v/>
      </c>
      <c r="Z49" s="143" t="str">
        <f t="shared" ca="1" si="69"/>
        <v/>
      </c>
      <c r="AA49" s="143" t="str">
        <f t="shared" ca="1" si="69"/>
        <v/>
      </c>
      <c r="AB49" s="143" t="str">
        <f t="shared" ca="1" si="69"/>
        <v/>
      </c>
      <c r="AC49" s="143" t="str">
        <f t="shared" ca="1" si="69"/>
        <v/>
      </c>
      <c r="AD49" s="143" t="str">
        <f t="shared" ca="1" si="69"/>
        <v/>
      </c>
      <c r="AE49" s="143" t="str">
        <f t="shared" ca="1" si="69"/>
        <v/>
      </c>
      <c r="AF49" s="143" t="str">
        <f t="shared" ca="1" si="69"/>
        <v/>
      </c>
    </row>
    <row r="50" spans="1:32" ht="15" customHeight="1" x14ac:dyDescent="0.2">
      <c r="A50" s="502" t="s">
        <v>303</v>
      </c>
      <c r="B50" s="137" t="s">
        <v>643</v>
      </c>
      <c r="C50" s="152">
        <f ca="1">INDIRECT("'"&amp;C$6&amp;"'!$J$445")</f>
        <v>0</v>
      </c>
      <c r="D50" s="152">
        <f t="shared" ref="D50:V50" ca="1" si="70">INDIRECT("'"&amp;D$6&amp;"'!$J$445")</f>
        <v>0</v>
      </c>
      <c r="E50" s="152">
        <f t="shared" ca="1" si="70"/>
        <v>0</v>
      </c>
      <c r="F50" s="152">
        <f t="shared" ca="1" si="70"/>
        <v>0</v>
      </c>
      <c r="G50" s="152">
        <f t="shared" ca="1" si="70"/>
        <v>0</v>
      </c>
      <c r="H50" s="152">
        <f t="shared" ca="1" si="70"/>
        <v>0</v>
      </c>
      <c r="I50" s="152">
        <f t="shared" ca="1" si="70"/>
        <v>0</v>
      </c>
      <c r="J50" s="152">
        <f t="shared" ca="1" si="70"/>
        <v>0</v>
      </c>
      <c r="K50" s="152">
        <f t="shared" ca="1" si="70"/>
        <v>0</v>
      </c>
      <c r="L50" s="152">
        <f t="shared" ca="1" si="70"/>
        <v>22.950819672131146</v>
      </c>
      <c r="M50" s="152">
        <f t="shared" ca="1" si="70"/>
        <v>0</v>
      </c>
      <c r="N50" s="152">
        <f t="shared" ca="1" si="70"/>
        <v>0</v>
      </c>
      <c r="O50" s="152">
        <f t="shared" ca="1" si="70"/>
        <v>0</v>
      </c>
      <c r="P50" s="152">
        <f t="shared" ca="1" si="70"/>
        <v>0</v>
      </c>
      <c r="Q50" s="152">
        <f t="shared" ca="1" si="70"/>
        <v>0</v>
      </c>
      <c r="R50" s="152">
        <f t="shared" ca="1" si="70"/>
        <v>0</v>
      </c>
      <c r="S50" s="152">
        <f t="shared" ca="1" si="70"/>
        <v>90</v>
      </c>
      <c r="T50" s="152">
        <f t="shared" ca="1" si="70"/>
        <v>100</v>
      </c>
      <c r="U50" s="152">
        <f ca="1">INDIRECT("'"&amp;U$6&amp;"'!$J$445")</f>
        <v>0</v>
      </c>
      <c r="V50" s="152">
        <f t="shared" ca="1" si="70"/>
        <v>0</v>
      </c>
      <c r="W50" s="152" t="str">
        <f ca="1">IF(INDIRECT("'"&amp;W$5&amp;"'!$G$3")=0,"",INDIRECT("'"&amp;W$5&amp;"'!$J$445"))</f>
        <v/>
      </c>
      <c r="X50" s="152" t="str">
        <f t="shared" ref="X50:AF50" ca="1" si="71">IF(INDIRECT("'"&amp;X$5&amp;"'!$G$3")=0,"",INDIRECT("'"&amp;X$5&amp;"'!$J$445"))</f>
        <v/>
      </c>
      <c r="Y50" s="152" t="str">
        <f t="shared" ca="1" si="71"/>
        <v/>
      </c>
      <c r="Z50" s="152" t="str">
        <f t="shared" ca="1" si="71"/>
        <v/>
      </c>
      <c r="AA50" s="152" t="str">
        <f t="shared" ca="1" si="71"/>
        <v/>
      </c>
      <c r="AB50" s="152" t="str">
        <f t="shared" ca="1" si="71"/>
        <v/>
      </c>
      <c r="AC50" s="152" t="str">
        <f t="shared" ca="1" si="71"/>
        <v/>
      </c>
      <c r="AD50" s="152" t="str">
        <f t="shared" ca="1" si="71"/>
        <v/>
      </c>
      <c r="AE50" s="152" t="str">
        <f t="shared" ca="1" si="71"/>
        <v/>
      </c>
      <c r="AF50" s="152" t="str">
        <f t="shared" ca="1" si="71"/>
        <v/>
      </c>
    </row>
    <row r="51" spans="1:32" ht="15" customHeight="1" x14ac:dyDescent="0.2">
      <c r="A51" s="502"/>
      <c r="B51" s="137" t="s">
        <v>635</v>
      </c>
      <c r="C51" s="144" t="str">
        <f ca="1">INDIRECT("'"&amp;C$6&amp;"'!$J$452")</f>
        <v>No impact (Score = 0)</v>
      </c>
      <c r="D51" s="144" t="str">
        <f t="shared" ref="D51:V51" ca="1" si="72">INDIRECT("'"&amp;D$6&amp;"'!$J$452")</f>
        <v>No impact (Score = 0)</v>
      </c>
      <c r="E51" s="144" t="str">
        <f t="shared" ca="1" si="72"/>
        <v>No impact (Score = 0)</v>
      </c>
      <c r="F51" s="144" t="str">
        <f t="shared" ca="1" si="72"/>
        <v>No impact (Score = 0)</v>
      </c>
      <c r="G51" s="144" t="str">
        <f t="shared" ca="1" si="72"/>
        <v>No impact (Score = 0)</v>
      </c>
      <c r="H51" s="144" t="str">
        <f t="shared" ca="1" si="72"/>
        <v>No impact (Score = 0)</v>
      </c>
      <c r="I51" s="144" t="str">
        <f t="shared" ca="1" si="72"/>
        <v>No impact (Score = 0)</v>
      </c>
      <c r="J51" s="144" t="str">
        <f t="shared" ca="1" si="72"/>
        <v>No impact (Score = 0)</v>
      </c>
      <c r="K51" s="144" t="str">
        <f t="shared" ca="1" si="72"/>
        <v>No impact (Score = 0)</v>
      </c>
      <c r="L51" s="144" t="str">
        <f t="shared" ca="1" si="72"/>
        <v>≤ 1 week (Score = 2)</v>
      </c>
      <c r="M51" s="144" t="str">
        <f t="shared" ca="1" si="72"/>
        <v>No impact (Score = 0)</v>
      </c>
      <c r="N51" s="144" t="str">
        <f t="shared" ca="1" si="72"/>
        <v>No impact (Score = 0)</v>
      </c>
      <c r="O51" s="144" t="str">
        <f t="shared" ca="1" si="72"/>
        <v>No impact (Score = 0)</v>
      </c>
      <c r="P51" s="144" t="str">
        <f t="shared" ca="1" si="72"/>
        <v>No impact (Score = 0)</v>
      </c>
      <c r="Q51" s="144" t="str">
        <f t="shared" ca="1" si="72"/>
        <v>No impact (Score = 0)</v>
      </c>
      <c r="R51" s="144" t="str">
        <f t="shared" ca="1" si="72"/>
        <v>No impact (Score = 0)</v>
      </c>
      <c r="S51" s="144" t="str">
        <f t="shared" ca="1" si="72"/>
        <v>No impact (Score = 0)</v>
      </c>
      <c r="T51" s="144" t="str">
        <f t="shared" ca="1" si="72"/>
        <v>≤ 1 week (Score = 2)</v>
      </c>
      <c r="U51" s="144" t="str">
        <f ca="1">INDIRECT("'"&amp;U$6&amp;"'!$J$452")</f>
        <v>No impact (Score = 0)</v>
      </c>
      <c r="V51" s="144" t="str">
        <f t="shared" ca="1" si="72"/>
        <v>No impact (Score = 0)</v>
      </c>
      <c r="W51" s="144" t="str">
        <f ca="1">IF(INDIRECT("'"&amp;W$5&amp;"'!$G$3")=0,"",INDIRECT("'"&amp;W$5&amp;"'!$J$452"))</f>
        <v/>
      </c>
      <c r="X51" s="144" t="str">
        <f t="shared" ref="X51:AF51" ca="1" si="73">IF(INDIRECT("'"&amp;X$5&amp;"'!$G$3")=0,"",INDIRECT("'"&amp;X$5&amp;"'!$J$452"))</f>
        <v/>
      </c>
      <c r="Y51" s="144" t="str">
        <f t="shared" ca="1" si="73"/>
        <v/>
      </c>
      <c r="Z51" s="144" t="str">
        <f t="shared" ca="1" si="73"/>
        <v/>
      </c>
      <c r="AA51" s="144" t="str">
        <f t="shared" ca="1" si="73"/>
        <v/>
      </c>
      <c r="AB51" s="144" t="str">
        <f t="shared" ca="1" si="73"/>
        <v/>
      </c>
      <c r="AC51" s="144" t="str">
        <f t="shared" ca="1" si="73"/>
        <v/>
      </c>
      <c r="AD51" s="144" t="str">
        <f t="shared" ca="1" si="73"/>
        <v/>
      </c>
      <c r="AE51" s="144" t="str">
        <f t="shared" ca="1" si="73"/>
        <v/>
      </c>
      <c r="AF51" s="144" t="str">
        <f t="shared" ca="1" si="73"/>
        <v/>
      </c>
    </row>
    <row r="52" spans="1:32" ht="15" customHeight="1" x14ac:dyDescent="0.2">
      <c r="A52" s="496" t="s">
        <v>306</v>
      </c>
      <c r="B52" s="138" t="s">
        <v>643</v>
      </c>
      <c r="C52" s="151">
        <f ca="1">INDIRECT("'"&amp;C$6&amp;"'!$J$461")</f>
        <v>0</v>
      </c>
      <c r="D52" s="151">
        <f t="shared" ref="D52:V52" ca="1" si="74">INDIRECT("'"&amp;D$6&amp;"'!$J$461")</f>
        <v>0</v>
      </c>
      <c r="E52" s="151">
        <f t="shared" ca="1" si="74"/>
        <v>0</v>
      </c>
      <c r="F52" s="151">
        <f t="shared" ca="1" si="74"/>
        <v>0</v>
      </c>
      <c r="G52" s="151">
        <f t="shared" ca="1" si="74"/>
        <v>0</v>
      </c>
      <c r="H52" s="151">
        <f t="shared" ca="1" si="74"/>
        <v>0</v>
      </c>
      <c r="I52" s="151">
        <f t="shared" ca="1" si="74"/>
        <v>0</v>
      </c>
      <c r="J52" s="151">
        <f t="shared" ca="1" si="74"/>
        <v>5</v>
      </c>
      <c r="K52" s="151">
        <f t="shared" ca="1" si="74"/>
        <v>0</v>
      </c>
      <c r="L52" s="151">
        <f t="shared" ca="1" si="74"/>
        <v>0</v>
      </c>
      <c r="M52" s="151">
        <f t="shared" ca="1" si="74"/>
        <v>0</v>
      </c>
      <c r="N52" s="151">
        <f t="shared" ca="1" si="74"/>
        <v>0</v>
      </c>
      <c r="O52" s="151" t="str">
        <f t="shared" ca="1" si="74"/>
        <v>Not Calculated</v>
      </c>
      <c r="P52" s="151">
        <f t="shared" ca="1" si="74"/>
        <v>10</v>
      </c>
      <c r="Q52" s="151">
        <f t="shared" ca="1" si="74"/>
        <v>0</v>
      </c>
      <c r="R52" s="151">
        <f t="shared" ca="1" si="74"/>
        <v>1.5</v>
      </c>
      <c r="S52" s="151">
        <f t="shared" ca="1" si="74"/>
        <v>30</v>
      </c>
      <c r="T52" s="151">
        <f t="shared" ca="1" si="74"/>
        <v>100</v>
      </c>
      <c r="U52" s="151">
        <f ca="1">INDIRECT("'"&amp;U$6&amp;"'!$J$461")</f>
        <v>0</v>
      </c>
      <c r="V52" s="151">
        <f t="shared" ca="1" si="74"/>
        <v>6.4</v>
      </c>
      <c r="W52" s="151" t="str">
        <f ca="1">IF(INDIRECT("'"&amp;W$5&amp;"'!$G$3")=0,"",INDIRECT("'"&amp;W$5&amp;"'!$J$461"))</f>
        <v/>
      </c>
      <c r="X52" s="151" t="str">
        <f t="shared" ref="X52:AF52" ca="1" si="75">IF(INDIRECT("'"&amp;X$5&amp;"'!$G$3")=0,"",INDIRECT("'"&amp;X$5&amp;"'!$J$461"))</f>
        <v/>
      </c>
      <c r="Y52" s="151" t="str">
        <f t="shared" ca="1" si="75"/>
        <v/>
      </c>
      <c r="Z52" s="151" t="str">
        <f t="shared" ca="1" si="75"/>
        <v/>
      </c>
      <c r="AA52" s="151" t="str">
        <f t="shared" ca="1" si="75"/>
        <v/>
      </c>
      <c r="AB52" s="151" t="str">
        <f t="shared" ca="1" si="75"/>
        <v/>
      </c>
      <c r="AC52" s="151" t="str">
        <f t="shared" ca="1" si="75"/>
        <v/>
      </c>
      <c r="AD52" s="151" t="str">
        <f t="shared" ca="1" si="75"/>
        <v/>
      </c>
      <c r="AE52" s="151" t="str">
        <f t="shared" ca="1" si="75"/>
        <v/>
      </c>
      <c r="AF52" s="151" t="str">
        <f t="shared" ca="1" si="75"/>
        <v/>
      </c>
    </row>
    <row r="53" spans="1:32" ht="15" customHeight="1" x14ac:dyDescent="0.2">
      <c r="A53" s="497"/>
      <c r="B53" s="136" t="s">
        <v>635</v>
      </c>
      <c r="C53" s="144" t="str">
        <f ca="1">INDIRECT("'"&amp;C$6&amp;"'!$J$468")</f>
        <v>No impact (Score = 0)</v>
      </c>
      <c r="D53" s="144" t="str">
        <f t="shared" ref="D53:V53" ca="1" si="76">INDIRECT("'"&amp;D$6&amp;"'!$J$468")</f>
        <v>No impact (Score = 0)</v>
      </c>
      <c r="E53" s="144" t="str">
        <f t="shared" ca="1" si="76"/>
        <v>No impact (Score = 0)</v>
      </c>
      <c r="F53" s="144" t="str">
        <f t="shared" ca="1" si="76"/>
        <v>≤ 1 day (Score = 1)</v>
      </c>
      <c r="G53" s="144" t="str">
        <f t="shared" ca="1" si="76"/>
        <v>No impact (Score = 0)</v>
      </c>
      <c r="H53" s="144" t="str">
        <f t="shared" ca="1" si="76"/>
        <v>No impact (Score = 0)</v>
      </c>
      <c r="I53" s="144" t="str">
        <f t="shared" ca="1" si="76"/>
        <v>No impact (Score = 0)</v>
      </c>
      <c r="J53" s="144" t="str">
        <f t="shared" ca="1" si="76"/>
        <v>≤ 1 day (Score = 1)</v>
      </c>
      <c r="K53" s="144" t="str">
        <f t="shared" ca="1" si="76"/>
        <v>No impact (Score = 0)</v>
      </c>
      <c r="L53" s="144" t="str">
        <f t="shared" ca="1" si="76"/>
        <v>No impact (Score = 0)</v>
      </c>
      <c r="M53" s="144" t="str">
        <f t="shared" ca="1" si="76"/>
        <v>No impact (Score = 0)</v>
      </c>
      <c r="N53" s="144" t="str">
        <f t="shared" ca="1" si="76"/>
        <v>No impact (Score = 0)</v>
      </c>
      <c r="O53" s="144" t="str">
        <f t="shared" ca="1" si="76"/>
        <v>No impact (Score = 0)</v>
      </c>
      <c r="P53" s="144" t="str">
        <f t="shared" ca="1" si="76"/>
        <v>≤ 1 day (Score = 1)</v>
      </c>
      <c r="Q53" s="144" t="str">
        <f t="shared" ca="1" si="76"/>
        <v>No impact (Score = 0)</v>
      </c>
      <c r="R53" s="144" t="str">
        <f t="shared" ca="1" si="76"/>
        <v>≤ 1 day (Score = 1)</v>
      </c>
      <c r="S53" s="144" t="str">
        <f t="shared" ca="1" si="76"/>
        <v>≤ 1 week (Score = 2)</v>
      </c>
      <c r="T53" s="144" t="str">
        <f t="shared" ca="1" si="76"/>
        <v>≤ 1 week (Score = 2)</v>
      </c>
      <c r="U53" s="144" t="str">
        <f ca="1">INDIRECT("'"&amp;U$6&amp;"'!$J$468")</f>
        <v>No impact (Score = 0)</v>
      </c>
      <c r="V53" s="144" t="str">
        <f t="shared" ca="1" si="76"/>
        <v>≤ 1 week (Score = 2)</v>
      </c>
      <c r="W53" s="144" t="str">
        <f ca="1">IF(INDIRECT("'"&amp;W$5&amp;"'!$G$3")=0,"",INDIRECT("'"&amp;W$5&amp;"'!$J$468"))</f>
        <v/>
      </c>
      <c r="X53" s="144" t="str">
        <f t="shared" ref="X53:AF53" ca="1" si="77">IF(INDIRECT("'"&amp;X$5&amp;"'!$G$3")=0,"",INDIRECT("'"&amp;X$5&amp;"'!$J$468"))</f>
        <v/>
      </c>
      <c r="Y53" s="144" t="str">
        <f t="shared" ca="1" si="77"/>
        <v/>
      </c>
      <c r="Z53" s="144" t="str">
        <f t="shared" ca="1" si="77"/>
        <v/>
      </c>
      <c r="AA53" s="144" t="str">
        <f t="shared" ca="1" si="77"/>
        <v/>
      </c>
      <c r="AB53" s="144" t="str">
        <f t="shared" ca="1" si="77"/>
        <v/>
      </c>
      <c r="AC53" s="144" t="str">
        <f t="shared" ca="1" si="77"/>
        <v/>
      </c>
      <c r="AD53" s="144" t="str">
        <f t="shared" ca="1" si="77"/>
        <v/>
      </c>
      <c r="AE53" s="144" t="str">
        <f t="shared" ca="1" si="77"/>
        <v/>
      </c>
      <c r="AF53" s="144" t="str">
        <f t="shared" ca="1" si="77"/>
        <v/>
      </c>
    </row>
    <row r="54" spans="1:32" ht="30" customHeight="1" x14ac:dyDescent="0.2">
      <c r="A54" s="498" t="s">
        <v>615</v>
      </c>
      <c r="B54" s="499"/>
      <c r="C54" s="151">
        <f ca="1">INDIRECT("'"&amp;C$6&amp;"'!$J$478")</f>
        <v>0</v>
      </c>
      <c r="D54" s="151">
        <f t="shared" ref="D54:V54" ca="1" si="78">INDIRECT("'"&amp;D$6&amp;"'!$J$478")</f>
        <v>21</v>
      </c>
      <c r="E54" s="151">
        <f t="shared" ca="1" si="78"/>
        <v>7</v>
      </c>
      <c r="F54" s="151">
        <f t="shared" ca="1" si="78"/>
        <v>6</v>
      </c>
      <c r="G54" s="151">
        <f t="shared" ca="1" si="78"/>
        <v>0</v>
      </c>
      <c r="H54" s="151">
        <f t="shared" ca="1" si="78"/>
        <v>7</v>
      </c>
      <c r="I54" s="151">
        <f t="shared" ca="1" si="78"/>
        <v>0</v>
      </c>
      <c r="J54" s="151">
        <f t="shared" ca="1" si="78"/>
        <v>0</v>
      </c>
      <c r="K54" s="151">
        <f t="shared" ca="1" si="78"/>
        <v>0</v>
      </c>
      <c r="L54" s="151">
        <f t="shared" ca="1" si="78"/>
        <v>2</v>
      </c>
      <c r="M54" s="151">
        <f t="shared" ca="1" si="78"/>
        <v>2</v>
      </c>
      <c r="N54" s="151">
        <f t="shared" ca="1" si="78"/>
        <v>0</v>
      </c>
      <c r="O54" s="151">
        <f t="shared" ca="1" si="78"/>
        <v>0</v>
      </c>
      <c r="P54" s="151">
        <f t="shared" ca="1" si="78"/>
        <v>56</v>
      </c>
      <c r="Q54" s="151">
        <f t="shared" ca="1" si="78"/>
        <v>30</v>
      </c>
      <c r="R54" s="151">
        <f t="shared" ca="1" si="78"/>
        <v>1</v>
      </c>
      <c r="S54" s="151">
        <f t="shared" ca="1" si="78"/>
        <v>14</v>
      </c>
      <c r="T54" s="151">
        <f t="shared" ca="1" si="78"/>
        <v>3</v>
      </c>
      <c r="U54" s="151">
        <f ca="1">INDIRECT("'"&amp;U$6&amp;"'!$J$478")</f>
        <v>0</v>
      </c>
      <c r="V54" s="151">
        <f t="shared" ca="1" si="78"/>
        <v>1.5</v>
      </c>
      <c r="W54" s="151" t="str">
        <f ca="1">IF(INDIRECT("'"&amp;W$5&amp;"'!$G$3")=0,"",INDIRECT("'"&amp;W$5&amp;"'!$J$478"))</f>
        <v/>
      </c>
      <c r="X54" s="151" t="str">
        <f t="shared" ref="X54:AF54" ca="1" si="79">IF(INDIRECT("'"&amp;X$5&amp;"'!$G$3")=0,"",INDIRECT("'"&amp;X$5&amp;"'!$J$478"))</f>
        <v/>
      </c>
      <c r="Y54" s="151" t="str">
        <f t="shared" ca="1" si="79"/>
        <v/>
      </c>
      <c r="Z54" s="151" t="str">
        <f t="shared" ca="1" si="79"/>
        <v/>
      </c>
      <c r="AA54" s="151" t="str">
        <f t="shared" ca="1" si="79"/>
        <v/>
      </c>
      <c r="AB54" s="151" t="str">
        <f t="shared" ca="1" si="79"/>
        <v/>
      </c>
      <c r="AC54" s="151" t="str">
        <f t="shared" ca="1" si="79"/>
        <v/>
      </c>
      <c r="AD54" s="151" t="str">
        <f t="shared" ca="1" si="79"/>
        <v/>
      </c>
      <c r="AE54" s="151" t="str">
        <f t="shared" ca="1" si="79"/>
        <v/>
      </c>
      <c r="AF54" s="151" t="str">
        <f t="shared" ca="1" si="79"/>
        <v/>
      </c>
    </row>
    <row r="55" spans="1:32" ht="15" customHeight="1" x14ac:dyDescent="0.2">
      <c r="A55" s="496" t="s">
        <v>311</v>
      </c>
      <c r="B55" s="138" t="s">
        <v>643</v>
      </c>
      <c r="C55" s="152">
        <f ca="1">INDIRECT("'"&amp;C$6&amp;"'!$J$492")</f>
        <v>0</v>
      </c>
      <c r="D55" s="152">
        <f t="shared" ref="D55:V55" ca="1" si="80">INDIRECT("'"&amp;D$6&amp;"'!$J$492")</f>
        <v>21</v>
      </c>
      <c r="E55" s="152">
        <f t="shared" ca="1" si="80"/>
        <v>0</v>
      </c>
      <c r="F55" s="152">
        <f t="shared" ca="1" si="80"/>
        <v>0.246</v>
      </c>
      <c r="G55" s="152">
        <f t="shared" ca="1" si="80"/>
        <v>0</v>
      </c>
      <c r="H55" s="152">
        <f t="shared" ca="1" si="80"/>
        <v>5</v>
      </c>
      <c r="I55" s="152">
        <f t="shared" ca="1" si="80"/>
        <v>0</v>
      </c>
      <c r="J55" s="152">
        <f t="shared" ca="1" si="80"/>
        <v>0</v>
      </c>
      <c r="K55" s="152">
        <f t="shared" ca="1" si="80"/>
        <v>0</v>
      </c>
      <c r="L55" s="152">
        <f t="shared" ca="1" si="80"/>
        <v>0</v>
      </c>
      <c r="M55" s="152">
        <f t="shared" ca="1" si="80"/>
        <v>5</v>
      </c>
      <c r="N55" s="152">
        <f t="shared" ca="1" si="80"/>
        <v>0</v>
      </c>
      <c r="O55" s="152">
        <f t="shared" ca="1" si="80"/>
        <v>0</v>
      </c>
      <c r="P55" s="152">
        <f t="shared" ca="1" si="80"/>
        <v>25</v>
      </c>
      <c r="Q55" s="152">
        <f t="shared" ca="1" si="80"/>
        <v>5</v>
      </c>
      <c r="R55" s="152">
        <f t="shared" ca="1" si="80"/>
        <v>1</v>
      </c>
      <c r="S55" s="152">
        <f t="shared" ca="1" si="80"/>
        <v>90</v>
      </c>
      <c r="T55" s="152">
        <f t="shared" ca="1" si="80"/>
        <v>100</v>
      </c>
      <c r="U55" s="152">
        <f ca="1">INDIRECT("'"&amp;U$6&amp;"'!$J$492")</f>
        <v>0</v>
      </c>
      <c r="V55" s="152">
        <f t="shared" ca="1" si="80"/>
        <v>60</v>
      </c>
      <c r="W55" s="152" t="str">
        <f ca="1">IF(INDIRECT("'"&amp;W$5&amp;"'!$G$3")=0,"",INDIRECT("'"&amp;W$5&amp;"'!$J$492"))</f>
        <v/>
      </c>
      <c r="X55" s="152" t="str">
        <f t="shared" ref="X55:AF55" ca="1" si="81">IF(INDIRECT("'"&amp;X$5&amp;"'!$G$3")=0,"",INDIRECT("'"&amp;X$5&amp;"'!$J$492"))</f>
        <v/>
      </c>
      <c r="Y55" s="152" t="str">
        <f t="shared" ca="1" si="81"/>
        <v/>
      </c>
      <c r="Z55" s="152" t="str">
        <f t="shared" ca="1" si="81"/>
        <v/>
      </c>
      <c r="AA55" s="152" t="str">
        <f t="shared" ca="1" si="81"/>
        <v/>
      </c>
      <c r="AB55" s="152" t="str">
        <f t="shared" ca="1" si="81"/>
        <v/>
      </c>
      <c r="AC55" s="152" t="str">
        <f t="shared" ca="1" si="81"/>
        <v/>
      </c>
      <c r="AD55" s="152" t="str">
        <f t="shared" ca="1" si="81"/>
        <v/>
      </c>
      <c r="AE55" s="152" t="str">
        <f t="shared" ca="1" si="81"/>
        <v/>
      </c>
      <c r="AF55" s="152" t="str">
        <f t="shared" ca="1" si="81"/>
        <v/>
      </c>
    </row>
    <row r="56" spans="1:32" ht="15" customHeight="1" x14ac:dyDescent="0.2">
      <c r="A56" s="497"/>
      <c r="B56" s="136" t="s">
        <v>635</v>
      </c>
      <c r="C56" s="144" t="str">
        <f ca="1">INDIRECT("'"&amp;C$6&amp;"'!$J$499")</f>
        <v>No impact (Score = 0)</v>
      </c>
      <c r="D56" s="144" t="str">
        <f t="shared" ref="D56:V56" ca="1" si="82">INDIRECT("'"&amp;D$6&amp;"'!$J$499")</f>
        <v>&gt; 2 weeks (Score = 4)</v>
      </c>
      <c r="E56" s="144" t="str">
        <f t="shared" ca="1" si="82"/>
        <v>No impact (Score = 0)</v>
      </c>
      <c r="F56" s="144" t="str">
        <f t="shared" ca="1" si="82"/>
        <v>&gt; 2 weeks (Score = 4)</v>
      </c>
      <c r="G56" s="144" t="str">
        <f t="shared" ca="1" si="82"/>
        <v>No impact (Score = 0)</v>
      </c>
      <c r="H56" s="144" t="str">
        <f t="shared" ca="1" si="82"/>
        <v>≤ 1 week (Score = 2)</v>
      </c>
      <c r="I56" s="144" t="str">
        <f t="shared" ca="1" si="82"/>
        <v>No impact (Score = 0)</v>
      </c>
      <c r="J56" s="144" t="str">
        <f t="shared" ca="1" si="82"/>
        <v>No impact (Score = 0)</v>
      </c>
      <c r="K56" s="144" t="str">
        <f t="shared" ca="1" si="82"/>
        <v>No impact (Score = 0)</v>
      </c>
      <c r="L56" s="144" t="str">
        <f t="shared" ca="1" si="82"/>
        <v>No impact (Score = 0)</v>
      </c>
      <c r="M56" s="144" t="str">
        <f t="shared" ca="1" si="82"/>
        <v>≤ 2 weeks (Score = 3)</v>
      </c>
      <c r="N56" s="144" t="str">
        <f t="shared" ca="1" si="82"/>
        <v>No impact (Score = 0)</v>
      </c>
      <c r="O56" s="144" t="str">
        <f t="shared" ca="1" si="82"/>
        <v>No impact (Score = 0)</v>
      </c>
      <c r="P56" s="144" t="str">
        <f t="shared" ca="1" si="82"/>
        <v>≤ 1 week (Score = 2)</v>
      </c>
      <c r="Q56" s="144" t="str">
        <f t="shared" ca="1" si="82"/>
        <v>&gt; 2 weeks (Score = 4)</v>
      </c>
      <c r="R56" s="144" t="str">
        <f t="shared" ca="1" si="82"/>
        <v>≤ 1 week (Score = 2)</v>
      </c>
      <c r="S56" s="144" t="str">
        <f t="shared" ca="1" si="82"/>
        <v>≤ 1 day (Score = 1)</v>
      </c>
      <c r="T56" s="144" t="str">
        <f t="shared" ca="1" si="82"/>
        <v>≤ 1 week (Score = 2)</v>
      </c>
      <c r="U56" s="144" t="str">
        <f ca="1">INDIRECT("'"&amp;U$6&amp;"'!$J$499")</f>
        <v>No impact (Score = 0)</v>
      </c>
      <c r="V56" s="144" t="str">
        <f t="shared" ca="1" si="82"/>
        <v>≤ 1 week (Score = 2)</v>
      </c>
      <c r="W56" s="144" t="str">
        <f ca="1">IF(INDIRECT("'"&amp;W$5&amp;"'!$G$3")=0,"",INDIRECT("'"&amp;W$5&amp;"'!$J$499"))</f>
        <v/>
      </c>
      <c r="X56" s="144" t="str">
        <f t="shared" ref="X56:AF56" ca="1" si="83">IF(INDIRECT("'"&amp;X$5&amp;"'!$G$3")=0,"",INDIRECT("'"&amp;X$5&amp;"'!$J$499"))</f>
        <v/>
      </c>
      <c r="Y56" s="144" t="str">
        <f t="shared" ca="1" si="83"/>
        <v/>
      </c>
      <c r="Z56" s="144" t="str">
        <f t="shared" ca="1" si="83"/>
        <v/>
      </c>
      <c r="AA56" s="144" t="str">
        <f t="shared" ca="1" si="83"/>
        <v/>
      </c>
      <c r="AB56" s="144" t="str">
        <f t="shared" ca="1" si="83"/>
        <v/>
      </c>
      <c r="AC56" s="144" t="str">
        <f t="shared" ca="1" si="83"/>
        <v/>
      </c>
      <c r="AD56" s="144" t="str">
        <f t="shared" ca="1" si="83"/>
        <v/>
      </c>
      <c r="AE56" s="144" t="str">
        <f t="shared" ca="1" si="83"/>
        <v/>
      </c>
      <c r="AF56" s="144" t="str">
        <f t="shared" ca="1" si="83"/>
        <v/>
      </c>
    </row>
    <row r="57" spans="1:32" ht="30" customHeight="1" x14ac:dyDescent="0.2">
      <c r="A57" s="500" t="s">
        <v>616</v>
      </c>
      <c r="B57" s="501"/>
      <c r="C57" s="150">
        <f ca="1">INDIRECT("'"&amp;C$6&amp;"'!$J$508")</f>
        <v>0</v>
      </c>
      <c r="D57" s="150">
        <f t="shared" ref="D57:V57" ca="1" si="84">INDIRECT("'"&amp;D$6&amp;"'!$J$508")</f>
        <v>7718</v>
      </c>
      <c r="E57" s="150">
        <f t="shared" ca="1" si="84"/>
        <v>0</v>
      </c>
      <c r="F57" s="150">
        <f t="shared" ca="1" si="84"/>
        <v>0</v>
      </c>
      <c r="G57" s="150">
        <f t="shared" ca="1" si="84"/>
        <v>0</v>
      </c>
      <c r="H57" s="150">
        <f t="shared" ca="1" si="84"/>
        <v>0</v>
      </c>
      <c r="I57" s="150">
        <f t="shared" ca="1" si="84"/>
        <v>0</v>
      </c>
      <c r="J57" s="150">
        <f t="shared" ca="1" si="84"/>
        <v>0</v>
      </c>
      <c r="K57" s="150">
        <f t="shared" ca="1" si="84"/>
        <v>0</v>
      </c>
      <c r="L57" s="150">
        <f t="shared" ca="1" si="84"/>
        <v>500</v>
      </c>
      <c r="M57" s="150">
        <f t="shared" ca="1" si="84"/>
        <v>0</v>
      </c>
      <c r="N57" s="150">
        <f t="shared" ca="1" si="84"/>
        <v>0</v>
      </c>
      <c r="O57" s="150">
        <f t="shared" ca="1" si="84"/>
        <v>0</v>
      </c>
      <c r="P57" s="150">
        <f t="shared" ca="1" si="84"/>
        <v>0</v>
      </c>
      <c r="Q57" s="150">
        <f t="shared" ca="1" si="84"/>
        <v>0</v>
      </c>
      <c r="R57" s="150">
        <f t="shared" ca="1" si="84"/>
        <v>0</v>
      </c>
      <c r="S57" s="150">
        <f t="shared" ca="1" si="84"/>
        <v>1600</v>
      </c>
      <c r="T57" s="150">
        <f t="shared" ca="1" si="84"/>
        <v>0</v>
      </c>
      <c r="U57" s="150">
        <f ca="1">INDIRECT("'"&amp;U$6&amp;"'!$J$508")</f>
        <v>0</v>
      </c>
      <c r="V57" s="150">
        <f t="shared" ca="1" si="84"/>
        <v>0</v>
      </c>
      <c r="W57" s="150" t="str">
        <f ca="1">IF(INDIRECT("'"&amp;W$5&amp;"'!$G$3")=0,"",INDIRECT("'"&amp;W$5&amp;"'!$J$508"))</f>
        <v/>
      </c>
      <c r="X57" s="150" t="str">
        <f t="shared" ref="X57:AF57" ca="1" si="85">IF(INDIRECT("'"&amp;X$5&amp;"'!$G$3")=0,"",INDIRECT("'"&amp;X$5&amp;"'!$J$508"))</f>
        <v/>
      </c>
      <c r="Y57" s="150" t="str">
        <f t="shared" ca="1" si="85"/>
        <v/>
      </c>
      <c r="Z57" s="150" t="str">
        <f t="shared" ca="1" si="85"/>
        <v/>
      </c>
      <c r="AA57" s="150" t="str">
        <f t="shared" ca="1" si="85"/>
        <v/>
      </c>
      <c r="AB57" s="150" t="str">
        <f t="shared" ca="1" si="85"/>
        <v/>
      </c>
      <c r="AC57" s="150" t="str">
        <f t="shared" ca="1" si="85"/>
        <v/>
      </c>
      <c r="AD57" s="150" t="str">
        <f t="shared" ca="1" si="85"/>
        <v/>
      </c>
      <c r="AE57" s="150" t="str">
        <f t="shared" ca="1" si="85"/>
        <v/>
      </c>
      <c r="AF57" s="150" t="str">
        <f t="shared" ca="1" si="85"/>
        <v/>
      </c>
    </row>
    <row r="58" spans="1:32" ht="45" customHeight="1" x14ac:dyDescent="0.2">
      <c r="A58" s="482" t="s">
        <v>642</v>
      </c>
      <c r="B58" s="483"/>
      <c r="C58" s="154">
        <f ca="1">INDIRECT("'"&amp;C$6&amp;"'!$J$525")</f>
        <v>0</v>
      </c>
      <c r="D58" s="154">
        <f t="shared" ref="D58:V58" ca="1" si="86">INDIRECT("'"&amp;D$6&amp;"'!$J$525")</f>
        <v>1.17</v>
      </c>
      <c r="E58" s="154">
        <f t="shared" ca="1" si="86"/>
        <v>0.5</v>
      </c>
      <c r="F58" s="154">
        <f t="shared" ca="1" si="86"/>
        <v>1</v>
      </c>
      <c r="G58" s="154">
        <f t="shared" ca="1" si="86"/>
        <v>0</v>
      </c>
      <c r="H58" s="154">
        <f t="shared" ca="1" si="86"/>
        <v>1</v>
      </c>
      <c r="I58" s="154">
        <f t="shared" ca="1" si="86"/>
        <v>0</v>
      </c>
      <c r="J58" s="154">
        <f t="shared" ca="1" si="86"/>
        <v>10</v>
      </c>
      <c r="K58" s="154">
        <f t="shared" ca="1" si="86"/>
        <v>0</v>
      </c>
      <c r="L58" s="154">
        <f t="shared" ca="1" si="86"/>
        <v>20</v>
      </c>
      <c r="M58" s="154">
        <f t="shared" ca="1" si="86"/>
        <v>0.3</v>
      </c>
      <c r="N58" s="154">
        <f t="shared" ca="1" si="86"/>
        <v>1</v>
      </c>
      <c r="O58" s="154">
        <f t="shared" ca="1" si="86"/>
        <v>0</v>
      </c>
      <c r="P58" s="154">
        <f t="shared" ca="1" si="86"/>
        <v>0</v>
      </c>
      <c r="Q58" s="154">
        <f t="shared" ca="1" si="86"/>
        <v>3</v>
      </c>
      <c r="R58" s="154">
        <f t="shared" ca="1" si="86"/>
        <v>0</v>
      </c>
      <c r="S58" s="154">
        <f t="shared" ca="1" si="86"/>
        <v>25</v>
      </c>
      <c r="T58" s="154">
        <f t="shared" ca="1" si="86"/>
        <v>1</v>
      </c>
      <c r="U58" s="154">
        <f ca="1">INDIRECT("'"&amp;U$6&amp;"'!$J$525")</f>
        <v>0</v>
      </c>
      <c r="V58" s="154">
        <f t="shared" ca="1" si="86"/>
        <v>0</v>
      </c>
      <c r="W58" s="154" t="str">
        <f ca="1">IF(INDIRECT("'"&amp;W$5&amp;"'!$G$3")=0,"",INDIRECT("'"&amp;W$5&amp;"'!$J$525"))</f>
        <v/>
      </c>
      <c r="X58" s="154" t="str">
        <f t="shared" ref="X58:AF58" ca="1" si="87">IF(INDIRECT("'"&amp;X$5&amp;"'!$G$3")=0,"",INDIRECT("'"&amp;X$5&amp;"'!$J$525"))</f>
        <v/>
      </c>
      <c r="Y58" s="154" t="str">
        <f t="shared" ca="1" si="87"/>
        <v/>
      </c>
      <c r="Z58" s="154" t="str">
        <f t="shared" ca="1" si="87"/>
        <v/>
      </c>
      <c r="AA58" s="154" t="str">
        <f t="shared" ca="1" si="87"/>
        <v/>
      </c>
      <c r="AB58" s="154" t="str">
        <f t="shared" ca="1" si="87"/>
        <v/>
      </c>
      <c r="AC58" s="154" t="str">
        <f t="shared" ca="1" si="87"/>
        <v/>
      </c>
      <c r="AD58" s="154" t="str">
        <f t="shared" ca="1" si="87"/>
        <v/>
      </c>
      <c r="AE58" s="154" t="str">
        <f t="shared" ca="1" si="87"/>
        <v/>
      </c>
      <c r="AF58" s="154" t="str">
        <f t="shared" ca="1" si="87"/>
        <v/>
      </c>
    </row>
    <row r="59" spans="1:32" x14ac:dyDescent="0.2">
      <c r="A59" s="492"/>
      <c r="B59" s="493"/>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141"/>
      <c r="AB59" s="141"/>
      <c r="AC59" s="141"/>
      <c r="AD59" s="141"/>
      <c r="AE59" s="141"/>
      <c r="AF59" s="141"/>
    </row>
    <row r="60" spans="1:32" ht="15.75" customHeight="1" x14ac:dyDescent="0.2">
      <c r="A60" s="494" t="s">
        <v>29</v>
      </c>
      <c r="B60" s="495"/>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141"/>
      <c r="AB60" s="141"/>
      <c r="AC60" s="141"/>
      <c r="AD60" s="141"/>
      <c r="AE60" s="141"/>
      <c r="AF60" s="141"/>
    </row>
    <row r="61" spans="1:32" ht="15" customHeight="1" x14ac:dyDescent="0.2">
      <c r="A61" s="496" t="s">
        <v>617</v>
      </c>
      <c r="B61" s="137" t="s">
        <v>613</v>
      </c>
      <c r="C61" s="148">
        <f ca="1">IF(INDIRECT("'"&amp;C$6&amp;"'!$J$556")="N/A",INDIRECT("'"&amp;C$6&amp;"'!$J$547"),"-")</f>
        <v>0</v>
      </c>
      <c r="D61" s="148">
        <f t="shared" ref="D61:V61" ca="1" si="88">IF(INDIRECT("'"&amp;D$6&amp;"'!$J$556")="N/A",INDIRECT("'"&amp;D$6&amp;"'!$J$547"),"-")</f>
        <v>0</v>
      </c>
      <c r="E61" s="148">
        <f t="shared" ca="1" si="88"/>
        <v>0</v>
      </c>
      <c r="F61" s="148">
        <f t="shared" ca="1" si="88"/>
        <v>0</v>
      </c>
      <c r="G61" s="148" t="str">
        <f t="shared" ca="1" si="88"/>
        <v>-</v>
      </c>
      <c r="H61" s="148">
        <f t="shared" ca="1" si="88"/>
        <v>0</v>
      </c>
      <c r="I61" s="148">
        <f t="shared" ca="1" si="88"/>
        <v>0</v>
      </c>
      <c r="J61" s="148">
        <f t="shared" ca="1" si="88"/>
        <v>0</v>
      </c>
      <c r="K61" s="148">
        <f t="shared" ca="1" si="88"/>
        <v>0</v>
      </c>
      <c r="L61" s="148">
        <f t="shared" ca="1" si="88"/>
        <v>0</v>
      </c>
      <c r="M61" s="148">
        <f t="shared" ca="1" si="88"/>
        <v>0</v>
      </c>
      <c r="N61" s="148">
        <f t="shared" ca="1" si="88"/>
        <v>2</v>
      </c>
      <c r="O61" s="148" t="str">
        <f t="shared" ca="1" si="88"/>
        <v>Not Calculated</v>
      </c>
      <c r="P61" s="148">
        <f t="shared" ca="1" si="88"/>
        <v>0</v>
      </c>
      <c r="Q61" s="148">
        <f t="shared" ca="1" si="88"/>
        <v>0</v>
      </c>
      <c r="R61" s="148">
        <f t="shared" ca="1" si="88"/>
        <v>0</v>
      </c>
      <c r="S61" s="148">
        <f t="shared" ca="1" si="88"/>
        <v>0</v>
      </c>
      <c r="T61" s="148">
        <f t="shared" ca="1" si="88"/>
        <v>0</v>
      </c>
      <c r="U61" s="148">
        <f ca="1">IF(INDIRECT("'"&amp;U$6&amp;"'!$J$556")="N/A",INDIRECT("'"&amp;U$6&amp;"'!$J$547"),"-")</f>
        <v>0</v>
      </c>
      <c r="V61" s="148">
        <f t="shared" ca="1" si="88"/>
        <v>0</v>
      </c>
      <c r="W61" s="148" t="str">
        <f ca="1">IF(INDIRECT("'"&amp;W$5&amp;"'!$G$3")=0,"",IF(INDIRECT("'"&amp;W$5&amp;"'!$J$556")="N/A",INDIRECT("'"&amp;W$5&amp;"'!$J$547"),"-"))</f>
        <v/>
      </c>
      <c r="X61" s="148" t="str">
        <f t="shared" ref="X61:AF61" ca="1" si="89">IF(INDIRECT("'"&amp;X$5&amp;"'!$G$3")=0,"",IF(INDIRECT("'"&amp;X$5&amp;"'!$J$556")="N/A",INDIRECT("'"&amp;X$5&amp;"'!$J$547"),"-"))</f>
        <v/>
      </c>
      <c r="Y61" s="148" t="str">
        <f t="shared" ca="1" si="89"/>
        <v/>
      </c>
      <c r="Z61" s="148" t="str">
        <f t="shared" ca="1" si="89"/>
        <v/>
      </c>
      <c r="AA61" s="148" t="str">
        <f t="shared" ca="1" si="89"/>
        <v/>
      </c>
      <c r="AB61" s="148" t="str">
        <f t="shared" ca="1" si="89"/>
        <v/>
      </c>
      <c r="AC61" s="148" t="str">
        <f t="shared" ca="1" si="89"/>
        <v/>
      </c>
      <c r="AD61" s="148" t="str">
        <f t="shared" ca="1" si="89"/>
        <v/>
      </c>
      <c r="AE61" s="148" t="str">
        <f t="shared" ca="1" si="89"/>
        <v/>
      </c>
      <c r="AF61" s="148" t="str">
        <f t="shared" ca="1" si="89"/>
        <v/>
      </c>
    </row>
    <row r="62" spans="1:32" ht="32" x14ac:dyDescent="0.2">
      <c r="A62" s="497"/>
      <c r="B62" s="136" t="s">
        <v>614</v>
      </c>
      <c r="C62" s="149">
        <f ca="1">IF(INDIRECT("'"&amp;C$6&amp;"'!$J$556")="N/A",INDIRECT("'"&amp;C$6&amp;"'!$J$548"), INDIRECT("'"&amp;C$6&amp;"'!$J$555"))</f>
        <v>0</v>
      </c>
      <c r="D62" s="149">
        <f t="shared" ref="D62:V62" ca="1" si="90">IF(INDIRECT("'"&amp;D$6&amp;"'!$J$556")="N/A",INDIRECT("'"&amp;D$6&amp;"'!$J$548"), INDIRECT("'"&amp;D$6&amp;"'!$J$555"))</f>
        <v>0</v>
      </c>
      <c r="E62" s="149">
        <f t="shared" ca="1" si="90"/>
        <v>70</v>
      </c>
      <c r="F62" s="149">
        <f t="shared" ca="1" si="90"/>
        <v>0</v>
      </c>
      <c r="G62" s="149" t="str">
        <f t="shared" ca="1" si="90"/>
        <v>No change from baseline (Score = 0)</v>
      </c>
      <c r="H62" s="149">
        <f t="shared" ca="1" si="90"/>
        <v>0</v>
      </c>
      <c r="I62" s="149">
        <f t="shared" ca="1" si="90"/>
        <v>0</v>
      </c>
      <c r="J62" s="149">
        <f t="shared" ca="1" si="90"/>
        <v>0</v>
      </c>
      <c r="K62" s="149">
        <f t="shared" ca="1" si="90"/>
        <v>0</v>
      </c>
      <c r="L62" s="149">
        <f t="shared" ca="1" si="90"/>
        <v>0</v>
      </c>
      <c r="M62" s="149">
        <f t="shared" ca="1" si="90"/>
        <v>70</v>
      </c>
      <c r="N62" s="149">
        <f t="shared" ca="1" si="90"/>
        <v>6</v>
      </c>
      <c r="O62" s="149">
        <f t="shared" ca="1" si="90"/>
        <v>0</v>
      </c>
      <c r="P62" s="149">
        <f t="shared" ca="1" si="90"/>
        <v>0</v>
      </c>
      <c r="Q62" s="149">
        <f t="shared" ca="1" si="90"/>
        <v>0</v>
      </c>
      <c r="R62" s="149">
        <f t="shared" ca="1" si="90"/>
        <v>0</v>
      </c>
      <c r="S62" s="149">
        <f t="shared" ca="1" si="90"/>
        <v>0</v>
      </c>
      <c r="T62" s="149">
        <f t="shared" ca="1" si="90"/>
        <v>0</v>
      </c>
      <c r="U62" s="149">
        <f ca="1">IF(INDIRECT("'"&amp;U$6&amp;"'!$J$556")="N/A",INDIRECT("'"&amp;U$6&amp;"'!$J$548"), INDIRECT("'"&amp;U$6&amp;"'!$J$555"))</f>
        <v>0</v>
      </c>
      <c r="V62" s="149">
        <f t="shared" ca="1" si="90"/>
        <v>0</v>
      </c>
      <c r="W62" s="149" t="str">
        <f ca="1">IF(INDIRECT("'"&amp;W$5&amp;"'!$G$3")=0,"",IF(INDIRECT("'"&amp;W$5&amp;"'!$J$556")="N/A",INDIRECT("'"&amp;W$5&amp;"'!$J$548"), INDIRECT("'"&amp;W$5&amp;"'!$J$555")))</f>
        <v/>
      </c>
      <c r="X62" s="149" t="str">
        <f t="shared" ref="X62:AF62" ca="1" si="91">IF(INDIRECT("'"&amp;X$5&amp;"'!$G$3")=0,"",IF(INDIRECT("'"&amp;X$5&amp;"'!$J$556")="N/A",INDIRECT("'"&amp;X$5&amp;"'!$J$548"), INDIRECT("'"&amp;X$5&amp;"'!$J$555")))</f>
        <v/>
      </c>
      <c r="Y62" s="149" t="str">
        <f t="shared" ca="1" si="91"/>
        <v/>
      </c>
      <c r="Z62" s="149" t="str">
        <f t="shared" ca="1" si="91"/>
        <v/>
      </c>
      <c r="AA62" s="149" t="str">
        <f t="shared" ca="1" si="91"/>
        <v/>
      </c>
      <c r="AB62" s="149" t="str">
        <f t="shared" ca="1" si="91"/>
        <v/>
      </c>
      <c r="AC62" s="149" t="str">
        <f t="shared" ca="1" si="91"/>
        <v/>
      </c>
      <c r="AD62" s="149" t="str">
        <f t="shared" ca="1" si="91"/>
        <v/>
      </c>
      <c r="AE62" s="149" t="str">
        <f t="shared" ca="1" si="91"/>
        <v/>
      </c>
      <c r="AF62" s="149" t="str">
        <f t="shared" ca="1" si="91"/>
        <v/>
      </c>
    </row>
    <row r="63" spans="1:32" ht="60" customHeight="1" x14ac:dyDescent="0.2">
      <c r="A63" s="482" t="s">
        <v>914</v>
      </c>
      <c r="B63" s="483"/>
      <c r="C63" s="147">
        <f ca="1">IF(INDIRECT("'"&amp;C$6&amp;"'!$J$579")="N/A",INDIRECT("'"&amp;C$6&amp;"'!$J$571"),INDIRECT("'"&amp;C$6&amp;"'!$J$578"))</f>
        <v>0</v>
      </c>
      <c r="D63" s="147">
        <f t="shared" ref="D63:V63" ca="1" si="92">IF(INDIRECT("'"&amp;D$6&amp;"'!$J$579")="N/A",INDIRECT("'"&amp;D$6&amp;"'!$J$571"),INDIRECT("'"&amp;D$6&amp;"'!$J$578"))</f>
        <v>757</v>
      </c>
      <c r="E63" s="147">
        <f t="shared" ca="1" si="92"/>
        <v>0</v>
      </c>
      <c r="F63" s="147">
        <f t="shared" ca="1" si="92"/>
        <v>0</v>
      </c>
      <c r="G63" s="147" t="str">
        <f t="shared" ca="1" si="92"/>
        <v>No change from baseline (Score = 0)</v>
      </c>
      <c r="H63" s="147">
        <f t="shared" ca="1" si="92"/>
        <v>0</v>
      </c>
      <c r="I63" s="147">
        <f t="shared" ca="1" si="92"/>
        <v>0</v>
      </c>
      <c r="J63" s="147">
        <f t="shared" ca="1" si="92"/>
        <v>0</v>
      </c>
      <c r="K63" s="147">
        <f t="shared" ca="1" si="92"/>
        <v>0</v>
      </c>
      <c r="L63" s="147">
        <f t="shared" ca="1" si="92"/>
        <v>0</v>
      </c>
      <c r="M63" s="147">
        <f t="shared" ca="1" si="92"/>
        <v>511</v>
      </c>
      <c r="N63" s="147">
        <f t="shared" ca="1" si="92"/>
        <v>180</v>
      </c>
      <c r="O63" s="147">
        <f t="shared" ca="1" si="92"/>
        <v>0</v>
      </c>
      <c r="P63" s="147">
        <f t="shared" ca="1" si="92"/>
        <v>0</v>
      </c>
      <c r="Q63" s="147">
        <f t="shared" ca="1" si="92"/>
        <v>0</v>
      </c>
      <c r="R63" s="147">
        <f t="shared" ca="1" si="92"/>
        <v>0</v>
      </c>
      <c r="S63" s="147">
        <f t="shared" ca="1" si="92"/>
        <v>0</v>
      </c>
      <c r="T63" s="147">
        <f t="shared" ca="1" si="92"/>
        <v>0</v>
      </c>
      <c r="U63" s="147">
        <f ca="1">IF(INDIRECT("'"&amp;U$6&amp;"'!$J$579")="N/A",INDIRECT("'"&amp;U$6&amp;"'!$J$571"),INDIRECT("'"&amp;U$6&amp;"'!$J$578"))</f>
        <v>0</v>
      </c>
      <c r="V63" s="147">
        <f t="shared" ca="1" si="92"/>
        <v>0</v>
      </c>
      <c r="W63" s="147" t="str">
        <f ca="1">IF(INDIRECT("'"&amp;W$5&amp;"'!$G$3")=0,"",IF(INDIRECT("'"&amp;W$5&amp;"'!$J$579")="N/A",INDIRECT("'"&amp;W$5&amp;"'!$J$571"),INDIRECT("'"&amp;W$5&amp;"'!$J$578")))</f>
        <v/>
      </c>
      <c r="X63" s="147" t="str">
        <f t="shared" ref="X63:AF63" ca="1" si="93">IF(INDIRECT("'"&amp;X$5&amp;"'!$G$3")=0,"",IF(INDIRECT("'"&amp;X$5&amp;"'!$J$579")="N/A",INDIRECT("'"&amp;X$5&amp;"'!$J$571"),INDIRECT("'"&amp;X$5&amp;"'!$J$578")))</f>
        <v/>
      </c>
      <c r="Y63" s="147" t="str">
        <f t="shared" ca="1" si="93"/>
        <v/>
      </c>
      <c r="Z63" s="147" t="str">
        <f t="shared" ca="1" si="93"/>
        <v/>
      </c>
      <c r="AA63" s="147" t="str">
        <f t="shared" ca="1" si="93"/>
        <v/>
      </c>
      <c r="AB63" s="147" t="str">
        <f t="shared" ca="1" si="93"/>
        <v/>
      </c>
      <c r="AC63" s="147" t="str">
        <f t="shared" ca="1" si="93"/>
        <v/>
      </c>
      <c r="AD63" s="147" t="str">
        <f t="shared" ca="1" si="93"/>
        <v/>
      </c>
      <c r="AE63" s="147" t="str">
        <f t="shared" ca="1" si="93"/>
        <v/>
      </c>
      <c r="AF63" s="147" t="str">
        <f t="shared" ca="1" si="93"/>
        <v/>
      </c>
    </row>
    <row r="64" spans="1:32" ht="15" customHeight="1" x14ac:dyDescent="0.2">
      <c r="A64" s="503" t="s">
        <v>618</v>
      </c>
      <c r="B64" s="504"/>
      <c r="C64" s="148">
        <f ca="1">INDIRECT("'"&amp;C$6&amp;"'!$J$589")</f>
        <v>0</v>
      </c>
      <c r="D64" s="148">
        <f t="shared" ref="D64:V64" ca="1" si="94">INDIRECT("'"&amp;D$6&amp;"'!$J$589")</f>
        <v>77</v>
      </c>
      <c r="E64" s="148">
        <f t="shared" ca="1" si="94"/>
        <v>0</v>
      </c>
      <c r="F64" s="148">
        <f t="shared" ca="1" si="94"/>
        <v>0</v>
      </c>
      <c r="G64" s="148">
        <f t="shared" ca="1" si="94"/>
        <v>0</v>
      </c>
      <c r="H64" s="148">
        <f t="shared" ca="1" si="94"/>
        <v>0</v>
      </c>
      <c r="I64" s="148">
        <f t="shared" ca="1" si="94"/>
        <v>0</v>
      </c>
      <c r="J64" s="148">
        <f t="shared" ca="1" si="94"/>
        <v>0</v>
      </c>
      <c r="K64" s="148">
        <f t="shared" ca="1" si="94"/>
        <v>0</v>
      </c>
      <c r="L64" s="148">
        <f t="shared" ca="1" si="94"/>
        <v>250</v>
      </c>
      <c r="M64" s="148">
        <f t="shared" ca="1" si="94"/>
        <v>0</v>
      </c>
      <c r="N64" s="148">
        <f t="shared" ca="1" si="94"/>
        <v>0</v>
      </c>
      <c r="O64" s="148">
        <f t="shared" ca="1" si="94"/>
        <v>0</v>
      </c>
      <c r="P64" s="148">
        <f t="shared" ca="1" si="94"/>
        <v>0</v>
      </c>
      <c r="Q64" s="148">
        <f t="shared" ca="1" si="94"/>
        <v>0</v>
      </c>
      <c r="R64" s="148">
        <f t="shared" ca="1" si="94"/>
        <v>0</v>
      </c>
      <c r="S64" s="148">
        <f t="shared" ca="1" si="94"/>
        <v>9200</v>
      </c>
      <c r="T64" s="148">
        <f t="shared" ca="1" si="94"/>
        <v>0</v>
      </c>
      <c r="U64" s="148">
        <f ca="1">INDIRECT("'"&amp;U$6&amp;"'!$J$589")</f>
        <v>0</v>
      </c>
      <c r="V64" s="148">
        <f t="shared" ca="1" si="94"/>
        <v>0</v>
      </c>
      <c r="W64" s="148" t="str">
        <f ca="1">IF(INDIRECT("'"&amp;W$5&amp;"'!$G$3")=0,"",INDIRECT("'"&amp;W$5&amp;"'!$J$589"))</f>
        <v/>
      </c>
      <c r="X64" s="148" t="str">
        <f t="shared" ref="X64:AF64" ca="1" si="95">IF(INDIRECT("'"&amp;X$5&amp;"'!$G$3")=0,"",INDIRECT("'"&amp;X$5&amp;"'!$J$589"))</f>
        <v/>
      </c>
      <c r="Y64" s="148" t="str">
        <f t="shared" ca="1" si="95"/>
        <v/>
      </c>
      <c r="Z64" s="148" t="str">
        <f t="shared" ca="1" si="95"/>
        <v/>
      </c>
      <c r="AA64" s="148" t="str">
        <f t="shared" ca="1" si="95"/>
        <v/>
      </c>
      <c r="AB64" s="148" t="str">
        <f t="shared" ca="1" si="95"/>
        <v/>
      </c>
      <c r="AC64" s="148" t="str">
        <f t="shared" ca="1" si="95"/>
        <v/>
      </c>
      <c r="AD64" s="148" t="str">
        <f t="shared" ca="1" si="95"/>
        <v/>
      </c>
      <c r="AE64" s="148" t="str">
        <f t="shared" ca="1" si="95"/>
        <v/>
      </c>
      <c r="AF64" s="148" t="str">
        <f t="shared" ca="1" si="95"/>
        <v/>
      </c>
    </row>
    <row r="65" spans="1:32" ht="30" customHeight="1" x14ac:dyDescent="0.2">
      <c r="A65" s="482" t="s">
        <v>619</v>
      </c>
      <c r="B65" s="483"/>
      <c r="C65" s="154">
        <f ca="1">INDIRECT("'"&amp;C$6&amp;"'!$J$605")</f>
        <v>0</v>
      </c>
      <c r="D65" s="154">
        <f t="shared" ref="D65:V65" ca="1" si="96">INDIRECT("'"&amp;D$6&amp;"'!$J$605")</f>
        <v>100</v>
      </c>
      <c r="E65" s="154" t="str">
        <f t="shared" ca="1" si="96"/>
        <v>Not Calculated</v>
      </c>
      <c r="F65" s="154">
        <f t="shared" ca="1" si="96"/>
        <v>0</v>
      </c>
      <c r="G65" s="154">
        <f t="shared" ca="1" si="96"/>
        <v>0</v>
      </c>
      <c r="H65" s="154">
        <f t="shared" ca="1" si="96"/>
        <v>0</v>
      </c>
      <c r="I65" s="154">
        <f t="shared" ca="1" si="96"/>
        <v>0</v>
      </c>
      <c r="J65" s="154">
        <f t="shared" ca="1" si="96"/>
        <v>0</v>
      </c>
      <c r="K65" s="154">
        <f t="shared" ca="1" si="96"/>
        <v>0</v>
      </c>
      <c r="L65" s="154">
        <f t="shared" ca="1" si="96"/>
        <v>0</v>
      </c>
      <c r="M65" s="154">
        <f t="shared" ca="1" si="96"/>
        <v>0</v>
      </c>
      <c r="N65" s="154">
        <f t="shared" ca="1" si="96"/>
        <v>0</v>
      </c>
      <c r="O65" s="154">
        <f t="shared" ca="1" si="96"/>
        <v>0</v>
      </c>
      <c r="P65" s="154">
        <f t="shared" ca="1" si="96"/>
        <v>100</v>
      </c>
      <c r="Q65" s="154">
        <f t="shared" ca="1" si="96"/>
        <v>0</v>
      </c>
      <c r="R65" s="154">
        <f t="shared" ca="1" si="96"/>
        <v>0</v>
      </c>
      <c r="S65" s="154">
        <f t="shared" ca="1" si="96"/>
        <v>0</v>
      </c>
      <c r="T65" s="154">
        <f t="shared" ca="1" si="96"/>
        <v>0</v>
      </c>
      <c r="U65" s="154">
        <f ca="1">INDIRECT("'"&amp;U$6&amp;"'!$J$605")</f>
        <v>0</v>
      </c>
      <c r="V65" s="154">
        <f t="shared" ca="1" si="96"/>
        <v>0</v>
      </c>
      <c r="W65" s="154" t="str">
        <f ca="1">IF(INDIRECT("'"&amp;W$5&amp;"'!$G$3")=0,"",INDIRECT("'"&amp;W$5&amp;"'!$J$605"))</f>
        <v/>
      </c>
      <c r="X65" s="154" t="str">
        <f t="shared" ref="X65:AF65" ca="1" si="97">IF(INDIRECT("'"&amp;X$5&amp;"'!$G$3")=0,"",INDIRECT("'"&amp;X$5&amp;"'!$J$605"))</f>
        <v/>
      </c>
      <c r="Y65" s="154" t="str">
        <f t="shared" ca="1" si="97"/>
        <v/>
      </c>
      <c r="Z65" s="154" t="str">
        <f t="shared" ca="1" si="97"/>
        <v/>
      </c>
      <c r="AA65" s="154" t="str">
        <f t="shared" ca="1" si="97"/>
        <v/>
      </c>
      <c r="AB65" s="154" t="str">
        <f t="shared" ca="1" si="97"/>
        <v/>
      </c>
      <c r="AC65" s="154" t="str">
        <f t="shared" ca="1" si="97"/>
        <v/>
      </c>
      <c r="AD65" s="154" t="str">
        <f t="shared" ca="1" si="97"/>
        <v/>
      </c>
      <c r="AE65" s="154" t="str">
        <f t="shared" ca="1" si="97"/>
        <v/>
      </c>
      <c r="AF65" s="154" t="str">
        <f t="shared" ca="1" si="97"/>
        <v/>
      </c>
    </row>
    <row r="66" spans="1:32" ht="30" customHeight="1" x14ac:dyDescent="0.2">
      <c r="A66" s="482" t="s">
        <v>915</v>
      </c>
      <c r="B66" s="483"/>
      <c r="C66" s="147">
        <f ca="1">IF(INDIRECT("'"&amp;C$6&amp;"'!$J$629")="N/A",INDIRECT("'"&amp;C$6&amp;"'!$J$621"),INDIRECT("'"&amp;C$6&amp;"'!$J$628"))</f>
        <v>0</v>
      </c>
      <c r="D66" s="147">
        <f t="shared" ref="D66:V66" ca="1" si="98">IF(INDIRECT("'"&amp;D$6&amp;"'!$J$629")="N/A",INDIRECT("'"&amp;D$6&amp;"'!$J$621"),INDIRECT("'"&amp;D$6&amp;"'!$J$628"))</f>
        <v>757</v>
      </c>
      <c r="E66" s="147">
        <f t="shared" ca="1" si="98"/>
        <v>200</v>
      </c>
      <c r="F66" s="147">
        <f t="shared" ca="1" si="98"/>
        <v>0</v>
      </c>
      <c r="G66" s="147" t="str">
        <f t="shared" ca="1" si="98"/>
        <v>No change from baseline (Score = 0)</v>
      </c>
      <c r="H66" s="147">
        <f t="shared" ca="1" si="98"/>
        <v>0</v>
      </c>
      <c r="I66" s="147">
        <f t="shared" ca="1" si="98"/>
        <v>0</v>
      </c>
      <c r="J66" s="147">
        <f t="shared" ca="1" si="98"/>
        <v>0</v>
      </c>
      <c r="K66" s="147">
        <f t="shared" ca="1" si="98"/>
        <v>0</v>
      </c>
      <c r="L66" s="147">
        <f t="shared" ca="1" si="98"/>
        <v>1</v>
      </c>
      <c r="M66" s="147">
        <f t="shared" ca="1" si="98"/>
        <v>100</v>
      </c>
      <c r="N66" s="147">
        <f t="shared" ca="1" si="98"/>
        <v>0</v>
      </c>
      <c r="O66" s="147">
        <f t="shared" ca="1" si="98"/>
        <v>0</v>
      </c>
      <c r="P66" s="147">
        <f t="shared" ca="1" si="98"/>
        <v>7.5</v>
      </c>
      <c r="Q66" s="147">
        <f t="shared" ca="1" si="98"/>
        <v>3000</v>
      </c>
      <c r="R66" s="147">
        <f t="shared" ca="1" si="98"/>
        <v>0</v>
      </c>
      <c r="S66" s="147">
        <f t="shared" ca="1" si="98"/>
        <v>0.5</v>
      </c>
      <c r="T66" s="147">
        <f t="shared" ca="1" si="98"/>
        <v>50</v>
      </c>
      <c r="U66" s="147">
        <f ca="1">IF(INDIRECT("'"&amp;U$6&amp;"'!$J$629")="N/A",INDIRECT("'"&amp;U$6&amp;"'!$J$621"),INDIRECT("'"&amp;U$6&amp;"'!$J$628"))</f>
        <v>0</v>
      </c>
      <c r="V66" s="147">
        <f t="shared" ca="1" si="98"/>
        <v>0</v>
      </c>
      <c r="W66" s="147" t="str">
        <f ca="1">IF(INDIRECT("'"&amp;W$5&amp;"'!$G$3")=0,"",IF(INDIRECT("'"&amp;W$5&amp;"'!$J$629")="N/A",INDIRECT("'"&amp;W$5&amp;"'!$J$621"),INDIRECT("'"&amp;W$5&amp;"'!$J$628")))</f>
        <v/>
      </c>
      <c r="X66" s="147" t="str">
        <f t="shared" ref="X66:AF66" ca="1" si="99">IF(INDIRECT("'"&amp;X$5&amp;"'!$G$3")=0,"",IF(INDIRECT("'"&amp;X$5&amp;"'!$J$629")="N/A",INDIRECT("'"&amp;X$5&amp;"'!$J$621"),INDIRECT("'"&amp;X$5&amp;"'!$J$628")))</f>
        <v/>
      </c>
      <c r="Y66" s="147" t="str">
        <f t="shared" ca="1" si="99"/>
        <v/>
      </c>
      <c r="Z66" s="147" t="str">
        <f t="shared" ca="1" si="99"/>
        <v/>
      </c>
      <c r="AA66" s="147" t="str">
        <f t="shared" ca="1" si="99"/>
        <v/>
      </c>
      <c r="AB66" s="147" t="str">
        <f t="shared" ca="1" si="99"/>
        <v/>
      </c>
      <c r="AC66" s="147" t="str">
        <f t="shared" ca="1" si="99"/>
        <v/>
      </c>
      <c r="AD66" s="147" t="str">
        <f t="shared" ca="1" si="99"/>
        <v/>
      </c>
      <c r="AE66" s="147" t="str">
        <f t="shared" ca="1" si="99"/>
        <v/>
      </c>
      <c r="AF66" s="147" t="str">
        <f t="shared" ca="1" si="99"/>
        <v/>
      </c>
    </row>
    <row r="67" spans="1:32" ht="60" customHeight="1" x14ac:dyDescent="0.2">
      <c r="A67" s="482" t="s">
        <v>913</v>
      </c>
      <c r="B67" s="483"/>
      <c r="C67" s="147">
        <f ca="1">IF(INDIRECT("'"&amp;C$6&amp;"'!$J$651")="N/A",INDIRECT("'"&amp;C$6&amp;"'!$J$643"),INDIRECT("'"&amp;C$6&amp;"'!$J$650"))</f>
        <v>8</v>
      </c>
      <c r="D67" s="147">
        <f t="shared" ref="D67:V67" ca="1" si="100">IF(INDIRECT("'"&amp;D$6&amp;"'!$J$651")="N/A",INDIRECT("'"&amp;D$6&amp;"'!$J$643"),INDIRECT("'"&amp;D$6&amp;"'!$J$650"))</f>
        <v>75</v>
      </c>
      <c r="E67" s="147">
        <f t="shared" ca="1" si="100"/>
        <v>75</v>
      </c>
      <c r="F67" s="147">
        <f t="shared" ca="1" si="100"/>
        <v>8</v>
      </c>
      <c r="G67" s="147" t="str">
        <f t="shared" ca="1" si="100"/>
        <v>No change from baseline (Score = 0)</v>
      </c>
      <c r="H67" s="147">
        <f t="shared" ca="1" si="100"/>
        <v>12</v>
      </c>
      <c r="I67" s="147">
        <f t="shared" ca="1" si="100"/>
        <v>75</v>
      </c>
      <c r="J67" s="147">
        <f t="shared" ca="1" si="100"/>
        <v>12</v>
      </c>
      <c r="K67" s="147">
        <f t="shared" ca="1" si="100"/>
        <v>37.5</v>
      </c>
      <c r="L67" s="147">
        <f t="shared" ca="1" si="100"/>
        <v>37.5</v>
      </c>
      <c r="M67" s="147">
        <f t="shared" ca="1" si="100"/>
        <v>37.5</v>
      </c>
      <c r="N67" s="147">
        <f t="shared" ca="1" si="100"/>
        <v>37.5</v>
      </c>
      <c r="O67" s="147">
        <f t="shared" ca="1" si="100"/>
        <v>0</v>
      </c>
      <c r="P67" s="147">
        <f t="shared" ca="1" si="100"/>
        <v>75</v>
      </c>
      <c r="Q67" s="147">
        <f t="shared" ca="1" si="100"/>
        <v>75</v>
      </c>
      <c r="R67" s="147">
        <f t="shared" ca="1" si="100"/>
        <v>12</v>
      </c>
      <c r="S67" s="147">
        <f t="shared" ca="1" si="100"/>
        <v>112.5</v>
      </c>
      <c r="T67" s="147">
        <f t="shared" ca="1" si="100"/>
        <v>37.5</v>
      </c>
      <c r="U67" s="147">
        <f ca="1">IF(INDIRECT("'"&amp;U$6&amp;"'!$J$651")="N/A",INDIRECT("'"&amp;U$6&amp;"'!$J$643"),INDIRECT("'"&amp;U$6&amp;"'!$J$650"))</f>
        <v>0</v>
      </c>
      <c r="V67" s="147">
        <f t="shared" ca="1" si="100"/>
        <v>18.75</v>
      </c>
      <c r="W67" s="147" t="str">
        <f ca="1">IF(INDIRECT("'"&amp;W$5&amp;"'!$G$3")=0,"",IF(INDIRECT("'"&amp;W$5&amp;"'!$J$651")="N/A",INDIRECT("'"&amp;W$5&amp;"'!$J$643"),INDIRECT("'"&amp;W$5&amp;"'!$J$650")))</f>
        <v/>
      </c>
      <c r="X67" s="147" t="str">
        <f t="shared" ref="X67:AF67" ca="1" si="101">IF(INDIRECT("'"&amp;X$5&amp;"'!$G$3")=0,"",IF(INDIRECT("'"&amp;X$5&amp;"'!$J$651")="N/A",INDIRECT("'"&amp;X$5&amp;"'!$J$643"),INDIRECT("'"&amp;X$5&amp;"'!$J$650")))</f>
        <v/>
      </c>
      <c r="Y67" s="147" t="str">
        <f t="shared" ca="1" si="101"/>
        <v/>
      </c>
      <c r="Z67" s="147" t="str">
        <f t="shared" ca="1" si="101"/>
        <v/>
      </c>
      <c r="AA67" s="147" t="str">
        <f t="shared" ca="1" si="101"/>
        <v/>
      </c>
      <c r="AB67" s="147" t="str">
        <f t="shared" ca="1" si="101"/>
        <v/>
      </c>
      <c r="AC67" s="147" t="str">
        <f t="shared" ca="1" si="101"/>
        <v/>
      </c>
      <c r="AD67" s="147" t="str">
        <f t="shared" ca="1" si="101"/>
        <v/>
      </c>
      <c r="AE67" s="147" t="str">
        <f t="shared" ca="1" si="101"/>
        <v/>
      </c>
      <c r="AF67" s="147" t="str">
        <f t="shared" ca="1" si="101"/>
        <v/>
      </c>
    </row>
    <row r="68" spans="1:32" ht="15" customHeight="1" x14ac:dyDescent="0.2">
      <c r="A68" s="496" t="s">
        <v>620</v>
      </c>
      <c r="B68" s="137" t="s">
        <v>613</v>
      </c>
      <c r="C68" s="148">
        <f ca="1">IF(INDIRECT("'"&amp;C$6&amp;"'!$J$673")="N/A",INDIRECT("'"&amp;C$6&amp;"'!$J$662"),"-")</f>
        <v>0</v>
      </c>
      <c r="D68" s="148">
        <f t="shared" ref="D68:V68" ca="1" si="102">IF(INDIRECT("'"&amp;D$6&amp;"'!$J$673")="N/A",INDIRECT("'"&amp;D$6&amp;"'!$J$662"),"-")</f>
        <v>0</v>
      </c>
      <c r="E68" s="148">
        <f t="shared" ca="1" si="102"/>
        <v>0</v>
      </c>
      <c r="F68" s="148">
        <f t="shared" ca="1" si="102"/>
        <v>0</v>
      </c>
      <c r="G68" s="148" t="str">
        <f t="shared" ca="1" si="102"/>
        <v>-</v>
      </c>
      <c r="H68" s="148">
        <f t="shared" ca="1" si="102"/>
        <v>0</v>
      </c>
      <c r="I68" s="148">
        <f t="shared" ca="1" si="102"/>
        <v>0</v>
      </c>
      <c r="J68" s="148">
        <f t="shared" ca="1" si="102"/>
        <v>0</v>
      </c>
      <c r="K68" s="148">
        <f t="shared" ca="1" si="102"/>
        <v>0</v>
      </c>
      <c r="L68" s="148">
        <f t="shared" ca="1" si="102"/>
        <v>0</v>
      </c>
      <c r="M68" s="148">
        <f t="shared" ca="1" si="102"/>
        <v>0</v>
      </c>
      <c r="N68" s="148">
        <f t="shared" ca="1" si="102"/>
        <v>0</v>
      </c>
      <c r="O68" s="148">
        <f t="shared" ca="1" si="102"/>
        <v>0</v>
      </c>
      <c r="P68" s="148">
        <f t="shared" ca="1" si="102"/>
        <v>0</v>
      </c>
      <c r="Q68" s="148">
        <f t="shared" ca="1" si="102"/>
        <v>0</v>
      </c>
      <c r="R68" s="148">
        <f t="shared" ca="1" si="102"/>
        <v>0</v>
      </c>
      <c r="S68" s="148">
        <f t="shared" ca="1" si="102"/>
        <v>0</v>
      </c>
      <c r="T68" s="148">
        <f t="shared" ca="1" si="102"/>
        <v>0</v>
      </c>
      <c r="U68" s="148">
        <f ca="1">IF(INDIRECT("'"&amp;U$6&amp;"'!$J$673")="N/A",INDIRECT("'"&amp;U$6&amp;"'!$J$662"),"-")</f>
        <v>0</v>
      </c>
      <c r="V68" s="148">
        <f t="shared" ca="1" si="102"/>
        <v>0</v>
      </c>
      <c r="W68" s="148" t="str">
        <f ca="1">IF(INDIRECT("'"&amp;W$5&amp;"'!$G$3")=0,"",IF(INDIRECT("'"&amp;W$5&amp;"'!$J$673")="N/A",INDIRECT("'"&amp;W$5&amp;"'!$J$662"),"-"))</f>
        <v/>
      </c>
      <c r="X68" s="148" t="str">
        <f t="shared" ref="X68:AF68" ca="1" si="103">IF(INDIRECT("'"&amp;X$5&amp;"'!$G$3")=0,"",IF(INDIRECT("'"&amp;X$5&amp;"'!$J$673")="N/A",INDIRECT("'"&amp;X$5&amp;"'!$J$662"),"-"))</f>
        <v/>
      </c>
      <c r="Y68" s="148" t="str">
        <f t="shared" ca="1" si="103"/>
        <v/>
      </c>
      <c r="Z68" s="148" t="str">
        <f t="shared" ca="1" si="103"/>
        <v/>
      </c>
      <c r="AA68" s="148" t="str">
        <f t="shared" ca="1" si="103"/>
        <v/>
      </c>
      <c r="AB68" s="148" t="str">
        <f t="shared" ca="1" si="103"/>
        <v/>
      </c>
      <c r="AC68" s="148" t="str">
        <f t="shared" ca="1" si="103"/>
        <v/>
      </c>
      <c r="AD68" s="148" t="str">
        <f t="shared" ca="1" si="103"/>
        <v/>
      </c>
      <c r="AE68" s="148" t="str">
        <f t="shared" ca="1" si="103"/>
        <v/>
      </c>
      <c r="AF68" s="148" t="str">
        <f t="shared" ca="1" si="103"/>
        <v/>
      </c>
    </row>
    <row r="69" spans="1:32" ht="32" x14ac:dyDescent="0.2">
      <c r="A69" s="497"/>
      <c r="B69" s="136" t="s">
        <v>614</v>
      </c>
      <c r="C69" s="150">
        <f ca="1">IF(INDIRECT("'"&amp;C$6&amp;"'!$J$673")="N/A",INDIRECT("'"&amp;C$6&amp;"'!$J$663"), INDIRECT("'"&amp;C$6&amp;"'!$J$672"))</f>
        <v>33</v>
      </c>
      <c r="D69" s="150">
        <f t="shared" ref="D69:V69" ca="1" si="104">IF(INDIRECT("'"&amp;D$6&amp;"'!$J$673")="N/A",INDIRECT("'"&amp;D$6&amp;"'!$J$663"), INDIRECT("'"&amp;D$6&amp;"'!$J$672"))</f>
        <v>34</v>
      </c>
      <c r="E69" s="150">
        <f t="shared" ca="1" si="104"/>
        <v>0</v>
      </c>
      <c r="F69" s="150">
        <f t="shared" ca="1" si="104"/>
        <v>0</v>
      </c>
      <c r="G69" s="150" t="str">
        <f t="shared" ca="1" si="104"/>
        <v>No change from baseline (Score = 0)</v>
      </c>
      <c r="H69" s="150">
        <f t="shared" ca="1" si="104"/>
        <v>0</v>
      </c>
      <c r="I69" s="150">
        <f t="shared" ca="1" si="104"/>
        <v>0</v>
      </c>
      <c r="J69" s="150">
        <f t="shared" ca="1" si="104"/>
        <v>0</v>
      </c>
      <c r="K69" s="150">
        <f t="shared" ca="1" si="104"/>
        <v>10</v>
      </c>
      <c r="L69" s="150">
        <f t="shared" ca="1" si="104"/>
        <v>7</v>
      </c>
      <c r="M69" s="150">
        <f t="shared" ca="1" si="104"/>
        <v>9</v>
      </c>
      <c r="N69" s="150">
        <f t="shared" ca="1" si="104"/>
        <v>0</v>
      </c>
      <c r="O69" s="150">
        <f t="shared" ca="1" si="104"/>
        <v>0</v>
      </c>
      <c r="P69" s="150">
        <f t="shared" ca="1" si="104"/>
        <v>0</v>
      </c>
      <c r="Q69" s="150">
        <f t="shared" ca="1" si="104"/>
        <v>0</v>
      </c>
      <c r="R69" s="150">
        <f t="shared" ca="1" si="104"/>
        <v>0</v>
      </c>
      <c r="S69" s="150">
        <f t="shared" ca="1" si="104"/>
        <v>160</v>
      </c>
      <c r="T69" s="150">
        <f t="shared" ca="1" si="104"/>
        <v>2</v>
      </c>
      <c r="U69" s="150">
        <f ca="1">IF(INDIRECT("'"&amp;U$6&amp;"'!$J$673")="N/A",INDIRECT("'"&amp;U$6&amp;"'!$J$663"), INDIRECT("'"&amp;U$6&amp;"'!$J$672"))</f>
        <v>0</v>
      </c>
      <c r="V69" s="150">
        <f t="shared" ca="1" si="104"/>
        <v>0</v>
      </c>
      <c r="W69" s="150" t="str">
        <f ca="1">IF(INDIRECT("'"&amp;W$5&amp;"'!$G$3")=0,"",IF(INDIRECT("'"&amp;W$5&amp;"'!$J$673")="N/A",INDIRECT("'"&amp;W$5&amp;"'!$J$663"), INDIRECT("'"&amp;W$5&amp;"'!$J$672")))</f>
        <v/>
      </c>
      <c r="X69" s="150" t="str">
        <f t="shared" ref="X69:AF69" ca="1" si="105">IF(INDIRECT("'"&amp;X$5&amp;"'!$G$3")=0,"",IF(INDIRECT("'"&amp;X$5&amp;"'!$J$673")="N/A",INDIRECT("'"&amp;X$5&amp;"'!$J$663"), INDIRECT("'"&amp;X$5&amp;"'!$J$672")))</f>
        <v/>
      </c>
      <c r="Y69" s="150" t="str">
        <f t="shared" ca="1" si="105"/>
        <v/>
      </c>
      <c r="Z69" s="150" t="str">
        <f t="shared" ca="1" si="105"/>
        <v/>
      </c>
      <c r="AA69" s="150" t="str">
        <f t="shared" ca="1" si="105"/>
        <v/>
      </c>
      <c r="AB69" s="150" t="str">
        <f t="shared" ca="1" si="105"/>
        <v/>
      </c>
      <c r="AC69" s="150" t="str">
        <f t="shared" ca="1" si="105"/>
        <v/>
      </c>
      <c r="AD69" s="150" t="str">
        <f t="shared" ca="1" si="105"/>
        <v/>
      </c>
      <c r="AE69" s="150" t="str">
        <f t="shared" ca="1" si="105"/>
        <v/>
      </c>
      <c r="AF69" s="150" t="str">
        <f t="shared" ca="1" si="105"/>
        <v/>
      </c>
    </row>
    <row r="70" spans="1:32" x14ac:dyDescent="0.2">
      <c r="A70" s="492"/>
      <c r="B70" s="493"/>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141"/>
      <c r="AB70" s="141"/>
      <c r="AC70" s="141"/>
      <c r="AD70" s="141"/>
      <c r="AE70" s="141"/>
      <c r="AF70" s="141"/>
    </row>
    <row r="71" spans="1:32" ht="15.75" customHeight="1" x14ac:dyDescent="0.2">
      <c r="A71" s="494" t="s">
        <v>232</v>
      </c>
      <c r="B71" s="495"/>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141"/>
      <c r="AB71" s="141"/>
      <c r="AC71" s="141"/>
      <c r="AD71" s="141"/>
      <c r="AE71" s="141"/>
      <c r="AF71" s="141"/>
    </row>
    <row r="72" spans="1:32" ht="15" customHeight="1" x14ac:dyDescent="0.2">
      <c r="A72" s="496" t="s">
        <v>30</v>
      </c>
      <c r="B72" s="124" t="s">
        <v>621</v>
      </c>
      <c r="C72" s="142" t="str">
        <f ca="1">INDIRECT("'"&amp;C$6&amp;"'!$G$717")</f>
        <v>Yes</v>
      </c>
      <c r="D72" s="142" t="str">
        <f t="shared" ref="D72:V72" ca="1" si="106">INDIRECT("'"&amp;D$6&amp;"'!$G$717")</f>
        <v>Yes</v>
      </c>
      <c r="E72" s="142" t="str">
        <f t="shared" ca="1" si="106"/>
        <v>Yes</v>
      </c>
      <c r="F72" s="142" t="str">
        <f t="shared" ca="1" si="106"/>
        <v>Yes</v>
      </c>
      <c r="G72" s="142" t="str">
        <f t="shared" ca="1" si="106"/>
        <v>Yes</v>
      </c>
      <c r="H72" s="142" t="str">
        <f t="shared" ca="1" si="106"/>
        <v>Yes</v>
      </c>
      <c r="I72" s="142" t="str">
        <f t="shared" ca="1" si="106"/>
        <v>Yes</v>
      </c>
      <c r="J72" s="142" t="str">
        <f t="shared" ca="1" si="106"/>
        <v>Yes</v>
      </c>
      <c r="K72" s="142" t="str">
        <f t="shared" ca="1" si="106"/>
        <v>Yes</v>
      </c>
      <c r="L72" s="142" t="str">
        <f t="shared" ca="1" si="106"/>
        <v>Yes</v>
      </c>
      <c r="M72" s="142" t="str">
        <f t="shared" ca="1" si="106"/>
        <v>Yes</v>
      </c>
      <c r="N72" s="142" t="str">
        <f t="shared" ca="1" si="106"/>
        <v>Yes</v>
      </c>
      <c r="O72" s="142" t="str">
        <f t="shared" ca="1" si="106"/>
        <v>Yes</v>
      </c>
      <c r="P72" s="142" t="str">
        <f t="shared" ca="1" si="106"/>
        <v>Yes</v>
      </c>
      <c r="Q72" s="142" t="str">
        <f t="shared" ca="1" si="106"/>
        <v>Yes</v>
      </c>
      <c r="R72" s="142" t="str">
        <f t="shared" ca="1" si="106"/>
        <v>Yes</v>
      </c>
      <c r="S72" s="142" t="str">
        <f t="shared" ca="1" si="106"/>
        <v>Yes</v>
      </c>
      <c r="T72" s="142" t="str">
        <f t="shared" ca="1" si="106"/>
        <v>Yes</v>
      </c>
      <c r="U72" s="142" t="str">
        <f ca="1">INDIRECT("'"&amp;U$6&amp;"'!$G$717")</f>
        <v>Yes</v>
      </c>
      <c r="V72" s="142" t="str">
        <f t="shared" ca="1" si="106"/>
        <v>Yes</v>
      </c>
      <c r="W72" s="142" t="str">
        <f ca="1">IF(INDIRECT("'"&amp;W$5&amp;"'!$G$3")=0,"",INDIRECT("'"&amp;W$5&amp;"'!$G$717"))</f>
        <v/>
      </c>
      <c r="X72" s="142" t="str">
        <f t="shared" ref="X72:AF72" ca="1" si="107">IF(INDIRECT("'"&amp;X$5&amp;"'!$G$3")=0,"",INDIRECT("'"&amp;X$5&amp;"'!$G$717"))</f>
        <v/>
      </c>
      <c r="Y72" s="142" t="str">
        <f t="shared" ca="1" si="107"/>
        <v/>
      </c>
      <c r="Z72" s="142" t="str">
        <f t="shared" ca="1" si="107"/>
        <v/>
      </c>
      <c r="AA72" s="142" t="str">
        <f t="shared" ca="1" si="107"/>
        <v/>
      </c>
      <c r="AB72" s="142" t="str">
        <f t="shared" ca="1" si="107"/>
        <v/>
      </c>
      <c r="AC72" s="142" t="str">
        <f t="shared" ca="1" si="107"/>
        <v/>
      </c>
      <c r="AD72" s="142" t="str">
        <f t="shared" ca="1" si="107"/>
        <v/>
      </c>
      <c r="AE72" s="142" t="str">
        <f t="shared" ca="1" si="107"/>
        <v/>
      </c>
      <c r="AF72" s="142" t="str">
        <f t="shared" ca="1" si="107"/>
        <v/>
      </c>
    </row>
    <row r="73" spans="1:32" ht="16" x14ac:dyDescent="0.2">
      <c r="A73" s="502"/>
      <c r="B73" s="124" t="s">
        <v>622</v>
      </c>
      <c r="C73" s="143" t="str">
        <f ca="1">INDIRECT("'"&amp;C$6&amp;"'!$G$732")</f>
        <v>No</v>
      </c>
      <c r="D73" s="143" t="str">
        <f t="shared" ref="D73:V73" ca="1" si="108">INDIRECT("'"&amp;D$6&amp;"'!$G$732")</f>
        <v>No</v>
      </c>
      <c r="E73" s="143" t="str">
        <f t="shared" ca="1" si="108"/>
        <v>Yes</v>
      </c>
      <c r="F73" s="143" t="str">
        <f t="shared" ca="1" si="108"/>
        <v>No</v>
      </c>
      <c r="G73" s="143" t="str">
        <f t="shared" ca="1" si="108"/>
        <v>Yes</v>
      </c>
      <c r="H73" s="143" t="str">
        <f t="shared" ca="1" si="108"/>
        <v>Yes</v>
      </c>
      <c r="I73" s="143" t="str">
        <f t="shared" ca="1" si="108"/>
        <v>No</v>
      </c>
      <c r="J73" s="143" t="str">
        <f t="shared" ca="1" si="108"/>
        <v>No</v>
      </c>
      <c r="K73" s="143" t="str">
        <f t="shared" ca="1" si="108"/>
        <v>No</v>
      </c>
      <c r="L73" s="143" t="str">
        <f t="shared" ca="1" si="108"/>
        <v>Yes</v>
      </c>
      <c r="M73" s="143" t="str">
        <f t="shared" ca="1" si="108"/>
        <v>Yes</v>
      </c>
      <c r="N73" s="143" t="str">
        <f t="shared" ca="1" si="108"/>
        <v>No</v>
      </c>
      <c r="O73" s="143" t="str">
        <f t="shared" ca="1" si="108"/>
        <v>Yes</v>
      </c>
      <c r="P73" s="143" t="str">
        <f t="shared" ca="1" si="108"/>
        <v>No</v>
      </c>
      <c r="Q73" s="143" t="str">
        <f t="shared" ca="1" si="108"/>
        <v>Yes</v>
      </c>
      <c r="R73" s="143" t="str">
        <f t="shared" ca="1" si="108"/>
        <v>Yes</v>
      </c>
      <c r="S73" s="143" t="str">
        <f t="shared" ca="1" si="108"/>
        <v>Yes</v>
      </c>
      <c r="T73" s="143" t="str">
        <f t="shared" ca="1" si="108"/>
        <v>No</v>
      </c>
      <c r="U73" s="143" t="str">
        <f ca="1">INDIRECT("'"&amp;U$6&amp;"'!$G$732")</f>
        <v>Yes</v>
      </c>
      <c r="V73" s="143" t="str">
        <f t="shared" ca="1" si="108"/>
        <v>No</v>
      </c>
      <c r="W73" s="143" t="str">
        <f ca="1">IF(INDIRECT("'"&amp;W$5&amp;"'!$G$3")=0,"",INDIRECT("'"&amp;W$5&amp;"'!$G$732"))</f>
        <v/>
      </c>
      <c r="X73" s="143" t="str">
        <f t="shared" ref="X73:AF73" ca="1" si="109">IF(INDIRECT("'"&amp;X$5&amp;"'!$G$3")=0,"",INDIRECT("'"&amp;X$5&amp;"'!$G$732"))</f>
        <v/>
      </c>
      <c r="Y73" s="143" t="str">
        <f t="shared" ca="1" si="109"/>
        <v/>
      </c>
      <c r="Z73" s="143" t="str">
        <f t="shared" ca="1" si="109"/>
        <v/>
      </c>
      <c r="AA73" s="143" t="str">
        <f t="shared" ca="1" si="109"/>
        <v/>
      </c>
      <c r="AB73" s="143" t="str">
        <f t="shared" ca="1" si="109"/>
        <v/>
      </c>
      <c r="AC73" s="143" t="str">
        <f t="shared" ca="1" si="109"/>
        <v/>
      </c>
      <c r="AD73" s="143" t="str">
        <f t="shared" ca="1" si="109"/>
        <v/>
      </c>
      <c r="AE73" s="143" t="str">
        <f t="shared" ca="1" si="109"/>
        <v/>
      </c>
      <c r="AF73" s="143" t="str">
        <f t="shared" ca="1" si="109"/>
        <v/>
      </c>
    </row>
    <row r="74" spans="1:32" ht="16" x14ac:dyDescent="0.2">
      <c r="A74" s="502"/>
      <c r="B74" s="124" t="s">
        <v>623</v>
      </c>
      <c r="C74" s="143" t="str">
        <f ca="1">INDIRECT("'"&amp;C$6&amp;"'!$G$747")</f>
        <v>No</v>
      </c>
      <c r="D74" s="143" t="str">
        <f t="shared" ref="D74:V74" ca="1" si="110">INDIRECT("'"&amp;D$6&amp;"'!$G$747")</f>
        <v>No</v>
      </c>
      <c r="E74" s="143" t="str">
        <f t="shared" ca="1" si="110"/>
        <v>No</v>
      </c>
      <c r="F74" s="143" t="str">
        <f t="shared" ca="1" si="110"/>
        <v>No</v>
      </c>
      <c r="G74" s="143" t="str">
        <f t="shared" ca="1" si="110"/>
        <v>No</v>
      </c>
      <c r="H74" s="143" t="str">
        <f t="shared" ca="1" si="110"/>
        <v>No</v>
      </c>
      <c r="I74" s="143" t="str">
        <f t="shared" ca="1" si="110"/>
        <v>No</v>
      </c>
      <c r="J74" s="143" t="str">
        <f t="shared" ca="1" si="110"/>
        <v>No</v>
      </c>
      <c r="K74" s="143" t="str">
        <f t="shared" ca="1" si="110"/>
        <v>No</v>
      </c>
      <c r="L74" s="143" t="str">
        <f t="shared" ca="1" si="110"/>
        <v>No</v>
      </c>
      <c r="M74" s="143" t="str">
        <f t="shared" ca="1" si="110"/>
        <v>No</v>
      </c>
      <c r="N74" s="143" t="str">
        <f t="shared" ca="1" si="110"/>
        <v>No</v>
      </c>
      <c r="O74" s="143" t="str">
        <f t="shared" ca="1" si="110"/>
        <v>No</v>
      </c>
      <c r="P74" s="143" t="str">
        <f t="shared" ca="1" si="110"/>
        <v>No</v>
      </c>
      <c r="Q74" s="143" t="str">
        <f t="shared" ca="1" si="110"/>
        <v>No</v>
      </c>
      <c r="R74" s="143" t="str">
        <f t="shared" ca="1" si="110"/>
        <v>No</v>
      </c>
      <c r="S74" s="143" t="str">
        <f t="shared" ca="1" si="110"/>
        <v>No</v>
      </c>
      <c r="T74" s="143" t="str">
        <f t="shared" ca="1" si="110"/>
        <v>No</v>
      </c>
      <c r="U74" s="143" t="str">
        <f ca="1">INDIRECT("'"&amp;U$6&amp;"'!$G$747")</f>
        <v>No</v>
      </c>
      <c r="V74" s="143" t="str">
        <f t="shared" ca="1" si="110"/>
        <v>No</v>
      </c>
      <c r="W74" s="143" t="str">
        <f ca="1">IF(INDIRECT("'"&amp;W$5&amp;"'!$G$3")=0,"",INDIRECT("'"&amp;W$5&amp;"'!$G$747"))</f>
        <v/>
      </c>
      <c r="X74" s="143" t="str">
        <f t="shared" ref="X74:AF74" ca="1" si="111">IF(INDIRECT("'"&amp;X$5&amp;"'!$G$3")=0,"",INDIRECT("'"&amp;X$5&amp;"'!$G$747"))</f>
        <v/>
      </c>
      <c r="Y74" s="143" t="str">
        <f t="shared" ca="1" si="111"/>
        <v/>
      </c>
      <c r="Z74" s="143" t="str">
        <f t="shared" ca="1" si="111"/>
        <v/>
      </c>
      <c r="AA74" s="143" t="str">
        <f t="shared" ca="1" si="111"/>
        <v/>
      </c>
      <c r="AB74" s="143" t="str">
        <f t="shared" ca="1" si="111"/>
        <v/>
      </c>
      <c r="AC74" s="143" t="str">
        <f t="shared" ca="1" si="111"/>
        <v/>
      </c>
      <c r="AD74" s="143" t="str">
        <f t="shared" ca="1" si="111"/>
        <v/>
      </c>
      <c r="AE74" s="143" t="str">
        <f t="shared" ca="1" si="111"/>
        <v/>
      </c>
      <c r="AF74" s="143" t="str">
        <f t="shared" ca="1" si="111"/>
        <v/>
      </c>
    </row>
    <row r="75" spans="1:32" ht="16" x14ac:dyDescent="0.2">
      <c r="A75" s="497"/>
      <c r="B75" s="125" t="s">
        <v>624</v>
      </c>
      <c r="C75" s="143" t="str">
        <f ca="1">INDIRECT("'"&amp;C$6&amp;"'!$G$762")</f>
        <v>Yes</v>
      </c>
      <c r="D75" s="143" t="str">
        <f t="shared" ref="D75:V75" ca="1" si="112">INDIRECT("'"&amp;D$6&amp;"'!$G$762")</f>
        <v>Yes</v>
      </c>
      <c r="E75" s="143" t="str">
        <f t="shared" ca="1" si="112"/>
        <v>Yes</v>
      </c>
      <c r="F75" s="143" t="str">
        <f t="shared" ca="1" si="112"/>
        <v>Yes</v>
      </c>
      <c r="G75" s="143" t="str">
        <f t="shared" ca="1" si="112"/>
        <v>Yes</v>
      </c>
      <c r="H75" s="143" t="str">
        <f t="shared" ca="1" si="112"/>
        <v>Yes</v>
      </c>
      <c r="I75" s="143" t="str">
        <f t="shared" ca="1" si="112"/>
        <v>No</v>
      </c>
      <c r="J75" s="143" t="str">
        <f t="shared" ca="1" si="112"/>
        <v>Yes</v>
      </c>
      <c r="K75" s="143" t="str">
        <f t="shared" ca="1" si="112"/>
        <v>No</v>
      </c>
      <c r="L75" s="143" t="str">
        <f t="shared" ca="1" si="112"/>
        <v>Yes</v>
      </c>
      <c r="M75" s="143" t="str">
        <f t="shared" ca="1" si="112"/>
        <v>Yes</v>
      </c>
      <c r="N75" s="143" t="str">
        <f t="shared" ca="1" si="112"/>
        <v>Yes</v>
      </c>
      <c r="O75" s="143" t="str">
        <f t="shared" ca="1" si="112"/>
        <v>Yes</v>
      </c>
      <c r="P75" s="143" t="str">
        <f t="shared" ca="1" si="112"/>
        <v>Yes</v>
      </c>
      <c r="Q75" s="143" t="str">
        <f t="shared" ca="1" si="112"/>
        <v>Yes</v>
      </c>
      <c r="R75" s="143" t="str">
        <f t="shared" ca="1" si="112"/>
        <v>Yes</v>
      </c>
      <c r="S75" s="143" t="str">
        <f t="shared" ca="1" si="112"/>
        <v>Yes</v>
      </c>
      <c r="T75" s="143" t="str">
        <f t="shared" ca="1" si="112"/>
        <v>Yes</v>
      </c>
      <c r="U75" s="143" t="str">
        <f ca="1">INDIRECT("'"&amp;U$6&amp;"'!$G$762")</f>
        <v>Yes</v>
      </c>
      <c r="V75" s="143" t="str">
        <f t="shared" ca="1" si="112"/>
        <v>Yes</v>
      </c>
      <c r="W75" s="143" t="str">
        <f ca="1">IF(INDIRECT("'"&amp;W$5&amp;"'!$G$3")=0,"",INDIRECT("'"&amp;W$5&amp;"'!$G$762"))</f>
        <v/>
      </c>
      <c r="X75" s="143" t="str">
        <f t="shared" ref="X75:AF75" ca="1" si="113">IF(INDIRECT("'"&amp;X$5&amp;"'!$G$3")=0,"",INDIRECT("'"&amp;X$5&amp;"'!$G$762"))</f>
        <v/>
      </c>
      <c r="Y75" s="143" t="str">
        <f t="shared" ca="1" si="113"/>
        <v/>
      </c>
      <c r="Z75" s="143" t="str">
        <f t="shared" ca="1" si="113"/>
        <v/>
      </c>
      <c r="AA75" s="143" t="str">
        <f t="shared" ca="1" si="113"/>
        <v/>
      </c>
      <c r="AB75" s="143" t="str">
        <f t="shared" ca="1" si="113"/>
        <v/>
      </c>
      <c r="AC75" s="143" t="str">
        <f t="shared" ca="1" si="113"/>
        <v/>
      </c>
      <c r="AD75" s="143" t="str">
        <f t="shared" ca="1" si="113"/>
        <v/>
      </c>
      <c r="AE75" s="143" t="str">
        <f t="shared" ca="1" si="113"/>
        <v/>
      </c>
      <c r="AF75" s="143" t="str">
        <f t="shared" ca="1" si="113"/>
        <v/>
      </c>
    </row>
    <row r="76" spans="1:32" ht="15" customHeight="1" x14ac:dyDescent="0.2">
      <c r="A76" s="496" t="s">
        <v>32</v>
      </c>
      <c r="B76" s="124" t="s">
        <v>621</v>
      </c>
      <c r="C76" s="142" t="str">
        <f ca="1">INDIRECT("'"&amp;C$6&amp;"'!$G$718")</f>
        <v>Yes</v>
      </c>
      <c r="D76" s="142" t="str">
        <f t="shared" ref="D76:V76" ca="1" si="114">INDIRECT("'"&amp;D$6&amp;"'!$G$718")</f>
        <v>Yes</v>
      </c>
      <c r="E76" s="142" t="str">
        <f t="shared" ca="1" si="114"/>
        <v>Yes</v>
      </c>
      <c r="F76" s="142" t="str">
        <f t="shared" ca="1" si="114"/>
        <v>Yes</v>
      </c>
      <c r="G76" s="142" t="str">
        <f t="shared" ca="1" si="114"/>
        <v>Yes</v>
      </c>
      <c r="H76" s="142" t="str">
        <f t="shared" ca="1" si="114"/>
        <v>Yes</v>
      </c>
      <c r="I76" s="142" t="str">
        <f t="shared" ca="1" si="114"/>
        <v>Yes</v>
      </c>
      <c r="J76" s="142" t="str">
        <f t="shared" ca="1" si="114"/>
        <v>Yes</v>
      </c>
      <c r="K76" s="142" t="str">
        <f t="shared" ca="1" si="114"/>
        <v>Yes</v>
      </c>
      <c r="L76" s="142" t="str">
        <f t="shared" ca="1" si="114"/>
        <v>Yes</v>
      </c>
      <c r="M76" s="142" t="str">
        <f t="shared" ca="1" si="114"/>
        <v>Yes</v>
      </c>
      <c r="N76" s="142" t="str">
        <f t="shared" ca="1" si="114"/>
        <v>Yes</v>
      </c>
      <c r="O76" s="142" t="str">
        <f t="shared" ca="1" si="114"/>
        <v>Yes</v>
      </c>
      <c r="P76" s="142" t="str">
        <f t="shared" ca="1" si="114"/>
        <v>Yes</v>
      </c>
      <c r="Q76" s="142" t="str">
        <f t="shared" ca="1" si="114"/>
        <v>Yes</v>
      </c>
      <c r="R76" s="142" t="str">
        <f t="shared" ca="1" si="114"/>
        <v>Yes</v>
      </c>
      <c r="S76" s="142" t="str">
        <f t="shared" ca="1" si="114"/>
        <v>Yes</v>
      </c>
      <c r="T76" s="142" t="str">
        <f t="shared" ca="1" si="114"/>
        <v>Yes</v>
      </c>
      <c r="U76" s="142" t="str">
        <f ca="1">INDIRECT("'"&amp;U$6&amp;"'!$G$718")</f>
        <v>Yes</v>
      </c>
      <c r="V76" s="142" t="str">
        <f t="shared" ca="1" si="114"/>
        <v>Yes</v>
      </c>
      <c r="W76" s="142" t="str">
        <f ca="1">IF(INDIRECT("'"&amp;W$5&amp;"'!$G$3")=0,"",INDIRECT("'"&amp;W$5&amp;"'!$G$718"))</f>
        <v/>
      </c>
      <c r="X76" s="142" t="str">
        <f t="shared" ref="X76:AF76" ca="1" si="115">IF(INDIRECT("'"&amp;X$5&amp;"'!$G$3")=0,"",INDIRECT("'"&amp;X$5&amp;"'!$G$718"))</f>
        <v/>
      </c>
      <c r="Y76" s="142" t="str">
        <f t="shared" ca="1" si="115"/>
        <v/>
      </c>
      <c r="Z76" s="142" t="str">
        <f t="shared" ca="1" si="115"/>
        <v/>
      </c>
      <c r="AA76" s="142" t="str">
        <f t="shared" ca="1" si="115"/>
        <v/>
      </c>
      <c r="AB76" s="142" t="str">
        <f t="shared" ca="1" si="115"/>
        <v/>
      </c>
      <c r="AC76" s="142" t="str">
        <f t="shared" ca="1" si="115"/>
        <v/>
      </c>
      <c r="AD76" s="142" t="str">
        <f t="shared" ca="1" si="115"/>
        <v/>
      </c>
      <c r="AE76" s="142" t="str">
        <f t="shared" ca="1" si="115"/>
        <v/>
      </c>
      <c r="AF76" s="142" t="str">
        <f t="shared" ca="1" si="115"/>
        <v/>
      </c>
    </row>
    <row r="77" spans="1:32" ht="16" x14ac:dyDescent="0.2">
      <c r="A77" s="502"/>
      <c r="B77" s="124" t="s">
        <v>622</v>
      </c>
      <c r="C77" s="143" t="str">
        <f ca="1">INDIRECT("'"&amp;C$6&amp;"'!$G$733")</f>
        <v>No</v>
      </c>
      <c r="D77" s="143" t="str">
        <f t="shared" ref="D77:V77" ca="1" si="116">INDIRECT("'"&amp;D$6&amp;"'!$G$733")</f>
        <v>No</v>
      </c>
      <c r="E77" s="143" t="str">
        <f t="shared" ca="1" si="116"/>
        <v>Yes</v>
      </c>
      <c r="F77" s="143" t="str">
        <f t="shared" ca="1" si="116"/>
        <v>No</v>
      </c>
      <c r="G77" s="143" t="str">
        <f t="shared" ca="1" si="116"/>
        <v>Yes</v>
      </c>
      <c r="H77" s="143" t="str">
        <f t="shared" ca="1" si="116"/>
        <v>Yes</v>
      </c>
      <c r="I77" s="143" t="str">
        <f t="shared" ca="1" si="116"/>
        <v>No</v>
      </c>
      <c r="J77" s="143" t="str">
        <f t="shared" ca="1" si="116"/>
        <v>No</v>
      </c>
      <c r="K77" s="143" t="str">
        <f t="shared" ca="1" si="116"/>
        <v>No</v>
      </c>
      <c r="L77" s="143" t="str">
        <f t="shared" ca="1" si="116"/>
        <v>Yes</v>
      </c>
      <c r="M77" s="143" t="str">
        <f t="shared" ca="1" si="116"/>
        <v>Yes</v>
      </c>
      <c r="N77" s="143" t="str">
        <f t="shared" ca="1" si="116"/>
        <v>No</v>
      </c>
      <c r="O77" s="143" t="str">
        <f t="shared" ca="1" si="116"/>
        <v>Yes</v>
      </c>
      <c r="P77" s="143" t="str">
        <f t="shared" ca="1" si="116"/>
        <v>No</v>
      </c>
      <c r="Q77" s="143" t="str">
        <f t="shared" ca="1" si="116"/>
        <v>Yes</v>
      </c>
      <c r="R77" s="143" t="str">
        <f t="shared" ca="1" si="116"/>
        <v>Yes</v>
      </c>
      <c r="S77" s="143" t="str">
        <f t="shared" ca="1" si="116"/>
        <v>Yes</v>
      </c>
      <c r="T77" s="143" t="str">
        <f t="shared" ca="1" si="116"/>
        <v>No</v>
      </c>
      <c r="U77" s="143" t="str">
        <f ca="1">INDIRECT("'"&amp;U$6&amp;"'!$G$733")</f>
        <v>Yes</v>
      </c>
      <c r="V77" s="143" t="str">
        <f t="shared" ca="1" si="116"/>
        <v>No</v>
      </c>
      <c r="W77" s="143" t="str">
        <f ca="1">IF(INDIRECT("'"&amp;W$5&amp;"'!$G$3")=0,"",INDIRECT("'"&amp;W$5&amp;"'!$G$733"))</f>
        <v/>
      </c>
      <c r="X77" s="143" t="str">
        <f t="shared" ref="X77:AF77" ca="1" si="117">IF(INDIRECT("'"&amp;X$5&amp;"'!$G$3")=0,"",INDIRECT("'"&amp;X$5&amp;"'!$G$733"))</f>
        <v/>
      </c>
      <c r="Y77" s="143" t="str">
        <f t="shared" ca="1" si="117"/>
        <v/>
      </c>
      <c r="Z77" s="143" t="str">
        <f t="shared" ca="1" si="117"/>
        <v/>
      </c>
      <c r="AA77" s="143" t="str">
        <f t="shared" ca="1" si="117"/>
        <v/>
      </c>
      <c r="AB77" s="143" t="str">
        <f t="shared" ca="1" si="117"/>
        <v/>
      </c>
      <c r="AC77" s="143" t="str">
        <f t="shared" ca="1" si="117"/>
        <v/>
      </c>
      <c r="AD77" s="143" t="str">
        <f t="shared" ca="1" si="117"/>
        <v/>
      </c>
      <c r="AE77" s="143" t="str">
        <f t="shared" ca="1" si="117"/>
        <v/>
      </c>
      <c r="AF77" s="143" t="str">
        <f t="shared" ca="1" si="117"/>
        <v/>
      </c>
    </row>
    <row r="78" spans="1:32" ht="16" x14ac:dyDescent="0.2">
      <c r="A78" s="502"/>
      <c r="B78" s="124" t="s">
        <v>623</v>
      </c>
      <c r="C78" s="143" t="str">
        <f ca="1">INDIRECT("'"&amp;C$6&amp;"'!$G$748")</f>
        <v>No</v>
      </c>
      <c r="D78" s="143" t="str">
        <f t="shared" ref="D78:V78" ca="1" si="118">INDIRECT("'"&amp;D$6&amp;"'!$G$748")</f>
        <v>Yes</v>
      </c>
      <c r="E78" s="143" t="str">
        <f t="shared" ca="1" si="118"/>
        <v>Yes</v>
      </c>
      <c r="F78" s="143" t="str">
        <f t="shared" ca="1" si="118"/>
        <v>No</v>
      </c>
      <c r="G78" s="143" t="str">
        <f t="shared" ca="1" si="118"/>
        <v>Yes</v>
      </c>
      <c r="H78" s="143" t="str">
        <f t="shared" ca="1" si="118"/>
        <v>Yes</v>
      </c>
      <c r="I78" s="143" t="str">
        <f t="shared" ca="1" si="118"/>
        <v>No</v>
      </c>
      <c r="J78" s="143" t="str">
        <f t="shared" ca="1" si="118"/>
        <v>No</v>
      </c>
      <c r="K78" s="143" t="str">
        <f t="shared" ca="1" si="118"/>
        <v>No</v>
      </c>
      <c r="L78" s="143" t="str">
        <f t="shared" ca="1" si="118"/>
        <v>Yes</v>
      </c>
      <c r="M78" s="143" t="str">
        <f t="shared" ca="1" si="118"/>
        <v>Yes</v>
      </c>
      <c r="N78" s="143" t="str">
        <f t="shared" ca="1" si="118"/>
        <v>No</v>
      </c>
      <c r="O78" s="143" t="str">
        <f t="shared" ca="1" si="118"/>
        <v>Yes</v>
      </c>
      <c r="P78" s="143" t="str">
        <f t="shared" ca="1" si="118"/>
        <v>No</v>
      </c>
      <c r="Q78" s="143" t="str">
        <f t="shared" ca="1" si="118"/>
        <v>Yes</v>
      </c>
      <c r="R78" s="143" t="str">
        <f t="shared" ca="1" si="118"/>
        <v>No</v>
      </c>
      <c r="S78" s="143" t="str">
        <f t="shared" ca="1" si="118"/>
        <v>No</v>
      </c>
      <c r="T78" s="143" t="str">
        <f t="shared" ca="1" si="118"/>
        <v>No</v>
      </c>
      <c r="U78" s="143" t="str">
        <f ca="1">INDIRECT("'"&amp;U$6&amp;"'!$G$748")</f>
        <v>Yes</v>
      </c>
      <c r="V78" s="143" t="str">
        <f t="shared" ca="1" si="118"/>
        <v>No</v>
      </c>
      <c r="W78" s="143" t="str">
        <f ca="1">IF(INDIRECT("'"&amp;W$5&amp;"'!$G$3")=0,"",INDIRECT("'"&amp;W$5&amp;"'!$G$748"))</f>
        <v/>
      </c>
      <c r="X78" s="143" t="str">
        <f t="shared" ref="X78:AF78" ca="1" si="119">IF(INDIRECT("'"&amp;X$5&amp;"'!$G$3")=0,"",INDIRECT("'"&amp;X$5&amp;"'!$G$748"))</f>
        <v/>
      </c>
      <c r="Y78" s="143" t="str">
        <f t="shared" ca="1" si="119"/>
        <v/>
      </c>
      <c r="Z78" s="143" t="str">
        <f t="shared" ca="1" si="119"/>
        <v/>
      </c>
      <c r="AA78" s="143" t="str">
        <f t="shared" ca="1" si="119"/>
        <v/>
      </c>
      <c r="AB78" s="143" t="str">
        <f t="shared" ca="1" si="119"/>
        <v/>
      </c>
      <c r="AC78" s="143" t="str">
        <f t="shared" ca="1" si="119"/>
        <v/>
      </c>
      <c r="AD78" s="143" t="str">
        <f t="shared" ca="1" si="119"/>
        <v/>
      </c>
      <c r="AE78" s="143" t="str">
        <f t="shared" ca="1" si="119"/>
        <v/>
      </c>
      <c r="AF78" s="143" t="str">
        <f t="shared" ca="1" si="119"/>
        <v/>
      </c>
    </row>
    <row r="79" spans="1:32" ht="16" x14ac:dyDescent="0.2">
      <c r="A79" s="497"/>
      <c r="B79" s="125" t="s">
        <v>624</v>
      </c>
      <c r="C79" s="143" t="str">
        <f ca="1">INDIRECT("'"&amp;C$6&amp;"'!$G$763")</f>
        <v>Yes</v>
      </c>
      <c r="D79" s="143" t="str">
        <f t="shared" ref="D79:V79" ca="1" si="120">INDIRECT("'"&amp;D$6&amp;"'!$G$763")</f>
        <v>Yes</v>
      </c>
      <c r="E79" s="143" t="str">
        <f t="shared" ca="1" si="120"/>
        <v>Yes</v>
      </c>
      <c r="F79" s="143" t="str">
        <f t="shared" ca="1" si="120"/>
        <v>Yes</v>
      </c>
      <c r="G79" s="143" t="str">
        <f t="shared" ca="1" si="120"/>
        <v>Yes</v>
      </c>
      <c r="H79" s="143" t="str">
        <f t="shared" ca="1" si="120"/>
        <v>Yes</v>
      </c>
      <c r="I79" s="143" t="str">
        <f t="shared" ca="1" si="120"/>
        <v>No</v>
      </c>
      <c r="J79" s="143" t="str">
        <f t="shared" ca="1" si="120"/>
        <v>Yes</v>
      </c>
      <c r="K79" s="143" t="str">
        <f t="shared" ca="1" si="120"/>
        <v>No</v>
      </c>
      <c r="L79" s="143" t="str">
        <f t="shared" ca="1" si="120"/>
        <v>Yes</v>
      </c>
      <c r="M79" s="143" t="str">
        <f t="shared" ca="1" si="120"/>
        <v>Yes</v>
      </c>
      <c r="N79" s="143" t="str">
        <f t="shared" ca="1" si="120"/>
        <v>Yes</v>
      </c>
      <c r="O79" s="143" t="str">
        <f t="shared" ca="1" si="120"/>
        <v>Yes</v>
      </c>
      <c r="P79" s="143" t="str">
        <f t="shared" ca="1" si="120"/>
        <v>Yes</v>
      </c>
      <c r="Q79" s="143" t="str">
        <f t="shared" ca="1" si="120"/>
        <v>Yes</v>
      </c>
      <c r="R79" s="143" t="str">
        <f t="shared" ca="1" si="120"/>
        <v>Yes</v>
      </c>
      <c r="S79" s="143" t="str">
        <f t="shared" ca="1" si="120"/>
        <v>Yes</v>
      </c>
      <c r="T79" s="143" t="str">
        <f t="shared" ca="1" si="120"/>
        <v>Yes</v>
      </c>
      <c r="U79" s="143" t="str">
        <f ca="1">INDIRECT("'"&amp;U$6&amp;"'!$G$763")</f>
        <v>Yes</v>
      </c>
      <c r="V79" s="143" t="str">
        <f t="shared" ca="1" si="120"/>
        <v>Yes</v>
      </c>
      <c r="W79" s="143" t="str">
        <f ca="1">IF(INDIRECT("'"&amp;W$5&amp;"'!$G$3")=0,"",INDIRECT("'"&amp;W$5&amp;"'!$G$763"))</f>
        <v/>
      </c>
      <c r="X79" s="143" t="str">
        <f t="shared" ref="X79:AF79" ca="1" si="121">IF(INDIRECT("'"&amp;X$5&amp;"'!$G$3")=0,"",INDIRECT("'"&amp;X$5&amp;"'!$G$763"))</f>
        <v/>
      </c>
      <c r="Y79" s="143" t="str">
        <f t="shared" ca="1" si="121"/>
        <v/>
      </c>
      <c r="Z79" s="143" t="str">
        <f t="shared" ca="1" si="121"/>
        <v/>
      </c>
      <c r="AA79" s="143" t="str">
        <f t="shared" ca="1" si="121"/>
        <v/>
      </c>
      <c r="AB79" s="143" t="str">
        <f t="shared" ca="1" si="121"/>
        <v/>
      </c>
      <c r="AC79" s="143" t="str">
        <f t="shared" ca="1" si="121"/>
        <v/>
      </c>
      <c r="AD79" s="143" t="str">
        <f t="shared" ca="1" si="121"/>
        <v/>
      </c>
      <c r="AE79" s="143" t="str">
        <f t="shared" ca="1" si="121"/>
        <v/>
      </c>
      <c r="AF79" s="143" t="str">
        <f t="shared" ca="1" si="121"/>
        <v/>
      </c>
    </row>
    <row r="80" spans="1:32" ht="15" customHeight="1" x14ac:dyDescent="0.2">
      <c r="A80" s="496" t="s">
        <v>34</v>
      </c>
      <c r="B80" s="124" t="s">
        <v>621</v>
      </c>
      <c r="C80" s="142" t="str">
        <f ca="1">INDIRECT("'"&amp;C$6&amp;"'!$G$719")</f>
        <v>No</v>
      </c>
      <c r="D80" s="142" t="str">
        <f t="shared" ref="D80:V80" ca="1" si="122">INDIRECT("'"&amp;D$6&amp;"'!$G$719")</f>
        <v>No</v>
      </c>
      <c r="E80" s="142" t="str">
        <f t="shared" ca="1" si="122"/>
        <v>No</v>
      </c>
      <c r="F80" s="142" t="str">
        <f t="shared" ca="1" si="122"/>
        <v>No</v>
      </c>
      <c r="G80" s="142" t="str">
        <f t="shared" ca="1" si="122"/>
        <v>No</v>
      </c>
      <c r="H80" s="142" t="str">
        <f t="shared" ca="1" si="122"/>
        <v>Yes</v>
      </c>
      <c r="I80" s="142" t="str">
        <f t="shared" ca="1" si="122"/>
        <v>No</v>
      </c>
      <c r="J80" s="142" t="str">
        <f t="shared" ca="1" si="122"/>
        <v>No</v>
      </c>
      <c r="K80" s="142" t="str">
        <f t="shared" ca="1" si="122"/>
        <v>No</v>
      </c>
      <c r="L80" s="142" t="str">
        <f t="shared" ca="1" si="122"/>
        <v>No</v>
      </c>
      <c r="M80" s="142" t="str">
        <f t="shared" ca="1" si="122"/>
        <v>No</v>
      </c>
      <c r="N80" s="142" t="str">
        <f t="shared" ca="1" si="122"/>
        <v>No</v>
      </c>
      <c r="O80" s="142" t="str">
        <f t="shared" ca="1" si="122"/>
        <v>No</v>
      </c>
      <c r="P80" s="142" t="str">
        <f t="shared" ca="1" si="122"/>
        <v>No</v>
      </c>
      <c r="Q80" s="142" t="str">
        <f t="shared" ca="1" si="122"/>
        <v>Yes</v>
      </c>
      <c r="R80" s="142" t="str">
        <f t="shared" ca="1" si="122"/>
        <v>No</v>
      </c>
      <c r="S80" s="142" t="str">
        <f t="shared" ca="1" si="122"/>
        <v>Yes</v>
      </c>
      <c r="T80" s="142" t="str">
        <f t="shared" ca="1" si="122"/>
        <v>Yes</v>
      </c>
      <c r="U80" s="142" t="str">
        <f ca="1">INDIRECT("'"&amp;U$6&amp;"'!$G$719")</f>
        <v>No</v>
      </c>
      <c r="V80" s="142" t="str">
        <f t="shared" ca="1" si="122"/>
        <v>No</v>
      </c>
      <c r="W80" s="142" t="str">
        <f ca="1">IF(INDIRECT("'"&amp;W$5&amp;"'!$G$3")=0,"",INDIRECT("'"&amp;W$5&amp;"'!$G$719"))</f>
        <v/>
      </c>
      <c r="X80" s="142" t="str">
        <f t="shared" ref="X80:AF80" ca="1" si="123">IF(INDIRECT("'"&amp;X$5&amp;"'!$G$3")=0,"",INDIRECT("'"&amp;X$5&amp;"'!$G$719"))</f>
        <v/>
      </c>
      <c r="Y80" s="142" t="str">
        <f t="shared" ca="1" si="123"/>
        <v/>
      </c>
      <c r="Z80" s="142" t="str">
        <f t="shared" ca="1" si="123"/>
        <v/>
      </c>
      <c r="AA80" s="142" t="str">
        <f t="shared" ca="1" si="123"/>
        <v/>
      </c>
      <c r="AB80" s="142" t="str">
        <f t="shared" ca="1" si="123"/>
        <v/>
      </c>
      <c r="AC80" s="142" t="str">
        <f t="shared" ca="1" si="123"/>
        <v/>
      </c>
      <c r="AD80" s="142" t="str">
        <f t="shared" ca="1" si="123"/>
        <v/>
      </c>
      <c r="AE80" s="142" t="str">
        <f t="shared" ca="1" si="123"/>
        <v/>
      </c>
      <c r="AF80" s="142" t="str">
        <f t="shared" ca="1" si="123"/>
        <v/>
      </c>
    </row>
    <row r="81" spans="1:32" ht="16" x14ac:dyDescent="0.2">
      <c r="A81" s="502"/>
      <c r="B81" s="124" t="s">
        <v>622</v>
      </c>
      <c r="C81" s="143" t="str">
        <f ca="1">INDIRECT("'"&amp;C$6&amp;"'!$G$734")</f>
        <v>No</v>
      </c>
      <c r="D81" s="143" t="str">
        <f t="shared" ref="D81:V81" ca="1" si="124">INDIRECT("'"&amp;D$6&amp;"'!$G$734")</f>
        <v>No</v>
      </c>
      <c r="E81" s="143" t="str">
        <f t="shared" ca="1" si="124"/>
        <v>Yes</v>
      </c>
      <c r="F81" s="143" t="str">
        <f t="shared" ca="1" si="124"/>
        <v>No</v>
      </c>
      <c r="G81" s="143" t="str">
        <f t="shared" ca="1" si="124"/>
        <v>Yes</v>
      </c>
      <c r="H81" s="143" t="str">
        <f t="shared" ca="1" si="124"/>
        <v>Yes</v>
      </c>
      <c r="I81" s="143" t="str">
        <f t="shared" ca="1" si="124"/>
        <v>No</v>
      </c>
      <c r="J81" s="143" t="str">
        <f t="shared" ca="1" si="124"/>
        <v>No</v>
      </c>
      <c r="K81" s="143" t="str">
        <f t="shared" ca="1" si="124"/>
        <v>No</v>
      </c>
      <c r="L81" s="143" t="str">
        <f t="shared" ca="1" si="124"/>
        <v>Yes</v>
      </c>
      <c r="M81" s="143" t="str">
        <f t="shared" ca="1" si="124"/>
        <v>Yes</v>
      </c>
      <c r="N81" s="143" t="str">
        <f t="shared" ca="1" si="124"/>
        <v>No</v>
      </c>
      <c r="O81" s="143" t="str">
        <f t="shared" ca="1" si="124"/>
        <v>Yes</v>
      </c>
      <c r="P81" s="143" t="str">
        <f t="shared" ca="1" si="124"/>
        <v>No</v>
      </c>
      <c r="Q81" s="143" t="str">
        <f t="shared" ca="1" si="124"/>
        <v>Yes</v>
      </c>
      <c r="R81" s="143" t="str">
        <f t="shared" ca="1" si="124"/>
        <v>Yes</v>
      </c>
      <c r="S81" s="143" t="str">
        <f t="shared" ca="1" si="124"/>
        <v>Yes</v>
      </c>
      <c r="T81" s="143" t="str">
        <f t="shared" ca="1" si="124"/>
        <v>Yes</v>
      </c>
      <c r="U81" s="143" t="str">
        <f ca="1">INDIRECT("'"&amp;U$6&amp;"'!$G$734")</f>
        <v>Yes</v>
      </c>
      <c r="V81" s="143" t="str">
        <f t="shared" ca="1" si="124"/>
        <v>No</v>
      </c>
      <c r="W81" s="143" t="str">
        <f ca="1">IF(INDIRECT("'"&amp;W$5&amp;"'!$G$3")=0,"",INDIRECT("'"&amp;W$5&amp;"'!$G$734"))</f>
        <v/>
      </c>
      <c r="X81" s="143" t="str">
        <f t="shared" ref="X81:AF81" ca="1" si="125">IF(INDIRECT("'"&amp;X$5&amp;"'!$G$3")=0,"",INDIRECT("'"&amp;X$5&amp;"'!$G$734"))</f>
        <v/>
      </c>
      <c r="Y81" s="143" t="str">
        <f t="shared" ca="1" si="125"/>
        <v/>
      </c>
      <c r="Z81" s="143" t="str">
        <f t="shared" ca="1" si="125"/>
        <v/>
      </c>
      <c r="AA81" s="143" t="str">
        <f t="shared" ca="1" si="125"/>
        <v/>
      </c>
      <c r="AB81" s="143" t="str">
        <f t="shared" ca="1" si="125"/>
        <v/>
      </c>
      <c r="AC81" s="143" t="str">
        <f t="shared" ca="1" si="125"/>
        <v/>
      </c>
      <c r="AD81" s="143" t="str">
        <f t="shared" ca="1" si="125"/>
        <v/>
      </c>
      <c r="AE81" s="143" t="str">
        <f t="shared" ca="1" si="125"/>
        <v/>
      </c>
      <c r="AF81" s="143" t="str">
        <f t="shared" ca="1" si="125"/>
        <v/>
      </c>
    </row>
    <row r="82" spans="1:32" ht="16" x14ac:dyDescent="0.2">
      <c r="A82" s="502"/>
      <c r="B82" s="124" t="s">
        <v>623</v>
      </c>
      <c r="C82" s="143" t="str">
        <f ca="1">INDIRECT("'"&amp;C$6&amp;"'!$G$749")</f>
        <v>No</v>
      </c>
      <c r="D82" s="143" t="str">
        <f t="shared" ref="D82:V82" ca="1" si="126">INDIRECT("'"&amp;D$6&amp;"'!$G$749")</f>
        <v>Yes</v>
      </c>
      <c r="E82" s="143" t="str">
        <f t="shared" ca="1" si="126"/>
        <v>Yes</v>
      </c>
      <c r="F82" s="143" t="str">
        <f t="shared" ca="1" si="126"/>
        <v>No</v>
      </c>
      <c r="G82" s="143" t="str">
        <f t="shared" ca="1" si="126"/>
        <v>Yes</v>
      </c>
      <c r="H82" s="143" t="str">
        <f t="shared" ca="1" si="126"/>
        <v>Yes</v>
      </c>
      <c r="I82" s="143" t="str">
        <f t="shared" ca="1" si="126"/>
        <v>No</v>
      </c>
      <c r="J82" s="143" t="str">
        <f t="shared" ca="1" si="126"/>
        <v>No</v>
      </c>
      <c r="K82" s="143" t="str">
        <f t="shared" ca="1" si="126"/>
        <v>No</v>
      </c>
      <c r="L82" s="143" t="str">
        <f t="shared" ca="1" si="126"/>
        <v>Yes</v>
      </c>
      <c r="M82" s="143" t="str">
        <f t="shared" ca="1" si="126"/>
        <v>Yes</v>
      </c>
      <c r="N82" s="143" t="str">
        <f t="shared" ca="1" si="126"/>
        <v>No</v>
      </c>
      <c r="O82" s="143" t="str">
        <f t="shared" ca="1" si="126"/>
        <v>Yes</v>
      </c>
      <c r="P82" s="143" t="str">
        <f t="shared" ca="1" si="126"/>
        <v>No</v>
      </c>
      <c r="Q82" s="143" t="str">
        <f t="shared" ca="1" si="126"/>
        <v>Yes</v>
      </c>
      <c r="R82" s="143" t="str">
        <f t="shared" ca="1" si="126"/>
        <v>No</v>
      </c>
      <c r="S82" s="143" t="str">
        <f t="shared" ca="1" si="126"/>
        <v>No</v>
      </c>
      <c r="T82" s="143" t="str">
        <f t="shared" ca="1" si="126"/>
        <v>No</v>
      </c>
      <c r="U82" s="143" t="str">
        <f ca="1">INDIRECT("'"&amp;U$6&amp;"'!$G$749")</f>
        <v>Yes</v>
      </c>
      <c r="V82" s="143" t="str">
        <f t="shared" ca="1" si="126"/>
        <v>No</v>
      </c>
      <c r="W82" s="143" t="str">
        <f ca="1">IF(INDIRECT("'"&amp;W$5&amp;"'!$G$3")=0,"",INDIRECT("'"&amp;W$5&amp;"'!$G$749"))</f>
        <v/>
      </c>
      <c r="X82" s="143" t="str">
        <f t="shared" ref="X82:AF82" ca="1" si="127">IF(INDIRECT("'"&amp;X$5&amp;"'!$G$3")=0,"",INDIRECT("'"&amp;X$5&amp;"'!$G$749"))</f>
        <v/>
      </c>
      <c r="Y82" s="143" t="str">
        <f t="shared" ca="1" si="127"/>
        <v/>
      </c>
      <c r="Z82" s="143" t="str">
        <f t="shared" ca="1" si="127"/>
        <v/>
      </c>
      <c r="AA82" s="143" t="str">
        <f t="shared" ca="1" si="127"/>
        <v/>
      </c>
      <c r="AB82" s="143" t="str">
        <f t="shared" ca="1" si="127"/>
        <v/>
      </c>
      <c r="AC82" s="143" t="str">
        <f t="shared" ca="1" si="127"/>
        <v/>
      </c>
      <c r="AD82" s="143" t="str">
        <f t="shared" ca="1" si="127"/>
        <v/>
      </c>
      <c r="AE82" s="143" t="str">
        <f t="shared" ca="1" si="127"/>
        <v/>
      </c>
      <c r="AF82" s="143" t="str">
        <f t="shared" ca="1" si="127"/>
        <v/>
      </c>
    </row>
    <row r="83" spans="1:32" ht="16" x14ac:dyDescent="0.2">
      <c r="A83" s="497"/>
      <c r="B83" s="125" t="s">
        <v>624</v>
      </c>
      <c r="C83" s="143" t="str">
        <f ca="1">INDIRECT("'"&amp;C$6&amp;"'!$G$764")</f>
        <v>Yes</v>
      </c>
      <c r="D83" s="143" t="str">
        <f t="shared" ref="D83:V83" ca="1" si="128">INDIRECT("'"&amp;D$6&amp;"'!$G$764")</f>
        <v>Yes</v>
      </c>
      <c r="E83" s="143" t="str">
        <f t="shared" ca="1" si="128"/>
        <v>Yes</v>
      </c>
      <c r="F83" s="143" t="str">
        <f t="shared" ca="1" si="128"/>
        <v>Yes</v>
      </c>
      <c r="G83" s="143" t="str">
        <f t="shared" ca="1" si="128"/>
        <v>Yes</v>
      </c>
      <c r="H83" s="143" t="str">
        <f t="shared" ca="1" si="128"/>
        <v>Yes</v>
      </c>
      <c r="I83" s="143" t="str">
        <f t="shared" ca="1" si="128"/>
        <v>No</v>
      </c>
      <c r="J83" s="143" t="str">
        <f t="shared" ca="1" si="128"/>
        <v>Yes</v>
      </c>
      <c r="K83" s="143" t="str">
        <f t="shared" ca="1" si="128"/>
        <v>No</v>
      </c>
      <c r="L83" s="143" t="str">
        <f t="shared" ca="1" si="128"/>
        <v>Yes</v>
      </c>
      <c r="M83" s="143" t="str">
        <f t="shared" ca="1" si="128"/>
        <v>Yes</v>
      </c>
      <c r="N83" s="143" t="str">
        <f t="shared" ca="1" si="128"/>
        <v>Yes</v>
      </c>
      <c r="O83" s="143" t="str">
        <f t="shared" ca="1" si="128"/>
        <v>Yes</v>
      </c>
      <c r="P83" s="143" t="str">
        <f t="shared" ca="1" si="128"/>
        <v>Yes</v>
      </c>
      <c r="Q83" s="143" t="str">
        <f t="shared" ca="1" si="128"/>
        <v>Yes</v>
      </c>
      <c r="R83" s="143" t="str">
        <f t="shared" ca="1" si="128"/>
        <v>Yes</v>
      </c>
      <c r="S83" s="143" t="str">
        <f t="shared" ca="1" si="128"/>
        <v>Yes</v>
      </c>
      <c r="T83" s="143" t="str">
        <f t="shared" ca="1" si="128"/>
        <v>Yes</v>
      </c>
      <c r="U83" s="143" t="str">
        <f ca="1">INDIRECT("'"&amp;U$6&amp;"'!$G$764")</f>
        <v>Yes</v>
      </c>
      <c r="V83" s="143" t="str">
        <f t="shared" ca="1" si="128"/>
        <v>Yes</v>
      </c>
      <c r="W83" s="143" t="str">
        <f ca="1">IF(INDIRECT("'"&amp;W$5&amp;"'!$G$3")=0,"",INDIRECT("'"&amp;W$5&amp;"'!$G$764"))</f>
        <v/>
      </c>
      <c r="X83" s="143" t="str">
        <f t="shared" ref="X83:AF83" ca="1" si="129">IF(INDIRECT("'"&amp;X$5&amp;"'!$G$3")=0,"",INDIRECT("'"&amp;X$5&amp;"'!$G$764"))</f>
        <v/>
      </c>
      <c r="Y83" s="143" t="str">
        <f t="shared" ca="1" si="129"/>
        <v/>
      </c>
      <c r="Z83" s="143" t="str">
        <f t="shared" ca="1" si="129"/>
        <v/>
      </c>
      <c r="AA83" s="143" t="str">
        <f t="shared" ca="1" si="129"/>
        <v/>
      </c>
      <c r="AB83" s="143" t="str">
        <f t="shared" ca="1" si="129"/>
        <v/>
      </c>
      <c r="AC83" s="143" t="str">
        <f t="shared" ca="1" si="129"/>
        <v/>
      </c>
      <c r="AD83" s="143" t="str">
        <f t="shared" ca="1" si="129"/>
        <v/>
      </c>
      <c r="AE83" s="143" t="str">
        <f t="shared" ca="1" si="129"/>
        <v/>
      </c>
      <c r="AF83" s="143" t="str">
        <f t="shared" ca="1" si="129"/>
        <v/>
      </c>
    </row>
    <row r="84" spans="1:32" ht="15" customHeight="1" x14ac:dyDescent="0.2">
      <c r="A84" s="496" t="s">
        <v>35</v>
      </c>
      <c r="B84" s="124" t="s">
        <v>621</v>
      </c>
      <c r="C84" s="142" t="str">
        <f ca="1">INDIRECT("'"&amp;C$6&amp;"'!$G$720")</f>
        <v>Yes</v>
      </c>
      <c r="D84" s="142" t="str">
        <f t="shared" ref="D84:V84" ca="1" si="130">INDIRECT("'"&amp;D$6&amp;"'!$G$720")</f>
        <v>Yes</v>
      </c>
      <c r="E84" s="142" t="str">
        <f t="shared" ca="1" si="130"/>
        <v>Yes</v>
      </c>
      <c r="F84" s="142" t="str">
        <f t="shared" ca="1" si="130"/>
        <v>Yes</v>
      </c>
      <c r="G84" s="142" t="str">
        <f t="shared" ca="1" si="130"/>
        <v>Yes</v>
      </c>
      <c r="H84" s="142" t="str">
        <f t="shared" ca="1" si="130"/>
        <v>Yes</v>
      </c>
      <c r="I84" s="142" t="str">
        <f t="shared" ca="1" si="130"/>
        <v>Yes</v>
      </c>
      <c r="J84" s="142" t="str">
        <f t="shared" ca="1" si="130"/>
        <v>Yes</v>
      </c>
      <c r="K84" s="142" t="str">
        <f t="shared" ca="1" si="130"/>
        <v>Yes</v>
      </c>
      <c r="L84" s="142" t="str">
        <f t="shared" ca="1" si="130"/>
        <v>Yes</v>
      </c>
      <c r="M84" s="142" t="str">
        <f t="shared" ca="1" si="130"/>
        <v>Yes</v>
      </c>
      <c r="N84" s="142" t="str">
        <f t="shared" ca="1" si="130"/>
        <v>Yes</v>
      </c>
      <c r="O84" s="142" t="str">
        <f t="shared" ca="1" si="130"/>
        <v>Yes</v>
      </c>
      <c r="P84" s="142" t="str">
        <f t="shared" ca="1" si="130"/>
        <v>Yes</v>
      </c>
      <c r="Q84" s="142" t="str">
        <f t="shared" ca="1" si="130"/>
        <v>Yes</v>
      </c>
      <c r="R84" s="142" t="str">
        <f t="shared" ca="1" si="130"/>
        <v>Yes</v>
      </c>
      <c r="S84" s="142" t="str">
        <f t="shared" ca="1" si="130"/>
        <v>Yes</v>
      </c>
      <c r="T84" s="142" t="str">
        <f t="shared" ca="1" si="130"/>
        <v>Yes</v>
      </c>
      <c r="U84" s="142" t="str">
        <f ca="1">INDIRECT("'"&amp;U$6&amp;"'!$G$720")</f>
        <v>Yes</v>
      </c>
      <c r="V84" s="142" t="str">
        <f t="shared" ca="1" si="130"/>
        <v>Yes</v>
      </c>
      <c r="W84" s="142" t="str">
        <f ca="1">IF(INDIRECT("'"&amp;W$5&amp;"'!$G$3")=0,"",INDIRECT("'"&amp;W$5&amp;"'!$G$720"))</f>
        <v/>
      </c>
      <c r="X84" s="142" t="str">
        <f t="shared" ref="X84:AF84" ca="1" si="131">IF(INDIRECT("'"&amp;X$5&amp;"'!$G$3")=0,"",INDIRECT("'"&amp;X$5&amp;"'!$G$720"))</f>
        <v/>
      </c>
      <c r="Y84" s="142" t="str">
        <f t="shared" ca="1" si="131"/>
        <v/>
      </c>
      <c r="Z84" s="142" t="str">
        <f t="shared" ca="1" si="131"/>
        <v/>
      </c>
      <c r="AA84" s="142" t="str">
        <f t="shared" ca="1" si="131"/>
        <v/>
      </c>
      <c r="AB84" s="142" t="str">
        <f t="shared" ca="1" si="131"/>
        <v/>
      </c>
      <c r="AC84" s="142" t="str">
        <f t="shared" ca="1" si="131"/>
        <v/>
      </c>
      <c r="AD84" s="142" t="str">
        <f t="shared" ca="1" si="131"/>
        <v/>
      </c>
      <c r="AE84" s="142" t="str">
        <f t="shared" ca="1" si="131"/>
        <v/>
      </c>
      <c r="AF84" s="142" t="str">
        <f t="shared" ca="1" si="131"/>
        <v/>
      </c>
    </row>
    <row r="85" spans="1:32" ht="16" x14ac:dyDescent="0.2">
      <c r="A85" s="502"/>
      <c r="B85" s="124" t="s">
        <v>622</v>
      </c>
      <c r="C85" s="143" t="str">
        <f ca="1">INDIRECT("'"&amp;C$6&amp;"'!$G$735")</f>
        <v>No</v>
      </c>
      <c r="D85" s="143" t="str">
        <f t="shared" ref="D85:V85" ca="1" si="132">INDIRECT("'"&amp;D$6&amp;"'!$G$735")</f>
        <v>No</v>
      </c>
      <c r="E85" s="143" t="str">
        <f t="shared" ca="1" si="132"/>
        <v>Yes</v>
      </c>
      <c r="F85" s="143" t="str">
        <f t="shared" ca="1" si="132"/>
        <v>No</v>
      </c>
      <c r="G85" s="143" t="str">
        <f t="shared" ca="1" si="132"/>
        <v>Yes</v>
      </c>
      <c r="H85" s="143" t="str">
        <f t="shared" ca="1" si="132"/>
        <v>Yes</v>
      </c>
      <c r="I85" s="143" t="str">
        <f t="shared" ca="1" si="132"/>
        <v>No</v>
      </c>
      <c r="J85" s="143" t="str">
        <f t="shared" ca="1" si="132"/>
        <v>No</v>
      </c>
      <c r="K85" s="143" t="str">
        <f t="shared" ca="1" si="132"/>
        <v>No</v>
      </c>
      <c r="L85" s="143" t="str">
        <f t="shared" ca="1" si="132"/>
        <v>Yes</v>
      </c>
      <c r="M85" s="143" t="str">
        <f t="shared" ca="1" si="132"/>
        <v>Yes</v>
      </c>
      <c r="N85" s="143" t="str">
        <f t="shared" ca="1" si="132"/>
        <v>No</v>
      </c>
      <c r="O85" s="143" t="str">
        <f t="shared" ca="1" si="132"/>
        <v>Yes</v>
      </c>
      <c r="P85" s="143" t="str">
        <f t="shared" ca="1" si="132"/>
        <v>No</v>
      </c>
      <c r="Q85" s="143" t="str">
        <f t="shared" ca="1" si="132"/>
        <v>Yes</v>
      </c>
      <c r="R85" s="143" t="str">
        <f t="shared" ca="1" si="132"/>
        <v>Yes</v>
      </c>
      <c r="S85" s="143" t="str">
        <f t="shared" ca="1" si="132"/>
        <v>Yes</v>
      </c>
      <c r="T85" s="143" t="str">
        <f t="shared" ca="1" si="132"/>
        <v>Yes</v>
      </c>
      <c r="U85" s="143" t="str">
        <f ca="1">INDIRECT("'"&amp;U$6&amp;"'!$G$735")</f>
        <v>Yes</v>
      </c>
      <c r="V85" s="143" t="str">
        <f t="shared" ca="1" si="132"/>
        <v>No</v>
      </c>
      <c r="W85" s="143" t="str">
        <f ca="1">IF(INDIRECT("'"&amp;W$5&amp;"'!$G$3")=0,"",INDIRECT("'"&amp;W$5&amp;"'!$G$735"))</f>
        <v/>
      </c>
      <c r="X85" s="143" t="str">
        <f t="shared" ref="X85:AF85" ca="1" si="133">IF(INDIRECT("'"&amp;X$5&amp;"'!$G$3")=0,"",INDIRECT("'"&amp;X$5&amp;"'!$G$735"))</f>
        <v/>
      </c>
      <c r="Y85" s="143" t="str">
        <f t="shared" ca="1" si="133"/>
        <v/>
      </c>
      <c r="Z85" s="143" t="str">
        <f t="shared" ca="1" si="133"/>
        <v/>
      </c>
      <c r="AA85" s="143" t="str">
        <f t="shared" ca="1" si="133"/>
        <v/>
      </c>
      <c r="AB85" s="143" t="str">
        <f t="shared" ca="1" si="133"/>
        <v/>
      </c>
      <c r="AC85" s="143" t="str">
        <f t="shared" ca="1" si="133"/>
        <v/>
      </c>
      <c r="AD85" s="143" t="str">
        <f t="shared" ca="1" si="133"/>
        <v/>
      </c>
      <c r="AE85" s="143" t="str">
        <f t="shared" ca="1" si="133"/>
        <v/>
      </c>
      <c r="AF85" s="143" t="str">
        <f t="shared" ca="1" si="133"/>
        <v/>
      </c>
    </row>
    <row r="86" spans="1:32" ht="16" x14ac:dyDescent="0.2">
      <c r="A86" s="502"/>
      <c r="B86" s="124" t="s">
        <v>623</v>
      </c>
      <c r="C86" s="143" t="str">
        <f ca="1">INDIRECT("'"&amp;C$6&amp;"'!$G$750")</f>
        <v>No</v>
      </c>
      <c r="D86" s="143" t="str">
        <f t="shared" ref="D86:V86" ca="1" si="134">INDIRECT("'"&amp;D$6&amp;"'!$G$750")</f>
        <v>Yes</v>
      </c>
      <c r="E86" s="143" t="str">
        <f t="shared" ca="1" si="134"/>
        <v>Yes</v>
      </c>
      <c r="F86" s="143" t="str">
        <f t="shared" ca="1" si="134"/>
        <v>No</v>
      </c>
      <c r="G86" s="143" t="str">
        <f t="shared" ca="1" si="134"/>
        <v>Yes</v>
      </c>
      <c r="H86" s="143" t="str">
        <f t="shared" ca="1" si="134"/>
        <v>Yes</v>
      </c>
      <c r="I86" s="143" t="str">
        <f t="shared" ca="1" si="134"/>
        <v>No</v>
      </c>
      <c r="J86" s="143" t="str">
        <f t="shared" ca="1" si="134"/>
        <v>No</v>
      </c>
      <c r="K86" s="143" t="str">
        <f t="shared" ca="1" si="134"/>
        <v>No</v>
      </c>
      <c r="L86" s="143" t="str">
        <f t="shared" ca="1" si="134"/>
        <v>Yes</v>
      </c>
      <c r="M86" s="143" t="str">
        <f t="shared" ca="1" si="134"/>
        <v>Yes</v>
      </c>
      <c r="N86" s="143" t="str">
        <f t="shared" ca="1" si="134"/>
        <v>No</v>
      </c>
      <c r="O86" s="143" t="str">
        <f t="shared" ca="1" si="134"/>
        <v>Yes</v>
      </c>
      <c r="P86" s="143" t="str">
        <f t="shared" ca="1" si="134"/>
        <v>No</v>
      </c>
      <c r="Q86" s="143" t="str">
        <f t="shared" ca="1" si="134"/>
        <v>Yes</v>
      </c>
      <c r="R86" s="143" t="str">
        <f t="shared" ca="1" si="134"/>
        <v>No</v>
      </c>
      <c r="S86" s="143" t="str">
        <f t="shared" ca="1" si="134"/>
        <v>No</v>
      </c>
      <c r="T86" s="143" t="str">
        <f t="shared" ca="1" si="134"/>
        <v>No</v>
      </c>
      <c r="U86" s="143" t="str">
        <f ca="1">INDIRECT("'"&amp;U$6&amp;"'!$G$750")</f>
        <v>Yes</v>
      </c>
      <c r="V86" s="143" t="str">
        <f t="shared" ca="1" si="134"/>
        <v>No</v>
      </c>
      <c r="W86" s="143" t="str">
        <f ca="1">IF(INDIRECT("'"&amp;W$5&amp;"'!$G$3")=0,"",INDIRECT("'"&amp;W$5&amp;"'!$G$750"))</f>
        <v/>
      </c>
      <c r="X86" s="143" t="str">
        <f t="shared" ref="X86:AF86" ca="1" si="135">IF(INDIRECT("'"&amp;X$5&amp;"'!$G$3")=0,"",INDIRECT("'"&amp;X$5&amp;"'!$G$750"))</f>
        <v/>
      </c>
      <c r="Y86" s="143" t="str">
        <f t="shared" ca="1" si="135"/>
        <v/>
      </c>
      <c r="Z86" s="143" t="str">
        <f t="shared" ca="1" si="135"/>
        <v/>
      </c>
      <c r="AA86" s="143" t="str">
        <f t="shared" ca="1" si="135"/>
        <v/>
      </c>
      <c r="AB86" s="143" t="str">
        <f t="shared" ca="1" si="135"/>
        <v/>
      </c>
      <c r="AC86" s="143" t="str">
        <f t="shared" ca="1" si="135"/>
        <v/>
      </c>
      <c r="AD86" s="143" t="str">
        <f t="shared" ca="1" si="135"/>
        <v/>
      </c>
      <c r="AE86" s="143" t="str">
        <f t="shared" ca="1" si="135"/>
        <v/>
      </c>
      <c r="AF86" s="143" t="str">
        <f t="shared" ca="1" si="135"/>
        <v/>
      </c>
    </row>
    <row r="87" spans="1:32" ht="16" x14ac:dyDescent="0.2">
      <c r="A87" s="497"/>
      <c r="B87" s="125" t="s">
        <v>624</v>
      </c>
      <c r="C87" s="143" t="str">
        <f ca="1">INDIRECT("'"&amp;C$6&amp;"'!$G$765")</f>
        <v>Yes</v>
      </c>
      <c r="D87" s="143" t="str">
        <f t="shared" ref="D87:V87" ca="1" si="136">INDIRECT("'"&amp;D$6&amp;"'!$G$765")</f>
        <v>Yes</v>
      </c>
      <c r="E87" s="143" t="str">
        <f t="shared" ca="1" si="136"/>
        <v>Yes</v>
      </c>
      <c r="F87" s="143" t="str">
        <f t="shared" ca="1" si="136"/>
        <v>Yes</v>
      </c>
      <c r="G87" s="143" t="str">
        <f t="shared" ca="1" si="136"/>
        <v>Yes</v>
      </c>
      <c r="H87" s="143" t="str">
        <f t="shared" ca="1" si="136"/>
        <v>Yes</v>
      </c>
      <c r="I87" s="143" t="str">
        <f t="shared" ca="1" si="136"/>
        <v>No</v>
      </c>
      <c r="J87" s="143" t="str">
        <f t="shared" ca="1" si="136"/>
        <v>Yes</v>
      </c>
      <c r="K87" s="143" t="str">
        <f t="shared" ca="1" si="136"/>
        <v>No</v>
      </c>
      <c r="L87" s="143" t="str">
        <f t="shared" ca="1" si="136"/>
        <v>Yes</v>
      </c>
      <c r="M87" s="143" t="str">
        <f t="shared" ca="1" si="136"/>
        <v>Yes</v>
      </c>
      <c r="N87" s="143" t="str">
        <f t="shared" ca="1" si="136"/>
        <v>Yes</v>
      </c>
      <c r="O87" s="143" t="str">
        <f t="shared" ca="1" si="136"/>
        <v>Yes</v>
      </c>
      <c r="P87" s="143" t="str">
        <f t="shared" ca="1" si="136"/>
        <v>Yes</v>
      </c>
      <c r="Q87" s="143" t="str">
        <f t="shared" ca="1" si="136"/>
        <v>Yes</v>
      </c>
      <c r="R87" s="143" t="str">
        <f t="shared" ca="1" si="136"/>
        <v>Yes</v>
      </c>
      <c r="S87" s="143" t="str">
        <f t="shared" ca="1" si="136"/>
        <v>Yes</v>
      </c>
      <c r="T87" s="143" t="str">
        <f t="shared" ca="1" si="136"/>
        <v>Yes</v>
      </c>
      <c r="U87" s="143" t="str">
        <f ca="1">INDIRECT("'"&amp;U$6&amp;"'!$G$765")</f>
        <v>Yes</v>
      </c>
      <c r="V87" s="143" t="str">
        <f t="shared" ca="1" si="136"/>
        <v>Yes</v>
      </c>
      <c r="W87" s="143" t="str">
        <f ca="1">IF(INDIRECT("'"&amp;W$5&amp;"'!$G$3")=0,"",INDIRECT("'"&amp;W$5&amp;"'!$G$765"))</f>
        <v/>
      </c>
      <c r="X87" s="143" t="str">
        <f t="shared" ref="X87:AF87" ca="1" si="137">IF(INDIRECT("'"&amp;X$5&amp;"'!$G$3")=0,"",INDIRECT("'"&amp;X$5&amp;"'!$G$765"))</f>
        <v/>
      </c>
      <c r="Y87" s="143" t="str">
        <f t="shared" ca="1" si="137"/>
        <v/>
      </c>
      <c r="Z87" s="143" t="str">
        <f t="shared" ca="1" si="137"/>
        <v/>
      </c>
      <c r="AA87" s="143" t="str">
        <f t="shared" ca="1" si="137"/>
        <v/>
      </c>
      <c r="AB87" s="143" t="str">
        <f t="shared" ca="1" si="137"/>
        <v/>
      </c>
      <c r="AC87" s="143" t="str">
        <f t="shared" ca="1" si="137"/>
        <v/>
      </c>
      <c r="AD87" s="143" t="str">
        <f t="shared" ca="1" si="137"/>
        <v/>
      </c>
      <c r="AE87" s="143" t="str">
        <f t="shared" ca="1" si="137"/>
        <v/>
      </c>
      <c r="AF87" s="143" t="str">
        <f t="shared" ca="1" si="137"/>
        <v/>
      </c>
    </row>
    <row r="88" spans="1:32" ht="15" customHeight="1" x14ac:dyDescent="0.2">
      <c r="A88" s="496" t="s">
        <v>37</v>
      </c>
      <c r="B88" s="124" t="s">
        <v>621</v>
      </c>
      <c r="C88" s="142" t="str">
        <f ca="1">INDIRECT("'"&amp;C$6&amp;"'!$G$721")</f>
        <v>Yes</v>
      </c>
      <c r="D88" s="142" t="str">
        <f t="shared" ref="D88:V88" ca="1" si="138">INDIRECT("'"&amp;D$6&amp;"'!$G$721")</f>
        <v>Yes</v>
      </c>
      <c r="E88" s="142" t="str">
        <f t="shared" ca="1" si="138"/>
        <v>Yes</v>
      </c>
      <c r="F88" s="142" t="str">
        <f t="shared" ca="1" si="138"/>
        <v>Yes</v>
      </c>
      <c r="G88" s="142" t="str">
        <f t="shared" ca="1" si="138"/>
        <v>Yes</v>
      </c>
      <c r="H88" s="142" t="str">
        <f t="shared" ca="1" si="138"/>
        <v>Yes</v>
      </c>
      <c r="I88" s="142" t="str">
        <f t="shared" ca="1" si="138"/>
        <v>Yes</v>
      </c>
      <c r="J88" s="142" t="str">
        <f t="shared" ca="1" si="138"/>
        <v>Yes</v>
      </c>
      <c r="K88" s="142" t="str">
        <f t="shared" ca="1" si="138"/>
        <v>Yes</v>
      </c>
      <c r="L88" s="142" t="str">
        <f t="shared" ca="1" si="138"/>
        <v>Yes</v>
      </c>
      <c r="M88" s="142" t="str">
        <f t="shared" ca="1" si="138"/>
        <v>Yes</v>
      </c>
      <c r="N88" s="142" t="str">
        <f t="shared" ca="1" si="138"/>
        <v>Yes</v>
      </c>
      <c r="O88" s="142" t="str">
        <f t="shared" ca="1" si="138"/>
        <v>Yes</v>
      </c>
      <c r="P88" s="142" t="str">
        <f t="shared" ca="1" si="138"/>
        <v>Yes</v>
      </c>
      <c r="Q88" s="142" t="str">
        <f t="shared" ca="1" si="138"/>
        <v>Yes</v>
      </c>
      <c r="R88" s="142" t="str">
        <f t="shared" ca="1" si="138"/>
        <v>Yes</v>
      </c>
      <c r="S88" s="142" t="str">
        <f t="shared" ca="1" si="138"/>
        <v>Yes</v>
      </c>
      <c r="T88" s="142" t="str">
        <f t="shared" ca="1" si="138"/>
        <v>Yes</v>
      </c>
      <c r="U88" s="142" t="str">
        <f ca="1">INDIRECT("'"&amp;U$6&amp;"'!$G$721")</f>
        <v>Yes</v>
      </c>
      <c r="V88" s="142" t="str">
        <f t="shared" ca="1" si="138"/>
        <v>Yes</v>
      </c>
      <c r="W88" s="142" t="str">
        <f ca="1">IF(INDIRECT("'"&amp;W$5&amp;"'!$G$3")=0,"",INDIRECT("'"&amp;W$5&amp;"'!$G$721"))</f>
        <v/>
      </c>
      <c r="X88" s="142" t="str">
        <f t="shared" ref="X88:AF88" ca="1" si="139">IF(INDIRECT("'"&amp;X$5&amp;"'!$G$3")=0,"",INDIRECT("'"&amp;X$5&amp;"'!$G$721"))</f>
        <v/>
      </c>
      <c r="Y88" s="142" t="str">
        <f t="shared" ca="1" si="139"/>
        <v/>
      </c>
      <c r="Z88" s="142" t="str">
        <f t="shared" ca="1" si="139"/>
        <v/>
      </c>
      <c r="AA88" s="142" t="str">
        <f t="shared" ca="1" si="139"/>
        <v/>
      </c>
      <c r="AB88" s="142" t="str">
        <f t="shared" ca="1" si="139"/>
        <v/>
      </c>
      <c r="AC88" s="142" t="str">
        <f t="shared" ca="1" si="139"/>
        <v/>
      </c>
      <c r="AD88" s="142" t="str">
        <f t="shared" ca="1" si="139"/>
        <v/>
      </c>
      <c r="AE88" s="142" t="str">
        <f t="shared" ca="1" si="139"/>
        <v/>
      </c>
      <c r="AF88" s="142" t="str">
        <f t="shared" ca="1" si="139"/>
        <v/>
      </c>
    </row>
    <row r="89" spans="1:32" ht="16" x14ac:dyDescent="0.2">
      <c r="A89" s="502"/>
      <c r="B89" s="124" t="s">
        <v>622</v>
      </c>
      <c r="C89" s="143" t="str">
        <f ca="1">INDIRECT("'"&amp;C$6&amp;"'!$G$736")</f>
        <v>No</v>
      </c>
      <c r="D89" s="143" t="str">
        <f t="shared" ref="D89:V89" ca="1" si="140">INDIRECT("'"&amp;D$6&amp;"'!$G$736")</f>
        <v>No</v>
      </c>
      <c r="E89" s="143" t="str">
        <f t="shared" ca="1" si="140"/>
        <v>Yes</v>
      </c>
      <c r="F89" s="143" t="str">
        <f t="shared" ca="1" si="140"/>
        <v>No</v>
      </c>
      <c r="G89" s="143" t="str">
        <f t="shared" ca="1" si="140"/>
        <v>Yes</v>
      </c>
      <c r="H89" s="143" t="str">
        <f t="shared" ca="1" si="140"/>
        <v>Yes</v>
      </c>
      <c r="I89" s="143" t="str">
        <f t="shared" ca="1" si="140"/>
        <v>No</v>
      </c>
      <c r="J89" s="143" t="str">
        <f t="shared" ca="1" si="140"/>
        <v>No</v>
      </c>
      <c r="K89" s="143" t="str">
        <f t="shared" ca="1" si="140"/>
        <v>No</v>
      </c>
      <c r="L89" s="143" t="str">
        <f t="shared" ca="1" si="140"/>
        <v>Yes</v>
      </c>
      <c r="M89" s="143" t="str">
        <f t="shared" ca="1" si="140"/>
        <v>Yes</v>
      </c>
      <c r="N89" s="143" t="str">
        <f t="shared" ca="1" si="140"/>
        <v>No</v>
      </c>
      <c r="O89" s="143" t="str">
        <f t="shared" ca="1" si="140"/>
        <v>Yes</v>
      </c>
      <c r="P89" s="143" t="str">
        <f t="shared" ca="1" si="140"/>
        <v>No</v>
      </c>
      <c r="Q89" s="143" t="str">
        <f t="shared" ca="1" si="140"/>
        <v>Yes</v>
      </c>
      <c r="R89" s="143" t="str">
        <f t="shared" ca="1" si="140"/>
        <v>Yes</v>
      </c>
      <c r="S89" s="143" t="str">
        <f t="shared" ca="1" si="140"/>
        <v>Yes</v>
      </c>
      <c r="T89" s="143" t="str">
        <f t="shared" ca="1" si="140"/>
        <v>No</v>
      </c>
      <c r="U89" s="143" t="str">
        <f ca="1">INDIRECT("'"&amp;U$6&amp;"'!$G$736")</f>
        <v>Yes</v>
      </c>
      <c r="V89" s="143" t="str">
        <f t="shared" ca="1" si="140"/>
        <v>No</v>
      </c>
      <c r="W89" s="143" t="str">
        <f ca="1">IF(INDIRECT("'"&amp;W$5&amp;"'!$G$3")=0,"",INDIRECT("'"&amp;W$5&amp;"'!$G$736"))</f>
        <v/>
      </c>
      <c r="X89" s="143" t="str">
        <f t="shared" ref="X89:AF89" ca="1" si="141">IF(INDIRECT("'"&amp;X$5&amp;"'!$G$3")=0,"",INDIRECT("'"&amp;X$5&amp;"'!$G$736"))</f>
        <v/>
      </c>
      <c r="Y89" s="143" t="str">
        <f t="shared" ca="1" si="141"/>
        <v/>
      </c>
      <c r="Z89" s="143" t="str">
        <f t="shared" ca="1" si="141"/>
        <v/>
      </c>
      <c r="AA89" s="143" t="str">
        <f t="shared" ca="1" si="141"/>
        <v/>
      </c>
      <c r="AB89" s="143" t="str">
        <f t="shared" ca="1" si="141"/>
        <v/>
      </c>
      <c r="AC89" s="143" t="str">
        <f t="shared" ca="1" si="141"/>
        <v/>
      </c>
      <c r="AD89" s="143" t="str">
        <f t="shared" ca="1" si="141"/>
        <v/>
      </c>
      <c r="AE89" s="143" t="str">
        <f t="shared" ca="1" si="141"/>
        <v/>
      </c>
      <c r="AF89" s="143" t="str">
        <f t="shared" ca="1" si="141"/>
        <v/>
      </c>
    </row>
    <row r="90" spans="1:32" ht="16" x14ac:dyDescent="0.2">
      <c r="A90" s="502"/>
      <c r="B90" s="124" t="s">
        <v>623</v>
      </c>
      <c r="C90" s="143" t="str">
        <f ca="1">INDIRECT("'"&amp;C$6&amp;"'!$G$751")</f>
        <v>No</v>
      </c>
      <c r="D90" s="143" t="str">
        <f t="shared" ref="D90:V90" ca="1" si="142">INDIRECT("'"&amp;D$6&amp;"'!$G$751")</f>
        <v>No</v>
      </c>
      <c r="E90" s="143" t="str">
        <f t="shared" ca="1" si="142"/>
        <v>No</v>
      </c>
      <c r="F90" s="143" t="str">
        <f t="shared" ca="1" si="142"/>
        <v>No</v>
      </c>
      <c r="G90" s="143" t="str">
        <f t="shared" ca="1" si="142"/>
        <v>No</v>
      </c>
      <c r="H90" s="143" t="str">
        <f t="shared" ca="1" si="142"/>
        <v>No</v>
      </c>
      <c r="I90" s="143" t="str">
        <f t="shared" ca="1" si="142"/>
        <v>No</v>
      </c>
      <c r="J90" s="143" t="str">
        <f t="shared" ca="1" si="142"/>
        <v>No</v>
      </c>
      <c r="K90" s="143" t="str">
        <f t="shared" ca="1" si="142"/>
        <v>No</v>
      </c>
      <c r="L90" s="143" t="str">
        <f t="shared" ca="1" si="142"/>
        <v>No</v>
      </c>
      <c r="M90" s="143" t="str">
        <f t="shared" ca="1" si="142"/>
        <v>No</v>
      </c>
      <c r="N90" s="143" t="str">
        <f t="shared" ca="1" si="142"/>
        <v>No</v>
      </c>
      <c r="O90" s="143" t="str">
        <f t="shared" ca="1" si="142"/>
        <v>No</v>
      </c>
      <c r="P90" s="143" t="str">
        <f t="shared" ca="1" si="142"/>
        <v>No</v>
      </c>
      <c r="Q90" s="143" t="str">
        <f t="shared" ca="1" si="142"/>
        <v>No</v>
      </c>
      <c r="R90" s="143" t="str">
        <f t="shared" ca="1" si="142"/>
        <v>No</v>
      </c>
      <c r="S90" s="143" t="str">
        <f t="shared" ca="1" si="142"/>
        <v>No</v>
      </c>
      <c r="T90" s="143" t="str">
        <f t="shared" ca="1" si="142"/>
        <v>No</v>
      </c>
      <c r="U90" s="143" t="str">
        <f ca="1">INDIRECT("'"&amp;U$6&amp;"'!$G$751")</f>
        <v>No</v>
      </c>
      <c r="V90" s="143" t="str">
        <f t="shared" ca="1" si="142"/>
        <v>No</v>
      </c>
      <c r="W90" s="143" t="str">
        <f ca="1">IF(INDIRECT("'"&amp;W$5&amp;"'!$G$3")=0,"",INDIRECT("'"&amp;W$5&amp;"'!$G$751"))</f>
        <v/>
      </c>
      <c r="X90" s="143" t="str">
        <f t="shared" ref="X90:AF90" ca="1" si="143">IF(INDIRECT("'"&amp;X$5&amp;"'!$G$3")=0,"",INDIRECT("'"&amp;X$5&amp;"'!$G$751"))</f>
        <v/>
      </c>
      <c r="Y90" s="143" t="str">
        <f t="shared" ca="1" si="143"/>
        <v/>
      </c>
      <c r="Z90" s="143" t="str">
        <f t="shared" ca="1" si="143"/>
        <v/>
      </c>
      <c r="AA90" s="143" t="str">
        <f t="shared" ca="1" si="143"/>
        <v/>
      </c>
      <c r="AB90" s="143" t="str">
        <f t="shared" ca="1" si="143"/>
        <v/>
      </c>
      <c r="AC90" s="143" t="str">
        <f t="shared" ca="1" si="143"/>
        <v/>
      </c>
      <c r="AD90" s="143" t="str">
        <f t="shared" ca="1" si="143"/>
        <v/>
      </c>
      <c r="AE90" s="143" t="str">
        <f t="shared" ca="1" si="143"/>
        <v/>
      </c>
      <c r="AF90" s="143" t="str">
        <f t="shared" ca="1" si="143"/>
        <v/>
      </c>
    </row>
    <row r="91" spans="1:32" ht="16" x14ac:dyDescent="0.2">
      <c r="A91" s="497"/>
      <c r="B91" s="125" t="s">
        <v>624</v>
      </c>
      <c r="C91" s="143" t="str">
        <f ca="1">INDIRECT("'"&amp;C$6&amp;"'!$G$766")</f>
        <v>Yes</v>
      </c>
      <c r="D91" s="143" t="str">
        <f t="shared" ref="D91:V91" ca="1" si="144">INDIRECT("'"&amp;D$6&amp;"'!$G$766")</f>
        <v>Yes</v>
      </c>
      <c r="E91" s="143" t="str">
        <f t="shared" ca="1" si="144"/>
        <v>Yes</v>
      </c>
      <c r="F91" s="143" t="str">
        <f t="shared" ca="1" si="144"/>
        <v>Yes</v>
      </c>
      <c r="G91" s="143" t="str">
        <f t="shared" ca="1" si="144"/>
        <v>Yes</v>
      </c>
      <c r="H91" s="143" t="str">
        <f t="shared" ca="1" si="144"/>
        <v>Yes</v>
      </c>
      <c r="I91" s="143" t="str">
        <f t="shared" ca="1" si="144"/>
        <v>No</v>
      </c>
      <c r="J91" s="143" t="str">
        <f t="shared" ca="1" si="144"/>
        <v>Yes</v>
      </c>
      <c r="K91" s="143" t="str">
        <f t="shared" ca="1" si="144"/>
        <v>No</v>
      </c>
      <c r="L91" s="143" t="str">
        <f t="shared" ca="1" si="144"/>
        <v>Yes</v>
      </c>
      <c r="M91" s="143" t="str">
        <f t="shared" ca="1" si="144"/>
        <v>Yes</v>
      </c>
      <c r="N91" s="143" t="str">
        <f t="shared" ca="1" si="144"/>
        <v>Yes</v>
      </c>
      <c r="O91" s="143" t="str">
        <f t="shared" ca="1" si="144"/>
        <v>Yes</v>
      </c>
      <c r="P91" s="143" t="str">
        <f t="shared" ca="1" si="144"/>
        <v>Yes</v>
      </c>
      <c r="Q91" s="143" t="str">
        <f t="shared" ca="1" si="144"/>
        <v>Yes</v>
      </c>
      <c r="R91" s="143" t="str">
        <f t="shared" ca="1" si="144"/>
        <v>Yes</v>
      </c>
      <c r="S91" s="143" t="str">
        <f t="shared" ca="1" si="144"/>
        <v>Yes</v>
      </c>
      <c r="T91" s="143" t="str">
        <f t="shared" ca="1" si="144"/>
        <v>Yes</v>
      </c>
      <c r="U91" s="143" t="str">
        <f ca="1">INDIRECT("'"&amp;U$6&amp;"'!$G$766")</f>
        <v>Yes</v>
      </c>
      <c r="V91" s="143" t="str">
        <f t="shared" ca="1" si="144"/>
        <v>Yes</v>
      </c>
      <c r="W91" s="143" t="str">
        <f ca="1">IF(INDIRECT("'"&amp;W$5&amp;"'!$G$3")=0,"",INDIRECT("'"&amp;W$5&amp;"'!$G$766"))</f>
        <v/>
      </c>
      <c r="X91" s="143" t="str">
        <f t="shared" ref="X91:AF91" ca="1" si="145">IF(INDIRECT("'"&amp;X$5&amp;"'!$G$3")=0,"",INDIRECT("'"&amp;X$5&amp;"'!$G$766"))</f>
        <v/>
      </c>
      <c r="Y91" s="143" t="str">
        <f t="shared" ca="1" si="145"/>
        <v/>
      </c>
      <c r="Z91" s="143" t="str">
        <f t="shared" ca="1" si="145"/>
        <v/>
      </c>
      <c r="AA91" s="143" t="str">
        <f t="shared" ca="1" si="145"/>
        <v/>
      </c>
      <c r="AB91" s="143" t="str">
        <f t="shared" ca="1" si="145"/>
        <v/>
      </c>
      <c r="AC91" s="143" t="str">
        <f t="shared" ca="1" si="145"/>
        <v/>
      </c>
      <c r="AD91" s="143" t="str">
        <f t="shared" ca="1" si="145"/>
        <v/>
      </c>
      <c r="AE91" s="143" t="str">
        <f t="shared" ca="1" si="145"/>
        <v/>
      </c>
      <c r="AF91" s="143" t="str">
        <f t="shared" ca="1" si="145"/>
        <v/>
      </c>
    </row>
    <row r="92" spans="1:32" ht="16" x14ac:dyDescent="0.2">
      <c r="A92" s="496" t="s">
        <v>38</v>
      </c>
      <c r="B92" s="124" t="s">
        <v>621</v>
      </c>
      <c r="C92" s="142" t="str">
        <f ca="1">INDIRECT("'"&amp;C$6&amp;"'!$G$722")</f>
        <v>Yes</v>
      </c>
      <c r="D92" s="142" t="str">
        <f t="shared" ref="D92:V92" ca="1" si="146">INDIRECT("'"&amp;D$6&amp;"'!$G$722")</f>
        <v>Yes</v>
      </c>
      <c r="E92" s="142" t="str">
        <f t="shared" ca="1" si="146"/>
        <v>Yes</v>
      </c>
      <c r="F92" s="142" t="str">
        <f t="shared" ca="1" si="146"/>
        <v>Yes</v>
      </c>
      <c r="G92" s="142" t="str">
        <f t="shared" ca="1" si="146"/>
        <v>Yes</v>
      </c>
      <c r="H92" s="142" t="str">
        <f t="shared" ca="1" si="146"/>
        <v>Yes</v>
      </c>
      <c r="I92" s="142" t="str">
        <f t="shared" ca="1" si="146"/>
        <v>Yes</v>
      </c>
      <c r="J92" s="142" t="str">
        <f t="shared" ca="1" si="146"/>
        <v>Yes</v>
      </c>
      <c r="K92" s="142" t="str">
        <f t="shared" ca="1" si="146"/>
        <v>Yes</v>
      </c>
      <c r="L92" s="142" t="str">
        <f t="shared" ca="1" si="146"/>
        <v>Yes</v>
      </c>
      <c r="M92" s="142" t="str">
        <f t="shared" ca="1" si="146"/>
        <v>Yes</v>
      </c>
      <c r="N92" s="142" t="str">
        <f t="shared" ca="1" si="146"/>
        <v>Yes</v>
      </c>
      <c r="O92" s="142" t="str">
        <f t="shared" ca="1" si="146"/>
        <v>Yes</v>
      </c>
      <c r="P92" s="142" t="str">
        <f t="shared" ca="1" si="146"/>
        <v>Yes</v>
      </c>
      <c r="Q92" s="142" t="str">
        <f t="shared" ca="1" si="146"/>
        <v>Yes</v>
      </c>
      <c r="R92" s="142" t="str">
        <f t="shared" ca="1" si="146"/>
        <v>Yes</v>
      </c>
      <c r="S92" s="142" t="str">
        <f t="shared" ca="1" si="146"/>
        <v>Yes</v>
      </c>
      <c r="T92" s="142" t="str">
        <f t="shared" ca="1" si="146"/>
        <v>Yes</v>
      </c>
      <c r="U92" s="142" t="str">
        <f ca="1">INDIRECT("'"&amp;U$6&amp;"'!$G$722")</f>
        <v>Yes</v>
      </c>
      <c r="V92" s="142" t="str">
        <f t="shared" ca="1" si="146"/>
        <v>Yes</v>
      </c>
      <c r="W92" s="142" t="str">
        <f ca="1">IF(INDIRECT("'"&amp;W$5&amp;"'!$G$3")=0,"",INDIRECT("'"&amp;W$5&amp;"'!$G$722"))</f>
        <v/>
      </c>
      <c r="X92" s="142" t="str">
        <f t="shared" ref="X92:AF92" ca="1" si="147">IF(INDIRECT("'"&amp;X$5&amp;"'!$G$3")=0,"",INDIRECT("'"&amp;X$5&amp;"'!$G$722"))</f>
        <v/>
      </c>
      <c r="Y92" s="142" t="str">
        <f t="shared" ca="1" si="147"/>
        <v/>
      </c>
      <c r="Z92" s="142" t="str">
        <f t="shared" ca="1" si="147"/>
        <v/>
      </c>
      <c r="AA92" s="142" t="str">
        <f t="shared" ca="1" si="147"/>
        <v/>
      </c>
      <c r="AB92" s="142" t="str">
        <f t="shared" ca="1" si="147"/>
        <v/>
      </c>
      <c r="AC92" s="142" t="str">
        <f t="shared" ca="1" si="147"/>
        <v/>
      </c>
      <c r="AD92" s="142" t="str">
        <f t="shared" ca="1" si="147"/>
        <v/>
      </c>
      <c r="AE92" s="142" t="str">
        <f t="shared" ca="1" si="147"/>
        <v/>
      </c>
      <c r="AF92" s="142" t="str">
        <f t="shared" ca="1" si="147"/>
        <v/>
      </c>
    </row>
    <row r="93" spans="1:32" ht="16" x14ac:dyDescent="0.2">
      <c r="A93" s="502"/>
      <c r="B93" s="124" t="s">
        <v>622</v>
      </c>
      <c r="C93" s="143" t="str">
        <f ca="1">INDIRECT("'"&amp;C$6&amp;"'!$G$737")</f>
        <v>No</v>
      </c>
      <c r="D93" s="143" t="str">
        <f t="shared" ref="D93:V93" ca="1" si="148">INDIRECT("'"&amp;D$6&amp;"'!$G$737")</f>
        <v>No</v>
      </c>
      <c r="E93" s="143" t="str">
        <f t="shared" ca="1" si="148"/>
        <v>No</v>
      </c>
      <c r="F93" s="143" t="str">
        <f t="shared" ca="1" si="148"/>
        <v>No</v>
      </c>
      <c r="G93" s="143" t="str">
        <f t="shared" ca="1" si="148"/>
        <v>No</v>
      </c>
      <c r="H93" s="143" t="str">
        <f t="shared" ca="1" si="148"/>
        <v>No</v>
      </c>
      <c r="I93" s="143" t="str">
        <f t="shared" ca="1" si="148"/>
        <v>No</v>
      </c>
      <c r="J93" s="143" t="str">
        <f t="shared" ca="1" si="148"/>
        <v>No</v>
      </c>
      <c r="K93" s="143" t="str">
        <f t="shared" ca="1" si="148"/>
        <v>No</v>
      </c>
      <c r="L93" s="143" t="str">
        <f t="shared" ca="1" si="148"/>
        <v>No</v>
      </c>
      <c r="M93" s="143" t="str">
        <f t="shared" ca="1" si="148"/>
        <v>No</v>
      </c>
      <c r="N93" s="143" t="str">
        <f t="shared" ca="1" si="148"/>
        <v>No</v>
      </c>
      <c r="O93" s="143" t="str">
        <f t="shared" ca="1" si="148"/>
        <v>No</v>
      </c>
      <c r="P93" s="143" t="str">
        <f t="shared" ca="1" si="148"/>
        <v>No</v>
      </c>
      <c r="Q93" s="143" t="str">
        <f t="shared" ca="1" si="148"/>
        <v>No</v>
      </c>
      <c r="R93" s="143" t="str">
        <f t="shared" ca="1" si="148"/>
        <v>No</v>
      </c>
      <c r="S93" s="143" t="str">
        <f t="shared" ca="1" si="148"/>
        <v>No</v>
      </c>
      <c r="T93" s="143" t="str">
        <f t="shared" ca="1" si="148"/>
        <v>No</v>
      </c>
      <c r="U93" s="143" t="str">
        <f ca="1">INDIRECT("'"&amp;U$6&amp;"'!$G$737")</f>
        <v>No</v>
      </c>
      <c r="V93" s="143" t="str">
        <f t="shared" ca="1" si="148"/>
        <v>No</v>
      </c>
      <c r="W93" s="143" t="str">
        <f ca="1">IF(INDIRECT("'"&amp;W$5&amp;"'!$G$3")=0,"",INDIRECT("'"&amp;W$5&amp;"'!$G$737"))</f>
        <v/>
      </c>
      <c r="X93" s="143" t="str">
        <f t="shared" ref="X93:AF93" ca="1" si="149">IF(INDIRECT("'"&amp;X$5&amp;"'!$G$3")=0,"",INDIRECT("'"&amp;X$5&amp;"'!$G$737"))</f>
        <v/>
      </c>
      <c r="Y93" s="143" t="str">
        <f t="shared" ca="1" si="149"/>
        <v/>
      </c>
      <c r="Z93" s="143" t="str">
        <f t="shared" ca="1" si="149"/>
        <v/>
      </c>
      <c r="AA93" s="143" t="str">
        <f t="shared" ca="1" si="149"/>
        <v/>
      </c>
      <c r="AB93" s="143" t="str">
        <f t="shared" ca="1" si="149"/>
        <v/>
      </c>
      <c r="AC93" s="143" t="str">
        <f t="shared" ca="1" si="149"/>
        <v/>
      </c>
      <c r="AD93" s="143" t="str">
        <f t="shared" ca="1" si="149"/>
        <v/>
      </c>
      <c r="AE93" s="143" t="str">
        <f t="shared" ca="1" si="149"/>
        <v/>
      </c>
      <c r="AF93" s="143" t="str">
        <f t="shared" ca="1" si="149"/>
        <v/>
      </c>
    </row>
    <row r="94" spans="1:32" ht="16" x14ac:dyDescent="0.2">
      <c r="A94" s="502"/>
      <c r="B94" s="124" t="s">
        <v>623</v>
      </c>
      <c r="C94" s="143" t="str">
        <f ca="1">INDIRECT("'"&amp;C$6&amp;"'!$G$752")</f>
        <v>No</v>
      </c>
      <c r="D94" s="143" t="str">
        <f t="shared" ref="D94:V94" ca="1" si="150">INDIRECT("'"&amp;D$6&amp;"'!$G$752")</f>
        <v>Yes</v>
      </c>
      <c r="E94" s="143" t="str">
        <f t="shared" ca="1" si="150"/>
        <v>Yes</v>
      </c>
      <c r="F94" s="143" t="str">
        <f t="shared" ca="1" si="150"/>
        <v>No</v>
      </c>
      <c r="G94" s="143" t="str">
        <f t="shared" ca="1" si="150"/>
        <v>Yes</v>
      </c>
      <c r="H94" s="143" t="str">
        <f t="shared" ca="1" si="150"/>
        <v>Yes</v>
      </c>
      <c r="I94" s="143" t="str">
        <f t="shared" ca="1" si="150"/>
        <v>No</v>
      </c>
      <c r="J94" s="143" t="str">
        <f t="shared" ca="1" si="150"/>
        <v>No</v>
      </c>
      <c r="K94" s="143" t="str">
        <f t="shared" ca="1" si="150"/>
        <v>No</v>
      </c>
      <c r="L94" s="143" t="str">
        <f t="shared" ca="1" si="150"/>
        <v>Yes</v>
      </c>
      <c r="M94" s="143" t="str">
        <f t="shared" ca="1" si="150"/>
        <v>Yes</v>
      </c>
      <c r="N94" s="143" t="str">
        <f t="shared" ca="1" si="150"/>
        <v>No</v>
      </c>
      <c r="O94" s="143" t="str">
        <f t="shared" ca="1" si="150"/>
        <v>Yes</v>
      </c>
      <c r="P94" s="143" t="str">
        <f t="shared" ca="1" si="150"/>
        <v>No</v>
      </c>
      <c r="Q94" s="143" t="str">
        <f t="shared" ca="1" si="150"/>
        <v>Yes</v>
      </c>
      <c r="R94" s="143" t="str">
        <f t="shared" ca="1" si="150"/>
        <v>No</v>
      </c>
      <c r="S94" s="143" t="str">
        <f t="shared" ca="1" si="150"/>
        <v>No</v>
      </c>
      <c r="T94" s="143" t="str">
        <f t="shared" ca="1" si="150"/>
        <v>No</v>
      </c>
      <c r="U94" s="143" t="str">
        <f ca="1">INDIRECT("'"&amp;U$6&amp;"'!$G$752")</f>
        <v>Yes</v>
      </c>
      <c r="V94" s="143" t="str">
        <f t="shared" ca="1" si="150"/>
        <v>No</v>
      </c>
      <c r="W94" s="143" t="str">
        <f ca="1">IF(INDIRECT("'"&amp;W$5&amp;"'!$G$3")=0,"",INDIRECT("'"&amp;W$5&amp;"'!$G$752"))</f>
        <v/>
      </c>
      <c r="X94" s="143" t="str">
        <f t="shared" ref="X94:AF94" ca="1" si="151">IF(INDIRECT("'"&amp;X$5&amp;"'!$G$3")=0,"",INDIRECT("'"&amp;X$5&amp;"'!$G$752"))</f>
        <v/>
      </c>
      <c r="Y94" s="143" t="str">
        <f t="shared" ca="1" si="151"/>
        <v/>
      </c>
      <c r="Z94" s="143" t="str">
        <f t="shared" ca="1" si="151"/>
        <v/>
      </c>
      <c r="AA94" s="143" t="str">
        <f t="shared" ca="1" si="151"/>
        <v/>
      </c>
      <c r="AB94" s="143" t="str">
        <f t="shared" ca="1" si="151"/>
        <v/>
      </c>
      <c r="AC94" s="143" t="str">
        <f t="shared" ca="1" si="151"/>
        <v/>
      </c>
      <c r="AD94" s="143" t="str">
        <f t="shared" ca="1" si="151"/>
        <v/>
      </c>
      <c r="AE94" s="143" t="str">
        <f t="shared" ca="1" si="151"/>
        <v/>
      </c>
      <c r="AF94" s="143" t="str">
        <f t="shared" ca="1" si="151"/>
        <v/>
      </c>
    </row>
    <row r="95" spans="1:32" ht="16" x14ac:dyDescent="0.2">
      <c r="A95" s="497"/>
      <c r="B95" s="125" t="s">
        <v>624</v>
      </c>
      <c r="C95" s="143" t="str">
        <f ca="1">INDIRECT("'"&amp;C$6&amp;"'!$G$767")</f>
        <v>Yes</v>
      </c>
      <c r="D95" s="143" t="str">
        <f t="shared" ref="D95:V95" ca="1" si="152">INDIRECT("'"&amp;D$6&amp;"'!$G$767")</f>
        <v>Yes</v>
      </c>
      <c r="E95" s="143" t="str">
        <f t="shared" ca="1" si="152"/>
        <v>Yes</v>
      </c>
      <c r="F95" s="143" t="str">
        <f t="shared" ca="1" si="152"/>
        <v>Yes</v>
      </c>
      <c r="G95" s="143" t="str">
        <f t="shared" ca="1" si="152"/>
        <v>Yes</v>
      </c>
      <c r="H95" s="143" t="str">
        <f t="shared" ca="1" si="152"/>
        <v>Yes</v>
      </c>
      <c r="I95" s="143" t="str">
        <f t="shared" ca="1" si="152"/>
        <v>No</v>
      </c>
      <c r="J95" s="143" t="str">
        <f t="shared" ca="1" si="152"/>
        <v>Yes</v>
      </c>
      <c r="K95" s="143" t="str">
        <f t="shared" ca="1" si="152"/>
        <v>No</v>
      </c>
      <c r="L95" s="143" t="str">
        <f t="shared" ca="1" si="152"/>
        <v>Yes</v>
      </c>
      <c r="M95" s="143" t="str">
        <f t="shared" ca="1" si="152"/>
        <v>Yes</v>
      </c>
      <c r="N95" s="143" t="str">
        <f t="shared" ca="1" si="152"/>
        <v>Yes</v>
      </c>
      <c r="O95" s="143" t="str">
        <f t="shared" ca="1" si="152"/>
        <v>Yes</v>
      </c>
      <c r="P95" s="143" t="str">
        <f t="shared" ca="1" si="152"/>
        <v>Yes</v>
      </c>
      <c r="Q95" s="143" t="str">
        <f t="shared" ca="1" si="152"/>
        <v>Yes</v>
      </c>
      <c r="R95" s="143" t="str">
        <f t="shared" ca="1" si="152"/>
        <v>Yes</v>
      </c>
      <c r="S95" s="143" t="str">
        <f t="shared" ca="1" si="152"/>
        <v>Yes</v>
      </c>
      <c r="T95" s="143" t="str">
        <f t="shared" ca="1" si="152"/>
        <v>Yes</v>
      </c>
      <c r="U95" s="143" t="str">
        <f ca="1">INDIRECT("'"&amp;U$6&amp;"'!$G$767")</f>
        <v>Yes</v>
      </c>
      <c r="V95" s="143" t="str">
        <f t="shared" ca="1" si="152"/>
        <v>Yes</v>
      </c>
      <c r="W95" s="143" t="str">
        <f ca="1">IF(INDIRECT("'"&amp;W$5&amp;"'!$G$3")=0,"",INDIRECT("'"&amp;W$5&amp;"'!$G$767"))</f>
        <v/>
      </c>
      <c r="X95" s="143" t="str">
        <f t="shared" ref="X95:AF95" ca="1" si="153">IF(INDIRECT("'"&amp;X$5&amp;"'!$G$3")=0,"",INDIRECT("'"&amp;X$5&amp;"'!$G$767"))</f>
        <v/>
      </c>
      <c r="Y95" s="143" t="str">
        <f t="shared" ca="1" si="153"/>
        <v/>
      </c>
      <c r="Z95" s="143" t="str">
        <f t="shared" ca="1" si="153"/>
        <v/>
      </c>
      <c r="AA95" s="143" t="str">
        <f t="shared" ca="1" si="153"/>
        <v/>
      </c>
      <c r="AB95" s="143" t="str">
        <f t="shared" ca="1" si="153"/>
        <v/>
      </c>
      <c r="AC95" s="143" t="str">
        <f t="shared" ca="1" si="153"/>
        <v/>
      </c>
      <c r="AD95" s="143" t="str">
        <f t="shared" ca="1" si="153"/>
        <v/>
      </c>
      <c r="AE95" s="143" t="str">
        <f t="shared" ca="1" si="153"/>
        <v/>
      </c>
      <c r="AF95" s="143" t="str">
        <f t="shared" ca="1" si="153"/>
        <v/>
      </c>
    </row>
    <row r="96" spans="1:32" ht="15" customHeight="1" x14ac:dyDescent="0.2">
      <c r="A96" s="496" t="s">
        <v>40</v>
      </c>
      <c r="B96" s="124" t="s">
        <v>621</v>
      </c>
      <c r="C96" s="142" t="str">
        <f ca="1">INDIRECT("'"&amp;C$6&amp;"'!$G$723")</f>
        <v>No</v>
      </c>
      <c r="D96" s="142" t="str">
        <f t="shared" ref="D96:V96" ca="1" si="154">INDIRECT("'"&amp;D$6&amp;"'!$G$723")</f>
        <v>Yes</v>
      </c>
      <c r="E96" s="142" t="str">
        <f t="shared" ca="1" si="154"/>
        <v>No</v>
      </c>
      <c r="F96" s="142" t="str">
        <f t="shared" ca="1" si="154"/>
        <v>No</v>
      </c>
      <c r="G96" s="142" t="str">
        <f t="shared" ca="1" si="154"/>
        <v>No</v>
      </c>
      <c r="H96" s="142" t="str">
        <f t="shared" ca="1" si="154"/>
        <v>No</v>
      </c>
      <c r="I96" s="142" t="str">
        <f t="shared" ca="1" si="154"/>
        <v>No</v>
      </c>
      <c r="J96" s="142" t="str">
        <f t="shared" ca="1" si="154"/>
        <v>No</v>
      </c>
      <c r="K96" s="142" t="str">
        <f t="shared" ca="1" si="154"/>
        <v>No</v>
      </c>
      <c r="L96" s="142" t="str">
        <f t="shared" ca="1" si="154"/>
        <v>No</v>
      </c>
      <c r="M96" s="142" t="str">
        <f t="shared" ca="1" si="154"/>
        <v>No</v>
      </c>
      <c r="N96" s="142" t="str">
        <f t="shared" ca="1" si="154"/>
        <v>Yes</v>
      </c>
      <c r="O96" s="142" t="str">
        <f t="shared" ca="1" si="154"/>
        <v>No</v>
      </c>
      <c r="P96" s="142" t="str">
        <f t="shared" ca="1" si="154"/>
        <v>Yes</v>
      </c>
      <c r="Q96" s="142" t="str">
        <f t="shared" ca="1" si="154"/>
        <v>Yes</v>
      </c>
      <c r="R96" s="142" t="str">
        <f t="shared" ca="1" si="154"/>
        <v>Yes</v>
      </c>
      <c r="S96" s="142" t="str">
        <f t="shared" ca="1" si="154"/>
        <v>Yes</v>
      </c>
      <c r="T96" s="142" t="str">
        <f t="shared" ca="1" si="154"/>
        <v>Yes</v>
      </c>
      <c r="U96" s="142" t="str">
        <f ca="1">INDIRECT("'"&amp;U$6&amp;"'!$G$723")</f>
        <v>No</v>
      </c>
      <c r="V96" s="142" t="str">
        <f t="shared" ca="1" si="154"/>
        <v>No</v>
      </c>
      <c r="W96" s="142" t="str">
        <f ca="1">IF(INDIRECT("'"&amp;W$5&amp;"'!$G$3")=0,"",INDIRECT("'"&amp;W$5&amp;"'!$G$723"))</f>
        <v/>
      </c>
      <c r="X96" s="142" t="str">
        <f t="shared" ref="X96:AF96" ca="1" si="155">IF(INDIRECT("'"&amp;X$5&amp;"'!$G$3")=0,"",INDIRECT("'"&amp;X$5&amp;"'!$G$723"))</f>
        <v/>
      </c>
      <c r="Y96" s="142" t="str">
        <f t="shared" ca="1" si="155"/>
        <v/>
      </c>
      <c r="Z96" s="142" t="str">
        <f t="shared" ca="1" si="155"/>
        <v/>
      </c>
      <c r="AA96" s="142" t="str">
        <f t="shared" ca="1" si="155"/>
        <v/>
      </c>
      <c r="AB96" s="142" t="str">
        <f t="shared" ca="1" si="155"/>
        <v/>
      </c>
      <c r="AC96" s="142" t="str">
        <f t="shared" ca="1" si="155"/>
        <v/>
      </c>
      <c r="AD96" s="142" t="str">
        <f t="shared" ca="1" si="155"/>
        <v/>
      </c>
      <c r="AE96" s="142" t="str">
        <f t="shared" ca="1" si="155"/>
        <v/>
      </c>
      <c r="AF96" s="142" t="str">
        <f t="shared" ca="1" si="155"/>
        <v/>
      </c>
    </row>
    <row r="97" spans="1:32" ht="16" x14ac:dyDescent="0.2">
      <c r="A97" s="502"/>
      <c r="B97" s="124" t="s">
        <v>622</v>
      </c>
      <c r="C97" s="143" t="str">
        <f ca="1">INDIRECT("'"&amp;C$6&amp;"'!$G$738")</f>
        <v>No</v>
      </c>
      <c r="D97" s="143" t="str">
        <f t="shared" ref="D97:V97" ca="1" si="156">INDIRECT("'"&amp;D$6&amp;"'!$G$738")</f>
        <v>No</v>
      </c>
      <c r="E97" s="143" t="str">
        <f t="shared" ca="1" si="156"/>
        <v>Yes</v>
      </c>
      <c r="F97" s="143" t="str">
        <f t="shared" ca="1" si="156"/>
        <v>No</v>
      </c>
      <c r="G97" s="143" t="str">
        <f t="shared" ca="1" si="156"/>
        <v>Yes</v>
      </c>
      <c r="H97" s="143" t="str">
        <f t="shared" ca="1" si="156"/>
        <v>Yes</v>
      </c>
      <c r="I97" s="143" t="str">
        <f t="shared" ca="1" si="156"/>
        <v>No</v>
      </c>
      <c r="J97" s="143" t="str">
        <f t="shared" ca="1" si="156"/>
        <v>No</v>
      </c>
      <c r="K97" s="143" t="str">
        <f t="shared" ca="1" si="156"/>
        <v>No</v>
      </c>
      <c r="L97" s="143" t="str">
        <f t="shared" ca="1" si="156"/>
        <v>Yes</v>
      </c>
      <c r="M97" s="143" t="str">
        <f t="shared" ca="1" si="156"/>
        <v>Yes</v>
      </c>
      <c r="N97" s="143" t="str">
        <f t="shared" ca="1" si="156"/>
        <v>No</v>
      </c>
      <c r="O97" s="143" t="str">
        <f t="shared" ca="1" si="156"/>
        <v>Yes</v>
      </c>
      <c r="P97" s="143" t="str">
        <f t="shared" ca="1" si="156"/>
        <v>No</v>
      </c>
      <c r="Q97" s="143" t="str">
        <f t="shared" ca="1" si="156"/>
        <v>Yes</v>
      </c>
      <c r="R97" s="143" t="str">
        <f t="shared" ca="1" si="156"/>
        <v>Yes</v>
      </c>
      <c r="S97" s="143" t="str">
        <f t="shared" ca="1" si="156"/>
        <v>Yes</v>
      </c>
      <c r="T97" s="143" t="str">
        <f t="shared" ca="1" si="156"/>
        <v>Yes</v>
      </c>
      <c r="U97" s="143" t="str">
        <f ca="1">INDIRECT("'"&amp;U$6&amp;"'!$G$738")</f>
        <v>Yes</v>
      </c>
      <c r="V97" s="143" t="str">
        <f t="shared" ca="1" si="156"/>
        <v>No</v>
      </c>
      <c r="W97" s="143" t="str">
        <f ca="1">IF(INDIRECT("'"&amp;W$5&amp;"'!$G$3")=0,"",INDIRECT("'"&amp;W$5&amp;"'!$G$738"))</f>
        <v/>
      </c>
      <c r="X97" s="143" t="str">
        <f t="shared" ref="X97:AF97" ca="1" si="157">IF(INDIRECT("'"&amp;X$5&amp;"'!$G$3")=0,"",INDIRECT("'"&amp;X$5&amp;"'!$G$738"))</f>
        <v/>
      </c>
      <c r="Y97" s="143" t="str">
        <f t="shared" ca="1" si="157"/>
        <v/>
      </c>
      <c r="Z97" s="143" t="str">
        <f t="shared" ca="1" si="157"/>
        <v/>
      </c>
      <c r="AA97" s="143" t="str">
        <f t="shared" ca="1" si="157"/>
        <v/>
      </c>
      <c r="AB97" s="143" t="str">
        <f t="shared" ca="1" si="157"/>
        <v/>
      </c>
      <c r="AC97" s="143" t="str">
        <f t="shared" ca="1" si="157"/>
        <v/>
      </c>
      <c r="AD97" s="143" t="str">
        <f t="shared" ca="1" si="157"/>
        <v/>
      </c>
      <c r="AE97" s="143" t="str">
        <f t="shared" ca="1" si="157"/>
        <v/>
      </c>
      <c r="AF97" s="143" t="str">
        <f t="shared" ca="1" si="157"/>
        <v/>
      </c>
    </row>
    <row r="98" spans="1:32" ht="16" x14ac:dyDescent="0.2">
      <c r="A98" s="502"/>
      <c r="B98" s="124" t="s">
        <v>623</v>
      </c>
      <c r="C98" s="143" t="str">
        <f ca="1">INDIRECT("'"&amp;C$6&amp;"'!$G$753")</f>
        <v>No</v>
      </c>
      <c r="D98" s="143" t="str">
        <f t="shared" ref="D98:V98" ca="1" si="158">INDIRECT("'"&amp;D$6&amp;"'!$G$753")</f>
        <v>Yes</v>
      </c>
      <c r="E98" s="143" t="str">
        <f t="shared" ca="1" si="158"/>
        <v>Yes</v>
      </c>
      <c r="F98" s="143" t="str">
        <f t="shared" ca="1" si="158"/>
        <v>No</v>
      </c>
      <c r="G98" s="143" t="str">
        <f t="shared" ca="1" si="158"/>
        <v>Yes</v>
      </c>
      <c r="H98" s="143" t="str">
        <f t="shared" ca="1" si="158"/>
        <v>Yes</v>
      </c>
      <c r="I98" s="143" t="str">
        <f t="shared" ca="1" si="158"/>
        <v>No</v>
      </c>
      <c r="J98" s="143" t="str">
        <f t="shared" ca="1" si="158"/>
        <v>No</v>
      </c>
      <c r="K98" s="143" t="str">
        <f t="shared" ca="1" si="158"/>
        <v>No</v>
      </c>
      <c r="L98" s="143" t="str">
        <f t="shared" ca="1" si="158"/>
        <v>Yes</v>
      </c>
      <c r="M98" s="143" t="str">
        <f t="shared" ca="1" si="158"/>
        <v>Yes</v>
      </c>
      <c r="N98" s="143" t="str">
        <f t="shared" ca="1" si="158"/>
        <v>No</v>
      </c>
      <c r="O98" s="143" t="str">
        <f t="shared" ca="1" si="158"/>
        <v>Yes</v>
      </c>
      <c r="P98" s="143" t="str">
        <f t="shared" ca="1" si="158"/>
        <v>No</v>
      </c>
      <c r="Q98" s="143" t="str">
        <f t="shared" ca="1" si="158"/>
        <v>Yes</v>
      </c>
      <c r="R98" s="143" t="str">
        <f t="shared" ca="1" si="158"/>
        <v>No</v>
      </c>
      <c r="S98" s="143" t="str">
        <f t="shared" ca="1" si="158"/>
        <v>No</v>
      </c>
      <c r="T98" s="143" t="str">
        <f t="shared" ca="1" si="158"/>
        <v>No</v>
      </c>
      <c r="U98" s="143" t="str">
        <f ca="1">INDIRECT("'"&amp;U$6&amp;"'!$G$753")</f>
        <v>Yes</v>
      </c>
      <c r="V98" s="143" t="str">
        <f t="shared" ca="1" si="158"/>
        <v>No</v>
      </c>
      <c r="W98" s="143" t="str">
        <f ca="1">IF(INDIRECT("'"&amp;W$5&amp;"'!$G$3")=0,"",INDIRECT("'"&amp;W$5&amp;"'!$G$753"))</f>
        <v/>
      </c>
      <c r="X98" s="143" t="str">
        <f t="shared" ref="X98:AF98" ca="1" si="159">IF(INDIRECT("'"&amp;X$5&amp;"'!$G$3")=0,"",INDIRECT("'"&amp;X$5&amp;"'!$G$753"))</f>
        <v/>
      </c>
      <c r="Y98" s="143" t="str">
        <f t="shared" ca="1" si="159"/>
        <v/>
      </c>
      <c r="Z98" s="143" t="str">
        <f t="shared" ca="1" si="159"/>
        <v/>
      </c>
      <c r="AA98" s="143" t="str">
        <f t="shared" ca="1" si="159"/>
        <v/>
      </c>
      <c r="AB98" s="143" t="str">
        <f t="shared" ca="1" si="159"/>
        <v/>
      </c>
      <c r="AC98" s="143" t="str">
        <f t="shared" ca="1" si="159"/>
        <v/>
      </c>
      <c r="AD98" s="143" t="str">
        <f t="shared" ca="1" si="159"/>
        <v/>
      </c>
      <c r="AE98" s="143" t="str">
        <f t="shared" ca="1" si="159"/>
        <v/>
      </c>
      <c r="AF98" s="143" t="str">
        <f t="shared" ca="1" si="159"/>
        <v/>
      </c>
    </row>
    <row r="99" spans="1:32" ht="16" x14ac:dyDescent="0.2">
      <c r="A99" s="497"/>
      <c r="B99" s="125" t="s">
        <v>624</v>
      </c>
      <c r="C99" s="143" t="str">
        <f ca="1">INDIRECT("'"&amp;C$6&amp;"'!$G$768")</f>
        <v>Yes</v>
      </c>
      <c r="D99" s="143" t="str">
        <f t="shared" ref="D99:V99" ca="1" si="160">INDIRECT("'"&amp;D$6&amp;"'!$G$768")</f>
        <v>Yes</v>
      </c>
      <c r="E99" s="143" t="str">
        <f t="shared" ca="1" si="160"/>
        <v>Yes</v>
      </c>
      <c r="F99" s="143" t="str">
        <f t="shared" ca="1" si="160"/>
        <v>Yes</v>
      </c>
      <c r="G99" s="143" t="str">
        <f t="shared" ca="1" si="160"/>
        <v>Yes</v>
      </c>
      <c r="H99" s="143" t="str">
        <f t="shared" ca="1" si="160"/>
        <v>Yes</v>
      </c>
      <c r="I99" s="143" t="str">
        <f t="shared" ca="1" si="160"/>
        <v>No</v>
      </c>
      <c r="J99" s="143" t="str">
        <f t="shared" ca="1" si="160"/>
        <v>Yes</v>
      </c>
      <c r="K99" s="143" t="str">
        <f t="shared" ca="1" si="160"/>
        <v>No</v>
      </c>
      <c r="L99" s="143" t="str">
        <f t="shared" ca="1" si="160"/>
        <v>Yes</v>
      </c>
      <c r="M99" s="143" t="str">
        <f t="shared" ca="1" si="160"/>
        <v>Yes</v>
      </c>
      <c r="N99" s="143" t="str">
        <f t="shared" ca="1" si="160"/>
        <v>Yes</v>
      </c>
      <c r="O99" s="143" t="str">
        <f t="shared" ca="1" si="160"/>
        <v>Yes</v>
      </c>
      <c r="P99" s="143" t="str">
        <f t="shared" ca="1" si="160"/>
        <v>Yes</v>
      </c>
      <c r="Q99" s="143" t="str">
        <f t="shared" ca="1" si="160"/>
        <v>Yes</v>
      </c>
      <c r="R99" s="143" t="str">
        <f t="shared" ca="1" si="160"/>
        <v>Yes</v>
      </c>
      <c r="S99" s="143" t="str">
        <f t="shared" ca="1" si="160"/>
        <v>Yes</v>
      </c>
      <c r="T99" s="143" t="str">
        <f t="shared" ca="1" si="160"/>
        <v>Yes</v>
      </c>
      <c r="U99" s="143" t="str">
        <f ca="1">INDIRECT("'"&amp;U$6&amp;"'!$G$768")</f>
        <v>Yes</v>
      </c>
      <c r="V99" s="143" t="str">
        <f t="shared" ca="1" si="160"/>
        <v>Yes</v>
      </c>
      <c r="W99" s="143" t="str">
        <f ca="1">IF(INDIRECT("'"&amp;W$5&amp;"'!$G$3")=0,"",INDIRECT("'"&amp;W$5&amp;"'!$G$768"))</f>
        <v/>
      </c>
      <c r="X99" s="143" t="str">
        <f t="shared" ref="X99:AF99" ca="1" si="161">IF(INDIRECT("'"&amp;X$5&amp;"'!$G$3")=0,"",INDIRECT("'"&amp;X$5&amp;"'!$G$768"))</f>
        <v/>
      </c>
      <c r="Y99" s="143" t="str">
        <f t="shared" ca="1" si="161"/>
        <v/>
      </c>
      <c r="Z99" s="143" t="str">
        <f t="shared" ca="1" si="161"/>
        <v/>
      </c>
      <c r="AA99" s="143" t="str">
        <f t="shared" ca="1" si="161"/>
        <v/>
      </c>
      <c r="AB99" s="143" t="str">
        <f t="shared" ca="1" si="161"/>
        <v/>
      </c>
      <c r="AC99" s="143" t="str">
        <f t="shared" ca="1" si="161"/>
        <v/>
      </c>
      <c r="AD99" s="143" t="str">
        <f t="shared" ca="1" si="161"/>
        <v/>
      </c>
      <c r="AE99" s="143" t="str">
        <f t="shared" ca="1" si="161"/>
        <v/>
      </c>
      <c r="AF99" s="143" t="str">
        <f t="shared" ca="1" si="161"/>
        <v/>
      </c>
    </row>
    <row r="100" spans="1:32" ht="15" customHeight="1" x14ac:dyDescent="0.2">
      <c r="A100" s="496" t="s">
        <v>41</v>
      </c>
      <c r="B100" s="124" t="s">
        <v>621</v>
      </c>
      <c r="C100" s="142" t="str">
        <f ca="1">INDIRECT("'"&amp;C$6&amp;"'!$G$724")</f>
        <v>Yes</v>
      </c>
      <c r="D100" s="142" t="str">
        <f t="shared" ref="D100:V100" ca="1" si="162">INDIRECT("'"&amp;D$6&amp;"'!$G$724")</f>
        <v>Yes</v>
      </c>
      <c r="E100" s="142" t="str">
        <f t="shared" ca="1" si="162"/>
        <v>Yes</v>
      </c>
      <c r="F100" s="142" t="str">
        <f t="shared" ca="1" si="162"/>
        <v>Yes</v>
      </c>
      <c r="G100" s="142" t="str">
        <f t="shared" ca="1" si="162"/>
        <v>Yes</v>
      </c>
      <c r="H100" s="142" t="str">
        <f t="shared" ca="1" si="162"/>
        <v>Yes</v>
      </c>
      <c r="I100" s="142" t="str">
        <f t="shared" ca="1" si="162"/>
        <v>Yes</v>
      </c>
      <c r="J100" s="142" t="str">
        <f t="shared" ca="1" si="162"/>
        <v>Yes</v>
      </c>
      <c r="K100" s="142" t="str">
        <f t="shared" ca="1" si="162"/>
        <v>Yes</v>
      </c>
      <c r="L100" s="142" t="str">
        <f t="shared" ca="1" si="162"/>
        <v>Yes</v>
      </c>
      <c r="M100" s="142" t="str">
        <f t="shared" ca="1" si="162"/>
        <v>Yes</v>
      </c>
      <c r="N100" s="142" t="str">
        <f t="shared" ca="1" si="162"/>
        <v>Yes</v>
      </c>
      <c r="O100" s="142" t="str">
        <f t="shared" ca="1" si="162"/>
        <v>Yes</v>
      </c>
      <c r="P100" s="142" t="str">
        <f t="shared" ca="1" si="162"/>
        <v>Yes</v>
      </c>
      <c r="Q100" s="142" t="str">
        <f t="shared" ca="1" si="162"/>
        <v>Yes</v>
      </c>
      <c r="R100" s="142" t="str">
        <f t="shared" ca="1" si="162"/>
        <v>Yes</v>
      </c>
      <c r="S100" s="142" t="str">
        <f t="shared" ca="1" si="162"/>
        <v>Yes</v>
      </c>
      <c r="T100" s="142" t="str">
        <f t="shared" ca="1" si="162"/>
        <v>Yes</v>
      </c>
      <c r="U100" s="142" t="str">
        <f ca="1">INDIRECT("'"&amp;U$6&amp;"'!$G$724")</f>
        <v>Yes</v>
      </c>
      <c r="V100" s="142" t="str">
        <f t="shared" ca="1" si="162"/>
        <v>Yes</v>
      </c>
      <c r="W100" s="142" t="str">
        <f ca="1">IF(INDIRECT("'"&amp;W$5&amp;"'!$G$3")=0,"",INDIRECT("'"&amp;W$5&amp;"'!$G$724"))</f>
        <v/>
      </c>
      <c r="X100" s="142" t="str">
        <f t="shared" ref="X100:AF100" ca="1" si="163">IF(INDIRECT("'"&amp;X$5&amp;"'!$G$3")=0,"",INDIRECT("'"&amp;X$5&amp;"'!$G$724"))</f>
        <v/>
      </c>
      <c r="Y100" s="142" t="str">
        <f t="shared" ca="1" si="163"/>
        <v/>
      </c>
      <c r="Z100" s="142" t="str">
        <f t="shared" ca="1" si="163"/>
        <v/>
      </c>
      <c r="AA100" s="142" t="str">
        <f t="shared" ca="1" si="163"/>
        <v/>
      </c>
      <c r="AB100" s="142" t="str">
        <f t="shared" ca="1" si="163"/>
        <v/>
      </c>
      <c r="AC100" s="142" t="str">
        <f t="shared" ca="1" si="163"/>
        <v/>
      </c>
      <c r="AD100" s="142" t="str">
        <f t="shared" ca="1" si="163"/>
        <v/>
      </c>
      <c r="AE100" s="142" t="str">
        <f t="shared" ca="1" si="163"/>
        <v/>
      </c>
      <c r="AF100" s="142" t="str">
        <f t="shared" ca="1" si="163"/>
        <v/>
      </c>
    </row>
    <row r="101" spans="1:32" ht="16" x14ac:dyDescent="0.2">
      <c r="A101" s="502"/>
      <c r="B101" s="124" t="s">
        <v>622</v>
      </c>
      <c r="C101" s="143" t="str">
        <f ca="1">INDIRECT("'"&amp;C$6&amp;"'!$G$739")</f>
        <v>No</v>
      </c>
      <c r="D101" s="143" t="str">
        <f t="shared" ref="D101:V101" ca="1" si="164">INDIRECT("'"&amp;D$6&amp;"'!$G$739")</f>
        <v>No</v>
      </c>
      <c r="E101" s="143" t="str">
        <f t="shared" ca="1" si="164"/>
        <v>Yes</v>
      </c>
      <c r="F101" s="143" t="str">
        <f t="shared" ca="1" si="164"/>
        <v>No</v>
      </c>
      <c r="G101" s="143" t="str">
        <f t="shared" ca="1" si="164"/>
        <v>Yes</v>
      </c>
      <c r="H101" s="143" t="str">
        <f t="shared" ca="1" si="164"/>
        <v>Yes</v>
      </c>
      <c r="I101" s="143" t="str">
        <f t="shared" ca="1" si="164"/>
        <v>No</v>
      </c>
      <c r="J101" s="143" t="str">
        <f t="shared" ca="1" si="164"/>
        <v>No</v>
      </c>
      <c r="K101" s="143" t="str">
        <f t="shared" ca="1" si="164"/>
        <v>No</v>
      </c>
      <c r="L101" s="143" t="str">
        <f t="shared" ca="1" si="164"/>
        <v>Yes</v>
      </c>
      <c r="M101" s="143" t="str">
        <f t="shared" ca="1" si="164"/>
        <v>Yes</v>
      </c>
      <c r="N101" s="143" t="str">
        <f t="shared" ca="1" si="164"/>
        <v>No</v>
      </c>
      <c r="O101" s="143" t="str">
        <f t="shared" ca="1" si="164"/>
        <v>Yes</v>
      </c>
      <c r="P101" s="143" t="str">
        <f t="shared" ca="1" si="164"/>
        <v>No</v>
      </c>
      <c r="Q101" s="143" t="str">
        <f t="shared" ca="1" si="164"/>
        <v>Yes</v>
      </c>
      <c r="R101" s="143" t="str">
        <f t="shared" ca="1" si="164"/>
        <v>Yes</v>
      </c>
      <c r="S101" s="143" t="str">
        <f t="shared" ca="1" si="164"/>
        <v>Yes</v>
      </c>
      <c r="T101" s="143" t="str">
        <f t="shared" ca="1" si="164"/>
        <v>No</v>
      </c>
      <c r="U101" s="143" t="str">
        <f ca="1">INDIRECT("'"&amp;U$6&amp;"'!$G$739")</f>
        <v>Yes</v>
      </c>
      <c r="V101" s="143" t="str">
        <f t="shared" ca="1" si="164"/>
        <v>No</v>
      </c>
      <c r="W101" s="143" t="str">
        <f ca="1">IF(INDIRECT("'"&amp;W$5&amp;"'!$G$3")=0,"",INDIRECT("'"&amp;W$5&amp;"'!$G$739"))</f>
        <v/>
      </c>
      <c r="X101" s="143" t="str">
        <f t="shared" ref="X101:AF101" ca="1" si="165">IF(INDIRECT("'"&amp;X$5&amp;"'!$G$3")=0,"",INDIRECT("'"&amp;X$5&amp;"'!$G$739"))</f>
        <v/>
      </c>
      <c r="Y101" s="143" t="str">
        <f t="shared" ca="1" si="165"/>
        <v/>
      </c>
      <c r="Z101" s="143" t="str">
        <f t="shared" ca="1" si="165"/>
        <v/>
      </c>
      <c r="AA101" s="143" t="str">
        <f t="shared" ca="1" si="165"/>
        <v/>
      </c>
      <c r="AB101" s="143" t="str">
        <f t="shared" ca="1" si="165"/>
        <v/>
      </c>
      <c r="AC101" s="143" t="str">
        <f t="shared" ca="1" si="165"/>
        <v/>
      </c>
      <c r="AD101" s="143" t="str">
        <f t="shared" ca="1" si="165"/>
        <v/>
      </c>
      <c r="AE101" s="143" t="str">
        <f t="shared" ca="1" si="165"/>
        <v/>
      </c>
      <c r="AF101" s="143" t="str">
        <f t="shared" ca="1" si="165"/>
        <v/>
      </c>
    </row>
    <row r="102" spans="1:32" ht="16" x14ac:dyDescent="0.2">
      <c r="A102" s="502"/>
      <c r="B102" s="124" t="s">
        <v>623</v>
      </c>
      <c r="C102" s="143" t="str">
        <f ca="1">INDIRECT("'"&amp;C$6&amp;"'!$G$754")</f>
        <v>No</v>
      </c>
      <c r="D102" s="143" t="str">
        <f t="shared" ref="D102:V102" ca="1" si="166">INDIRECT("'"&amp;D$6&amp;"'!$G$754")</f>
        <v>Yes</v>
      </c>
      <c r="E102" s="143" t="str">
        <f t="shared" ca="1" si="166"/>
        <v>Yes</v>
      </c>
      <c r="F102" s="143" t="str">
        <f t="shared" ca="1" si="166"/>
        <v>No</v>
      </c>
      <c r="G102" s="143" t="str">
        <f t="shared" ca="1" si="166"/>
        <v>Yes</v>
      </c>
      <c r="H102" s="143" t="str">
        <f t="shared" ca="1" si="166"/>
        <v>Yes</v>
      </c>
      <c r="I102" s="143" t="str">
        <f t="shared" ca="1" si="166"/>
        <v>No</v>
      </c>
      <c r="J102" s="143" t="str">
        <f t="shared" ca="1" si="166"/>
        <v>No</v>
      </c>
      <c r="K102" s="143" t="str">
        <f t="shared" ca="1" si="166"/>
        <v>No</v>
      </c>
      <c r="L102" s="143" t="str">
        <f t="shared" ca="1" si="166"/>
        <v>Yes</v>
      </c>
      <c r="M102" s="143" t="str">
        <f t="shared" ca="1" si="166"/>
        <v>Yes</v>
      </c>
      <c r="N102" s="143" t="str">
        <f t="shared" ca="1" si="166"/>
        <v>No</v>
      </c>
      <c r="O102" s="143" t="str">
        <f t="shared" ca="1" si="166"/>
        <v>Yes</v>
      </c>
      <c r="P102" s="143" t="str">
        <f t="shared" ca="1" si="166"/>
        <v>No</v>
      </c>
      <c r="Q102" s="143" t="str">
        <f t="shared" ca="1" si="166"/>
        <v>Yes</v>
      </c>
      <c r="R102" s="143" t="str">
        <f t="shared" ca="1" si="166"/>
        <v>No</v>
      </c>
      <c r="S102" s="143" t="str">
        <f t="shared" ca="1" si="166"/>
        <v>No</v>
      </c>
      <c r="T102" s="143" t="str">
        <f t="shared" ca="1" si="166"/>
        <v>No</v>
      </c>
      <c r="U102" s="143" t="str">
        <f ca="1">INDIRECT("'"&amp;U$6&amp;"'!$G$754")</f>
        <v>Yes</v>
      </c>
      <c r="V102" s="143" t="str">
        <f t="shared" ca="1" si="166"/>
        <v>No</v>
      </c>
      <c r="W102" s="143" t="str">
        <f ca="1">IF(INDIRECT("'"&amp;W$5&amp;"'!$G$3")=0,"",INDIRECT("'"&amp;W$5&amp;"'!$G$754"))</f>
        <v/>
      </c>
      <c r="X102" s="143" t="str">
        <f t="shared" ref="X102:AF102" ca="1" si="167">IF(INDIRECT("'"&amp;X$5&amp;"'!$G$3")=0,"",INDIRECT("'"&amp;X$5&amp;"'!$G$754"))</f>
        <v/>
      </c>
      <c r="Y102" s="143" t="str">
        <f t="shared" ca="1" si="167"/>
        <v/>
      </c>
      <c r="Z102" s="143" t="str">
        <f t="shared" ca="1" si="167"/>
        <v/>
      </c>
      <c r="AA102" s="143" t="str">
        <f t="shared" ca="1" si="167"/>
        <v/>
      </c>
      <c r="AB102" s="143" t="str">
        <f t="shared" ca="1" si="167"/>
        <v/>
      </c>
      <c r="AC102" s="143" t="str">
        <f t="shared" ca="1" si="167"/>
        <v/>
      </c>
      <c r="AD102" s="143" t="str">
        <f t="shared" ca="1" si="167"/>
        <v/>
      </c>
      <c r="AE102" s="143" t="str">
        <f t="shared" ca="1" si="167"/>
        <v/>
      </c>
      <c r="AF102" s="143" t="str">
        <f t="shared" ca="1" si="167"/>
        <v/>
      </c>
    </row>
    <row r="103" spans="1:32" ht="16" x14ac:dyDescent="0.2">
      <c r="A103" s="497"/>
      <c r="B103" s="125" t="s">
        <v>624</v>
      </c>
      <c r="C103" s="143" t="str">
        <f ca="1">INDIRECT("'"&amp;C$6&amp;"'!$G$769")</f>
        <v>Yes</v>
      </c>
      <c r="D103" s="143" t="str">
        <f t="shared" ref="D103:V103" ca="1" si="168">INDIRECT("'"&amp;D$6&amp;"'!$G$769")</f>
        <v>Yes</v>
      </c>
      <c r="E103" s="143" t="str">
        <f t="shared" ca="1" si="168"/>
        <v>Yes</v>
      </c>
      <c r="F103" s="143" t="str">
        <f t="shared" ca="1" si="168"/>
        <v>Yes</v>
      </c>
      <c r="G103" s="143" t="str">
        <f t="shared" ca="1" si="168"/>
        <v>Yes</v>
      </c>
      <c r="H103" s="143" t="str">
        <f t="shared" ca="1" si="168"/>
        <v>Yes</v>
      </c>
      <c r="I103" s="143" t="str">
        <f t="shared" ca="1" si="168"/>
        <v>No</v>
      </c>
      <c r="J103" s="143" t="str">
        <f t="shared" ca="1" si="168"/>
        <v>Yes</v>
      </c>
      <c r="K103" s="143" t="str">
        <f t="shared" ca="1" si="168"/>
        <v>No</v>
      </c>
      <c r="L103" s="143" t="str">
        <f t="shared" ca="1" si="168"/>
        <v>Yes</v>
      </c>
      <c r="M103" s="143" t="str">
        <f t="shared" ca="1" si="168"/>
        <v>Yes</v>
      </c>
      <c r="N103" s="143" t="str">
        <f t="shared" ca="1" si="168"/>
        <v>Yes</v>
      </c>
      <c r="O103" s="143" t="str">
        <f t="shared" ca="1" si="168"/>
        <v>Yes</v>
      </c>
      <c r="P103" s="143" t="str">
        <f t="shared" ca="1" si="168"/>
        <v>Yes</v>
      </c>
      <c r="Q103" s="143" t="str">
        <f t="shared" ca="1" si="168"/>
        <v>Yes</v>
      </c>
      <c r="R103" s="143" t="str">
        <f t="shared" ca="1" si="168"/>
        <v>Yes</v>
      </c>
      <c r="S103" s="143" t="str">
        <f t="shared" ca="1" si="168"/>
        <v>Yes</v>
      </c>
      <c r="T103" s="143" t="str">
        <f t="shared" ca="1" si="168"/>
        <v>Yes</v>
      </c>
      <c r="U103" s="143" t="str">
        <f ca="1">INDIRECT("'"&amp;U$6&amp;"'!$G$769")</f>
        <v>Yes</v>
      </c>
      <c r="V103" s="143" t="str">
        <f t="shared" ca="1" si="168"/>
        <v>Yes</v>
      </c>
      <c r="W103" s="143" t="str">
        <f ca="1">IF(INDIRECT("'"&amp;W$5&amp;"'!$G$3")=0,"",INDIRECT("'"&amp;W$5&amp;"'!$G$769"))</f>
        <v/>
      </c>
      <c r="X103" s="143" t="str">
        <f t="shared" ref="X103:AF103" ca="1" si="169">IF(INDIRECT("'"&amp;X$5&amp;"'!$G$3")=0,"",INDIRECT("'"&amp;X$5&amp;"'!$G$769"))</f>
        <v/>
      </c>
      <c r="Y103" s="143" t="str">
        <f t="shared" ca="1" si="169"/>
        <v/>
      </c>
      <c r="Z103" s="143" t="str">
        <f t="shared" ca="1" si="169"/>
        <v/>
      </c>
      <c r="AA103" s="143" t="str">
        <f t="shared" ca="1" si="169"/>
        <v/>
      </c>
      <c r="AB103" s="143" t="str">
        <f t="shared" ca="1" si="169"/>
        <v/>
      </c>
      <c r="AC103" s="143" t="str">
        <f t="shared" ca="1" si="169"/>
        <v/>
      </c>
      <c r="AD103" s="143" t="str">
        <f t="shared" ca="1" si="169"/>
        <v/>
      </c>
      <c r="AE103" s="143" t="str">
        <f t="shared" ca="1" si="169"/>
        <v/>
      </c>
      <c r="AF103" s="143" t="str">
        <f t="shared" ca="1" si="169"/>
        <v/>
      </c>
    </row>
    <row r="104" spans="1:32" ht="15" customHeight="1" x14ac:dyDescent="0.2">
      <c r="A104" s="496" t="s">
        <v>43</v>
      </c>
      <c r="B104" s="124" t="s">
        <v>621</v>
      </c>
      <c r="C104" s="142" t="str">
        <f ca="1">INDIRECT("'"&amp;C$6&amp;"'!$G$725")</f>
        <v>No</v>
      </c>
      <c r="D104" s="142" t="str">
        <f t="shared" ref="D104:V104" ca="1" si="170">INDIRECT("'"&amp;D$6&amp;"'!$G$725")</f>
        <v>Yes</v>
      </c>
      <c r="E104" s="142" t="str">
        <f t="shared" ca="1" si="170"/>
        <v>No</v>
      </c>
      <c r="F104" s="142" t="str">
        <f t="shared" ca="1" si="170"/>
        <v>No</v>
      </c>
      <c r="G104" s="142" t="str">
        <f t="shared" ca="1" si="170"/>
        <v>No</v>
      </c>
      <c r="H104" s="142" t="str">
        <f t="shared" ca="1" si="170"/>
        <v>No</v>
      </c>
      <c r="I104" s="142" t="str">
        <f t="shared" ca="1" si="170"/>
        <v>No</v>
      </c>
      <c r="J104" s="142" t="str">
        <f t="shared" ca="1" si="170"/>
        <v>No</v>
      </c>
      <c r="K104" s="142" t="str">
        <f t="shared" ca="1" si="170"/>
        <v>No</v>
      </c>
      <c r="L104" s="142" t="str">
        <f t="shared" ca="1" si="170"/>
        <v>No</v>
      </c>
      <c r="M104" s="142" t="str">
        <f t="shared" ca="1" si="170"/>
        <v>No</v>
      </c>
      <c r="N104" s="142" t="str">
        <f t="shared" ca="1" si="170"/>
        <v>No</v>
      </c>
      <c r="O104" s="142" t="str">
        <f t="shared" ca="1" si="170"/>
        <v>No</v>
      </c>
      <c r="P104" s="142" t="str">
        <f t="shared" ca="1" si="170"/>
        <v>Yes</v>
      </c>
      <c r="Q104" s="142" t="str">
        <f t="shared" ca="1" si="170"/>
        <v>Yes</v>
      </c>
      <c r="R104" s="142" t="str">
        <f t="shared" ca="1" si="170"/>
        <v>Yes</v>
      </c>
      <c r="S104" s="142" t="str">
        <f t="shared" ca="1" si="170"/>
        <v>Yes</v>
      </c>
      <c r="T104" s="142" t="str">
        <f t="shared" ca="1" si="170"/>
        <v>Yes</v>
      </c>
      <c r="U104" s="142" t="str">
        <f ca="1">INDIRECT("'"&amp;U$6&amp;"'!$G$725")</f>
        <v>No</v>
      </c>
      <c r="V104" s="142" t="str">
        <f t="shared" ca="1" si="170"/>
        <v>No</v>
      </c>
      <c r="W104" s="142" t="str">
        <f ca="1">IF(INDIRECT("'"&amp;W$5&amp;"'!$G$3")=0,"",INDIRECT("'"&amp;W$5&amp;"'!$G$725"))</f>
        <v/>
      </c>
      <c r="X104" s="142" t="str">
        <f t="shared" ref="X104:AF104" ca="1" si="171">IF(INDIRECT("'"&amp;X$5&amp;"'!$G$3")=0,"",INDIRECT("'"&amp;X$5&amp;"'!$G$725"))</f>
        <v/>
      </c>
      <c r="Y104" s="142" t="str">
        <f t="shared" ca="1" si="171"/>
        <v/>
      </c>
      <c r="Z104" s="142" t="str">
        <f t="shared" ca="1" si="171"/>
        <v/>
      </c>
      <c r="AA104" s="142" t="str">
        <f t="shared" ca="1" si="171"/>
        <v/>
      </c>
      <c r="AB104" s="142" t="str">
        <f t="shared" ca="1" si="171"/>
        <v/>
      </c>
      <c r="AC104" s="142" t="str">
        <f t="shared" ca="1" si="171"/>
        <v/>
      </c>
      <c r="AD104" s="142" t="str">
        <f t="shared" ca="1" si="171"/>
        <v/>
      </c>
      <c r="AE104" s="142" t="str">
        <f t="shared" ca="1" si="171"/>
        <v/>
      </c>
      <c r="AF104" s="142" t="str">
        <f t="shared" ca="1" si="171"/>
        <v/>
      </c>
    </row>
    <row r="105" spans="1:32" ht="16" x14ac:dyDescent="0.2">
      <c r="A105" s="502"/>
      <c r="B105" s="124" t="s">
        <v>622</v>
      </c>
      <c r="C105" s="143" t="str">
        <f ca="1">INDIRECT("'"&amp;C$6&amp;"'!$G$740")</f>
        <v>No</v>
      </c>
      <c r="D105" s="143" t="str">
        <f t="shared" ref="D105:V105" ca="1" si="172">INDIRECT("'"&amp;D$6&amp;"'!$G$740")</f>
        <v>No</v>
      </c>
      <c r="E105" s="143" t="str">
        <f t="shared" ca="1" si="172"/>
        <v>Yes</v>
      </c>
      <c r="F105" s="143" t="str">
        <f t="shared" ca="1" si="172"/>
        <v>No</v>
      </c>
      <c r="G105" s="143" t="str">
        <f t="shared" ca="1" si="172"/>
        <v>Yes</v>
      </c>
      <c r="H105" s="143" t="str">
        <f t="shared" ca="1" si="172"/>
        <v>Yes</v>
      </c>
      <c r="I105" s="143" t="str">
        <f t="shared" ca="1" si="172"/>
        <v>No</v>
      </c>
      <c r="J105" s="143" t="str">
        <f t="shared" ca="1" si="172"/>
        <v>No</v>
      </c>
      <c r="K105" s="143" t="str">
        <f t="shared" ca="1" si="172"/>
        <v>No</v>
      </c>
      <c r="L105" s="143" t="str">
        <f t="shared" ca="1" si="172"/>
        <v>Yes</v>
      </c>
      <c r="M105" s="143" t="str">
        <f t="shared" ca="1" si="172"/>
        <v>Yes</v>
      </c>
      <c r="N105" s="143" t="str">
        <f t="shared" ca="1" si="172"/>
        <v>No</v>
      </c>
      <c r="O105" s="143" t="str">
        <f t="shared" ca="1" si="172"/>
        <v>Yes</v>
      </c>
      <c r="P105" s="143" t="str">
        <f t="shared" ca="1" si="172"/>
        <v>No</v>
      </c>
      <c r="Q105" s="143" t="str">
        <f t="shared" ca="1" si="172"/>
        <v>Yes</v>
      </c>
      <c r="R105" s="143" t="str">
        <f t="shared" ca="1" si="172"/>
        <v>Yes</v>
      </c>
      <c r="S105" s="143" t="str">
        <f t="shared" ca="1" si="172"/>
        <v>Yes</v>
      </c>
      <c r="T105" s="143" t="str">
        <f t="shared" ca="1" si="172"/>
        <v>Yes</v>
      </c>
      <c r="U105" s="143" t="str">
        <f ca="1">INDIRECT("'"&amp;U$6&amp;"'!$G$740")</f>
        <v>Yes</v>
      </c>
      <c r="V105" s="143" t="str">
        <f t="shared" ca="1" si="172"/>
        <v>No</v>
      </c>
      <c r="W105" s="143" t="str">
        <f ca="1">IF(INDIRECT("'"&amp;W$5&amp;"'!$G$3")=0,"",INDIRECT("'"&amp;W$5&amp;"'!$G$740"))</f>
        <v/>
      </c>
      <c r="X105" s="143" t="str">
        <f t="shared" ref="X105:AF105" ca="1" si="173">IF(INDIRECT("'"&amp;X$5&amp;"'!$G$3")=0,"",INDIRECT("'"&amp;X$5&amp;"'!$G$740"))</f>
        <v/>
      </c>
      <c r="Y105" s="143" t="str">
        <f t="shared" ca="1" si="173"/>
        <v/>
      </c>
      <c r="Z105" s="143" t="str">
        <f t="shared" ca="1" si="173"/>
        <v/>
      </c>
      <c r="AA105" s="143" t="str">
        <f t="shared" ca="1" si="173"/>
        <v/>
      </c>
      <c r="AB105" s="143" t="str">
        <f t="shared" ca="1" si="173"/>
        <v/>
      </c>
      <c r="AC105" s="143" t="str">
        <f t="shared" ca="1" si="173"/>
        <v/>
      </c>
      <c r="AD105" s="143" t="str">
        <f t="shared" ca="1" si="173"/>
        <v/>
      </c>
      <c r="AE105" s="143" t="str">
        <f t="shared" ca="1" si="173"/>
        <v/>
      </c>
      <c r="AF105" s="143" t="str">
        <f t="shared" ca="1" si="173"/>
        <v/>
      </c>
    </row>
    <row r="106" spans="1:32" ht="16" x14ac:dyDescent="0.2">
      <c r="A106" s="502"/>
      <c r="B106" s="124" t="s">
        <v>623</v>
      </c>
      <c r="C106" s="143" t="str">
        <f ca="1">INDIRECT("'"&amp;C$6&amp;"'!$G$755")</f>
        <v>No</v>
      </c>
      <c r="D106" s="143" t="str">
        <f t="shared" ref="D106:V106" ca="1" si="174">INDIRECT("'"&amp;D$6&amp;"'!$G$755")</f>
        <v>Yes</v>
      </c>
      <c r="E106" s="143" t="str">
        <f t="shared" ca="1" si="174"/>
        <v>Yes</v>
      </c>
      <c r="F106" s="143" t="str">
        <f t="shared" ca="1" si="174"/>
        <v>No</v>
      </c>
      <c r="G106" s="143" t="str">
        <f t="shared" ca="1" si="174"/>
        <v>Yes</v>
      </c>
      <c r="H106" s="143" t="str">
        <f t="shared" ca="1" si="174"/>
        <v>Yes</v>
      </c>
      <c r="I106" s="143" t="str">
        <f t="shared" ca="1" si="174"/>
        <v>No</v>
      </c>
      <c r="J106" s="143" t="str">
        <f t="shared" ca="1" si="174"/>
        <v>No</v>
      </c>
      <c r="K106" s="143" t="str">
        <f t="shared" ca="1" si="174"/>
        <v>No</v>
      </c>
      <c r="L106" s="143" t="str">
        <f t="shared" ca="1" si="174"/>
        <v>Yes</v>
      </c>
      <c r="M106" s="143" t="str">
        <f t="shared" ca="1" si="174"/>
        <v>Yes</v>
      </c>
      <c r="N106" s="143" t="str">
        <f t="shared" ca="1" si="174"/>
        <v>No</v>
      </c>
      <c r="O106" s="143" t="str">
        <f t="shared" ca="1" si="174"/>
        <v>Yes</v>
      </c>
      <c r="P106" s="143" t="str">
        <f t="shared" ca="1" si="174"/>
        <v>No</v>
      </c>
      <c r="Q106" s="143" t="str">
        <f t="shared" ca="1" si="174"/>
        <v>Yes</v>
      </c>
      <c r="R106" s="143" t="str">
        <f t="shared" ca="1" si="174"/>
        <v>No</v>
      </c>
      <c r="S106" s="143" t="str">
        <f t="shared" ca="1" si="174"/>
        <v>No</v>
      </c>
      <c r="T106" s="143" t="str">
        <f t="shared" ca="1" si="174"/>
        <v>No</v>
      </c>
      <c r="U106" s="143" t="str">
        <f ca="1">INDIRECT("'"&amp;U$6&amp;"'!$G$755")</f>
        <v>Yes</v>
      </c>
      <c r="V106" s="143" t="str">
        <f t="shared" ca="1" si="174"/>
        <v>No</v>
      </c>
      <c r="W106" s="143" t="str">
        <f ca="1">IF(INDIRECT("'"&amp;W$5&amp;"'!$G$3")=0,"",INDIRECT("'"&amp;W$5&amp;"'!$G$755"))</f>
        <v/>
      </c>
      <c r="X106" s="143" t="str">
        <f t="shared" ref="X106:AF106" ca="1" si="175">IF(INDIRECT("'"&amp;X$5&amp;"'!$G$3")=0,"",INDIRECT("'"&amp;X$5&amp;"'!$G$755"))</f>
        <v/>
      </c>
      <c r="Y106" s="143" t="str">
        <f t="shared" ca="1" si="175"/>
        <v/>
      </c>
      <c r="Z106" s="143" t="str">
        <f t="shared" ca="1" si="175"/>
        <v/>
      </c>
      <c r="AA106" s="143" t="str">
        <f t="shared" ca="1" si="175"/>
        <v/>
      </c>
      <c r="AB106" s="143" t="str">
        <f t="shared" ca="1" si="175"/>
        <v/>
      </c>
      <c r="AC106" s="143" t="str">
        <f t="shared" ca="1" si="175"/>
        <v/>
      </c>
      <c r="AD106" s="143" t="str">
        <f t="shared" ca="1" si="175"/>
        <v/>
      </c>
      <c r="AE106" s="143" t="str">
        <f t="shared" ca="1" si="175"/>
        <v/>
      </c>
      <c r="AF106" s="143" t="str">
        <f t="shared" ca="1" si="175"/>
        <v/>
      </c>
    </row>
    <row r="107" spans="1:32" ht="16" x14ac:dyDescent="0.2">
      <c r="A107" s="497"/>
      <c r="B107" s="125" t="s">
        <v>624</v>
      </c>
      <c r="C107" s="143" t="str">
        <f ca="1">INDIRECT("'"&amp;C$6&amp;"'!$G$770")</f>
        <v>Yes</v>
      </c>
      <c r="D107" s="143" t="str">
        <f t="shared" ref="D107:V107" ca="1" si="176">INDIRECT("'"&amp;D$6&amp;"'!$G$770")</f>
        <v>Yes</v>
      </c>
      <c r="E107" s="143" t="str">
        <f t="shared" ca="1" si="176"/>
        <v>Yes</v>
      </c>
      <c r="F107" s="143" t="str">
        <f t="shared" ca="1" si="176"/>
        <v>Yes</v>
      </c>
      <c r="G107" s="143" t="str">
        <f t="shared" ca="1" si="176"/>
        <v>Yes</v>
      </c>
      <c r="H107" s="143" t="str">
        <f t="shared" ca="1" si="176"/>
        <v>Yes</v>
      </c>
      <c r="I107" s="143" t="str">
        <f t="shared" ca="1" si="176"/>
        <v>No</v>
      </c>
      <c r="J107" s="143" t="str">
        <f t="shared" ca="1" si="176"/>
        <v>Yes</v>
      </c>
      <c r="K107" s="143" t="str">
        <f t="shared" ca="1" si="176"/>
        <v>No</v>
      </c>
      <c r="L107" s="143" t="str">
        <f t="shared" ca="1" si="176"/>
        <v>Yes</v>
      </c>
      <c r="M107" s="143" t="str">
        <f t="shared" ca="1" si="176"/>
        <v>Yes</v>
      </c>
      <c r="N107" s="143" t="str">
        <f t="shared" ca="1" si="176"/>
        <v>Yes</v>
      </c>
      <c r="O107" s="143" t="str">
        <f t="shared" ca="1" si="176"/>
        <v>Yes</v>
      </c>
      <c r="P107" s="143" t="str">
        <f t="shared" ca="1" si="176"/>
        <v>Yes</v>
      </c>
      <c r="Q107" s="143" t="str">
        <f t="shared" ca="1" si="176"/>
        <v>Yes</v>
      </c>
      <c r="R107" s="143" t="str">
        <f t="shared" ca="1" si="176"/>
        <v>Yes</v>
      </c>
      <c r="S107" s="143" t="str">
        <f t="shared" ca="1" si="176"/>
        <v>Yes</v>
      </c>
      <c r="T107" s="143" t="str">
        <f t="shared" ca="1" si="176"/>
        <v>Yes</v>
      </c>
      <c r="U107" s="143" t="str">
        <f ca="1">INDIRECT("'"&amp;U$6&amp;"'!$G$770")</f>
        <v>Yes</v>
      </c>
      <c r="V107" s="143" t="str">
        <f t="shared" ca="1" si="176"/>
        <v>Yes</v>
      </c>
      <c r="W107" s="143" t="str">
        <f ca="1">IF(INDIRECT("'"&amp;W$5&amp;"'!$G$3")=0,"",INDIRECT("'"&amp;W$5&amp;"'!$G$770"))</f>
        <v/>
      </c>
      <c r="X107" s="143" t="str">
        <f t="shared" ref="X107:AF107" ca="1" si="177">IF(INDIRECT("'"&amp;X$5&amp;"'!$G$3")=0,"",INDIRECT("'"&amp;X$5&amp;"'!$G$770"))</f>
        <v/>
      </c>
      <c r="Y107" s="143" t="str">
        <f t="shared" ca="1" si="177"/>
        <v/>
      </c>
      <c r="Z107" s="143" t="str">
        <f t="shared" ca="1" si="177"/>
        <v/>
      </c>
      <c r="AA107" s="143" t="str">
        <f t="shared" ca="1" si="177"/>
        <v/>
      </c>
      <c r="AB107" s="143" t="str">
        <f t="shared" ca="1" si="177"/>
        <v/>
      </c>
      <c r="AC107" s="143" t="str">
        <f t="shared" ca="1" si="177"/>
        <v/>
      </c>
      <c r="AD107" s="143" t="str">
        <f t="shared" ca="1" si="177"/>
        <v/>
      </c>
      <c r="AE107" s="143" t="str">
        <f t="shared" ca="1" si="177"/>
        <v/>
      </c>
      <c r="AF107" s="143" t="str">
        <f t="shared" ca="1" si="177"/>
        <v/>
      </c>
    </row>
    <row r="108" spans="1:32" x14ac:dyDescent="0.2">
      <c r="A108" s="492"/>
      <c r="B108" s="493"/>
      <c r="C108" s="145"/>
      <c r="D108" s="145"/>
      <c r="E108" s="145"/>
      <c r="F108" s="145"/>
      <c r="G108" s="145"/>
      <c r="H108" s="145"/>
      <c r="I108" s="145"/>
      <c r="J108" s="145"/>
      <c r="K108" s="145"/>
      <c r="L108" s="145"/>
      <c r="M108" s="145"/>
      <c r="N108" s="145"/>
      <c r="O108" s="145"/>
      <c r="P108" s="145"/>
      <c r="Q108" s="145"/>
      <c r="R108" s="145"/>
      <c r="S108" s="145"/>
      <c r="T108" s="145"/>
      <c r="U108" s="145"/>
      <c r="V108" s="145"/>
      <c r="W108" s="145"/>
      <c r="X108" s="145"/>
      <c r="Y108" s="145"/>
      <c r="Z108" s="145"/>
      <c r="AA108" s="145"/>
      <c r="AB108" s="145"/>
      <c r="AC108" s="145"/>
      <c r="AD108" s="145"/>
      <c r="AE108" s="145"/>
      <c r="AF108" s="145"/>
    </row>
    <row r="109" spans="1:32" ht="15.75" customHeight="1" x14ac:dyDescent="0.2">
      <c r="A109" s="494" t="s">
        <v>911</v>
      </c>
      <c r="B109" s="495"/>
      <c r="C109" s="146"/>
      <c r="D109" s="146"/>
      <c r="E109" s="146"/>
      <c r="F109" s="146"/>
      <c r="G109" s="146"/>
      <c r="H109" s="146"/>
      <c r="I109" s="146"/>
      <c r="J109" s="146"/>
      <c r="K109" s="146"/>
      <c r="L109" s="146"/>
      <c r="M109" s="146"/>
      <c r="N109" s="146"/>
      <c r="O109" s="146"/>
      <c r="P109" s="146"/>
      <c r="Q109" s="146"/>
      <c r="R109" s="146"/>
      <c r="S109" s="146"/>
      <c r="T109" s="146"/>
      <c r="U109" s="146"/>
      <c r="V109" s="146"/>
      <c r="W109" s="146"/>
      <c r="X109" s="146"/>
      <c r="Y109" s="146"/>
      <c r="Z109" s="146"/>
      <c r="AA109" s="146"/>
      <c r="AB109" s="146"/>
      <c r="AC109" s="146"/>
      <c r="AD109" s="146"/>
      <c r="AE109" s="146"/>
      <c r="AF109" s="146"/>
    </row>
    <row r="110" spans="1:32" ht="15" customHeight="1" x14ac:dyDescent="0.2">
      <c r="A110" s="496" t="s">
        <v>100</v>
      </c>
      <c r="B110" s="124" t="s">
        <v>625</v>
      </c>
      <c r="C110" s="142" t="str">
        <f ca="1">INDIRECT("'"&amp;C$6&amp;"'!$G$834")</f>
        <v>Critical</v>
      </c>
      <c r="D110" s="142" t="str">
        <f t="shared" ref="D110:V110" ca="1" si="178">INDIRECT("'"&amp;D$6&amp;"'!$G$834")</f>
        <v>Critical</v>
      </c>
      <c r="E110" s="142" t="str">
        <f t="shared" ca="1" si="178"/>
        <v>Critical</v>
      </c>
      <c r="F110" s="142" t="str">
        <f t="shared" ca="1" si="178"/>
        <v>Important</v>
      </c>
      <c r="G110" s="142" t="str">
        <f t="shared" ca="1" si="178"/>
        <v>Critical</v>
      </c>
      <c r="H110" s="142" t="str">
        <f t="shared" ca="1" si="178"/>
        <v>Critical</v>
      </c>
      <c r="I110" s="142" t="str">
        <f t="shared" ca="1" si="178"/>
        <v>Critical</v>
      </c>
      <c r="J110" s="142" t="str">
        <f t="shared" ca="1" si="178"/>
        <v>Critical</v>
      </c>
      <c r="K110" s="142" t="str">
        <f t="shared" ca="1" si="178"/>
        <v>Critical</v>
      </c>
      <c r="L110" s="142" t="str">
        <f t="shared" ca="1" si="178"/>
        <v>Critical</v>
      </c>
      <c r="M110" s="142" t="str">
        <f t="shared" ca="1" si="178"/>
        <v>Critical</v>
      </c>
      <c r="N110" s="142" t="str">
        <f t="shared" ca="1" si="178"/>
        <v>Critical</v>
      </c>
      <c r="O110" s="142" t="str">
        <f t="shared" ca="1" si="178"/>
        <v>Critical</v>
      </c>
      <c r="P110" s="142" t="str">
        <f t="shared" ca="1" si="178"/>
        <v>Critical</v>
      </c>
      <c r="Q110" s="142" t="str">
        <f t="shared" ca="1" si="178"/>
        <v>Critical</v>
      </c>
      <c r="R110" s="142" t="str">
        <f t="shared" ca="1" si="178"/>
        <v>Critical</v>
      </c>
      <c r="S110" s="142" t="str">
        <f t="shared" ca="1" si="178"/>
        <v>Critical</v>
      </c>
      <c r="T110" s="142" t="str">
        <f t="shared" ca="1" si="178"/>
        <v>Critical</v>
      </c>
      <c r="U110" s="142" t="str">
        <f ca="1">INDIRECT("'"&amp;U$6&amp;"'!$G$834")</f>
        <v>Critical</v>
      </c>
      <c r="V110" s="142" t="str">
        <f t="shared" ca="1" si="178"/>
        <v>Critical</v>
      </c>
      <c r="W110" s="142" t="str">
        <f ca="1">IF(INDIRECT("'"&amp;W$5&amp;"'!$G$3")=0,"",INDIRECT("'"&amp;W$5&amp;"'!$G$834"))</f>
        <v/>
      </c>
      <c r="X110" s="142" t="str">
        <f t="shared" ref="X110:AF110" ca="1" si="179">IF(INDIRECT("'"&amp;X$5&amp;"'!$G$3")=0,"",INDIRECT("'"&amp;X$5&amp;"'!$G$834"))</f>
        <v/>
      </c>
      <c r="Y110" s="142" t="str">
        <f t="shared" ca="1" si="179"/>
        <v/>
      </c>
      <c r="Z110" s="142" t="str">
        <f t="shared" ca="1" si="179"/>
        <v/>
      </c>
      <c r="AA110" s="142" t="str">
        <f t="shared" ca="1" si="179"/>
        <v/>
      </c>
      <c r="AB110" s="142" t="str">
        <f t="shared" ca="1" si="179"/>
        <v/>
      </c>
      <c r="AC110" s="142" t="str">
        <f t="shared" ca="1" si="179"/>
        <v/>
      </c>
      <c r="AD110" s="142" t="str">
        <f t="shared" ca="1" si="179"/>
        <v/>
      </c>
      <c r="AE110" s="142" t="str">
        <f t="shared" ca="1" si="179"/>
        <v/>
      </c>
      <c r="AF110" s="142" t="str">
        <f t="shared" ca="1" si="179"/>
        <v/>
      </c>
    </row>
    <row r="111" spans="1:32" ht="16" x14ac:dyDescent="0.2">
      <c r="A111" s="497"/>
      <c r="B111" s="125" t="s">
        <v>626</v>
      </c>
      <c r="C111" s="155">
        <f ca="1">INDIRECT("'"&amp;C$6&amp;"'!$J$835")</f>
        <v>0</v>
      </c>
      <c r="D111" s="155">
        <f t="shared" ref="D111:V111" ca="1" si="180">INDIRECT("'"&amp;D$6&amp;"'!$J$835")</f>
        <v>0</v>
      </c>
      <c r="E111" s="155">
        <f t="shared" ca="1" si="180"/>
        <v>0</v>
      </c>
      <c r="F111" s="155">
        <f t="shared" ca="1" si="180"/>
        <v>0</v>
      </c>
      <c r="G111" s="155">
        <f t="shared" ca="1" si="180"/>
        <v>0</v>
      </c>
      <c r="H111" s="155">
        <f t="shared" ca="1" si="180"/>
        <v>0</v>
      </c>
      <c r="I111" s="155">
        <f t="shared" ca="1" si="180"/>
        <v>0</v>
      </c>
      <c r="J111" s="155">
        <f t="shared" ca="1" si="180"/>
        <v>0</v>
      </c>
      <c r="K111" s="155">
        <f t="shared" ca="1" si="180"/>
        <v>0</v>
      </c>
      <c r="L111" s="155">
        <f t="shared" ca="1" si="180"/>
        <v>0</v>
      </c>
      <c r="M111" s="155">
        <f t="shared" ca="1" si="180"/>
        <v>0</v>
      </c>
      <c r="N111" s="155">
        <f t="shared" ca="1" si="180"/>
        <v>0</v>
      </c>
      <c r="O111" s="155">
        <f t="shared" ca="1" si="180"/>
        <v>0</v>
      </c>
      <c r="P111" s="155">
        <f t="shared" ca="1" si="180"/>
        <v>0</v>
      </c>
      <c r="Q111" s="155">
        <f t="shared" ca="1" si="180"/>
        <v>0</v>
      </c>
      <c r="R111" s="155">
        <f t="shared" ca="1" si="180"/>
        <v>0</v>
      </c>
      <c r="S111" s="155">
        <f t="shared" ca="1" si="180"/>
        <v>0</v>
      </c>
      <c r="T111" s="155">
        <f t="shared" ca="1" si="180"/>
        <v>0</v>
      </c>
      <c r="U111" s="155">
        <f ca="1">INDIRECT("'"&amp;U$6&amp;"'!$J$835")</f>
        <v>0</v>
      </c>
      <c r="V111" s="155">
        <f t="shared" ca="1" si="180"/>
        <v>0</v>
      </c>
      <c r="W111" s="155" t="str">
        <f ca="1">IF(INDIRECT("'"&amp;W$5&amp;"'!$G$3")=0,"",INDIRECT("'"&amp;W$5&amp;"'!$J$835"))</f>
        <v/>
      </c>
      <c r="X111" s="155" t="str">
        <f t="shared" ref="X111:AF111" ca="1" si="181">IF(INDIRECT("'"&amp;X$5&amp;"'!$G$3")=0,"",INDIRECT("'"&amp;X$5&amp;"'!$J$835"))</f>
        <v/>
      </c>
      <c r="Y111" s="155" t="str">
        <f t="shared" ca="1" si="181"/>
        <v/>
      </c>
      <c r="Z111" s="155" t="str">
        <f t="shared" ca="1" si="181"/>
        <v/>
      </c>
      <c r="AA111" s="155" t="str">
        <f t="shared" ca="1" si="181"/>
        <v/>
      </c>
      <c r="AB111" s="155" t="str">
        <f t="shared" ca="1" si="181"/>
        <v/>
      </c>
      <c r="AC111" s="155" t="str">
        <f t="shared" ca="1" si="181"/>
        <v/>
      </c>
      <c r="AD111" s="155" t="str">
        <f t="shared" ca="1" si="181"/>
        <v/>
      </c>
      <c r="AE111" s="155" t="str">
        <f t="shared" ca="1" si="181"/>
        <v/>
      </c>
      <c r="AF111" s="155" t="str">
        <f t="shared" ca="1" si="181"/>
        <v/>
      </c>
    </row>
    <row r="112" spans="1:32" ht="15" customHeight="1" x14ac:dyDescent="0.2">
      <c r="A112" s="496" t="s">
        <v>103</v>
      </c>
      <c r="B112" s="124" t="s">
        <v>625</v>
      </c>
      <c r="C112" s="142" t="str">
        <f ca="1">INDIRECT("'"&amp;C$6&amp;"'!$G$838")</f>
        <v>Highly Important</v>
      </c>
      <c r="D112" s="142" t="str">
        <f t="shared" ref="D112:V112" ca="1" si="182">INDIRECT("'"&amp;D$6&amp;"'!$G$838")</f>
        <v>Critical</v>
      </c>
      <c r="E112" s="142" t="str">
        <f t="shared" ca="1" si="182"/>
        <v>Critical</v>
      </c>
      <c r="F112" s="142" t="str">
        <f t="shared" ca="1" si="182"/>
        <v>Important</v>
      </c>
      <c r="G112" s="142" t="str">
        <f t="shared" ca="1" si="182"/>
        <v>Critical</v>
      </c>
      <c r="H112" s="142" t="str">
        <f t="shared" ca="1" si="182"/>
        <v>Critical</v>
      </c>
      <c r="I112" s="142" t="str">
        <f t="shared" ca="1" si="182"/>
        <v>Critical</v>
      </c>
      <c r="J112" s="142" t="str">
        <f t="shared" ca="1" si="182"/>
        <v>Critical</v>
      </c>
      <c r="K112" s="142" t="str">
        <f t="shared" ca="1" si="182"/>
        <v>Critical</v>
      </c>
      <c r="L112" s="142" t="str">
        <f t="shared" ca="1" si="182"/>
        <v>Critical</v>
      </c>
      <c r="M112" s="142" t="str">
        <f t="shared" ca="1" si="182"/>
        <v>Critical</v>
      </c>
      <c r="N112" s="142" t="str">
        <f t="shared" ca="1" si="182"/>
        <v>Important</v>
      </c>
      <c r="O112" s="142" t="str">
        <f t="shared" ca="1" si="182"/>
        <v>Critical</v>
      </c>
      <c r="P112" s="142" t="str">
        <f t="shared" ca="1" si="182"/>
        <v>Critical</v>
      </c>
      <c r="Q112" s="142" t="str">
        <f t="shared" ca="1" si="182"/>
        <v>Critical</v>
      </c>
      <c r="R112" s="142" t="str">
        <f t="shared" ca="1" si="182"/>
        <v>Important</v>
      </c>
      <c r="S112" s="142" t="str">
        <f t="shared" ca="1" si="182"/>
        <v>Critical</v>
      </c>
      <c r="T112" s="142" t="str">
        <f t="shared" ca="1" si="182"/>
        <v>Critical</v>
      </c>
      <c r="U112" s="142" t="str">
        <f ca="1">INDIRECT("'"&amp;U$6&amp;"'!$G$838")</f>
        <v>Critical</v>
      </c>
      <c r="V112" s="142" t="str">
        <f t="shared" ca="1" si="182"/>
        <v>Highly Important</v>
      </c>
      <c r="W112" s="142" t="str">
        <f ca="1">IF(INDIRECT("'"&amp;W$5&amp;"'!$G$3")=0,"",INDIRECT("'"&amp;W$5&amp;"'!$G$838"))</f>
        <v/>
      </c>
      <c r="X112" s="142" t="str">
        <f t="shared" ref="X112:AF112" ca="1" si="183">IF(INDIRECT("'"&amp;X$5&amp;"'!$G$3")=0,"",INDIRECT("'"&amp;X$5&amp;"'!$G$838"))</f>
        <v/>
      </c>
      <c r="Y112" s="142" t="str">
        <f t="shared" ca="1" si="183"/>
        <v/>
      </c>
      <c r="Z112" s="142" t="str">
        <f t="shared" ca="1" si="183"/>
        <v/>
      </c>
      <c r="AA112" s="142" t="str">
        <f t="shared" ca="1" si="183"/>
        <v/>
      </c>
      <c r="AB112" s="142" t="str">
        <f t="shared" ca="1" si="183"/>
        <v/>
      </c>
      <c r="AC112" s="142" t="str">
        <f t="shared" ca="1" si="183"/>
        <v/>
      </c>
      <c r="AD112" s="142" t="str">
        <f t="shared" ca="1" si="183"/>
        <v/>
      </c>
      <c r="AE112" s="142" t="str">
        <f t="shared" ca="1" si="183"/>
        <v/>
      </c>
      <c r="AF112" s="142" t="str">
        <f t="shared" ca="1" si="183"/>
        <v/>
      </c>
    </row>
    <row r="113" spans="1:32" ht="16" x14ac:dyDescent="0.2">
      <c r="A113" s="497"/>
      <c r="B113" s="125" t="s">
        <v>626</v>
      </c>
      <c r="C113" s="155">
        <f ca="1">INDIRECT("'"&amp;C$6&amp;"'!$J$839")</f>
        <v>0</v>
      </c>
      <c r="D113" s="155">
        <f t="shared" ref="D113:V113" ca="1" si="184">INDIRECT("'"&amp;D$6&amp;"'!$J$839")</f>
        <v>0</v>
      </c>
      <c r="E113" s="155">
        <f t="shared" ca="1" si="184"/>
        <v>0</v>
      </c>
      <c r="F113" s="155">
        <f t="shared" ca="1" si="184"/>
        <v>0</v>
      </c>
      <c r="G113" s="155">
        <f t="shared" ca="1" si="184"/>
        <v>0</v>
      </c>
      <c r="H113" s="155">
        <f t="shared" ca="1" si="184"/>
        <v>0</v>
      </c>
      <c r="I113" s="155">
        <f t="shared" ca="1" si="184"/>
        <v>0</v>
      </c>
      <c r="J113" s="155">
        <f t="shared" ca="1" si="184"/>
        <v>0</v>
      </c>
      <c r="K113" s="155">
        <f t="shared" ca="1" si="184"/>
        <v>0</v>
      </c>
      <c r="L113" s="155">
        <f t="shared" ca="1" si="184"/>
        <v>0</v>
      </c>
      <c r="M113" s="155">
        <f t="shared" ca="1" si="184"/>
        <v>0</v>
      </c>
      <c r="N113" s="155">
        <f t="shared" ca="1" si="184"/>
        <v>0</v>
      </c>
      <c r="O113" s="155">
        <f t="shared" ca="1" si="184"/>
        <v>0</v>
      </c>
      <c r="P113" s="155">
        <f t="shared" ca="1" si="184"/>
        <v>0</v>
      </c>
      <c r="Q113" s="155">
        <f t="shared" ca="1" si="184"/>
        <v>0</v>
      </c>
      <c r="R113" s="155">
        <f t="shared" ca="1" si="184"/>
        <v>0</v>
      </c>
      <c r="S113" s="155">
        <f t="shared" ca="1" si="184"/>
        <v>0</v>
      </c>
      <c r="T113" s="155">
        <f t="shared" ca="1" si="184"/>
        <v>0</v>
      </c>
      <c r="U113" s="155">
        <f ca="1">INDIRECT("'"&amp;U$6&amp;"'!$J$839")</f>
        <v>0</v>
      </c>
      <c r="V113" s="155">
        <f t="shared" ca="1" si="184"/>
        <v>0</v>
      </c>
      <c r="W113" s="155" t="str">
        <f ca="1">IF(INDIRECT("'"&amp;W$5&amp;"'!$G$3")=0,"",INDIRECT("'"&amp;W$5&amp;"'!$J$839"))</f>
        <v/>
      </c>
      <c r="X113" s="155" t="str">
        <f t="shared" ref="X113:AF113" ca="1" si="185">IF(INDIRECT("'"&amp;X$5&amp;"'!$G$3")=0,"",INDIRECT("'"&amp;X$5&amp;"'!$J$839"))</f>
        <v/>
      </c>
      <c r="Y113" s="155" t="str">
        <f t="shared" ca="1" si="185"/>
        <v/>
      </c>
      <c r="Z113" s="155" t="str">
        <f t="shared" ca="1" si="185"/>
        <v/>
      </c>
      <c r="AA113" s="155" t="str">
        <f t="shared" ca="1" si="185"/>
        <v/>
      </c>
      <c r="AB113" s="155" t="str">
        <f t="shared" ca="1" si="185"/>
        <v/>
      </c>
      <c r="AC113" s="155" t="str">
        <f t="shared" ca="1" si="185"/>
        <v/>
      </c>
      <c r="AD113" s="155" t="str">
        <f t="shared" ca="1" si="185"/>
        <v/>
      </c>
      <c r="AE113" s="155" t="str">
        <f t="shared" ca="1" si="185"/>
        <v/>
      </c>
      <c r="AF113" s="155" t="str">
        <f t="shared" ca="1" si="185"/>
        <v/>
      </c>
    </row>
    <row r="114" spans="1:32" ht="15" customHeight="1" x14ac:dyDescent="0.2">
      <c r="A114" s="496" t="s">
        <v>107</v>
      </c>
      <c r="B114" s="124" t="s">
        <v>625</v>
      </c>
      <c r="C114" s="142" t="str">
        <f ca="1">INDIRECT("'"&amp;C$6&amp;"'!$G$842")</f>
        <v>Important</v>
      </c>
      <c r="D114" s="142" t="str">
        <f t="shared" ref="D114:V114" ca="1" si="186">INDIRECT("'"&amp;D$6&amp;"'!$G$842")</f>
        <v>Critical</v>
      </c>
      <c r="E114" s="142" t="str">
        <f t="shared" ca="1" si="186"/>
        <v>Critical</v>
      </c>
      <c r="F114" s="142" t="str">
        <f t="shared" ca="1" si="186"/>
        <v>Important</v>
      </c>
      <c r="G114" s="142" t="str">
        <f t="shared" ca="1" si="186"/>
        <v>Critical</v>
      </c>
      <c r="H114" s="142" t="str">
        <f t="shared" ca="1" si="186"/>
        <v>Important</v>
      </c>
      <c r="I114" s="142" t="str">
        <f t="shared" ca="1" si="186"/>
        <v>Highly Important</v>
      </c>
      <c r="J114" s="142" t="str">
        <f t="shared" ca="1" si="186"/>
        <v>Not relevant</v>
      </c>
      <c r="K114" s="142" t="str">
        <f t="shared" ca="1" si="186"/>
        <v>Limited importance</v>
      </c>
      <c r="L114" s="142" t="str">
        <f t="shared" ca="1" si="186"/>
        <v>Critical</v>
      </c>
      <c r="M114" s="142" t="str">
        <f t="shared" ca="1" si="186"/>
        <v>Critical</v>
      </c>
      <c r="N114" s="142" t="str">
        <f t="shared" ca="1" si="186"/>
        <v>Critical</v>
      </c>
      <c r="O114" s="142" t="str">
        <f t="shared" ca="1" si="186"/>
        <v>Critical</v>
      </c>
      <c r="P114" s="142" t="str">
        <f t="shared" ca="1" si="186"/>
        <v>Critical</v>
      </c>
      <c r="Q114" s="142" t="str">
        <f t="shared" ca="1" si="186"/>
        <v>Critical</v>
      </c>
      <c r="R114" s="142" t="str">
        <f t="shared" ca="1" si="186"/>
        <v>Critical</v>
      </c>
      <c r="S114" s="142" t="str">
        <f t="shared" ca="1" si="186"/>
        <v>Critical</v>
      </c>
      <c r="T114" s="142" t="str">
        <f t="shared" ca="1" si="186"/>
        <v>Critical</v>
      </c>
      <c r="U114" s="142" t="str">
        <f ca="1">INDIRECT("'"&amp;U$6&amp;"'!$G$842")</f>
        <v>Critical</v>
      </c>
      <c r="V114" s="142" t="str">
        <f t="shared" ca="1" si="186"/>
        <v>Critical</v>
      </c>
      <c r="W114" s="142" t="str">
        <f ca="1">IF(INDIRECT("'"&amp;W$5&amp;"'!$G$3")=0,"",INDIRECT("'"&amp;W$5&amp;"'!$G$842"))</f>
        <v/>
      </c>
      <c r="X114" s="142" t="str">
        <f t="shared" ref="X114:AF114" ca="1" si="187">IF(INDIRECT("'"&amp;X$5&amp;"'!$G$3")=0,"",INDIRECT("'"&amp;X$5&amp;"'!$G$842"))</f>
        <v/>
      </c>
      <c r="Y114" s="142" t="str">
        <f t="shared" ca="1" si="187"/>
        <v/>
      </c>
      <c r="Z114" s="142" t="str">
        <f t="shared" ca="1" si="187"/>
        <v/>
      </c>
      <c r="AA114" s="142" t="str">
        <f t="shared" ca="1" si="187"/>
        <v/>
      </c>
      <c r="AB114" s="142" t="str">
        <f t="shared" ca="1" si="187"/>
        <v/>
      </c>
      <c r="AC114" s="142" t="str">
        <f t="shared" ca="1" si="187"/>
        <v/>
      </c>
      <c r="AD114" s="142" t="str">
        <f t="shared" ca="1" si="187"/>
        <v/>
      </c>
      <c r="AE114" s="142" t="str">
        <f t="shared" ca="1" si="187"/>
        <v/>
      </c>
      <c r="AF114" s="142" t="str">
        <f t="shared" ca="1" si="187"/>
        <v/>
      </c>
    </row>
    <row r="115" spans="1:32" ht="16" x14ac:dyDescent="0.2">
      <c r="A115" s="497"/>
      <c r="B115" s="125" t="s">
        <v>626</v>
      </c>
      <c r="C115" s="155">
        <f ca="1">INDIRECT("'"&amp;C$6&amp;"'!$J$843")</f>
        <v>0</v>
      </c>
      <c r="D115" s="155">
        <f t="shared" ref="D115:V115" ca="1" si="188">INDIRECT("'"&amp;D$6&amp;"'!$J$843")</f>
        <v>0</v>
      </c>
      <c r="E115" s="155">
        <f t="shared" ca="1" si="188"/>
        <v>0</v>
      </c>
      <c r="F115" s="155">
        <f t="shared" ca="1" si="188"/>
        <v>0</v>
      </c>
      <c r="G115" s="155">
        <f t="shared" ca="1" si="188"/>
        <v>0</v>
      </c>
      <c r="H115" s="155">
        <f t="shared" ca="1" si="188"/>
        <v>0</v>
      </c>
      <c r="I115" s="155">
        <f t="shared" ca="1" si="188"/>
        <v>0</v>
      </c>
      <c r="J115" s="155">
        <f t="shared" ca="1" si="188"/>
        <v>0</v>
      </c>
      <c r="K115" s="155">
        <f t="shared" ca="1" si="188"/>
        <v>0</v>
      </c>
      <c r="L115" s="155">
        <f t="shared" ca="1" si="188"/>
        <v>0</v>
      </c>
      <c r="M115" s="155">
        <f t="shared" ca="1" si="188"/>
        <v>0</v>
      </c>
      <c r="N115" s="155">
        <f t="shared" ca="1" si="188"/>
        <v>0</v>
      </c>
      <c r="O115" s="155">
        <f t="shared" ca="1" si="188"/>
        <v>0</v>
      </c>
      <c r="P115" s="155">
        <f t="shared" ca="1" si="188"/>
        <v>0</v>
      </c>
      <c r="Q115" s="155">
        <f t="shared" ca="1" si="188"/>
        <v>0</v>
      </c>
      <c r="R115" s="155">
        <f t="shared" ca="1" si="188"/>
        <v>0</v>
      </c>
      <c r="S115" s="155">
        <f t="shared" ca="1" si="188"/>
        <v>0</v>
      </c>
      <c r="T115" s="155">
        <f t="shared" ca="1" si="188"/>
        <v>0</v>
      </c>
      <c r="U115" s="155">
        <f ca="1">INDIRECT("'"&amp;U$6&amp;"'!$J$843")</f>
        <v>0</v>
      </c>
      <c r="V115" s="155">
        <f t="shared" ca="1" si="188"/>
        <v>0</v>
      </c>
      <c r="W115" s="155" t="str">
        <f ca="1">IF(INDIRECT("'"&amp;W$5&amp;"'!$G$3")=0,"",INDIRECT("'"&amp;W$5&amp;"'!$J$843"))</f>
        <v/>
      </c>
      <c r="X115" s="155" t="str">
        <f t="shared" ref="X115:AF115" ca="1" si="189">IF(INDIRECT("'"&amp;X$5&amp;"'!$G$3")=0,"",INDIRECT("'"&amp;X$5&amp;"'!$J$843"))</f>
        <v/>
      </c>
      <c r="Y115" s="155" t="str">
        <f t="shared" ca="1" si="189"/>
        <v/>
      </c>
      <c r="Z115" s="155" t="str">
        <f t="shared" ca="1" si="189"/>
        <v/>
      </c>
      <c r="AA115" s="155" t="str">
        <f t="shared" ca="1" si="189"/>
        <v/>
      </c>
      <c r="AB115" s="155" t="str">
        <f t="shared" ca="1" si="189"/>
        <v/>
      </c>
      <c r="AC115" s="155" t="str">
        <f t="shared" ca="1" si="189"/>
        <v/>
      </c>
      <c r="AD115" s="155" t="str">
        <f t="shared" ca="1" si="189"/>
        <v/>
      </c>
      <c r="AE115" s="155" t="str">
        <f t="shared" ca="1" si="189"/>
        <v/>
      </c>
      <c r="AF115" s="155" t="str">
        <f t="shared" ca="1" si="189"/>
        <v/>
      </c>
    </row>
    <row r="116" spans="1:32" ht="15" customHeight="1" x14ac:dyDescent="0.2">
      <c r="A116" s="496" t="s">
        <v>109</v>
      </c>
      <c r="B116" s="124" t="s">
        <v>625</v>
      </c>
      <c r="C116" s="142" t="str">
        <f ca="1">INDIRECT("'"&amp;C$6&amp;"'!$G$846")</f>
        <v>Critical</v>
      </c>
      <c r="D116" s="142" t="str">
        <f t="shared" ref="D116:V116" ca="1" si="190">INDIRECT("'"&amp;D$6&amp;"'!$G$846")</f>
        <v>Critical</v>
      </c>
      <c r="E116" s="142" t="str">
        <f t="shared" ca="1" si="190"/>
        <v>Critical</v>
      </c>
      <c r="F116" s="142" t="str">
        <f t="shared" ca="1" si="190"/>
        <v>Critical</v>
      </c>
      <c r="G116" s="142" t="str">
        <f t="shared" ca="1" si="190"/>
        <v>Critical</v>
      </c>
      <c r="H116" s="142" t="str">
        <f t="shared" ca="1" si="190"/>
        <v>Critical</v>
      </c>
      <c r="I116" s="142" t="str">
        <f t="shared" ca="1" si="190"/>
        <v>Critical</v>
      </c>
      <c r="J116" s="142" t="str">
        <f t="shared" ca="1" si="190"/>
        <v>Highly Important</v>
      </c>
      <c r="K116" s="142" t="str">
        <f t="shared" ca="1" si="190"/>
        <v>Critical</v>
      </c>
      <c r="L116" s="142" t="str">
        <f t="shared" ca="1" si="190"/>
        <v>Critical</v>
      </c>
      <c r="M116" s="142" t="str">
        <f t="shared" ca="1" si="190"/>
        <v>Critical</v>
      </c>
      <c r="N116" s="142" t="str">
        <f t="shared" ca="1" si="190"/>
        <v>Critical</v>
      </c>
      <c r="O116" s="142" t="str">
        <f t="shared" ca="1" si="190"/>
        <v>Critical</v>
      </c>
      <c r="P116" s="142" t="str">
        <f t="shared" ca="1" si="190"/>
        <v>Critical</v>
      </c>
      <c r="Q116" s="142" t="str">
        <f t="shared" ca="1" si="190"/>
        <v>Critical</v>
      </c>
      <c r="R116" s="142" t="str">
        <f t="shared" ca="1" si="190"/>
        <v>Critical</v>
      </c>
      <c r="S116" s="142" t="str">
        <f t="shared" ca="1" si="190"/>
        <v>Critical</v>
      </c>
      <c r="T116" s="142" t="str">
        <f t="shared" ca="1" si="190"/>
        <v>Critical</v>
      </c>
      <c r="U116" s="142" t="str">
        <f ca="1">INDIRECT("'"&amp;U$6&amp;"'!$G$846")</f>
        <v>Critical</v>
      </c>
      <c r="V116" s="142" t="str">
        <f t="shared" ca="1" si="190"/>
        <v>Critical</v>
      </c>
      <c r="W116" s="142" t="str">
        <f ca="1">IF(INDIRECT("'"&amp;W$5&amp;"'!$G$3")=0,"",INDIRECT("'"&amp;W$5&amp;"'!$G$846"))</f>
        <v/>
      </c>
      <c r="X116" s="142" t="str">
        <f t="shared" ref="X116:AF116" ca="1" si="191">IF(INDIRECT("'"&amp;X$5&amp;"'!$G$3")=0,"",INDIRECT("'"&amp;X$5&amp;"'!$G$846"))</f>
        <v/>
      </c>
      <c r="Y116" s="142" t="str">
        <f t="shared" ca="1" si="191"/>
        <v/>
      </c>
      <c r="Z116" s="142" t="str">
        <f t="shared" ca="1" si="191"/>
        <v/>
      </c>
      <c r="AA116" s="142" t="str">
        <f t="shared" ca="1" si="191"/>
        <v/>
      </c>
      <c r="AB116" s="142" t="str">
        <f t="shared" ca="1" si="191"/>
        <v/>
      </c>
      <c r="AC116" s="142" t="str">
        <f t="shared" ca="1" si="191"/>
        <v/>
      </c>
      <c r="AD116" s="142" t="str">
        <f t="shared" ca="1" si="191"/>
        <v/>
      </c>
      <c r="AE116" s="142" t="str">
        <f t="shared" ca="1" si="191"/>
        <v/>
      </c>
      <c r="AF116" s="142" t="str">
        <f t="shared" ca="1" si="191"/>
        <v/>
      </c>
    </row>
    <row r="117" spans="1:32" ht="16" x14ac:dyDescent="0.2">
      <c r="A117" s="497"/>
      <c r="B117" s="125" t="s">
        <v>626</v>
      </c>
      <c r="C117" s="155">
        <f ca="1">INDIRECT("'"&amp;C$6&amp;"'!$J$847")</f>
        <v>0</v>
      </c>
      <c r="D117" s="155">
        <f t="shared" ref="D117:V117" ca="1" si="192">INDIRECT("'"&amp;D$6&amp;"'!$J$847")</f>
        <v>0</v>
      </c>
      <c r="E117" s="155">
        <f t="shared" ca="1" si="192"/>
        <v>0</v>
      </c>
      <c r="F117" s="155">
        <f t="shared" ca="1" si="192"/>
        <v>0</v>
      </c>
      <c r="G117" s="155">
        <f t="shared" ca="1" si="192"/>
        <v>0</v>
      </c>
      <c r="H117" s="155">
        <f t="shared" ca="1" si="192"/>
        <v>0</v>
      </c>
      <c r="I117" s="155">
        <f t="shared" ca="1" si="192"/>
        <v>0</v>
      </c>
      <c r="J117" s="155">
        <f t="shared" ca="1" si="192"/>
        <v>0</v>
      </c>
      <c r="K117" s="155">
        <f t="shared" ca="1" si="192"/>
        <v>0</v>
      </c>
      <c r="L117" s="155">
        <f t="shared" ca="1" si="192"/>
        <v>0</v>
      </c>
      <c r="M117" s="155">
        <f t="shared" ca="1" si="192"/>
        <v>0</v>
      </c>
      <c r="N117" s="155">
        <f t="shared" ca="1" si="192"/>
        <v>0</v>
      </c>
      <c r="O117" s="155">
        <f t="shared" ca="1" si="192"/>
        <v>0</v>
      </c>
      <c r="P117" s="155">
        <f t="shared" ca="1" si="192"/>
        <v>0</v>
      </c>
      <c r="Q117" s="155">
        <f t="shared" ca="1" si="192"/>
        <v>0</v>
      </c>
      <c r="R117" s="155">
        <f t="shared" ca="1" si="192"/>
        <v>0</v>
      </c>
      <c r="S117" s="155">
        <f t="shared" ca="1" si="192"/>
        <v>0</v>
      </c>
      <c r="T117" s="155">
        <f t="shared" ca="1" si="192"/>
        <v>0</v>
      </c>
      <c r="U117" s="155">
        <f ca="1">INDIRECT("'"&amp;U$6&amp;"'!$J$847")</f>
        <v>0</v>
      </c>
      <c r="V117" s="155">
        <f t="shared" ca="1" si="192"/>
        <v>0</v>
      </c>
      <c r="W117" s="155" t="str">
        <f ca="1">IF(INDIRECT("'"&amp;W$5&amp;"'!$G$3")=0,"",INDIRECT("'"&amp;W$5&amp;"'!$J$847"))</f>
        <v/>
      </c>
      <c r="X117" s="155" t="str">
        <f t="shared" ref="X117:AF117" ca="1" si="193">IF(INDIRECT("'"&amp;X$5&amp;"'!$G$3")=0,"",INDIRECT("'"&amp;X$5&amp;"'!$J$847"))</f>
        <v/>
      </c>
      <c r="Y117" s="155" t="str">
        <f t="shared" ca="1" si="193"/>
        <v/>
      </c>
      <c r="Z117" s="155" t="str">
        <f t="shared" ca="1" si="193"/>
        <v/>
      </c>
      <c r="AA117" s="155" t="str">
        <f t="shared" ca="1" si="193"/>
        <v/>
      </c>
      <c r="AB117" s="155" t="str">
        <f t="shared" ca="1" si="193"/>
        <v/>
      </c>
      <c r="AC117" s="155" t="str">
        <f t="shared" ca="1" si="193"/>
        <v/>
      </c>
      <c r="AD117" s="155" t="str">
        <f t="shared" ca="1" si="193"/>
        <v/>
      </c>
      <c r="AE117" s="155" t="str">
        <f t="shared" ca="1" si="193"/>
        <v/>
      </c>
      <c r="AF117" s="155" t="str">
        <f t="shared" ca="1" si="193"/>
        <v/>
      </c>
    </row>
    <row r="118" spans="1:32" ht="15" customHeight="1" x14ac:dyDescent="0.2">
      <c r="A118" s="496" t="s">
        <v>97</v>
      </c>
      <c r="B118" s="124" t="s">
        <v>625</v>
      </c>
      <c r="C118" s="142" t="str">
        <f ca="1">INDIRECT("'"&amp;C$6&amp;"'!$G$850")</f>
        <v>Critical</v>
      </c>
      <c r="D118" s="142" t="str">
        <f t="shared" ref="D118:V118" ca="1" si="194">INDIRECT("'"&amp;D$6&amp;"'!$G$850")</f>
        <v>Critical</v>
      </c>
      <c r="E118" s="142" t="str">
        <f t="shared" ca="1" si="194"/>
        <v>Critical</v>
      </c>
      <c r="F118" s="142" t="str">
        <f t="shared" ca="1" si="194"/>
        <v>Limited importance</v>
      </c>
      <c r="G118" s="142" t="str">
        <f t="shared" ca="1" si="194"/>
        <v>Limited importance</v>
      </c>
      <c r="H118" s="142" t="str">
        <f t="shared" ca="1" si="194"/>
        <v>Critical</v>
      </c>
      <c r="I118" s="142" t="str">
        <f t="shared" ca="1" si="194"/>
        <v>Not relevant</v>
      </c>
      <c r="J118" s="142" t="str">
        <f t="shared" ca="1" si="194"/>
        <v>Not relevant</v>
      </c>
      <c r="K118" s="142" t="str">
        <f t="shared" ca="1" si="194"/>
        <v>Not relevant</v>
      </c>
      <c r="L118" s="142" t="str">
        <f t="shared" ca="1" si="194"/>
        <v>Limited importance</v>
      </c>
      <c r="M118" s="142" t="str">
        <f t="shared" ca="1" si="194"/>
        <v>Critical</v>
      </c>
      <c r="N118" s="142" t="str">
        <f t="shared" ca="1" si="194"/>
        <v>Important</v>
      </c>
      <c r="O118" s="142" t="str">
        <f t="shared" ca="1" si="194"/>
        <v>Highly Important</v>
      </c>
      <c r="P118" s="142" t="str">
        <f t="shared" ca="1" si="194"/>
        <v>Critical</v>
      </c>
      <c r="Q118" s="142" t="str">
        <f t="shared" ca="1" si="194"/>
        <v>Critical</v>
      </c>
      <c r="R118" s="142" t="str">
        <f t="shared" ca="1" si="194"/>
        <v>Highly Important</v>
      </c>
      <c r="S118" s="142" t="str">
        <f t="shared" ca="1" si="194"/>
        <v>Important</v>
      </c>
      <c r="T118" s="142" t="str">
        <f t="shared" ca="1" si="194"/>
        <v>Important</v>
      </c>
      <c r="U118" s="142" t="str">
        <f ca="1">INDIRECT("'"&amp;U$6&amp;"'!$G$850")</f>
        <v>Not relevant</v>
      </c>
      <c r="V118" s="142" t="str">
        <f t="shared" ca="1" si="194"/>
        <v>Important</v>
      </c>
      <c r="W118" s="142" t="str">
        <f ca="1">IF(INDIRECT("'"&amp;W$5&amp;"'!$G$3")=0,"",INDIRECT("'"&amp;W$5&amp;"'!$G$850"))</f>
        <v/>
      </c>
      <c r="X118" s="142" t="str">
        <f t="shared" ref="X118:AF118" ca="1" si="195">IF(INDIRECT("'"&amp;X$5&amp;"'!$G$3")=0,"",INDIRECT("'"&amp;X$5&amp;"'!$G$850"))</f>
        <v/>
      </c>
      <c r="Y118" s="142" t="str">
        <f t="shared" ca="1" si="195"/>
        <v/>
      </c>
      <c r="Z118" s="142" t="str">
        <f t="shared" ca="1" si="195"/>
        <v/>
      </c>
      <c r="AA118" s="142" t="str">
        <f t="shared" ca="1" si="195"/>
        <v/>
      </c>
      <c r="AB118" s="142" t="str">
        <f t="shared" ca="1" si="195"/>
        <v/>
      </c>
      <c r="AC118" s="142" t="str">
        <f t="shared" ca="1" si="195"/>
        <v/>
      </c>
      <c r="AD118" s="142" t="str">
        <f t="shared" ca="1" si="195"/>
        <v/>
      </c>
      <c r="AE118" s="142" t="str">
        <f t="shared" ca="1" si="195"/>
        <v/>
      </c>
      <c r="AF118" s="142" t="str">
        <f t="shared" ca="1" si="195"/>
        <v/>
      </c>
    </row>
    <row r="119" spans="1:32" ht="16" x14ac:dyDescent="0.2">
      <c r="A119" s="497"/>
      <c r="B119" s="125" t="s">
        <v>626</v>
      </c>
      <c r="C119" s="155">
        <f ca="1">INDIRECT("'"&amp;C$6&amp;"'!$J$851")</f>
        <v>0</v>
      </c>
      <c r="D119" s="155">
        <f t="shared" ref="D119:V119" ca="1" si="196">INDIRECT("'"&amp;D$6&amp;"'!$J$851")</f>
        <v>0</v>
      </c>
      <c r="E119" s="155">
        <f t="shared" ca="1" si="196"/>
        <v>0</v>
      </c>
      <c r="F119" s="155">
        <f t="shared" ca="1" si="196"/>
        <v>0</v>
      </c>
      <c r="G119" s="155">
        <f t="shared" ca="1" si="196"/>
        <v>0</v>
      </c>
      <c r="H119" s="155">
        <f t="shared" ca="1" si="196"/>
        <v>0</v>
      </c>
      <c r="I119" s="155">
        <f t="shared" ca="1" si="196"/>
        <v>0</v>
      </c>
      <c r="J119" s="155">
        <f t="shared" ca="1" si="196"/>
        <v>0</v>
      </c>
      <c r="K119" s="155">
        <f t="shared" ca="1" si="196"/>
        <v>0</v>
      </c>
      <c r="L119" s="155">
        <f t="shared" ca="1" si="196"/>
        <v>0</v>
      </c>
      <c r="M119" s="155">
        <f t="shared" ca="1" si="196"/>
        <v>0</v>
      </c>
      <c r="N119" s="155">
        <f t="shared" ca="1" si="196"/>
        <v>0</v>
      </c>
      <c r="O119" s="155">
        <f t="shared" ca="1" si="196"/>
        <v>0</v>
      </c>
      <c r="P119" s="155">
        <f t="shared" ca="1" si="196"/>
        <v>0</v>
      </c>
      <c r="Q119" s="155">
        <f t="shared" ca="1" si="196"/>
        <v>0</v>
      </c>
      <c r="R119" s="155">
        <f t="shared" ca="1" si="196"/>
        <v>0</v>
      </c>
      <c r="S119" s="155">
        <f t="shared" ca="1" si="196"/>
        <v>0</v>
      </c>
      <c r="T119" s="155">
        <f t="shared" ca="1" si="196"/>
        <v>0</v>
      </c>
      <c r="U119" s="155">
        <f ca="1">INDIRECT("'"&amp;U$6&amp;"'!$J$851")</f>
        <v>0</v>
      </c>
      <c r="V119" s="155">
        <f t="shared" ca="1" si="196"/>
        <v>0</v>
      </c>
      <c r="W119" s="155" t="str">
        <f ca="1">IF(INDIRECT("'"&amp;W$5&amp;"'!$G$3")=0,"",INDIRECT("'"&amp;W$5&amp;"'!$J$851"))</f>
        <v/>
      </c>
      <c r="X119" s="155" t="str">
        <f t="shared" ref="X119:AF119" ca="1" si="197">IF(INDIRECT("'"&amp;X$5&amp;"'!$G$3")=0,"",INDIRECT("'"&amp;X$5&amp;"'!$J$851"))</f>
        <v/>
      </c>
      <c r="Y119" s="155" t="str">
        <f t="shared" ca="1" si="197"/>
        <v/>
      </c>
      <c r="Z119" s="155" t="str">
        <f t="shared" ca="1" si="197"/>
        <v/>
      </c>
      <c r="AA119" s="155" t="str">
        <f t="shared" ca="1" si="197"/>
        <v/>
      </c>
      <c r="AB119" s="155" t="str">
        <f t="shared" ca="1" si="197"/>
        <v/>
      </c>
      <c r="AC119" s="155" t="str">
        <f t="shared" ca="1" si="197"/>
        <v/>
      </c>
      <c r="AD119" s="155" t="str">
        <f t="shared" ca="1" si="197"/>
        <v/>
      </c>
      <c r="AE119" s="155" t="str">
        <f t="shared" ca="1" si="197"/>
        <v/>
      </c>
      <c r="AF119" s="155" t="str">
        <f t="shared" ca="1" si="197"/>
        <v/>
      </c>
    </row>
    <row r="120" spans="1:32" ht="15" customHeight="1" x14ac:dyDescent="0.2">
      <c r="A120" s="496" t="s">
        <v>112</v>
      </c>
      <c r="B120" s="124" t="s">
        <v>625</v>
      </c>
      <c r="C120" s="142" t="str">
        <f ca="1">INDIRECT("'"&amp;C$6&amp;"'!$G$854")</f>
        <v>Critical</v>
      </c>
      <c r="D120" s="142" t="str">
        <f t="shared" ref="D120:V120" ca="1" si="198">INDIRECT("'"&amp;D$6&amp;"'!$G$854")</f>
        <v>Critical</v>
      </c>
      <c r="E120" s="142" t="str">
        <f t="shared" ca="1" si="198"/>
        <v>Critical</v>
      </c>
      <c r="F120" s="142" t="str">
        <f t="shared" ca="1" si="198"/>
        <v>Critical</v>
      </c>
      <c r="G120" s="142" t="str">
        <f t="shared" ca="1" si="198"/>
        <v>Critical</v>
      </c>
      <c r="H120" s="142" t="str">
        <f t="shared" ca="1" si="198"/>
        <v>Critical</v>
      </c>
      <c r="I120" s="142" t="str">
        <f t="shared" ca="1" si="198"/>
        <v>Critical</v>
      </c>
      <c r="J120" s="142" t="str">
        <f t="shared" ca="1" si="198"/>
        <v>Highly Important</v>
      </c>
      <c r="K120" s="142" t="str">
        <f t="shared" ca="1" si="198"/>
        <v>Critical</v>
      </c>
      <c r="L120" s="142" t="str">
        <f t="shared" ca="1" si="198"/>
        <v>Critical</v>
      </c>
      <c r="M120" s="142" t="str">
        <f t="shared" ca="1" si="198"/>
        <v>Critical</v>
      </c>
      <c r="N120" s="142" t="str">
        <f t="shared" ca="1" si="198"/>
        <v>Critical</v>
      </c>
      <c r="O120" s="142" t="str">
        <f t="shared" ca="1" si="198"/>
        <v>Critical</v>
      </c>
      <c r="P120" s="142" t="str">
        <f t="shared" ca="1" si="198"/>
        <v>Critical</v>
      </c>
      <c r="Q120" s="142" t="str">
        <f t="shared" ca="1" si="198"/>
        <v>Critical</v>
      </c>
      <c r="R120" s="142" t="str">
        <f t="shared" ca="1" si="198"/>
        <v>Critical</v>
      </c>
      <c r="S120" s="142" t="str">
        <f t="shared" ca="1" si="198"/>
        <v>Critical</v>
      </c>
      <c r="T120" s="142" t="str">
        <f t="shared" ca="1" si="198"/>
        <v>Critical</v>
      </c>
      <c r="U120" s="142" t="str">
        <f ca="1">INDIRECT("'"&amp;U$6&amp;"'!$G$854")</f>
        <v>Critical</v>
      </c>
      <c r="V120" s="142" t="str">
        <f t="shared" ca="1" si="198"/>
        <v>Critical</v>
      </c>
      <c r="W120" s="142" t="str">
        <f ca="1">IF(INDIRECT("'"&amp;W$5&amp;"'!$G$3")=0,"",INDIRECT("'"&amp;W$5&amp;"'!$G$854"))</f>
        <v/>
      </c>
      <c r="X120" s="142" t="str">
        <f t="shared" ref="X120:AF120" ca="1" si="199">IF(INDIRECT("'"&amp;X$5&amp;"'!$G$3")=0,"",INDIRECT("'"&amp;X$5&amp;"'!$G$854"))</f>
        <v/>
      </c>
      <c r="Y120" s="142" t="str">
        <f t="shared" ca="1" si="199"/>
        <v/>
      </c>
      <c r="Z120" s="142" t="str">
        <f t="shared" ca="1" si="199"/>
        <v/>
      </c>
      <c r="AA120" s="142" t="str">
        <f t="shared" ca="1" si="199"/>
        <v/>
      </c>
      <c r="AB120" s="142" t="str">
        <f t="shared" ca="1" si="199"/>
        <v/>
      </c>
      <c r="AC120" s="142" t="str">
        <f t="shared" ca="1" si="199"/>
        <v/>
      </c>
      <c r="AD120" s="142" t="str">
        <f t="shared" ca="1" si="199"/>
        <v/>
      </c>
      <c r="AE120" s="142" t="str">
        <f t="shared" ca="1" si="199"/>
        <v/>
      </c>
      <c r="AF120" s="142" t="str">
        <f t="shared" ca="1" si="199"/>
        <v/>
      </c>
    </row>
    <row r="121" spans="1:32" ht="16" x14ac:dyDescent="0.2">
      <c r="A121" s="497"/>
      <c r="B121" s="125" t="s">
        <v>626</v>
      </c>
      <c r="C121" s="155">
        <f ca="1">INDIRECT("'"&amp;C$6&amp;"'!$J$855")</f>
        <v>0</v>
      </c>
      <c r="D121" s="155">
        <f t="shared" ref="D121:V121" ca="1" si="200">INDIRECT("'"&amp;D$6&amp;"'!$J$855")</f>
        <v>0</v>
      </c>
      <c r="E121" s="155">
        <f t="shared" ca="1" si="200"/>
        <v>0</v>
      </c>
      <c r="F121" s="155">
        <f t="shared" ca="1" si="200"/>
        <v>0</v>
      </c>
      <c r="G121" s="155">
        <f t="shared" ca="1" si="200"/>
        <v>0</v>
      </c>
      <c r="H121" s="155">
        <f t="shared" ca="1" si="200"/>
        <v>0</v>
      </c>
      <c r="I121" s="155">
        <f t="shared" ca="1" si="200"/>
        <v>0</v>
      </c>
      <c r="J121" s="155">
        <f t="shared" ca="1" si="200"/>
        <v>0</v>
      </c>
      <c r="K121" s="155">
        <f t="shared" ca="1" si="200"/>
        <v>0</v>
      </c>
      <c r="L121" s="155">
        <f t="shared" ca="1" si="200"/>
        <v>0</v>
      </c>
      <c r="M121" s="155">
        <f t="shared" ca="1" si="200"/>
        <v>0</v>
      </c>
      <c r="N121" s="155">
        <f t="shared" ca="1" si="200"/>
        <v>0</v>
      </c>
      <c r="O121" s="155">
        <f t="shared" ca="1" si="200"/>
        <v>0</v>
      </c>
      <c r="P121" s="155">
        <f t="shared" ca="1" si="200"/>
        <v>0</v>
      </c>
      <c r="Q121" s="155">
        <f t="shared" ca="1" si="200"/>
        <v>0</v>
      </c>
      <c r="R121" s="155">
        <f t="shared" ca="1" si="200"/>
        <v>0</v>
      </c>
      <c r="S121" s="155">
        <f t="shared" ca="1" si="200"/>
        <v>0</v>
      </c>
      <c r="T121" s="155">
        <f t="shared" ca="1" si="200"/>
        <v>0</v>
      </c>
      <c r="U121" s="155">
        <f ca="1">INDIRECT("'"&amp;U$6&amp;"'!$J$855")</f>
        <v>0</v>
      </c>
      <c r="V121" s="155">
        <f t="shared" ca="1" si="200"/>
        <v>0</v>
      </c>
      <c r="W121" s="155" t="str">
        <f ca="1">IF(INDIRECT("'"&amp;W$5&amp;"'!$G$3")=0,"",INDIRECT("'"&amp;W$5&amp;"'!$J$855"))</f>
        <v/>
      </c>
      <c r="X121" s="155" t="str">
        <f t="shared" ref="X121:AF121" ca="1" si="201">IF(INDIRECT("'"&amp;X$5&amp;"'!$G$3")=0,"",INDIRECT("'"&amp;X$5&amp;"'!$J$855"))</f>
        <v/>
      </c>
      <c r="Y121" s="155" t="str">
        <f t="shared" ca="1" si="201"/>
        <v/>
      </c>
      <c r="Z121" s="155" t="str">
        <f t="shared" ca="1" si="201"/>
        <v/>
      </c>
      <c r="AA121" s="155" t="str">
        <f t="shared" ca="1" si="201"/>
        <v/>
      </c>
      <c r="AB121" s="155" t="str">
        <f t="shared" ca="1" si="201"/>
        <v/>
      </c>
      <c r="AC121" s="155" t="str">
        <f t="shared" ca="1" si="201"/>
        <v/>
      </c>
      <c r="AD121" s="155" t="str">
        <f t="shared" ca="1" si="201"/>
        <v/>
      </c>
      <c r="AE121" s="155" t="str">
        <f t="shared" ca="1" si="201"/>
        <v/>
      </c>
      <c r="AF121" s="155" t="str">
        <f t="shared" ca="1" si="201"/>
        <v/>
      </c>
    </row>
    <row r="122" spans="1:32" ht="15" customHeight="1" x14ac:dyDescent="0.2">
      <c r="A122" s="496" t="s">
        <v>115</v>
      </c>
      <c r="B122" s="124" t="s">
        <v>625</v>
      </c>
      <c r="C122" s="142" t="str">
        <f ca="1">INDIRECT("'"&amp;C$6&amp;"'!$G$858")</f>
        <v>Not relevant</v>
      </c>
      <c r="D122" s="142" t="str">
        <f t="shared" ref="D122:V122" ca="1" si="202">INDIRECT("'"&amp;D$6&amp;"'!$G$858")</f>
        <v>Limited importance</v>
      </c>
      <c r="E122" s="142" t="str">
        <f t="shared" ca="1" si="202"/>
        <v>Highly Important</v>
      </c>
      <c r="F122" s="142" t="str">
        <f t="shared" ca="1" si="202"/>
        <v>Not relevant</v>
      </c>
      <c r="G122" s="142" t="str">
        <f t="shared" ca="1" si="202"/>
        <v>Highly Important</v>
      </c>
      <c r="H122" s="142" t="str">
        <f t="shared" ca="1" si="202"/>
        <v>Limited importance</v>
      </c>
      <c r="I122" s="142" t="str">
        <f t="shared" ca="1" si="202"/>
        <v>Not relevant</v>
      </c>
      <c r="J122" s="142" t="str">
        <f t="shared" ca="1" si="202"/>
        <v>Not relevant</v>
      </c>
      <c r="K122" s="142" t="str">
        <f t="shared" ca="1" si="202"/>
        <v>Not relevant</v>
      </c>
      <c r="L122" s="142" t="str">
        <f t="shared" ca="1" si="202"/>
        <v>Highly Important</v>
      </c>
      <c r="M122" s="142" t="str">
        <f t="shared" ca="1" si="202"/>
        <v>Highly Important</v>
      </c>
      <c r="N122" s="142" t="str">
        <f t="shared" ca="1" si="202"/>
        <v>Not relevant</v>
      </c>
      <c r="O122" s="142" t="str">
        <f t="shared" ca="1" si="202"/>
        <v>Critical</v>
      </c>
      <c r="P122" s="142" t="str">
        <f t="shared" ca="1" si="202"/>
        <v>Highly Important</v>
      </c>
      <c r="Q122" s="142" t="str">
        <f t="shared" ca="1" si="202"/>
        <v>Highly Important</v>
      </c>
      <c r="R122" s="142" t="str">
        <f t="shared" ca="1" si="202"/>
        <v>Important</v>
      </c>
      <c r="S122" s="142" t="str">
        <f t="shared" ca="1" si="202"/>
        <v>Highly Important</v>
      </c>
      <c r="T122" s="142" t="str">
        <f t="shared" ca="1" si="202"/>
        <v>Important</v>
      </c>
      <c r="U122" s="142" t="str">
        <f ca="1">INDIRECT("'"&amp;U$6&amp;"'!$G$858")</f>
        <v>Highly Important</v>
      </c>
      <c r="V122" s="142" t="str">
        <f t="shared" ca="1" si="202"/>
        <v>Limited importance</v>
      </c>
      <c r="W122" s="142" t="str">
        <f ca="1">IF(INDIRECT("'"&amp;W$5&amp;"'!$G$3")=0,"",INDIRECT("'"&amp;W$5&amp;"'!$G$858"))</f>
        <v/>
      </c>
      <c r="X122" s="142" t="str">
        <f t="shared" ref="X122:AF122" ca="1" si="203">IF(INDIRECT("'"&amp;X$5&amp;"'!$G$3")=0,"",INDIRECT("'"&amp;X$5&amp;"'!$G$858"))</f>
        <v/>
      </c>
      <c r="Y122" s="142" t="str">
        <f t="shared" ca="1" si="203"/>
        <v/>
      </c>
      <c r="Z122" s="142" t="str">
        <f t="shared" ca="1" si="203"/>
        <v/>
      </c>
      <c r="AA122" s="142" t="str">
        <f t="shared" ca="1" si="203"/>
        <v/>
      </c>
      <c r="AB122" s="142" t="str">
        <f t="shared" ca="1" si="203"/>
        <v/>
      </c>
      <c r="AC122" s="142" t="str">
        <f t="shared" ca="1" si="203"/>
        <v/>
      </c>
      <c r="AD122" s="142" t="str">
        <f t="shared" ca="1" si="203"/>
        <v/>
      </c>
      <c r="AE122" s="142" t="str">
        <f t="shared" ca="1" si="203"/>
        <v/>
      </c>
      <c r="AF122" s="142" t="str">
        <f t="shared" ca="1" si="203"/>
        <v/>
      </c>
    </row>
    <row r="123" spans="1:32" ht="16" x14ac:dyDescent="0.2">
      <c r="A123" s="497"/>
      <c r="B123" s="125" t="s">
        <v>626</v>
      </c>
      <c r="C123" s="155">
        <f ca="1">INDIRECT("'"&amp;C$6&amp;"'!$J$859")</f>
        <v>0</v>
      </c>
      <c r="D123" s="155">
        <f t="shared" ref="D123:V123" ca="1" si="204">INDIRECT("'"&amp;D$6&amp;"'!$J$859")</f>
        <v>0</v>
      </c>
      <c r="E123" s="155">
        <f t="shared" ca="1" si="204"/>
        <v>0</v>
      </c>
      <c r="F123" s="155">
        <f t="shared" ca="1" si="204"/>
        <v>0</v>
      </c>
      <c r="G123" s="155">
        <f t="shared" ca="1" si="204"/>
        <v>0</v>
      </c>
      <c r="H123" s="155">
        <f t="shared" ca="1" si="204"/>
        <v>0</v>
      </c>
      <c r="I123" s="155">
        <f t="shared" ca="1" si="204"/>
        <v>0</v>
      </c>
      <c r="J123" s="155">
        <f t="shared" ca="1" si="204"/>
        <v>0</v>
      </c>
      <c r="K123" s="155">
        <f t="shared" ca="1" si="204"/>
        <v>0</v>
      </c>
      <c r="L123" s="155">
        <f t="shared" ca="1" si="204"/>
        <v>0</v>
      </c>
      <c r="M123" s="155">
        <f t="shared" ca="1" si="204"/>
        <v>0</v>
      </c>
      <c r="N123" s="155">
        <f t="shared" ca="1" si="204"/>
        <v>0</v>
      </c>
      <c r="O123" s="155">
        <f t="shared" ca="1" si="204"/>
        <v>0</v>
      </c>
      <c r="P123" s="155">
        <f t="shared" ca="1" si="204"/>
        <v>0</v>
      </c>
      <c r="Q123" s="155">
        <f t="shared" ca="1" si="204"/>
        <v>0</v>
      </c>
      <c r="R123" s="155">
        <f t="shared" ca="1" si="204"/>
        <v>0</v>
      </c>
      <c r="S123" s="155">
        <f t="shared" ca="1" si="204"/>
        <v>0</v>
      </c>
      <c r="T123" s="155">
        <f t="shared" ca="1" si="204"/>
        <v>0</v>
      </c>
      <c r="U123" s="155">
        <f ca="1">INDIRECT("'"&amp;U$6&amp;"'!$J$859")</f>
        <v>0</v>
      </c>
      <c r="V123" s="155">
        <f t="shared" ca="1" si="204"/>
        <v>0</v>
      </c>
      <c r="W123" s="155" t="str">
        <f ca="1">IF(INDIRECT("'"&amp;W$5&amp;"'!$G$3")=0,"",INDIRECT("'"&amp;W$5&amp;"'!$J$859"))</f>
        <v/>
      </c>
      <c r="X123" s="155" t="str">
        <f t="shared" ref="X123:AF123" ca="1" si="205">IF(INDIRECT("'"&amp;X$5&amp;"'!$G$3")=0,"",INDIRECT("'"&amp;X$5&amp;"'!$J$859"))</f>
        <v/>
      </c>
      <c r="Y123" s="155" t="str">
        <f t="shared" ca="1" si="205"/>
        <v/>
      </c>
      <c r="Z123" s="155" t="str">
        <f t="shared" ca="1" si="205"/>
        <v/>
      </c>
      <c r="AA123" s="155" t="str">
        <f t="shared" ca="1" si="205"/>
        <v/>
      </c>
      <c r="AB123" s="155" t="str">
        <f t="shared" ca="1" si="205"/>
        <v/>
      </c>
      <c r="AC123" s="155" t="str">
        <f t="shared" ca="1" si="205"/>
        <v/>
      </c>
      <c r="AD123" s="155" t="str">
        <f t="shared" ca="1" si="205"/>
        <v/>
      </c>
      <c r="AE123" s="155" t="str">
        <f t="shared" ca="1" si="205"/>
        <v/>
      </c>
      <c r="AF123" s="155" t="str">
        <f t="shared" ca="1" si="205"/>
        <v/>
      </c>
    </row>
    <row r="124" spans="1:32" ht="15" customHeight="1" x14ac:dyDescent="0.2">
      <c r="A124" s="496" t="s">
        <v>117</v>
      </c>
      <c r="B124" s="124" t="s">
        <v>625</v>
      </c>
      <c r="C124" s="142" t="str">
        <f ca="1">INDIRECT("'"&amp;C$6&amp;"'!$G$862")</f>
        <v>Not relevant</v>
      </c>
      <c r="D124" s="142" t="str">
        <f t="shared" ref="D124:V124" ca="1" si="206">INDIRECT("'"&amp;D$6&amp;"'!$G$862")</f>
        <v>Critical</v>
      </c>
      <c r="E124" s="142" t="str">
        <f t="shared" ca="1" si="206"/>
        <v>Critical</v>
      </c>
      <c r="F124" s="142" t="str">
        <f t="shared" ca="1" si="206"/>
        <v>Not relevant</v>
      </c>
      <c r="G124" s="142" t="str">
        <f t="shared" ca="1" si="206"/>
        <v>Not relevant</v>
      </c>
      <c r="H124" s="142" t="str">
        <f t="shared" ca="1" si="206"/>
        <v>Not relevant</v>
      </c>
      <c r="I124" s="142" t="str">
        <f t="shared" ca="1" si="206"/>
        <v>Not relevant</v>
      </c>
      <c r="J124" s="142" t="str">
        <f t="shared" ca="1" si="206"/>
        <v>Not relevant</v>
      </c>
      <c r="K124" s="142" t="str">
        <f t="shared" ca="1" si="206"/>
        <v>Not relevant</v>
      </c>
      <c r="L124" s="142" t="str">
        <f t="shared" ca="1" si="206"/>
        <v>Not relevant</v>
      </c>
      <c r="M124" s="142" t="str">
        <f t="shared" ca="1" si="206"/>
        <v>Critical</v>
      </c>
      <c r="N124" s="142" t="str">
        <f t="shared" ca="1" si="206"/>
        <v>Critical</v>
      </c>
      <c r="O124" s="142" t="str">
        <f t="shared" ca="1" si="206"/>
        <v>Critical</v>
      </c>
      <c r="P124" s="142" t="str">
        <f t="shared" ca="1" si="206"/>
        <v>Critical</v>
      </c>
      <c r="Q124" s="142" t="str">
        <f t="shared" ca="1" si="206"/>
        <v>Critical</v>
      </c>
      <c r="R124" s="142" t="str">
        <f t="shared" ca="1" si="206"/>
        <v>Not relevant</v>
      </c>
      <c r="S124" s="142" t="str">
        <f t="shared" ca="1" si="206"/>
        <v>Not relevant</v>
      </c>
      <c r="T124" s="142" t="str">
        <f t="shared" ca="1" si="206"/>
        <v>Important</v>
      </c>
      <c r="U124" s="142" t="str">
        <f ca="1">INDIRECT("'"&amp;U$6&amp;"'!$G$862")</f>
        <v>Not relevant</v>
      </c>
      <c r="V124" s="142" t="str">
        <f t="shared" ca="1" si="206"/>
        <v>Not relevant</v>
      </c>
      <c r="W124" s="142" t="str">
        <f ca="1">IF(INDIRECT("'"&amp;W$5&amp;"'!$G$3")=0,"",INDIRECT("'"&amp;W$5&amp;"'!$G$862"))</f>
        <v/>
      </c>
      <c r="X124" s="142" t="str">
        <f t="shared" ref="X124:AF124" ca="1" si="207">IF(INDIRECT("'"&amp;X$5&amp;"'!$G$3")=0,"",INDIRECT("'"&amp;X$5&amp;"'!$G$862"))</f>
        <v/>
      </c>
      <c r="Y124" s="142" t="str">
        <f t="shared" ca="1" si="207"/>
        <v/>
      </c>
      <c r="Z124" s="142" t="str">
        <f t="shared" ca="1" si="207"/>
        <v/>
      </c>
      <c r="AA124" s="142" t="str">
        <f t="shared" ca="1" si="207"/>
        <v/>
      </c>
      <c r="AB124" s="142" t="str">
        <f t="shared" ca="1" si="207"/>
        <v/>
      </c>
      <c r="AC124" s="142" t="str">
        <f t="shared" ca="1" si="207"/>
        <v/>
      </c>
      <c r="AD124" s="142" t="str">
        <f t="shared" ca="1" si="207"/>
        <v/>
      </c>
      <c r="AE124" s="142" t="str">
        <f t="shared" ca="1" si="207"/>
        <v/>
      </c>
      <c r="AF124" s="142" t="str">
        <f t="shared" ca="1" si="207"/>
        <v/>
      </c>
    </row>
    <row r="125" spans="1:32" ht="16" x14ac:dyDescent="0.2">
      <c r="A125" s="497"/>
      <c r="B125" s="125" t="s">
        <v>626</v>
      </c>
      <c r="C125" s="155">
        <f ca="1">INDIRECT("'"&amp;C$6&amp;"'!$J$863")</f>
        <v>0</v>
      </c>
      <c r="D125" s="155">
        <f t="shared" ref="D125:V125" ca="1" si="208">INDIRECT("'"&amp;D$6&amp;"'!$J$863")</f>
        <v>0</v>
      </c>
      <c r="E125" s="155">
        <f t="shared" ca="1" si="208"/>
        <v>0</v>
      </c>
      <c r="F125" s="155">
        <f t="shared" ca="1" si="208"/>
        <v>0</v>
      </c>
      <c r="G125" s="155">
        <f t="shared" ca="1" si="208"/>
        <v>0</v>
      </c>
      <c r="H125" s="155">
        <f t="shared" ca="1" si="208"/>
        <v>0</v>
      </c>
      <c r="I125" s="155">
        <f t="shared" ca="1" si="208"/>
        <v>0</v>
      </c>
      <c r="J125" s="155">
        <f t="shared" ca="1" si="208"/>
        <v>0</v>
      </c>
      <c r="K125" s="155">
        <f t="shared" ca="1" si="208"/>
        <v>0</v>
      </c>
      <c r="L125" s="155">
        <f t="shared" ca="1" si="208"/>
        <v>0</v>
      </c>
      <c r="M125" s="155">
        <f t="shared" ca="1" si="208"/>
        <v>0</v>
      </c>
      <c r="N125" s="155">
        <f t="shared" ca="1" si="208"/>
        <v>0</v>
      </c>
      <c r="O125" s="155">
        <f t="shared" ca="1" si="208"/>
        <v>0</v>
      </c>
      <c r="P125" s="155">
        <f t="shared" ca="1" si="208"/>
        <v>0</v>
      </c>
      <c r="Q125" s="155">
        <f t="shared" ca="1" si="208"/>
        <v>0</v>
      </c>
      <c r="R125" s="155">
        <f t="shared" ca="1" si="208"/>
        <v>0</v>
      </c>
      <c r="S125" s="155">
        <f t="shared" ca="1" si="208"/>
        <v>0</v>
      </c>
      <c r="T125" s="155">
        <f t="shared" ca="1" si="208"/>
        <v>0</v>
      </c>
      <c r="U125" s="155">
        <f ca="1">INDIRECT("'"&amp;U$6&amp;"'!$J$863")</f>
        <v>0</v>
      </c>
      <c r="V125" s="155">
        <f t="shared" ca="1" si="208"/>
        <v>0</v>
      </c>
      <c r="W125" s="155" t="str">
        <f ca="1">IF(INDIRECT("'"&amp;W$5&amp;"'!$G$3")=0,"",INDIRECT("'"&amp;W$5&amp;"'!$J$863"))</f>
        <v/>
      </c>
      <c r="X125" s="155" t="str">
        <f t="shared" ref="X125:AF125" ca="1" si="209">IF(INDIRECT("'"&amp;X$5&amp;"'!$G$3")=0,"",INDIRECT("'"&amp;X$5&amp;"'!$J$863"))</f>
        <v/>
      </c>
      <c r="Y125" s="155" t="str">
        <f t="shared" ca="1" si="209"/>
        <v/>
      </c>
      <c r="Z125" s="155" t="str">
        <f t="shared" ca="1" si="209"/>
        <v/>
      </c>
      <c r="AA125" s="155" t="str">
        <f t="shared" ca="1" si="209"/>
        <v/>
      </c>
      <c r="AB125" s="155" t="str">
        <f t="shared" ca="1" si="209"/>
        <v/>
      </c>
      <c r="AC125" s="155" t="str">
        <f t="shared" ca="1" si="209"/>
        <v/>
      </c>
      <c r="AD125" s="155" t="str">
        <f t="shared" ca="1" si="209"/>
        <v/>
      </c>
      <c r="AE125" s="155" t="str">
        <f t="shared" ca="1" si="209"/>
        <v/>
      </c>
      <c r="AF125" s="155" t="str">
        <f t="shared" ca="1" si="209"/>
        <v/>
      </c>
    </row>
    <row r="126" spans="1:32" ht="15" customHeight="1" x14ac:dyDescent="0.2">
      <c r="A126" s="496" t="s">
        <v>119</v>
      </c>
      <c r="B126" s="124" t="s">
        <v>625</v>
      </c>
      <c r="C126" s="142" t="str">
        <f ca="1">INDIRECT("'"&amp;C$6&amp;"'!$G$866")</f>
        <v>Important</v>
      </c>
      <c r="D126" s="142" t="str">
        <f t="shared" ref="D126:V126" ca="1" si="210">INDIRECT("'"&amp;D$6&amp;"'!$G$866")</f>
        <v>Critical</v>
      </c>
      <c r="E126" s="142" t="str">
        <f t="shared" ca="1" si="210"/>
        <v>Critical</v>
      </c>
      <c r="F126" s="142" t="str">
        <f t="shared" ca="1" si="210"/>
        <v>Not relevant</v>
      </c>
      <c r="G126" s="142" t="str">
        <f t="shared" ca="1" si="210"/>
        <v>Important</v>
      </c>
      <c r="H126" s="142" t="str">
        <f t="shared" ca="1" si="210"/>
        <v>Important</v>
      </c>
      <c r="I126" s="142" t="str">
        <f t="shared" ca="1" si="210"/>
        <v>Not relevant</v>
      </c>
      <c r="J126" s="142" t="str">
        <f t="shared" ca="1" si="210"/>
        <v>Not relevant</v>
      </c>
      <c r="K126" s="142" t="str">
        <f t="shared" ca="1" si="210"/>
        <v>Not relevant</v>
      </c>
      <c r="L126" s="142" t="str">
        <f t="shared" ca="1" si="210"/>
        <v>Important</v>
      </c>
      <c r="M126" s="142" t="str">
        <f t="shared" ca="1" si="210"/>
        <v>Critical</v>
      </c>
      <c r="N126" s="142" t="str">
        <f t="shared" ca="1" si="210"/>
        <v>Critical</v>
      </c>
      <c r="O126" s="142" t="str">
        <f t="shared" ca="1" si="210"/>
        <v>Critical</v>
      </c>
      <c r="P126" s="142" t="str">
        <f t="shared" ca="1" si="210"/>
        <v>Critical</v>
      </c>
      <c r="Q126" s="142" t="str">
        <f t="shared" ca="1" si="210"/>
        <v>Critical</v>
      </c>
      <c r="R126" s="142" t="str">
        <f t="shared" ca="1" si="210"/>
        <v>Limited importance</v>
      </c>
      <c r="S126" s="142" t="str">
        <f t="shared" ca="1" si="210"/>
        <v>Critical</v>
      </c>
      <c r="T126" s="142" t="str">
        <f t="shared" ca="1" si="210"/>
        <v>Important</v>
      </c>
      <c r="U126" s="142" t="str">
        <f ca="1">INDIRECT("'"&amp;U$6&amp;"'!$G$866")</f>
        <v>Important</v>
      </c>
      <c r="V126" s="142" t="str">
        <f t="shared" ca="1" si="210"/>
        <v>Important</v>
      </c>
      <c r="W126" s="142" t="str">
        <f ca="1">IF(INDIRECT("'"&amp;W$5&amp;"'!$G$3")=0,"",INDIRECT("'"&amp;W$5&amp;"'!$G$866"))</f>
        <v/>
      </c>
      <c r="X126" s="142" t="str">
        <f t="shared" ref="X126:AF126" ca="1" si="211">IF(INDIRECT("'"&amp;X$5&amp;"'!$G$3")=0,"",INDIRECT("'"&amp;X$5&amp;"'!$G$866"))</f>
        <v/>
      </c>
      <c r="Y126" s="142" t="str">
        <f t="shared" ca="1" si="211"/>
        <v/>
      </c>
      <c r="Z126" s="142" t="str">
        <f t="shared" ca="1" si="211"/>
        <v/>
      </c>
      <c r="AA126" s="142" t="str">
        <f t="shared" ca="1" si="211"/>
        <v/>
      </c>
      <c r="AB126" s="142" t="str">
        <f t="shared" ca="1" si="211"/>
        <v/>
      </c>
      <c r="AC126" s="142" t="str">
        <f t="shared" ca="1" si="211"/>
        <v/>
      </c>
      <c r="AD126" s="142" t="str">
        <f t="shared" ca="1" si="211"/>
        <v/>
      </c>
      <c r="AE126" s="142" t="str">
        <f t="shared" ca="1" si="211"/>
        <v/>
      </c>
      <c r="AF126" s="142" t="str">
        <f t="shared" ca="1" si="211"/>
        <v/>
      </c>
    </row>
    <row r="127" spans="1:32" ht="16" x14ac:dyDescent="0.2">
      <c r="A127" s="497"/>
      <c r="B127" s="125" t="s">
        <v>626</v>
      </c>
      <c r="C127" s="155">
        <f ca="1">INDIRECT("'"&amp;C$6&amp;"'!$J$867")</f>
        <v>0</v>
      </c>
      <c r="D127" s="155">
        <f t="shared" ref="D127:V127" ca="1" si="212">INDIRECT("'"&amp;D$6&amp;"'!$J$867")</f>
        <v>0</v>
      </c>
      <c r="E127" s="155">
        <f t="shared" ca="1" si="212"/>
        <v>0</v>
      </c>
      <c r="F127" s="155">
        <f t="shared" ca="1" si="212"/>
        <v>0</v>
      </c>
      <c r="G127" s="155">
        <f t="shared" ca="1" si="212"/>
        <v>0</v>
      </c>
      <c r="H127" s="155">
        <f t="shared" ca="1" si="212"/>
        <v>0</v>
      </c>
      <c r="I127" s="155">
        <f t="shared" ca="1" si="212"/>
        <v>0</v>
      </c>
      <c r="J127" s="155">
        <f t="shared" ca="1" si="212"/>
        <v>0</v>
      </c>
      <c r="K127" s="155">
        <f t="shared" ca="1" si="212"/>
        <v>0</v>
      </c>
      <c r="L127" s="155">
        <f t="shared" ca="1" si="212"/>
        <v>0</v>
      </c>
      <c r="M127" s="155">
        <f t="shared" ca="1" si="212"/>
        <v>0</v>
      </c>
      <c r="N127" s="155">
        <f t="shared" ca="1" si="212"/>
        <v>0</v>
      </c>
      <c r="O127" s="155">
        <f t="shared" ca="1" si="212"/>
        <v>0</v>
      </c>
      <c r="P127" s="155">
        <f t="shared" ca="1" si="212"/>
        <v>0</v>
      </c>
      <c r="Q127" s="155">
        <f t="shared" ca="1" si="212"/>
        <v>0</v>
      </c>
      <c r="R127" s="155">
        <f t="shared" ca="1" si="212"/>
        <v>0</v>
      </c>
      <c r="S127" s="155">
        <f t="shared" ca="1" si="212"/>
        <v>0</v>
      </c>
      <c r="T127" s="155">
        <f t="shared" ca="1" si="212"/>
        <v>0</v>
      </c>
      <c r="U127" s="155">
        <f ca="1">INDIRECT("'"&amp;U$6&amp;"'!$J$867")</f>
        <v>0</v>
      </c>
      <c r="V127" s="155">
        <f t="shared" ca="1" si="212"/>
        <v>0</v>
      </c>
      <c r="W127" s="155" t="str">
        <f ca="1">IF(INDIRECT("'"&amp;W$5&amp;"'!$G$3")=0,"",INDIRECT("'"&amp;W$5&amp;"'!$J$867"))</f>
        <v/>
      </c>
      <c r="X127" s="155" t="str">
        <f t="shared" ref="X127:AF127" ca="1" si="213">IF(INDIRECT("'"&amp;X$5&amp;"'!$G$3")=0,"",INDIRECT("'"&amp;X$5&amp;"'!$J$867"))</f>
        <v/>
      </c>
      <c r="Y127" s="155" t="str">
        <f t="shared" ca="1" si="213"/>
        <v/>
      </c>
      <c r="Z127" s="155" t="str">
        <f t="shared" ca="1" si="213"/>
        <v/>
      </c>
      <c r="AA127" s="155" t="str">
        <f t="shared" ca="1" si="213"/>
        <v/>
      </c>
      <c r="AB127" s="155" t="str">
        <f t="shared" ca="1" si="213"/>
        <v/>
      </c>
      <c r="AC127" s="155" t="str">
        <f t="shared" ca="1" si="213"/>
        <v/>
      </c>
      <c r="AD127" s="155" t="str">
        <f t="shared" ca="1" si="213"/>
        <v/>
      </c>
      <c r="AE127" s="155" t="str">
        <f t="shared" ca="1" si="213"/>
        <v/>
      </c>
      <c r="AF127" s="155" t="str">
        <f t="shared" ca="1" si="213"/>
        <v/>
      </c>
    </row>
    <row r="128" spans="1:32" ht="15" customHeight="1" x14ac:dyDescent="0.2">
      <c r="A128" s="496" t="s">
        <v>121</v>
      </c>
      <c r="B128" s="124" t="s">
        <v>625</v>
      </c>
      <c r="C128" s="142" t="str">
        <f ca="1">INDIRECT("'"&amp;C$6&amp;"'!$G$870")</f>
        <v>Critical</v>
      </c>
      <c r="D128" s="142" t="str">
        <f t="shared" ref="D128:V128" ca="1" si="214">INDIRECT("'"&amp;D$6&amp;"'!$G$870")</f>
        <v>Critical</v>
      </c>
      <c r="E128" s="142" t="str">
        <f t="shared" ca="1" si="214"/>
        <v>Critical</v>
      </c>
      <c r="F128" s="142" t="str">
        <f t="shared" ca="1" si="214"/>
        <v>Important</v>
      </c>
      <c r="G128" s="142" t="str">
        <f t="shared" ca="1" si="214"/>
        <v>Important</v>
      </c>
      <c r="H128" s="142" t="str">
        <f t="shared" ca="1" si="214"/>
        <v>Critical</v>
      </c>
      <c r="I128" s="142" t="str">
        <f t="shared" ca="1" si="214"/>
        <v>Not relevant</v>
      </c>
      <c r="J128" s="142" t="str">
        <f t="shared" ca="1" si="214"/>
        <v>Not relevant</v>
      </c>
      <c r="K128" s="142" t="str">
        <f t="shared" ca="1" si="214"/>
        <v>Not relevant</v>
      </c>
      <c r="L128" s="142" t="str">
        <f t="shared" ca="1" si="214"/>
        <v>Important</v>
      </c>
      <c r="M128" s="142" t="str">
        <f t="shared" ca="1" si="214"/>
        <v>Critical</v>
      </c>
      <c r="N128" s="142" t="str">
        <f t="shared" ca="1" si="214"/>
        <v>Important</v>
      </c>
      <c r="O128" s="142" t="str">
        <f t="shared" ca="1" si="214"/>
        <v>Critical</v>
      </c>
      <c r="P128" s="142" t="str">
        <f t="shared" ca="1" si="214"/>
        <v>Critical</v>
      </c>
      <c r="Q128" s="142" t="str">
        <f t="shared" ca="1" si="214"/>
        <v>Critical</v>
      </c>
      <c r="R128" s="142" t="str">
        <f t="shared" ca="1" si="214"/>
        <v>Important</v>
      </c>
      <c r="S128" s="142" t="str">
        <f t="shared" ca="1" si="214"/>
        <v>Highly Important</v>
      </c>
      <c r="T128" s="142" t="str">
        <f t="shared" ca="1" si="214"/>
        <v>Important</v>
      </c>
      <c r="U128" s="142" t="str">
        <f ca="1">INDIRECT("'"&amp;U$6&amp;"'!$G$870")</f>
        <v>Not relevant</v>
      </c>
      <c r="V128" s="142" t="str">
        <f t="shared" ca="1" si="214"/>
        <v>Limited importance</v>
      </c>
      <c r="W128" s="142" t="str">
        <f ca="1">IF(INDIRECT("'"&amp;W$5&amp;"'!$G$3")=0,"",INDIRECT("'"&amp;W$5&amp;"'!$G$870"))</f>
        <v/>
      </c>
      <c r="X128" s="142" t="str">
        <f t="shared" ref="X128:AF128" ca="1" si="215">IF(INDIRECT("'"&amp;X$5&amp;"'!$G$3")=0,"",INDIRECT("'"&amp;X$5&amp;"'!$G$870"))</f>
        <v/>
      </c>
      <c r="Y128" s="142" t="str">
        <f t="shared" ca="1" si="215"/>
        <v/>
      </c>
      <c r="Z128" s="142" t="str">
        <f t="shared" ca="1" si="215"/>
        <v/>
      </c>
      <c r="AA128" s="142" t="str">
        <f t="shared" ca="1" si="215"/>
        <v/>
      </c>
      <c r="AB128" s="142" t="str">
        <f t="shared" ca="1" si="215"/>
        <v/>
      </c>
      <c r="AC128" s="142" t="str">
        <f t="shared" ca="1" si="215"/>
        <v/>
      </c>
      <c r="AD128" s="142" t="str">
        <f t="shared" ca="1" si="215"/>
        <v/>
      </c>
      <c r="AE128" s="142" t="str">
        <f t="shared" ca="1" si="215"/>
        <v/>
      </c>
      <c r="AF128" s="142" t="str">
        <f t="shared" ca="1" si="215"/>
        <v/>
      </c>
    </row>
    <row r="129" spans="1:32" ht="16" x14ac:dyDescent="0.2">
      <c r="A129" s="497"/>
      <c r="B129" s="125" t="s">
        <v>626</v>
      </c>
      <c r="C129" s="155">
        <f ca="1">INDIRECT("'"&amp;C$6&amp;"'!$J$871")</f>
        <v>0</v>
      </c>
      <c r="D129" s="155">
        <f t="shared" ref="D129:V129" ca="1" si="216">INDIRECT("'"&amp;D$6&amp;"'!$J$871")</f>
        <v>0</v>
      </c>
      <c r="E129" s="155">
        <f t="shared" ca="1" si="216"/>
        <v>0</v>
      </c>
      <c r="F129" s="155">
        <f t="shared" ca="1" si="216"/>
        <v>0</v>
      </c>
      <c r="G129" s="155">
        <f t="shared" ca="1" si="216"/>
        <v>0</v>
      </c>
      <c r="H129" s="155">
        <f t="shared" ca="1" si="216"/>
        <v>0</v>
      </c>
      <c r="I129" s="155">
        <f t="shared" ca="1" si="216"/>
        <v>0</v>
      </c>
      <c r="J129" s="155">
        <f t="shared" ca="1" si="216"/>
        <v>0</v>
      </c>
      <c r="K129" s="155">
        <f t="shared" ca="1" si="216"/>
        <v>0</v>
      </c>
      <c r="L129" s="155">
        <f t="shared" ca="1" si="216"/>
        <v>0</v>
      </c>
      <c r="M129" s="155">
        <f t="shared" ca="1" si="216"/>
        <v>0</v>
      </c>
      <c r="N129" s="155">
        <f t="shared" ca="1" si="216"/>
        <v>0</v>
      </c>
      <c r="O129" s="155">
        <f t="shared" ca="1" si="216"/>
        <v>0</v>
      </c>
      <c r="P129" s="155">
        <f t="shared" ca="1" si="216"/>
        <v>0</v>
      </c>
      <c r="Q129" s="155">
        <f t="shared" ca="1" si="216"/>
        <v>0</v>
      </c>
      <c r="R129" s="155">
        <f t="shared" ca="1" si="216"/>
        <v>0</v>
      </c>
      <c r="S129" s="155">
        <f t="shared" ca="1" si="216"/>
        <v>0</v>
      </c>
      <c r="T129" s="155">
        <f t="shared" ca="1" si="216"/>
        <v>0</v>
      </c>
      <c r="U129" s="155">
        <f ca="1">INDIRECT("'"&amp;U$6&amp;"'!$J$871")</f>
        <v>0</v>
      </c>
      <c r="V129" s="155">
        <f t="shared" ca="1" si="216"/>
        <v>0</v>
      </c>
      <c r="W129" s="155" t="str">
        <f ca="1">IF(INDIRECT("'"&amp;W$5&amp;"'!$G$3")=0,"",INDIRECT("'"&amp;W$5&amp;"'!$J$871"))</f>
        <v/>
      </c>
      <c r="X129" s="155" t="str">
        <f t="shared" ref="X129:AF129" ca="1" si="217">IF(INDIRECT("'"&amp;X$5&amp;"'!$G$3")=0,"",INDIRECT("'"&amp;X$5&amp;"'!$J$871"))</f>
        <v/>
      </c>
      <c r="Y129" s="155" t="str">
        <f t="shared" ca="1" si="217"/>
        <v/>
      </c>
      <c r="Z129" s="155" t="str">
        <f t="shared" ca="1" si="217"/>
        <v/>
      </c>
      <c r="AA129" s="155" t="str">
        <f t="shared" ca="1" si="217"/>
        <v/>
      </c>
      <c r="AB129" s="155" t="str">
        <f t="shared" ca="1" si="217"/>
        <v/>
      </c>
      <c r="AC129" s="155" t="str">
        <f t="shared" ca="1" si="217"/>
        <v/>
      </c>
      <c r="AD129" s="155" t="str">
        <f t="shared" ca="1" si="217"/>
        <v/>
      </c>
      <c r="AE129" s="155" t="str">
        <f t="shared" ca="1" si="217"/>
        <v/>
      </c>
      <c r="AF129" s="155" t="str">
        <f t="shared" ca="1" si="217"/>
        <v/>
      </c>
    </row>
    <row r="130" spans="1:32" ht="15" customHeight="1" x14ac:dyDescent="0.2">
      <c r="A130" s="496" t="s">
        <v>123</v>
      </c>
      <c r="B130" s="124" t="s">
        <v>625</v>
      </c>
      <c r="C130" s="142" t="str">
        <f ca="1">INDIRECT("'"&amp;C$6&amp;"'!$G$874")</f>
        <v>Not relevant</v>
      </c>
      <c r="D130" s="142" t="str">
        <f t="shared" ref="D130:V130" ca="1" si="218">INDIRECT("'"&amp;D$6&amp;"'!$G$874")</f>
        <v>Critical</v>
      </c>
      <c r="E130" s="142" t="str">
        <f t="shared" ca="1" si="218"/>
        <v>Highly Important</v>
      </c>
      <c r="F130" s="142" t="str">
        <f t="shared" ca="1" si="218"/>
        <v>Not relevant</v>
      </c>
      <c r="G130" s="142" t="str">
        <f t="shared" ca="1" si="218"/>
        <v>Not relevant</v>
      </c>
      <c r="H130" s="142" t="str">
        <f t="shared" ca="1" si="218"/>
        <v>Not relevant</v>
      </c>
      <c r="I130" s="142" t="str">
        <f t="shared" ca="1" si="218"/>
        <v>Not relevant</v>
      </c>
      <c r="J130" s="142" t="str">
        <f t="shared" ca="1" si="218"/>
        <v>Not relevant</v>
      </c>
      <c r="K130" s="142" t="str">
        <f t="shared" ca="1" si="218"/>
        <v>Not relevant</v>
      </c>
      <c r="L130" s="142" t="str">
        <f t="shared" ca="1" si="218"/>
        <v>Not relevant</v>
      </c>
      <c r="M130" s="142" t="str">
        <f t="shared" ca="1" si="218"/>
        <v>Highly Important</v>
      </c>
      <c r="N130" s="142" t="str">
        <f t="shared" ca="1" si="218"/>
        <v>Highly Important</v>
      </c>
      <c r="O130" s="142" t="str">
        <f t="shared" ca="1" si="218"/>
        <v>Critical</v>
      </c>
      <c r="P130" s="142" t="str">
        <f t="shared" ca="1" si="218"/>
        <v>Critical</v>
      </c>
      <c r="Q130" s="142" t="str">
        <f t="shared" ca="1" si="218"/>
        <v>Critical</v>
      </c>
      <c r="R130" s="142" t="str">
        <f t="shared" ca="1" si="218"/>
        <v>Not relevant</v>
      </c>
      <c r="S130" s="142" t="str">
        <f t="shared" ca="1" si="218"/>
        <v>Not relevant</v>
      </c>
      <c r="T130" s="142" t="str">
        <f t="shared" ca="1" si="218"/>
        <v>Not relevant</v>
      </c>
      <c r="U130" s="142" t="str">
        <f ca="1">INDIRECT("'"&amp;U$6&amp;"'!$G$874")</f>
        <v>Not relevant</v>
      </c>
      <c r="V130" s="142" t="str">
        <f t="shared" ca="1" si="218"/>
        <v>Not relevant</v>
      </c>
      <c r="W130" s="142" t="str">
        <f ca="1">IF(INDIRECT("'"&amp;W$5&amp;"'!$G$3")=0,"",INDIRECT("'"&amp;W$5&amp;"'!$G$874"))</f>
        <v/>
      </c>
      <c r="X130" s="142" t="str">
        <f t="shared" ref="X130:AF130" ca="1" si="219">IF(INDIRECT("'"&amp;X$5&amp;"'!$G$3")=0,"",INDIRECT("'"&amp;X$5&amp;"'!$G$874"))</f>
        <v/>
      </c>
      <c r="Y130" s="142" t="str">
        <f t="shared" ca="1" si="219"/>
        <v/>
      </c>
      <c r="Z130" s="142" t="str">
        <f t="shared" ca="1" si="219"/>
        <v/>
      </c>
      <c r="AA130" s="142" t="str">
        <f t="shared" ca="1" si="219"/>
        <v/>
      </c>
      <c r="AB130" s="142" t="str">
        <f t="shared" ca="1" si="219"/>
        <v/>
      </c>
      <c r="AC130" s="142" t="str">
        <f t="shared" ca="1" si="219"/>
        <v/>
      </c>
      <c r="AD130" s="142" t="str">
        <f t="shared" ca="1" si="219"/>
        <v/>
      </c>
      <c r="AE130" s="142" t="str">
        <f t="shared" ca="1" si="219"/>
        <v/>
      </c>
      <c r="AF130" s="142" t="str">
        <f t="shared" ca="1" si="219"/>
        <v/>
      </c>
    </row>
    <row r="131" spans="1:32" ht="16" x14ac:dyDescent="0.2">
      <c r="A131" s="497"/>
      <c r="B131" s="125" t="s">
        <v>626</v>
      </c>
      <c r="C131" s="155">
        <f ca="1">INDIRECT("'"&amp;C$6&amp;"'!$J$875")</f>
        <v>0</v>
      </c>
      <c r="D131" s="155">
        <f t="shared" ref="D131:V131" ca="1" si="220">INDIRECT("'"&amp;D$6&amp;"'!$J$875")</f>
        <v>0</v>
      </c>
      <c r="E131" s="155">
        <f t="shared" ca="1" si="220"/>
        <v>0</v>
      </c>
      <c r="F131" s="155">
        <f t="shared" ca="1" si="220"/>
        <v>0</v>
      </c>
      <c r="G131" s="155">
        <f t="shared" ca="1" si="220"/>
        <v>0</v>
      </c>
      <c r="H131" s="155">
        <f t="shared" ca="1" si="220"/>
        <v>0</v>
      </c>
      <c r="I131" s="155">
        <f t="shared" ca="1" si="220"/>
        <v>0</v>
      </c>
      <c r="J131" s="155">
        <f t="shared" ca="1" si="220"/>
        <v>0</v>
      </c>
      <c r="K131" s="155">
        <f t="shared" ca="1" si="220"/>
        <v>0</v>
      </c>
      <c r="L131" s="155">
        <f t="shared" ca="1" si="220"/>
        <v>0</v>
      </c>
      <c r="M131" s="155">
        <f t="shared" ca="1" si="220"/>
        <v>0</v>
      </c>
      <c r="N131" s="155">
        <f t="shared" ca="1" si="220"/>
        <v>0</v>
      </c>
      <c r="O131" s="155">
        <f t="shared" ca="1" si="220"/>
        <v>0</v>
      </c>
      <c r="P131" s="155">
        <f t="shared" ca="1" si="220"/>
        <v>0</v>
      </c>
      <c r="Q131" s="155">
        <f t="shared" ca="1" si="220"/>
        <v>0</v>
      </c>
      <c r="R131" s="155">
        <f t="shared" ca="1" si="220"/>
        <v>0</v>
      </c>
      <c r="S131" s="155">
        <f t="shared" ca="1" si="220"/>
        <v>0</v>
      </c>
      <c r="T131" s="155">
        <f t="shared" ca="1" si="220"/>
        <v>0</v>
      </c>
      <c r="U131" s="155">
        <f ca="1">INDIRECT("'"&amp;U$6&amp;"'!$J$875")</f>
        <v>0</v>
      </c>
      <c r="V131" s="155">
        <f t="shared" ca="1" si="220"/>
        <v>0</v>
      </c>
      <c r="W131" s="155" t="str">
        <f ca="1">IF(INDIRECT("'"&amp;W$5&amp;"'!$G$3")=0,"",INDIRECT("'"&amp;W$5&amp;"'!$J$875"))</f>
        <v/>
      </c>
      <c r="X131" s="155" t="str">
        <f t="shared" ref="X131:AF131" ca="1" si="221">IF(INDIRECT("'"&amp;X$5&amp;"'!$G$3")=0,"",INDIRECT("'"&amp;X$5&amp;"'!$J$875"))</f>
        <v/>
      </c>
      <c r="Y131" s="155" t="str">
        <f t="shared" ca="1" si="221"/>
        <v/>
      </c>
      <c r="Z131" s="155" t="str">
        <f t="shared" ca="1" si="221"/>
        <v/>
      </c>
      <c r="AA131" s="155" t="str">
        <f t="shared" ca="1" si="221"/>
        <v/>
      </c>
      <c r="AB131" s="155" t="str">
        <f t="shared" ca="1" si="221"/>
        <v/>
      </c>
      <c r="AC131" s="155" t="str">
        <f t="shared" ca="1" si="221"/>
        <v/>
      </c>
      <c r="AD131" s="155" t="str">
        <f t="shared" ca="1" si="221"/>
        <v/>
      </c>
      <c r="AE131" s="155" t="str">
        <f t="shared" ca="1" si="221"/>
        <v/>
      </c>
      <c r="AF131" s="155" t="str">
        <f t="shared" ca="1" si="221"/>
        <v/>
      </c>
    </row>
    <row r="132" spans="1:32" ht="15" customHeight="1" x14ac:dyDescent="0.2">
      <c r="A132" s="496" t="s">
        <v>125</v>
      </c>
      <c r="B132" s="124" t="s">
        <v>625</v>
      </c>
      <c r="C132" s="142" t="str">
        <f ca="1">INDIRECT("'"&amp;C$6&amp;"'!$G$878")</f>
        <v>Not relevant</v>
      </c>
      <c r="D132" s="142" t="str">
        <f t="shared" ref="D132:V132" ca="1" si="222">INDIRECT("'"&amp;D$6&amp;"'!$G$878")</f>
        <v>Critical</v>
      </c>
      <c r="E132" s="142" t="str">
        <f t="shared" ca="1" si="222"/>
        <v>Critical</v>
      </c>
      <c r="F132" s="142" t="str">
        <f t="shared" ca="1" si="222"/>
        <v>Not relevant</v>
      </c>
      <c r="G132" s="142" t="str">
        <f t="shared" ca="1" si="222"/>
        <v>Limited importance</v>
      </c>
      <c r="H132" s="142" t="str">
        <f t="shared" ca="1" si="222"/>
        <v>Limited importance</v>
      </c>
      <c r="I132" s="142" t="str">
        <f t="shared" ca="1" si="222"/>
        <v>Not relevant</v>
      </c>
      <c r="J132" s="142" t="str">
        <f t="shared" ca="1" si="222"/>
        <v>Not relevant</v>
      </c>
      <c r="K132" s="142" t="str">
        <f t="shared" ca="1" si="222"/>
        <v>Important</v>
      </c>
      <c r="L132" s="142" t="str">
        <f t="shared" ca="1" si="222"/>
        <v>Limited importance</v>
      </c>
      <c r="M132" s="142" t="str">
        <f t="shared" ca="1" si="222"/>
        <v>Critical</v>
      </c>
      <c r="N132" s="142" t="str">
        <f t="shared" ca="1" si="222"/>
        <v>Critical</v>
      </c>
      <c r="O132" s="142" t="str">
        <f t="shared" ca="1" si="222"/>
        <v>Critical</v>
      </c>
      <c r="P132" s="142" t="str">
        <f t="shared" ca="1" si="222"/>
        <v>Critical</v>
      </c>
      <c r="Q132" s="142" t="str">
        <f t="shared" ca="1" si="222"/>
        <v>Critical</v>
      </c>
      <c r="R132" s="142" t="str">
        <f t="shared" ca="1" si="222"/>
        <v>Not relevant</v>
      </c>
      <c r="S132" s="142" t="str">
        <f t="shared" ca="1" si="222"/>
        <v>Limited importance</v>
      </c>
      <c r="T132" s="142" t="str">
        <f t="shared" ca="1" si="222"/>
        <v>Limited importance</v>
      </c>
      <c r="U132" s="142" t="str">
        <f ca="1">INDIRECT("'"&amp;U$6&amp;"'!$G$878")</f>
        <v>Not relevant</v>
      </c>
      <c r="V132" s="142" t="str">
        <f t="shared" ca="1" si="222"/>
        <v>Not relevant</v>
      </c>
      <c r="W132" s="142" t="str">
        <f ca="1">IF(INDIRECT("'"&amp;W$5&amp;"'!$G$3")=0,"",INDIRECT("'"&amp;W$5&amp;"'!$G$878"))</f>
        <v/>
      </c>
      <c r="X132" s="142" t="str">
        <f t="shared" ref="X132:AF132" ca="1" si="223">IF(INDIRECT("'"&amp;X$5&amp;"'!$G$3")=0,"",INDIRECT("'"&amp;X$5&amp;"'!$G$878"))</f>
        <v/>
      </c>
      <c r="Y132" s="142" t="str">
        <f t="shared" ca="1" si="223"/>
        <v/>
      </c>
      <c r="Z132" s="142" t="str">
        <f t="shared" ca="1" si="223"/>
        <v/>
      </c>
      <c r="AA132" s="142" t="str">
        <f t="shared" ca="1" si="223"/>
        <v/>
      </c>
      <c r="AB132" s="142" t="str">
        <f t="shared" ca="1" si="223"/>
        <v/>
      </c>
      <c r="AC132" s="142" t="str">
        <f t="shared" ca="1" si="223"/>
        <v/>
      </c>
      <c r="AD132" s="142" t="str">
        <f t="shared" ca="1" si="223"/>
        <v/>
      </c>
      <c r="AE132" s="142" t="str">
        <f t="shared" ca="1" si="223"/>
        <v/>
      </c>
      <c r="AF132" s="142" t="str">
        <f t="shared" ca="1" si="223"/>
        <v/>
      </c>
    </row>
    <row r="133" spans="1:32" ht="16" x14ac:dyDescent="0.2">
      <c r="A133" s="497"/>
      <c r="B133" s="125" t="s">
        <v>626</v>
      </c>
      <c r="C133" s="155">
        <f ca="1">INDIRECT("'"&amp;C$6&amp;"'!$J$879")</f>
        <v>0</v>
      </c>
      <c r="D133" s="155">
        <f t="shared" ref="D133:V133" ca="1" si="224">INDIRECT("'"&amp;D$6&amp;"'!$J$879")</f>
        <v>0</v>
      </c>
      <c r="E133" s="155">
        <f t="shared" ca="1" si="224"/>
        <v>0</v>
      </c>
      <c r="F133" s="155">
        <f t="shared" ca="1" si="224"/>
        <v>0</v>
      </c>
      <c r="G133" s="155">
        <f t="shared" ca="1" si="224"/>
        <v>0</v>
      </c>
      <c r="H133" s="155">
        <f t="shared" ca="1" si="224"/>
        <v>0</v>
      </c>
      <c r="I133" s="155">
        <f t="shared" ca="1" si="224"/>
        <v>0</v>
      </c>
      <c r="J133" s="155">
        <f t="shared" ca="1" si="224"/>
        <v>0</v>
      </c>
      <c r="K133" s="155">
        <f t="shared" ca="1" si="224"/>
        <v>0</v>
      </c>
      <c r="L133" s="155">
        <f t="shared" ca="1" si="224"/>
        <v>0</v>
      </c>
      <c r="M133" s="155">
        <f t="shared" ca="1" si="224"/>
        <v>0</v>
      </c>
      <c r="N133" s="155">
        <f t="shared" ca="1" si="224"/>
        <v>0</v>
      </c>
      <c r="O133" s="155">
        <f t="shared" ca="1" si="224"/>
        <v>0</v>
      </c>
      <c r="P133" s="155">
        <f t="shared" ca="1" si="224"/>
        <v>0</v>
      </c>
      <c r="Q133" s="155">
        <f t="shared" ca="1" si="224"/>
        <v>0</v>
      </c>
      <c r="R133" s="155">
        <f t="shared" ca="1" si="224"/>
        <v>0</v>
      </c>
      <c r="S133" s="155">
        <f t="shared" ca="1" si="224"/>
        <v>0</v>
      </c>
      <c r="T133" s="155">
        <f t="shared" ca="1" si="224"/>
        <v>0</v>
      </c>
      <c r="U133" s="155">
        <f ca="1">INDIRECT("'"&amp;U$6&amp;"'!$J$879")</f>
        <v>0</v>
      </c>
      <c r="V133" s="155">
        <f t="shared" ca="1" si="224"/>
        <v>0</v>
      </c>
      <c r="W133" s="155" t="str">
        <f ca="1">IF(INDIRECT("'"&amp;W$5&amp;"'!$G$3")=0,"",INDIRECT("'"&amp;W$5&amp;"'!$J$879"))</f>
        <v/>
      </c>
      <c r="X133" s="155" t="str">
        <f t="shared" ref="X133:AF133" ca="1" si="225">IF(INDIRECT("'"&amp;X$5&amp;"'!$G$3")=0,"",INDIRECT("'"&amp;X$5&amp;"'!$J$879"))</f>
        <v/>
      </c>
      <c r="Y133" s="155" t="str">
        <f t="shared" ca="1" si="225"/>
        <v/>
      </c>
      <c r="Z133" s="155" t="str">
        <f t="shared" ca="1" si="225"/>
        <v/>
      </c>
      <c r="AA133" s="155" t="str">
        <f t="shared" ca="1" si="225"/>
        <v/>
      </c>
      <c r="AB133" s="155" t="str">
        <f t="shared" ca="1" si="225"/>
        <v/>
      </c>
      <c r="AC133" s="155" t="str">
        <f t="shared" ca="1" si="225"/>
        <v/>
      </c>
      <c r="AD133" s="155" t="str">
        <f t="shared" ca="1" si="225"/>
        <v/>
      </c>
      <c r="AE133" s="155" t="str">
        <f t="shared" ca="1" si="225"/>
        <v/>
      </c>
      <c r="AF133" s="155" t="str">
        <f t="shared" ca="1" si="225"/>
        <v/>
      </c>
    </row>
    <row r="134" spans="1:32" ht="15" customHeight="1" x14ac:dyDescent="0.2">
      <c r="A134" s="496" t="s">
        <v>127</v>
      </c>
      <c r="B134" s="124" t="s">
        <v>625</v>
      </c>
      <c r="C134" s="142" t="str">
        <f ca="1">INDIRECT("'"&amp;C$6&amp;"'!$G$882")</f>
        <v>Limited importance</v>
      </c>
      <c r="D134" s="142" t="str">
        <f t="shared" ref="D134:V134" ca="1" si="226">INDIRECT("'"&amp;D$6&amp;"'!$G$882")</f>
        <v>Critical</v>
      </c>
      <c r="E134" s="142" t="str">
        <f t="shared" ca="1" si="226"/>
        <v>Highly Important</v>
      </c>
      <c r="F134" s="142" t="str">
        <f t="shared" ca="1" si="226"/>
        <v>Not relevant</v>
      </c>
      <c r="G134" s="142" t="str">
        <f t="shared" ca="1" si="226"/>
        <v>Important</v>
      </c>
      <c r="H134" s="142" t="str">
        <f t="shared" ca="1" si="226"/>
        <v>Critical</v>
      </c>
      <c r="I134" s="142" t="str">
        <f t="shared" ca="1" si="226"/>
        <v>Highly Important</v>
      </c>
      <c r="J134" s="142" t="str">
        <f t="shared" ca="1" si="226"/>
        <v>Highly Important</v>
      </c>
      <c r="K134" s="142" t="str">
        <f t="shared" ca="1" si="226"/>
        <v>Important</v>
      </c>
      <c r="L134" s="142" t="str">
        <f t="shared" ca="1" si="226"/>
        <v>Important</v>
      </c>
      <c r="M134" s="142" t="str">
        <f t="shared" ca="1" si="226"/>
        <v>Highly Important</v>
      </c>
      <c r="N134" s="142" t="str">
        <f t="shared" ca="1" si="226"/>
        <v>Critical</v>
      </c>
      <c r="O134" s="142" t="str">
        <f t="shared" ca="1" si="226"/>
        <v>Critical</v>
      </c>
      <c r="P134" s="142" t="str">
        <f t="shared" ca="1" si="226"/>
        <v>Critical</v>
      </c>
      <c r="Q134" s="142" t="str">
        <f t="shared" ca="1" si="226"/>
        <v>Critical</v>
      </c>
      <c r="R134" s="142" t="str">
        <f t="shared" ca="1" si="226"/>
        <v>Important</v>
      </c>
      <c r="S134" s="142" t="str">
        <f t="shared" ca="1" si="226"/>
        <v>Important</v>
      </c>
      <c r="T134" s="142" t="str">
        <f t="shared" ca="1" si="226"/>
        <v>Important</v>
      </c>
      <c r="U134" s="142" t="str">
        <f ca="1">INDIRECT("'"&amp;U$6&amp;"'!$G$882")</f>
        <v>Important</v>
      </c>
      <c r="V134" s="142" t="str">
        <f t="shared" ca="1" si="226"/>
        <v>Limited importance</v>
      </c>
      <c r="W134" s="142" t="str">
        <f ca="1">IF(INDIRECT("'"&amp;W$5&amp;"'!$G$3")=0,"",INDIRECT("'"&amp;W$5&amp;"'!$G$882"))</f>
        <v/>
      </c>
      <c r="X134" s="142" t="str">
        <f t="shared" ref="X134:AF134" ca="1" si="227">IF(INDIRECT("'"&amp;X$5&amp;"'!$G$3")=0,"",INDIRECT("'"&amp;X$5&amp;"'!$G$882"))</f>
        <v/>
      </c>
      <c r="Y134" s="142" t="str">
        <f t="shared" ca="1" si="227"/>
        <v/>
      </c>
      <c r="Z134" s="142" t="str">
        <f t="shared" ca="1" si="227"/>
        <v/>
      </c>
      <c r="AA134" s="142" t="str">
        <f t="shared" ca="1" si="227"/>
        <v/>
      </c>
      <c r="AB134" s="142" t="str">
        <f t="shared" ca="1" si="227"/>
        <v/>
      </c>
      <c r="AC134" s="142" t="str">
        <f t="shared" ca="1" si="227"/>
        <v/>
      </c>
      <c r="AD134" s="142" t="str">
        <f t="shared" ca="1" si="227"/>
        <v/>
      </c>
      <c r="AE134" s="142" t="str">
        <f t="shared" ca="1" si="227"/>
        <v/>
      </c>
      <c r="AF134" s="142" t="str">
        <f t="shared" ca="1" si="227"/>
        <v/>
      </c>
    </row>
    <row r="135" spans="1:32" ht="16" x14ac:dyDescent="0.2">
      <c r="A135" s="497"/>
      <c r="B135" s="125" t="s">
        <v>626</v>
      </c>
      <c r="C135" s="155">
        <f ca="1">INDIRECT("'"&amp;C$6&amp;"'!$J$883")</f>
        <v>0</v>
      </c>
      <c r="D135" s="155">
        <f t="shared" ref="D135:V135" ca="1" si="228">INDIRECT("'"&amp;D$6&amp;"'!$J$883")</f>
        <v>0</v>
      </c>
      <c r="E135" s="155">
        <f t="shared" ca="1" si="228"/>
        <v>0</v>
      </c>
      <c r="F135" s="155">
        <f t="shared" ca="1" si="228"/>
        <v>0</v>
      </c>
      <c r="G135" s="155">
        <f t="shared" ca="1" si="228"/>
        <v>0</v>
      </c>
      <c r="H135" s="155">
        <f t="shared" ca="1" si="228"/>
        <v>0</v>
      </c>
      <c r="I135" s="155">
        <f t="shared" ca="1" si="228"/>
        <v>0</v>
      </c>
      <c r="J135" s="155">
        <f t="shared" ca="1" si="228"/>
        <v>0</v>
      </c>
      <c r="K135" s="155">
        <f t="shared" ca="1" si="228"/>
        <v>0</v>
      </c>
      <c r="L135" s="155">
        <f t="shared" ca="1" si="228"/>
        <v>0</v>
      </c>
      <c r="M135" s="155">
        <f t="shared" ca="1" si="228"/>
        <v>0</v>
      </c>
      <c r="N135" s="155">
        <f t="shared" ca="1" si="228"/>
        <v>0</v>
      </c>
      <c r="O135" s="155">
        <f t="shared" ca="1" si="228"/>
        <v>0</v>
      </c>
      <c r="P135" s="155">
        <f t="shared" ca="1" si="228"/>
        <v>0</v>
      </c>
      <c r="Q135" s="155">
        <f t="shared" ca="1" si="228"/>
        <v>0</v>
      </c>
      <c r="R135" s="155">
        <f t="shared" ca="1" si="228"/>
        <v>0</v>
      </c>
      <c r="S135" s="155">
        <f t="shared" ca="1" si="228"/>
        <v>0</v>
      </c>
      <c r="T135" s="155">
        <f t="shared" ca="1" si="228"/>
        <v>0</v>
      </c>
      <c r="U135" s="155">
        <f ca="1">INDIRECT("'"&amp;U$6&amp;"'!$J$883")</f>
        <v>0</v>
      </c>
      <c r="V135" s="155">
        <f t="shared" ca="1" si="228"/>
        <v>0</v>
      </c>
      <c r="W135" s="155" t="str">
        <f ca="1">IF(INDIRECT("'"&amp;W$5&amp;"'!$G$3")=0,"",INDIRECT("'"&amp;W$5&amp;"'!$J$883"))</f>
        <v/>
      </c>
      <c r="X135" s="155" t="str">
        <f t="shared" ref="X135:AF135" ca="1" si="229">IF(INDIRECT("'"&amp;X$5&amp;"'!$G$3")=0,"",INDIRECT("'"&amp;X$5&amp;"'!$J$883"))</f>
        <v/>
      </c>
      <c r="Y135" s="155" t="str">
        <f t="shared" ca="1" si="229"/>
        <v/>
      </c>
      <c r="Z135" s="155" t="str">
        <f t="shared" ca="1" si="229"/>
        <v/>
      </c>
      <c r="AA135" s="155" t="str">
        <f t="shared" ca="1" si="229"/>
        <v/>
      </c>
      <c r="AB135" s="155" t="str">
        <f t="shared" ca="1" si="229"/>
        <v/>
      </c>
      <c r="AC135" s="155" t="str">
        <f t="shared" ca="1" si="229"/>
        <v/>
      </c>
      <c r="AD135" s="155" t="str">
        <f t="shared" ca="1" si="229"/>
        <v/>
      </c>
      <c r="AE135" s="155" t="str">
        <f t="shared" ca="1" si="229"/>
        <v/>
      </c>
      <c r="AF135" s="155" t="str">
        <f t="shared" ca="1" si="229"/>
        <v/>
      </c>
    </row>
    <row r="136" spans="1:32" ht="15" customHeight="1" x14ac:dyDescent="0.2">
      <c r="A136" s="496" t="s">
        <v>128</v>
      </c>
      <c r="B136" s="124" t="s">
        <v>625</v>
      </c>
      <c r="C136" s="142" t="str">
        <f ca="1">INDIRECT("'"&amp;C$6&amp;"'!$G$886")</f>
        <v>Highly Important</v>
      </c>
      <c r="D136" s="142" t="str">
        <f t="shared" ref="D136:V136" ca="1" si="230">INDIRECT("'"&amp;D$6&amp;"'!$G$886")</f>
        <v>Critical</v>
      </c>
      <c r="E136" s="142" t="str">
        <f t="shared" ca="1" si="230"/>
        <v>Critical</v>
      </c>
      <c r="F136" s="142" t="str">
        <f t="shared" ca="1" si="230"/>
        <v>Limited importance</v>
      </c>
      <c r="G136" s="142" t="str">
        <f t="shared" ca="1" si="230"/>
        <v>Important</v>
      </c>
      <c r="H136" s="142" t="str">
        <f t="shared" ca="1" si="230"/>
        <v>Highly Important</v>
      </c>
      <c r="I136" s="142" t="str">
        <f t="shared" ca="1" si="230"/>
        <v>Not relevant</v>
      </c>
      <c r="J136" s="142" t="str">
        <f t="shared" ca="1" si="230"/>
        <v>Not relevant</v>
      </c>
      <c r="K136" s="142" t="str">
        <f t="shared" ca="1" si="230"/>
        <v>Important</v>
      </c>
      <c r="L136" s="142" t="str">
        <f t="shared" ca="1" si="230"/>
        <v>Important</v>
      </c>
      <c r="M136" s="142" t="str">
        <f t="shared" ca="1" si="230"/>
        <v>Critical</v>
      </c>
      <c r="N136" s="142" t="str">
        <f t="shared" ca="1" si="230"/>
        <v>Critical</v>
      </c>
      <c r="O136" s="142" t="str">
        <f t="shared" ca="1" si="230"/>
        <v>Critical</v>
      </c>
      <c r="P136" s="142" t="str">
        <f t="shared" ca="1" si="230"/>
        <v>Critical</v>
      </c>
      <c r="Q136" s="142" t="str">
        <f t="shared" ca="1" si="230"/>
        <v>Critical</v>
      </c>
      <c r="R136" s="142" t="str">
        <f t="shared" ca="1" si="230"/>
        <v>Limited importance</v>
      </c>
      <c r="S136" s="142" t="str">
        <f t="shared" ca="1" si="230"/>
        <v>Highly Important</v>
      </c>
      <c r="T136" s="142" t="str">
        <f t="shared" ca="1" si="230"/>
        <v>Limited importance</v>
      </c>
      <c r="U136" s="142" t="str">
        <f ca="1">INDIRECT("'"&amp;U$6&amp;"'!$G$886")</f>
        <v>Not relevant</v>
      </c>
      <c r="V136" s="142" t="str">
        <f t="shared" ca="1" si="230"/>
        <v>Limited importance</v>
      </c>
      <c r="W136" s="142" t="str">
        <f ca="1">IF(INDIRECT("'"&amp;W$5&amp;"'!$G$3")=0,"",INDIRECT("'"&amp;W$5&amp;"'!$G$886"))</f>
        <v/>
      </c>
      <c r="X136" s="142" t="str">
        <f t="shared" ref="X136:AF136" ca="1" si="231">IF(INDIRECT("'"&amp;X$5&amp;"'!$G$3")=0,"",INDIRECT("'"&amp;X$5&amp;"'!$G$886"))</f>
        <v/>
      </c>
      <c r="Y136" s="142" t="str">
        <f t="shared" ca="1" si="231"/>
        <v/>
      </c>
      <c r="Z136" s="142" t="str">
        <f t="shared" ca="1" si="231"/>
        <v/>
      </c>
      <c r="AA136" s="142" t="str">
        <f t="shared" ca="1" si="231"/>
        <v/>
      </c>
      <c r="AB136" s="142" t="str">
        <f t="shared" ca="1" si="231"/>
        <v/>
      </c>
      <c r="AC136" s="142" t="str">
        <f t="shared" ca="1" si="231"/>
        <v/>
      </c>
      <c r="AD136" s="142" t="str">
        <f t="shared" ca="1" si="231"/>
        <v/>
      </c>
      <c r="AE136" s="142" t="str">
        <f t="shared" ca="1" si="231"/>
        <v/>
      </c>
      <c r="AF136" s="142" t="str">
        <f t="shared" ca="1" si="231"/>
        <v/>
      </c>
    </row>
    <row r="137" spans="1:32" ht="16" x14ac:dyDescent="0.2">
      <c r="A137" s="497"/>
      <c r="B137" s="125" t="s">
        <v>626</v>
      </c>
      <c r="C137" s="155">
        <f ca="1">INDIRECT("'"&amp;C$6&amp;"'!$J$887")</f>
        <v>0</v>
      </c>
      <c r="D137" s="155">
        <f t="shared" ref="D137:V137" ca="1" si="232">INDIRECT("'"&amp;D$6&amp;"'!$J$887")</f>
        <v>0</v>
      </c>
      <c r="E137" s="155">
        <f t="shared" ca="1" si="232"/>
        <v>0</v>
      </c>
      <c r="F137" s="155">
        <f t="shared" ca="1" si="232"/>
        <v>0</v>
      </c>
      <c r="G137" s="155">
        <f t="shared" ca="1" si="232"/>
        <v>0</v>
      </c>
      <c r="H137" s="155">
        <f t="shared" ca="1" si="232"/>
        <v>0</v>
      </c>
      <c r="I137" s="155">
        <f t="shared" ca="1" si="232"/>
        <v>0</v>
      </c>
      <c r="J137" s="155">
        <f t="shared" ca="1" si="232"/>
        <v>0</v>
      </c>
      <c r="K137" s="155">
        <f t="shared" ca="1" si="232"/>
        <v>0</v>
      </c>
      <c r="L137" s="155">
        <f t="shared" ca="1" si="232"/>
        <v>0</v>
      </c>
      <c r="M137" s="155">
        <f t="shared" ca="1" si="232"/>
        <v>0</v>
      </c>
      <c r="N137" s="155">
        <f t="shared" ca="1" si="232"/>
        <v>0</v>
      </c>
      <c r="O137" s="155">
        <f t="shared" ca="1" si="232"/>
        <v>0</v>
      </c>
      <c r="P137" s="155">
        <f t="shared" ca="1" si="232"/>
        <v>0</v>
      </c>
      <c r="Q137" s="155">
        <f t="shared" ca="1" si="232"/>
        <v>0</v>
      </c>
      <c r="R137" s="155">
        <f t="shared" ca="1" si="232"/>
        <v>0</v>
      </c>
      <c r="S137" s="155">
        <f t="shared" ca="1" si="232"/>
        <v>0</v>
      </c>
      <c r="T137" s="155">
        <f t="shared" ca="1" si="232"/>
        <v>0</v>
      </c>
      <c r="U137" s="155">
        <f ca="1">INDIRECT("'"&amp;U$6&amp;"'!$J$887")</f>
        <v>0</v>
      </c>
      <c r="V137" s="155">
        <f t="shared" ca="1" si="232"/>
        <v>0</v>
      </c>
      <c r="W137" s="155" t="str">
        <f ca="1">IF(INDIRECT("'"&amp;W$5&amp;"'!$G$3")=0,"",INDIRECT("'"&amp;W$5&amp;"'!$J$887"))</f>
        <v/>
      </c>
      <c r="X137" s="155" t="str">
        <f t="shared" ref="X137:AF137" ca="1" si="233">IF(INDIRECT("'"&amp;X$5&amp;"'!$G$3")=0,"",INDIRECT("'"&amp;X$5&amp;"'!$J$887"))</f>
        <v/>
      </c>
      <c r="Y137" s="155" t="str">
        <f t="shared" ca="1" si="233"/>
        <v/>
      </c>
      <c r="Z137" s="155" t="str">
        <f t="shared" ca="1" si="233"/>
        <v/>
      </c>
      <c r="AA137" s="155" t="str">
        <f t="shared" ca="1" si="233"/>
        <v/>
      </c>
      <c r="AB137" s="155" t="str">
        <f t="shared" ca="1" si="233"/>
        <v/>
      </c>
      <c r="AC137" s="155" t="str">
        <f t="shared" ca="1" si="233"/>
        <v/>
      </c>
      <c r="AD137" s="155" t="str">
        <f t="shared" ca="1" si="233"/>
        <v/>
      </c>
      <c r="AE137" s="155" t="str">
        <f t="shared" ca="1" si="233"/>
        <v/>
      </c>
      <c r="AF137" s="155" t="str">
        <f t="shared" ca="1" si="233"/>
        <v/>
      </c>
    </row>
    <row r="138" spans="1:32" ht="15" customHeight="1" x14ac:dyDescent="0.2">
      <c r="A138" s="496" t="s">
        <v>130</v>
      </c>
      <c r="B138" s="124" t="s">
        <v>625</v>
      </c>
      <c r="C138" s="142" t="str">
        <f ca="1">INDIRECT("'"&amp;C$6&amp;"'!$G$890")</f>
        <v>Limited importance</v>
      </c>
      <c r="D138" s="142" t="str">
        <f t="shared" ref="D138:V138" ca="1" si="234">INDIRECT("'"&amp;D$6&amp;"'!$G$890")</f>
        <v>Critical</v>
      </c>
      <c r="E138" s="142" t="str">
        <f t="shared" ca="1" si="234"/>
        <v>Highly Important</v>
      </c>
      <c r="F138" s="142" t="str">
        <f t="shared" ca="1" si="234"/>
        <v>Not relevant</v>
      </c>
      <c r="G138" s="142" t="str">
        <f t="shared" ca="1" si="234"/>
        <v>Highly Important</v>
      </c>
      <c r="H138" s="142" t="str">
        <f t="shared" ca="1" si="234"/>
        <v>Limited importance</v>
      </c>
      <c r="I138" s="142" t="str">
        <f t="shared" ca="1" si="234"/>
        <v>Important</v>
      </c>
      <c r="J138" s="142" t="str">
        <f t="shared" ca="1" si="234"/>
        <v>Not relevant</v>
      </c>
      <c r="K138" s="142" t="str">
        <f t="shared" ca="1" si="234"/>
        <v>Not relevant</v>
      </c>
      <c r="L138" s="142" t="str">
        <f t="shared" ca="1" si="234"/>
        <v>Highly Important</v>
      </c>
      <c r="M138" s="142" t="str">
        <f t="shared" ca="1" si="234"/>
        <v>Highly Important</v>
      </c>
      <c r="N138" s="142" t="str">
        <f t="shared" ca="1" si="234"/>
        <v>Important</v>
      </c>
      <c r="O138" s="142" t="str">
        <f t="shared" ca="1" si="234"/>
        <v>Critical</v>
      </c>
      <c r="P138" s="142" t="str">
        <f t="shared" ca="1" si="234"/>
        <v>Critical</v>
      </c>
      <c r="Q138" s="142" t="str">
        <f t="shared" ca="1" si="234"/>
        <v>Critical</v>
      </c>
      <c r="R138" s="142" t="str">
        <f t="shared" ca="1" si="234"/>
        <v>Important</v>
      </c>
      <c r="S138" s="142" t="str">
        <f t="shared" ca="1" si="234"/>
        <v>Highly Important</v>
      </c>
      <c r="T138" s="142" t="str">
        <f t="shared" ca="1" si="234"/>
        <v>Important</v>
      </c>
      <c r="U138" s="142" t="str">
        <f ca="1">INDIRECT("'"&amp;U$6&amp;"'!$G$890")</f>
        <v>Important</v>
      </c>
      <c r="V138" s="142" t="str">
        <f t="shared" ca="1" si="234"/>
        <v>Limited importance</v>
      </c>
      <c r="W138" s="142" t="str">
        <f ca="1">IF(INDIRECT("'"&amp;W$5&amp;"'!$G$3")=0,"",INDIRECT("'"&amp;W$5&amp;"'!$G$890"))</f>
        <v/>
      </c>
      <c r="X138" s="142" t="str">
        <f t="shared" ref="X138:AF138" ca="1" si="235">IF(INDIRECT("'"&amp;X$5&amp;"'!$G$3")=0,"",INDIRECT("'"&amp;X$5&amp;"'!$G$890"))</f>
        <v/>
      </c>
      <c r="Y138" s="142" t="str">
        <f t="shared" ca="1" si="235"/>
        <v/>
      </c>
      <c r="Z138" s="142" t="str">
        <f t="shared" ca="1" si="235"/>
        <v/>
      </c>
      <c r="AA138" s="142" t="str">
        <f t="shared" ca="1" si="235"/>
        <v/>
      </c>
      <c r="AB138" s="142" t="str">
        <f t="shared" ca="1" si="235"/>
        <v/>
      </c>
      <c r="AC138" s="142" t="str">
        <f t="shared" ca="1" si="235"/>
        <v/>
      </c>
      <c r="AD138" s="142" t="str">
        <f t="shared" ca="1" si="235"/>
        <v/>
      </c>
      <c r="AE138" s="142" t="str">
        <f t="shared" ca="1" si="235"/>
        <v/>
      </c>
      <c r="AF138" s="142" t="str">
        <f t="shared" ca="1" si="235"/>
        <v/>
      </c>
    </row>
    <row r="139" spans="1:32" ht="16" x14ac:dyDescent="0.2">
      <c r="A139" s="497"/>
      <c r="B139" s="125" t="s">
        <v>626</v>
      </c>
      <c r="C139" s="156">
        <f ca="1">INDIRECT("'"&amp;C$6&amp;"'!$J$891")</f>
        <v>0</v>
      </c>
      <c r="D139" s="156">
        <f t="shared" ref="D139:V139" ca="1" si="236">INDIRECT("'"&amp;D$6&amp;"'!$J$891")</f>
        <v>0</v>
      </c>
      <c r="E139" s="156">
        <f t="shared" ca="1" si="236"/>
        <v>0</v>
      </c>
      <c r="F139" s="156">
        <f t="shared" ca="1" si="236"/>
        <v>0</v>
      </c>
      <c r="G139" s="156">
        <f t="shared" ca="1" si="236"/>
        <v>0</v>
      </c>
      <c r="H139" s="156">
        <f t="shared" ca="1" si="236"/>
        <v>0</v>
      </c>
      <c r="I139" s="156">
        <f t="shared" ca="1" si="236"/>
        <v>0</v>
      </c>
      <c r="J139" s="156">
        <f t="shared" ca="1" si="236"/>
        <v>0</v>
      </c>
      <c r="K139" s="156">
        <f t="shared" ca="1" si="236"/>
        <v>0</v>
      </c>
      <c r="L139" s="156">
        <f t="shared" ca="1" si="236"/>
        <v>0</v>
      </c>
      <c r="M139" s="156">
        <f t="shared" ca="1" si="236"/>
        <v>0</v>
      </c>
      <c r="N139" s="156">
        <f t="shared" ca="1" si="236"/>
        <v>0</v>
      </c>
      <c r="O139" s="156">
        <f t="shared" ca="1" si="236"/>
        <v>0</v>
      </c>
      <c r="P139" s="156">
        <f t="shared" ca="1" si="236"/>
        <v>0</v>
      </c>
      <c r="Q139" s="156">
        <f t="shared" ca="1" si="236"/>
        <v>0</v>
      </c>
      <c r="R139" s="156">
        <f t="shared" ca="1" si="236"/>
        <v>0</v>
      </c>
      <c r="S139" s="156">
        <f t="shared" ca="1" si="236"/>
        <v>0</v>
      </c>
      <c r="T139" s="156">
        <f t="shared" ca="1" si="236"/>
        <v>0</v>
      </c>
      <c r="U139" s="156">
        <f ca="1">INDIRECT("'"&amp;U$6&amp;"'!$J$891")</f>
        <v>0</v>
      </c>
      <c r="V139" s="156">
        <f t="shared" ca="1" si="236"/>
        <v>0</v>
      </c>
      <c r="W139" s="156" t="str">
        <f ca="1">IF(INDIRECT("'"&amp;W$5&amp;"'!$G$3")=0,"",INDIRECT("'"&amp;W$5&amp;"'!$J$891"))</f>
        <v/>
      </c>
      <c r="X139" s="156" t="str">
        <f t="shared" ref="X139:AF139" ca="1" si="237">IF(INDIRECT("'"&amp;X$5&amp;"'!$G$3")=0,"",INDIRECT("'"&amp;X$5&amp;"'!$J$891"))</f>
        <v/>
      </c>
      <c r="Y139" s="156" t="str">
        <f t="shared" ca="1" si="237"/>
        <v/>
      </c>
      <c r="Z139" s="156" t="str">
        <f t="shared" ca="1" si="237"/>
        <v/>
      </c>
      <c r="AA139" s="156" t="str">
        <f t="shared" ca="1" si="237"/>
        <v/>
      </c>
      <c r="AB139" s="156" t="str">
        <f t="shared" ca="1" si="237"/>
        <v/>
      </c>
      <c r="AC139" s="156" t="str">
        <f t="shared" ca="1" si="237"/>
        <v/>
      </c>
      <c r="AD139" s="156" t="str">
        <f t="shared" ca="1" si="237"/>
        <v/>
      </c>
      <c r="AE139" s="156" t="str">
        <f t="shared" ca="1" si="237"/>
        <v/>
      </c>
      <c r="AF139" s="156" t="str">
        <f t="shared" ca="1" si="237"/>
        <v/>
      </c>
    </row>
    <row r="140" spans="1:32" x14ac:dyDescent="0.2">
      <c r="A140" s="492"/>
      <c r="B140" s="493"/>
      <c r="C140" s="145"/>
      <c r="D140" s="145"/>
      <c r="E140" s="145"/>
      <c r="F140" s="145"/>
      <c r="G140" s="145"/>
      <c r="H140" s="145"/>
      <c r="I140" s="145"/>
      <c r="J140" s="145"/>
      <c r="K140" s="145"/>
      <c r="L140" s="145"/>
      <c r="M140" s="145"/>
      <c r="N140" s="145"/>
      <c r="O140" s="145"/>
      <c r="P140" s="145"/>
      <c r="Q140" s="145"/>
      <c r="R140" s="145"/>
      <c r="S140" s="145"/>
      <c r="T140" s="145"/>
      <c r="U140" s="145"/>
      <c r="V140" s="145"/>
      <c r="W140" s="145"/>
      <c r="X140" s="145"/>
      <c r="Y140" s="145"/>
      <c r="Z140" s="145"/>
      <c r="AA140" s="145"/>
      <c r="AB140" s="145"/>
      <c r="AC140" s="145"/>
      <c r="AD140" s="145"/>
      <c r="AE140" s="145"/>
      <c r="AF140" s="145"/>
    </row>
    <row r="141" spans="1:32" ht="16" x14ac:dyDescent="0.2">
      <c r="A141" s="494" t="s">
        <v>912</v>
      </c>
      <c r="B141" s="495"/>
      <c r="C141" s="146"/>
      <c r="D141" s="146"/>
      <c r="E141" s="146"/>
      <c r="F141" s="146"/>
      <c r="G141" s="146"/>
      <c r="H141" s="146"/>
      <c r="I141" s="146"/>
      <c r="J141" s="146"/>
      <c r="K141" s="146"/>
      <c r="L141" s="146"/>
      <c r="M141" s="146"/>
      <c r="N141" s="146"/>
      <c r="O141" s="146"/>
      <c r="P141" s="146"/>
      <c r="Q141" s="146"/>
      <c r="R141" s="146"/>
      <c r="S141" s="146"/>
      <c r="T141" s="146"/>
      <c r="U141" s="146"/>
      <c r="V141" s="146"/>
      <c r="W141" s="146"/>
      <c r="X141" s="146"/>
      <c r="Y141" s="146"/>
      <c r="Z141" s="146"/>
      <c r="AA141" s="146"/>
      <c r="AB141" s="146"/>
      <c r="AC141" s="146"/>
      <c r="AD141" s="146"/>
      <c r="AE141" s="146"/>
      <c r="AF141" s="146"/>
    </row>
    <row r="142" spans="1:32" ht="16" x14ac:dyDescent="0.2">
      <c r="A142" s="496" t="s">
        <v>773</v>
      </c>
      <c r="B142" s="124" t="s">
        <v>625</v>
      </c>
      <c r="C142" s="142" t="str">
        <f ca="1">INDIRECT("'"&amp;C$6&amp;"'!$G$904")</f>
        <v>Critical</v>
      </c>
      <c r="D142" s="142" t="str">
        <f t="shared" ref="D142:V142" ca="1" si="238">INDIRECT("'"&amp;D$6&amp;"'!$G$904")</f>
        <v>Critical</v>
      </c>
      <c r="E142" s="142" t="str">
        <f t="shared" ca="1" si="238"/>
        <v>Critical</v>
      </c>
      <c r="F142" s="142" t="str">
        <f t="shared" ca="1" si="238"/>
        <v>Important</v>
      </c>
      <c r="G142" s="142" t="str">
        <f t="shared" ca="1" si="238"/>
        <v>Critical</v>
      </c>
      <c r="H142" s="142" t="str">
        <f t="shared" ca="1" si="238"/>
        <v>Critical</v>
      </c>
      <c r="I142" s="142" t="str">
        <f t="shared" ca="1" si="238"/>
        <v>Critical</v>
      </c>
      <c r="J142" s="142" t="str">
        <f t="shared" ca="1" si="238"/>
        <v>Critical</v>
      </c>
      <c r="K142" s="142" t="str">
        <f t="shared" ca="1" si="238"/>
        <v>Critical</v>
      </c>
      <c r="L142" s="142" t="str">
        <f t="shared" ca="1" si="238"/>
        <v>Critical</v>
      </c>
      <c r="M142" s="142" t="str">
        <f t="shared" ca="1" si="238"/>
        <v>Critical</v>
      </c>
      <c r="N142" s="142" t="str">
        <f t="shared" ca="1" si="238"/>
        <v>Highly Important</v>
      </c>
      <c r="O142" s="142" t="str">
        <f t="shared" ca="1" si="238"/>
        <v>Critical</v>
      </c>
      <c r="P142" s="142" t="str">
        <f t="shared" ca="1" si="238"/>
        <v>Critical</v>
      </c>
      <c r="Q142" s="142" t="str">
        <f t="shared" ca="1" si="238"/>
        <v>Critical</v>
      </c>
      <c r="R142" s="142" t="str">
        <f t="shared" ca="1" si="238"/>
        <v>Critical</v>
      </c>
      <c r="S142" s="142" t="str">
        <f t="shared" ca="1" si="238"/>
        <v>Critical</v>
      </c>
      <c r="T142" s="142" t="str">
        <f t="shared" ca="1" si="238"/>
        <v>Critical</v>
      </c>
      <c r="U142" s="142" t="str">
        <f ca="1">INDIRECT("'"&amp;U$6&amp;"'!$G$904")</f>
        <v>Critical</v>
      </c>
      <c r="V142" s="142" t="str">
        <f t="shared" ca="1" si="238"/>
        <v>Critical</v>
      </c>
      <c r="W142" s="142" t="str">
        <f ca="1">IF(INDIRECT("'"&amp;W$5&amp;"'!$G$3")=0,"",INDIRECT("'"&amp;W$5&amp;"'!$G$904"))</f>
        <v/>
      </c>
      <c r="X142" s="142" t="str">
        <f t="shared" ref="X142:AF142" ca="1" si="239">IF(INDIRECT("'"&amp;X$5&amp;"'!$G$3")=0,"",INDIRECT("'"&amp;X$5&amp;"'!$G$904"))</f>
        <v/>
      </c>
      <c r="Y142" s="142" t="str">
        <f t="shared" ca="1" si="239"/>
        <v/>
      </c>
      <c r="Z142" s="142" t="str">
        <f t="shared" ca="1" si="239"/>
        <v/>
      </c>
      <c r="AA142" s="142" t="str">
        <f t="shared" ca="1" si="239"/>
        <v/>
      </c>
      <c r="AB142" s="142" t="str">
        <f t="shared" ca="1" si="239"/>
        <v/>
      </c>
      <c r="AC142" s="142" t="str">
        <f t="shared" ca="1" si="239"/>
        <v/>
      </c>
      <c r="AD142" s="142" t="str">
        <f t="shared" ca="1" si="239"/>
        <v/>
      </c>
      <c r="AE142" s="142" t="str">
        <f t="shared" ca="1" si="239"/>
        <v/>
      </c>
      <c r="AF142" s="142" t="str">
        <f t="shared" ca="1" si="239"/>
        <v/>
      </c>
    </row>
    <row r="143" spans="1:32" ht="16" x14ac:dyDescent="0.2">
      <c r="A143" s="497"/>
      <c r="B143" s="125" t="s">
        <v>626</v>
      </c>
      <c r="C143" s="155">
        <f ca="1">INDIRECT("'"&amp;C$6&amp;"'!$J$905")</f>
        <v>0</v>
      </c>
      <c r="D143" s="155">
        <f t="shared" ref="D143:V143" ca="1" si="240">INDIRECT("'"&amp;D$6&amp;"'!$J$905")</f>
        <v>0</v>
      </c>
      <c r="E143" s="155">
        <f t="shared" ca="1" si="240"/>
        <v>0</v>
      </c>
      <c r="F143" s="155">
        <f t="shared" ca="1" si="240"/>
        <v>0</v>
      </c>
      <c r="G143" s="155">
        <f t="shared" ca="1" si="240"/>
        <v>0</v>
      </c>
      <c r="H143" s="155">
        <f t="shared" ca="1" si="240"/>
        <v>0</v>
      </c>
      <c r="I143" s="155">
        <f t="shared" ca="1" si="240"/>
        <v>0</v>
      </c>
      <c r="J143" s="155">
        <f t="shared" ca="1" si="240"/>
        <v>0</v>
      </c>
      <c r="K143" s="155">
        <f t="shared" ca="1" si="240"/>
        <v>0</v>
      </c>
      <c r="L143" s="155">
        <f t="shared" ca="1" si="240"/>
        <v>0</v>
      </c>
      <c r="M143" s="155">
        <f t="shared" ca="1" si="240"/>
        <v>0</v>
      </c>
      <c r="N143" s="155">
        <f t="shared" ca="1" si="240"/>
        <v>0</v>
      </c>
      <c r="O143" s="155">
        <f t="shared" ca="1" si="240"/>
        <v>0</v>
      </c>
      <c r="P143" s="155">
        <f t="shared" ca="1" si="240"/>
        <v>0</v>
      </c>
      <c r="Q143" s="155">
        <f t="shared" ca="1" si="240"/>
        <v>0</v>
      </c>
      <c r="R143" s="155">
        <f t="shared" ca="1" si="240"/>
        <v>0</v>
      </c>
      <c r="S143" s="155">
        <f t="shared" ca="1" si="240"/>
        <v>0</v>
      </c>
      <c r="T143" s="155">
        <f t="shared" ca="1" si="240"/>
        <v>0</v>
      </c>
      <c r="U143" s="155">
        <f ca="1">INDIRECT("'"&amp;U$6&amp;"'!$J$905")</f>
        <v>0</v>
      </c>
      <c r="V143" s="155">
        <f t="shared" ca="1" si="240"/>
        <v>0</v>
      </c>
      <c r="W143" s="155" t="str">
        <f ca="1">IF(INDIRECT("'"&amp;W$5&amp;"'!$G$3")=0,"",INDIRECT("'"&amp;W$5&amp;"'!$J$905"))</f>
        <v/>
      </c>
      <c r="X143" s="155" t="str">
        <f t="shared" ref="X143:AF143" ca="1" si="241">IF(INDIRECT("'"&amp;X$5&amp;"'!$G$3")=0,"",INDIRECT("'"&amp;X$5&amp;"'!$J$905"))</f>
        <v/>
      </c>
      <c r="Y143" s="155" t="str">
        <f t="shared" ca="1" si="241"/>
        <v/>
      </c>
      <c r="Z143" s="155" t="str">
        <f t="shared" ca="1" si="241"/>
        <v/>
      </c>
      <c r="AA143" s="155" t="str">
        <f t="shared" ca="1" si="241"/>
        <v/>
      </c>
      <c r="AB143" s="155" t="str">
        <f t="shared" ca="1" si="241"/>
        <v/>
      </c>
      <c r="AC143" s="155" t="str">
        <f t="shared" ca="1" si="241"/>
        <v/>
      </c>
      <c r="AD143" s="155" t="str">
        <f t="shared" ca="1" si="241"/>
        <v/>
      </c>
      <c r="AE143" s="155" t="str">
        <f t="shared" ca="1" si="241"/>
        <v/>
      </c>
      <c r="AF143" s="155" t="str">
        <f t="shared" ca="1" si="241"/>
        <v/>
      </c>
    </row>
    <row r="144" spans="1:32" ht="16" x14ac:dyDescent="0.2">
      <c r="A144" s="496" t="s">
        <v>774</v>
      </c>
      <c r="B144" s="124" t="s">
        <v>625</v>
      </c>
      <c r="C144" s="142" t="str">
        <f ca="1">INDIRECT("'"&amp;C$6&amp;"'!$G$908")</f>
        <v>Highly Important</v>
      </c>
      <c r="D144" s="142" t="str">
        <f t="shared" ref="D144:V144" ca="1" si="242">INDIRECT("'"&amp;D$6&amp;"'!$G$908")</f>
        <v>Critical</v>
      </c>
      <c r="E144" s="142" t="str">
        <f t="shared" ca="1" si="242"/>
        <v>Critical</v>
      </c>
      <c r="F144" s="142" t="str">
        <f t="shared" ca="1" si="242"/>
        <v>Important</v>
      </c>
      <c r="G144" s="142" t="str">
        <f t="shared" ca="1" si="242"/>
        <v>Critical</v>
      </c>
      <c r="H144" s="142" t="str">
        <f t="shared" ca="1" si="242"/>
        <v>Critical</v>
      </c>
      <c r="I144" s="142" t="str">
        <f t="shared" ca="1" si="242"/>
        <v>Critical</v>
      </c>
      <c r="J144" s="142" t="str">
        <f t="shared" ca="1" si="242"/>
        <v>Critical</v>
      </c>
      <c r="K144" s="142" t="str">
        <f t="shared" ca="1" si="242"/>
        <v>Critical</v>
      </c>
      <c r="L144" s="142" t="str">
        <f t="shared" ca="1" si="242"/>
        <v>Critical</v>
      </c>
      <c r="M144" s="142" t="str">
        <f t="shared" ca="1" si="242"/>
        <v>Critical</v>
      </c>
      <c r="N144" s="142" t="str">
        <f t="shared" ca="1" si="242"/>
        <v>Important</v>
      </c>
      <c r="O144" s="142" t="str">
        <f t="shared" ca="1" si="242"/>
        <v>Critical</v>
      </c>
      <c r="P144" s="142" t="str">
        <f t="shared" ca="1" si="242"/>
        <v>Critical</v>
      </c>
      <c r="Q144" s="142" t="str">
        <f t="shared" ca="1" si="242"/>
        <v>Critical</v>
      </c>
      <c r="R144" s="142" t="str">
        <f t="shared" ca="1" si="242"/>
        <v>Important</v>
      </c>
      <c r="S144" s="142" t="str">
        <f t="shared" ca="1" si="242"/>
        <v>Critical</v>
      </c>
      <c r="T144" s="142" t="str">
        <f t="shared" ca="1" si="242"/>
        <v>Critical</v>
      </c>
      <c r="U144" s="142" t="str">
        <f ca="1">INDIRECT("'"&amp;U$6&amp;"'!$G$908")</f>
        <v>Critical</v>
      </c>
      <c r="V144" s="142" t="str">
        <f t="shared" ca="1" si="242"/>
        <v>Highly Important</v>
      </c>
      <c r="W144" s="142" t="str">
        <f ca="1">IF(INDIRECT("'"&amp;W$5&amp;"'!$G$3")=0,"",INDIRECT("'"&amp;W$5&amp;"'!$G$908"))</f>
        <v/>
      </c>
      <c r="X144" s="142" t="str">
        <f t="shared" ref="X144:AF144" ca="1" si="243">IF(INDIRECT("'"&amp;X$5&amp;"'!$G$3")=0,"",INDIRECT("'"&amp;X$5&amp;"'!$G$908"))</f>
        <v/>
      </c>
      <c r="Y144" s="142" t="str">
        <f t="shared" ca="1" si="243"/>
        <v/>
      </c>
      <c r="Z144" s="142" t="str">
        <f t="shared" ca="1" si="243"/>
        <v/>
      </c>
      <c r="AA144" s="142" t="str">
        <f t="shared" ca="1" si="243"/>
        <v/>
      </c>
      <c r="AB144" s="142" t="str">
        <f t="shared" ca="1" si="243"/>
        <v/>
      </c>
      <c r="AC144" s="142" t="str">
        <f t="shared" ca="1" si="243"/>
        <v/>
      </c>
      <c r="AD144" s="142" t="str">
        <f t="shared" ca="1" si="243"/>
        <v/>
      </c>
      <c r="AE144" s="142" t="str">
        <f t="shared" ca="1" si="243"/>
        <v/>
      </c>
      <c r="AF144" s="142" t="str">
        <f t="shared" ca="1" si="243"/>
        <v/>
      </c>
    </row>
    <row r="145" spans="1:32" ht="16" x14ac:dyDescent="0.2">
      <c r="A145" s="497"/>
      <c r="B145" s="125" t="s">
        <v>626</v>
      </c>
      <c r="C145" s="155">
        <f ca="1">INDIRECT("'"&amp;C$6&amp;"'!$J$909")</f>
        <v>0</v>
      </c>
      <c r="D145" s="155">
        <f t="shared" ref="D145:V145" ca="1" si="244">INDIRECT("'"&amp;D$6&amp;"'!$J$909")</f>
        <v>0</v>
      </c>
      <c r="E145" s="155">
        <f t="shared" ca="1" si="244"/>
        <v>0</v>
      </c>
      <c r="F145" s="155">
        <f t="shared" ca="1" si="244"/>
        <v>0</v>
      </c>
      <c r="G145" s="155">
        <f t="shared" ca="1" si="244"/>
        <v>0</v>
      </c>
      <c r="H145" s="155">
        <f t="shared" ca="1" si="244"/>
        <v>0</v>
      </c>
      <c r="I145" s="155">
        <f t="shared" ca="1" si="244"/>
        <v>0</v>
      </c>
      <c r="J145" s="155">
        <f t="shared" ca="1" si="244"/>
        <v>0</v>
      </c>
      <c r="K145" s="155">
        <f t="shared" ca="1" si="244"/>
        <v>0</v>
      </c>
      <c r="L145" s="155">
        <f t="shared" ca="1" si="244"/>
        <v>0</v>
      </c>
      <c r="M145" s="155">
        <f t="shared" ca="1" si="244"/>
        <v>0</v>
      </c>
      <c r="N145" s="155">
        <f t="shared" ca="1" si="244"/>
        <v>0</v>
      </c>
      <c r="O145" s="155">
        <f t="shared" ca="1" si="244"/>
        <v>0</v>
      </c>
      <c r="P145" s="155">
        <f t="shared" ca="1" si="244"/>
        <v>0</v>
      </c>
      <c r="Q145" s="155">
        <f t="shared" ca="1" si="244"/>
        <v>0</v>
      </c>
      <c r="R145" s="155">
        <f t="shared" ca="1" si="244"/>
        <v>0</v>
      </c>
      <c r="S145" s="155">
        <f t="shared" ca="1" si="244"/>
        <v>0</v>
      </c>
      <c r="T145" s="155">
        <f t="shared" ca="1" si="244"/>
        <v>0</v>
      </c>
      <c r="U145" s="155">
        <f ca="1">INDIRECT("'"&amp;U$6&amp;"'!$J$909")</f>
        <v>0</v>
      </c>
      <c r="V145" s="155">
        <f t="shared" ca="1" si="244"/>
        <v>0</v>
      </c>
      <c r="W145" s="155" t="str">
        <f ca="1">IF(INDIRECT("'"&amp;W$5&amp;"'!$G$3")=0,"",INDIRECT("'"&amp;W$5&amp;"'!$J$909"))</f>
        <v/>
      </c>
      <c r="X145" s="155" t="str">
        <f t="shared" ref="X145:AF145" ca="1" si="245">IF(INDIRECT("'"&amp;X$5&amp;"'!$G$3")=0,"",INDIRECT("'"&amp;X$5&amp;"'!$J$909"))</f>
        <v/>
      </c>
      <c r="Y145" s="155" t="str">
        <f t="shared" ca="1" si="245"/>
        <v/>
      </c>
      <c r="Z145" s="155" t="str">
        <f t="shared" ca="1" si="245"/>
        <v/>
      </c>
      <c r="AA145" s="155" t="str">
        <f t="shared" ca="1" si="245"/>
        <v/>
      </c>
      <c r="AB145" s="155" t="str">
        <f t="shared" ca="1" si="245"/>
        <v/>
      </c>
      <c r="AC145" s="155" t="str">
        <f t="shared" ca="1" si="245"/>
        <v/>
      </c>
      <c r="AD145" s="155" t="str">
        <f t="shared" ca="1" si="245"/>
        <v/>
      </c>
      <c r="AE145" s="155" t="str">
        <f t="shared" ca="1" si="245"/>
        <v/>
      </c>
      <c r="AF145" s="155" t="str">
        <f t="shared" ca="1" si="245"/>
        <v/>
      </c>
    </row>
    <row r="146" spans="1:32" ht="16" x14ac:dyDescent="0.2">
      <c r="A146" s="496" t="s">
        <v>107</v>
      </c>
      <c r="B146" s="124" t="s">
        <v>625</v>
      </c>
      <c r="C146" s="142" t="str">
        <f ca="1">INDIRECT("'"&amp;C$6&amp;"'!$G$912")</f>
        <v>Important</v>
      </c>
      <c r="D146" s="142" t="str">
        <f t="shared" ref="D146:V146" ca="1" si="246">INDIRECT("'"&amp;D$6&amp;"'!$G$912")</f>
        <v>Critical</v>
      </c>
      <c r="E146" s="142" t="str">
        <f t="shared" ca="1" si="246"/>
        <v>Critical</v>
      </c>
      <c r="F146" s="142" t="str">
        <f t="shared" ca="1" si="246"/>
        <v>Important</v>
      </c>
      <c r="G146" s="142" t="str">
        <f t="shared" ca="1" si="246"/>
        <v>Critical</v>
      </c>
      <c r="H146" s="142" t="str">
        <f t="shared" ca="1" si="246"/>
        <v>Important</v>
      </c>
      <c r="I146" s="142" t="str">
        <f t="shared" ca="1" si="246"/>
        <v>Highly Important</v>
      </c>
      <c r="J146" s="142" t="str">
        <f t="shared" ca="1" si="246"/>
        <v>Not relevant</v>
      </c>
      <c r="K146" s="142" t="str">
        <f t="shared" ca="1" si="246"/>
        <v>Limited importance</v>
      </c>
      <c r="L146" s="142" t="str">
        <f t="shared" ca="1" si="246"/>
        <v>Critical</v>
      </c>
      <c r="M146" s="142" t="str">
        <f t="shared" ca="1" si="246"/>
        <v>Critical</v>
      </c>
      <c r="N146" s="142" t="str">
        <f t="shared" ca="1" si="246"/>
        <v>Critical</v>
      </c>
      <c r="O146" s="142" t="str">
        <f t="shared" ca="1" si="246"/>
        <v>Critical</v>
      </c>
      <c r="P146" s="142" t="str">
        <f t="shared" ca="1" si="246"/>
        <v>Critical</v>
      </c>
      <c r="Q146" s="142" t="str">
        <f t="shared" ca="1" si="246"/>
        <v>Critical</v>
      </c>
      <c r="R146" s="142" t="str">
        <f t="shared" ca="1" si="246"/>
        <v>Critical</v>
      </c>
      <c r="S146" s="142" t="str">
        <f t="shared" ca="1" si="246"/>
        <v>Critical</v>
      </c>
      <c r="T146" s="142" t="str">
        <f t="shared" ca="1" si="246"/>
        <v>Critical</v>
      </c>
      <c r="U146" s="142" t="str">
        <f ca="1">INDIRECT("'"&amp;U$6&amp;"'!$G$912")</f>
        <v>Critical</v>
      </c>
      <c r="V146" s="142" t="str">
        <f t="shared" ca="1" si="246"/>
        <v>Critical</v>
      </c>
      <c r="W146" s="142" t="str">
        <f ca="1">IF(INDIRECT("'"&amp;W$5&amp;"'!$G$3")=0,"",INDIRECT("'"&amp;W$5&amp;"'!$G$912"))</f>
        <v/>
      </c>
      <c r="X146" s="142" t="str">
        <f t="shared" ref="X146:AF146" ca="1" si="247">IF(INDIRECT("'"&amp;X$5&amp;"'!$G$3")=0,"",INDIRECT("'"&amp;X$5&amp;"'!$G$912"))</f>
        <v/>
      </c>
      <c r="Y146" s="142" t="str">
        <f t="shared" ca="1" si="247"/>
        <v/>
      </c>
      <c r="Z146" s="142" t="str">
        <f t="shared" ca="1" si="247"/>
        <v/>
      </c>
      <c r="AA146" s="142" t="str">
        <f t="shared" ca="1" si="247"/>
        <v/>
      </c>
      <c r="AB146" s="142" t="str">
        <f t="shared" ca="1" si="247"/>
        <v/>
      </c>
      <c r="AC146" s="142" t="str">
        <f t="shared" ca="1" si="247"/>
        <v/>
      </c>
      <c r="AD146" s="142" t="str">
        <f t="shared" ca="1" si="247"/>
        <v/>
      </c>
      <c r="AE146" s="142" t="str">
        <f t="shared" ca="1" si="247"/>
        <v/>
      </c>
      <c r="AF146" s="142" t="str">
        <f t="shared" ca="1" si="247"/>
        <v/>
      </c>
    </row>
    <row r="147" spans="1:32" ht="16" x14ac:dyDescent="0.2">
      <c r="A147" s="497"/>
      <c r="B147" s="125" t="s">
        <v>626</v>
      </c>
      <c r="C147" s="155">
        <f ca="1">INDIRECT("'"&amp;C$6&amp;"'!$J$913")</f>
        <v>0</v>
      </c>
      <c r="D147" s="155">
        <f t="shared" ref="D147:V147" ca="1" si="248">INDIRECT("'"&amp;D$6&amp;"'!$J$913")</f>
        <v>0</v>
      </c>
      <c r="E147" s="155">
        <f t="shared" ca="1" si="248"/>
        <v>0</v>
      </c>
      <c r="F147" s="155">
        <f t="shared" ca="1" si="248"/>
        <v>0</v>
      </c>
      <c r="G147" s="155">
        <f t="shared" ca="1" si="248"/>
        <v>0</v>
      </c>
      <c r="H147" s="155">
        <f t="shared" ca="1" si="248"/>
        <v>0</v>
      </c>
      <c r="I147" s="155">
        <f t="shared" ca="1" si="248"/>
        <v>0</v>
      </c>
      <c r="J147" s="155">
        <f t="shared" ca="1" si="248"/>
        <v>0</v>
      </c>
      <c r="K147" s="155">
        <f t="shared" ca="1" si="248"/>
        <v>0</v>
      </c>
      <c r="L147" s="155">
        <f t="shared" ca="1" si="248"/>
        <v>0</v>
      </c>
      <c r="M147" s="155">
        <f t="shared" ca="1" si="248"/>
        <v>0</v>
      </c>
      <c r="N147" s="155">
        <f t="shared" ca="1" si="248"/>
        <v>0</v>
      </c>
      <c r="O147" s="155">
        <f t="shared" ca="1" si="248"/>
        <v>0</v>
      </c>
      <c r="P147" s="155">
        <f t="shared" ca="1" si="248"/>
        <v>0</v>
      </c>
      <c r="Q147" s="155">
        <f t="shared" ca="1" si="248"/>
        <v>0</v>
      </c>
      <c r="R147" s="155">
        <f t="shared" ca="1" si="248"/>
        <v>0</v>
      </c>
      <c r="S147" s="155">
        <f t="shared" ca="1" si="248"/>
        <v>0</v>
      </c>
      <c r="T147" s="155">
        <f t="shared" ca="1" si="248"/>
        <v>0</v>
      </c>
      <c r="U147" s="155">
        <f ca="1">INDIRECT("'"&amp;U$6&amp;"'!$J$913")</f>
        <v>0</v>
      </c>
      <c r="V147" s="155">
        <f t="shared" ca="1" si="248"/>
        <v>0</v>
      </c>
      <c r="W147" s="155" t="str">
        <f ca="1">IF(INDIRECT("'"&amp;W$5&amp;"'!$G$3")=0,"",INDIRECT("'"&amp;W$5&amp;"'!$J$913"))</f>
        <v/>
      </c>
      <c r="X147" s="155" t="str">
        <f t="shared" ref="X147:AF147" ca="1" si="249">IF(INDIRECT("'"&amp;X$5&amp;"'!$G$3")=0,"",INDIRECT("'"&amp;X$5&amp;"'!$J$913"))</f>
        <v/>
      </c>
      <c r="Y147" s="155" t="str">
        <f t="shared" ca="1" si="249"/>
        <v/>
      </c>
      <c r="Z147" s="155" t="str">
        <f t="shared" ca="1" si="249"/>
        <v/>
      </c>
      <c r="AA147" s="155" t="str">
        <f t="shared" ca="1" si="249"/>
        <v/>
      </c>
      <c r="AB147" s="155" t="str">
        <f t="shared" ca="1" si="249"/>
        <v/>
      </c>
      <c r="AC147" s="155" t="str">
        <f t="shared" ca="1" si="249"/>
        <v/>
      </c>
      <c r="AD147" s="155" t="str">
        <f t="shared" ca="1" si="249"/>
        <v/>
      </c>
      <c r="AE147" s="155" t="str">
        <f t="shared" ca="1" si="249"/>
        <v/>
      </c>
      <c r="AF147" s="155" t="str">
        <f t="shared" ca="1" si="249"/>
        <v/>
      </c>
    </row>
    <row r="148" spans="1:32" ht="16" x14ac:dyDescent="0.2">
      <c r="A148" s="496" t="s">
        <v>97</v>
      </c>
      <c r="B148" s="124" t="s">
        <v>625</v>
      </c>
      <c r="C148" s="142" t="str">
        <f ca="1">INDIRECT("'"&amp;C$6&amp;"'!$G$916")</f>
        <v>Critical</v>
      </c>
      <c r="D148" s="142" t="str">
        <f t="shared" ref="D148:V148" ca="1" si="250">INDIRECT("'"&amp;D$6&amp;"'!$G$916")</f>
        <v>Critical</v>
      </c>
      <c r="E148" s="142" t="str">
        <f t="shared" ca="1" si="250"/>
        <v>Critical</v>
      </c>
      <c r="F148" s="142" t="str">
        <f t="shared" ca="1" si="250"/>
        <v>Limited importance</v>
      </c>
      <c r="G148" s="142" t="str">
        <f t="shared" ca="1" si="250"/>
        <v>Limited importance</v>
      </c>
      <c r="H148" s="142" t="str">
        <f t="shared" ca="1" si="250"/>
        <v>Critical</v>
      </c>
      <c r="I148" s="142" t="str">
        <f t="shared" ca="1" si="250"/>
        <v>Not relevant</v>
      </c>
      <c r="J148" s="142" t="str">
        <f t="shared" ca="1" si="250"/>
        <v>Not relevant</v>
      </c>
      <c r="K148" s="142" t="str">
        <f t="shared" ca="1" si="250"/>
        <v>Not relevant</v>
      </c>
      <c r="L148" s="142" t="str">
        <f t="shared" ca="1" si="250"/>
        <v>Limited importance</v>
      </c>
      <c r="M148" s="142" t="str">
        <f t="shared" ca="1" si="250"/>
        <v>Critical</v>
      </c>
      <c r="N148" s="142" t="str">
        <f t="shared" ca="1" si="250"/>
        <v>Highly Important</v>
      </c>
      <c r="O148" s="142" t="str">
        <f t="shared" ca="1" si="250"/>
        <v>Highly Important</v>
      </c>
      <c r="P148" s="142" t="str">
        <f t="shared" ca="1" si="250"/>
        <v>Critical</v>
      </c>
      <c r="Q148" s="142" t="str">
        <f t="shared" ca="1" si="250"/>
        <v>Critical</v>
      </c>
      <c r="R148" s="142" t="str">
        <f t="shared" ca="1" si="250"/>
        <v>Highly Important</v>
      </c>
      <c r="S148" s="142" t="str">
        <f t="shared" ca="1" si="250"/>
        <v>Important</v>
      </c>
      <c r="T148" s="142" t="str">
        <f t="shared" ca="1" si="250"/>
        <v>Important</v>
      </c>
      <c r="U148" s="142" t="str">
        <f ca="1">INDIRECT("'"&amp;U$6&amp;"'!$G$916")</f>
        <v>Not relevant</v>
      </c>
      <c r="V148" s="142" t="str">
        <f t="shared" ca="1" si="250"/>
        <v>Important</v>
      </c>
      <c r="W148" s="142" t="str">
        <f ca="1">IF(INDIRECT("'"&amp;W$5&amp;"'!$G$3")=0,"",INDIRECT("'"&amp;W$5&amp;"'!$G$916"))</f>
        <v/>
      </c>
      <c r="X148" s="142" t="str">
        <f t="shared" ref="X148:AF148" ca="1" si="251">IF(INDIRECT("'"&amp;X$5&amp;"'!$G$3")=0,"",INDIRECT("'"&amp;X$5&amp;"'!$G$916"))</f>
        <v/>
      </c>
      <c r="Y148" s="142" t="str">
        <f t="shared" ca="1" si="251"/>
        <v/>
      </c>
      <c r="Z148" s="142" t="str">
        <f t="shared" ca="1" si="251"/>
        <v/>
      </c>
      <c r="AA148" s="142" t="str">
        <f t="shared" ca="1" si="251"/>
        <v/>
      </c>
      <c r="AB148" s="142" t="str">
        <f t="shared" ca="1" si="251"/>
        <v/>
      </c>
      <c r="AC148" s="142" t="str">
        <f t="shared" ca="1" si="251"/>
        <v/>
      </c>
      <c r="AD148" s="142" t="str">
        <f t="shared" ca="1" si="251"/>
        <v/>
      </c>
      <c r="AE148" s="142" t="str">
        <f t="shared" ca="1" si="251"/>
        <v/>
      </c>
      <c r="AF148" s="142" t="str">
        <f t="shared" ca="1" si="251"/>
        <v/>
      </c>
    </row>
    <row r="149" spans="1:32" ht="16" x14ac:dyDescent="0.2">
      <c r="A149" s="497"/>
      <c r="B149" s="125" t="s">
        <v>626</v>
      </c>
      <c r="C149" s="155">
        <f ca="1">INDIRECT("'"&amp;C$6&amp;"'!$J$917")</f>
        <v>0</v>
      </c>
      <c r="D149" s="155">
        <f t="shared" ref="D149:V149" ca="1" si="252">INDIRECT("'"&amp;D$6&amp;"'!$J$917")</f>
        <v>0</v>
      </c>
      <c r="E149" s="155">
        <f t="shared" ca="1" si="252"/>
        <v>0</v>
      </c>
      <c r="F149" s="155">
        <f t="shared" ca="1" si="252"/>
        <v>0</v>
      </c>
      <c r="G149" s="155">
        <f t="shared" ca="1" si="252"/>
        <v>0</v>
      </c>
      <c r="H149" s="155">
        <f t="shared" ca="1" si="252"/>
        <v>0</v>
      </c>
      <c r="I149" s="155">
        <f t="shared" ca="1" si="252"/>
        <v>0</v>
      </c>
      <c r="J149" s="155">
        <f t="shared" ca="1" si="252"/>
        <v>0</v>
      </c>
      <c r="K149" s="155">
        <f t="shared" ca="1" si="252"/>
        <v>0</v>
      </c>
      <c r="L149" s="155">
        <f t="shared" ca="1" si="252"/>
        <v>0</v>
      </c>
      <c r="M149" s="155">
        <f t="shared" ca="1" si="252"/>
        <v>0</v>
      </c>
      <c r="N149" s="155">
        <f t="shared" ca="1" si="252"/>
        <v>0</v>
      </c>
      <c r="O149" s="155">
        <f t="shared" ca="1" si="252"/>
        <v>0</v>
      </c>
      <c r="P149" s="155">
        <f t="shared" ca="1" si="252"/>
        <v>0</v>
      </c>
      <c r="Q149" s="155">
        <f t="shared" ca="1" si="252"/>
        <v>0</v>
      </c>
      <c r="R149" s="155">
        <f t="shared" ca="1" si="252"/>
        <v>0</v>
      </c>
      <c r="S149" s="155">
        <f t="shared" ca="1" si="252"/>
        <v>0</v>
      </c>
      <c r="T149" s="155">
        <f t="shared" ca="1" si="252"/>
        <v>0</v>
      </c>
      <c r="U149" s="155">
        <f ca="1">INDIRECT("'"&amp;U$6&amp;"'!$J$917")</f>
        <v>0</v>
      </c>
      <c r="V149" s="155">
        <f t="shared" ca="1" si="252"/>
        <v>0</v>
      </c>
      <c r="W149" s="155" t="str">
        <f ca="1">IF(INDIRECT("'"&amp;W$5&amp;"'!$G$3")=0,"",INDIRECT("'"&amp;W$5&amp;"'!$J$917"))</f>
        <v/>
      </c>
      <c r="X149" s="155" t="str">
        <f t="shared" ref="X149:AF149" ca="1" si="253">IF(INDIRECT("'"&amp;X$5&amp;"'!$G$3")=0,"",INDIRECT("'"&amp;X$5&amp;"'!$J$917"))</f>
        <v/>
      </c>
      <c r="Y149" s="155" t="str">
        <f t="shared" ca="1" si="253"/>
        <v/>
      </c>
      <c r="Z149" s="155" t="str">
        <f t="shared" ca="1" si="253"/>
        <v/>
      </c>
      <c r="AA149" s="155" t="str">
        <f t="shared" ca="1" si="253"/>
        <v/>
      </c>
      <c r="AB149" s="155" t="str">
        <f t="shared" ca="1" si="253"/>
        <v/>
      </c>
      <c r="AC149" s="155" t="str">
        <f t="shared" ca="1" si="253"/>
        <v/>
      </c>
      <c r="AD149" s="155" t="str">
        <f t="shared" ca="1" si="253"/>
        <v/>
      </c>
      <c r="AE149" s="155" t="str">
        <f t="shared" ca="1" si="253"/>
        <v/>
      </c>
      <c r="AF149" s="155" t="str">
        <f t="shared" ca="1" si="253"/>
        <v/>
      </c>
    </row>
    <row r="150" spans="1:32" ht="16" x14ac:dyDescent="0.2">
      <c r="A150" s="496" t="s">
        <v>112</v>
      </c>
      <c r="B150" s="124" t="s">
        <v>625</v>
      </c>
      <c r="C150" s="142" t="str">
        <f ca="1">INDIRECT("'"&amp;C$6&amp;"'!$G$920")</f>
        <v>Critical</v>
      </c>
      <c r="D150" s="142" t="str">
        <f t="shared" ref="D150:V150" ca="1" si="254">INDIRECT("'"&amp;D$6&amp;"'!$G$920")</f>
        <v>Critical</v>
      </c>
      <c r="E150" s="142" t="str">
        <f t="shared" ca="1" si="254"/>
        <v>Critical</v>
      </c>
      <c r="F150" s="142" t="str">
        <f t="shared" ca="1" si="254"/>
        <v>Critical</v>
      </c>
      <c r="G150" s="142" t="str">
        <f t="shared" ca="1" si="254"/>
        <v>Critical</v>
      </c>
      <c r="H150" s="142" t="str">
        <f t="shared" ca="1" si="254"/>
        <v>Critical</v>
      </c>
      <c r="I150" s="142" t="str">
        <f t="shared" ca="1" si="254"/>
        <v>Critical</v>
      </c>
      <c r="J150" s="142" t="str">
        <f t="shared" ca="1" si="254"/>
        <v>Highly Important</v>
      </c>
      <c r="K150" s="142" t="str">
        <f t="shared" ca="1" si="254"/>
        <v>Critical</v>
      </c>
      <c r="L150" s="142" t="str">
        <f t="shared" ca="1" si="254"/>
        <v>Critical</v>
      </c>
      <c r="M150" s="142" t="str">
        <f t="shared" ca="1" si="254"/>
        <v>Critical</v>
      </c>
      <c r="N150" s="142" t="str">
        <f t="shared" ca="1" si="254"/>
        <v>Critical</v>
      </c>
      <c r="O150" s="142" t="str">
        <f t="shared" ca="1" si="254"/>
        <v>Critical</v>
      </c>
      <c r="P150" s="142" t="str">
        <f t="shared" ca="1" si="254"/>
        <v>Critical</v>
      </c>
      <c r="Q150" s="142" t="str">
        <f t="shared" ca="1" si="254"/>
        <v>Critical</v>
      </c>
      <c r="R150" s="142" t="str">
        <f t="shared" ca="1" si="254"/>
        <v>Critical</v>
      </c>
      <c r="S150" s="142" t="str">
        <f t="shared" ca="1" si="254"/>
        <v>Critical</v>
      </c>
      <c r="T150" s="142" t="str">
        <f t="shared" ca="1" si="254"/>
        <v>Critical</v>
      </c>
      <c r="U150" s="142" t="str">
        <f ca="1">INDIRECT("'"&amp;U$6&amp;"'!$G$920")</f>
        <v>Critical</v>
      </c>
      <c r="V150" s="142" t="str">
        <f t="shared" ca="1" si="254"/>
        <v>Critical</v>
      </c>
      <c r="W150" s="142" t="str">
        <f ca="1">IF(INDIRECT("'"&amp;W$5&amp;"'!$G$3")=0,"",INDIRECT("'"&amp;W$5&amp;"'!$G$920"))</f>
        <v/>
      </c>
      <c r="X150" s="142" t="str">
        <f t="shared" ref="X150:AF150" ca="1" si="255">IF(INDIRECT("'"&amp;X$5&amp;"'!$G$3")=0,"",INDIRECT("'"&amp;X$5&amp;"'!$G$920"))</f>
        <v/>
      </c>
      <c r="Y150" s="142" t="str">
        <f t="shared" ca="1" si="255"/>
        <v/>
      </c>
      <c r="Z150" s="142" t="str">
        <f t="shared" ca="1" si="255"/>
        <v/>
      </c>
      <c r="AA150" s="142" t="str">
        <f t="shared" ca="1" si="255"/>
        <v/>
      </c>
      <c r="AB150" s="142" t="str">
        <f t="shared" ca="1" si="255"/>
        <v/>
      </c>
      <c r="AC150" s="142" t="str">
        <f t="shared" ca="1" si="255"/>
        <v/>
      </c>
      <c r="AD150" s="142" t="str">
        <f t="shared" ca="1" si="255"/>
        <v/>
      </c>
      <c r="AE150" s="142" t="str">
        <f t="shared" ca="1" si="255"/>
        <v/>
      </c>
      <c r="AF150" s="142" t="str">
        <f t="shared" ca="1" si="255"/>
        <v/>
      </c>
    </row>
    <row r="151" spans="1:32" ht="16" x14ac:dyDescent="0.2">
      <c r="A151" s="497"/>
      <c r="B151" s="125" t="s">
        <v>626</v>
      </c>
      <c r="C151" s="155">
        <f ca="1">INDIRECT("'"&amp;C$6&amp;"'!$J$921")</f>
        <v>0</v>
      </c>
      <c r="D151" s="155">
        <f t="shared" ref="D151:V151" ca="1" si="256">INDIRECT("'"&amp;D$6&amp;"'!$J$921")</f>
        <v>0</v>
      </c>
      <c r="E151" s="155">
        <f t="shared" ca="1" si="256"/>
        <v>0</v>
      </c>
      <c r="F151" s="155">
        <f t="shared" ca="1" si="256"/>
        <v>0</v>
      </c>
      <c r="G151" s="155">
        <f t="shared" ca="1" si="256"/>
        <v>0</v>
      </c>
      <c r="H151" s="155">
        <f t="shared" ca="1" si="256"/>
        <v>0</v>
      </c>
      <c r="I151" s="155">
        <f t="shared" ca="1" si="256"/>
        <v>0</v>
      </c>
      <c r="J151" s="155">
        <f t="shared" ca="1" si="256"/>
        <v>0</v>
      </c>
      <c r="K151" s="155">
        <f t="shared" ca="1" si="256"/>
        <v>0</v>
      </c>
      <c r="L151" s="155">
        <f t="shared" ca="1" si="256"/>
        <v>0</v>
      </c>
      <c r="M151" s="155">
        <f t="shared" ca="1" si="256"/>
        <v>0</v>
      </c>
      <c r="N151" s="155">
        <f t="shared" ca="1" si="256"/>
        <v>0</v>
      </c>
      <c r="O151" s="155">
        <f t="shared" ca="1" si="256"/>
        <v>0</v>
      </c>
      <c r="P151" s="155">
        <f t="shared" ca="1" si="256"/>
        <v>0</v>
      </c>
      <c r="Q151" s="155">
        <f t="shared" ca="1" si="256"/>
        <v>0</v>
      </c>
      <c r="R151" s="155">
        <f t="shared" ca="1" si="256"/>
        <v>0</v>
      </c>
      <c r="S151" s="155">
        <f t="shared" ca="1" si="256"/>
        <v>0</v>
      </c>
      <c r="T151" s="155">
        <f t="shared" ca="1" si="256"/>
        <v>0</v>
      </c>
      <c r="U151" s="155">
        <f ca="1">INDIRECT("'"&amp;U$6&amp;"'!$J$921")</f>
        <v>0</v>
      </c>
      <c r="V151" s="155">
        <f t="shared" ca="1" si="256"/>
        <v>0</v>
      </c>
      <c r="W151" s="155" t="str">
        <f ca="1">IF(INDIRECT("'"&amp;W$5&amp;"'!$G$3")=0,"",INDIRECT("'"&amp;W$5&amp;"'!$J$921"))</f>
        <v/>
      </c>
      <c r="X151" s="155" t="str">
        <f t="shared" ref="X151:AF151" ca="1" si="257">IF(INDIRECT("'"&amp;X$5&amp;"'!$G$3")=0,"",INDIRECT("'"&amp;X$5&amp;"'!$J$921"))</f>
        <v/>
      </c>
      <c r="Y151" s="155" t="str">
        <f t="shared" ca="1" si="257"/>
        <v/>
      </c>
      <c r="Z151" s="155" t="str">
        <f t="shared" ca="1" si="257"/>
        <v/>
      </c>
      <c r="AA151" s="155" t="str">
        <f t="shared" ca="1" si="257"/>
        <v/>
      </c>
      <c r="AB151" s="155" t="str">
        <f t="shared" ca="1" si="257"/>
        <v/>
      </c>
      <c r="AC151" s="155" t="str">
        <f t="shared" ca="1" si="257"/>
        <v/>
      </c>
      <c r="AD151" s="155" t="str">
        <f t="shared" ca="1" si="257"/>
        <v/>
      </c>
      <c r="AE151" s="155" t="str">
        <f t="shared" ca="1" si="257"/>
        <v/>
      </c>
      <c r="AF151" s="155" t="str">
        <f t="shared" ca="1" si="257"/>
        <v/>
      </c>
    </row>
    <row r="152" spans="1:32" ht="16" x14ac:dyDescent="0.2">
      <c r="A152" s="496" t="s">
        <v>121</v>
      </c>
      <c r="B152" s="124" t="s">
        <v>625</v>
      </c>
      <c r="C152" s="142" t="str">
        <f ca="1">INDIRECT("'"&amp;C$6&amp;"'!$G$924")</f>
        <v>Critical</v>
      </c>
      <c r="D152" s="142" t="str">
        <f t="shared" ref="D152:V152" ca="1" si="258">INDIRECT("'"&amp;D$6&amp;"'!$G$924")</f>
        <v>Critical</v>
      </c>
      <c r="E152" s="142" t="str">
        <f t="shared" ca="1" si="258"/>
        <v>Critical</v>
      </c>
      <c r="F152" s="142" t="str">
        <f t="shared" ca="1" si="258"/>
        <v>Important</v>
      </c>
      <c r="G152" s="142" t="str">
        <f t="shared" ca="1" si="258"/>
        <v>Important</v>
      </c>
      <c r="H152" s="142" t="str">
        <f t="shared" ca="1" si="258"/>
        <v>Critical</v>
      </c>
      <c r="I152" s="142" t="str">
        <f t="shared" ca="1" si="258"/>
        <v>Not relevant</v>
      </c>
      <c r="J152" s="142" t="str">
        <f t="shared" ca="1" si="258"/>
        <v>Not relevant</v>
      </c>
      <c r="K152" s="142" t="str">
        <f t="shared" ca="1" si="258"/>
        <v>Not relevant</v>
      </c>
      <c r="L152" s="142" t="str">
        <f t="shared" ca="1" si="258"/>
        <v>Important</v>
      </c>
      <c r="M152" s="142" t="str">
        <f t="shared" ca="1" si="258"/>
        <v>Critical</v>
      </c>
      <c r="N152" s="142" t="str">
        <f t="shared" ca="1" si="258"/>
        <v>Important</v>
      </c>
      <c r="O152" s="142" t="str">
        <f t="shared" ca="1" si="258"/>
        <v>Critical</v>
      </c>
      <c r="P152" s="142" t="str">
        <f t="shared" ca="1" si="258"/>
        <v>Critical</v>
      </c>
      <c r="Q152" s="142" t="str">
        <f t="shared" ca="1" si="258"/>
        <v>Critical</v>
      </c>
      <c r="R152" s="142" t="str">
        <f t="shared" ca="1" si="258"/>
        <v>Important</v>
      </c>
      <c r="S152" s="142" t="str">
        <f t="shared" ca="1" si="258"/>
        <v>Highly Important</v>
      </c>
      <c r="T152" s="142" t="str">
        <f t="shared" ca="1" si="258"/>
        <v>Important</v>
      </c>
      <c r="U152" s="142" t="str">
        <f ca="1">INDIRECT("'"&amp;U$6&amp;"'!$G$924")</f>
        <v>Not relevant</v>
      </c>
      <c r="V152" s="142" t="str">
        <f t="shared" ca="1" si="258"/>
        <v>Limited importance</v>
      </c>
      <c r="W152" s="142" t="str">
        <f ca="1">IF(INDIRECT("'"&amp;W$5&amp;"'!$G$3")=0,"",INDIRECT("'"&amp;W$5&amp;"'!$G$924"))</f>
        <v/>
      </c>
      <c r="X152" s="142" t="str">
        <f t="shared" ref="X152:AF152" ca="1" si="259">IF(INDIRECT("'"&amp;X$5&amp;"'!$G$3")=0,"",INDIRECT("'"&amp;X$5&amp;"'!$G$924"))</f>
        <v/>
      </c>
      <c r="Y152" s="142" t="str">
        <f t="shared" ca="1" si="259"/>
        <v/>
      </c>
      <c r="Z152" s="142" t="str">
        <f t="shared" ca="1" si="259"/>
        <v/>
      </c>
      <c r="AA152" s="142" t="str">
        <f t="shared" ca="1" si="259"/>
        <v/>
      </c>
      <c r="AB152" s="142" t="str">
        <f t="shared" ca="1" si="259"/>
        <v/>
      </c>
      <c r="AC152" s="142" t="str">
        <f t="shared" ca="1" si="259"/>
        <v/>
      </c>
      <c r="AD152" s="142" t="str">
        <f t="shared" ca="1" si="259"/>
        <v/>
      </c>
      <c r="AE152" s="142" t="str">
        <f t="shared" ca="1" si="259"/>
        <v/>
      </c>
      <c r="AF152" s="142" t="str">
        <f t="shared" ca="1" si="259"/>
        <v/>
      </c>
    </row>
    <row r="153" spans="1:32" ht="16" x14ac:dyDescent="0.2">
      <c r="A153" s="497"/>
      <c r="B153" s="125" t="s">
        <v>626</v>
      </c>
      <c r="C153" s="155">
        <f ca="1">INDIRECT("'"&amp;C$6&amp;"'!$J$925")</f>
        <v>0</v>
      </c>
      <c r="D153" s="155">
        <f t="shared" ref="D153:V153" ca="1" si="260">INDIRECT("'"&amp;D$6&amp;"'!$J$925")</f>
        <v>0</v>
      </c>
      <c r="E153" s="155">
        <f t="shared" ca="1" si="260"/>
        <v>0</v>
      </c>
      <c r="F153" s="155">
        <f t="shared" ca="1" si="260"/>
        <v>0</v>
      </c>
      <c r="G153" s="155">
        <f t="shared" ca="1" si="260"/>
        <v>0</v>
      </c>
      <c r="H153" s="155">
        <f t="shared" ca="1" si="260"/>
        <v>0</v>
      </c>
      <c r="I153" s="155">
        <f t="shared" ca="1" si="260"/>
        <v>0</v>
      </c>
      <c r="J153" s="155">
        <f t="shared" ca="1" si="260"/>
        <v>0</v>
      </c>
      <c r="K153" s="155">
        <f t="shared" ca="1" si="260"/>
        <v>0</v>
      </c>
      <c r="L153" s="155">
        <f t="shared" ca="1" si="260"/>
        <v>0</v>
      </c>
      <c r="M153" s="155">
        <f t="shared" ca="1" si="260"/>
        <v>0</v>
      </c>
      <c r="N153" s="155">
        <f t="shared" ca="1" si="260"/>
        <v>0</v>
      </c>
      <c r="O153" s="155">
        <f t="shared" ca="1" si="260"/>
        <v>0</v>
      </c>
      <c r="P153" s="155">
        <f t="shared" ca="1" si="260"/>
        <v>0</v>
      </c>
      <c r="Q153" s="155">
        <f t="shared" ca="1" si="260"/>
        <v>0</v>
      </c>
      <c r="R153" s="155">
        <f t="shared" ca="1" si="260"/>
        <v>0</v>
      </c>
      <c r="S153" s="155">
        <f t="shared" ca="1" si="260"/>
        <v>0</v>
      </c>
      <c r="T153" s="155">
        <f t="shared" ca="1" si="260"/>
        <v>0</v>
      </c>
      <c r="U153" s="155">
        <f ca="1">INDIRECT("'"&amp;U$6&amp;"'!$J$925")</f>
        <v>0</v>
      </c>
      <c r="V153" s="155">
        <f t="shared" ca="1" si="260"/>
        <v>0</v>
      </c>
      <c r="W153" s="155" t="str">
        <f ca="1">IF(INDIRECT("'"&amp;W$5&amp;"'!$G$3")=0,"",INDIRECT("'"&amp;W$5&amp;"'!$J$925"))</f>
        <v/>
      </c>
      <c r="X153" s="155" t="str">
        <f t="shared" ref="X153:AF153" ca="1" si="261">IF(INDIRECT("'"&amp;X$5&amp;"'!$G$3")=0,"",INDIRECT("'"&amp;X$5&amp;"'!$J$925"))</f>
        <v/>
      </c>
      <c r="Y153" s="155" t="str">
        <f t="shared" ca="1" si="261"/>
        <v/>
      </c>
      <c r="Z153" s="155" t="str">
        <f t="shared" ca="1" si="261"/>
        <v/>
      </c>
      <c r="AA153" s="155" t="str">
        <f t="shared" ca="1" si="261"/>
        <v/>
      </c>
      <c r="AB153" s="155" t="str">
        <f t="shared" ca="1" si="261"/>
        <v/>
      </c>
      <c r="AC153" s="155" t="str">
        <f t="shared" ca="1" si="261"/>
        <v/>
      </c>
      <c r="AD153" s="155" t="str">
        <f t="shared" ca="1" si="261"/>
        <v/>
      </c>
      <c r="AE153" s="155" t="str">
        <f t="shared" ca="1" si="261"/>
        <v/>
      </c>
      <c r="AF153" s="155" t="str">
        <f t="shared" ca="1" si="261"/>
        <v/>
      </c>
    </row>
    <row r="154" spans="1:32" ht="16" x14ac:dyDescent="0.2">
      <c r="A154" s="496" t="s">
        <v>128</v>
      </c>
      <c r="B154" s="124" t="s">
        <v>625</v>
      </c>
      <c r="C154" s="142" t="str">
        <f ca="1">INDIRECT("'"&amp;C$6&amp;"'!$G$928")</f>
        <v>Highly Important</v>
      </c>
      <c r="D154" s="142" t="str">
        <f t="shared" ref="D154:V154" ca="1" si="262">INDIRECT("'"&amp;D$6&amp;"'!$G$928")</f>
        <v>Critical</v>
      </c>
      <c r="E154" s="142" t="str">
        <f t="shared" ca="1" si="262"/>
        <v>Critical</v>
      </c>
      <c r="F154" s="142" t="str">
        <f t="shared" ca="1" si="262"/>
        <v>Limited importance</v>
      </c>
      <c r="G154" s="142" t="str">
        <f t="shared" ca="1" si="262"/>
        <v>Important</v>
      </c>
      <c r="H154" s="142" t="str">
        <f t="shared" ca="1" si="262"/>
        <v>Highly Important</v>
      </c>
      <c r="I154" s="142" t="str">
        <f t="shared" ca="1" si="262"/>
        <v>Not relevant</v>
      </c>
      <c r="J154" s="142" t="str">
        <f t="shared" ca="1" si="262"/>
        <v>Not relevant</v>
      </c>
      <c r="K154" s="142" t="str">
        <f t="shared" ca="1" si="262"/>
        <v>Important</v>
      </c>
      <c r="L154" s="142" t="str">
        <f t="shared" ca="1" si="262"/>
        <v>Important</v>
      </c>
      <c r="M154" s="142" t="str">
        <f t="shared" ca="1" si="262"/>
        <v>Critical</v>
      </c>
      <c r="N154" s="142" t="str">
        <f t="shared" ca="1" si="262"/>
        <v>Critical</v>
      </c>
      <c r="O154" s="142" t="str">
        <f t="shared" ca="1" si="262"/>
        <v>Critical</v>
      </c>
      <c r="P154" s="142" t="str">
        <f t="shared" ca="1" si="262"/>
        <v>Critical</v>
      </c>
      <c r="Q154" s="142" t="str">
        <f t="shared" ca="1" si="262"/>
        <v>Critical</v>
      </c>
      <c r="R154" s="142" t="str">
        <f t="shared" ca="1" si="262"/>
        <v>Limited importance</v>
      </c>
      <c r="S154" s="142" t="str">
        <f t="shared" ca="1" si="262"/>
        <v>Highly Important</v>
      </c>
      <c r="T154" s="142" t="str">
        <f t="shared" ca="1" si="262"/>
        <v>Limited importance</v>
      </c>
      <c r="U154" s="142" t="str">
        <f ca="1">INDIRECT("'"&amp;U$6&amp;"'!$G$928")</f>
        <v>Not relevant</v>
      </c>
      <c r="V154" s="142" t="str">
        <f t="shared" ca="1" si="262"/>
        <v>Limited importance</v>
      </c>
      <c r="W154" s="142" t="str">
        <f ca="1">IF(INDIRECT("'"&amp;W$5&amp;"'!$G$3")=0,"",INDIRECT("'"&amp;W$5&amp;"'!$G$928"))</f>
        <v/>
      </c>
      <c r="X154" s="142" t="str">
        <f t="shared" ref="X154:AF154" ca="1" si="263">IF(INDIRECT("'"&amp;X$5&amp;"'!$G$3")=0,"",INDIRECT("'"&amp;X$5&amp;"'!$G$928"))</f>
        <v/>
      </c>
      <c r="Y154" s="142" t="str">
        <f t="shared" ca="1" si="263"/>
        <v/>
      </c>
      <c r="Z154" s="142" t="str">
        <f t="shared" ca="1" si="263"/>
        <v/>
      </c>
      <c r="AA154" s="142" t="str">
        <f t="shared" ca="1" si="263"/>
        <v/>
      </c>
      <c r="AB154" s="142" t="str">
        <f t="shared" ca="1" si="263"/>
        <v/>
      </c>
      <c r="AC154" s="142" t="str">
        <f t="shared" ca="1" si="263"/>
        <v/>
      </c>
      <c r="AD154" s="142" t="str">
        <f t="shared" ca="1" si="263"/>
        <v/>
      </c>
      <c r="AE154" s="142" t="str">
        <f t="shared" ca="1" si="263"/>
        <v/>
      </c>
      <c r="AF154" s="142" t="str">
        <f t="shared" ca="1" si="263"/>
        <v/>
      </c>
    </row>
    <row r="155" spans="1:32" ht="16" x14ac:dyDescent="0.2">
      <c r="A155" s="497"/>
      <c r="B155" s="125" t="s">
        <v>626</v>
      </c>
      <c r="C155" s="155">
        <f ca="1">INDIRECT("'"&amp;C$6&amp;"'!$J$929")</f>
        <v>0</v>
      </c>
      <c r="D155" s="155">
        <f t="shared" ref="D155:V155" ca="1" si="264">INDIRECT("'"&amp;D$6&amp;"'!$J$929")</f>
        <v>0</v>
      </c>
      <c r="E155" s="155">
        <f t="shared" ca="1" si="264"/>
        <v>0</v>
      </c>
      <c r="F155" s="155">
        <f t="shared" ca="1" si="264"/>
        <v>0</v>
      </c>
      <c r="G155" s="155">
        <f t="shared" ca="1" si="264"/>
        <v>0</v>
      </c>
      <c r="H155" s="155">
        <f t="shared" ca="1" si="264"/>
        <v>0</v>
      </c>
      <c r="I155" s="155">
        <f t="shared" ca="1" si="264"/>
        <v>0</v>
      </c>
      <c r="J155" s="155">
        <f t="shared" ca="1" si="264"/>
        <v>0</v>
      </c>
      <c r="K155" s="155">
        <f t="shared" ca="1" si="264"/>
        <v>0</v>
      </c>
      <c r="L155" s="155">
        <f t="shared" ca="1" si="264"/>
        <v>0</v>
      </c>
      <c r="M155" s="155">
        <f t="shared" ca="1" si="264"/>
        <v>0</v>
      </c>
      <c r="N155" s="155">
        <f t="shared" ca="1" si="264"/>
        <v>0</v>
      </c>
      <c r="O155" s="155">
        <f t="shared" ca="1" si="264"/>
        <v>0</v>
      </c>
      <c r="P155" s="155">
        <f t="shared" ca="1" si="264"/>
        <v>0</v>
      </c>
      <c r="Q155" s="155">
        <f t="shared" ca="1" si="264"/>
        <v>0</v>
      </c>
      <c r="R155" s="155">
        <f t="shared" ca="1" si="264"/>
        <v>0</v>
      </c>
      <c r="S155" s="155">
        <f t="shared" ca="1" si="264"/>
        <v>0</v>
      </c>
      <c r="T155" s="155">
        <f t="shared" ca="1" si="264"/>
        <v>0</v>
      </c>
      <c r="U155" s="155">
        <f ca="1">INDIRECT("'"&amp;U$6&amp;"'!$J$929")</f>
        <v>0</v>
      </c>
      <c r="V155" s="155">
        <f t="shared" ca="1" si="264"/>
        <v>0</v>
      </c>
      <c r="W155" s="155" t="str">
        <f ca="1">IF(INDIRECT("'"&amp;W$5&amp;"'!$G$3")=0,"",INDIRECT("'"&amp;W$5&amp;"'!$J$929"))</f>
        <v/>
      </c>
      <c r="X155" s="155" t="str">
        <f t="shared" ref="X155:AF155" ca="1" si="265">IF(INDIRECT("'"&amp;X$5&amp;"'!$G$3")=0,"",INDIRECT("'"&amp;X$5&amp;"'!$J$929"))</f>
        <v/>
      </c>
      <c r="Y155" s="155" t="str">
        <f t="shared" ca="1" si="265"/>
        <v/>
      </c>
      <c r="Z155" s="155" t="str">
        <f t="shared" ca="1" si="265"/>
        <v/>
      </c>
      <c r="AA155" s="155" t="str">
        <f t="shared" ca="1" si="265"/>
        <v/>
      </c>
      <c r="AB155" s="155" t="str">
        <f t="shared" ca="1" si="265"/>
        <v/>
      </c>
      <c r="AC155" s="155" t="str">
        <f t="shared" ca="1" si="265"/>
        <v/>
      </c>
      <c r="AD155" s="155" t="str">
        <f t="shared" ca="1" si="265"/>
        <v/>
      </c>
      <c r="AE155" s="155" t="str">
        <f t="shared" ca="1" si="265"/>
        <v/>
      </c>
      <c r="AF155" s="155" t="str">
        <f t="shared" ca="1" si="265"/>
        <v/>
      </c>
    </row>
    <row r="156" spans="1:32" ht="16" x14ac:dyDescent="0.2">
      <c r="A156" s="496" t="s">
        <v>130</v>
      </c>
      <c r="B156" s="124" t="s">
        <v>625</v>
      </c>
      <c r="C156" s="142" t="str">
        <f ca="1">INDIRECT("'"&amp;C$6&amp;"'!$G$932")</f>
        <v>Limited importance</v>
      </c>
      <c r="D156" s="142" t="str">
        <f t="shared" ref="D156:V156" ca="1" si="266">INDIRECT("'"&amp;D$6&amp;"'!$G$932")</f>
        <v>Critical</v>
      </c>
      <c r="E156" s="142" t="str">
        <f t="shared" ca="1" si="266"/>
        <v>Highly Important</v>
      </c>
      <c r="F156" s="142" t="str">
        <f t="shared" ca="1" si="266"/>
        <v>Not relevant</v>
      </c>
      <c r="G156" s="142" t="str">
        <f t="shared" ca="1" si="266"/>
        <v>Highly Important</v>
      </c>
      <c r="H156" s="142" t="str">
        <f t="shared" ca="1" si="266"/>
        <v>Limited importance</v>
      </c>
      <c r="I156" s="142" t="str">
        <f t="shared" ca="1" si="266"/>
        <v>Important</v>
      </c>
      <c r="J156" s="142" t="str">
        <f t="shared" ca="1" si="266"/>
        <v>Not relevant</v>
      </c>
      <c r="K156" s="142" t="str">
        <f t="shared" ca="1" si="266"/>
        <v>Not relevant</v>
      </c>
      <c r="L156" s="142" t="str">
        <f t="shared" ca="1" si="266"/>
        <v>Highly Important</v>
      </c>
      <c r="M156" s="142" t="str">
        <f t="shared" ca="1" si="266"/>
        <v>Highly Important</v>
      </c>
      <c r="N156" s="142" t="str">
        <f t="shared" ca="1" si="266"/>
        <v>Highly Important</v>
      </c>
      <c r="O156" s="142" t="str">
        <f t="shared" ca="1" si="266"/>
        <v>Critical</v>
      </c>
      <c r="P156" s="142" t="str">
        <f t="shared" ca="1" si="266"/>
        <v>Critical</v>
      </c>
      <c r="Q156" s="142" t="str">
        <f t="shared" ca="1" si="266"/>
        <v>Critical</v>
      </c>
      <c r="R156" s="142" t="str">
        <f t="shared" ca="1" si="266"/>
        <v>Important</v>
      </c>
      <c r="S156" s="142" t="str">
        <f t="shared" ca="1" si="266"/>
        <v>Highly Important</v>
      </c>
      <c r="T156" s="142" t="str">
        <f t="shared" ca="1" si="266"/>
        <v>Important</v>
      </c>
      <c r="U156" s="142" t="str">
        <f ca="1">INDIRECT("'"&amp;U$6&amp;"'!$G$932")</f>
        <v>Important</v>
      </c>
      <c r="V156" s="142" t="str">
        <f t="shared" ca="1" si="266"/>
        <v>Limited importance</v>
      </c>
      <c r="W156" s="142" t="str">
        <f ca="1">IF(INDIRECT("'"&amp;W$5&amp;"'!$G$3")=0,"",INDIRECT("'"&amp;W$5&amp;"'!$G$932"))</f>
        <v/>
      </c>
      <c r="X156" s="142" t="str">
        <f t="shared" ref="X156:AF156" ca="1" si="267">IF(INDIRECT("'"&amp;X$5&amp;"'!$G$3")=0,"",INDIRECT("'"&amp;X$5&amp;"'!$G$932"))</f>
        <v/>
      </c>
      <c r="Y156" s="142" t="str">
        <f t="shared" ca="1" si="267"/>
        <v/>
      </c>
      <c r="Z156" s="142" t="str">
        <f t="shared" ca="1" si="267"/>
        <v/>
      </c>
      <c r="AA156" s="142" t="str">
        <f t="shared" ca="1" si="267"/>
        <v/>
      </c>
      <c r="AB156" s="142" t="str">
        <f t="shared" ca="1" si="267"/>
        <v/>
      </c>
      <c r="AC156" s="142" t="str">
        <f t="shared" ca="1" si="267"/>
        <v/>
      </c>
      <c r="AD156" s="142" t="str">
        <f t="shared" ca="1" si="267"/>
        <v/>
      </c>
      <c r="AE156" s="142" t="str">
        <f t="shared" ca="1" si="267"/>
        <v/>
      </c>
      <c r="AF156" s="142" t="str">
        <f t="shared" ca="1" si="267"/>
        <v/>
      </c>
    </row>
    <row r="157" spans="1:32" ht="16" x14ac:dyDescent="0.2">
      <c r="A157" s="497"/>
      <c r="B157" s="125" t="s">
        <v>626</v>
      </c>
      <c r="C157" s="156">
        <f ca="1">INDIRECT("'"&amp;C$6&amp;"'!$J$933")</f>
        <v>0</v>
      </c>
      <c r="D157" s="156">
        <f t="shared" ref="D157:V157" ca="1" si="268">INDIRECT("'"&amp;D$6&amp;"'!$J$933")</f>
        <v>0</v>
      </c>
      <c r="E157" s="156">
        <f t="shared" ca="1" si="268"/>
        <v>0</v>
      </c>
      <c r="F157" s="156">
        <f t="shared" ca="1" si="268"/>
        <v>0</v>
      </c>
      <c r="G157" s="156">
        <f t="shared" ca="1" si="268"/>
        <v>0</v>
      </c>
      <c r="H157" s="156">
        <f t="shared" ca="1" si="268"/>
        <v>0</v>
      </c>
      <c r="I157" s="156">
        <f t="shared" ca="1" si="268"/>
        <v>0</v>
      </c>
      <c r="J157" s="156">
        <f t="shared" ca="1" si="268"/>
        <v>0</v>
      </c>
      <c r="K157" s="156">
        <f t="shared" ca="1" si="268"/>
        <v>0</v>
      </c>
      <c r="L157" s="156">
        <f t="shared" ca="1" si="268"/>
        <v>0</v>
      </c>
      <c r="M157" s="156">
        <f t="shared" ca="1" si="268"/>
        <v>0</v>
      </c>
      <c r="N157" s="156">
        <f t="shared" ca="1" si="268"/>
        <v>0</v>
      </c>
      <c r="O157" s="156">
        <f t="shared" ca="1" si="268"/>
        <v>0</v>
      </c>
      <c r="P157" s="156">
        <f t="shared" ca="1" si="268"/>
        <v>0</v>
      </c>
      <c r="Q157" s="156">
        <f t="shared" ca="1" si="268"/>
        <v>0</v>
      </c>
      <c r="R157" s="156">
        <f t="shared" ca="1" si="268"/>
        <v>0</v>
      </c>
      <c r="S157" s="156">
        <f t="shared" ca="1" si="268"/>
        <v>0</v>
      </c>
      <c r="T157" s="156">
        <f t="shared" ca="1" si="268"/>
        <v>0</v>
      </c>
      <c r="U157" s="156">
        <f ca="1">INDIRECT("'"&amp;U$6&amp;"'!$J$933")</f>
        <v>0</v>
      </c>
      <c r="V157" s="156">
        <f t="shared" ca="1" si="268"/>
        <v>0</v>
      </c>
      <c r="W157" s="156" t="str">
        <f ca="1">IF(INDIRECT("'"&amp;W$5&amp;"'!$G$3")=0,"",INDIRECT("'"&amp;W$5&amp;"'!$J$933"))</f>
        <v/>
      </c>
      <c r="X157" s="156" t="str">
        <f t="shared" ref="X157:AF157" ca="1" si="269">IF(INDIRECT("'"&amp;X$5&amp;"'!$G$3")=0,"",INDIRECT("'"&amp;X$5&amp;"'!$J$933"))</f>
        <v/>
      </c>
      <c r="Y157" s="156" t="str">
        <f t="shared" ca="1" si="269"/>
        <v/>
      </c>
      <c r="Z157" s="156" t="str">
        <f t="shared" ca="1" si="269"/>
        <v/>
      </c>
      <c r="AA157" s="156" t="str">
        <f t="shared" ca="1" si="269"/>
        <v/>
      </c>
      <c r="AB157" s="156" t="str">
        <f t="shared" ca="1" si="269"/>
        <v/>
      </c>
      <c r="AC157" s="156" t="str">
        <f t="shared" ca="1" si="269"/>
        <v/>
      </c>
      <c r="AD157" s="156" t="str">
        <f t="shared" ca="1" si="269"/>
        <v/>
      </c>
      <c r="AE157" s="156" t="str">
        <f t="shared" ca="1" si="269"/>
        <v/>
      </c>
      <c r="AF157" s="156" t="str">
        <f t="shared" ca="1" si="269"/>
        <v/>
      </c>
    </row>
  </sheetData>
  <mergeCells count="83">
    <mergeCell ref="A154:A155"/>
    <mergeCell ref="A156:A157"/>
    <mergeCell ref="A152:A153"/>
    <mergeCell ref="A148:A149"/>
    <mergeCell ref="A150:A151"/>
    <mergeCell ref="A140:B140"/>
    <mergeCell ref="A141:B141"/>
    <mergeCell ref="A142:A143"/>
    <mergeCell ref="A144:A145"/>
    <mergeCell ref="A146:A147"/>
    <mergeCell ref="A138:A139"/>
    <mergeCell ref="A34:A35"/>
    <mergeCell ref="A36:A37"/>
    <mergeCell ref="A38:A39"/>
    <mergeCell ref="A40:A41"/>
    <mergeCell ref="A42:A43"/>
    <mergeCell ref="A48:A49"/>
    <mergeCell ref="A50:A51"/>
    <mergeCell ref="A52:A53"/>
    <mergeCell ref="A55:A56"/>
    <mergeCell ref="A64:B64"/>
    <mergeCell ref="A72:A75"/>
    <mergeCell ref="A76:A79"/>
    <mergeCell ref="A80:A83"/>
    <mergeCell ref="A84:A87"/>
    <mergeCell ref="A88:A91"/>
    <mergeCell ref="A134:A135"/>
    <mergeCell ref="A136:A137"/>
    <mergeCell ref="A110:A111"/>
    <mergeCell ref="A112:A113"/>
    <mergeCell ref="A114:A115"/>
    <mergeCell ref="A116:A117"/>
    <mergeCell ref="A118:A119"/>
    <mergeCell ref="A120:A121"/>
    <mergeCell ref="A122:A123"/>
    <mergeCell ref="A124:A125"/>
    <mergeCell ref="A126:A127"/>
    <mergeCell ref="A128:A129"/>
    <mergeCell ref="A130:A131"/>
    <mergeCell ref="A132:A133"/>
    <mergeCell ref="A108:B108"/>
    <mergeCell ref="A109:B109"/>
    <mergeCell ref="A100:A103"/>
    <mergeCell ref="A104:A107"/>
    <mergeCell ref="A92:A95"/>
    <mergeCell ref="A96:A99"/>
    <mergeCell ref="A67:B67"/>
    <mergeCell ref="A70:B70"/>
    <mergeCell ref="A71:B71"/>
    <mergeCell ref="A68:A69"/>
    <mergeCell ref="A63:B63"/>
    <mergeCell ref="A65:B65"/>
    <mergeCell ref="A66:B66"/>
    <mergeCell ref="A61:A62"/>
    <mergeCell ref="A57:B57"/>
    <mergeCell ref="A58:B58"/>
    <mergeCell ref="A59:B59"/>
    <mergeCell ref="A60:B60"/>
    <mergeCell ref="A47:B47"/>
    <mergeCell ref="A32:A33"/>
    <mergeCell ref="A54:B54"/>
    <mergeCell ref="A44:B44"/>
    <mergeCell ref="A45:B45"/>
    <mergeCell ref="A46:B46"/>
    <mergeCell ref="A7:B7"/>
    <mergeCell ref="A8:B8"/>
    <mergeCell ref="A9:B9"/>
    <mergeCell ref="A10:B10"/>
    <mergeCell ref="A11:B11"/>
    <mergeCell ref="A12:B12"/>
    <mergeCell ref="A13:B13"/>
    <mergeCell ref="A14:B14"/>
    <mergeCell ref="A31:B31"/>
    <mergeCell ref="A30:B30"/>
    <mergeCell ref="A28:A29"/>
    <mergeCell ref="A15:B15"/>
    <mergeCell ref="A16:B16"/>
    <mergeCell ref="A17:B17"/>
    <mergeCell ref="A18:A19"/>
    <mergeCell ref="A20:A21"/>
    <mergeCell ref="A22:A23"/>
    <mergeCell ref="A24:A25"/>
    <mergeCell ref="A26:A27"/>
  </mergeCells>
  <pageMargins left="0.7" right="0.7" top="0.75" bottom="0.75" header="0.3" footer="0.3"/>
  <pageSetup paperSize="5" scale="66" fitToWidth="0" fitToHeight="2"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9"/>
  <dimension ref="C1:AO182"/>
  <sheetViews>
    <sheetView showGridLines="0" showRowColHeaders="0" zoomScaleNormal="100" workbookViewId="0">
      <selection activeCell="P173" sqref="P173"/>
    </sheetView>
  </sheetViews>
  <sheetFormatPr baseColWidth="10" defaultColWidth="9.1640625" defaultRowHeight="15" x14ac:dyDescent="0.2"/>
  <cols>
    <col min="1" max="16" width="9.1640625" style="12"/>
    <col min="17" max="23" width="9.1640625" style="303"/>
    <col min="24" max="16384" width="9.1640625" style="12"/>
  </cols>
  <sheetData>
    <row r="1" spans="7:25" x14ac:dyDescent="0.2">
      <c r="H1" s="29"/>
      <c r="I1" s="29"/>
    </row>
    <row r="2" spans="7:25" ht="33" x14ac:dyDescent="0.2">
      <c r="G2" s="16" t="s">
        <v>1038</v>
      </c>
      <c r="H2" s="29"/>
      <c r="I2" s="29"/>
    </row>
    <row r="3" spans="7:25" ht="23" x14ac:dyDescent="0.2">
      <c r="G3" s="234" t="s">
        <v>346</v>
      </c>
      <c r="H3" s="29"/>
      <c r="I3" s="29"/>
      <c r="M3" s="31"/>
      <c r="N3" s="31"/>
    </row>
    <row r="4" spans="7:25" x14ac:dyDescent="0.2">
      <c r="Y4" s="106"/>
    </row>
    <row r="5" spans="7:25" x14ac:dyDescent="0.2">
      <c r="X5" s="235"/>
      <c r="Y5" s="106"/>
    </row>
    <row r="6" spans="7:25" x14ac:dyDescent="0.2">
      <c r="X6" s="235"/>
      <c r="Y6" s="106"/>
    </row>
    <row r="7" spans="7:25" x14ac:dyDescent="0.2">
      <c r="X7" s="235"/>
      <c r="Y7" s="106"/>
    </row>
    <row r="8" spans="7:25" x14ac:dyDescent="0.2">
      <c r="X8" s="235"/>
      <c r="Y8" s="106"/>
    </row>
    <row r="9" spans="7:25" x14ac:dyDescent="0.2">
      <c r="X9" s="235"/>
      <c r="Y9" s="106"/>
    </row>
    <row r="10" spans="7:25" x14ac:dyDescent="0.2">
      <c r="X10" s="235"/>
      <c r="Y10" s="106"/>
    </row>
    <row r="11" spans="7:25" x14ac:dyDescent="0.2">
      <c r="X11" s="235"/>
      <c r="Y11" s="106"/>
    </row>
    <row r="12" spans="7:25" x14ac:dyDescent="0.2">
      <c r="X12" s="235"/>
      <c r="Y12" s="106"/>
    </row>
    <row r="13" spans="7:25" x14ac:dyDescent="0.2">
      <c r="X13" s="235"/>
      <c r="Y13" s="106"/>
    </row>
    <row r="14" spans="7:25" x14ac:dyDescent="0.2">
      <c r="X14" s="235"/>
      <c r="Y14" s="106"/>
    </row>
    <row r="15" spans="7:25" x14ac:dyDescent="0.2">
      <c r="X15" s="235"/>
      <c r="Y15" s="106"/>
    </row>
    <row r="16" spans="7:25" x14ac:dyDescent="0.2">
      <c r="X16" s="235"/>
      <c r="Y16" s="106"/>
    </row>
    <row r="17" spans="24:25" x14ac:dyDescent="0.2">
      <c r="X17" s="235"/>
      <c r="Y17" s="106"/>
    </row>
    <row r="18" spans="24:25" x14ac:dyDescent="0.2">
      <c r="X18" s="235"/>
      <c r="Y18" s="106"/>
    </row>
    <row r="19" spans="24:25" x14ac:dyDescent="0.2">
      <c r="X19" s="235"/>
      <c r="Y19" s="106"/>
    </row>
    <row r="20" spans="24:25" x14ac:dyDescent="0.2">
      <c r="X20" s="235"/>
      <c r="Y20" s="106"/>
    </row>
    <row r="21" spans="24:25" x14ac:dyDescent="0.2">
      <c r="X21" s="235"/>
      <c r="Y21" s="106"/>
    </row>
    <row r="22" spans="24:25" x14ac:dyDescent="0.2">
      <c r="X22" s="235"/>
      <c r="Y22" s="106"/>
    </row>
    <row r="23" spans="24:25" x14ac:dyDescent="0.2">
      <c r="X23" s="235"/>
      <c r="Y23" s="106"/>
    </row>
    <row r="24" spans="24:25" x14ac:dyDescent="0.2">
      <c r="X24" s="235"/>
      <c r="Y24" s="106"/>
    </row>
    <row r="25" spans="24:25" x14ac:dyDescent="0.2">
      <c r="X25" s="235"/>
      <c r="Y25" s="106"/>
    </row>
    <row r="26" spans="24:25" x14ac:dyDescent="0.2">
      <c r="X26" s="235"/>
      <c r="Y26" s="106"/>
    </row>
    <row r="27" spans="24:25" x14ac:dyDescent="0.2">
      <c r="X27" s="235"/>
      <c r="Y27" s="106"/>
    </row>
    <row r="28" spans="24:25" x14ac:dyDescent="0.2">
      <c r="X28" s="235"/>
      <c r="Y28" s="106"/>
    </row>
    <row r="29" spans="24:25" x14ac:dyDescent="0.2">
      <c r="X29" s="235"/>
      <c r="Y29" s="106"/>
    </row>
    <row r="30" spans="24:25" x14ac:dyDescent="0.2">
      <c r="X30" s="235"/>
      <c r="Y30" s="106"/>
    </row>
    <row r="31" spans="24:25" x14ac:dyDescent="0.2">
      <c r="X31" s="235"/>
      <c r="Y31" s="106"/>
    </row>
    <row r="32" spans="24:25" x14ac:dyDescent="0.2">
      <c r="X32" s="235"/>
      <c r="Y32" s="106"/>
    </row>
    <row r="33" spans="24:25" x14ac:dyDescent="0.2">
      <c r="X33" s="235"/>
      <c r="Y33" s="106"/>
    </row>
    <row r="34" spans="24:25" x14ac:dyDescent="0.2">
      <c r="X34" s="235"/>
      <c r="Y34" s="106"/>
    </row>
    <row r="35" spans="24:25" x14ac:dyDescent="0.2">
      <c r="X35" s="235"/>
    </row>
    <row r="36" spans="24:25" x14ac:dyDescent="0.2">
      <c r="X36" s="106"/>
    </row>
    <row r="151" spans="17:41" s="303" customFormat="1" x14ac:dyDescent="0.2">
      <c r="Q151" s="321"/>
      <c r="R151" s="321"/>
      <c r="S151" s="321" t="s">
        <v>26</v>
      </c>
      <c r="T151" s="321" t="s">
        <v>27</v>
      </c>
      <c r="U151" s="321" t="s">
        <v>819</v>
      </c>
      <c r="V151" s="321" t="s">
        <v>230</v>
      </c>
      <c r="W151" s="321" t="s">
        <v>820</v>
      </c>
      <c r="AA151" s="323"/>
      <c r="AB151" s="323"/>
      <c r="AC151" s="323"/>
      <c r="AD151" s="323"/>
      <c r="AE151" s="323"/>
      <c r="AF151" s="323"/>
      <c r="AG151" s="323"/>
      <c r="AH151" s="323"/>
      <c r="AI151" s="323"/>
      <c r="AJ151" s="323"/>
      <c r="AK151" s="323"/>
      <c r="AL151" s="323"/>
      <c r="AM151" s="323"/>
      <c r="AN151" s="323"/>
      <c r="AO151" s="323"/>
    </row>
    <row r="152" spans="17:41" s="303" customFormat="1" x14ac:dyDescent="0.2">
      <c r="Q152" s="321"/>
      <c r="R152" s="321" t="s">
        <v>15</v>
      </c>
      <c r="S152" s="322" t="str">
        <f t="shared" ref="S152:S171" ca="1" si="0">INDIRECT("'"&amp;$R152&amp;"'!$J$133")</f>
        <v>Not Calculated</v>
      </c>
      <c r="T152" s="322" t="str">
        <f t="shared" ref="T152:T171" ca="1" si="1">INDIRECT("'"&amp;$R152&amp;"'!$J$261")</f>
        <v>Not Calculated</v>
      </c>
      <c r="U152" s="322">
        <f t="shared" ref="U152:U171" ca="1" si="2">INDIRECT("'"&amp;$R152&amp;"'!$J$421")</f>
        <v>1.6875</v>
      </c>
      <c r="V152" s="322">
        <f t="shared" ref="V152:V171" ca="1" si="3">INDIRECT("'"&amp;$R152&amp;"'!$J$539")</f>
        <v>7.1428571428571425E-2</v>
      </c>
      <c r="W152" s="322" t="str">
        <f t="shared" ref="W152:W171" ca="1" si="4">INDIRECT("'"&amp;$R152&amp;"'!$J$681")</f>
        <v>Not Calculated</v>
      </c>
      <c r="AA152" s="323"/>
      <c r="AB152" s="323"/>
      <c r="AC152" s="323"/>
      <c r="AD152" s="323"/>
      <c r="AE152" s="323"/>
      <c r="AF152" s="323"/>
      <c r="AG152" s="323"/>
      <c r="AH152" s="323"/>
      <c r="AI152" s="323"/>
      <c r="AJ152" s="323"/>
      <c r="AK152" s="323"/>
      <c r="AL152" s="323"/>
      <c r="AM152" s="323"/>
      <c r="AN152" s="323"/>
      <c r="AO152" s="323"/>
    </row>
    <row r="153" spans="17:41" s="303" customFormat="1" x14ac:dyDescent="0.2">
      <c r="Q153" s="321"/>
      <c r="R153" s="321" t="s">
        <v>16</v>
      </c>
      <c r="S153" s="322" t="str">
        <f t="shared" ca="1" si="0"/>
        <v>Not Calculated</v>
      </c>
      <c r="T153" s="322" t="str">
        <f t="shared" ca="1" si="1"/>
        <v>Not Calculated</v>
      </c>
      <c r="U153" s="322">
        <f t="shared" ca="1" si="2"/>
        <v>2.25</v>
      </c>
      <c r="V153" s="322">
        <f t="shared" ca="1" si="3"/>
        <v>2.0714285714285716</v>
      </c>
      <c r="W153" s="322" t="str">
        <f t="shared" ca="1" si="4"/>
        <v>Not Calculated</v>
      </c>
      <c r="Z153" s="323"/>
    </row>
    <row r="154" spans="17:41" s="303" customFormat="1" x14ac:dyDescent="0.2">
      <c r="Q154" s="321"/>
      <c r="R154" s="321" t="s">
        <v>17</v>
      </c>
      <c r="S154" s="322" t="str">
        <f t="shared" ca="1" si="0"/>
        <v>Not Calculated</v>
      </c>
      <c r="T154" s="322" t="str">
        <f t="shared" ca="1" si="1"/>
        <v>Not Calculated</v>
      </c>
      <c r="U154" s="322">
        <f t="shared" ca="1" si="2"/>
        <v>1.75</v>
      </c>
      <c r="V154" s="322">
        <f t="shared" ca="1" si="3"/>
        <v>0.7857142857142857</v>
      </c>
      <c r="W154" s="322" t="str">
        <f t="shared" ca="1" si="4"/>
        <v>Not Calculated</v>
      </c>
      <c r="Z154" s="323"/>
    </row>
    <row r="155" spans="17:41" s="303" customFormat="1" x14ac:dyDescent="0.2">
      <c r="Q155" s="321"/>
      <c r="R155" s="321" t="s">
        <v>14</v>
      </c>
      <c r="S155" s="322" t="str">
        <f t="shared" ca="1" si="0"/>
        <v>Not Calculated</v>
      </c>
      <c r="T155" s="322" t="str">
        <f t="shared" ca="1" si="1"/>
        <v>Not Calculated</v>
      </c>
      <c r="U155" s="322">
        <f t="shared" ca="1" si="2"/>
        <v>1.625</v>
      </c>
      <c r="V155" s="322">
        <f t="shared" ca="1" si="3"/>
        <v>1.0714285714285714</v>
      </c>
      <c r="W155" s="322" t="str">
        <f t="shared" ca="1" si="4"/>
        <v>Not Calculated</v>
      </c>
    </row>
    <row r="156" spans="17:41" s="303" customFormat="1" x14ac:dyDescent="0.2">
      <c r="Q156" s="321"/>
      <c r="R156" s="321" t="s">
        <v>3</v>
      </c>
      <c r="S156" s="322" t="str">
        <f t="shared" ca="1" si="0"/>
        <v>Not Calculated</v>
      </c>
      <c r="T156" s="322">
        <f t="shared" ca="1" si="1"/>
        <v>0</v>
      </c>
      <c r="U156" s="322">
        <f t="shared" ca="1" si="2"/>
        <v>1.5</v>
      </c>
      <c r="V156" s="322">
        <f t="shared" ca="1" si="3"/>
        <v>0</v>
      </c>
      <c r="W156" s="322">
        <f t="shared" ca="1" si="4"/>
        <v>0</v>
      </c>
    </row>
    <row r="157" spans="17:41" s="303" customFormat="1" x14ac:dyDescent="0.2">
      <c r="Q157" s="321"/>
      <c r="R157" s="321" t="s">
        <v>18</v>
      </c>
      <c r="S157" s="322" t="str">
        <f t="shared" ca="1" si="0"/>
        <v>Not Calculated</v>
      </c>
      <c r="T157" s="322" t="str">
        <f t="shared" ca="1" si="1"/>
        <v>Not Calculated</v>
      </c>
      <c r="U157" s="322">
        <f t="shared" ca="1" si="2"/>
        <v>1.6875</v>
      </c>
      <c r="V157" s="322">
        <f t="shared" ca="1" si="3"/>
        <v>0.7857142857142857</v>
      </c>
      <c r="W157" s="322" t="str">
        <f t="shared" ca="1" si="4"/>
        <v>Not Calculated</v>
      </c>
    </row>
    <row r="158" spans="17:41" s="303" customFormat="1" x14ac:dyDescent="0.2">
      <c r="Q158" s="321"/>
      <c r="R158" s="321" t="s">
        <v>382</v>
      </c>
      <c r="S158" s="322" t="str">
        <f t="shared" ca="1" si="0"/>
        <v>Not Calculated</v>
      </c>
      <c r="T158" s="322" t="str">
        <f t="shared" ca="1" si="1"/>
        <v>Not Calculated</v>
      </c>
      <c r="U158" s="322">
        <f t="shared" ca="1" si="2"/>
        <v>1.75</v>
      </c>
      <c r="V158" s="322">
        <f t="shared" ca="1" si="3"/>
        <v>0</v>
      </c>
      <c r="W158" s="322" t="str">
        <f t="shared" ca="1" si="4"/>
        <v>Not Calculated</v>
      </c>
    </row>
    <row r="159" spans="17:41" s="303" customFormat="1" x14ac:dyDescent="0.2">
      <c r="Q159" s="321"/>
      <c r="R159" s="321" t="s">
        <v>10</v>
      </c>
      <c r="S159" s="322" t="str">
        <f t="shared" ca="1" si="0"/>
        <v>Not Calculated</v>
      </c>
      <c r="T159" s="322" t="str">
        <f t="shared" ca="1" si="1"/>
        <v>Not Calculated</v>
      </c>
      <c r="U159" s="322">
        <f t="shared" ca="1" si="2"/>
        <v>1.5</v>
      </c>
      <c r="V159" s="322">
        <f t="shared" ca="1" si="3"/>
        <v>1</v>
      </c>
      <c r="W159" s="322" t="str">
        <f t="shared" ca="1" si="4"/>
        <v>Not Calculated</v>
      </c>
    </row>
    <row r="160" spans="17:41" s="303" customFormat="1" x14ac:dyDescent="0.2">
      <c r="Q160" s="321"/>
      <c r="R160" s="321" t="s">
        <v>11</v>
      </c>
      <c r="S160" s="322" t="str">
        <f t="shared" ca="1" si="0"/>
        <v>Not Calculated</v>
      </c>
      <c r="T160" s="322" t="str">
        <f t="shared" ca="1" si="1"/>
        <v>Not Calculated</v>
      </c>
      <c r="U160" s="322">
        <f t="shared" ca="1" si="2"/>
        <v>1.5</v>
      </c>
      <c r="V160" s="322">
        <f t="shared" ca="1" si="3"/>
        <v>0.2857142857142857</v>
      </c>
      <c r="W160" s="322" t="str">
        <f t="shared" ca="1" si="4"/>
        <v>Not Calculated</v>
      </c>
    </row>
    <row r="161" spans="17:23" s="303" customFormat="1" x14ac:dyDescent="0.2">
      <c r="Q161" s="321"/>
      <c r="R161" s="321" t="s">
        <v>4</v>
      </c>
      <c r="S161" s="322" t="str">
        <f t="shared" ca="1" si="0"/>
        <v>Not Calculated</v>
      </c>
      <c r="T161" s="322" t="str">
        <f t="shared" ca="1" si="1"/>
        <v>Not Calculated</v>
      </c>
      <c r="U161" s="322">
        <f t="shared" ca="1" si="2"/>
        <v>1.625</v>
      </c>
      <c r="V161" s="322">
        <f t="shared" ca="1" si="3"/>
        <v>1.6428571428571428</v>
      </c>
      <c r="W161" s="322" t="str">
        <f t="shared" ca="1" si="4"/>
        <v>Not Calculated</v>
      </c>
    </row>
    <row r="162" spans="17:23" s="303" customFormat="1" x14ac:dyDescent="0.2">
      <c r="Q162" s="321"/>
      <c r="R162" s="321" t="s">
        <v>20</v>
      </c>
      <c r="S162" s="322" t="str">
        <f t="shared" ca="1" si="0"/>
        <v>Not Calculated</v>
      </c>
      <c r="T162" s="322" t="str">
        <f t="shared" ca="1" si="1"/>
        <v>Not Calculated</v>
      </c>
      <c r="U162" s="322">
        <f t="shared" ca="1" si="2"/>
        <v>2.1875</v>
      </c>
      <c r="V162" s="322">
        <f t="shared" ca="1" si="3"/>
        <v>1.2857142857142858</v>
      </c>
      <c r="W162" s="322" t="str">
        <f t="shared" ca="1" si="4"/>
        <v>Not Calculated</v>
      </c>
    </row>
    <row r="163" spans="17:23" s="303" customFormat="1" x14ac:dyDescent="0.2">
      <c r="Q163" s="321"/>
      <c r="R163" s="321" t="s">
        <v>8</v>
      </c>
      <c r="S163" s="322" t="str">
        <f t="shared" ca="1" si="0"/>
        <v>Not Calculated</v>
      </c>
      <c r="T163" s="322" t="str">
        <f t="shared" ca="1" si="1"/>
        <v>Not Calculated</v>
      </c>
      <c r="U163" s="322">
        <f t="shared" ca="1" si="2"/>
        <v>1.75</v>
      </c>
      <c r="V163" s="322">
        <f t="shared" ca="1" si="3"/>
        <v>0.2857142857142857</v>
      </c>
      <c r="W163" s="322" t="str">
        <f t="shared" ca="1" si="4"/>
        <v>Not Calculated</v>
      </c>
    </row>
    <row r="164" spans="17:23" s="303" customFormat="1" x14ac:dyDescent="0.2">
      <c r="Q164" s="321"/>
      <c r="R164" s="321" t="s">
        <v>13</v>
      </c>
      <c r="S164" s="322" t="str">
        <f t="shared" ca="1" si="0"/>
        <v>Not Calculated</v>
      </c>
      <c r="T164" s="322" t="str">
        <f t="shared" ca="1" si="1"/>
        <v>Not Calculated</v>
      </c>
      <c r="U164" s="322">
        <f t="shared" ca="1" si="2"/>
        <v>2</v>
      </c>
      <c r="V164" s="322">
        <f t="shared" ca="1" si="3"/>
        <v>0.5714285714285714</v>
      </c>
      <c r="W164" s="322" t="str">
        <f t="shared" ca="1" si="4"/>
        <v>Not Calculated</v>
      </c>
    </row>
    <row r="165" spans="17:23" s="303" customFormat="1" x14ac:dyDescent="0.2">
      <c r="Q165" s="321"/>
      <c r="R165" s="321" t="s">
        <v>9</v>
      </c>
      <c r="S165" s="322" t="str">
        <f t="shared" ca="1" si="0"/>
        <v>Not Calculated</v>
      </c>
      <c r="T165" s="322" t="str">
        <f t="shared" ca="1" si="1"/>
        <v>Not Calculated</v>
      </c>
      <c r="U165" s="322">
        <f t="shared" ca="1" si="2"/>
        <v>2</v>
      </c>
      <c r="V165" s="322">
        <f t="shared" ca="1" si="3"/>
        <v>1.6428571428571428</v>
      </c>
      <c r="W165" s="322" t="str">
        <f t="shared" ca="1" si="4"/>
        <v>Not Calculated</v>
      </c>
    </row>
    <row r="166" spans="17:23" s="303" customFormat="1" x14ac:dyDescent="0.2">
      <c r="Q166" s="321"/>
      <c r="R166" s="321" t="s">
        <v>19</v>
      </c>
      <c r="S166" s="322" t="str">
        <f t="shared" ca="1" si="0"/>
        <v>Not Calculated</v>
      </c>
      <c r="T166" s="322" t="str">
        <f t="shared" ca="1" si="1"/>
        <v>Not Calculated</v>
      </c>
      <c r="U166" s="322">
        <f t="shared" ca="1" si="2"/>
        <v>1.6875</v>
      </c>
      <c r="V166" s="322">
        <f t="shared" ca="1" si="3"/>
        <v>1.7142857142857142</v>
      </c>
      <c r="W166" s="322" t="str">
        <f t="shared" ca="1" si="4"/>
        <v>Not Calculated</v>
      </c>
    </row>
    <row r="167" spans="17:23" s="303" customFormat="1" x14ac:dyDescent="0.2">
      <c r="Q167" s="321"/>
      <c r="R167" s="321" t="s">
        <v>6</v>
      </c>
      <c r="S167" s="322" t="str">
        <f t="shared" ca="1" si="0"/>
        <v>Not Calculated</v>
      </c>
      <c r="T167" s="322" t="str">
        <f t="shared" ca="1" si="1"/>
        <v>Not Calculated</v>
      </c>
      <c r="U167" s="322">
        <f t="shared" ca="1" si="2"/>
        <v>1.75</v>
      </c>
      <c r="V167" s="322">
        <f t="shared" ca="1" si="3"/>
        <v>0.7142857142857143</v>
      </c>
      <c r="W167" s="322" t="str">
        <f t="shared" ca="1" si="4"/>
        <v>Not Calculated</v>
      </c>
    </row>
    <row r="168" spans="17:23" s="303" customFormat="1" x14ac:dyDescent="0.2">
      <c r="Q168" s="321"/>
      <c r="R168" s="321" t="s">
        <v>7</v>
      </c>
      <c r="S168" s="322" t="str">
        <f t="shared" ca="1" si="0"/>
        <v>Not Calculated</v>
      </c>
      <c r="T168" s="322" t="str">
        <f t="shared" ca="1" si="1"/>
        <v>Not Calculated</v>
      </c>
      <c r="U168" s="322">
        <f t="shared" ca="1" si="2"/>
        <v>2.5</v>
      </c>
      <c r="V168" s="322">
        <f t="shared" ca="1" si="3"/>
        <v>2.6428571428571428</v>
      </c>
      <c r="W168" s="322" t="str">
        <f t="shared" ca="1" si="4"/>
        <v>Not Calculated</v>
      </c>
    </row>
    <row r="169" spans="17:23" s="303" customFormat="1" x14ac:dyDescent="0.2">
      <c r="Q169" s="321"/>
      <c r="R169" s="321" t="s">
        <v>12</v>
      </c>
      <c r="S169" s="322" t="str">
        <f t="shared" ca="1" si="0"/>
        <v>Not Calculated</v>
      </c>
      <c r="T169" s="322" t="str">
        <f t="shared" ca="1" si="1"/>
        <v>Not Calculated</v>
      </c>
      <c r="U169" s="322">
        <f t="shared" ca="1" si="2"/>
        <v>2.1875</v>
      </c>
      <c r="V169" s="322">
        <f t="shared" ca="1" si="3"/>
        <v>1.9285714285714286</v>
      </c>
      <c r="W169" s="322" t="str">
        <f t="shared" ca="1" si="4"/>
        <v>Not Calculated</v>
      </c>
    </row>
    <row r="170" spans="17:23" s="303" customFormat="1" x14ac:dyDescent="0.2">
      <c r="Q170" s="321"/>
      <c r="R170" s="321" t="s">
        <v>1039</v>
      </c>
      <c r="S170" s="322" t="str">
        <f t="shared" ca="1" si="0"/>
        <v>Not Calculated</v>
      </c>
      <c r="T170" s="322" t="str">
        <f t="shared" ca="1" si="1"/>
        <v>Not Calculated</v>
      </c>
      <c r="U170" s="322">
        <f t="shared" ca="1" si="2"/>
        <v>1.5</v>
      </c>
      <c r="V170" s="322">
        <f t="shared" ca="1" si="3"/>
        <v>0</v>
      </c>
      <c r="W170" s="322" t="str">
        <f t="shared" ca="1" si="4"/>
        <v>Not Calculated</v>
      </c>
    </row>
    <row r="171" spans="17:23" s="303" customFormat="1" x14ac:dyDescent="0.2">
      <c r="Q171" s="321"/>
      <c r="R171" s="321" t="s">
        <v>5</v>
      </c>
      <c r="S171" s="322" t="str">
        <f t="shared" ca="1" si="0"/>
        <v>Not Calculated</v>
      </c>
      <c r="T171" s="322" t="str">
        <f t="shared" ca="1" si="1"/>
        <v>Not Calculated</v>
      </c>
      <c r="U171" s="322">
        <f t="shared" ca="1" si="2"/>
        <v>1.5</v>
      </c>
      <c r="V171" s="322">
        <f t="shared" ca="1" si="3"/>
        <v>1.2142857142857142</v>
      </c>
      <c r="W171" s="322" t="str">
        <f t="shared" ca="1" si="4"/>
        <v>Not Calculated</v>
      </c>
    </row>
    <row r="172" spans="17:23" s="303" customFormat="1" hidden="1" x14ac:dyDescent="0.2">
      <c r="Q172" s="321" t="s">
        <v>1044</v>
      </c>
      <c r="R172" s="321" t="str">
        <f ca="1">IF(INDIRECT("'"&amp;$Q172&amp;"'!$G$3")=0,"",INDIRECT("'"&amp;$Q172&amp;"'!$G$3"))</f>
        <v/>
      </c>
      <c r="S172" s="322" t="str">
        <f ca="1">IF(INDIRECT("'"&amp;$Q172&amp;"'!$G$3")=0,"N/A",INDIRECT("'"&amp;$Q172&amp;"'!$J$133"))</f>
        <v>N/A</v>
      </c>
      <c r="T172" s="322" t="str">
        <f t="shared" ref="T172:T181" ca="1" si="5">IF(INDIRECT("'"&amp;$Q172&amp;"'!$G$3")=0,"N/A",INDIRECT("'"&amp;$Q172&amp;"'!$J$261"))</f>
        <v>N/A</v>
      </c>
      <c r="U172" s="322" t="str">
        <f t="shared" ref="U172:U181" ca="1" si="6">IF(INDIRECT("'"&amp;$Q172&amp;"'!$G$3")=0,"N/A",INDIRECT("'"&amp;$Q172&amp;"'!$J$421"))</f>
        <v>N/A</v>
      </c>
      <c r="V172" s="322" t="str">
        <f t="shared" ref="V172:V181" ca="1" si="7">IF(INDIRECT("'"&amp;$Q172&amp;"'!$G$3")=0,"N/A",INDIRECT("'"&amp;$Q172&amp;"'!$J$539"))</f>
        <v>N/A</v>
      </c>
      <c r="W172" s="322" t="str">
        <f t="shared" ref="W172:W181" ca="1" si="8">IF(INDIRECT("'"&amp;$Q172&amp;"'!$G$3")=0,"N/A",INDIRECT("'"&amp;$Q172&amp;"'!$J$681"))</f>
        <v>N/A</v>
      </c>
    </row>
    <row r="173" spans="17:23" s="303" customFormat="1" hidden="1" x14ac:dyDescent="0.2">
      <c r="Q173" s="321" t="s">
        <v>1045</v>
      </c>
      <c r="R173" s="321" t="str">
        <f ca="1">IF(INDIRECT("'"&amp;$Q173&amp;"'!$G$3")=0,"",INDIRECT("'"&amp;$Q173&amp;"'!$G$3"))</f>
        <v/>
      </c>
      <c r="S173" s="322" t="str">
        <f t="shared" ref="S173:S181" ca="1" si="9">IF(INDIRECT("'"&amp;$Q173&amp;"'!$G$3")=0,"N/A",INDIRECT("'"&amp;$Q173&amp;"'!$J$133"))</f>
        <v>N/A</v>
      </c>
      <c r="T173" s="322" t="str">
        <f t="shared" ca="1" si="5"/>
        <v>N/A</v>
      </c>
      <c r="U173" s="322" t="str">
        <f t="shared" ca="1" si="6"/>
        <v>N/A</v>
      </c>
      <c r="V173" s="322" t="str">
        <f t="shared" ca="1" si="7"/>
        <v>N/A</v>
      </c>
      <c r="W173" s="322" t="str">
        <f t="shared" ca="1" si="8"/>
        <v>N/A</v>
      </c>
    </row>
    <row r="174" spans="17:23" s="303" customFormat="1" hidden="1" x14ac:dyDescent="0.2">
      <c r="Q174" s="321" t="s">
        <v>1046</v>
      </c>
      <c r="R174" s="321" t="str">
        <f t="shared" ref="R174:R181" ca="1" si="10">IF(INDIRECT("'"&amp;$Q174&amp;"'!$G$3")=0,"",INDIRECT("'"&amp;$Q174&amp;"'!$G$3"))</f>
        <v/>
      </c>
      <c r="S174" s="322" t="str">
        <f t="shared" ca="1" si="9"/>
        <v>N/A</v>
      </c>
      <c r="T174" s="322" t="str">
        <f t="shared" ca="1" si="5"/>
        <v>N/A</v>
      </c>
      <c r="U174" s="322" t="str">
        <f t="shared" ca="1" si="6"/>
        <v>N/A</v>
      </c>
      <c r="V174" s="322" t="str">
        <f t="shared" ca="1" si="7"/>
        <v>N/A</v>
      </c>
      <c r="W174" s="322" t="str">
        <f t="shared" ca="1" si="8"/>
        <v>N/A</v>
      </c>
    </row>
    <row r="175" spans="17:23" s="303" customFormat="1" hidden="1" x14ac:dyDescent="0.2">
      <c r="Q175" s="321" t="s">
        <v>1047</v>
      </c>
      <c r="R175" s="321" t="str">
        <f t="shared" ca="1" si="10"/>
        <v/>
      </c>
      <c r="S175" s="322" t="str">
        <f t="shared" ca="1" si="9"/>
        <v>N/A</v>
      </c>
      <c r="T175" s="322" t="str">
        <f t="shared" ca="1" si="5"/>
        <v>N/A</v>
      </c>
      <c r="U175" s="322" t="str">
        <f t="shared" ca="1" si="6"/>
        <v>N/A</v>
      </c>
      <c r="V175" s="322" t="str">
        <f t="shared" ca="1" si="7"/>
        <v>N/A</v>
      </c>
      <c r="W175" s="322" t="str">
        <f t="shared" ca="1" si="8"/>
        <v>N/A</v>
      </c>
    </row>
    <row r="176" spans="17:23" s="303" customFormat="1" hidden="1" x14ac:dyDescent="0.2">
      <c r="Q176" s="321" t="s">
        <v>1048</v>
      </c>
      <c r="R176" s="321" t="str">
        <f t="shared" ca="1" si="10"/>
        <v/>
      </c>
      <c r="S176" s="322" t="str">
        <f t="shared" ca="1" si="9"/>
        <v>N/A</v>
      </c>
      <c r="T176" s="322" t="str">
        <f t="shared" ca="1" si="5"/>
        <v>N/A</v>
      </c>
      <c r="U176" s="322" t="str">
        <f t="shared" ca="1" si="6"/>
        <v>N/A</v>
      </c>
      <c r="V176" s="322" t="str">
        <f t="shared" ca="1" si="7"/>
        <v>N/A</v>
      </c>
      <c r="W176" s="322" t="str">
        <f t="shared" ca="1" si="8"/>
        <v>N/A</v>
      </c>
    </row>
    <row r="177" spans="3:23" s="303" customFormat="1" hidden="1" x14ac:dyDescent="0.2">
      <c r="Q177" s="321" t="s">
        <v>1049</v>
      </c>
      <c r="R177" s="321" t="str">
        <f t="shared" ca="1" si="10"/>
        <v/>
      </c>
      <c r="S177" s="322" t="str">
        <f t="shared" ca="1" si="9"/>
        <v>N/A</v>
      </c>
      <c r="T177" s="322" t="str">
        <f t="shared" ca="1" si="5"/>
        <v>N/A</v>
      </c>
      <c r="U177" s="322" t="str">
        <f t="shared" ca="1" si="6"/>
        <v>N/A</v>
      </c>
      <c r="V177" s="322" t="str">
        <f t="shared" ca="1" si="7"/>
        <v>N/A</v>
      </c>
      <c r="W177" s="322" t="str">
        <f t="shared" ca="1" si="8"/>
        <v>N/A</v>
      </c>
    </row>
    <row r="178" spans="3:23" s="303" customFormat="1" hidden="1" x14ac:dyDescent="0.2">
      <c r="Q178" s="321" t="s">
        <v>1050</v>
      </c>
      <c r="R178" s="321" t="str">
        <f t="shared" ca="1" si="10"/>
        <v/>
      </c>
      <c r="S178" s="322" t="str">
        <f t="shared" ca="1" si="9"/>
        <v>N/A</v>
      </c>
      <c r="T178" s="322" t="str">
        <f t="shared" ca="1" si="5"/>
        <v>N/A</v>
      </c>
      <c r="U178" s="322" t="str">
        <f t="shared" ca="1" si="6"/>
        <v>N/A</v>
      </c>
      <c r="V178" s="322" t="str">
        <f t="shared" ca="1" si="7"/>
        <v>N/A</v>
      </c>
      <c r="W178" s="322" t="str">
        <f t="shared" ca="1" si="8"/>
        <v>N/A</v>
      </c>
    </row>
    <row r="179" spans="3:23" s="303" customFormat="1" hidden="1" x14ac:dyDescent="0.2">
      <c r="Q179" s="321" t="s">
        <v>1051</v>
      </c>
      <c r="R179" s="321" t="str">
        <f t="shared" ca="1" si="10"/>
        <v/>
      </c>
      <c r="S179" s="322" t="str">
        <f t="shared" ca="1" si="9"/>
        <v>N/A</v>
      </c>
      <c r="T179" s="322" t="str">
        <f t="shared" ca="1" si="5"/>
        <v>N/A</v>
      </c>
      <c r="U179" s="322" t="str">
        <f t="shared" ca="1" si="6"/>
        <v>N/A</v>
      </c>
      <c r="V179" s="322" t="str">
        <f t="shared" ca="1" si="7"/>
        <v>N/A</v>
      </c>
      <c r="W179" s="322" t="str">
        <f t="shared" ca="1" si="8"/>
        <v>N/A</v>
      </c>
    </row>
    <row r="180" spans="3:23" s="303" customFormat="1" hidden="1" x14ac:dyDescent="0.2">
      <c r="Q180" s="321" t="s">
        <v>1052</v>
      </c>
      <c r="R180" s="321" t="str">
        <f t="shared" ca="1" si="10"/>
        <v/>
      </c>
      <c r="S180" s="322" t="str">
        <f t="shared" ca="1" si="9"/>
        <v>N/A</v>
      </c>
      <c r="T180" s="322" t="str">
        <f t="shared" ca="1" si="5"/>
        <v>N/A</v>
      </c>
      <c r="U180" s="322" t="str">
        <f t="shared" ca="1" si="6"/>
        <v>N/A</v>
      </c>
      <c r="V180" s="322" t="str">
        <f t="shared" ca="1" si="7"/>
        <v>N/A</v>
      </c>
      <c r="W180" s="322" t="str">
        <f t="shared" ca="1" si="8"/>
        <v>N/A</v>
      </c>
    </row>
    <row r="181" spans="3:23" s="303" customFormat="1" hidden="1" x14ac:dyDescent="0.2">
      <c r="Q181" s="321" t="s">
        <v>1053</v>
      </c>
      <c r="R181" s="321" t="str">
        <f t="shared" ca="1" si="10"/>
        <v/>
      </c>
      <c r="S181" s="322" t="str">
        <f t="shared" ca="1" si="9"/>
        <v>N/A</v>
      </c>
      <c r="T181" s="322" t="str">
        <f t="shared" ca="1" si="5"/>
        <v>N/A</v>
      </c>
      <c r="U181" s="322" t="str">
        <f t="shared" ca="1" si="6"/>
        <v>N/A</v>
      </c>
      <c r="V181" s="322" t="str">
        <f t="shared" ca="1" si="7"/>
        <v>N/A</v>
      </c>
      <c r="W181" s="322" t="str">
        <f t="shared" ca="1" si="8"/>
        <v>N/A</v>
      </c>
    </row>
    <row r="182" spans="3:23" x14ac:dyDescent="0.2">
      <c r="C182" s="106"/>
      <c r="D182" s="106"/>
      <c r="E182" s="106"/>
      <c r="F182" s="106"/>
      <c r="G182" s="106"/>
      <c r="H182" s="106"/>
      <c r="I182" s="106"/>
      <c r="J182" s="106"/>
      <c r="K182" s="106"/>
    </row>
  </sheetData>
  <sheetProtection sheet="1" objects="1" formatCells="0" formatRows="0" selectLockedCells="1" selectUnlockedCells="1"/>
  <pageMargins left="0.7" right="0.7" top="0.75" bottom="0.75" header="0.3" footer="0.3"/>
  <pageSetup scale="70" orientation="portrait" r:id="rId1"/>
  <rowBreaks count="2" manualBreakCount="2">
    <brk id="62" max="13" man="1"/>
    <brk id="120" max="13" man="1"/>
  </rowBreaks>
  <colBreaks count="1" manualBreakCount="1">
    <brk id="14" max="1048575" man="1"/>
  </col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7"/>
  <dimension ref="B1:M111"/>
  <sheetViews>
    <sheetView showGridLines="0" showRowColHeaders="0" zoomScaleNormal="100" workbookViewId="0"/>
  </sheetViews>
  <sheetFormatPr baseColWidth="10" defaultColWidth="9.1640625" defaultRowHeight="15" x14ac:dyDescent="0.2"/>
  <cols>
    <col min="1" max="16384" width="9.1640625" style="12"/>
  </cols>
  <sheetData>
    <row r="1" spans="2:13" x14ac:dyDescent="0.2">
      <c r="G1" s="29"/>
      <c r="H1" s="29"/>
    </row>
    <row r="2" spans="2:13" ht="33" x14ac:dyDescent="0.2">
      <c r="F2" s="16" t="s">
        <v>1038</v>
      </c>
      <c r="G2" s="29"/>
      <c r="H2" s="29"/>
    </row>
    <row r="3" spans="2:13" ht="23" x14ac:dyDescent="0.25">
      <c r="F3" s="30" t="s">
        <v>384</v>
      </c>
      <c r="G3" s="29"/>
      <c r="H3" s="29"/>
      <c r="L3" s="31"/>
      <c r="M3" s="31"/>
    </row>
    <row r="4" spans="2:13" ht="16" thickBot="1" x14ac:dyDescent="0.25"/>
    <row r="5" spans="2:13" x14ac:dyDescent="0.2">
      <c r="B5" s="107"/>
      <c r="C5" s="108"/>
      <c r="D5" s="108"/>
      <c r="E5" s="108"/>
      <c r="F5" s="108"/>
      <c r="G5" s="108"/>
      <c r="H5" s="109"/>
      <c r="I5" s="109"/>
      <c r="J5" s="110"/>
    </row>
    <row r="6" spans="2:13" ht="18" x14ac:dyDescent="0.2">
      <c r="B6" s="111"/>
      <c r="C6" s="1"/>
      <c r="D6" s="1"/>
      <c r="E6" s="1"/>
      <c r="F6" s="230" t="s">
        <v>384</v>
      </c>
      <c r="G6" s="1"/>
      <c r="H6" s="229"/>
      <c r="I6" s="229"/>
      <c r="J6" s="112"/>
    </row>
    <row r="7" spans="2:13" x14ac:dyDescent="0.2">
      <c r="B7" s="111"/>
      <c r="C7" s="1"/>
      <c r="D7" s="1"/>
      <c r="E7" s="1"/>
      <c r="F7" s="1"/>
      <c r="G7" s="1"/>
      <c r="H7" s="229"/>
      <c r="I7" s="229"/>
      <c r="J7" s="112"/>
    </row>
    <row r="8" spans="2:13" ht="16" x14ac:dyDescent="0.2">
      <c r="B8" s="111"/>
      <c r="C8" s="13" t="s">
        <v>395</v>
      </c>
      <c r="D8" s="1"/>
      <c r="E8" s="1"/>
      <c r="F8" s="1"/>
      <c r="G8" s="13" t="s">
        <v>396</v>
      </c>
      <c r="H8" s="1"/>
      <c r="I8" s="1"/>
      <c r="J8" s="112"/>
    </row>
    <row r="9" spans="2:13" x14ac:dyDescent="0.2">
      <c r="B9" s="111"/>
      <c r="C9" s="134" t="str">
        <f>'Summary of Scores'!B9</f>
        <v>Bio Terrorism</v>
      </c>
      <c r="D9" s="134"/>
      <c r="E9" s="134"/>
      <c r="F9" s="134"/>
      <c r="G9" s="134"/>
      <c r="H9" s="135" t="str">
        <f ca="1">IF('Summary of Scores'!V9="N/A","",'Summary of Scores'!V9)</f>
        <v>Not Calculated</v>
      </c>
      <c r="I9" s="1"/>
      <c r="J9" s="112"/>
    </row>
    <row r="10" spans="2:13" x14ac:dyDescent="0.2">
      <c r="B10" s="111"/>
      <c r="C10" s="134" t="str">
        <f ca="1">'Summary of Scores'!B29</f>
        <v/>
      </c>
      <c r="D10" s="134"/>
      <c r="E10" s="134"/>
      <c r="F10" s="134"/>
      <c r="G10" s="134"/>
      <c r="H10" s="135" t="str">
        <f ca="1">IF('Summary of Scores'!V29="N/A","",'Summary of Scores'!V29)</f>
        <v/>
      </c>
      <c r="I10" s="1"/>
      <c r="J10" s="112"/>
    </row>
    <row r="11" spans="2:13" x14ac:dyDescent="0.2">
      <c r="B11" s="111"/>
      <c r="C11" s="134" t="str">
        <f ca="1">'Summary of Scores'!B31</f>
        <v/>
      </c>
      <c r="D11" s="134"/>
      <c r="E11" s="134"/>
      <c r="F11" s="134"/>
      <c r="G11" s="134"/>
      <c r="H11" s="135" t="str">
        <f ca="1">IF('Summary of Scores'!V31="N/A","",'Summary of Scores'!V31)</f>
        <v/>
      </c>
      <c r="I11" s="1"/>
      <c r="J11" s="112"/>
    </row>
    <row r="12" spans="2:13" x14ac:dyDescent="0.2">
      <c r="B12" s="111"/>
      <c r="C12" s="134" t="str">
        <f ca="1">'Summary of Scores'!B33</f>
        <v/>
      </c>
      <c r="D12" s="134"/>
      <c r="E12" s="134"/>
      <c r="F12" s="134"/>
      <c r="G12" s="134"/>
      <c r="H12" s="135" t="str">
        <f ca="1">IF('Summary of Scores'!V33="N/A","",'Summary of Scores'!V33)</f>
        <v/>
      </c>
      <c r="I12" s="1"/>
      <c r="J12" s="112"/>
    </row>
    <row r="13" spans="2:13" x14ac:dyDescent="0.2">
      <c r="B13" s="111"/>
      <c r="C13" s="134" t="str">
        <f ca="1">'Summary of Scores'!B36</f>
        <v/>
      </c>
      <c r="D13" s="134"/>
      <c r="E13" s="134"/>
      <c r="F13" s="134"/>
      <c r="G13" s="134"/>
      <c r="H13" s="135" t="str">
        <f ca="1">IF('Summary of Scores'!V36="N/A","",'Summary of Scores'!V36)</f>
        <v/>
      </c>
      <c r="I13" s="1"/>
      <c r="J13" s="112"/>
    </row>
    <row r="14" spans="2:13" x14ac:dyDescent="0.2">
      <c r="B14" s="111"/>
      <c r="C14" s="134" t="str">
        <f ca="1">'Summary of Scores'!B35</f>
        <v/>
      </c>
      <c r="D14" s="134"/>
      <c r="E14" s="134"/>
      <c r="F14" s="134"/>
      <c r="G14" s="134"/>
      <c r="H14" s="135" t="str">
        <f ca="1">IF('Summary of Scores'!V35="N/A","",'Summary of Scores'!V35)</f>
        <v/>
      </c>
      <c r="I14" s="1"/>
      <c r="J14" s="112"/>
    </row>
    <row r="15" spans="2:13" x14ac:dyDescent="0.2">
      <c r="B15" s="111"/>
      <c r="C15" s="134" t="str">
        <f ca="1">'Summary of Scores'!B30</f>
        <v/>
      </c>
      <c r="D15" s="134"/>
      <c r="E15" s="134"/>
      <c r="F15" s="134"/>
      <c r="G15" s="134"/>
      <c r="H15" s="135" t="str">
        <f ca="1">IF('Summary of Scores'!V30="N/A","",'Summary of Scores'!V30)</f>
        <v/>
      </c>
      <c r="I15" s="1"/>
      <c r="J15" s="112"/>
    </row>
    <row r="16" spans="2:13" x14ac:dyDescent="0.2">
      <c r="B16" s="111"/>
      <c r="C16" s="134" t="str">
        <f ca="1">'Summary of Scores'!B34</f>
        <v/>
      </c>
      <c r="D16" s="134"/>
      <c r="E16" s="134"/>
      <c r="F16" s="134"/>
      <c r="G16" s="134"/>
      <c r="H16" s="135" t="str">
        <f ca="1">IF('Summary of Scores'!V34="N/A","",'Summary of Scores'!V34)</f>
        <v/>
      </c>
      <c r="I16" s="1"/>
      <c r="J16" s="112"/>
    </row>
    <row r="17" spans="2:10" x14ac:dyDescent="0.2">
      <c r="B17" s="111"/>
      <c r="C17" s="134" t="str">
        <f ca="1">'Summary of Scores'!B37</f>
        <v/>
      </c>
      <c r="D17" s="134"/>
      <c r="E17" s="134"/>
      <c r="F17" s="134"/>
      <c r="G17" s="134"/>
      <c r="H17" s="135" t="str">
        <f ca="1">IF('Summary of Scores'!V37="N/A","",'Summary of Scores'!V37)</f>
        <v/>
      </c>
      <c r="I17" s="1"/>
      <c r="J17" s="112"/>
    </row>
    <row r="18" spans="2:10" x14ac:dyDescent="0.2">
      <c r="B18" s="111"/>
      <c r="C18" s="134" t="str">
        <f ca="1">'Summary of Scores'!B28</f>
        <v/>
      </c>
      <c r="D18" s="134"/>
      <c r="E18" s="134"/>
      <c r="F18" s="134"/>
      <c r="G18" s="134"/>
      <c r="H18" s="135" t="str">
        <f ca="1">IF('Summary of Scores'!V28="N/A","",'Summary of Scores'!V28)</f>
        <v/>
      </c>
      <c r="I18" s="1"/>
      <c r="J18" s="112"/>
    </row>
    <row r="19" spans="2:10" x14ac:dyDescent="0.2">
      <c r="B19" s="111"/>
      <c r="C19" s="134" t="str">
        <f ca="1">'Summary of Scores'!B32</f>
        <v/>
      </c>
      <c r="D19" s="134"/>
      <c r="E19" s="134"/>
      <c r="F19" s="134"/>
      <c r="G19" s="134"/>
      <c r="H19" s="135" t="str">
        <f ca="1">IF('Summary of Scores'!V32="N/A","",'Summary of Scores'!V32)</f>
        <v/>
      </c>
      <c r="I19" s="1"/>
      <c r="J19" s="112"/>
    </row>
    <row r="20" spans="2:10" x14ac:dyDescent="0.2">
      <c r="B20" s="111"/>
      <c r="C20" s="134" t="str">
        <f>'Summary of Scores'!B21</f>
        <v>Pandemic</v>
      </c>
      <c r="D20" s="134"/>
      <c r="E20" s="134"/>
      <c r="F20" s="134"/>
      <c r="G20" s="134"/>
      <c r="H20" s="135" t="str">
        <f ca="1">IF('Summary of Scores'!V21="N/A","",'Summary of Scores'!V21)</f>
        <v>Not Calculated</v>
      </c>
      <c r="I20" s="1"/>
      <c r="J20" s="112"/>
    </row>
    <row r="21" spans="2:10" x14ac:dyDescent="0.2">
      <c r="B21" s="111"/>
      <c r="C21" s="134" t="str">
        <f>'Summary of Scores'!B25</f>
        <v>Utility Interr</v>
      </c>
      <c r="D21" s="134"/>
      <c r="E21" s="134"/>
      <c r="F21" s="134"/>
      <c r="G21" s="134"/>
      <c r="H21" s="135" t="str">
        <f ca="1">IF('Summary of Scores'!V25="N/A","",'Summary of Scores'!V25)</f>
        <v>Not Calculated</v>
      </c>
      <c r="I21" s="1"/>
      <c r="J21" s="112"/>
    </row>
    <row r="22" spans="2:10" x14ac:dyDescent="0.2">
      <c r="B22" s="111"/>
      <c r="C22" s="134" t="str">
        <f>'Summary of Scores'!B24</f>
        <v>Tornado</v>
      </c>
      <c r="D22" s="134"/>
      <c r="E22" s="134"/>
      <c r="F22" s="134"/>
      <c r="G22" s="134"/>
      <c r="H22" s="135" t="str">
        <f ca="1">IF('Summary of Scores'!V24="N/A","",'Summary of Scores'!V24)</f>
        <v>Not Calculated</v>
      </c>
      <c r="I22" s="1"/>
      <c r="J22" s="112"/>
    </row>
    <row r="23" spans="2:10" x14ac:dyDescent="0.2">
      <c r="B23" s="111"/>
      <c r="C23" s="134" t="str">
        <f>'Summary of Scores'!B17</f>
        <v>Flood</v>
      </c>
      <c r="D23" s="134"/>
      <c r="E23" s="134"/>
      <c r="F23" s="134"/>
      <c r="G23" s="134"/>
      <c r="H23" s="135" t="str">
        <f ca="1">IF('Summary of Scores'!V17="N/A","",'Summary of Scores'!V17)</f>
        <v>Not Calculated</v>
      </c>
      <c r="I23" s="1"/>
      <c r="J23" s="112"/>
    </row>
    <row r="24" spans="2:10" x14ac:dyDescent="0.2">
      <c r="B24" s="111"/>
      <c r="C24" s="134" t="str">
        <f>'Summary of Scores'!B19</f>
        <v>Localized ID</v>
      </c>
      <c r="D24" s="134"/>
      <c r="E24" s="134"/>
      <c r="F24" s="134"/>
      <c r="G24" s="134"/>
      <c r="H24" s="135" t="str">
        <f ca="1">IF('Summary of Scores'!V19="N/A","",'Summary of Scores'!V19)</f>
        <v>Not Calculated</v>
      </c>
      <c r="I24" s="1"/>
      <c r="J24" s="112"/>
    </row>
    <row r="25" spans="2:10" x14ac:dyDescent="0.2">
      <c r="B25" s="111"/>
      <c r="C25" s="134" t="str">
        <f>'Summary of Scores'!B18</f>
        <v>HazMat Release</v>
      </c>
      <c r="D25" s="134"/>
      <c r="E25" s="134"/>
      <c r="F25" s="134"/>
      <c r="G25" s="134"/>
      <c r="H25" s="135" t="str">
        <f ca="1">IF('Summary of Scores'!V18="N/A","",'Summary of Scores'!V18)</f>
        <v>Not Calculated</v>
      </c>
      <c r="I25" s="1"/>
      <c r="J25" s="112"/>
    </row>
    <row r="26" spans="2:10" x14ac:dyDescent="0.2">
      <c r="B26" s="111"/>
      <c r="C26" s="134" t="str">
        <f>'Summary of Scores'!B13</f>
        <v>Conv Explosive</v>
      </c>
      <c r="D26" s="134"/>
      <c r="E26" s="134"/>
      <c r="F26" s="134"/>
      <c r="G26" s="134"/>
      <c r="H26" s="135" t="str">
        <f ca="1">IF('Summary of Scores'!V13="N/A","",'Summary of Scores'!V13)</f>
        <v>Not Calculated</v>
      </c>
      <c r="I26" s="1"/>
      <c r="J26" s="112"/>
    </row>
    <row r="27" spans="2:10" x14ac:dyDescent="0.2">
      <c r="B27" s="111"/>
      <c r="C27" s="134" t="str">
        <f>'Summary of Scores'!B27</f>
        <v>Winter Storm</v>
      </c>
      <c r="D27" s="134"/>
      <c r="E27" s="134"/>
      <c r="F27" s="134"/>
      <c r="G27" s="134"/>
      <c r="H27" s="135" t="str">
        <f ca="1">IF('Summary of Scores'!V27="N/A","",'Summary of Scores'!V27)</f>
        <v>Not Calculated</v>
      </c>
      <c r="I27" s="1"/>
      <c r="J27" s="112"/>
    </row>
    <row r="28" spans="2:10" x14ac:dyDescent="0.2">
      <c r="B28" s="111"/>
      <c r="C28" s="134" t="str">
        <f>'Summary of Scores'!B22</f>
        <v>RDD</v>
      </c>
      <c r="D28" s="134"/>
      <c r="E28" s="134"/>
      <c r="F28" s="134"/>
      <c r="G28" s="134"/>
      <c r="H28" s="135" t="str">
        <f ca="1">IF('Summary of Scores'!V22="N/A","",'Summary of Scores'!V22)</f>
        <v>Not Calculated</v>
      </c>
      <c r="I28" s="1"/>
      <c r="J28" s="112"/>
    </row>
    <row r="29" spans="2:10" x14ac:dyDescent="0.2">
      <c r="B29" s="111"/>
      <c r="C29" s="134" t="str">
        <f>'Summary of Scores'!B23</f>
        <v>Temp Extremes</v>
      </c>
      <c r="D29" s="134"/>
      <c r="E29" s="134"/>
      <c r="F29" s="134"/>
      <c r="G29" s="134"/>
      <c r="H29" s="135" t="str">
        <f ca="1">IF('Summary of Scores'!V23="N/A","",'Summary of Scores'!V23)</f>
        <v>Not Calculated</v>
      </c>
      <c r="I29" s="1"/>
      <c r="J29" s="112"/>
    </row>
    <row r="30" spans="2:10" x14ac:dyDescent="0.2">
      <c r="B30" s="111"/>
      <c r="C30" s="134" t="str">
        <f>'Summary of Scores'!B11</f>
        <v>Civil Disturbance</v>
      </c>
      <c r="D30" s="134"/>
      <c r="E30" s="134"/>
      <c r="F30" s="134"/>
      <c r="G30" s="134"/>
      <c r="H30" s="135" t="str">
        <f ca="1">IF('Summary of Scores'!V11="N/A","",'Summary of Scores'!V11)</f>
        <v>Not Calculated</v>
      </c>
      <c r="I30" s="1"/>
      <c r="J30" s="112"/>
    </row>
    <row r="31" spans="2:10" x14ac:dyDescent="0.2">
      <c r="B31" s="111"/>
      <c r="C31" s="134" t="str">
        <f>'Summary of Scores'!B10</f>
        <v>Chem Terrorism</v>
      </c>
      <c r="D31" s="134"/>
      <c r="E31" s="134"/>
      <c r="F31" s="134"/>
      <c r="G31" s="134"/>
      <c r="H31" s="135" t="str">
        <f ca="1">IF('Summary of Scores'!V10="N/A","",'Summary of Scores'!V10)</f>
        <v>Not Calculated</v>
      </c>
      <c r="I31" s="1"/>
      <c r="J31" s="112"/>
    </row>
    <row r="32" spans="2:10" x14ac:dyDescent="0.2">
      <c r="B32" s="111"/>
      <c r="C32" s="134" t="str">
        <f>'Summary of Scores'!B15</f>
        <v>Drought</v>
      </c>
      <c r="D32" s="134"/>
      <c r="E32" s="134"/>
      <c r="F32" s="134"/>
      <c r="G32" s="134"/>
      <c r="H32" s="135" t="str">
        <f ca="1">IF('Summary of Scores'!V15="N/A","",'Summary of Scores'!V15)</f>
        <v>Not Calculated</v>
      </c>
      <c r="I32" s="1"/>
      <c r="J32" s="112"/>
    </row>
    <row r="33" spans="2:12" x14ac:dyDescent="0.2">
      <c r="B33" s="111"/>
      <c r="C33" s="134" t="str">
        <f>'Summary of Scores'!B8</f>
        <v>Active Shooter</v>
      </c>
      <c r="D33" s="134"/>
      <c r="E33" s="134"/>
      <c r="F33" s="134"/>
      <c r="G33" s="134"/>
      <c r="H33" s="135" t="str">
        <f ca="1">IF('Summary of Scores'!V8="N/A","",'Summary of Scores'!V8)</f>
        <v>Not Calculated</v>
      </c>
      <c r="I33" s="1"/>
      <c r="J33" s="112"/>
    </row>
    <row r="34" spans="2:12" x14ac:dyDescent="0.2">
      <c r="B34" s="111"/>
      <c r="C34" s="134" t="str">
        <f>'Summary of Scores'!B20</f>
        <v>Nuclear Facility</v>
      </c>
      <c r="D34" s="134"/>
      <c r="E34" s="134"/>
      <c r="F34" s="134"/>
      <c r="G34" s="134"/>
      <c r="H34" s="135" t="str">
        <f ca="1">IF('Summary of Scores'!V20="N/A","",'Summary of Scores'!V20)</f>
        <v>Not Calculated</v>
      </c>
      <c r="I34" s="1"/>
      <c r="J34" s="112"/>
    </row>
    <row r="35" spans="2:12" x14ac:dyDescent="0.2">
      <c r="B35" s="111"/>
      <c r="C35" s="134" t="str">
        <f>'Summary of Scores'!B14</f>
        <v>Cyber Terrorism</v>
      </c>
      <c r="D35" s="134"/>
      <c r="E35" s="134"/>
      <c r="F35" s="134"/>
      <c r="G35" s="134"/>
      <c r="H35" s="135" t="str">
        <f ca="1">IF('Summary of Scores'!V14="N/A","",'Summary of Scores'!V14)</f>
        <v>Not Calculated</v>
      </c>
      <c r="I35" s="1"/>
      <c r="J35" s="112"/>
    </row>
    <row r="36" spans="2:12" x14ac:dyDescent="0.2">
      <c r="B36" s="111"/>
      <c r="C36" s="134" t="str">
        <f>'Summary of Scores'!B16</f>
        <v>Earthquake</v>
      </c>
      <c r="D36" s="134"/>
      <c r="E36" s="134"/>
      <c r="F36" s="134"/>
      <c r="G36" s="134"/>
      <c r="H36" s="135" t="str">
        <f ca="1">IF('Summary of Scores'!V16="N/A","",'Summary of Scores'!V16)</f>
        <v>Not Calculated</v>
      </c>
      <c r="I36" s="1"/>
      <c r="J36" s="112"/>
    </row>
    <row r="37" spans="2:12" x14ac:dyDescent="0.2">
      <c r="B37" s="111"/>
      <c r="C37" s="134" t="str">
        <f>'Summary of Scores'!B26</f>
        <v>Wildfire</v>
      </c>
      <c r="D37" s="134"/>
      <c r="E37" s="134"/>
      <c r="F37" s="134"/>
      <c r="G37" s="134"/>
      <c r="H37" s="135" t="str">
        <f ca="1">IF('Summary of Scores'!V26="N/A","",'Summary of Scores'!V26)</f>
        <v>Not Calculated</v>
      </c>
      <c r="I37" s="1"/>
      <c r="J37" s="112"/>
    </row>
    <row r="38" spans="2:12" x14ac:dyDescent="0.2">
      <c r="B38" s="111"/>
      <c r="C38" s="134" t="str">
        <f>'Summary of Scores'!B12</f>
        <v>Coastal Storm</v>
      </c>
      <c r="D38" s="134"/>
      <c r="E38" s="134"/>
      <c r="F38" s="134"/>
      <c r="G38" s="134"/>
      <c r="H38" s="135" t="str">
        <f ca="1">IF('Summary of Scores'!V12="N/A","",'Summary of Scores'!V12)</f>
        <v>Not Calculated</v>
      </c>
      <c r="I38" s="1"/>
      <c r="J38" s="112"/>
    </row>
    <row r="39" spans="2:12" ht="16" thickBot="1" x14ac:dyDescent="0.25">
      <c r="B39" s="113"/>
      <c r="C39" s="310"/>
      <c r="D39" s="310"/>
      <c r="E39" s="310"/>
      <c r="F39" s="310"/>
      <c r="G39" s="310"/>
      <c r="H39" s="312"/>
      <c r="I39" s="114"/>
      <c r="J39" s="115"/>
    </row>
    <row r="40" spans="2:12" ht="16" thickBot="1" x14ac:dyDescent="0.25"/>
    <row r="41" spans="2:12" x14ac:dyDescent="0.2">
      <c r="B41" s="107"/>
      <c r="C41" s="309"/>
      <c r="D41" s="309"/>
      <c r="E41" s="309"/>
      <c r="F41" s="309"/>
      <c r="G41" s="309"/>
      <c r="H41" s="311"/>
      <c r="I41" s="109"/>
      <c r="J41" s="110"/>
    </row>
    <row r="42" spans="2:12" ht="18" x14ac:dyDescent="0.2">
      <c r="B42" s="111"/>
      <c r="C42" s="134"/>
      <c r="D42" s="134"/>
      <c r="E42" s="134"/>
      <c r="F42" s="230" t="s">
        <v>977</v>
      </c>
      <c r="G42" s="134"/>
      <c r="H42" s="135"/>
      <c r="I42" s="1"/>
      <c r="J42" s="112"/>
    </row>
    <row r="43" spans="2:12" x14ac:dyDescent="0.2">
      <c r="B43" s="111"/>
      <c r="C43" s="134"/>
      <c r="D43" s="134"/>
      <c r="E43" s="134"/>
      <c r="F43" s="134"/>
      <c r="G43" s="134"/>
      <c r="H43" s="135"/>
      <c r="I43" s="1"/>
      <c r="J43" s="112"/>
    </row>
    <row r="44" spans="2:12" ht="16" x14ac:dyDescent="0.2">
      <c r="B44" s="111"/>
      <c r="C44" s="13" t="s">
        <v>395</v>
      </c>
      <c r="D44" s="1"/>
      <c r="E44" s="1"/>
      <c r="F44" s="1"/>
      <c r="G44" s="13" t="s">
        <v>396</v>
      </c>
      <c r="H44" s="1"/>
      <c r="I44" s="1"/>
      <c r="J44" s="112"/>
      <c r="L44" s="106"/>
    </row>
    <row r="45" spans="2:12" x14ac:dyDescent="0.2">
      <c r="B45" s="111"/>
      <c r="C45" s="134" t="str">
        <f>'Summary of Scores'!B9</f>
        <v>Bio Terrorism</v>
      </c>
      <c r="D45" s="134"/>
      <c r="E45" s="134"/>
      <c r="F45" s="134"/>
      <c r="G45" s="134"/>
      <c r="H45" s="135" t="str">
        <f ca="1">IF('Summary of Scores'!T9="N/A","",'Summary of Scores'!T9)</f>
        <v>Not Calculated</v>
      </c>
      <c r="I45" s="1"/>
      <c r="J45" s="112"/>
    </row>
    <row r="46" spans="2:12" x14ac:dyDescent="0.2">
      <c r="B46" s="111"/>
      <c r="C46" s="134" t="str">
        <f ca="1">'Summary of Scores'!B29</f>
        <v/>
      </c>
      <c r="D46" s="134"/>
      <c r="E46" s="134"/>
      <c r="F46" s="134"/>
      <c r="G46" s="134"/>
      <c r="H46" s="135" t="str">
        <f ca="1">IF('Summary of Scores'!T29="N/A","",'Summary of Scores'!T29)</f>
        <v/>
      </c>
      <c r="I46" s="1"/>
      <c r="J46" s="112"/>
    </row>
    <row r="47" spans="2:12" x14ac:dyDescent="0.2">
      <c r="B47" s="111"/>
      <c r="C47" s="134" t="str">
        <f ca="1">'Summary of Scores'!B31</f>
        <v/>
      </c>
      <c r="D47" s="134"/>
      <c r="E47" s="134"/>
      <c r="F47" s="134"/>
      <c r="G47" s="134"/>
      <c r="H47" s="135" t="str">
        <f ca="1">IF('Summary of Scores'!T31="N/A","",'Summary of Scores'!T31)</f>
        <v/>
      </c>
      <c r="I47" s="1"/>
      <c r="J47" s="112"/>
    </row>
    <row r="48" spans="2:12" x14ac:dyDescent="0.2">
      <c r="B48" s="111"/>
      <c r="C48" s="134" t="str">
        <f ca="1">'Summary of Scores'!B33</f>
        <v/>
      </c>
      <c r="D48" s="134"/>
      <c r="E48" s="134"/>
      <c r="F48" s="134"/>
      <c r="G48" s="134"/>
      <c r="H48" s="135" t="str">
        <f ca="1">IF('Summary of Scores'!T33="N/A","",'Summary of Scores'!T33)</f>
        <v/>
      </c>
      <c r="I48" s="1"/>
      <c r="J48" s="112"/>
    </row>
    <row r="49" spans="2:10" x14ac:dyDescent="0.2">
      <c r="B49" s="111"/>
      <c r="C49" s="134" t="str">
        <f ca="1">'Summary of Scores'!B36</f>
        <v/>
      </c>
      <c r="D49" s="134"/>
      <c r="E49" s="134"/>
      <c r="F49" s="134"/>
      <c r="G49" s="134"/>
      <c r="H49" s="135" t="str">
        <f ca="1">IF('Summary of Scores'!T36="N/A","",'Summary of Scores'!T36)</f>
        <v/>
      </c>
      <c r="I49" s="1"/>
      <c r="J49" s="112"/>
    </row>
    <row r="50" spans="2:10" x14ac:dyDescent="0.2">
      <c r="B50" s="111"/>
      <c r="C50" s="134" t="str">
        <f ca="1">'Summary of Scores'!B35</f>
        <v/>
      </c>
      <c r="D50" s="134"/>
      <c r="E50" s="134"/>
      <c r="F50" s="134"/>
      <c r="G50" s="134"/>
      <c r="H50" s="135" t="str">
        <f ca="1">IF('Summary of Scores'!T35="N/A","",'Summary of Scores'!T35)</f>
        <v/>
      </c>
      <c r="I50" s="1"/>
      <c r="J50" s="112"/>
    </row>
    <row r="51" spans="2:10" x14ac:dyDescent="0.2">
      <c r="B51" s="111"/>
      <c r="C51" s="134" t="str">
        <f ca="1">'Summary of Scores'!B30</f>
        <v/>
      </c>
      <c r="D51" s="134"/>
      <c r="E51" s="134"/>
      <c r="F51" s="134"/>
      <c r="G51" s="134"/>
      <c r="H51" s="135" t="str">
        <f ca="1">IF('Summary of Scores'!T30="N/A","",'Summary of Scores'!T30)</f>
        <v/>
      </c>
      <c r="I51" s="1"/>
      <c r="J51" s="112"/>
    </row>
    <row r="52" spans="2:10" x14ac:dyDescent="0.2">
      <c r="B52" s="111"/>
      <c r="C52" s="134" t="str">
        <f ca="1">'Summary of Scores'!B34</f>
        <v/>
      </c>
      <c r="D52" s="134"/>
      <c r="E52" s="134"/>
      <c r="F52" s="134"/>
      <c r="G52" s="134"/>
      <c r="H52" s="135" t="str">
        <f ca="1">IF('Summary of Scores'!T34="N/A","",'Summary of Scores'!T34)</f>
        <v/>
      </c>
      <c r="I52" s="1"/>
      <c r="J52" s="112"/>
    </row>
    <row r="53" spans="2:10" x14ac:dyDescent="0.2">
      <c r="B53" s="111"/>
      <c r="C53" s="134" t="str">
        <f ca="1">'Summary of Scores'!B37</f>
        <v/>
      </c>
      <c r="D53" s="134"/>
      <c r="E53" s="134"/>
      <c r="F53" s="134"/>
      <c r="G53" s="134"/>
      <c r="H53" s="135" t="str">
        <f ca="1">IF('Summary of Scores'!T37="N/A","",'Summary of Scores'!T37)</f>
        <v/>
      </c>
      <c r="I53" s="1"/>
      <c r="J53" s="112"/>
    </row>
    <row r="54" spans="2:10" x14ac:dyDescent="0.2">
      <c r="B54" s="111"/>
      <c r="C54" s="134" t="str">
        <f ca="1">'Summary of Scores'!B28</f>
        <v/>
      </c>
      <c r="D54" s="134"/>
      <c r="E54" s="134"/>
      <c r="F54" s="134"/>
      <c r="G54" s="134"/>
      <c r="H54" s="135" t="str">
        <f ca="1">IF('Summary of Scores'!T28="N/A","",'Summary of Scores'!T28)</f>
        <v/>
      </c>
      <c r="I54" s="1"/>
      <c r="J54" s="112"/>
    </row>
    <row r="55" spans="2:10" x14ac:dyDescent="0.2">
      <c r="B55" s="111"/>
      <c r="C55" s="134" t="str">
        <f ca="1">'Summary of Scores'!B32</f>
        <v/>
      </c>
      <c r="D55" s="134"/>
      <c r="E55" s="134"/>
      <c r="F55" s="134"/>
      <c r="G55" s="134"/>
      <c r="H55" s="135" t="str">
        <f ca="1">IF('Summary of Scores'!T32="N/A","",'Summary of Scores'!T32)</f>
        <v/>
      </c>
      <c r="I55" s="1"/>
      <c r="J55" s="112"/>
    </row>
    <row r="56" spans="2:10" x14ac:dyDescent="0.2">
      <c r="B56" s="111"/>
      <c r="C56" s="134" t="str">
        <f>'Summary of Scores'!B25</f>
        <v>Utility Interr</v>
      </c>
      <c r="D56" s="134"/>
      <c r="E56" s="134"/>
      <c r="F56" s="134"/>
      <c r="G56" s="134"/>
      <c r="H56" s="135" t="str">
        <f ca="1">IF('Summary of Scores'!T25="N/A","",'Summary of Scores'!T25)</f>
        <v>Not Calculated</v>
      </c>
      <c r="I56" s="1"/>
      <c r="J56" s="112"/>
    </row>
    <row r="57" spans="2:10" x14ac:dyDescent="0.2">
      <c r="B57" s="111"/>
      <c r="C57" s="134" t="str">
        <f>'Summary of Scores'!B21</f>
        <v>Pandemic</v>
      </c>
      <c r="D57" s="134"/>
      <c r="E57" s="134"/>
      <c r="F57" s="134"/>
      <c r="G57" s="134"/>
      <c r="H57" s="135" t="str">
        <f ca="1">IF('Summary of Scores'!T21="N/A","",'Summary of Scores'!T21)</f>
        <v>Not Calculated</v>
      </c>
      <c r="I57" s="1"/>
      <c r="J57" s="112"/>
    </row>
    <row r="58" spans="2:10" x14ac:dyDescent="0.2">
      <c r="B58" s="111"/>
      <c r="C58" s="134" t="str">
        <f>'Summary of Scores'!B24</f>
        <v>Tornado</v>
      </c>
      <c r="D58" s="134"/>
      <c r="E58" s="134"/>
      <c r="F58" s="134"/>
      <c r="G58" s="134"/>
      <c r="H58" s="135" t="str">
        <f ca="1">IF('Summary of Scores'!T24="N/A","",'Summary of Scores'!T24)</f>
        <v>Not Calculated</v>
      </c>
      <c r="I58" s="1"/>
      <c r="J58" s="112"/>
    </row>
    <row r="59" spans="2:10" x14ac:dyDescent="0.2">
      <c r="B59" s="111"/>
      <c r="C59" s="134" t="str">
        <f>'Summary of Scores'!B17</f>
        <v>Flood</v>
      </c>
      <c r="D59" s="134"/>
      <c r="E59" s="134"/>
      <c r="F59" s="134"/>
      <c r="G59" s="134"/>
      <c r="H59" s="135" t="str">
        <f ca="1">IF('Summary of Scores'!T17="N/A","",'Summary of Scores'!T17)</f>
        <v>Not Calculated</v>
      </c>
      <c r="I59" s="1"/>
      <c r="J59" s="112"/>
    </row>
    <row r="60" spans="2:10" x14ac:dyDescent="0.2">
      <c r="B60" s="111"/>
      <c r="C60" s="134" t="str">
        <f>'Summary of Scores'!B19</f>
        <v>Localized ID</v>
      </c>
      <c r="D60" s="134"/>
      <c r="E60" s="134"/>
      <c r="F60" s="134"/>
      <c r="G60" s="134"/>
      <c r="H60" s="135" t="str">
        <f ca="1">IF('Summary of Scores'!T19="N/A","",'Summary of Scores'!T19)</f>
        <v>Not Calculated</v>
      </c>
      <c r="I60" s="1"/>
      <c r="J60" s="112"/>
    </row>
    <row r="61" spans="2:10" x14ac:dyDescent="0.2">
      <c r="B61" s="111"/>
      <c r="C61" s="134" t="str">
        <f>'Summary of Scores'!B13</f>
        <v>Conv Explosive</v>
      </c>
      <c r="D61" s="134"/>
      <c r="E61" s="134"/>
      <c r="F61" s="134"/>
      <c r="G61" s="134"/>
      <c r="H61" s="135" t="str">
        <f ca="1">IF('Summary of Scores'!T13="N/A","",'Summary of Scores'!T13)</f>
        <v>Not Calculated</v>
      </c>
      <c r="I61" s="1"/>
      <c r="J61" s="112"/>
    </row>
    <row r="62" spans="2:10" x14ac:dyDescent="0.2">
      <c r="B62" s="111"/>
      <c r="C62" s="134" t="str">
        <f>'Summary of Scores'!B18</f>
        <v>HazMat Release</v>
      </c>
      <c r="D62" s="134"/>
      <c r="E62" s="134"/>
      <c r="F62" s="134"/>
      <c r="G62" s="134"/>
      <c r="H62" s="135" t="str">
        <f ca="1">IF('Summary of Scores'!T18="N/A","",'Summary of Scores'!T18)</f>
        <v>Not Calculated</v>
      </c>
      <c r="I62" s="1"/>
      <c r="J62" s="112"/>
    </row>
    <row r="63" spans="2:10" x14ac:dyDescent="0.2">
      <c r="B63" s="111"/>
      <c r="C63" s="134" t="str">
        <f>'Summary of Scores'!B27</f>
        <v>Winter Storm</v>
      </c>
      <c r="D63" s="134"/>
      <c r="E63" s="134"/>
      <c r="F63" s="134"/>
      <c r="G63" s="134"/>
      <c r="H63" s="135" t="str">
        <f ca="1">IF('Summary of Scores'!T27="N/A","",'Summary of Scores'!T27)</f>
        <v>Not Calculated</v>
      </c>
      <c r="I63" s="1"/>
      <c r="J63" s="112"/>
    </row>
    <row r="64" spans="2:10" x14ac:dyDescent="0.2">
      <c r="B64" s="111"/>
      <c r="C64" s="134" t="str">
        <f>'Summary of Scores'!B11</f>
        <v>Civil Disturbance</v>
      </c>
      <c r="D64" s="134"/>
      <c r="E64" s="134"/>
      <c r="F64" s="134"/>
      <c r="G64" s="134"/>
      <c r="H64" s="135" t="str">
        <f ca="1">IF('Summary of Scores'!T11="N/A","",'Summary of Scores'!T11)</f>
        <v>Not Calculated</v>
      </c>
      <c r="I64" s="1"/>
      <c r="J64" s="112"/>
    </row>
    <row r="65" spans="2:10" x14ac:dyDescent="0.2">
      <c r="B65" s="111"/>
      <c r="C65" s="134" t="str">
        <f>'Summary of Scores'!B22</f>
        <v>RDD</v>
      </c>
      <c r="D65" s="134"/>
      <c r="E65" s="134"/>
      <c r="F65" s="134"/>
      <c r="G65" s="134"/>
      <c r="H65" s="135" t="str">
        <f ca="1">IF('Summary of Scores'!T22="N/A","",'Summary of Scores'!T22)</f>
        <v>Not Calculated</v>
      </c>
      <c r="I65" s="1"/>
      <c r="J65" s="112"/>
    </row>
    <row r="66" spans="2:10" x14ac:dyDescent="0.2">
      <c r="B66" s="111"/>
      <c r="C66" s="134" t="str">
        <f>'Summary of Scores'!B23</f>
        <v>Temp Extremes</v>
      </c>
      <c r="D66" s="134"/>
      <c r="E66" s="134"/>
      <c r="F66" s="134"/>
      <c r="G66" s="134"/>
      <c r="H66" s="135" t="str">
        <f ca="1">IF('Summary of Scores'!T23="N/A","",'Summary of Scores'!T23)</f>
        <v>Not Calculated</v>
      </c>
      <c r="I66" s="1"/>
      <c r="J66" s="112"/>
    </row>
    <row r="67" spans="2:10" x14ac:dyDescent="0.2">
      <c r="B67" s="111"/>
      <c r="C67" s="134" t="str">
        <f>'Summary of Scores'!B10</f>
        <v>Chem Terrorism</v>
      </c>
      <c r="D67" s="134"/>
      <c r="E67" s="134"/>
      <c r="F67" s="134"/>
      <c r="G67" s="134"/>
      <c r="H67" s="135" t="str">
        <f ca="1">IF('Summary of Scores'!T10="N/A","",'Summary of Scores'!T10)</f>
        <v>Not Calculated</v>
      </c>
      <c r="I67" s="1"/>
      <c r="J67" s="112"/>
    </row>
    <row r="68" spans="2:10" x14ac:dyDescent="0.2">
      <c r="B68" s="111"/>
      <c r="C68" s="134" t="str">
        <f>'Summary of Scores'!B15</f>
        <v>Drought</v>
      </c>
      <c r="D68" s="134"/>
      <c r="E68" s="134"/>
      <c r="F68" s="134"/>
      <c r="G68" s="134"/>
      <c r="H68" s="135" t="str">
        <f ca="1">IF('Summary of Scores'!T15="N/A","",'Summary of Scores'!T15)</f>
        <v>Not Calculated</v>
      </c>
      <c r="I68" s="1"/>
      <c r="J68" s="112"/>
    </row>
    <row r="69" spans="2:10" x14ac:dyDescent="0.2">
      <c r="B69" s="111"/>
      <c r="C69" s="134" t="str">
        <f>'Summary of Scores'!B8</f>
        <v>Active Shooter</v>
      </c>
      <c r="D69" s="134"/>
      <c r="E69" s="134"/>
      <c r="F69" s="134"/>
      <c r="G69" s="134"/>
      <c r="H69" s="135" t="str">
        <f ca="1">IF('Summary of Scores'!T8="N/A","",'Summary of Scores'!T8)</f>
        <v>Not Calculated</v>
      </c>
      <c r="I69" s="1"/>
      <c r="J69" s="112"/>
    </row>
    <row r="70" spans="2:10" x14ac:dyDescent="0.2">
      <c r="B70" s="111"/>
      <c r="C70" s="134" t="str">
        <f>'Summary of Scores'!B20</f>
        <v>Nuclear Facility</v>
      </c>
      <c r="D70" s="134"/>
      <c r="E70" s="134"/>
      <c r="F70" s="134"/>
      <c r="G70" s="134"/>
      <c r="H70" s="135" t="str">
        <f ca="1">IF('Summary of Scores'!T20="N/A","",'Summary of Scores'!T20)</f>
        <v>Not Calculated</v>
      </c>
      <c r="I70" s="1"/>
      <c r="J70" s="112"/>
    </row>
    <row r="71" spans="2:10" x14ac:dyDescent="0.2">
      <c r="B71" s="111"/>
      <c r="C71" s="134" t="str">
        <f>'Summary of Scores'!B16</f>
        <v>Earthquake</v>
      </c>
      <c r="D71" s="134"/>
      <c r="E71" s="134"/>
      <c r="F71" s="134"/>
      <c r="G71" s="134"/>
      <c r="H71" s="135" t="str">
        <f ca="1">IF('Summary of Scores'!T16="N/A","",'Summary of Scores'!T16)</f>
        <v>Not Calculated</v>
      </c>
      <c r="I71" s="1"/>
      <c r="J71" s="112"/>
    </row>
    <row r="72" spans="2:10" x14ac:dyDescent="0.2">
      <c r="B72" s="111"/>
      <c r="C72" s="134" t="str">
        <f>'Summary of Scores'!B14</f>
        <v>Cyber Terrorism</v>
      </c>
      <c r="D72" s="134"/>
      <c r="E72" s="134"/>
      <c r="F72" s="134"/>
      <c r="G72" s="134"/>
      <c r="H72" s="135" t="str">
        <f ca="1">IF('Summary of Scores'!T14="N/A","",'Summary of Scores'!T14)</f>
        <v>Not Calculated</v>
      </c>
      <c r="I72" s="1"/>
      <c r="J72" s="112"/>
    </row>
    <row r="73" spans="2:10" x14ac:dyDescent="0.2">
      <c r="B73" s="111"/>
      <c r="C73" s="134" t="str">
        <f>'Summary of Scores'!B26</f>
        <v>Wildfire</v>
      </c>
      <c r="D73" s="134"/>
      <c r="E73" s="134"/>
      <c r="F73" s="134"/>
      <c r="G73" s="134"/>
      <c r="H73" s="135" t="str">
        <f ca="1">IF('Summary of Scores'!T26="N/A","",'Summary of Scores'!T26)</f>
        <v>Not Calculated</v>
      </c>
      <c r="I73" s="1"/>
      <c r="J73" s="112"/>
    </row>
    <row r="74" spans="2:10" x14ac:dyDescent="0.2">
      <c r="B74" s="111"/>
      <c r="C74" s="134" t="str">
        <f>'Summary of Scores'!B12</f>
        <v>Coastal Storm</v>
      </c>
      <c r="D74" s="134"/>
      <c r="E74" s="134"/>
      <c r="F74" s="134"/>
      <c r="G74" s="134"/>
      <c r="H74" s="135" t="str">
        <f ca="1">IF('Summary of Scores'!T12="N/A","",'Summary of Scores'!T12)</f>
        <v>Not Calculated</v>
      </c>
      <c r="I74" s="1"/>
      <c r="J74" s="112"/>
    </row>
    <row r="75" spans="2:10" ht="16" thickBot="1" x14ac:dyDescent="0.25">
      <c r="B75" s="113"/>
      <c r="C75" s="310"/>
      <c r="D75" s="310"/>
      <c r="E75" s="310"/>
      <c r="F75" s="310"/>
      <c r="G75" s="310"/>
      <c r="H75" s="312"/>
      <c r="I75" s="114"/>
      <c r="J75" s="115"/>
    </row>
    <row r="76" spans="2:10" ht="16" thickBot="1" x14ac:dyDescent="0.25"/>
    <row r="77" spans="2:10" x14ac:dyDescent="0.2">
      <c r="B77" s="107"/>
      <c r="C77" s="108"/>
      <c r="D77" s="108"/>
      <c r="E77" s="108"/>
      <c r="F77" s="108"/>
      <c r="G77" s="108"/>
      <c r="H77" s="108"/>
      <c r="I77" s="109"/>
      <c r="J77" s="110"/>
    </row>
    <row r="78" spans="2:10" ht="18" x14ac:dyDescent="0.2">
      <c r="B78" s="111"/>
      <c r="C78" s="1"/>
      <c r="D78" s="1"/>
      <c r="E78" s="1"/>
      <c r="F78" s="230" t="s">
        <v>978</v>
      </c>
      <c r="G78" s="1"/>
      <c r="H78" s="1"/>
      <c r="I78" s="229"/>
      <c r="J78" s="112"/>
    </row>
    <row r="79" spans="2:10" x14ac:dyDescent="0.2">
      <c r="B79" s="111"/>
      <c r="C79" s="1"/>
      <c r="D79" s="1"/>
      <c r="E79" s="1"/>
      <c r="F79" s="1"/>
      <c r="G79" s="1"/>
      <c r="H79" s="229"/>
      <c r="I79" s="229"/>
      <c r="J79" s="112"/>
    </row>
    <row r="80" spans="2:10" ht="16" x14ac:dyDescent="0.2">
      <c r="B80" s="111"/>
      <c r="C80" s="13" t="s">
        <v>395</v>
      </c>
      <c r="D80" s="1"/>
      <c r="E80" s="1"/>
      <c r="F80" s="1"/>
      <c r="G80" s="13" t="s">
        <v>396</v>
      </c>
      <c r="H80" s="1"/>
      <c r="I80" s="1"/>
      <c r="J80" s="112"/>
    </row>
    <row r="81" spans="2:10" x14ac:dyDescent="0.2">
      <c r="B81" s="111"/>
      <c r="C81" s="1" t="str">
        <f>'Summary of Scores'!B9</f>
        <v>Bio Terrorism</v>
      </c>
      <c r="D81" s="1"/>
      <c r="E81" s="1"/>
      <c r="F81" s="1"/>
      <c r="G81" s="1"/>
      <c r="H81" s="315" t="str">
        <f ca="1">IF('Summary of Scores'!U9="N/A","",'Summary of Scores'!U9)</f>
        <v>Not Calculated</v>
      </c>
      <c r="I81" s="1"/>
      <c r="J81" s="112"/>
    </row>
    <row r="82" spans="2:10" x14ac:dyDescent="0.2">
      <c r="B82" s="111"/>
      <c r="C82" s="1" t="str">
        <f ca="1">'Summary of Scores'!B29</f>
        <v/>
      </c>
      <c r="D82" s="1"/>
      <c r="E82" s="1"/>
      <c r="F82" s="1"/>
      <c r="G82" s="1"/>
      <c r="H82" s="315" t="str">
        <f ca="1">IF('Summary of Scores'!U29="N/A","",'Summary of Scores'!U29)</f>
        <v/>
      </c>
      <c r="I82" s="1"/>
      <c r="J82" s="112"/>
    </row>
    <row r="83" spans="2:10" x14ac:dyDescent="0.2">
      <c r="B83" s="111"/>
      <c r="C83" s="1" t="str">
        <f ca="1">'Summary of Scores'!B31</f>
        <v/>
      </c>
      <c r="D83" s="1"/>
      <c r="E83" s="1"/>
      <c r="F83" s="1"/>
      <c r="G83" s="1"/>
      <c r="H83" s="315" t="str">
        <f ca="1">IF('Summary of Scores'!U31="N/A","",'Summary of Scores'!U31)</f>
        <v/>
      </c>
      <c r="I83" s="1"/>
      <c r="J83" s="112"/>
    </row>
    <row r="84" spans="2:10" x14ac:dyDescent="0.2">
      <c r="B84" s="111"/>
      <c r="C84" s="1" t="str">
        <f ca="1">'Summary of Scores'!B33</f>
        <v/>
      </c>
      <c r="D84" s="1"/>
      <c r="E84" s="1"/>
      <c r="F84" s="1"/>
      <c r="G84" s="1"/>
      <c r="H84" s="315" t="str">
        <f ca="1">IF('Summary of Scores'!U33="N/A","",'Summary of Scores'!U33)</f>
        <v/>
      </c>
      <c r="I84" s="1"/>
      <c r="J84" s="112"/>
    </row>
    <row r="85" spans="2:10" x14ac:dyDescent="0.2">
      <c r="B85" s="111"/>
      <c r="C85" s="1" t="str">
        <f ca="1">'Summary of Scores'!B36</f>
        <v/>
      </c>
      <c r="D85" s="1"/>
      <c r="E85" s="1"/>
      <c r="F85" s="1"/>
      <c r="G85" s="1"/>
      <c r="H85" s="315" t="str">
        <f ca="1">IF('Summary of Scores'!U36="N/A","",'Summary of Scores'!U36)</f>
        <v/>
      </c>
      <c r="I85" s="1"/>
      <c r="J85" s="112"/>
    </row>
    <row r="86" spans="2:10" x14ac:dyDescent="0.2">
      <c r="B86" s="111"/>
      <c r="C86" s="1" t="str">
        <f ca="1">'Summary of Scores'!B35</f>
        <v/>
      </c>
      <c r="D86" s="1"/>
      <c r="E86" s="1"/>
      <c r="F86" s="1"/>
      <c r="G86" s="1"/>
      <c r="H86" s="315" t="str">
        <f ca="1">IF('Summary of Scores'!U35="N/A","",'Summary of Scores'!U35)</f>
        <v/>
      </c>
      <c r="I86" s="1"/>
      <c r="J86" s="112"/>
    </row>
    <row r="87" spans="2:10" x14ac:dyDescent="0.2">
      <c r="B87" s="111"/>
      <c r="C87" s="1" t="str">
        <f ca="1">'Summary of Scores'!B30</f>
        <v/>
      </c>
      <c r="D87" s="1"/>
      <c r="E87" s="1"/>
      <c r="F87" s="1"/>
      <c r="G87" s="1"/>
      <c r="H87" s="315" t="str">
        <f ca="1">IF('Summary of Scores'!U30="N/A","",'Summary of Scores'!U30)</f>
        <v/>
      </c>
      <c r="I87" s="1"/>
      <c r="J87" s="112"/>
    </row>
    <row r="88" spans="2:10" x14ac:dyDescent="0.2">
      <c r="B88" s="111"/>
      <c r="C88" s="1" t="str">
        <f ca="1">'Summary of Scores'!B34</f>
        <v/>
      </c>
      <c r="D88" s="1"/>
      <c r="E88" s="1"/>
      <c r="F88" s="1"/>
      <c r="G88" s="1"/>
      <c r="H88" s="315" t="str">
        <f ca="1">IF('Summary of Scores'!U34="N/A","",'Summary of Scores'!U34)</f>
        <v/>
      </c>
      <c r="I88" s="1"/>
      <c r="J88" s="112"/>
    </row>
    <row r="89" spans="2:10" x14ac:dyDescent="0.2">
      <c r="B89" s="111"/>
      <c r="C89" s="1" t="str">
        <f ca="1">'Summary of Scores'!B37</f>
        <v/>
      </c>
      <c r="D89" s="1"/>
      <c r="E89" s="1"/>
      <c r="F89" s="1"/>
      <c r="G89" s="1"/>
      <c r="H89" s="315" t="str">
        <f ca="1">IF('Summary of Scores'!U37="N/A","",'Summary of Scores'!U37)</f>
        <v/>
      </c>
      <c r="I89" s="1"/>
      <c r="J89" s="112"/>
    </row>
    <row r="90" spans="2:10" x14ac:dyDescent="0.2">
      <c r="B90" s="111"/>
      <c r="C90" s="1" t="str">
        <f ca="1">'Summary of Scores'!B28</f>
        <v/>
      </c>
      <c r="D90" s="1"/>
      <c r="E90" s="1"/>
      <c r="F90" s="1"/>
      <c r="G90" s="1"/>
      <c r="H90" s="315" t="str">
        <f ca="1">IF('Summary of Scores'!U28="N/A","",'Summary of Scores'!U28)</f>
        <v/>
      </c>
      <c r="I90" s="1"/>
      <c r="J90" s="112"/>
    </row>
    <row r="91" spans="2:10" x14ac:dyDescent="0.2">
      <c r="B91" s="111"/>
      <c r="C91" s="1" t="str">
        <f ca="1">'Summary of Scores'!B32</f>
        <v/>
      </c>
      <c r="D91" s="1"/>
      <c r="E91" s="1"/>
      <c r="F91" s="1"/>
      <c r="G91" s="1"/>
      <c r="H91" s="315" t="str">
        <f ca="1">IF('Summary of Scores'!U32="N/A","",'Summary of Scores'!U32)</f>
        <v/>
      </c>
      <c r="I91" s="1"/>
      <c r="J91" s="112"/>
    </row>
    <row r="92" spans="2:10" x14ac:dyDescent="0.2">
      <c r="B92" s="111"/>
      <c r="C92" s="1" t="str">
        <f>'Summary of Scores'!B21</f>
        <v>Pandemic</v>
      </c>
      <c r="D92" s="1"/>
      <c r="E92" s="1"/>
      <c r="F92" s="1"/>
      <c r="G92" s="1"/>
      <c r="H92" s="315" t="str">
        <f ca="1">IF('Summary of Scores'!U21="N/A","",'Summary of Scores'!U21)</f>
        <v>Not Calculated</v>
      </c>
      <c r="I92" s="1"/>
      <c r="J92" s="112"/>
    </row>
    <row r="93" spans="2:10" x14ac:dyDescent="0.2">
      <c r="B93" s="111"/>
      <c r="C93" s="1" t="str">
        <f>'Summary of Scores'!B12</f>
        <v>Coastal Storm</v>
      </c>
      <c r="D93" s="1"/>
      <c r="E93" s="1"/>
      <c r="F93" s="1"/>
      <c r="G93" s="1"/>
      <c r="H93" s="315" t="str">
        <f ca="1">IF('Summary of Scores'!U12="N/A","",'Summary of Scores'!U12)</f>
        <v>Not Calculated</v>
      </c>
      <c r="I93" s="1"/>
      <c r="J93" s="112"/>
    </row>
    <row r="94" spans="2:10" x14ac:dyDescent="0.2">
      <c r="B94" s="111"/>
      <c r="C94" s="1" t="str">
        <f>'Summary of Scores'!B17</f>
        <v>Flood</v>
      </c>
      <c r="D94" s="1"/>
      <c r="E94" s="1"/>
      <c r="F94" s="1"/>
      <c r="G94" s="1"/>
      <c r="H94" s="315" t="str">
        <f ca="1">IF('Summary of Scores'!U17="N/A","",'Summary of Scores'!U17)</f>
        <v>Not Calculated</v>
      </c>
      <c r="I94" s="1"/>
      <c r="J94" s="112"/>
    </row>
    <row r="95" spans="2:10" x14ac:dyDescent="0.2">
      <c r="B95" s="111"/>
      <c r="C95" s="1" t="str">
        <f>'Summary of Scores'!B13</f>
        <v>Conv Explosive</v>
      </c>
      <c r="D95" s="1"/>
      <c r="E95" s="1"/>
      <c r="F95" s="1"/>
      <c r="G95" s="1"/>
      <c r="H95" s="315" t="str">
        <f ca="1">IF('Summary of Scores'!U13="N/A","",'Summary of Scores'!U13)</f>
        <v>Not Calculated</v>
      </c>
      <c r="I95" s="1"/>
      <c r="J95" s="112"/>
    </row>
    <row r="96" spans="2:10" x14ac:dyDescent="0.2">
      <c r="B96" s="111"/>
      <c r="C96" s="1" t="str">
        <f>'Summary of Scores'!B19</f>
        <v>Localized ID</v>
      </c>
      <c r="D96" s="1"/>
      <c r="E96" s="1"/>
      <c r="F96" s="1"/>
      <c r="G96" s="1"/>
      <c r="H96" s="315" t="str">
        <f ca="1">IF('Summary of Scores'!U19="N/A","",'Summary of Scores'!U19)</f>
        <v>Not Calculated</v>
      </c>
      <c r="I96" s="1"/>
      <c r="J96" s="112"/>
    </row>
    <row r="97" spans="2:10" x14ac:dyDescent="0.2">
      <c r="B97" s="111"/>
      <c r="C97" s="1" t="str">
        <f>'Summary of Scores'!B27</f>
        <v>Winter Storm</v>
      </c>
      <c r="D97" s="1"/>
      <c r="E97" s="1"/>
      <c r="F97" s="1"/>
      <c r="G97" s="1"/>
      <c r="H97" s="315" t="str">
        <f ca="1">IF('Summary of Scores'!U27="N/A","",'Summary of Scores'!U27)</f>
        <v>Not Calculated</v>
      </c>
      <c r="I97" s="1"/>
      <c r="J97" s="112"/>
    </row>
    <row r="98" spans="2:10" x14ac:dyDescent="0.2">
      <c r="B98" s="111"/>
      <c r="C98" s="1" t="str">
        <f>'Summary of Scores'!B8</f>
        <v>Active Shooter</v>
      </c>
      <c r="D98" s="1"/>
      <c r="E98" s="1"/>
      <c r="F98" s="1"/>
      <c r="G98" s="1"/>
      <c r="H98" s="315" t="str">
        <f ca="1">IF('Summary of Scores'!U8="N/A","",'Summary of Scores'!U8)</f>
        <v>Not Calculated</v>
      </c>
      <c r="I98" s="1"/>
      <c r="J98" s="112"/>
    </row>
    <row r="99" spans="2:10" x14ac:dyDescent="0.2">
      <c r="B99" s="111"/>
      <c r="C99" s="1" t="str">
        <f>'Summary of Scores'!B18</f>
        <v>HazMat Release</v>
      </c>
      <c r="D99" s="1"/>
      <c r="E99" s="1"/>
      <c r="F99" s="1"/>
      <c r="G99" s="1"/>
      <c r="H99" s="315" t="str">
        <f ca="1">IF('Summary of Scores'!U18="N/A","",'Summary of Scores'!U18)</f>
        <v>Not Calculated</v>
      </c>
      <c r="I99" s="1"/>
      <c r="J99" s="112"/>
    </row>
    <row r="100" spans="2:10" x14ac:dyDescent="0.2">
      <c r="B100" s="111"/>
      <c r="C100" s="1" t="str">
        <f>'Summary of Scores'!B22</f>
        <v>RDD</v>
      </c>
      <c r="D100" s="1"/>
      <c r="E100" s="1"/>
      <c r="F100" s="1"/>
      <c r="G100" s="1"/>
      <c r="H100" s="315" t="str">
        <f ca="1">IF('Summary of Scores'!U22="N/A","",'Summary of Scores'!U22)</f>
        <v>Not Calculated</v>
      </c>
      <c r="I100" s="1"/>
      <c r="J100" s="112"/>
    </row>
    <row r="101" spans="2:10" x14ac:dyDescent="0.2">
      <c r="B101" s="111"/>
      <c r="C101" s="1" t="str">
        <f>'Summary of Scores'!B11</f>
        <v>Civil Disturbance</v>
      </c>
      <c r="D101" s="1"/>
      <c r="E101" s="1"/>
      <c r="F101" s="1"/>
      <c r="G101" s="1"/>
      <c r="H101" s="315" t="str">
        <f ca="1">IF('Summary of Scores'!U11="N/A","",'Summary of Scores'!U11)</f>
        <v>Not Calculated</v>
      </c>
      <c r="I101" s="1"/>
      <c r="J101" s="112"/>
    </row>
    <row r="102" spans="2:10" x14ac:dyDescent="0.2">
      <c r="B102" s="111"/>
      <c r="C102" s="1" t="str">
        <f>'Summary of Scores'!B23</f>
        <v>Temp Extremes</v>
      </c>
      <c r="D102" s="1"/>
      <c r="E102" s="1"/>
      <c r="F102" s="1"/>
      <c r="G102" s="1"/>
      <c r="H102" s="315" t="str">
        <f ca="1">IF('Summary of Scores'!U23="N/A","",'Summary of Scores'!U23)</f>
        <v>Not Calculated</v>
      </c>
      <c r="I102" s="1"/>
      <c r="J102" s="112"/>
    </row>
    <row r="103" spans="2:10" x14ac:dyDescent="0.2">
      <c r="B103" s="111"/>
      <c r="C103" s="1" t="str">
        <f>'Summary of Scores'!B24</f>
        <v>Tornado</v>
      </c>
      <c r="D103" s="1"/>
      <c r="E103" s="1"/>
      <c r="F103" s="1"/>
      <c r="G103" s="1"/>
      <c r="H103" s="315" t="str">
        <f ca="1">IF('Summary of Scores'!U24="N/A","",'Summary of Scores'!U24)</f>
        <v>Not Calculated</v>
      </c>
      <c r="I103" s="1"/>
      <c r="J103" s="112"/>
    </row>
    <row r="104" spans="2:10" x14ac:dyDescent="0.2">
      <c r="B104" s="111"/>
      <c r="C104" s="1" t="str">
        <f>'Summary of Scores'!B20</f>
        <v>Nuclear Facility</v>
      </c>
      <c r="D104" s="1"/>
      <c r="E104" s="1"/>
      <c r="F104" s="1"/>
      <c r="G104" s="1"/>
      <c r="H104" s="315" t="str">
        <f ca="1">IF('Summary of Scores'!U20="N/A","",'Summary of Scores'!U20)</f>
        <v>Not Calculated</v>
      </c>
      <c r="I104" s="1"/>
      <c r="J104" s="112"/>
    </row>
    <row r="105" spans="2:10" x14ac:dyDescent="0.2">
      <c r="B105" s="111"/>
      <c r="C105" s="1" t="str">
        <f>'Summary of Scores'!B10</f>
        <v>Chem Terrorism</v>
      </c>
      <c r="D105" s="1"/>
      <c r="E105" s="1"/>
      <c r="F105" s="1"/>
      <c r="G105" s="1"/>
      <c r="H105" s="315" t="str">
        <f ca="1">IF('Summary of Scores'!U10="N/A","",'Summary of Scores'!U10)</f>
        <v>Not Calculated</v>
      </c>
      <c r="I105" s="1"/>
      <c r="J105" s="112"/>
    </row>
    <row r="106" spans="2:10" x14ac:dyDescent="0.2">
      <c r="B106" s="111"/>
      <c r="C106" s="1" t="str">
        <f>'Summary of Scores'!B15</f>
        <v>Drought</v>
      </c>
      <c r="D106" s="1"/>
      <c r="E106" s="1"/>
      <c r="F106" s="1"/>
      <c r="G106" s="1"/>
      <c r="H106" s="315" t="str">
        <f ca="1">IF('Summary of Scores'!U15="N/A","",'Summary of Scores'!U15)</f>
        <v>Not Calculated</v>
      </c>
      <c r="I106" s="1"/>
      <c r="J106" s="112"/>
    </row>
    <row r="107" spans="2:10" x14ac:dyDescent="0.2">
      <c r="B107" s="111"/>
      <c r="C107" s="1" t="str">
        <f>'Summary of Scores'!B26</f>
        <v>Wildfire</v>
      </c>
      <c r="D107" s="1"/>
      <c r="E107" s="1"/>
      <c r="F107" s="1"/>
      <c r="G107" s="1"/>
      <c r="H107" s="315" t="str">
        <f ca="1">IF('Summary of Scores'!U26="N/A","",'Summary of Scores'!U26)</f>
        <v>Not Calculated</v>
      </c>
      <c r="I107" s="1"/>
      <c r="J107" s="112"/>
    </row>
    <row r="108" spans="2:10" x14ac:dyDescent="0.2">
      <c r="B108" s="111"/>
      <c r="C108" s="1" t="str">
        <f>'Summary of Scores'!B14</f>
        <v>Cyber Terrorism</v>
      </c>
      <c r="D108" s="1"/>
      <c r="E108" s="1"/>
      <c r="F108" s="1"/>
      <c r="G108" s="1"/>
      <c r="H108" s="315" t="str">
        <f ca="1">IF('Summary of Scores'!U14="N/A","",'Summary of Scores'!U14)</f>
        <v>Not Calculated</v>
      </c>
      <c r="I108" s="1"/>
      <c r="J108" s="112"/>
    </row>
    <row r="109" spans="2:10" x14ac:dyDescent="0.2">
      <c r="B109" s="111"/>
      <c r="C109" s="1" t="str">
        <f>'Summary of Scores'!B16</f>
        <v>Earthquake</v>
      </c>
      <c r="D109" s="1"/>
      <c r="E109" s="1"/>
      <c r="F109" s="1"/>
      <c r="G109" s="1"/>
      <c r="H109" s="315" t="str">
        <f ca="1">IF('Summary of Scores'!U16="N/A","",'Summary of Scores'!U16)</f>
        <v>Not Calculated</v>
      </c>
      <c r="I109" s="1"/>
      <c r="J109" s="112"/>
    </row>
    <row r="110" spans="2:10" x14ac:dyDescent="0.2">
      <c r="B110" s="111"/>
      <c r="C110" s="1" t="str">
        <f>'Summary of Scores'!B25</f>
        <v>Utility Interr</v>
      </c>
      <c r="D110" s="1"/>
      <c r="E110" s="1"/>
      <c r="F110" s="1"/>
      <c r="G110" s="1"/>
      <c r="H110" s="315" t="str">
        <f ca="1">IF('Summary of Scores'!U25="N/A","",'Summary of Scores'!U25)</f>
        <v>Not Calculated</v>
      </c>
      <c r="I110" s="1"/>
      <c r="J110" s="112"/>
    </row>
    <row r="111" spans="2:10" ht="16" thickBot="1" x14ac:dyDescent="0.25">
      <c r="B111" s="113"/>
      <c r="C111" s="114"/>
      <c r="D111" s="114"/>
      <c r="E111" s="114"/>
      <c r="F111" s="114"/>
      <c r="G111" s="114"/>
      <c r="H111" s="114"/>
      <c r="I111" s="114"/>
      <c r="J111" s="115"/>
    </row>
  </sheetData>
  <sheetProtection password="C7B0" sheet="1" objects="1" scenarios="1" selectLockedCells="1" selectUnlockedCells="1"/>
  <sortState xmlns:xlrd2="http://schemas.microsoft.com/office/spreadsheetml/2017/richdata2" ref="C81:H110">
    <sortCondition ref="H81:H110"/>
  </sortState>
  <pageMargins left="0.7" right="0.7" top="0.75" bottom="0.75" header="0.3" footer="0.3"/>
  <pageSetup scale="76" orientation="portrait" r:id="rId1"/>
  <rowBreaks count="1" manualBreakCount="1">
    <brk id="111" max="10" man="1"/>
  </row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8">
    <pageSetUpPr fitToPage="1"/>
  </sheetPr>
  <dimension ref="B1:X42"/>
  <sheetViews>
    <sheetView showGridLines="0" showRowColHeaders="0" zoomScaleNormal="100" workbookViewId="0">
      <selection activeCell="L3" sqref="L3"/>
    </sheetView>
  </sheetViews>
  <sheetFormatPr baseColWidth="10" defaultColWidth="9.1640625" defaultRowHeight="15" x14ac:dyDescent="0.2"/>
  <cols>
    <col min="1" max="1" width="3.33203125" style="12" customWidth="1"/>
    <col min="2" max="2" width="16.83203125" style="12" customWidth="1"/>
    <col min="3" max="13" width="14.5" style="12" customWidth="1"/>
    <col min="14" max="22" width="14.6640625" style="12" customWidth="1"/>
    <col min="23" max="16384" width="9.1640625" style="12"/>
  </cols>
  <sheetData>
    <row r="1" spans="2:24" x14ac:dyDescent="0.2">
      <c r="H1" s="29"/>
      <c r="I1" s="29"/>
    </row>
    <row r="2" spans="2:24" ht="33" x14ac:dyDescent="0.2">
      <c r="G2" s="16" t="s">
        <v>1038</v>
      </c>
      <c r="H2" s="29"/>
      <c r="I2" s="29"/>
    </row>
    <row r="3" spans="2:24" ht="23" x14ac:dyDescent="0.25">
      <c r="G3" s="30" t="s">
        <v>385</v>
      </c>
      <c r="H3" s="29"/>
      <c r="I3" s="29"/>
      <c r="M3" s="31"/>
    </row>
    <row r="5" spans="2:24" x14ac:dyDescent="0.2">
      <c r="O5" s="106"/>
    </row>
    <row r="6" spans="2:24" s="99" customFormat="1" ht="15" customHeight="1" x14ac:dyDescent="0.2">
      <c r="B6" s="511" t="s">
        <v>387</v>
      </c>
      <c r="C6" s="516" t="s">
        <v>228</v>
      </c>
      <c r="D6" s="513" t="s">
        <v>388</v>
      </c>
      <c r="E6" s="513"/>
      <c r="F6" s="513"/>
      <c r="G6" s="514" t="s">
        <v>390</v>
      </c>
      <c r="H6" s="514"/>
      <c r="I6" s="514"/>
      <c r="J6" s="517" t="s">
        <v>381</v>
      </c>
      <c r="K6" s="515" t="s">
        <v>391</v>
      </c>
      <c r="L6" s="515"/>
      <c r="M6" s="515"/>
      <c r="N6" s="505" t="s">
        <v>394</v>
      </c>
      <c r="O6" s="506"/>
      <c r="P6" s="507"/>
      <c r="Q6" s="508" t="s">
        <v>393</v>
      </c>
      <c r="R6" s="509"/>
      <c r="S6" s="510"/>
      <c r="T6" s="508" t="s">
        <v>392</v>
      </c>
      <c r="U6" s="509"/>
      <c r="V6" s="510"/>
    </row>
    <row r="7" spans="2:24" s="99" customFormat="1" ht="16" x14ac:dyDescent="0.2">
      <c r="B7" s="512"/>
      <c r="C7" s="516"/>
      <c r="D7" s="236" t="s">
        <v>975</v>
      </c>
      <c r="E7" s="236" t="s">
        <v>976</v>
      </c>
      <c r="F7" s="236" t="s">
        <v>389</v>
      </c>
      <c r="G7" s="237" t="s">
        <v>975</v>
      </c>
      <c r="H7" s="237" t="s">
        <v>976</v>
      </c>
      <c r="I7" s="237" t="s">
        <v>389</v>
      </c>
      <c r="J7" s="517"/>
      <c r="K7" s="238" t="s">
        <v>975</v>
      </c>
      <c r="L7" s="238" t="s">
        <v>976</v>
      </c>
      <c r="M7" s="238" t="s">
        <v>389</v>
      </c>
      <c r="N7" s="116" t="s">
        <v>975</v>
      </c>
      <c r="O7" s="116" t="s">
        <v>976</v>
      </c>
      <c r="P7" s="116" t="s">
        <v>389</v>
      </c>
      <c r="Q7" s="117" t="s">
        <v>975</v>
      </c>
      <c r="R7" s="117" t="s">
        <v>976</v>
      </c>
      <c r="S7" s="117" t="s">
        <v>389</v>
      </c>
      <c r="T7" s="117" t="s">
        <v>975</v>
      </c>
      <c r="U7" s="117" t="s">
        <v>976</v>
      </c>
      <c r="V7" s="117" t="s">
        <v>389</v>
      </c>
    </row>
    <row r="8" spans="2:24" x14ac:dyDescent="0.2">
      <c r="B8" s="316" t="s">
        <v>15</v>
      </c>
      <c r="C8" s="276">
        <f ca="1">INDIRECT("'"&amp;$X8&amp;"'!$E$17")</f>
        <v>2</v>
      </c>
      <c r="D8" s="277" t="str">
        <f ca="1">INDIRECT("'"&amp;$X8&amp;"'!$J$690")</f>
        <v>Not Calculated</v>
      </c>
      <c r="E8" s="277" t="str">
        <f ca="1">INDIRECT("'"&amp;$X8&amp;"'!$J$693")</f>
        <v>Not Calculated</v>
      </c>
      <c r="F8" s="277" t="str">
        <f ca="1">INDIRECT("'"&amp;$X8&amp;"'!$J$687")</f>
        <v>Not Calculated</v>
      </c>
      <c r="G8" s="277" t="str">
        <f ca="1">INDIRECT("'"&amp;$X8&amp;"'!$J$703")</f>
        <v>Not Calculated</v>
      </c>
      <c r="H8" s="277" t="str">
        <f ca="1">INDIRECT("'"&amp;$X8&amp;"'!$J$706")</f>
        <v>Not Calculated</v>
      </c>
      <c r="I8" s="277" t="str">
        <f ca="1">INDIRECT("'"&amp;$X8&amp;"'!$J$700")</f>
        <v>Not Calculated</v>
      </c>
      <c r="J8" s="277">
        <f ca="1">INDIRECT("'"&amp;$X8&amp;"'!$J$811")</f>
        <v>0.83333333333333337</v>
      </c>
      <c r="K8" s="277" t="str">
        <f ca="1">INDIRECT("'"&amp;$X8&amp;"'!$J$820")</f>
        <v>Not Calculated</v>
      </c>
      <c r="L8" s="277" t="str">
        <f ca="1">INDIRECT("'"&amp;$X8&amp;"'!$J$823")</f>
        <v>Not Calculated</v>
      </c>
      <c r="M8" s="277" t="str">
        <f ca="1">INDIRECT("'"&amp;$X8&amp;"'!$J$817")</f>
        <v>Not Calculated</v>
      </c>
      <c r="N8" s="277">
        <f ca="1">INDIRECT("'"&amp;$X8&amp;"'!$J$894")</f>
        <v>0</v>
      </c>
      <c r="O8" s="277">
        <f ca="1">INDIRECT("'"&amp;$X8&amp;"'!$J$936")</f>
        <v>0</v>
      </c>
      <c r="P8" s="277">
        <f ca="1">INDIRECT("'"&amp;$X8&amp;"'!$J$942")</f>
        <v>0</v>
      </c>
      <c r="Q8" s="277" t="str">
        <f ca="1">INDIRECT("'"&amp;$X8&amp;"'!$J$952")</f>
        <v>Not Calculated</v>
      </c>
      <c r="R8" s="277" t="str">
        <f ca="1">INDIRECT("'"&amp;$X8&amp;"'!$J$955")</f>
        <v>Not Calculated</v>
      </c>
      <c r="S8" s="277" t="str">
        <f ca="1">INDIRECT("'"&amp;$X8&amp;"'!$J$949")</f>
        <v>Not Calculated</v>
      </c>
      <c r="T8" s="276" t="str">
        <f ca="1">IF(Q8="Not Calculated","Not Calculated",RANK(Q8,$Q$7:$Q$37,0))</f>
        <v>Not Calculated</v>
      </c>
      <c r="U8" s="276" t="str">
        <f ca="1">IF(R8="Not Calculated","Not Calculated",RANK(R8,$R$7:$R$37,0))</f>
        <v>Not Calculated</v>
      </c>
      <c r="V8" s="276" t="str">
        <f ca="1">IF(S8="Not Calculated","Not Calculated",RANK(S8,$S$7:$S$37,0))</f>
        <v>Not Calculated</v>
      </c>
      <c r="X8" s="235" t="s">
        <v>15</v>
      </c>
    </row>
    <row r="9" spans="2:24" x14ac:dyDescent="0.2">
      <c r="B9" s="316" t="s">
        <v>603</v>
      </c>
      <c r="C9" s="276">
        <f t="shared" ref="C9:C27" ca="1" si="0">INDIRECT("'"&amp;$X9&amp;"'!$E$17")</f>
        <v>1</v>
      </c>
      <c r="D9" s="277" t="str">
        <f t="shared" ref="D9:D27" ca="1" si="1">INDIRECT("'"&amp;$X9&amp;"'!$J$690")</f>
        <v>Not Calculated</v>
      </c>
      <c r="E9" s="277" t="str">
        <f t="shared" ref="E9:E27" ca="1" si="2">INDIRECT("'"&amp;$X9&amp;"'!$J$693")</f>
        <v>Not Calculated</v>
      </c>
      <c r="F9" s="277" t="str">
        <f t="shared" ref="F9:F27" ca="1" si="3">INDIRECT("'"&amp;$X9&amp;"'!$J$687")</f>
        <v>Not Calculated</v>
      </c>
      <c r="G9" s="277" t="str">
        <f t="shared" ref="G9:G27" ca="1" si="4">INDIRECT("'"&amp;$X9&amp;"'!$J$703")</f>
        <v>Not Calculated</v>
      </c>
      <c r="H9" s="277" t="str">
        <f t="shared" ref="H9:H27" ca="1" si="5">INDIRECT("'"&amp;$X9&amp;"'!$J$706")</f>
        <v>Not Calculated</v>
      </c>
      <c r="I9" s="277" t="str">
        <f t="shared" ref="I9:I27" ca="1" si="6">INDIRECT("'"&amp;$X9&amp;"'!$J$700")</f>
        <v>Not Calculated</v>
      </c>
      <c r="J9" s="277">
        <f t="shared" ref="J9:J27" ca="1" si="7">INDIRECT("'"&amp;$X9&amp;"'!$J$811")</f>
        <v>1.3333333333333333</v>
      </c>
      <c r="K9" s="277" t="str">
        <f t="shared" ref="K9:K27" ca="1" si="8">INDIRECT("'"&amp;$X9&amp;"'!$J$820")</f>
        <v>Not Calculated</v>
      </c>
      <c r="L9" s="277" t="str">
        <f t="shared" ref="L9:L27" ca="1" si="9">INDIRECT("'"&amp;$X9&amp;"'!$J$823")</f>
        <v>Not Calculated</v>
      </c>
      <c r="M9" s="277" t="str">
        <f t="shared" ref="M9:M27" ca="1" si="10">INDIRECT("'"&amp;$X9&amp;"'!$J$817")</f>
        <v>Not Calculated</v>
      </c>
      <c r="N9" s="277">
        <f t="shared" ref="N9:N27" ca="1" si="11">INDIRECT("'"&amp;$X9&amp;"'!$J$894")</f>
        <v>0</v>
      </c>
      <c r="O9" s="277">
        <f t="shared" ref="O9:O27" ca="1" si="12">INDIRECT("'"&amp;$X9&amp;"'!$J$936")</f>
        <v>0</v>
      </c>
      <c r="P9" s="277">
        <f t="shared" ref="P9:P27" ca="1" si="13">INDIRECT("'"&amp;$X9&amp;"'!$J$942")</f>
        <v>0</v>
      </c>
      <c r="Q9" s="277" t="str">
        <f t="shared" ref="Q9:Q27" ca="1" si="14">INDIRECT("'"&amp;$X9&amp;"'!$J$952")</f>
        <v>Not Calculated</v>
      </c>
      <c r="R9" s="277" t="str">
        <f t="shared" ref="R9:R27" ca="1" si="15">INDIRECT("'"&amp;$X9&amp;"'!$J$955")</f>
        <v>Not Calculated</v>
      </c>
      <c r="S9" s="277" t="str">
        <f t="shared" ref="S9:S27" ca="1" si="16">INDIRECT("'"&amp;$X9&amp;"'!$J$949")</f>
        <v>Not Calculated</v>
      </c>
      <c r="T9" s="276" t="str">
        <f ca="1">IF(Q9="Not Calculated","Not Calculated",RANK(Q9,$Q$7:$Q$37,0))</f>
        <v>Not Calculated</v>
      </c>
      <c r="U9" s="276" t="str">
        <f t="shared" ref="U9:U26" ca="1" si="17">IF(R9="Not Calculated","Not Calculated",RANK(R9,$R$7:$R$37,0))</f>
        <v>Not Calculated</v>
      </c>
      <c r="V9" s="276" t="str">
        <f t="shared" ref="V9:V26" ca="1" si="18">IF(S9="Not Calculated","Not Calculated",RANK(S9,$S$7:$S$37,0))</f>
        <v>Not Calculated</v>
      </c>
      <c r="X9" s="235" t="s">
        <v>16</v>
      </c>
    </row>
    <row r="10" spans="2:24" x14ac:dyDescent="0.2">
      <c r="B10" s="316" t="s">
        <v>604</v>
      </c>
      <c r="C10" s="276">
        <f t="shared" ca="1" si="0"/>
        <v>1</v>
      </c>
      <c r="D10" s="277" t="str">
        <f t="shared" ca="1" si="1"/>
        <v>Not Calculated</v>
      </c>
      <c r="E10" s="277" t="str">
        <f t="shared" ca="1" si="2"/>
        <v>Not Calculated</v>
      </c>
      <c r="F10" s="277" t="str">
        <f t="shared" ca="1" si="3"/>
        <v>Not Calculated</v>
      </c>
      <c r="G10" s="277" t="str">
        <f t="shared" ca="1" si="4"/>
        <v>Not Calculated</v>
      </c>
      <c r="H10" s="277" t="str">
        <f t="shared" ca="1" si="5"/>
        <v>Not Calculated</v>
      </c>
      <c r="I10" s="277" t="str">
        <f t="shared" ca="1" si="6"/>
        <v>Not Calculated</v>
      </c>
      <c r="J10" s="277">
        <f t="shared" ca="1" si="7"/>
        <v>1.6666666666666667</v>
      </c>
      <c r="K10" s="277" t="str">
        <f t="shared" ca="1" si="8"/>
        <v>Not Calculated</v>
      </c>
      <c r="L10" s="277" t="str">
        <f t="shared" ca="1" si="9"/>
        <v>Not Calculated</v>
      </c>
      <c r="M10" s="277" t="str">
        <f t="shared" ca="1" si="10"/>
        <v>Not Calculated</v>
      </c>
      <c r="N10" s="277">
        <f t="shared" ca="1" si="11"/>
        <v>0</v>
      </c>
      <c r="O10" s="277">
        <f t="shared" ca="1" si="12"/>
        <v>0</v>
      </c>
      <c r="P10" s="277">
        <f t="shared" ca="1" si="13"/>
        <v>0</v>
      </c>
      <c r="Q10" s="277" t="str">
        <f t="shared" ca="1" si="14"/>
        <v>Not Calculated</v>
      </c>
      <c r="R10" s="277" t="str">
        <f t="shared" ca="1" si="15"/>
        <v>Not Calculated</v>
      </c>
      <c r="S10" s="277" t="str">
        <f t="shared" ca="1" si="16"/>
        <v>Not Calculated</v>
      </c>
      <c r="T10" s="276" t="str">
        <f t="shared" ref="T10:T26" ca="1" si="19">IF(Q10="Not Calculated","Not Calculated",RANK(Q10,$Q$7:$Q$37,0))</f>
        <v>Not Calculated</v>
      </c>
      <c r="U10" s="276" t="str">
        <f t="shared" ca="1" si="17"/>
        <v>Not Calculated</v>
      </c>
      <c r="V10" s="276" t="str">
        <f t="shared" ca="1" si="18"/>
        <v>Not Calculated</v>
      </c>
      <c r="X10" s="235" t="s">
        <v>17</v>
      </c>
    </row>
    <row r="11" spans="2:24" x14ac:dyDescent="0.2">
      <c r="B11" s="316" t="s">
        <v>14</v>
      </c>
      <c r="C11" s="276">
        <f t="shared" ca="1" si="0"/>
        <v>2</v>
      </c>
      <c r="D11" s="277" t="str">
        <f t="shared" ca="1" si="1"/>
        <v>Not Calculated</v>
      </c>
      <c r="E11" s="277" t="str">
        <f t="shared" ca="1" si="2"/>
        <v>Not Calculated</v>
      </c>
      <c r="F11" s="277" t="str">
        <f t="shared" ca="1" si="3"/>
        <v>Not Calculated</v>
      </c>
      <c r="G11" s="277" t="str">
        <f t="shared" ca="1" si="4"/>
        <v>Not Calculated</v>
      </c>
      <c r="H11" s="277" t="str">
        <f t="shared" ca="1" si="5"/>
        <v>Not Calculated</v>
      </c>
      <c r="I11" s="277" t="str">
        <f t="shared" ca="1" si="6"/>
        <v>Not Calculated</v>
      </c>
      <c r="J11" s="277">
        <f t="shared" ca="1" si="7"/>
        <v>0.83333333333333337</v>
      </c>
      <c r="K11" s="277" t="str">
        <f t="shared" ca="1" si="8"/>
        <v>Not Calculated</v>
      </c>
      <c r="L11" s="277" t="str">
        <f t="shared" ca="1" si="9"/>
        <v>Not Calculated</v>
      </c>
      <c r="M11" s="277" t="str">
        <f t="shared" ca="1" si="10"/>
        <v>Not Calculated</v>
      </c>
      <c r="N11" s="277">
        <f t="shared" ca="1" si="11"/>
        <v>0</v>
      </c>
      <c r="O11" s="277">
        <f t="shared" ca="1" si="12"/>
        <v>0</v>
      </c>
      <c r="P11" s="277">
        <f t="shared" ca="1" si="13"/>
        <v>0</v>
      </c>
      <c r="Q11" s="277" t="str">
        <f t="shared" ca="1" si="14"/>
        <v>Not Calculated</v>
      </c>
      <c r="R11" s="277" t="str">
        <f t="shared" ca="1" si="15"/>
        <v>Not Calculated</v>
      </c>
      <c r="S11" s="277" t="str">
        <f t="shared" ca="1" si="16"/>
        <v>Not Calculated</v>
      </c>
      <c r="T11" s="276" t="str">
        <f t="shared" ca="1" si="19"/>
        <v>Not Calculated</v>
      </c>
      <c r="U11" s="276" t="str">
        <f t="shared" ca="1" si="17"/>
        <v>Not Calculated</v>
      </c>
      <c r="V11" s="276" t="str">
        <f t="shared" ca="1" si="18"/>
        <v>Not Calculated</v>
      </c>
      <c r="X11" s="235" t="s">
        <v>14</v>
      </c>
    </row>
    <row r="12" spans="2:24" x14ac:dyDescent="0.2">
      <c r="B12" s="316" t="s">
        <v>3</v>
      </c>
      <c r="C12" s="276">
        <f t="shared" ca="1" si="0"/>
        <v>0</v>
      </c>
      <c r="D12" s="277" t="str">
        <f t="shared" ca="1" si="1"/>
        <v>Not Calculated</v>
      </c>
      <c r="E12" s="277" t="str">
        <f t="shared" ca="1" si="2"/>
        <v>Not Calculated</v>
      </c>
      <c r="F12" s="277" t="str">
        <f t="shared" ca="1" si="3"/>
        <v>Not Calculated</v>
      </c>
      <c r="G12" s="277" t="str">
        <f t="shared" ca="1" si="4"/>
        <v>Not Calculated</v>
      </c>
      <c r="H12" s="277" t="str">
        <f t="shared" ca="1" si="5"/>
        <v>Not Calculated</v>
      </c>
      <c r="I12" s="277" t="str">
        <f t="shared" ca="1" si="6"/>
        <v>Not Calculated</v>
      </c>
      <c r="J12" s="277">
        <f t="shared" ca="1" si="7"/>
        <v>1.6666666666666667</v>
      </c>
      <c r="K12" s="277" t="str">
        <f t="shared" ca="1" si="8"/>
        <v>Not Calculated</v>
      </c>
      <c r="L12" s="277" t="str">
        <f t="shared" ca="1" si="9"/>
        <v>Not Calculated</v>
      </c>
      <c r="M12" s="277" t="str">
        <f t="shared" ca="1" si="10"/>
        <v>Not Calculated</v>
      </c>
      <c r="N12" s="277">
        <f t="shared" ca="1" si="11"/>
        <v>0</v>
      </c>
      <c r="O12" s="277">
        <f t="shared" ca="1" si="12"/>
        <v>0</v>
      </c>
      <c r="P12" s="277">
        <f t="shared" ca="1" si="13"/>
        <v>0</v>
      </c>
      <c r="Q12" s="277" t="str">
        <f t="shared" ca="1" si="14"/>
        <v>Not Calculated</v>
      </c>
      <c r="R12" s="277" t="str">
        <f t="shared" ca="1" si="15"/>
        <v>Not Calculated</v>
      </c>
      <c r="S12" s="277" t="str">
        <f t="shared" ca="1" si="16"/>
        <v>Not Calculated</v>
      </c>
      <c r="T12" s="276" t="str">
        <f t="shared" ca="1" si="19"/>
        <v>Not Calculated</v>
      </c>
      <c r="U12" s="276" t="str">
        <f t="shared" ca="1" si="17"/>
        <v>Not Calculated</v>
      </c>
      <c r="V12" s="276" t="str">
        <f t="shared" ca="1" si="18"/>
        <v>Not Calculated</v>
      </c>
      <c r="X12" s="235" t="s">
        <v>3</v>
      </c>
    </row>
    <row r="13" spans="2:24" x14ac:dyDescent="0.2">
      <c r="B13" s="316" t="s">
        <v>605</v>
      </c>
      <c r="C13" s="276">
        <f t="shared" ca="1" si="0"/>
        <v>2</v>
      </c>
      <c r="D13" s="277" t="str">
        <f t="shared" ca="1" si="1"/>
        <v>Not Calculated</v>
      </c>
      <c r="E13" s="277" t="str">
        <f t="shared" ca="1" si="2"/>
        <v>Not Calculated</v>
      </c>
      <c r="F13" s="277" t="str">
        <f t="shared" ca="1" si="3"/>
        <v>Not Calculated</v>
      </c>
      <c r="G13" s="277" t="str">
        <f t="shared" ca="1" si="4"/>
        <v>Not Calculated</v>
      </c>
      <c r="H13" s="277" t="str">
        <f t="shared" ca="1" si="5"/>
        <v>Not Calculated</v>
      </c>
      <c r="I13" s="277" t="str">
        <f t="shared" ca="1" si="6"/>
        <v>Not Calculated</v>
      </c>
      <c r="J13" s="277">
        <f t="shared" ca="1" si="7"/>
        <v>1.7222222222222223</v>
      </c>
      <c r="K13" s="277" t="str">
        <f t="shared" ca="1" si="8"/>
        <v>Not Calculated</v>
      </c>
      <c r="L13" s="277" t="str">
        <f t="shared" ca="1" si="9"/>
        <v>Not Calculated</v>
      </c>
      <c r="M13" s="277" t="str">
        <f t="shared" ca="1" si="10"/>
        <v>Not Calculated</v>
      </c>
      <c r="N13" s="277">
        <f t="shared" ca="1" si="11"/>
        <v>0</v>
      </c>
      <c r="O13" s="277">
        <f t="shared" ca="1" si="12"/>
        <v>0</v>
      </c>
      <c r="P13" s="277">
        <f t="shared" ca="1" si="13"/>
        <v>0</v>
      </c>
      <c r="Q13" s="277" t="str">
        <f t="shared" ca="1" si="14"/>
        <v>Not Calculated</v>
      </c>
      <c r="R13" s="277" t="str">
        <f t="shared" ca="1" si="15"/>
        <v>Not Calculated</v>
      </c>
      <c r="S13" s="277" t="str">
        <f t="shared" ca="1" si="16"/>
        <v>Not Calculated</v>
      </c>
      <c r="T13" s="276" t="str">
        <f t="shared" ca="1" si="19"/>
        <v>Not Calculated</v>
      </c>
      <c r="U13" s="276" t="str">
        <f t="shared" ca="1" si="17"/>
        <v>Not Calculated</v>
      </c>
      <c r="V13" s="276" t="str">
        <f t="shared" ca="1" si="18"/>
        <v>Not Calculated</v>
      </c>
      <c r="X13" s="235" t="s">
        <v>18</v>
      </c>
    </row>
    <row r="14" spans="2:24" x14ac:dyDescent="0.2">
      <c r="B14" s="316" t="s">
        <v>382</v>
      </c>
      <c r="C14" s="276">
        <f t="shared" ca="1" si="0"/>
        <v>1</v>
      </c>
      <c r="D14" s="277" t="str">
        <f t="shared" ca="1" si="1"/>
        <v>Not Calculated</v>
      </c>
      <c r="E14" s="277" t="str">
        <f t="shared" ca="1" si="2"/>
        <v>Not Calculated</v>
      </c>
      <c r="F14" s="277" t="str">
        <f t="shared" ca="1" si="3"/>
        <v>Not Calculated</v>
      </c>
      <c r="G14" s="277" t="str">
        <f t="shared" ca="1" si="4"/>
        <v>Not Calculated</v>
      </c>
      <c r="H14" s="277" t="str">
        <f t="shared" ca="1" si="5"/>
        <v>Not Calculated</v>
      </c>
      <c r="I14" s="277" t="str">
        <f t="shared" ca="1" si="6"/>
        <v>Not Calculated</v>
      </c>
      <c r="J14" s="277">
        <f t="shared" ca="1" si="7"/>
        <v>0.33333333333333331</v>
      </c>
      <c r="K14" s="277" t="str">
        <f t="shared" ca="1" si="8"/>
        <v>Not Calculated</v>
      </c>
      <c r="L14" s="277" t="str">
        <f t="shared" ca="1" si="9"/>
        <v>Not Calculated</v>
      </c>
      <c r="M14" s="277" t="str">
        <f t="shared" ca="1" si="10"/>
        <v>Not Calculated</v>
      </c>
      <c r="N14" s="277">
        <f t="shared" ca="1" si="11"/>
        <v>0</v>
      </c>
      <c r="O14" s="277">
        <f t="shared" ca="1" si="12"/>
        <v>0</v>
      </c>
      <c r="P14" s="277">
        <f t="shared" ca="1" si="13"/>
        <v>0</v>
      </c>
      <c r="Q14" s="277" t="str">
        <f t="shared" ca="1" si="14"/>
        <v>Not Calculated</v>
      </c>
      <c r="R14" s="277" t="str">
        <f t="shared" ca="1" si="15"/>
        <v>Not Calculated</v>
      </c>
      <c r="S14" s="277" t="str">
        <f t="shared" ca="1" si="16"/>
        <v>Not Calculated</v>
      </c>
      <c r="T14" s="276" t="str">
        <f t="shared" ca="1" si="19"/>
        <v>Not Calculated</v>
      </c>
      <c r="U14" s="276" t="str">
        <f t="shared" ca="1" si="17"/>
        <v>Not Calculated</v>
      </c>
      <c r="V14" s="276" t="str">
        <f t="shared" ca="1" si="18"/>
        <v>Not Calculated</v>
      </c>
      <c r="X14" s="235" t="s">
        <v>382</v>
      </c>
    </row>
    <row r="15" spans="2:24" x14ac:dyDescent="0.2">
      <c r="B15" s="316" t="s">
        <v>10</v>
      </c>
      <c r="C15" s="276">
        <f t="shared" ca="1" si="0"/>
        <v>3</v>
      </c>
      <c r="D15" s="277" t="str">
        <f t="shared" ca="1" si="1"/>
        <v>Not Calculated</v>
      </c>
      <c r="E15" s="277" t="str">
        <f t="shared" ca="1" si="2"/>
        <v>Not Calculated</v>
      </c>
      <c r="F15" s="277" t="str">
        <f t="shared" ca="1" si="3"/>
        <v>Not Calculated</v>
      </c>
      <c r="G15" s="277" t="str">
        <f t="shared" ca="1" si="4"/>
        <v>Not Calculated</v>
      </c>
      <c r="H15" s="277" t="str">
        <f t="shared" ca="1" si="5"/>
        <v>Not Calculated</v>
      </c>
      <c r="I15" s="277" t="str">
        <f t="shared" ca="1" si="6"/>
        <v>Not Calculated</v>
      </c>
      <c r="J15" s="277">
        <f t="shared" ca="1" si="7"/>
        <v>0.83333333333333337</v>
      </c>
      <c r="K15" s="277" t="str">
        <f t="shared" ca="1" si="8"/>
        <v>Not Calculated</v>
      </c>
      <c r="L15" s="277" t="str">
        <f t="shared" ca="1" si="9"/>
        <v>Not Calculated</v>
      </c>
      <c r="M15" s="277" t="str">
        <f t="shared" ca="1" si="10"/>
        <v>Not Calculated</v>
      </c>
      <c r="N15" s="277">
        <f t="shared" ca="1" si="11"/>
        <v>0</v>
      </c>
      <c r="O15" s="277">
        <f t="shared" ca="1" si="12"/>
        <v>0</v>
      </c>
      <c r="P15" s="277">
        <f t="shared" ca="1" si="13"/>
        <v>0</v>
      </c>
      <c r="Q15" s="277" t="str">
        <f t="shared" ca="1" si="14"/>
        <v>Not Calculated</v>
      </c>
      <c r="R15" s="277" t="str">
        <f t="shared" ca="1" si="15"/>
        <v>Not Calculated</v>
      </c>
      <c r="S15" s="277" t="str">
        <f t="shared" ca="1" si="16"/>
        <v>Not Calculated</v>
      </c>
      <c r="T15" s="276" t="str">
        <f t="shared" ca="1" si="19"/>
        <v>Not Calculated</v>
      </c>
      <c r="U15" s="276" t="str">
        <f t="shared" ca="1" si="17"/>
        <v>Not Calculated</v>
      </c>
      <c r="V15" s="276" t="str">
        <f t="shared" ca="1" si="18"/>
        <v>Not Calculated</v>
      </c>
      <c r="X15" s="235" t="s">
        <v>10</v>
      </c>
    </row>
    <row r="16" spans="2:24" x14ac:dyDescent="0.2">
      <c r="B16" s="316" t="s">
        <v>11</v>
      </c>
      <c r="C16" s="276">
        <f t="shared" ca="1" si="0"/>
        <v>2</v>
      </c>
      <c r="D16" s="277" t="str">
        <f t="shared" ca="1" si="1"/>
        <v>Not Calculated</v>
      </c>
      <c r="E16" s="277" t="str">
        <f t="shared" ca="1" si="2"/>
        <v>Not Calculated</v>
      </c>
      <c r="F16" s="277" t="str">
        <f t="shared" ca="1" si="3"/>
        <v>Not Calculated</v>
      </c>
      <c r="G16" s="277" t="str">
        <f t="shared" ca="1" si="4"/>
        <v>Not Calculated</v>
      </c>
      <c r="H16" s="277" t="str">
        <f t="shared" ca="1" si="5"/>
        <v>Not Calculated</v>
      </c>
      <c r="I16" s="277" t="str">
        <f t="shared" ca="1" si="6"/>
        <v>Not Calculated</v>
      </c>
      <c r="J16" s="277">
        <f t="shared" ca="1" si="7"/>
        <v>0.33333333333333331</v>
      </c>
      <c r="K16" s="277" t="str">
        <f t="shared" ca="1" si="8"/>
        <v>Not Calculated</v>
      </c>
      <c r="L16" s="277" t="str">
        <f t="shared" ca="1" si="9"/>
        <v>Not Calculated</v>
      </c>
      <c r="M16" s="277" t="str">
        <f t="shared" ca="1" si="10"/>
        <v>Not Calculated</v>
      </c>
      <c r="N16" s="277">
        <f t="shared" ca="1" si="11"/>
        <v>0</v>
      </c>
      <c r="O16" s="277">
        <f t="shared" ca="1" si="12"/>
        <v>0</v>
      </c>
      <c r="P16" s="277">
        <f t="shared" ca="1" si="13"/>
        <v>0</v>
      </c>
      <c r="Q16" s="277" t="str">
        <f t="shared" ca="1" si="14"/>
        <v>Not Calculated</v>
      </c>
      <c r="R16" s="277" t="str">
        <f t="shared" ca="1" si="15"/>
        <v>Not Calculated</v>
      </c>
      <c r="S16" s="277" t="str">
        <f t="shared" ca="1" si="16"/>
        <v>Not Calculated</v>
      </c>
      <c r="T16" s="276" t="str">
        <f t="shared" ca="1" si="19"/>
        <v>Not Calculated</v>
      </c>
      <c r="U16" s="276" t="str">
        <f t="shared" ca="1" si="17"/>
        <v>Not Calculated</v>
      </c>
      <c r="V16" s="276" t="str">
        <f t="shared" ca="1" si="18"/>
        <v>Not Calculated</v>
      </c>
      <c r="X16" s="235" t="s">
        <v>11</v>
      </c>
    </row>
    <row r="17" spans="2:24" x14ac:dyDescent="0.2">
      <c r="B17" s="316" t="s">
        <v>4</v>
      </c>
      <c r="C17" s="276">
        <f t="shared" ca="1" si="0"/>
        <v>3</v>
      </c>
      <c r="D17" s="277" t="str">
        <f t="shared" ca="1" si="1"/>
        <v>Not Calculated</v>
      </c>
      <c r="E17" s="277" t="str">
        <f t="shared" ca="1" si="2"/>
        <v>Not Calculated</v>
      </c>
      <c r="F17" s="277" t="str">
        <f t="shared" ca="1" si="3"/>
        <v>Not Calculated</v>
      </c>
      <c r="G17" s="277" t="str">
        <f t="shared" ca="1" si="4"/>
        <v>Not Calculated</v>
      </c>
      <c r="H17" s="277" t="str">
        <f t="shared" ca="1" si="5"/>
        <v>Not Calculated</v>
      </c>
      <c r="I17" s="277" t="str">
        <f t="shared" ca="1" si="6"/>
        <v>Not Calculated</v>
      </c>
      <c r="J17" s="277">
        <f t="shared" ca="1" si="7"/>
        <v>1.6666666666666667</v>
      </c>
      <c r="K17" s="277" t="str">
        <f t="shared" ca="1" si="8"/>
        <v>Not Calculated</v>
      </c>
      <c r="L17" s="277" t="str">
        <f t="shared" ca="1" si="9"/>
        <v>Not Calculated</v>
      </c>
      <c r="M17" s="277" t="str">
        <f t="shared" ca="1" si="10"/>
        <v>Not Calculated</v>
      </c>
      <c r="N17" s="277">
        <f t="shared" ca="1" si="11"/>
        <v>0</v>
      </c>
      <c r="O17" s="277">
        <f t="shared" ca="1" si="12"/>
        <v>0</v>
      </c>
      <c r="P17" s="277">
        <f t="shared" ca="1" si="13"/>
        <v>0</v>
      </c>
      <c r="Q17" s="277" t="str">
        <f t="shared" ca="1" si="14"/>
        <v>Not Calculated</v>
      </c>
      <c r="R17" s="277" t="str">
        <f t="shared" ca="1" si="15"/>
        <v>Not Calculated</v>
      </c>
      <c r="S17" s="277" t="str">
        <f t="shared" ca="1" si="16"/>
        <v>Not Calculated</v>
      </c>
      <c r="T17" s="276" t="str">
        <f t="shared" ca="1" si="19"/>
        <v>Not Calculated</v>
      </c>
      <c r="U17" s="276" t="str">
        <f t="shared" ca="1" si="17"/>
        <v>Not Calculated</v>
      </c>
      <c r="V17" s="276" t="str">
        <f t="shared" ca="1" si="18"/>
        <v>Not Calculated</v>
      </c>
      <c r="X17" s="235" t="s">
        <v>4</v>
      </c>
    </row>
    <row r="18" spans="2:24" x14ac:dyDescent="0.2">
      <c r="B18" s="316" t="s">
        <v>606</v>
      </c>
      <c r="C18" s="276">
        <f t="shared" ca="1" si="0"/>
        <v>2</v>
      </c>
      <c r="D18" s="277" t="str">
        <f t="shared" ca="1" si="1"/>
        <v>Not Calculated</v>
      </c>
      <c r="E18" s="277" t="str">
        <f t="shared" ca="1" si="2"/>
        <v>Not Calculated</v>
      </c>
      <c r="F18" s="277" t="str">
        <f t="shared" ca="1" si="3"/>
        <v>Not Calculated</v>
      </c>
      <c r="G18" s="277" t="str">
        <f t="shared" ca="1" si="4"/>
        <v>Not Calculated</v>
      </c>
      <c r="H18" s="277" t="str">
        <f t="shared" ca="1" si="5"/>
        <v>Not Calculated</v>
      </c>
      <c r="I18" s="277" t="str">
        <f t="shared" ca="1" si="6"/>
        <v>Not Calculated</v>
      </c>
      <c r="J18" s="277">
        <f t="shared" ca="1" si="7"/>
        <v>1.6666666666666667</v>
      </c>
      <c r="K18" s="277" t="str">
        <f t="shared" ca="1" si="8"/>
        <v>Not Calculated</v>
      </c>
      <c r="L18" s="277" t="str">
        <f t="shared" ca="1" si="9"/>
        <v>Not Calculated</v>
      </c>
      <c r="M18" s="277" t="str">
        <f t="shared" ca="1" si="10"/>
        <v>Not Calculated</v>
      </c>
      <c r="N18" s="277">
        <f t="shared" ca="1" si="11"/>
        <v>0</v>
      </c>
      <c r="O18" s="277">
        <f t="shared" ca="1" si="12"/>
        <v>0</v>
      </c>
      <c r="P18" s="277">
        <f t="shared" ca="1" si="13"/>
        <v>0</v>
      </c>
      <c r="Q18" s="277" t="str">
        <f t="shared" ca="1" si="14"/>
        <v>Not Calculated</v>
      </c>
      <c r="R18" s="277" t="str">
        <f t="shared" ca="1" si="15"/>
        <v>Not Calculated</v>
      </c>
      <c r="S18" s="277" t="str">
        <f t="shared" ca="1" si="16"/>
        <v>Not Calculated</v>
      </c>
      <c r="T18" s="276" t="str">
        <f t="shared" ca="1" si="19"/>
        <v>Not Calculated</v>
      </c>
      <c r="U18" s="276" t="str">
        <f t="shared" ca="1" si="17"/>
        <v>Not Calculated</v>
      </c>
      <c r="V18" s="276" t="str">
        <f t="shared" ca="1" si="18"/>
        <v>Not Calculated</v>
      </c>
      <c r="X18" s="235" t="s">
        <v>20</v>
      </c>
    </row>
    <row r="19" spans="2:24" x14ac:dyDescent="0.2">
      <c r="B19" s="316" t="s">
        <v>607</v>
      </c>
      <c r="C19" s="276">
        <f t="shared" ca="1" si="0"/>
        <v>3</v>
      </c>
      <c r="D19" s="277" t="str">
        <f t="shared" ca="1" si="1"/>
        <v>Not Calculated</v>
      </c>
      <c r="E19" s="277" t="str">
        <f t="shared" ca="1" si="2"/>
        <v>Not Calculated</v>
      </c>
      <c r="F19" s="277" t="str">
        <f t="shared" ca="1" si="3"/>
        <v>Not Calculated</v>
      </c>
      <c r="G19" s="277" t="str">
        <f t="shared" ca="1" si="4"/>
        <v>Not Calculated</v>
      </c>
      <c r="H19" s="277" t="str">
        <f t="shared" ca="1" si="5"/>
        <v>Not Calculated</v>
      </c>
      <c r="I19" s="277" t="str">
        <f t="shared" ca="1" si="6"/>
        <v>Not Calculated</v>
      </c>
      <c r="J19" s="277">
        <f t="shared" ca="1" si="7"/>
        <v>0.88888888888888884</v>
      </c>
      <c r="K19" s="277" t="str">
        <f t="shared" ca="1" si="8"/>
        <v>Not Calculated</v>
      </c>
      <c r="L19" s="277" t="str">
        <f t="shared" ca="1" si="9"/>
        <v>Not Calculated</v>
      </c>
      <c r="M19" s="277" t="str">
        <f t="shared" ca="1" si="10"/>
        <v>Not Calculated</v>
      </c>
      <c r="N19" s="277">
        <f t="shared" ca="1" si="11"/>
        <v>0</v>
      </c>
      <c r="O19" s="277">
        <f t="shared" ca="1" si="12"/>
        <v>0</v>
      </c>
      <c r="P19" s="277">
        <f t="shared" ca="1" si="13"/>
        <v>0</v>
      </c>
      <c r="Q19" s="277" t="str">
        <f t="shared" ca="1" si="14"/>
        <v>Not Calculated</v>
      </c>
      <c r="R19" s="277" t="str">
        <f t="shared" ca="1" si="15"/>
        <v>Not Calculated</v>
      </c>
      <c r="S19" s="277" t="str">
        <f t="shared" ca="1" si="16"/>
        <v>Not Calculated</v>
      </c>
      <c r="T19" s="276" t="str">
        <f t="shared" ca="1" si="19"/>
        <v>Not Calculated</v>
      </c>
      <c r="U19" s="276" t="str">
        <f t="shared" ca="1" si="17"/>
        <v>Not Calculated</v>
      </c>
      <c r="V19" s="276" t="str">
        <f t="shared" ca="1" si="18"/>
        <v>Not Calculated</v>
      </c>
      <c r="X19" s="235" t="s">
        <v>8</v>
      </c>
    </row>
    <row r="20" spans="2:24" x14ac:dyDescent="0.2">
      <c r="B20" s="316" t="s">
        <v>608</v>
      </c>
      <c r="C20" s="276">
        <f t="shared" ca="1" si="0"/>
        <v>0</v>
      </c>
      <c r="D20" s="277" t="str">
        <f t="shared" ca="1" si="1"/>
        <v>Not Calculated</v>
      </c>
      <c r="E20" s="277" t="str">
        <f t="shared" ca="1" si="2"/>
        <v>Not Calculated</v>
      </c>
      <c r="F20" s="277" t="str">
        <f t="shared" ca="1" si="3"/>
        <v>Not Calculated</v>
      </c>
      <c r="G20" s="277" t="str">
        <f t="shared" ca="1" si="4"/>
        <v>Not Calculated</v>
      </c>
      <c r="H20" s="277" t="str">
        <f t="shared" ca="1" si="5"/>
        <v>Not Calculated</v>
      </c>
      <c r="I20" s="277" t="str">
        <f t="shared" ca="1" si="6"/>
        <v>Not Calculated</v>
      </c>
      <c r="J20" s="277">
        <f t="shared" ca="1" si="7"/>
        <v>1.6666666666666667</v>
      </c>
      <c r="K20" s="277" t="str">
        <f t="shared" ca="1" si="8"/>
        <v>Not Calculated</v>
      </c>
      <c r="L20" s="277" t="str">
        <f t="shared" ca="1" si="9"/>
        <v>Not Calculated</v>
      </c>
      <c r="M20" s="277" t="str">
        <f t="shared" ca="1" si="10"/>
        <v>Not Calculated</v>
      </c>
      <c r="N20" s="277">
        <f t="shared" ca="1" si="11"/>
        <v>0</v>
      </c>
      <c r="O20" s="277">
        <f t="shared" ca="1" si="12"/>
        <v>0</v>
      </c>
      <c r="P20" s="277">
        <f t="shared" ca="1" si="13"/>
        <v>0</v>
      </c>
      <c r="Q20" s="277" t="str">
        <f t="shared" ca="1" si="14"/>
        <v>Not Calculated</v>
      </c>
      <c r="R20" s="277" t="str">
        <f t="shared" ca="1" si="15"/>
        <v>Not Calculated</v>
      </c>
      <c r="S20" s="277" t="str">
        <f t="shared" ca="1" si="16"/>
        <v>Not Calculated</v>
      </c>
      <c r="T20" s="276" t="str">
        <f t="shared" ca="1" si="19"/>
        <v>Not Calculated</v>
      </c>
      <c r="U20" s="276" t="str">
        <f t="shared" ca="1" si="17"/>
        <v>Not Calculated</v>
      </c>
      <c r="V20" s="276" t="str">
        <f t="shared" ca="1" si="18"/>
        <v>Not Calculated</v>
      </c>
      <c r="X20" s="235" t="s">
        <v>13</v>
      </c>
    </row>
    <row r="21" spans="2:24" x14ac:dyDescent="0.2">
      <c r="B21" s="316" t="s">
        <v>9</v>
      </c>
      <c r="C21" s="276">
        <f t="shared" ca="1" si="0"/>
        <v>2</v>
      </c>
      <c r="D21" s="277" t="str">
        <f t="shared" ca="1" si="1"/>
        <v>Not Calculated</v>
      </c>
      <c r="E21" s="277" t="str">
        <f t="shared" ca="1" si="2"/>
        <v>Not Calculated</v>
      </c>
      <c r="F21" s="277" t="str">
        <f t="shared" ca="1" si="3"/>
        <v>Not Calculated</v>
      </c>
      <c r="G21" s="277" t="str">
        <f t="shared" ca="1" si="4"/>
        <v>Not Calculated</v>
      </c>
      <c r="H21" s="277" t="str">
        <f t="shared" ca="1" si="5"/>
        <v>Not Calculated</v>
      </c>
      <c r="I21" s="277" t="str">
        <f t="shared" ca="1" si="6"/>
        <v>Not Calculated</v>
      </c>
      <c r="J21" s="277">
        <f t="shared" ca="1" si="7"/>
        <v>0.94444444444444442</v>
      </c>
      <c r="K21" s="277" t="str">
        <f t="shared" ca="1" si="8"/>
        <v>Not Calculated</v>
      </c>
      <c r="L21" s="277" t="str">
        <f t="shared" ca="1" si="9"/>
        <v>Not Calculated</v>
      </c>
      <c r="M21" s="277" t="str">
        <f t="shared" ca="1" si="10"/>
        <v>Not Calculated</v>
      </c>
      <c r="N21" s="277">
        <f t="shared" ca="1" si="11"/>
        <v>0</v>
      </c>
      <c r="O21" s="277">
        <f t="shared" ca="1" si="12"/>
        <v>0</v>
      </c>
      <c r="P21" s="277">
        <f t="shared" ca="1" si="13"/>
        <v>0</v>
      </c>
      <c r="Q21" s="277" t="str">
        <f t="shared" ca="1" si="14"/>
        <v>Not Calculated</v>
      </c>
      <c r="R21" s="277" t="str">
        <f t="shared" ca="1" si="15"/>
        <v>Not Calculated</v>
      </c>
      <c r="S21" s="277" t="str">
        <f t="shared" ca="1" si="16"/>
        <v>Not Calculated</v>
      </c>
      <c r="T21" s="276" t="str">
        <f t="shared" ca="1" si="19"/>
        <v>Not Calculated</v>
      </c>
      <c r="U21" s="276" t="str">
        <f t="shared" ca="1" si="17"/>
        <v>Not Calculated</v>
      </c>
      <c r="V21" s="276" t="str">
        <f t="shared" ca="1" si="18"/>
        <v>Not Calculated</v>
      </c>
      <c r="X21" s="235" t="s">
        <v>9</v>
      </c>
    </row>
    <row r="22" spans="2:24" x14ac:dyDescent="0.2">
      <c r="B22" s="316" t="s">
        <v>609</v>
      </c>
      <c r="C22" s="276">
        <f t="shared" ca="1" si="0"/>
        <v>1</v>
      </c>
      <c r="D22" s="277" t="str">
        <f t="shared" ca="1" si="1"/>
        <v>Not Calculated</v>
      </c>
      <c r="E22" s="277" t="str">
        <f t="shared" ca="1" si="2"/>
        <v>Not Calculated</v>
      </c>
      <c r="F22" s="277" t="str">
        <f t="shared" ca="1" si="3"/>
        <v>Not Calculated</v>
      </c>
      <c r="G22" s="277" t="str">
        <f t="shared" ca="1" si="4"/>
        <v>Not Calculated</v>
      </c>
      <c r="H22" s="277" t="str">
        <f t="shared" ca="1" si="5"/>
        <v>Not Calculated</v>
      </c>
      <c r="I22" s="277" t="str">
        <f t="shared" ca="1" si="6"/>
        <v>Not Calculated</v>
      </c>
      <c r="J22" s="277">
        <f t="shared" ca="1" si="7"/>
        <v>1.8333333333333333</v>
      </c>
      <c r="K22" s="277" t="str">
        <f t="shared" ca="1" si="8"/>
        <v>Not Calculated</v>
      </c>
      <c r="L22" s="277" t="str">
        <f t="shared" ca="1" si="9"/>
        <v>Not Calculated</v>
      </c>
      <c r="M22" s="277" t="str">
        <f t="shared" ca="1" si="10"/>
        <v>Not Calculated</v>
      </c>
      <c r="N22" s="277">
        <f t="shared" ca="1" si="11"/>
        <v>0</v>
      </c>
      <c r="O22" s="277">
        <f t="shared" ca="1" si="12"/>
        <v>0</v>
      </c>
      <c r="P22" s="277">
        <f t="shared" ca="1" si="13"/>
        <v>0</v>
      </c>
      <c r="Q22" s="277" t="str">
        <f t="shared" ca="1" si="14"/>
        <v>Not Calculated</v>
      </c>
      <c r="R22" s="277" t="str">
        <f t="shared" ca="1" si="15"/>
        <v>Not Calculated</v>
      </c>
      <c r="S22" s="277" t="str">
        <f t="shared" ca="1" si="16"/>
        <v>Not Calculated</v>
      </c>
      <c r="T22" s="276" t="str">
        <f t="shared" ca="1" si="19"/>
        <v>Not Calculated</v>
      </c>
      <c r="U22" s="276" t="str">
        <f t="shared" ca="1" si="17"/>
        <v>Not Calculated</v>
      </c>
      <c r="V22" s="276" t="str">
        <f t="shared" ca="1" si="18"/>
        <v>Not Calculated</v>
      </c>
      <c r="X22" s="235" t="s">
        <v>19</v>
      </c>
    </row>
    <row r="23" spans="2:24" x14ac:dyDescent="0.2">
      <c r="B23" s="316" t="s">
        <v>610</v>
      </c>
      <c r="C23" s="276">
        <f t="shared" ca="1" si="0"/>
        <v>3</v>
      </c>
      <c r="D23" s="277" t="str">
        <f t="shared" ca="1" si="1"/>
        <v>Not Calculated</v>
      </c>
      <c r="E23" s="277" t="str">
        <f t="shared" ca="1" si="2"/>
        <v>Not Calculated</v>
      </c>
      <c r="F23" s="277" t="str">
        <f t="shared" ca="1" si="3"/>
        <v>Not Calculated</v>
      </c>
      <c r="G23" s="277" t="str">
        <f t="shared" ca="1" si="4"/>
        <v>Not Calculated</v>
      </c>
      <c r="H23" s="277" t="str">
        <f t="shared" ca="1" si="5"/>
        <v>Not Calculated</v>
      </c>
      <c r="I23" s="277" t="str">
        <f t="shared" ca="1" si="6"/>
        <v>Not Calculated</v>
      </c>
      <c r="J23" s="277">
        <f t="shared" ca="1" si="7"/>
        <v>1.3888888888888888</v>
      </c>
      <c r="K23" s="277" t="str">
        <f t="shared" ca="1" si="8"/>
        <v>Not Calculated</v>
      </c>
      <c r="L23" s="277" t="str">
        <f t="shared" ca="1" si="9"/>
        <v>Not Calculated</v>
      </c>
      <c r="M23" s="277" t="str">
        <f t="shared" ca="1" si="10"/>
        <v>Not Calculated</v>
      </c>
      <c r="N23" s="277">
        <f t="shared" ca="1" si="11"/>
        <v>0</v>
      </c>
      <c r="O23" s="277">
        <f t="shared" ca="1" si="12"/>
        <v>0</v>
      </c>
      <c r="P23" s="277">
        <f t="shared" ca="1" si="13"/>
        <v>0</v>
      </c>
      <c r="Q23" s="277" t="str">
        <f t="shared" ca="1" si="14"/>
        <v>Not Calculated</v>
      </c>
      <c r="R23" s="277" t="str">
        <f t="shared" ca="1" si="15"/>
        <v>Not Calculated</v>
      </c>
      <c r="S23" s="277" t="str">
        <f t="shared" ca="1" si="16"/>
        <v>Not Calculated</v>
      </c>
      <c r="T23" s="276" t="str">
        <f t="shared" ca="1" si="19"/>
        <v>Not Calculated</v>
      </c>
      <c r="U23" s="276" t="str">
        <f t="shared" ca="1" si="17"/>
        <v>Not Calculated</v>
      </c>
      <c r="V23" s="276" t="str">
        <f t="shared" ca="1" si="18"/>
        <v>Not Calculated</v>
      </c>
      <c r="X23" s="235" t="s">
        <v>6</v>
      </c>
    </row>
    <row r="24" spans="2:24" x14ac:dyDescent="0.2">
      <c r="B24" s="316" t="s">
        <v>7</v>
      </c>
      <c r="C24" s="276">
        <f t="shared" ca="1" si="0"/>
        <v>2</v>
      </c>
      <c r="D24" s="277" t="str">
        <f t="shared" ca="1" si="1"/>
        <v>Not Calculated</v>
      </c>
      <c r="E24" s="277" t="str">
        <f t="shared" ca="1" si="2"/>
        <v>Not Calculated</v>
      </c>
      <c r="F24" s="277" t="str">
        <f t="shared" ca="1" si="3"/>
        <v>Not Calculated</v>
      </c>
      <c r="G24" s="277" t="str">
        <f t="shared" ca="1" si="4"/>
        <v>Not Calculated</v>
      </c>
      <c r="H24" s="277" t="str">
        <f t="shared" ca="1" si="5"/>
        <v>Not Calculated</v>
      </c>
      <c r="I24" s="277" t="str">
        <f t="shared" ca="1" si="6"/>
        <v>Not Calculated</v>
      </c>
      <c r="J24" s="277">
        <f t="shared" ca="1" si="7"/>
        <v>1.4444444444444444</v>
      </c>
      <c r="K24" s="277" t="str">
        <f t="shared" ca="1" si="8"/>
        <v>Not Calculated</v>
      </c>
      <c r="L24" s="277" t="str">
        <f t="shared" ca="1" si="9"/>
        <v>Not Calculated</v>
      </c>
      <c r="M24" s="277" t="str">
        <f t="shared" ca="1" si="10"/>
        <v>Not Calculated</v>
      </c>
      <c r="N24" s="277">
        <f t="shared" ca="1" si="11"/>
        <v>0</v>
      </c>
      <c r="O24" s="277">
        <f t="shared" ca="1" si="12"/>
        <v>0</v>
      </c>
      <c r="P24" s="277">
        <f t="shared" ca="1" si="13"/>
        <v>0</v>
      </c>
      <c r="Q24" s="277" t="str">
        <f t="shared" ca="1" si="14"/>
        <v>Not Calculated</v>
      </c>
      <c r="R24" s="277" t="str">
        <f t="shared" ca="1" si="15"/>
        <v>Not Calculated</v>
      </c>
      <c r="S24" s="277" t="str">
        <f t="shared" ca="1" si="16"/>
        <v>Not Calculated</v>
      </c>
      <c r="T24" s="276" t="str">
        <f t="shared" ca="1" si="19"/>
        <v>Not Calculated</v>
      </c>
      <c r="U24" s="276" t="str">
        <f t="shared" ca="1" si="17"/>
        <v>Not Calculated</v>
      </c>
      <c r="V24" s="276" t="str">
        <f t="shared" ca="1" si="18"/>
        <v>Not Calculated</v>
      </c>
      <c r="X24" s="235" t="s">
        <v>7</v>
      </c>
    </row>
    <row r="25" spans="2:24" x14ac:dyDescent="0.2">
      <c r="B25" s="316" t="s">
        <v>611</v>
      </c>
      <c r="C25" s="276">
        <f t="shared" ca="1" si="0"/>
        <v>3</v>
      </c>
      <c r="D25" s="277" t="str">
        <f t="shared" ca="1" si="1"/>
        <v>Not Calculated</v>
      </c>
      <c r="E25" s="277" t="str">
        <f t="shared" ca="1" si="2"/>
        <v>Not Calculated</v>
      </c>
      <c r="F25" s="277" t="str">
        <f t="shared" ca="1" si="3"/>
        <v>Not Calculated</v>
      </c>
      <c r="G25" s="277" t="str">
        <f t="shared" ca="1" si="4"/>
        <v>Not Calculated</v>
      </c>
      <c r="H25" s="277" t="str">
        <f t="shared" ca="1" si="5"/>
        <v>Not Calculated</v>
      </c>
      <c r="I25" s="277" t="str">
        <f t="shared" ca="1" si="6"/>
        <v>Not Calculated</v>
      </c>
      <c r="J25" s="277">
        <f t="shared" ca="1" si="7"/>
        <v>1.2222222222222223</v>
      </c>
      <c r="K25" s="277" t="str">
        <f t="shared" ca="1" si="8"/>
        <v>Not Calculated</v>
      </c>
      <c r="L25" s="277" t="str">
        <f t="shared" ca="1" si="9"/>
        <v>Not Calculated</v>
      </c>
      <c r="M25" s="277" t="str">
        <f t="shared" ca="1" si="10"/>
        <v>Not Calculated</v>
      </c>
      <c r="N25" s="277">
        <f t="shared" ca="1" si="11"/>
        <v>0</v>
      </c>
      <c r="O25" s="277">
        <f t="shared" ca="1" si="12"/>
        <v>0</v>
      </c>
      <c r="P25" s="277">
        <f t="shared" ca="1" si="13"/>
        <v>0</v>
      </c>
      <c r="Q25" s="277" t="str">
        <f t="shared" ca="1" si="14"/>
        <v>Not Calculated</v>
      </c>
      <c r="R25" s="277" t="str">
        <f t="shared" ca="1" si="15"/>
        <v>Not Calculated</v>
      </c>
      <c r="S25" s="277" t="str">
        <f t="shared" ca="1" si="16"/>
        <v>Not Calculated</v>
      </c>
      <c r="T25" s="276" t="str">
        <f t="shared" ca="1" si="19"/>
        <v>Not Calculated</v>
      </c>
      <c r="U25" s="276" t="str">
        <f t="shared" ca="1" si="17"/>
        <v>Not Calculated</v>
      </c>
      <c r="V25" s="276" t="str">
        <f t="shared" ca="1" si="18"/>
        <v>Not Calculated</v>
      </c>
      <c r="X25" s="235" t="s">
        <v>12</v>
      </c>
    </row>
    <row r="26" spans="2:24" x14ac:dyDescent="0.2">
      <c r="B26" s="226" t="s">
        <v>1039</v>
      </c>
      <c r="C26" s="276">
        <f t="shared" ca="1" si="0"/>
        <v>0</v>
      </c>
      <c r="D26" s="277" t="str">
        <f t="shared" ca="1" si="1"/>
        <v>Not Calculated</v>
      </c>
      <c r="E26" s="277" t="str">
        <f t="shared" ca="1" si="2"/>
        <v>Not Calculated</v>
      </c>
      <c r="F26" s="277" t="str">
        <f t="shared" ca="1" si="3"/>
        <v>Not Calculated</v>
      </c>
      <c r="G26" s="277" t="str">
        <f t="shared" ca="1" si="4"/>
        <v>Not Calculated</v>
      </c>
      <c r="H26" s="277" t="str">
        <f t="shared" ca="1" si="5"/>
        <v>Not Calculated</v>
      </c>
      <c r="I26" s="277" t="str">
        <f t="shared" ca="1" si="6"/>
        <v>Not Calculated</v>
      </c>
      <c r="J26" s="277">
        <f t="shared" ca="1" si="7"/>
        <v>1.6666666666666667</v>
      </c>
      <c r="K26" s="277" t="str">
        <f t="shared" ca="1" si="8"/>
        <v>Not Calculated</v>
      </c>
      <c r="L26" s="277" t="str">
        <f t="shared" ca="1" si="9"/>
        <v>Not Calculated</v>
      </c>
      <c r="M26" s="277" t="str">
        <f t="shared" ca="1" si="10"/>
        <v>Not Calculated</v>
      </c>
      <c r="N26" s="277">
        <f t="shared" ca="1" si="11"/>
        <v>0</v>
      </c>
      <c r="O26" s="277">
        <f t="shared" ca="1" si="12"/>
        <v>0</v>
      </c>
      <c r="P26" s="277">
        <f t="shared" ca="1" si="13"/>
        <v>0</v>
      </c>
      <c r="Q26" s="277" t="str">
        <f t="shared" ca="1" si="14"/>
        <v>Not Calculated</v>
      </c>
      <c r="R26" s="277" t="str">
        <f t="shared" ca="1" si="15"/>
        <v>Not Calculated</v>
      </c>
      <c r="S26" s="277" t="str">
        <f t="shared" ca="1" si="16"/>
        <v>Not Calculated</v>
      </c>
      <c r="T26" s="276" t="str">
        <f t="shared" ca="1" si="19"/>
        <v>Not Calculated</v>
      </c>
      <c r="U26" s="276" t="str">
        <f t="shared" ca="1" si="17"/>
        <v>Not Calculated</v>
      </c>
      <c r="V26" s="276" t="str">
        <f t="shared" ca="1" si="18"/>
        <v>Not Calculated</v>
      </c>
      <c r="X26" s="235" t="s">
        <v>1039</v>
      </c>
    </row>
    <row r="27" spans="2:24" x14ac:dyDescent="0.2">
      <c r="B27" s="316" t="s">
        <v>5</v>
      </c>
      <c r="C27" s="276">
        <f t="shared" ca="1" si="0"/>
        <v>4</v>
      </c>
      <c r="D27" s="277" t="str">
        <f t="shared" ca="1" si="1"/>
        <v>Not Calculated</v>
      </c>
      <c r="E27" s="277" t="str">
        <f t="shared" ca="1" si="2"/>
        <v>Not Calculated</v>
      </c>
      <c r="F27" s="277" t="str">
        <f t="shared" ca="1" si="3"/>
        <v>Not Calculated</v>
      </c>
      <c r="G27" s="277" t="str">
        <f t="shared" ca="1" si="4"/>
        <v>Not Calculated</v>
      </c>
      <c r="H27" s="277" t="str">
        <f t="shared" ca="1" si="5"/>
        <v>Not Calculated</v>
      </c>
      <c r="I27" s="277" t="str">
        <f t="shared" ca="1" si="6"/>
        <v>Not Calculated</v>
      </c>
      <c r="J27" s="277">
        <f t="shared" ca="1" si="7"/>
        <v>0.83333333333333337</v>
      </c>
      <c r="K27" s="277" t="str">
        <f t="shared" ca="1" si="8"/>
        <v>Not Calculated</v>
      </c>
      <c r="L27" s="277" t="str">
        <f t="shared" ca="1" si="9"/>
        <v>Not Calculated</v>
      </c>
      <c r="M27" s="277" t="str">
        <f t="shared" ca="1" si="10"/>
        <v>Not Calculated</v>
      </c>
      <c r="N27" s="277">
        <f t="shared" ca="1" si="11"/>
        <v>0</v>
      </c>
      <c r="O27" s="277">
        <f t="shared" ca="1" si="12"/>
        <v>0</v>
      </c>
      <c r="P27" s="277">
        <f t="shared" ca="1" si="13"/>
        <v>0</v>
      </c>
      <c r="Q27" s="277" t="str">
        <f t="shared" ca="1" si="14"/>
        <v>Not Calculated</v>
      </c>
      <c r="R27" s="277" t="str">
        <f t="shared" ca="1" si="15"/>
        <v>Not Calculated</v>
      </c>
      <c r="S27" s="277" t="str">
        <f t="shared" ca="1" si="16"/>
        <v>Not Calculated</v>
      </c>
      <c r="T27" s="276" t="str">
        <f ca="1">IF(Q27="Not Calculated","Not Calculated",RANK(Q27,$Q$7:$Q$37,0))</f>
        <v>Not Calculated</v>
      </c>
      <c r="U27" s="276" t="str">
        <f ca="1">IF(R27="Not Calculated","Not Calculated",RANK(R27,$R$7:$R$37,0))</f>
        <v>Not Calculated</v>
      </c>
      <c r="V27" s="276" t="str">
        <f ca="1">IF(S27="Not Calculated","Not Calculated",RANK(S27,$S$7:$S$37,0))</f>
        <v>Not Calculated</v>
      </c>
      <c r="X27" s="235" t="s">
        <v>5</v>
      </c>
    </row>
    <row r="28" spans="2:24" hidden="1" x14ac:dyDescent="0.2">
      <c r="B28" s="316" t="str">
        <f ca="1">IF(INDIRECT("'"&amp;$X28&amp;"'!$G$3")=0,"",INDIRECT("'"&amp;$X28&amp;"'!$G$3"))</f>
        <v/>
      </c>
      <c r="C28" s="276" t="str">
        <f ca="1">IF(INDIRECT("'"&amp;$X28&amp;"'!$G$3")=0,"N/A",INDIRECT("'"&amp;$X28&amp;"'!$E$17"))</f>
        <v>N/A</v>
      </c>
      <c r="D28" s="277" t="str">
        <f ca="1">IF(INDIRECT("'"&amp;$X28&amp;"'!$G$3")=0,"N/A",INDIRECT("'"&amp;$X28&amp;"'!$J$690"))</f>
        <v>N/A</v>
      </c>
      <c r="E28" s="277" t="str">
        <f ca="1">IF(INDIRECT("'"&amp;$X28&amp;"'!$G$3")=0,"N/A",INDIRECT("'"&amp;$X28&amp;"'!$J$693"))</f>
        <v>N/A</v>
      </c>
      <c r="F28" s="277" t="str">
        <f ca="1">IF(INDIRECT("'"&amp;$X28&amp;"'!$G$3")=0,"N/A",INDIRECT("'"&amp;$X28&amp;"'!$J$687"))</f>
        <v>N/A</v>
      </c>
      <c r="G28" s="277" t="str">
        <f ca="1">IF(INDIRECT("'"&amp;$X28&amp;"'!$G$3")=0,"N/A",INDIRECT("'"&amp;$X28&amp;"'!$J$703"))</f>
        <v>N/A</v>
      </c>
      <c r="H28" s="277" t="str">
        <f ca="1">IF(INDIRECT("'"&amp;$X28&amp;"'!$G$3")=0,"N/A",INDIRECT("'"&amp;$X28&amp;"'!$J$706"))</f>
        <v>N/A</v>
      </c>
      <c r="I28" s="277" t="str">
        <f ca="1">IF(INDIRECT("'"&amp;$X28&amp;"'!$G$3")=0,"N/A",INDIRECT("'"&amp;$X28&amp;"'!$J$700"))</f>
        <v>N/A</v>
      </c>
      <c r="J28" s="277" t="str">
        <f ca="1">IF(INDIRECT("'"&amp;$X28&amp;"'!$G$3")=0,"N/A",INDIRECT("'"&amp;$X28&amp;"'!$J$811"))</f>
        <v>N/A</v>
      </c>
      <c r="K28" s="277" t="str">
        <f ca="1">IF(INDIRECT("'"&amp;$X28&amp;"'!$G$3")=0,"N/A",INDIRECT("'"&amp;$X28&amp;"'!$J$820"))</f>
        <v>N/A</v>
      </c>
      <c r="L28" s="277" t="str">
        <f ca="1">IF(INDIRECT("'"&amp;$X28&amp;"'!$G$3")=0,"N/A",INDIRECT("'"&amp;$X28&amp;"'!$J$823"))</f>
        <v>N/A</v>
      </c>
      <c r="M28" s="277" t="str">
        <f ca="1">IF(INDIRECT("'"&amp;$X28&amp;"'!$G$3")=0,"N/A",INDIRECT("'"&amp;$X28&amp;"'!$J$817"))</f>
        <v>N/A</v>
      </c>
      <c r="N28" s="277" t="str">
        <f ca="1">IF(INDIRECT("'"&amp;$X28&amp;"'!$G$3")=0,"N/A",INDIRECT("'"&amp;$X28&amp;"'!$J$894"))</f>
        <v>N/A</v>
      </c>
      <c r="O28" s="277" t="str">
        <f ca="1">IF(INDIRECT("'"&amp;$X28&amp;"'!$G$3")=0,"N/A",INDIRECT("'"&amp;$X28&amp;"'!$J$936"))</f>
        <v>N/A</v>
      </c>
      <c r="P28" s="277" t="str">
        <f ca="1">IF(INDIRECT("'"&amp;$X28&amp;"'!$G$3")=0,"N/A",INDIRECT("'"&amp;$X28&amp;"'!$J$942"))</f>
        <v>N/A</v>
      </c>
      <c r="Q28" s="277" t="str">
        <f ca="1">IF(INDIRECT("'"&amp;$X28&amp;"'!$G$3")=0,"N/A",INDIRECT("'"&amp;$X28&amp;"'!$J$952"))</f>
        <v>N/A</v>
      </c>
      <c r="R28" s="277" t="str">
        <f ca="1">IF(INDIRECT("'"&amp;$X28&amp;"'!$G$3")=0,"N/A",INDIRECT("'"&amp;$X28&amp;"'!$J$955"))</f>
        <v>N/A</v>
      </c>
      <c r="S28" s="277" t="str">
        <f ca="1">IF(INDIRECT("'"&amp;$X28&amp;"'!$G$3")=0,"N/A",INDIRECT("'"&amp;$X28&amp;"'!$J$949"))</f>
        <v>N/A</v>
      </c>
      <c r="T28" s="276" t="str">
        <f ca="1">IF(INDIRECT("'"&amp;$X28&amp;"'!$G$3")=0,"N/A",IF(Q28="Not Calculated","Not Calculated",RANK(Q28,$Q$7:$Q$37,0)))</f>
        <v>N/A</v>
      </c>
      <c r="U28" s="276" t="str">
        <f ca="1">IF(INDIRECT("'"&amp;$X28&amp;"'!$G$3")=0,"N/A",IF(R28="Not Calculated","Not Calculated",RANK(R28,$R$7:$R$37,0)))</f>
        <v>N/A</v>
      </c>
      <c r="V28" s="276" t="str">
        <f ca="1">IF(INDIRECT("'"&amp;$X28&amp;"'!$G$3")=0,"N/A",IF(S28="Not Calculated","Not Calculated",RANK(S28,$S$7:$S$37,0)))</f>
        <v>N/A</v>
      </c>
      <c r="X28" s="235" t="s">
        <v>1044</v>
      </c>
    </row>
    <row r="29" spans="2:24" hidden="1" x14ac:dyDescent="0.2">
      <c r="B29" s="316" t="str">
        <f t="shared" ref="B29:B37" ca="1" si="20">IF(INDIRECT("'"&amp;$X29&amp;"'!$G$3")=0,"",INDIRECT("'"&amp;$X29&amp;"'!$G$3"))</f>
        <v/>
      </c>
      <c r="C29" s="276" t="str">
        <f t="shared" ref="C29:C37" ca="1" si="21">IF(INDIRECT("'"&amp;$X29&amp;"'!$G$3")=0,"N/A",INDIRECT("'"&amp;$X29&amp;"'!$E$17"))</f>
        <v>N/A</v>
      </c>
      <c r="D29" s="277" t="str">
        <f t="shared" ref="D29:D37" ca="1" si="22">IF(INDIRECT("'"&amp;$X29&amp;"'!$G$3")=0,"N/A",INDIRECT("'"&amp;$X29&amp;"'!$J$690"))</f>
        <v>N/A</v>
      </c>
      <c r="E29" s="277" t="str">
        <f t="shared" ref="E29:E37" ca="1" si="23">IF(INDIRECT("'"&amp;$X29&amp;"'!$G$3")=0,"N/A",INDIRECT("'"&amp;$X29&amp;"'!$J$693"))</f>
        <v>N/A</v>
      </c>
      <c r="F29" s="277" t="str">
        <f t="shared" ref="F29:F37" ca="1" si="24">IF(INDIRECT("'"&amp;$X29&amp;"'!$G$3")=0,"N/A",INDIRECT("'"&amp;$X29&amp;"'!$J$687"))</f>
        <v>N/A</v>
      </c>
      <c r="G29" s="277" t="str">
        <f t="shared" ref="G29:G37" ca="1" si="25">IF(INDIRECT("'"&amp;$X29&amp;"'!$G$3")=0,"N/A",INDIRECT("'"&amp;$X29&amp;"'!$J$703"))</f>
        <v>N/A</v>
      </c>
      <c r="H29" s="277" t="str">
        <f t="shared" ref="H29:H37" ca="1" si="26">IF(INDIRECT("'"&amp;$X29&amp;"'!$G$3")=0,"N/A",INDIRECT("'"&amp;$X29&amp;"'!$J$706"))</f>
        <v>N/A</v>
      </c>
      <c r="I29" s="277" t="str">
        <f t="shared" ref="I29:I37" ca="1" si="27">IF(INDIRECT("'"&amp;$X29&amp;"'!$G$3")=0,"N/A",INDIRECT("'"&amp;$X29&amp;"'!$J$700"))</f>
        <v>N/A</v>
      </c>
      <c r="J29" s="277" t="str">
        <f t="shared" ref="J29:J37" ca="1" si="28">IF(INDIRECT("'"&amp;$X29&amp;"'!$G$3")=0,"N/A",INDIRECT("'"&amp;$X29&amp;"'!$J$811"))</f>
        <v>N/A</v>
      </c>
      <c r="K29" s="277" t="str">
        <f t="shared" ref="K29:K37" ca="1" si="29">IF(INDIRECT("'"&amp;$X29&amp;"'!$G$3")=0,"N/A",INDIRECT("'"&amp;$X29&amp;"'!$J$820"))</f>
        <v>N/A</v>
      </c>
      <c r="L29" s="277" t="str">
        <f t="shared" ref="L29:L37" ca="1" si="30">IF(INDIRECT("'"&amp;$X29&amp;"'!$G$3")=0,"N/A",INDIRECT("'"&amp;$X29&amp;"'!$J$823"))</f>
        <v>N/A</v>
      </c>
      <c r="M29" s="277" t="str">
        <f t="shared" ref="M29:M37" ca="1" si="31">IF(INDIRECT("'"&amp;$X29&amp;"'!$G$3")=0,"N/A",INDIRECT("'"&amp;$X29&amp;"'!$J$817"))</f>
        <v>N/A</v>
      </c>
      <c r="N29" s="277" t="str">
        <f t="shared" ref="N29:N37" ca="1" si="32">IF(INDIRECT("'"&amp;$X29&amp;"'!$G$3")=0,"N/A",INDIRECT("'"&amp;$X29&amp;"'!$J$894"))</f>
        <v>N/A</v>
      </c>
      <c r="O29" s="277" t="str">
        <f t="shared" ref="O29:O37" ca="1" si="33">IF(INDIRECT("'"&amp;$X29&amp;"'!$G$3")=0,"N/A",INDIRECT("'"&amp;$X29&amp;"'!$J$936"))</f>
        <v>N/A</v>
      </c>
      <c r="P29" s="277" t="str">
        <f t="shared" ref="P29:P37" ca="1" si="34">IF(INDIRECT("'"&amp;$X29&amp;"'!$G$3")=0,"N/A",INDIRECT("'"&amp;$X29&amp;"'!$J$942"))</f>
        <v>N/A</v>
      </c>
      <c r="Q29" s="277" t="str">
        <f t="shared" ref="Q29:Q37" ca="1" si="35">IF(INDIRECT("'"&amp;$X29&amp;"'!$G$3")=0,"N/A",INDIRECT("'"&amp;$X29&amp;"'!$J$952"))</f>
        <v>N/A</v>
      </c>
      <c r="R29" s="277" t="str">
        <f t="shared" ref="R29:R37" ca="1" si="36">IF(INDIRECT("'"&amp;$X29&amp;"'!$G$3")=0,"N/A",INDIRECT("'"&amp;$X29&amp;"'!$J$955"))</f>
        <v>N/A</v>
      </c>
      <c r="S29" s="277" t="str">
        <f t="shared" ref="S29:S37" ca="1" si="37">IF(INDIRECT("'"&amp;$X29&amp;"'!$G$3")=0,"N/A",INDIRECT("'"&amp;$X29&amp;"'!$J$949"))</f>
        <v>N/A</v>
      </c>
      <c r="T29" s="276" t="str">
        <f t="shared" ref="T29:T37" ca="1" si="38">IF(INDIRECT("'"&amp;$X29&amp;"'!$G$3")=0,"N/A",IF(Q29="Not Calculated","Not Calculated",RANK(Q29,$Q$7:$Q$37,0)))</f>
        <v>N/A</v>
      </c>
      <c r="U29" s="276" t="str">
        <f t="shared" ref="U29:U37" ca="1" si="39">IF(INDIRECT("'"&amp;$X29&amp;"'!$G$3")=0,"N/A",IF(R29="Not Calculated","Not Calculated",RANK(R29,$R$7:$R$37,0)))</f>
        <v>N/A</v>
      </c>
      <c r="V29" s="276" t="str">
        <f t="shared" ref="V29:V37" ca="1" si="40">IF(INDIRECT("'"&amp;$X29&amp;"'!$G$3")=0,"N/A",IF(S29="Not Calculated","Not Calculated",RANK(S29,$S$7:$S$37,0)))</f>
        <v>N/A</v>
      </c>
      <c r="X29" s="235" t="s">
        <v>1045</v>
      </c>
    </row>
    <row r="30" spans="2:24" hidden="1" x14ac:dyDescent="0.2">
      <c r="B30" s="316" t="str">
        <f t="shared" ca="1" si="20"/>
        <v/>
      </c>
      <c r="C30" s="276" t="str">
        <f t="shared" ca="1" si="21"/>
        <v>N/A</v>
      </c>
      <c r="D30" s="277" t="str">
        <f t="shared" ca="1" si="22"/>
        <v>N/A</v>
      </c>
      <c r="E30" s="277" t="str">
        <f t="shared" ca="1" si="23"/>
        <v>N/A</v>
      </c>
      <c r="F30" s="277" t="str">
        <f t="shared" ca="1" si="24"/>
        <v>N/A</v>
      </c>
      <c r="G30" s="277" t="str">
        <f t="shared" ca="1" si="25"/>
        <v>N/A</v>
      </c>
      <c r="H30" s="277" t="str">
        <f t="shared" ca="1" si="26"/>
        <v>N/A</v>
      </c>
      <c r="I30" s="277" t="str">
        <f t="shared" ca="1" si="27"/>
        <v>N/A</v>
      </c>
      <c r="J30" s="277" t="str">
        <f t="shared" ca="1" si="28"/>
        <v>N/A</v>
      </c>
      <c r="K30" s="277" t="str">
        <f t="shared" ca="1" si="29"/>
        <v>N/A</v>
      </c>
      <c r="L30" s="277" t="str">
        <f t="shared" ca="1" si="30"/>
        <v>N/A</v>
      </c>
      <c r="M30" s="277" t="str">
        <f t="shared" ca="1" si="31"/>
        <v>N/A</v>
      </c>
      <c r="N30" s="277" t="str">
        <f t="shared" ca="1" si="32"/>
        <v>N/A</v>
      </c>
      <c r="O30" s="277" t="str">
        <f t="shared" ca="1" si="33"/>
        <v>N/A</v>
      </c>
      <c r="P30" s="277" t="str">
        <f t="shared" ca="1" si="34"/>
        <v>N/A</v>
      </c>
      <c r="Q30" s="277" t="str">
        <f t="shared" ca="1" si="35"/>
        <v>N/A</v>
      </c>
      <c r="R30" s="277" t="str">
        <f t="shared" ca="1" si="36"/>
        <v>N/A</v>
      </c>
      <c r="S30" s="277" t="str">
        <f t="shared" ca="1" si="37"/>
        <v>N/A</v>
      </c>
      <c r="T30" s="276" t="str">
        <f t="shared" ca="1" si="38"/>
        <v>N/A</v>
      </c>
      <c r="U30" s="276" t="str">
        <f t="shared" ca="1" si="39"/>
        <v>N/A</v>
      </c>
      <c r="V30" s="276" t="str">
        <f t="shared" ca="1" si="40"/>
        <v>N/A</v>
      </c>
      <c r="X30" s="235" t="s">
        <v>1046</v>
      </c>
    </row>
    <row r="31" spans="2:24" hidden="1" x14ac:dyDescent="0.2">
      <c r="B31" s="316" t="str">
        <f t="shared" ca="1" si="20"/>
        <v/>
      </c>
      <c r="C31" s="276" t="str">
        <f t="shared" ca="1" si="21"/>
        <v>N/A</v>
      </c>
      <c r="D31" s="277" t="str">
        <f t="shared" ca="1" si="22"/>
        <v>N/A</v>
      </c>
      <c r="E31" s="277" t="str">
        <f t="shared" ca="1" si="23"/>
        <v>N/A</v>
      </c>
      <c r="F31" s="277" t="str">
        <f t="shared" ca="1" si="24"/>
        <v>N/A</v>
      </c>
      <c r="G31" s="277" t="str">
        <f t="shared" ca="1" si="25"/>
        <v>N/A</v>
      </c>
      <c r="H31" s="277" t="str">
        <f t="shared" ca="1" si="26"/>
        <v>N/A</v>
      </c>
      <c r="I31" s="277" t="str">
        <f t="shared" ca="1" si="27"/>
        <v>N/A</v>
      </c>
      <c r="J31" s="277" t="str">
        <f t="shared" ca="1" si="28"/>
        <v>N/A</v>
      </c>
      <c r="K31" s="277" t="str">
        <f t="shared" ca="1" si="29"/>
        <v>N/A</v>
      </c>
      <c r="L31" s="277" t="str">
        <f t="shared" ca="1" si="30"/>
        <v>N/A</v>
      </c>
      <c r="M31" s="277" t="str">
        <f t="shared" ca="1" si="31"/>
        <v>N/A</v>
      </c>
      <c r="N31" s="277" t="str">
        <f t="shared" ca="1" si="32"/>
        <v>N/A</v>
      </c>
      <c r="O31" s="277" t="str">
        <f t="shared" ca="1" si="33"/>
        <v>N/A</v>
      </c>
      <c r="P31" s="277" t="str">
        <f t="shared" ca="1" si="34"/>
        <v>N/A</v>
      </c>
      <c r="Q31" s="277" t="str">
        <f t="shared" ca="1" si="35"/>
        <v>N/A</v>
      </c>
      <c r="R31" s="277" t="str">
        <f t="shared" ca="1" si="36"/>
        <v>N/A</v>
      </c>
      <c r="S31" s="277" t="str">
        <f t="shared" ca="1" si="37"/>
        <v>N/A</v>
      </c>
      <c r="T31" s="276" t="str">
        <f t="shared" ca="1" si="38"/>
        <v>N/A</v>
      </c>
      <c r="U31" s="276" t="str">
        <f t="shared" ca="1" si="39"/>
        <v>N/A</v>
      </c>
      <c r="V31" s="276" t="str">
        <f t="shared" ca="1" si="40"/>
        <v>N/A</v>
      </c>
      <c r="X31" s="235" t="s">
        <v>1047</v>
      </c>
    </row>
    <row r="32" spans="2:24" hidden="1" x14ac:dyDescent="0.2">
      <c r="B32" s="316" t="str">
        <f t="shared" ca="1" si="20"/>
        <v/>
      </c>
      <c r="C32" s="276" t="str">
        <f t="shared" ca="1" si="21"/>
        <v>N/A</v>
      </c>
      <c r="D32" s="277" t="str">
        <f t="shared" ca="1" si="22"/>
        <v>N/A</v>
      </c>
      <c r="E32" s="277" t="str">
        <f t="shared" ca="1" si="23"/>
        <v>N/A</v>
      </c>
      <c r="F32" s="277" t="str">
        <f t="shared" ca="1" si="24"/>
        <v>N/A</v>
      </c>
      <c r="G32" s="277" t="str">
        <f t="shared" ca="1" si="25"/>
        <v>N/A</v>
      </c>
      <c r="H32" s="277" t="str">
        <f t="shared" ca="1" si="26"/>
        <v>N/A</v>
      </c>
      <c r="I32" s="277" t="str">
        <f t="shared" ca="1" si="27"/>
        <v>N/A</v>
      </c>
      <c r="J32" s="277" t="str">
        <f t="shared" ca="1" si="28"/>
        <v>N/A</v>
      </c>
      <c r="K32" s="277" t="str">
        <f t="shared" ca="1" si="29"/>
        <v>N/A</v>
      </c>
      <c r="L32" s="277" t="str">
        <f t="shared" ca="1" si="30"/>
        <v>N/A</v>
      </c>
      <c r="M32" s="277" t="str">
        <f t="shared" ca="1" si="31"/>
        <v>N/A</v>
      </c>
      <c r="N32" s="277" t="str">
        <f t="shared" ca="1" si="32"/>
        <v>N/A</v>
      </c>
      <c r="O32" s="277" t="str">
        <f t="shared" ca="1" si="33"/>
        <v>N/A</v>
      </c>
      <c r="P32" s="277" t="str">
        <f t="shared" ca="1" si="34"/>
        <v>N/A</v>
      </c>
      <c r="Q32" s="277" t="str">
        <f t="shared" ca="1" si="35"/>
        <v>N/A</v>
      </c>
      <c r="R32" s="277" t="str">
        <f t="shared" ca="1" si="36"/>
        <v>N/A</v>
      </c>
      <c r="S32" s="277" t="str">
        <f t="shared" ca="1" si="37"/>
        <v>N/A</v>
      </c>
      <c r="T32" s="276" t="str">
        <f t="shared" ca="1" si="38"/>
        <v>N/A</v>
      </c>
      <c r="U32" s="276" t="str">
        <f t="shared" ca="1" si="39"/>
        <v>N/A</v>
      </c>
      <c r="V32" s="276" t="str">
        <f t="shared" ca="1" si="40"/>
        <v>N/A</v>
      </c>
      <c r="X32" s="235" t="s">
        <v>1048</v>
      </c>
    </row>
    <row r="33" spans="2:24" hidden="1" x14ac:dyDescent="0.2">
      <c r="B33" s="316" t="str">
        <f t="shared" ca="1" si="20"/>
        <v/>
      </c>
      <c r="C33" s="276" t="str">
        <f t="shared" ca="1" si="21"/>
        <v>N/A</v>
      </c>
      <c r="D33" s="277" t="str">
        <f t="shared" ca="1" si="22"/>
        <v>N/A</v>
      </c>
      <c r="E33" s="277" t="str">
        <f t="shared" ca="1" si="23"/>
        <v>N/A</v>
      </c>
      <c r="F33" s="277" t="str">
        <f t="shared" ca="1" si="24"/>
        <v>N/A</v>
      </c>
      <c r="G33" s="277" t="str">
        <f t="shared" ca="1" si="25"/>
        <v>N/A</v>
      </c>
      <c r="H33" s="277" t="str">
        <f t="shared" ca="1" si="26"/>
        <v>N/A</v>
      </c>
      <c r="I33" s="277" t="str">
        <f t="shared" ca="1" si="27"/>
        <v>N/A</v>
      </c>
      <c r="J33" s="277" t="str">
        <f t="shared" ca="1" si="28"/>
        <v>N/A</v>
      </c>
      <c r="K33" s="277" t="str">
        <f t="shared" ca="1" si="29"/>
        <v>N/A</v>
      </c>
      <c r="L33" s="277" t="str">
        <f t="shared" ca="1" si="30"/>
        <v>N/A</v>
      </c>
      <c r="M33" s="277" t="str">
        <f t="shared" ca="1" si="31"/>
        <v>N/A</v>
      </c>
      <c r="N33" s="277" t="str">
        <f t="shared" ca="1" si="32"/>
        <v>N/A</v>
      </c>
      <c r="O33" s="277" t="str">
        <f t="shared" ca="1" si="33"/>
        <v>N/A</v>
      </c>
      <c r="P33" s="277" t="str">
        <f t="shared" ca="1" si="34"/>
        <v>N/A</v>
      </c>
      <c r="Q33" s="277" t="str">
        <f t="shared" ca="1" si="35"/>
        <v>N/A</v>
      </c>
      <c r="R33" s="277" t="str">
        <f t="shared" ca="1" si="36"/>
        <v>N/A</v>
      </c>
      <c r="S33" s="277" t="str">
        <f t="shared" ca="1" si="37"/>
        <v>N/A</v>
      </c>
      <c r="T33" s="276" t="str">
        <f t="shared" ca="1" si="38"/>
        <v>N/A</v>
      </c>
      <c r="U33" s="276" t="str">
        <f t="shared" ca="1" si="39"/>
        <v>N/A</v>
      </c>
      <c r="V33" s="276" t="str">
        <f t="shared" ca="1" si="40"/>
        <v>N/A</v>
      </c>
      <c r="X33" s="235" t="s">
        <v>1049</v>
      </c>
    </row>
    <row r="34" spans="2:24" hidden="1" x14ac:dyDescent="0.2">
      <c r="B34" s="316" t="str">
        <f t="shared" ca="1" si="20"/>
        <v/>
      </c>
      <c r="C34" s="276" t="str">
        <f t="shared" ca="1" si="21"/>
        <v>N/A</v>
      </c>
      <c r="D34" s="277" t="str">
        <f t="shared" ca="1" si="22"/>
        <v>N/A</v>
      </c>
      <c r="E34" s="277" t="str">
        <f t="shared" ca="1" si="23"/>
        <v>N/A</v>
      </c>
      <c r="F34" s="277" t="str">
        <f t="shared" ca="1" si="24"/>
        <v>N/A</v>
      </c>
      <c r="G34" s="277" t="str">
        <f t="shared" ca="1" si="25"/>
        <v>N/A</v>
      </c>
      <c r="H34" s="277" t="str">
        <f t="shared" ca="1" si="26"/>
        <v>N/A</v>
      </c>
      <c r="I34" s="277" t="str">
        <f t="shared" ca="1" si="27"/>
        <v>N/A</v>
      </c>
      <c r="J34" s="277" t="str">
        <f t="shared" ca="1" si="28"/>
        <v>N/A</v>
      </c>
      <c r="K34" s="277" t="str">
        <f t="shared" ca="1" si="29"/>
        <v>N/A</v>
      </c>
      <c r="L34" s="277" t="str">
        <f t="shared" ca="1" si="30"/>
        <v>N/A</v>
      </c>
      <c r="M34" s="277" t="str">
        <f t="shared" ca="1" si="31"/>
        <v>N/A</v>
      </c>
      <c r="N34" s="277" t="str">
        <f t="shared" ca="1" si="32"/>
        <v>N/A</v>
      </c>
      <c r="O34" s="277" t="str">
        <f t="shared" ca="1" si="33"/>
        <v>N/A</v>
      </c>
      <c r="P34" s="277" t="str">
        <f t="shared" ca="1" si="34"/>
        <v>N/A</v>
      </c>
      <c r="Q34" s="277" t="str">
        <f t="shared" ca="1" si="35"/>
        <v>N/A</v>
      </c>
      <c r="R34" s="277" t="str">
        <f t="shared" ca="1" si="36"/>
        <v>N/A</v>
      </c>
      <c r="S34" s="277" t="str">
        <f t="shared" ca="1" si="37"/>
        <v>N/A</v>
      </c>
      <c r="T34" s="276" t="str">
        <f t="shared" ca="1" si="38"/>
        <v>N/A</v>
      </c>
      <c r="U34" s="276" t="str">
        <f t="shared" ca="1" si="39"/>
        <v>N/A</v>
      </c>
      <c r="V34" s="276" t="str">
        <f t="shared" ca="1" si="40"/>
        <v>N/A</v>
      </c>
      <c r="X34" s="235" t="s">
        <v>1050</v>
      </c>
    </row>
    <row r="35" spans="2:24" hidden="1" x14ac:dyDescent="0.2">
      <c r="B35" s="316" t="str">
        <f t="shared" ca="1" si="20"/>
        <v/>
      </c>
      <c r="C35" s="276" t="str">
        <f t="shared" ca="1" si="21"/>
        <v>N/A</v>
      </c>
      <c r="D35" s="277" t="str">
        <f t="shared" ca="1" si="22"/>
        <v>N/A</v>
      </c>
      <c r="E35" s="277" t="str">
        <f t="shared" ca="1" si="23"/>
        <v>N/A</v>
      </c>
      <c r="F35" s="277" t="str">
        <f t="shared" ca="1" si="24"/>
        <v>N/A</v>
      </c>
      <c r="G35" s="277" t="str">
        <f t="shared" ca="1" si="25"/>
        <v>N/A</v>
      </c>
      <c r="H35" s="277" t="str">
        <f t="shared" ca="1" si="26"/>
        <v>N/A</v>
      </c>
      <c r="I35" s="277" t="str">
        <f t="shared" ca="1" si="27"/>
        <v>N/A</v>
      </c>
      <c r="J35" s="277" t="str">
        <f t="shared" ca="1" si="28"/>
        <v>N/A</v>
      </c>
      <c r="K35" s="277" t="str">
        <f t="shared" ca="1" si="29"/>
        <v>N/A</v>
      </c>
      <c r="L35" s="277" t="str">
        <f t="shared" ca="1" si="30"/>
        <v>N/A</v>
      </c>
      <c r="M35" s="277" t="str">
        <f t="shared" ca="1" si="31"/>
        <v>N/A</v>
      </c>
      <c r="N35" s="277" t="str">
        <f t="shared" ca="1" si="32"/>
        <v>N/A</v>
      </c>
      <c r="O35" s="277" t="str">
        <f t="shared" ca="1" si="33"/>
        <v>N/A</v>
      </c>
      <c r="P35" s="277" t="str">
        <f t="shared" ca="1" si="34"/>
        <v>N/A</v>
      </c>
      <c r="Q35" s="277" t="str">
        <f t="shared" ca="1" si="35"/>
        <v>N/A</v>
      </c>
      <c r="R35" s="277" t="str">
        <f t="shared" ca="1" si="36"/>
        <v>N/A</v>
      </c>
      <c r="S35" s="277" t="str">
        <f t="shared" ca="1" si="37"/>
        <v>N/A</v>
      </c>
      <c r="T35" s="276" t="str">
        <f t="shared" ca="1" si="38"/>
        <v>N/A</v>
      </c>
      <c r="U35" s="276" t="str">
        <f t="shared" ca="1" si="39"/>
        <v>N/A</v>
      </c>
      <c r="V35" s="276" t="str">
        <f t="shared" ca="1" si="40"/>
        <v>N/A</v>
      </c>
      <c r="X35" s="235" t="s">
        <v>1051</v>
      </c>
    </row>
    <row r="36" spans="2:24" hidden="1" x14ac:dyDescent="0.2">
      <c r="B36" s="316" t="str">
        <f t="shared" ca="1" si="20"/>
        <v/>
      </c>
      <c r="C36" s="276" t="str">
        <f t="shared" ca="1" si="21"/>
        <v>N/A</v>
      </c>
      <c r="D36" s="277" t="str">
        <f t="shared" ca="1" si="22"/>
        <v>N/A</v>
      </c>
      <c r="E36" s="277" t="str">
        <f t="shared" ca="1" si="23"/>
        <v>N/A</v>
      </c>
      <c r="F36" s="277" t="str">
        <f t="shared" ca="1" si="24"/>
        <v>N/A</v>
      </c>
      <c r="G36" s="277" t="str">
        <f t="shared" ca="1" si="25"/>
        <v>N/A</v>
      </c>
      <c r="H36" s="277" t="str">
        <f t="shared" ca="1" si="26"/>
        <v>N/A</v>
      </c>
      <c r="I36" s="277" t="str">
        <f t="shared" ca="1" si="27"/>
        <v>N/A</v>
      </c>
      <c r="J36" s="277" t="str">
        <f t="shared" ca="1" si="28"/>
        <v>N/A</v>
      </c>
      <c r="K36" s="277" t="str">
        <f t="shared" ca="1" si="29"/>
        <v>N/A</v>
      </c>
      <c r="L36" s="277" t="str">
        <f t="shared" ca="1" si="30"/>
        <v>N/A</v>
      </c>
      <c r="M36" s="277" t="str">
        <f t="shared" ca="1" si="31"/>
        <v>N/A</v>
      </c>
      <c r="N36" s="277" t="str">
        <f t="shared" ca="1" si="32"/>
        <v>N/A</v>
      </c>
      <c r="O36" s="277" t="str">
        <f t="shared" ca="1" si="33"/>
        <v>N/A</v>
      </c>
      <c r="P36" s="277" t="str">
        <f t="shared" ca="1" si="34"/>
        <v>N/A</v>
      </c>
      <c r="Q36" s="277" t="str">
        <f t="shared" ca="1" si="35"/>
        <v>N/A</v>
      </c>
      <c r="R36" s="277" t="str">
        <f t="shared" ca="1" si="36"/>
        <v>N/A</v>
      </c>
      <c r="S36" s="277" t="str">
        <f t="shared" ca="1" si="37"/>
        <v>N/A</v>
      </c>
      <c r="T36" s="276" t="str">
        <f t="shared" ca="1" si="38"/>
        <v>N/A</v>
      </c>
      <c r="U36" s="276" t="str">
        <f t="shared" ca="1" si="39"/>
        <v>N/A</v>
      </c>
      <c r="V36" s="276" t="str">
        <f t="shared" ca="1" si="40"/>
        <v>N/A</v>
      </c>
      <c r="X36" s="235" t="s">
        <v>1052</v>
      </c>
    </row>
    <row r="37" spans="2:24" hidden="1" x14ac:dyDescent="0.2">
      <c r="B37" s="316" t="str">
        <f t="shared" ca="1" si="20"/>
        <v/>
      </c>
      <c r="C37" s="276" t="str">
        <f t="shared" ca="1" si="21"/>
        <v>N/A</v>
      </c>
      <c r="D37" s="277" t="str">
        <f t="shared" ca="1" si="22"/>
        <v>N/A</v>
      </c>
      <c r="E37" s="277" t="str">
        <f t="shared" ca="1" si="23"/>
        <v>N/A</v>
      </c>
      <c r="F37" s="277" t="str">
        <f t="shared" ca="1" si="24"/>
        <v>N/A</v>
      </c>
      <c r="G37" s="277" t="str">
        <f t="shared" ca="1" si="25"/>
        <v>N/A</v>
      </c>
      <c r="H37" s="277" t="str">
        <f t="shared" ca="1" si="26"/>
        <v>N/A</v>
      </c>
      <c r="I37" s="277" t="str">
        <f t="shared" ca="1" si="27"/>
        <v>N/A</v>
      </c>
      <c r="J37" s="277" t="str">
        <f t="shared" ca="1" si="28"/>
        <v>N/A</v>
      </c>
      <c r="K37" s="277" t="str">
        <f t="shared" ca="1" si="29"/>
        <v>N/A</v>
      </c>
      <c r="L37" s="277" t="str">
        <f t="shared" ca="1" si="30"/>
        <v>N/A</v>
      </c>
      <c r="M37" s="277" t="str">
        <f t="shared" ca="1" si="31"/>
        <v>N/A</v>
      </c>
      <c r="N37" s="277" t="str">
        <f t="shared" ca="1" si="32"/>
        <v>N/A</v>
      </c>
      <c r="O37" s="277" t="str">
        <f t="shared" ca="1" si="33"/>
        <v>N/A</v>
      </c>
      <c r="P37" s="277" t="str">
        <f t="shared" ca="1" si="34"/>
        <v>N/A</v>
      </c>
      <c r="Q37" s="277" t="str">
        <f t="shared" ca="1" si="35"/>
        <v>N/A</v>
      </c>
      <c r="R37" s="277" t="str">
        <f t="shared" ca="1" si="36"/>
        <v>N/A</v>
      </c>
      <c r="S37" s="277" t="str">
        <f t="shared" ca="1" si="37"/>
        <v>N/A</v>
      </c>
      <c r="T37" s="276" t="str">
        <f t="shared" ca="1" si="38"/>
        <v>N/A</v>
      </c>
      <c r="U37" s="276" t="str">
        <f t="shared" ca="1" si="39"/>
        <v>N/A</v>
      </c>
      <c r="V37" s="276" t="str">
        <f t="shared" ca="1" si="40"/>
        <v>N/A</v>
      </c>
      <c r="X37" s="235" t="s">
        <v>1053</v>
      </c>
    </row>
    <row r="38" spans="2:24" x14ac:dyDescent="0.2">
      <c r="N38" s="31"/>
      <c r="O38" s="308"/>
      <c r="P38" s="31"/>
    </row>
    <row r="39" spans="2:24" x14ac:dyDescent="0.2">
      <c r="N39" s="31"/>
      <c r="O39" s="308"/>
      <c r="P39" s="31"/>
    </row>
    <row r="40" spans="2:24" x14ac:dyDescent="0.2">
      <c r="N40" s="31"/>
      <c r="O40" s="308"/>
      <c r="P40" s="31"/>
    </row>
    <row r="41" spans="2:24" x14ac:dyDescent="0.2">
      <c r="O41" s="235"/>
    </row>
    <row r="42" spans="2:24" x14ac:dyDescent="0.2">
      <c r="O42" s="235"/>
    </row>
  </sheetData>
  <sheetProtection selectLockedCells="1"/>
  <mergeCells count="9">
    <mergeCell ref="N6:P6"/>
    <mergeCell ref="Q6:S6"/>
    <mergeCell ref="T6:V6"/>
    <mergeCell ref="B6:B7"/>
    <mergeCell ref="D6:F6"/>
    <mergeCell ref="G6:I6"/>
    <mergeCell ref="K6:M6"/>
    <mergeCell ref="C6:C7"/>
    <mergeCell ref="J6:J7"/>
  </mergeCells>
  <conditionalFormatting sqref="C8:C27">
    <cfRule type="cellIs" dxfId="93" priority="169" operator="equal">
      <formula>"Not Calculated"</formula>
    </cfRule>
    <cfRule type="cellIs" dxfId="92" priority="182" operator="equal">
      <formula>2</formula>
    </cfRule>
    <cfRule type="cellIs" dxfId="91" priority="183" operator="greaterThanOrEqual">
      <formula>3</formula>
    </cfRule>
    <cfRule type="cellIs" dxfId="90" priority="184" operator="lessThanOrEqual">
      <formula>1</formula>
    </cfRule>
  </conditionalFormatting>
  <conditionalFormatting sqref="D8:F27">
    <cfRule type="cellIs" dxfId="89" priority="168" operator="equal">
      <formula>"Not Calculated"</formula>
    </cfRule>
    <cfRule type="cellIs" dxfId="88" priority="179" operator="lessThanOrEqual">
      <formula>1</formula>
    </cfRule>
    <cfRule type="cellIs" dxfId="87" priority="180" operator="lessThanOrEqual">
      <formula>2</formula>
    </cfRule>
    <cfRule type="cellIs" dxfId="86" priority="181" operator="greaterThan">
      <formula>2</formula>
    </cfRule>
  </conditionalFormatting>
  <conditionalFormatting sqref="J8:J27">
    <cfRule type="cellIs" dxfId="85" priority="166" operator="equal">
      <formula>"Not Calculated"</formula>
    </cfRule>
    <cfRule type="cellIs" dxfId="84" priority="173" operator="lessThanOrEqual">
      <formula>2</formula>
    </cfRule>
    <cfRule type="cellIs" dxfId="83" priority="174" operator="lessThanOrEqual">
      <formula>2.5</formula>
    </cfRule>
    <cfRule type="cellIs" dxfId="82" priority="175" operator="greaterThan">
      <formula>2.5</formula>
    </cfRule>
  </conditionalFormatting>
  <conditionalFormatting sqref="K8:M27">
    <cfRule type="cellIs" dxfId="81" priority="165" operator="equal">
      <formula>"Not Calculated"</formula>
    </cfRule>
    <cfRule type="cellIs" dxfId="80" priority="170" operator="lessThanOrEqual">
      <formula>15.6</formula>
    </cfRule>
    <cfRule type="cellIs" dxfId="79" priority="171" operator="lessThanOrEqual">
      <formula>31.25</formula>
    </cfRule>
    <cfRule type="cellIs" dxfId="78" priority="172" operator="greaterThan">
      <formula>31.25</formula>
    </cfRule>
  </conditionalFormatting>
  <conditionalFormatting sqref="G8:I27">
    <cfRule type="cellIs" dxfId="77" priority="125" operator="equal">
      <formula>"Not Calculated"</formula>
    </cfRule>
    <cfRule type="cellIs" dxfId="76" priority="126" operator="lessThanOrEqual">
      <formula>12.5</formula>
    </cfRule>
    <cfRule type="cellIs" dxfId="75" priority="127" operator="lessThanOrEqual">
      <formula>25</formula>
    </cfRule>
    <cfRule type="cellIs" dxfId="74" priority="128" operator="greaterThan">
      <formula>25</formula>
    </cfRule>
  </conditionalFormatting>
  <conditionalFormatting sqref="G28:I37">
    <cfRule type="containsText" dxfId="73" priority="78" operator="containsText" text="N/A">
      <formula>NOT(ISERROR(SEARCH("N/A",G28)))</formula>
    </cfRule>
    <cfRule type="cellIs" dxfId="72" priority="105" operator="equal">
      <formula>"Not Calculated"</formula>
    </cfRule>
    <cfRule type="cellIs" dxfId="71" priority="106" operator="lessThanOrEqual">
      <formula>12.5</formula>
    </cfRule>
    <cfRule type="cellIs" dxfId="70" priority="107" operator="lessThanOrEqual">
      <formula>25</formula>
    </cfRule>
    <cfRule type="cellIs" dxfId="69" priority="108" operator="greaterThan">
      <formula>25</formula>
    </cfRule>
  </conditionalFormatting>
  <conditionalFormatting sqref="C28:C37">
    <cfRule type="containsText" dxfId="68" priority="112" operator="containsText" text="N/A">
      <formula>NOT(ISERROR(SEARCH("N/A",C28)))</formula>
    </cfRule>
    <cfRule type="cellIs" dxfId="67" priority="122" operator="equal">
      <formula>"Not Calculated"</formula>
    </cfRule>
    <cfRule type="cellIs" dxfId="66" priority="123" operator="equal">
      <formula>2</formula>
    </cfRule>
    <cfRule type="cellIs" dxfId="65" priority="124" operator="greaterThanOrEqual">
      <formula>3</formula>
    </cfRule>
    <cfRule type="cellIs" dxfId="64" priority="186" operator="lessThanOrEqual">
      <formula>1</formula>
    </cfRule>
  </conditionalFormatting>
  <conditionalFormatting sqref="D28:F37">
    <cfRule type="containsText" dxfId="63" priority="79" operator="containsText" text="N/A">
      <formula>NOT(ISERROR(SEARCH("N/A",D28)))</formula>
    </cfRule>
    <cfRule type="cellIs" dxfId="62" priority="111" operator="equal">
      <formula>"Not Calculated"</formula>
    </cfRule>
    <cfRule type="cellIs" dxfId="61" priority="119" operator="lessThanOrEqual">
      <formula>1</formula>
    </cfRule>
    <cfRule type="cellIs" dxfId="60" priority="120" operator="lessThanOrEqual">
      <formula>2</formula>
    </cfRule>
    <cfRule type="cellIs" dxfId="59" priority="121" operator="greaterThan">
      <formula>2</formula>
    </cfRule>
  </conditionalFormatting>
  <conditionalFormatting sqref="J28:J37">
    <cfRule type="containsText" dxfId="58" priority="116" operator="containsText" text="N/A">
      <formula>NOT(ISERROR(SEARCH("N/A",J28)))</formula>
    </cfRule>
    <cfRule type="cellIs" dxfId="57" priority="117" operator="equal">
      <formula>"Not Calculated"</formula>
    </cfRule>
    <cfRule type="cellIs" dxfId="56" priority="118" operator="lessThanOrEqual">
      <formula>2</formula>
    </cfRule>
    <cfRule type="cellIs" dxfId="55" priority="187" operator="lessThanOrEqual">
      <formula>2.5</formula>
    </cfRule>
    <cfRule type="cellIs" dxfId="54" priority="188" operator="greaterThan">
      <formula>2.5</formula>
    </cfRule>
  </conditionalFormatting>
  <conditionalFormatting sqref="K28:M37">
    <cfRule type="containsText" dxfId="53" priority="76" operator="containsText" text="N/A">
      <formula>NOT(ISERROR(SEARCH("N/A",K28)))</formula>
    </cfRule>
    <cfRule type="cellIs" dxfId="52" priority="109" operator="equal">
      <formula>"Not Calculated"</formula>
    </cfRule>
    <cfRule type="cellIs" dxfId="51" priority="113" operator="lessThanOrEqual">
      <formula>15.6</formula>
    </cfRule>
    <cfRule type="cellIs" dxfId="50" priority="114" operator="lessThanOrEqual">
      <formula>31.25</formula>
    </cfRule>
    <cfRule type="cellIs" dxfId="49" priority="115" operator="greaterThan">
      <formula>31.25</formula>
    </cfRule>
  </conditionalFormatting>
  <conditionalFormatting sqref="N8:P27">
    <cfRule type="cellIs" dxfId="48" priority="50" operator="equal">
      <formula>"Not Calculated"</formula>
    </cfRule>
    <cfRule type="cellIs" dxfId="47" priority="70" operator="greaterThan">
      <formula>3</formula>
    </cfRule>
    <cfRule type="cellIs" dxfId="46" priority="71" operator="lessThanOrEqual">
      <formula>3</formula>
    </cfRule>
    <cfRule type="cellIs" dxfId="45" priority="72" operator="lessThanOrEqual">
      <formula>2</formula>
    </cfRule>
  </conditionalFormatting>
  <conditionalFormatting sqref="Q8:S27">
    <cfRule type="cellIs" dxfId="44" priority="66" operator="greaterThan">
      <formula>15.6</formula>
    </cfRule>
    <cfRule type="cellIs" dxfId="43" priority="67" operator="lessThanOrEqual">
      <formula>7.8</formula>
    </cfRule>
    <cfRule type="cellIs" dxfId="42" priority="68" operator="lessThanOrEqual">
      <formula>10.4</formula>
    </cfRule>
    <cfRule type="cellIs" dxfId="41" priority="69" operator="lessThanOrEqual">
      <formula>15.6</formula>
    </cfRule>
  </conditionalFormatting>
  <conditionalFormatting sqref="T8:T27">
    <cfRule type="expression" dxfId="40" priority="62">
      <formula>$Q8&lt;=7.8</formula>
    </cfRule>
    <cfRule type="expression" dxfId="39" priority="63">
      <formula>AND($Q8&lt;=10.4,$Q8&gt;7.8)=TRUE</formula>
    </cfRule>
    <cfRule type="expression" dxfId="38" priority="64">
      <formula>AND($Q8&lt;=15.6,$Q8&gt;10.4)=TRUE</formula>
    </cfRule>
    <cfRule type="expression" dxfId="37" priority="65">
      <formula>$Q8&gt;15.6</formula>
    </cfRule>
  </conditionalFormatting>
  <conditionalFormatting sqref="U8:U27">
    <cfRule type="expression" dxfId="36" priority="58">
      <formula>$R8&lt;=7.8</formula>
    </cfRule>
    <cfRule type="expression" dxfId="35" priority="59">
      <formula>AND($R8&lt;=10.4,$R8&gt;7.8)=TRUE</formula>
    </cfRule>
    <cfRule type="expression" dxfId="34" priority="60">
      <formula>AND($R8&lt;=15.6,$R8&gt;10.4)=TRUE</formula>
    </cfRule>
    <cfRule type="expression" dxfId="33" priority="61">
      <formula>$R8&gt;15.6</formula>
    </cfRule>
  </conditionalFormatting>
  <conditionalFormatting sqref="U8:U27">
    <cfRule type="expression" dxfId="32" priority="57">
      <formula>$R8="Not Calculated"</formula>
    </cfRule>
  </conditionalFormatting>
  <conditionalFormatting sqref="V8:V27">
    <cfRule type="expression" dxfId="31" priority="53">
      <formula>$S8&lt;=7.8</formula>
    </cfRule>
    <cfRule type="expression" dxfId="30" priority="54">
      <formula>AND($S8&lt;=10.4,$S8&gt;7.8)=TRUE</formula>
    </cfRule>
    <cfRule type="expression" dxfId="29" priority="55">
      <formula>AND($S8&lt;=15.6,$S8&gt;10.4)=TRUE</formula>
    </cfRule>
    <cfRule type="expression" dxfId="28" priority="56">
      <formula>$S8&gt;15.6</formula>
    </cfRule>
  </conditionalFormatting>
  <conditionalFormatting sqref="V8:V27">
    <cfRule type="expression" dxfId="27" priority="52">
      <formula>$S8="Not Calculated"</formula>
    </cfRule>
  </conditionalFormatting>
  <conditionalFormatting sqref="Q8:T27">
    <cfRule type="cellIs" dxfId="26" priority="51" operator="equal">
      <formula>"Not Calculated"</formula>
    </cfRule>
  </conditionalFormatting>
  <conditionalFormatting sqref="N28:P37">
    <cfRule type="containsText" dxfId="25" priority="3" operator="containsText" text="N/A">
      <formula>NOT(ISERROR(SEARCH("N/A",N28)))</formula>
    </cfRule>
    <cfRule type="cellIs" dxfId="24" priority="4" operator="equal">
      <formula>"Not Calculated"</formula>
    </cfRule>
    <cfRule type="cellIs" dxfId="23" priority="24" operator="greaterThan">
      <formula>3</formula>
    </cfRule>
    <cfRule type="cellIs" dxfId="22" priority="25" operator="lessThanOrEqual">
      <formula>3</formula>
    </cfRule>
    <cfRule type="cellIs" dxfId="21" priority="26" operator="lessThanOrEqual">
      <formula>2</formula>
    </cfRule>
  </conditionalFormatting>
  <conditionalFormatting sqref="Q28:S37">
    <cfRule type="containsText" dxfId="20" priority="2" operator="containsText" text="N/A">
      <formula>NOT(ISERROR(SEARCH("N/A",Q28)))</formula>
    </cfRule>
    <cfRule type="cellIs" dxfId="19" priority="20" operator="greaterThan">
      <formula>15.6</formula>
    </cfRule>
    <cfRule type="cellIs" dxfId="18" priority="21" operator="lessThanOrEqual">
      <formula>7.8</formula>
    </cfRule>
    <cfRule type="cellIs" dxfId="17" priority="22" operator="lessThanOrEqual">
      <formula>10.4</formula>
    </cfRule>
    <cfRule type="cellIs" dxfId="16" priority="23" operator="lessThanOrEqual">
      <formula>15.6</formula>
    </cfRule>
  </conditionalFormatting>
  <conditionalFormatting sqref="T28:T37">
    <cfRule type="expression" dxfId="15" priority="16">
      <formula>$Q28&lt;=7.8</formula>
    </cfRule>
    <cfRule type="expression" dxfId="14" priority="17">
      <formula>AND($Q28&lt;=10.4,$Q28&gt;7.8)=TRUE</formula>
    </cfRule>
    <cfRule type="expression" dxfId="13" priority="18">
      <formula>AND($Q28&lt;=15.6,$Q28&gt;10.4)=TRUE</formula>
    </cfRule>
    <cfRule type="expression" dxfId="12" priority="19">
      <formula>$Q28&gt;15.6</formula>
    </cfRule>
  </conditionalFormatting>
  <conditionalFormatting sqref="U28:U37">
    <cfRule type="expression" dxfId="11" priority="12">
      <formula>$R28&lt;=7.8</formula>
    </cfRule>
    <cfRule type="expression" dxfId="10" priority="13">
      <formula>AND($R28&lt;=10.4,$R28&gt;7.8)=TRUE</formula>
    </cfRule>
    <cfRule type="expression" dxfId="9" priority="14">
      <formula>AND($R28&lt;=15.6,$R28&gt;10.4)=TRUE</formula>
    </cfRule>
    <cfRule type="expression" dxfId="8" priority="15">
      <formula>$R28&gt;15.6</formula>
    </cfRule>
  </conditionalFormatting>
  <conditionalFormatting sqref="U28:U37">
    <cfRule type="expression" dxfId="7" priority="11">
      <formula>$R28="Not Calculated"</formula>
    </cfRule>
  </conditionalFormatting>
  <conditionalFormatting sqref="V28:V37">
    <cfRule type="expression" dxfId="6" priority="7">
      <formula>$S28&lt;=7.8</formula>
    </cfRule>
    <cfRule type="expression" dxfId="5" priority="8">
      <formula>AND($S28&lt;=10.4,$S28&gt;7.8)=TRUE</formula>
    </cfRule>
    <cfRule type="expression" dxfId="4" priority="9">
      <formula>AND($S28&lt;=15.6,$S28&gt;10.4)=TRUE</formula>
    </cfRule>
    <cfRule type="expression" dxfId="3" priority="10">
      <formula>$S28&gt;15.6</formula>
    </cfRule>
  </conditionalFormatting>
  <conditionalFormatting sqref="V28:V37">
    <cfRule type="expression" dxfId="2" priority="6">
      <formula>$S28="Not Calculated"</formula>
    </cfRule>
  </conditionalFormatting>
  <conditionalFormatting sqref="Q28:T37">
    <cfRule type="cellIs" dxfId="1" priority="5" operator="equal">
      <formula>"Not Calculated"</formula>
    </cfRule>
  </conditionalFormatting>
  <conditionalFormatting sqref="T28:V37">
    <cfRule type="containsText" dxfId="0" priority="1" operator="containsText" text="N/A">
      <formula>NOT(ISERROR(SEARCH("N/A",T28)))</formula>
    </cfRule>
  </conditionalFormatting>
  <pageMargins left="0.7" right="0.7" top="0.75" bottom="0.75" header="0.3" footer="0.3"/>
  <pageSetup fitToWidth="0" orientation="landscape" r:id="rId1"/>
  <colBreaks count="2" manualBreakCount="2">
    <brk id="9" max="41" man="1"/>
    <brk id="16" max="41" man="1"/>
  </col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6"/>
  <dimension ref="G1:N3"/>
  <sheetViews>
    <sheetView showGridLines="0" showRowColHeaders="0" zoomScaleNormal="100" workbookViewId="0"/>
  </sheetViews>
  <sheetFormatPr baseColWidth="10" defaultColWidth="9.1640625" defaultRowHeight="15" x14ac:dyDescent="0.2"/>
  <cols>
    <col min="1" max="16384" width="9.1640625" style="12"/>
  </cols>
  <sheetData>
    <row r="1" spans="7:14" x14ac:dyDescent="0.2">
      <c r="H1" s="29"/>
      <c r="I1" s="29"/>
    </row>
    <row r="2" spans="7:14" ht="33" x14ac:dyDescent="0.2">
      <c r="G2" s="16" t="s">
        <v>1038</v>
      </c>
      <c r="H2" s="29"/>
      <c r="I2" s="29"/>
    </row>
    <row r="3" spans="7:14" ht="23" x14ac:dyDescent="0.25">
      <c r="G3" s="30" t="s">
        <v>1041</v>
      </c>
      <c r="H3" s="29"/>
      <c r="I3" s="29"/>
      <c r="M3" s="31"/>
      <c r="N3" s="31"/>
    </row>
  </sheetData>
  <sheetProtection password="C7B0" sheet="1" objects="1" scenarios="1" selectLockedCells="1" selectUnlockedCells="1"/>
  <pageMargins left="0.7" right="0.7" top="0.75" bottom="0.75" header="0.3" footer="0.3"/>
  <pageSetup scale="70" orientation="portrait" r:id="rId1"/>
  <rowBreaks count="2" manualBreakCount="2">
    <brk id="63" max="16383" man="1"/>
    <brk id="121" max="16383" man="1"/>
  </row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9"/>
  <dimension ref="G1:N3"/>
  <sheetViews>
    <sheetView showGridLines="0" zoomScaleNormal="100" workbookViewId="0"/>
  </sheetViews>
  <sheetFormatPr baseColWidth="10" defaultColWidth="9.1640625" defaultRowHeight="15" x14ac:dyDescent="0.2"/>
  <cols>
    <col min="1" max="1" width="4.1640625" style="12" customWidth="1"/>
    <col min="2" max="16384" width="9.1640625" style="12"/>
  </cols>
  <sheetData>
    <row r="1" spans="7:14" x14ac:dyDescent="0.2">
      <c r="H1" s="29"/>
      <c r="I1" s="29"/>
    </row>
    <row r="2" spans="7:14" ht="33" x14ac:dyDescent="0.2">
      <c r="G2" s="16" t="s">
        <v>1038</v>
      </c>
      <c r="H2" s="29"/>
      <c r="I2" s="29"/>
    </row>
    <row r="3" spans="7:14" ht="23" x14ac:dyDescent="0.25">
      <c r="G3" s="30" t="s">
        <v>386</v>
      </c>
      <c r="H3" s="29"/>
      <c r="I3" s="29"/>
      <c r="M3" s="31"/>
      <c r="N3" s="31"/>
    </row>
  </sheetData>
  <sheetProtection password="C7B0" sheet="1" objects="1" scenarios="1" selectLockedCells="1"/>
  <pageMargins left="0.7" right="0.7" top="0.75" bottom="0.75" header="0.3" footer="0.3"/>
  <pageSetup scale="72" orientation="portrait" r:id="rId1"/>
  <rowBreaks count="1" manualBreakCount="1">
    <brk id="63" max="16383" man="1"/>
  </row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0"/>
  <dimension ref="G1:N3"/>
  <sheetViews>
    <sheetView showGridLines="0" showRowColHeaders="0" zoomScaleNormal="100" workbookViewId="0"/>
  </sheetViews>
  <sheetFormatPr baseColWidth="10" defaultColWidth="9.1640625" defaultRowHeight="15" x14ac:dyDescent="0.2"/>
  <cols>
    <col min="1" max="1" width="3.83203125" style="12" customWidth="1"/>
    <col min="2" max="16384" width="9.1640625" style="12"/>
  </cols>
  <sheetData>
    <row r="1" spans="7:14" x14ac:dyDescent="0.2">
      <c r="H1" s="29"/>
      <c r="I1" s="29"/>
    </row>
    <row r="2" spans="7:14" ht="33" x14ac:dyDescent="0.2">
      <c r="G2" s="16" t="s">
        <v>1038</v>
      </c>
      <c r="H2" s="29"/>
      <c r="I2" s="29"/>
    </row>
    <row r="3" spans="7:14" ht="23" x14ac:dyDescent="0.25">
      <c r="G3" s="30" t="s">
        <v>397</v>
      </c>
      <c r="H3" s="29"/>
      <c r="I3" s="29"/>
      <c r="M3" s="31"/>
      <c r="N3" s="31"/>
    </row>
  </sheetData>
  <sheetProtection password="C7B0" sheet="1" objects="1" scenarios="1" selectLockedCells="1"/>
  <pageMargins left="0.7" right="0.7" top="0.75" bottom="0.75" header="0.3" footer="0.3"/>
  <pageSetup scale="73"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1"/>
  <dimension ref="G1:N3"/>
  <sheetViews>
    <sheetView showGridLines="0" showRowColHeaders="0" zoomScaleNormal="100" workbookViewId="0"/>
  </sheetViews>
  <sheetFormatPr baseColWidth="10" defaultColWidth="9.1640625" defaultRowHeight="15" x14ac:dyDescent="0.2"/>
  <cols>
    <col min="1" max="1" width="3.83203125" style="12" customWidth="1"/>
    <col min="2" max="16384" width="9.1640625" style="12"/>
  </cols>
  <sheetData>
    <row r="1" spans="7:14" x14ac:dyDescent="0.2">
      <c r="H1" s="29"/>
      <c r="I1" s="29"/>
    </row>
    <row r="2" spans="7:14" ht="33" x14ac:dyDescent="0.2">
      <c r="G2" s="16" t="s">
        <v>1038</v>
      </c>
      <c r="H2" s="29"/>
      <c r="I2" s="29"/>
    </row>
    <row r="3" spans="7:14" ht="23" x14ac:dyDescent="0.25">
      <c r="G3" s="30" t="s">
        <v>232</v>
      </c>
      <c r="H3" s="29"/>
      <c r="I3" s="29"/>
      <c r="M3" s="31"/>
      <c r="N3" s="31"/>
    </row>
  </sheetData>
  <sheetProtection password="C7B0" sheet="1" objects="1" scenarios="1" selectLockedCells="1"/>
  <pageMargins left="0.7" right="0.7" top="0.75" bottom="0.75" header="0.3" footer="0.3"/>
  <pageSetup scale="73"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2"/>
  <dimension ref="D1:L66"/>
  <sheetViews>
    <sheetView showGridLines="0" showRowColHeaders="0" zoomScaleNormal="100" workbookViewId="0"/>
  </sheetViews>
  <sheetFormatPr baseColWidth="10" defaultColWidth="9.1640625" defaultRowHeight="15" x14ac:dyDescent="0.2"/>
  <cols>
    <col min="1" max="16384" width="9.1640625" style="12"/>
  </cols>
  <sheetData>
    <row r="1" spans="4:12" x14ac:dyDescent="0.2">
      <c r="I1" s="15"/>
      <c r="J1" s="15"/>
    </row>
    <row r="2" spans="4:12" ht="33" x14ac:dyDescent="0.2">
      <c r="H2" s="16" t="s">
        <v>24</v>
      </c>
      <c r="I2" s="15"/>
    </row>
    <row r="3" spans="4:12" ht="16.5" customHeight="1" thickBot="1" x14ac:dyDescent="0.25">
      <c r="G3" s="16"/>
      <c r="H3" s="15"/>
      <c r="I3" s="15"/>
    </row>
    <row r="4" spans="4:12" ht="16.5" customHeight="1" x14ac:dyDescent="0.2">
      <c r="D4" s="17"/>
      <c r="E4" s="18"/>
      <c r="F4" s="18"/>
      <c r="G4" s="18"/>
      <c r="H4" s="18"/>
      <c r="I4" s="18"/>
      <c r="J4" s="19"/>
      <c r="K4" s="19"/>
      <c r="L4" s="20"/>
    </row>
    <row r="5" spans="4:12" ht="16.5" customHeight="1" x14ac:dyDescent="0.2">
      <c r="D5" s="21"/>
      <c r="E5"/>
      <c r="F5"/>
      <c r="G5"/>
      <c r="H5" s="118" t="s">
        <v>383</v>
      </c>
      <c r="I5"/>
      <c r="J5" s="23"/>
      <c r="K5" s="23"/>
      <c r="L5" s="24"/>
    </row>
    <row r="6" spans="4:12" ht="16.5" customHeight="1" x14ac:dyDescent="0.2">
      <c r="D6" s="21"/>
      <c r="E6"/>
      <c r="F6"/>
      <c r="G6"/>
      <c r="H6"/>
      <c r="I6"/>
      <c r="J6"/>
      <c r="K6"/>
      <c r="L6" s="24"/>
    </row>
    <row r="7" spans="4:12" ht="16.5" customHeight="1" x14ac:dyDescent="0.2">
      <c r="D7" s="21"/>
      <c r="E7"/>
      <c r="F7"/>
      <c r="G7"/>
      <c r="H7"/>
      <c r="I7"/>
      <c r="J7"/>
      <c r="K7"/>
      <c r="L7" s="24"/>
    </row>
    <row r="8" spans="4:12" ht="16.5" customHeight="1" x14ac:dyDescent="0.2">
      <c r="D8" s="21"/>
      <c r="E8"/>
      <c r="F8"/>
      <c r="G8" s="23"/>
      <c r="H8" s="23"/>
      <c r="I8" s="23"/>
      <c r="J8"/>
      <c r="K8"/>
      <c r="L8" s="24"/>
    </row>
    <row r="9" spans="4:12" ht="16.5" customHeight="1" x14ac:dyDescent="0.2">
      <c r="D9" s="21"/>
      <c r="E9"/>
      <c r="F9"/>
      <c r="G9"/>
      <c r="H9"/>
      <c r="I9"/>
      <c r="J9"/>
      <c r="K9"/>
      <c r="L9" s="24"/>
    </row>
    <row r="10" spans="4:12" ht="16.5" customHeight="1" x14ac:dyDescent="0.2">
      <c r="D10" s="21"/>
      <c r="E10"/>
      <c r="F10"/>
      <c r="G10" s="23"/>
      <c r="H10" s="23"/>
      <c r="I10" s="23"/>
      <c r="J10"/>
      <c r="K10"/>
      <c r="L10" s="24"/>
    </row>
    <row r="11" spans="4:12" ht="16.5" customHeight="1" x14ac:dyDescent="0.2">
      <c r="D11" s="21"/>
      <c r="E11"/>
      <c r="F11"/>
      <c r="G11"/>
      <c r="H11"/>
      <c r="I11"/>
      <c r="J11"/>
      <c r="K11"/>
      <c r="L11" s="24"/>
    </row>
    <row r="12" spans="4:12" ht="16.5" customHeight="1" x14ac:dyDescent="0.2">
      <c r="D12" s="21"/>
      <c r="E12"/>
      <c r="F12"/>
      <c r="G12" s="23"/>
      <c r="H12" s="23"/>
      <c r="I12" s="23"/>
      <c r="J12"/>
      <c r="K12"/>
      <c r="L12" s="24"/>
    </row>
    <row r="13" spans="4:12" ht="16.5" customHeight="1" x14ac:dyDescent="0.2">
      <c r="D13" s="21"/>
      <c r="E13"/>
      <c r="F13"/>
      <c r="G13"/>
      <c r="H13"/>
      <c r="I13"/>
      <c r="J13"/>
      <c r="K13"/>
      <c r="L13" s="24"/>
    </row>
    <row r="14" spans="4:12" ht="16.5" customHeight="1" x14ac:dyDescent="0.2">
      <c r="D14" s="21"/>
      <c r="E14"/>
      <c r="F14"/>
      <c r="G14" s="23"/>
      <c r="H14" s="23"/>
      <c r="I14" s="23"/>
      <c r="J14"/>
      <c r="K14"/>
      <c r="L14" s="24"/>
    </row>
    <row r="15" spans="4:12" ht="16.5" customHeight="1" x14ac:dyDescent="0.2">
      <c r="D15" s="21"/>
      <c r="E15"/>
      <c r="F15"/>
      <c r="G15"/>
      <c r="H15"/>
      <c r="I15"/>
      <c r="J15"/>
      <c r="K15"/>
      <c r="L15" s="24"/>
    </row>
    <row r="16" spans="4:12" ht="16.5" customHeight="1" x14ac:dyDescent="0.2">
      <c r="D16" s="21"/>
      <c r="E16"/>
      <c r="F16"/>
      <c r="G16" s="23"/>
      <c r="H16" s="23"/>
      <c r="I16" s="23"/>
      <c r="J16"/>
      <c r="K16"/>
      <c r="L16" s="24"/>
    </row>
    <row r="17" spans="4:12" ht="16.5" customHeight="1" x14ac:dyDescent="0.2">
      <c r="D17" s="21"/>
      <c r="E17"/>
      <c r="F17"/>
      <c r="G17"/>
      <c r="H17"/>
      <c r="I17"/>
      <c r="J17"/>
      <c r="K17"/>
      <c r="L17" s="24"/>
    </row>
    <row r="18" spans="4:12" ht="16.5" customHeight="1" x14ac:dyDescent="0.2">
      <c r="D18" s="21"/>
      <c r="E18"/>
      <c r="F18"/>
      <c r="G18" s="23"/>
      <c r="H18" s="23"/>
      <c r="I18" s="23"/>
      <c r="J18"/>
      <c r="K18"/>
      <c r="L18" s="24"/>
    </row>
    <row r="19" spans="4:12" ht="16.5" customHeight="1" x14ac:dyDescent="0.2">
      <c r="D19" s="21"/>
      <c r="E19"/>
      <c r="F19"/>
      <c r="G19"/>
      <c r="H19"/>
      <c r="I19"/>
      <c r="J19"/>
      <c r="K19"/>
      <c r="L19" s="24"/>
    </row>
    <row r="20" spans="4:12" ht="16.5" customHeight="1" x14ac:dyDescent="0.2">
      <c r="D20" s="21"/>
      <c r="E20"/>
      <c r="F20"/>
      <c r="G20" s="23"/>
      <c r="H20" s="23"/>
      <c r="I20" s="23"/>
      <c r="J20"/>
      <c r="K20"/>
      <c r="L20" s="24"/>
    </row>
    <row r="21" spans="4:12" ht="16.5" customHeight="1" x14ac:dyDescent="0.2">
      <c r="D21" s="21"/>
      <c r="E21"/>
      <c r="F21"/>
      <c r="G21"/>
      <c r="H21"/>
      <c r="I21"/>
      <c r="J21"/>
      <c r="K21"/>
      <c r="L21" s="24"/>
    </row>
    <row r="22" spans="4:12" ht="16.5" customHeight="1" x14ac:dyDescent="0.2">
      <c r="D22" s="21"/>
      <c r="E22"/>
      <c r="F22"/>
      <c r="G22" s="23"/>
      <c r="H22" s="23"/>
      <c r="I22" s="23"/>
      <c r="J22"/>
      <c r="K22"/>
      <c r="L22" s="24"/>
    </row>
    <row r="23" spans="4:12" ht="16.5" customHeight="1" x14ac:dyDescent="0.2">
      <c r="D23" s="21"/>
      <c r="E23"/>
      <c r="F23"/>
      <c r="G23"/>
      <c r="H23"/>
      <c r="I23"/>
      <c r="J23"/>
      <c r="K23"/>
      <c r="L23" s="24"/>
    </row>
    <row r="24" spans="4:12" ht="16.5" customHeight="1" x14ac:dyDescent="0.2">
      <c r="D24" s="21"/>
      <c r="E24"/>
      <c r="F24"/>
      <c r="G24" s="23"/>
      <c r="H24" s="23"/>
      <c r="I24" s="23"/>
      <c r="J24"/>
      <c r="K24"/>
      <c r="L24" s="24"/>
    </row>
    <row r="25" spans="4:12" ht="16.5" customHeight="1" x14ac:dyDescent="0.2">
      <c r="D25" s="21"/>
      <c r="E25"/>
      <c r="F25"/>
      <c r="G25"/>
      <c r="H25"/>
      <c r="I25"/>
      <c r="J25"/>
      <c r="K25"/>
      <c r="L25" s="24"/>
    </row>
    <row r="26" spans="4:12" ht="16.5" customHeight="1" x14ac:dyDescent="0.2">
      <c r="D26" s="21"/>
      <c r="E26"/>
      <c r="F26"/>
      <c r="G26" s="23"/>
      <c r="H26" s="23"/>
      <c r="I26" s="23"/>
      <c r="J26"/>
      <c r="K26"/>
      <c r="L26" s="24"/>
    </row>
    <row r="27" spans="4:12" ht="16.5" customHeight="1" x14ac:dyDescent="0.2">
      <c r="D27" s="21"/>
      <c r="E27"/>
      <c r="F27"/>
      <c r="G27"/>
      <c r="H27"/>
      <c r="I27"/>
      <c r="J27"/>
      <c r="K27"/>
      <c r="L27" s="24"/>
    </row>
    <row r="28" spans="4:12" ht="16.5" customHeight="1" x14ac:dyDescent="0.2">
      <c r="D28" s="21"/>
      <c r="E28"/>
      <c r="F28"/>
      <c r="G28" s="23"/>
      <c r="H28" s="23"/>
      <c r="I28" s="23"/>
      <c r="J28"/>
      <c r="K28"/>
      <c r="L28" s="24"/>
    </row>
    <row r="29" spans="4:12" ht="16.5" customHeight="1" x14ac:dyDescent="0.2">
      <c r="D29" s="21"/>
      <c r="E29"/>
      <c r="F29"/>
      <c r="G29"/>
      <c r="H29"/>
      <c r="I29"/>
      <c r="J29"/>
      <c r="K29"/>
      <c r="L29" s="24"/>
    </row>
    <row r="30" spans="4:12" ht="16.5" customHeight="1" x14ac:dyDescent="0.2">
      <c r="D30" s="21"/>
      <c r="E30"/>
      <c r="F30"/>
      <c r="G30" s="23"/>
      <c r="H30" s="23"/>
      <c r="I30" s="23"/>
      <c r="J30"/>
      <c r="K30"/>
      <c r="L30" s="24"/>
    </row>
    <row r="31" spans="4:12" ht="16.5" customHeight="1" x14ac:dyDescent="0.2">
      <c r="D31" s="21"/>
      <c r="E31"/>
      <c r="F31"/>
      <c r="G31"/>
      <c r="H31"/>
      <c r="I31"/>
      <c r="J31"/>
      <c r="K31"/>
      <c r="L31" s="24"/>
    </row>
    <row r="32" spans="4:12" ht="16.5" customHeight="1" x14ac:dyDescent="0.2">
      <c r="D32" s="21"/>
      <c r="E32"/>
      <c r="F32"/>
      <c r="G32" s="23"/>
      <c r="H32" s="23"/>
      <c r="I32" s="23"/>
      <c r="J32"/>
      <c r="K32"/>
      <c r="L32" s="24"/>
    </row>
    <row r="33" spans="4:12" ht="16.5" customHeight="1" x14ac:dyDescent="0.2">
      <c r="D33" s="21"/>
      <c r="E33"/>
      <c r="F33"/>
      <c r="G33"/>
      <c r="H33"/>
      <c r="I33"/>
      <c r="J33"/>
      <c r="K33"/>
      <c r="L33" s="24"/>
    </row>
    <row r="34" spans="4:12" ht="16.5" customHeight="1" x14ac:dyDescent="0.2">
      <c r="D34" s="21"/>
      <c r="E34"/>
      <c r="F34"/>
      <c r="G34" s="23"/>
      <c r="H34" s="23"/>
      <c r="I34" s="23"/>
      <c r="J34"/>
      <c r="K34"/>
      <c r="L34" s="24"/>
    </row>
    <row r="35" spans="4:12" ht="16.5" customHeight="1" x14ac:dyDescent="0.2">
      <c r="D35" s="21"/>
      <c r="E35"/>
      <c r="F35"/>
      <c r="G35"/>
      <c r="H35"/>
      <c r="I35"/>
      <c r="J35"/>
      <c r="K35"/>
      <c r="L35" s="24"/>
    </row>
    <row r="36" spans="4:12" ht="16.5" customHeight="1" x14ac:dyDescent="0.2">
      <c r="D36" s="21"/>
      <c r="E36"/>
      <c r="F36"/>
      <c r="G36" s="23"/>
      <c r="H36" s="23"/>
      <c r="I36" s="23"/>
      <c r="J36"/>
      <c r="K36"/>
      <c r="L36" s="24"/>
    </row>
    <row r="37" spans="4:12" ht="16.5" customHeight="1" x14ac:dyDescent="0.2">
      <c r="D37" s="21"/>
      <c r="E37"/>
      <c r="F37"/>
      <c r="G37"/>
      <c r="H37"/>
      <c r="I37"/>
      <c r="J37"/>
      <c r="K37"/>
      <c r="L37" s="24"/>
    </row>
    <row r="38" spans="4:12" ht="16.5" customHeight="1" x14ac:dyDescent="0.2">
      <c r="D38" s="21"/>
      <c r="E38"/>
      <c r="F38"/>
      <c r="G38" s="23"/>
      <c r="H38" s="23"/>
      <c r="I38" s="23"/>
      <c r="J38"/>
      <c r="K38"/>
      <c r="L38" s="24"/>
    </row>
    <row r="39" spans="4:12" ht="16.5" customHeight="1" x14ac:dyDescent="0.2">
      <c r="D39" s="21"/>
      <c r="E39"/>
      <c r="F39"/>
      <c r="G39"/>
      <c r="H39"/>
      <c r="I39"/>
      <c r="J39"/>
      <c r="K39"/>
      <c r="L39" s="24"/>
    </row>
    <row r="40" spans="4:12" ht="16.5" customHeight="1" x14ac:dyDescent="0.2">
      <c r="D40" s="21"/>
      <c r="E40"/>
      <c r="F40"/>
      <c r="G40" s="23"/>
      <c r="H40" s="23"/>
      <c r="I40" s="23"/>
      <c r="J40"/>
      <c r="K40"/>
      <c r="L40" s="24"/>
    </row>
    <row r="41" spans="4:12" ht="16.5" customHeight="1" x14ac:dyDescent="0.2">
      <c r="D41" s="21"/>
      <c r="E41"/>
      <c r="F41"/>
      <c r="G41"/>
      <c r="H41"/>
      <c r="I41"/>
      <c r="J41"/>
      <c r="K41"/>
      <c r="L41" s="24"/>
    </row>
    <row r="42" spans="4:12" ht="16.5" customHeight="1" x14ac:dyDescent="0.2">
      <c r="D42" s="21"/>
      <c r="E42"/>
      <c r="F42"/>
      <c r="G42" s="23"/>
      <c r="H42" s="23"/>
      <c r="I42" s="23"/>
      <c r="J42"/>
      <c r="K42"/>
      <c r="L42" s="24"/>
    </row>
    <row r="43" spans="4:12" ht="16.5" customHeight="1" x14ac:dyDescent="0.2">
      <c r="D43" s="21"/>
      <c r="E43"/>
      <c r="F43"/>
      <c r="G43"/>
      <c r="H43"/>
      <c r="I43"/>
      <c r="J43"/>
      <c r="K43"/>
      <c r="L43" s="24"/>
    </row>
    <row r="44" spans="4:12" ht="16.5" customHeight="1" x14ac:dyDescent="0.2">
      <c r="D44" s="21"/>
      <c r="E44"/>
      <c r="F44"/>
      <c r="G44" s="23"/>
      <c r="H44" s="23"/>
      <c r="I44" s="23"/>
      <c r="J44"/>
      <c r="K44"/>
      <c r="L44" s="24"/>
    </row>
    <row r="45" spans="4:12" ht="16.5" customHeight="1" x14ac:dyDescent="0.2">
      <c r="D45" s="21"/>
      <c r="E45"/>
      <c r="F45"/>
      <c r="G45"/>
      <c r="H45"/>
      <c r="I45"/>
      <c r="J45"/>
      <c r="K45"/>
      <c r="L45" s="24"/>
    </row>
    <row r="46" spans="4:12" x14ac:dyDescent="0.2">
      <c r="D46" s="21"/>
      <c r="E46"/>
      <c r="F46"/>
      <c r="G46" s="23"/>
      <c r="H46"/>
      <c r="I46"/>
      <c r="J46"/>
      <c r="K46"/>
      <c r="L46" s="24"/>
    </row>
    <row r="47" spans="4:12" x14ac:dyDescent="0.2">
      <c r="D47" s="21"/>
      <c r="E47"/>
      <c r="F47"/>
      <c r="G47" s="23"/>
      <c r="H47"/>
      <c r="I47"/>
      <c r="J47"/>
      <c r="K47"/>
      <c r="L47" s="24"/>
    </row>
    <row r="48" spans="4:12" x14ac:dyDescent="0.2">
      <c r="D48" s="21"/>
      <c r="E48"/>
      <c r="F48"/>
      <c r="G48" s="23"/>
      <c r="H48"/>
      <c r="I48"/>
      <c r="J48"/>
      <c r="K48"/>
      <c r="L48" s="24"/>
    </row>
    <row r="49" spans="4:12" x14ac:dyDescent="0.2">
      <c r="D49" s="21"/>
      <c r="E49"/>
      <c r="F49"/>
      <c r="G49" s="23"/>
      <c r="H49"/>
      <c r="I49"/>
      <c r="J49"/>
      <c r="K49"/>
      <c r="L49" s="24"/>
    </row>
    <row r="50" spans="4:12" x14ac:dyDescent="0.2">
      <c r="D50" s="21"/>
      <c r="E50"/>
      <c r="F50"/>
      <c r="G50" s="23"/>
      <c r="H50"/>
      <c r="I50"/>
      <c r="J50"/>
      <c r="K50"/>
      <c r="L50" s="24"/>
    </row>
    <row r="51" spans="4:12" x14ac:dyDescent="0.2">
      <c r="D51" s="21"/>
      <c r="E51"/>
      <c r="F51"/>
      <c r="G51" s="23"/>
      <c r="H51"/>
      <c r="I51"/>
      <c r="J51"/>
      <c r="K51"/>
      <c r="L51" s="24"/>
    </row>
    <row r="52" spans="4:12" x14ac:dyDescent="0.2">
      <c r="D52" s="21"/>
      <c r="E52"/>
      <c r="F52"/>
      <c r="G52" s="23"/>
      <c r="H52"/>
      <c r="I52"/>
      <c r="J52"/>
      <c r="K52"/>
      <c r="L52" s="24"/>
    </row>
    <row r="53" spans="4:12" x14ac:dyDescent="0.2">
      <c r="D53" s="21"/>
      <c r="E53"/>
      <c r="F53"/>
      <c r="G53" s="23"/>
      <c r="H53"/>
      <c r="I53"/>
      <c r="J53"/>
      <c r="K53"/>
      <c r="L53" s="24"/>
    </row>
    <row r="54" spans="4:12" x14ac:dyDescent="0.2">
      <c r="D54" s="21"/>
      <c r="E54"/>
      <c r="F54"/>
      <c r="G54" s="23"/>
      <c r="H54"/>
      <c r="I54"/>
      <c r="J54"/>
      <c r="K54"/>
      <c r="L54" s="24"/>
    </row>
    <row r="55" spans="4:12" x14ac:dyDescent="0.2">
      <c r="D55" s="21"/>
      <c r="E55"/>
      <c r="F55"/>
      <c r="G55" s="23"/>
      <c r="H55"/>
      <c r="I55"/>
      <c r="J55"/>
      <c r="K55"/>
      <c r="L55" s="24"/>
    </row>
    <row r="56" spans="4:12" x14ac:dyDescent="0.2">
      <c r="D56" s="21"/>
      <c r="E56"/>
      <c r="F56"/>
      <c r="G56" s="23"/>
      <c r="H56"/>
      <c r="I56"/>
      <c r="J56"/>
      <c r="K56"/>
      <c r="L56" s="24"/>
    </row>
    <row r="57" spans="4:12" x14ac:dyDescent="0.2">
      <c r="D57" s="21"/>
      <c r="E57"/>
      <c r="F57"/>
      <c r="G57" s="23"/>
      <c r="H57"/>
      <c r="I57"/>
      <c r="J57"/>
      <c r="K57"/>
      <c r="L57" s="24"/>
    </row>
    <row r="58" spans="4:12" x14ac:dyDescent="0.2">
      <c r="D58" s="21"/>
      <c r="E58"/>
      <c r="F58"/>
      <c r="G58" s="23"/>
      <c r="H58"/>
      <c r="I58"/>
      <c r="J58"/>
      <c r="K58"/>
      <c r="L58" s="24"/>
    </row>
    <row r="59" spans="4:12" x14ac:dyDescent="0.2">
      <c r="D59" s="21"/>
      <c r="E59"/>
      <c r="F59"/>
      <c r="G59" s="23"/>
      <c r="H59"/>
      <c r="I59"/>
      <c r="J59"/>
      <c r="K59"/>
      <c r="L59" s="24"/>
    </row>
    <row r="60" spans="4:12" x14ac:dyDescent="0.2">
      <c r="D60" s="21"/>
      <c r="E60"/>
      <c r="F60"/>
      <c r="G60" s="23"/>
      <c r="H60"/>
      <c r="I60"/>
      <c r="J60"/>
      <c r="K60"/>
      <c r="L60" s="24"/>
    </row>
    <row r="61" spans="4:12" x14ac:dyDescent="0.2">
      <c r="D61" s="21"/>
      <c r="E61"/>
      <c r="F61"/>
      <c r="G61" s="23"/>
      <c r="H61"/>
      <c r="I61"/>
      <c r="J61"/>
      <c r="K61"/>
      <c r="L61" s="24"/>
    </row>
    <row r="62" spans="4:12" x14ac:dyDescent="0.2">
      <c r="D62" s="21"/>
      <c r="E62"/>
      <c r="F62"/>
      <c r="G62" s="23"/>
      <c r="H62"/>
      <c r="I62"/>
      <c r="J62"/>
      <c r="K62"/>
      <c r="L62" s="24"/>
    </row>
    <row r="63" spans="4:12" x14ac:dyDescent="0.2">
      <c r="D63" s="21"/>
      <c r="E63"/>
      <c r="F63"/>
      <c r="G63" s="23"/>
      <c r="H63"/>
      <c r="I63"/>
      <c r="J63"/>
      <c r="K63"/>
      <c r="L63" s="24"/>
    </row>
    <row r="64" spans="4:12" x14ac:dyDescent="0.2">
      <c r="D64" s="21"/>
      <c r="E64"/>
      <c r="F64"/>
      <c r="G64" s="23"/>
      <c r="H64"/>
      <c r="I64"/>
      <c r="J64"/>
      <c r="K64"/>
      <c r="L64" s="24"/>
    </row>
    <row r="65" spans="4:12" x14ac:dyDescent="0.2">
      <c r="D65" s="21"/>
      <c r="E65"/>
      <c r="F65"/>
      <c r="G65" s="23"/>
      <c r="H65"/>
      <c r="I65"/>
      <c r="J65"/>
      <c r="K65"/>
      <c r="L65" s="24"/>
    </row>
    <row r="66" spans="4:12" ht="16" thickBot="1" x14ac:dyDescent="0.25">
      <c r="D66" s="25"/>
      <c r="E66" s="26"/>
      <c r="F66" s="26"/>
      <c r="G66" s="27"/>
      <c r="H66" s="26"/>
      <c r="I66" s="26"/>
      <c r="J66" s="26"/>
      <c r="K66" s="26"/>
      <c r="L66" s="28"/>
    </row>
  </sheetData>
  <sheetProtection password="C7B0" sheet="1" objects="1" scenarios="1" selectLockedCells="1"/>
  <pageMargins left="0.7" right="0.7" top="0.75" bottom="0.75" header="0.3" footer="0.3"/>
  <pageSetup scale="65"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3"/>
  <dimension ref="G1:N4"/>
  <sheetViews>
    <sheetView showGridLines="0" showRowColHeaders="0" zoomScale="85" zoomScaleNormal="85" workbookViewId="0"/>
  </sheetViews>
  <sheetFormatPr baseColWidth="10" defaultColWidth="9.1640625" defaultRowHeight="15" x14ac:dyDescent="0.2"/>
  <cols>
    <col min="1" max="1" width="4.1640625" style="12" customWidth="1"/>
    <col min="2" max="16384" width="9.1640625" style="12"/>
  </cols>
  <sheetData>
    <row r="1" spans="7:14" x14ac:dyDescent="0.2">
      <c r="H1" s="29"/>
      <c r="I1" s="29"/>
    </row>
    <row r="2" spans="7:14" ht="33" x14ac:dyDescent="0.2">
      <c r="G2" s="16" t="s">
        <v>1038</v>
      </c>
      <c r="H2" s="29"/>
      <c r="I2" s="29"/>
      <c r="M2" s="405"/>
      <c r="N2" s="405"/>
    </row>
    <row r="3" spans="7:14" ht="23" x14ac:dyDescent="0.25">
      <c r="G3" s="30" t="s">
        <v>398</v>
      </c>
      <c r="H3" s="29"/>
      <c r="I3" s="29"/>
      <c r="M3" s="31"/>
      <c r="N3" s="31"/>
    </row>
    <row r="4" spans="7:14" ht="33.75" customHeight="1" x14ac:dyDescent="0.2">
      <c r="J4" s="51"/>
      <c r="M4" s="405"/>
      <c r="N4" s="405"/>
    </row>
  </sheetData>
  <sheetProtection selectLockedCells="1"/>
  <mergeCells count="2">
    <mergeCell ref="M2:N2"/>
    <mergeCell ref="M4:N4"/>
  </mergeCells>
  <pageMargins left="0.7" right="0.7" top="0.75" bottom="0.75" header="0.3" footer="0.3"/>
  <pageSetup scale="72" orientation="portrait" r:id="rId1"/>
  <rowBreaks count="1" manualBreakCount="1">
    <brk id="62" max="1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dimension ref="B2:L154"/>
  <sheetViews>
    <sheetView showGridLines="0" showRowColHeaders="0" zoomScaleNormal="100" workbookViewId="0">
      <selection activeCell="G45" sqref="G45"/>
    </sheetView>
  </sheetViews>
  <sheetFormatPr baseColWidth="10" defaultColWidth="9.1640625" defaultRowHeight="15" x14ac:dyDescent="0.2"/>
  <cols>
    <col min="1" max="2" width="9.1640625" style="12"/>
    <col min="3" max="3" width="9.1640625" style="12" customWidth="1"/>
    <col min="4" max="6" width="9.1640625" style="12"/>
    <col min="7" max="7" width="20.6640625" style="29" customWidth="1"/>
    <col min="8" max="16384" width="9.1640625" style="12"/>
  </cols>
  <sheetData>
    <row r="2" spans="2:12" ht="33" x14ac:dyDescent="0.2">
      <c r="F2" s="16" t="s">
        <v>1038</v>
      </c>
      <c r="K2" s="104"/>
      <c r="L2" s="31"/>
    </row>
    <row r="3" spans="2:12" ht="23" x14ac:dyDescent="0.25">
      <c r="F3" s="30" t="s">
        <v>25</v>
      </c>
      <c r="K3" s="31"/>
      <c r="L3" s="31"/>
    </row>
    <row r="4" spans="2:12" ht="17" thickBot="1" x14ac:dyDescent="0.25">
      <c r="F4" s="32"/>
    </row>
    <row r="5" spans="2:12" ht="16" x14ac:dyDescent="0.2">
      <c r="B5" s="33"/>
      <c r="C5" s="34"/>
      <c r="D5" s="34"/>
      <c r="E5" s="34"/>
      <c r="F5" s="35"/>
      <c r="G5" s="36"/>
      <c r="H5" s="34"/>
      <c r="I5" s="37"/>
    </row>
    <row r="6" spans="2:12" ht="16" x14ac:dyDescent="0.2">
      <c r="B6" s="38"/>
      <c r="C6" s="39" t="s">
        <v>45</v>
      </c>
      <c r="D6" s="40"/>
      <c r="E6" s="40"/>
      <c r="F6" s="40"/>
      <c r="G6" s="299">
        <v>0</v>
      </c>
      <c r="H6" s="40"/>
      <c r="I6" s="41"/>
    </row>
    <row r="7" spans="2:12" ht="16" x14ac:dyDescent="0.2">
      <c r="B7" s="38"/>
      <c r="C7" s="40"/>
      <c r="D7" s="40"/>
      <c r="E7" s="40"/>
      <c r="F7" s="42"/>
      <c r="G7" s="43"/>
      <c r="H7" s="40"/>
      <c r="I7" s="41"/>
    </row>
    <row r="8" spans="2:12" ht="21" x14ac:dyDescent="0.2">
      <c r="B8" s="38"/>
      <c r="C8" s="40"/>
      <c r="D8" s="40"/>
      <c r="E8" s="40"/>
      <c r="F8" s="44" t="s">
        <v>26</v>
      </c>
      <c r="G8" s="43"/>
      <c r="H8" s="40"/>
      <c r="I8" s="41"/>
    </row>
    <row r="9" spans="2:12" x14ac:dyDescent="0.2">
      <c r="B9" s="38"/>
      <c r="C9" s="40"/>
      <c r="D9" s="40"/>
      <c r="E9" s="40"/>
      <c r="F9" s="40"/>
      <c r="G9" s="43"/>
      <c r="H9" s="40"/>
      <c r="I9" s="41"/>
    </row>
    <row r="10" spans="2:12" ht="16" x14ac:dyDescent="0.2">
      <c r="B10" s="38"/>
      <c r="C10" s="45" t="s">
        <v>61</v>
      </c>
      <c r="D10" s="40"/>
      <c r="E10" s="40"/>
      <c r="F10" s="40"/>
      <c r="G10" s="43"/>
      <c r="H10" s="40"/>
      <c r="I10" s="41"/>
    </row>
    <row r="11" spans="2:12" x14ac:dyDescent="0.2">
      <c r="B11" s="38"/>
      <c r="C11" s="40" t="s">
        <v>46</v>
      </c>
      <c r="D11" s="40"/>
      <c r="E11" s="40"/>
      <c r="F11" s="40"/>
      <c r="G11" s="299">
        <v>0</v>
      </c>
      <c r="H11" s="40"/>
      <c r="I11" s="41"/>
    </row>
    <row r="12" spans="2:12" x14ac:dyDescent="0.2">
      <c r="B12" s="38"/>
      <c r="C12" s="40" t="s">
        <v>48</v>
      </c>
      <c r="D12" s="40"/>
      <c r="E12" s="40"/>
      <c r="F12" s="40"/>
      <c r="G12" s="292" t="str">
        <f>IF($G$6&lt;&gt;0,G11*100000/$G$6,"Not Calculated")</f>
        <v>Not Calculated</v>
      </c>
      <c r="H12" s="40"/>
      <c r="I12" s="41"/>
    </row>
    <row r="13" spans="2:12" x14ac:dyDescent="0.2">
      <c r="B13" s="38"/>
      <c r="C13" s="40" t="s">
        <v>47</v>
      </c>
      <c r="D13" s="40"/>
      <c r="E13" s="40"/>
      <c r="F13" s="40"/>
      <c r="G13" s="43"/>
      <c r="H13" s="40"/>
      <c r="I13" s="41"/>
    </row>
    <row r="14" spans="2:12" ht="45" customHeight="1" x14ac:dyDescent="0.2">
      <c r="B14" s="38"/>
      <c r="C14" s="377" t="s">
        <v>1113</v>
      </c>
      <c r="D14" s="378"/>
      <c r="E14" s="378"/>
      <c r="F14" s="378"/>
      <c r="G14" s="378"/>
      <c r="H14" s="379"/>
      <c r="I14" s="41"/>
    </row>
    <row r="15" spans="2:12" x14ac:dyDescent="0.2">
      <c r="B15" s="38"/>
      <c r="C15" s="40"/>
      <c r="D15" s="40"/>
      <c r="E15" s="40"/>
      <c r="F15" s="40"/>
      <c r="G15" s="43"/>
      <c r="H15" s="40"/>
      <c r="I15" s="41"/>
    </row>
    <row r="16" spans="2:12" ht="16" x14ac:dyDescent="0.2">
      <c r="B16" s="38"/>
      <c r="C16" s="45" t="s">
        <v>51</v>
      </c>
      <c r="D16" s="40"/>
      <c r="E16" s="40"/>
      <c r="F16" s="40"/>
      <c r="G16" s="43"/>
      <c r="H16" s="40"/>
      <c r="I16" s="41"/>
    </row>
    <row r="17" spans="2:9" x14ac:dyDescent="0.2">
      <c r="B17" s="38"/>
      <c r="C17" s="40" t="s">
        <v>49</v>
      </c>
      <c r="D17" s="40"/>
      <c r="E17" s="40"/>
      <c r="F17" s="40"/>
      <c r="G17" s="299">
        <v>0</v>
      </c>
      <c r="H17" s="40"/>
      <c r="I17" s="41"/>
    </row>
    <row r="18" spans="2:9" x14ac:dyDescent="0.2">
      <c r="B18" s="38"/>
      <c r="C18" s="40" t="s">
        <v>50</v>
      </c>
      <c r="D18" s="40"/>
      <c r="E18" s="40"/>
      <c r="F18" s="40"/>
      <c r="G18" s="292" t="str">
        <f>IF($G$6&lt;&gt;0,G17*100000/$G$6,"Not Calculated")</f>
        <v>Not Calculated</v>
      </c>
      <c r="H18" s="40"/>
      <c r="I18" s="41"/>
    </row>
    <row r="19" spans="2:9" x14ac:dyDescent="0.2">
      <c r="B19" s="38"/>
      <c r="C19" s="40" t="s">
        <v>47</v>
      </c>
      <c r="D19" s="40"/>
      <c r="E19" s="40"/>
      <c r="F19" s="40"/>
      <c r="G19" s="43"/>
      <c r="H19" s="40"/>
      <c r="I19" s="41"/>
    </row>
    <row r="20" spans="2:9" x14ac:dyDescent="0.2">
      <c r="B20" s="38"/>
      <c r="C20" s="377" t="s">
        <v>1314</v>
      </c>
      <c r="D20" s="378"/>
      <c r="E20" s="378"/>
      <c r="F20" s="378"/>
      <c r="G20" s="378"/>
      <c r="H20" s="379"/>
      <c r="I20" s="41"/>
    </row>
    <row r="21" spans="2:9" x14ac:dyDescent="0.2">
      <c r="B21" s="38"/>
      <c r="C21" s="40"/>
      <c r="D21" s="40"/>
      <c r="E21" s="40"/>
      <c r="F21" s="40"/>
      <c r="G21" s="43"/>
      <c r="H21" s="40"/>
      <c r="I21" s="41"/>
    </row>
    <row r="22" spans="2:9" ht="16" x14ac:dyDescent="0.2">
      <c r="B22" s="38"/>
      <c r="C22" s="45" t="s">
        <v>54</v>
      </c>
      <c r="D22" s="40"/>
      <c r="E22" s="40"/>
      <c r="F22" s="40"/>
      <c r="G22" s="43"/>
      <c r="H22" s="40"/>
      <c r="I22" s="41"/>
    </row>
    <row r="23" spans="2:9" x14ac:dyDescent="0.2">
      <c r="B23" s="38"/>
      <c r="C23" s="40" t="s">
        <v>52</v>
      </c>
      <c r="D23" s="40"/>
      <c r="E23" s="40"/>
      <c r="F23" s="40"/>
      <c r="G23" s="299"/>
      <c r="H23" s="40"/>
      <c r="I23" s="41"/>
    </row>
    <row r="24" spans="2:9" x14ac:dyDescent="0.2">
      <c r="B24" s="38"/>
      <c r="C24" s="40" t="s">
        <v>53</v>
      </c>
      <c r="D24" s="40"/>
      <c r="E24" s="40"/>
      <c r="F24" s="40"/>
      <c r="G24" s="292" t="str">
        <f>IF($G$6&lt;&gt;0,G23*100000/$G$6,"Not Calculated")</f>
        <v>Not Calculated</v>
      </c>
      <c r="H24" s="40"/>
      <c r="I24" s="41"/>
    </row>
    <row r="25" spans="2:9" x14ac:dyDescent="0.2">
      <c r="B25" s="38"/>
      <c r="C25" s="40" t="s">
        <v>47</v>
      </c>
      <c r="D25" s="40"/>
      <c r="E25" s="40"/>
      <c r="F25" s="40"/>
      <c r="G25" s="43"/>
      <c r="H25" s="40"/>
      <c r="I25" s="41"/>
    </row>
    <row r="26" spans="2:9" ht="30" customHeight="1" x14ac:dyDescent="0.2">
      <c r="B26" s="38"/>
      <c r="C26" s="377" t="s">
        <v>1113</v>
      </c>
      <c r="D26" s="378"/>
      <c r="E26" s="378"/>
      <c r="F26" s="378"/>
      <c r="G26" s="378"/>
      <c r="H26" s="379"/>
      <c r="I26" s="41"/>
    </row>
    <row r="27" spans="2:9" x14ac:dyDescent="0.2">
      <c r="B27" s="38"/>
      <c r="C27" s="40"/>
      <c r="D27" s="40"/>
      <c r="E27" s="40"/>
      <c r="F27" s="40"/>
      <c r="G27" s="43"/>
      <c r="H27" s="40"/>
      <c r="I27" s="41"/>
    </row>
    <row r="28" spans="2:9" ht="16" x14ac:dyDescent="0.2">
      <c r="B28" s="38"/>
      <c r="C28" s="45" t="s">
        <v>57</v>
      </c>
      <c r="D28" s="40"/>
      <c r="E28" s="40"/>
      <c r="F28" s="40"/>
      <c r="G28" s="43"/>
      <c r="H28" s="40"/>
      <c r="I28" s="41"/>
    </row>
    <row r="29" spans="2:9" x14ac:dyDescent="0.2">
      <c r="B29" s="38"/>
      <c r="C29" s="40" t="s">
        <v>55</v>
      </c>
      <c r="D29" s="40"/>
      <c r="E29" s="40"/>
      <c r="F29" s="40"/>
      <c r="G29" s="299">
        <v>0</v>
      </c>
      <c r="H29" s="40"/>
      <c r="I29" s="41"/>
    </row>
    <row r="30" spans="2:9" x14ac:dyDescent="0.2">
      <c r="B30" s="38"/>
      <c r="C30" s="40" t="s">
        <v>56</v>
      </c>
      <c r="D30" s="40"/>
      <c r="E30" s="40"/>
      <c r="F30" s="40"/>
      <c r="G30" s="292" t="str">
        <f>IF($G$6&lt;&gt;0,G29*100000/$G$6,"Not Calculated")</f>
        <v>Not Calculated</v>
      </c>
      <c r="H30" s="40"/>
      <c r="I30" s="41"/>
    </row>
    <row r="31" spans="2:9" x14ac:dyDescent="0.2">
      <c r="B31" s="38"/>
      <c r="C31" s="40" t="s">
        <v>47</v>
      </c>
      <c r="D31" s="40"/>
      <c r="E31" s="40"/>
      <c r="F31" s="40"/>
      <c r="G31" s="43"/>
      <c r="H31" s="40"/>
      <c r="I31" s="41"/>
    </row>
    <row r="32" spans="2:9" ht="15" customHeight="1" x14ac:dyDescent="0.2">
      <c r="B32" s="38"/>
      <c r="C32" s="377" t="s">
        <v>1117</v>
      </c>
      <c r="D32" s="378"/>
      <c r="E32" s="378"/>
      <c r="F32" s="378"/>
      <c r="G32" s="378"/>
      <c r="H32" s="379"/>
      <c r="I32" s="41"/>
    </row>
    <row r="33" spans="2:9" x14ac:dyDescent="0.2">
      <c r="B33" s="38"/>
      <c r="C33" s="40"/>
      <c r="D33" s="40"/>
      <c r="E33" s="40"/>
      <c r="F33" s="40"/>
      <c r="G33" s="43"/>
      <c r="H33" s="40"/>
      <c r="I33" s="41"/>
    </row>
    <row r="34" spans="2:9" ht="16" x14ac:dyDescent="0.2">
      <c r="B34" s="38"/>
      <c r="C34" s="45" t="s">
        <v>60</v>
      </c>
      <c r="D34" s="40"/>
      <c r="E34" s="40"/>
      <c r="F34" s="40"/>
      <c r="G34" s="43"/>
      <c r="H34" s="40"/>
      <c r="I34" s="41"/>
    </row>
    <row r="35" spans="2:9" x14ac:dyDescent="0.2">
      <c r="B35" s="38"/>
      <c r="C35" s="40" t="s">
        <v>58</v>
      </c>
      <c r="D35" s="40"/>
      <c r="E35" s="40"/>
      <c r="F35" s="40"/>
      <c r="G35" s="299">
        <v>0</v>
      </c>
      <c r="H35" s="40"/>
      <c r="I35" s="41"/>
    </row>
    <row r="36" spans="2:9" x14ac:dyDescent="0.2">
      <c r="B36" s="38"/>
      <c r="C36" s="40" t="s">
        <v>59</v>
      </c>
      <c r="D36" s="40"/>
      <c r="E36" s="40"/>
      <c r="F36" s="40"/>
      <c r="G36" s="292" t="str">
        <f>IF($G$6&lt;&gt;0,G35*100000/$G$6,"Not Calculated")</f>
        <v>Not Calculated</v>
      </c>
      <c r="H36" s="40"/>
      <c r="I36" s="41"/>
    </row>
    <row r="37" spans="2:9" x14ac:dyDescent="0.2">
      <c r="B37" s="38"/>
      <c r="C37" s="40" t="s">
        <v>47</v>
      </c>
      <c r="D37" s="40"/>
      <c r="E37" s="40"/>
      <c r="F37" s="40"/>
      <c r="G37" s="43"/>
      <c r="H37" s="40"/>
      <c r="I37" s="41"/>
    </row>
    <row r="38" spans="2:9" ht="30" customHeight="1" x14ac:dyDescent="0.2">
      <c r="B38" s="38"/>
      <c r="C38" s="377" t="s">
        <v>1118</v>
      </c>
      <c r="D38" s="378"/>
      <c r="E38" s="378"/>
      <c r="F38" s="378"/>
      <c r="G38" s="378"/>
      <c r="H38" s="379"/>
      <c r="I38" s="41"/>
    </row>
    <row r="39" spans="2:9" ht="16" thickBot="1" x14ac:dyDescent="0.25">
      <c r="B39" s="46"/>
      <c r="C39" s="47"/>
      <c r="D39" s="47"/>
      <c r="E39" s="47"/>
      <c r="F39" s="47"/>
      <c r="G39" s="48"/>
      <c r="H39" s="47"/>
      <c r="I39" s="49"/>
    </row>
    <row r="40" spans="2:9" ht="16" thickBot="1" x14ac:dyDescent="0.25"/>
    <row r="41" spans="2:9" x14ac:dyDescent="0.2">
      <c r="B41" s="33"/>
      <c r="C41" s="34"/>
      <c r="D41" s="34"/>
      <c r="E41" s="34"/>
      <c r="F41" s="34"/>
      <c r="G41" s="36"/>
      <c r="H41" s="34"/>
      <c r="I41" s="37"/>
    </row>
    <row r="42" spans="2:9" ht="21" x14ac:dyDescent="0.2">
      <c r="B42" s="38"/>
      <c r="C42" s="40"/>
      <c r="D42" s="40"/>
      <c r="E42" s="40"/>
      <c r="F42" s="44" t="s">
        <v>27</v>
      </c>
      <c r="G42" s="43"/>
      <c r="H42" s="40"/>
      <c r="I42" s="41"/>
    </row>
    <row r="43" spans="2:9" x14ac:dyDescent="0.2">
      <c r="B43" s="38"/>
      <c r="C43" s="40"/>
      <c r="D43" s="40"/>
      <c r="E43" s="40"/>
      <c r="F43" s="40"/>
      <c r="G43" s="43"/>
      <c r="H43" s="40"/>
      <c r="I43" s="41"/>
    </row>
    <row r="44" spans="2:9" ht="16" x14ac:dyDescent="0.2">
      <c r="B44" s="38"/>
      <c r="C44" s="45" t="s">
        <v>72</v>
      </c>
      <c r="D44" s="40"/>
      <c r="E44" s="40"/>
      <c r="F44" s="40"/>
      <c r="G44" s="43"/>
      <c r="H44" s="40"/>
      <c r="I44" s="41"/>
    </row>
    <row r="45" spans="2:9" x14ac:dyDescent="0.2">
      <c r="B45" s="38"/>
      <c r="C45" s="40" t="s">
        <v>62</v>
      </c>
      <c r="D45" s="40"/>
      <c r="E45" s="40"/>
      <c r="F45" s="40"/>
      <c r="G45" s="299">
        <v>0</v>
      </c>
      <c r="H45" s="40"/>
      <c r="I45" s="41"/>
    </row>
    <row r="46" spans="2:9" x14ac:dyDescent="0.2">
      <c r="B46" s="38"/>
      <c r="C46" s="40" t="s">
        <v>63</v>
      </c>
      <c r="D46" s="40"/>
      <c r="E46" s="40"/>
      <c r="F46" s="40"/>
      <c r="G46" s="292" t="str">
        <f>IF($G$6&lt;&gt;0,G45*100000/$G$6,"Not Calculated")</f>
        <v>Not Calculated</v>
      </c>
      <c r="H46" s="40"/>
      <c r="I46" s="41"/>
    </row>
    <row r="47" spans="2:9" x14ac:dyDescent="0.2">
      <c r="B47" s="38"/>
      <c r="C47" s="40" t="s">
        <v>47</v>
      </c>
      <c r="D47" s="40"/>
      <c r="E47" s="40"/>
      <c r="F47" s="40"/>
      <c r="G47" s="43"/>
      <c r="H47" s="40"/>
      <c r="I47" s="41"/>
    </row>
    <row r="48" spans="2:9" x14ac:dyDescent="0.2">
      <c r="B48" s="38"/>
      <c r="C48" s="377" t="s">
        <v>1344</v>
      </c>
      <c r="D48" s="378"/>
      <c r="E48" s="378"/>
      <c r="F48" s="378"/>
      <c r="G48" s="378"/>
      <c r="H48" s="379"/>
      <c r="I48" s="41"/>
    </row>
    <row r="49" spans="2:9" x14ac:dyDescent="0.2">
      <c r="B49" s="38"/>
      <c r="C49" s="40"/>
      <c r="D49" s="40"/>
      <c r="E49" s="40"/>
      <c r="F49" s="40"/>
      <c r="G49" s="43"/>
      <c r="H49" s="40"/>
      <c r="I49" s="41"/>
    </row>
    <row r="50" spans="2:9" ht="16" x14ac:dyDescent="0.2">
      <c r="B50" s="38"/>
      <c r="C50" s="45" t="s">
        <v>73</v>
      </c>
      <c r="D50" s="40"/>
      <c r="E50" s="40"/>
      <c r="F50" s="40"/>
      <c r="G50" s="43"/>
      <c r="H50" s="40"/>
      <c r="I50" s="41"/>
    </row>
    <row r="51" spans="2:9" x14ac:dyDescent="0.2">
      <c r="B51" s="38"/>
      <c r="C51" s="40" t="s">
        <v>64</v>
      </c>
      <c r="D51" s="40"/>
      <c r="E51" s="40"/>
      <c r="F51" s="40"/>
      <c r="G51" s="299">
        <v>0</v>
      </c>
      <c r="H51" s="40"/>
      <c r="I51" s="41"/>
    </row>
    <row r="52" spans="2:9" x14ac:dyDescent="0.2">
      <c r="B52" s="38"/>
      <c r="C52" s="40" t="s">
        <v>65</v>
      </c>
      <c r="D52" s="40"/>
      <c r="E52" s="40"/>
      <c r="F52" s="40"/>
      <c r="G52" s="292" t="str">
        <f>IF($G$6&lt;&gt;0,G51*100000/$G$6,"Not Calculated")</f>
        <v>Not Calculated</v>
      </c>
      <c r="H52" s="40"/>
      <c r="I52" s="41"/>
    </row>
    <row r="53" spans="2:9" x14ac:dyDescent="0.2">
      <c r="B53" s="38"/>
      <c r="C53" s="40" t="s">
        <v>47</v>
      </c>
      <c r="D53" s="40"/>
      <c r="E53" s="40"/>
      <c r="F53" s="40"/>
      <c r="G53" s="43"/>
      <c r="H53" s="40"/>
      <c r="I53" s="41"/>
    </row>
    <row r="54" spans="2:9" x14ac:dyDescent="0.2">
      <c r="B54" s="38"/>
      <c r="C54" s="377" t="s">
        <v>1113</v>
      </c>
      <c r="D54" s="378"/>
      <c r="E54" s="378"/>
      <c r="F54" s="378"/>
      <c r="G54" s="378"/>
      <c r="H54" s="379"/>
      <c r="I54" s="41"/>
    </row>
    <row r="55" spans="2:9" x14ac:dyDescent="0.2">
      <c r="B55" s="38"/>
      <c r="C55" s="40"/>
      <c r="D55" s="40"/>
      <c r="E55" s="40"/>
      <c r="F55" s="40"/>
      <c r="G55" s="43"/>
      <c r="H55" s="40"/>
      <c r="I55" s="41"/>
    </row>
    <row r="56" spans="2:9" ht="16" x14ac:dyDescent="0.2">
      <c r="B56" s="38"/>
      <c r="C56" s="45" t="s">
        <v>74</v>
      </c>
      <c r="D56" s="40"/>
      <c r="E56" s="40"/>
      <c r="F56" s="40"/>
      <c r="G56" s="43"/>
      <c r="H56" s="40"/>
      <c r="I56" s="41"/>
    </row>
    <row r="57" spans="2:9" x14ac:dyDescent="0.2">
      <c r="B57" s="38"/>
      <c r="C57" s="40" t="s">
        <v>998</v>
      </c>
      <c r="D57" s="40"/>
      <c r="E57" s="40"/>
      <c r="F57" s="40"/>
      <c r="G57" s="324">
        <v>0</v>
      </c>
      <c r="H57" s="40"/>
      <c r="I57" s="41"/>
    </row>
    <row r="58" spans="2:9" x14ac:dyDescent="0.2">
      <c r="B58" s="38"/>
      <c r="C58" s="40" t="s">
        <v>999</v>
      </c>
      <c r="D58" s="40"/>
      <c r="E58" s="40"/>
      <c r="F58" s="40"/>
      <c r="G58" s="324">
        <v>0</v>
      </c>
      <c r="H58" s="40"/>
      <c r="I58" s="41"/>
    </row>
    <row r="59" spans="2:9" x14ac:dyDescent="0.2">
      <c r="B59" s="38"/>
      <c r="C59" s="40" t="s">
        <v>66</v>
      </c>
      <c r="D59" s="40"/>
      <c r="E59" s="40"/>
      <c r="F59" s="40"/>
      <c r="G59" s="294">
        <f>G57+G58</f>
        <v>0</v>
      </c>
      <c r="H59" s="40"/>
      <c r="I59" s="41"/>
    </row>
    <row r="60" spans="2:9" x14ac:dyDescent="0.2">
      <c r="B60" s="38"/>
      <c r="C60" s="40" t="s">
        <v>67</v>
      </c>
      <c r="D60" s="40"/>
      <c r="E60" s="40"/>
      <c r="F60" s="40"/>
      <c r="G60" s="258" t="str">
        <f>IF($G$6&lt;&gt;0,G59*100000/$G$6,"Not Calculated")</f>
        <v>Not Calculated</v>
      </c>
      <c r="H60" s="40"/>
      <c r="I60" s="41"/>
    </row>
    <row r="61" spans="2:9" x14ac:dyDescent="0.2">
      <c r="B61" s="38"/>
      <c r="C61" s="40" t="s">
        <v>47</v>
      </c>
      <c r="D61" s="40"/>
      <c r="E61" s="40"/>
      <c r="F61" s="40"/>
      <c r="G61" s="43"/>
      <c r="H61" s="40"/>
      <c r="I61" s="41"/>
    </row>
    <row r="62" spans="2:9" ht="30" customHeight="1" x14ac:dyDescent="0.2">
      <c r="B62" s="38"/>
      <c r="C62" s="377" t="s">
        <v>1113</v>
      </c>
      <c r="D62" s="378"/>
      <c r="E62" s="378"/>
      <c r="F62" s="378"/>
      <c r="G62" s="378"/>
      <c r="H62" s="379"/>
      <c r="I62" s="41"/>
    </row>
    <row r="63" spans="2:9" x14ac:dyDescent="0.2">
      <c r="B63" s="38"/>
      <c r="C63" s="40"/>
      <c r="D63" s="40"/>
      <c r="E63" s="40"/>
      <c r="F63" s="40"/>
      <c r="G63" s="43"/>
      <c r="H63" s="40"/>
      <c r="I63" s="41"/>
    </row>
    <row r="64" spans="2:9" ht="16" x14ac:dyDescent="0.2">
      <c r="B64" s="38"/>
      <c r="C64" s="45" t="s">
        <v>75</v>
      </c>
      <c r="D64" s="40"/>
      <c r="E64" s="40"/>
      <c r="F64" s="40"/>
      <c r="G64" s="43"/>
      <c r="H64" s="40"/>
      <c r="I64" s="41"/>
    </row>
    <row r="65" spans="2:9" x14ac:dyDescent="0.2">
      <c r="B65" s="38"/>
      <c r="C65" s="40" t="s">
        <v>68</v>
      </c>
      <c r="D65" s="40"/>
      <c r="E65" s="40"/>
      <c r="F65" s="40"/>
      <c r="G65" s="324">
        <v>0</v>
      </c>
      <c r="H65" s="40"/>
      <c r="I65" s="41"/>
    </row>
    <row r="66" spans="2:9" x14ac:dyDescent="0.2">
      <c r="B66" s="38"/>
      <c r="C66" s="40" t="s">
        <v>69</v>
      </c>
      <c r="D66" s="40"/>
      <c r="E66" s="40"/>
      <c r="F66" s="40"/>
      <c r="G66" s="292" t="str">
        <f>IF($G$6&lt;&gt;0,G65*100000/$G$6,"Not Calculated")</f>
        <v>Not Calculated</v>
      </c>
      <c r="H66" s="40"/>
      <c r="I66" s="41"/>
    </row>
    <row r="67" spans="2:9" x14ac:dyDescent="0.2">
      <c r="B67" s="38"/>
      <c r="C67" s="40" t="s">
        <v>47</v>
      </c>
      <c r="D67" s="40"/>
      <c r="E67" s="40"/>
      <c r="F67" s="40"/>
      <c r="G67" s="43"/>
      <c r="H67" s="40"/>
      <c r="I67" s="41"/>
    </row>
    <row r="68" spans="2:9" x14ac:dyDescent="0.2">
      <c r="B68" s="38"/>
      <c r="C68" s="377" t="s">
        <v>1113</v>
      </c>
      <c r="D68" s="378"/>
      <c r="E68" s="378"/>
      <c r="F68" s="378"/>
      <c r="G68" s="378"/>
      <c r="H68" s="379"/>
      <c r="I68" s="41"/>
    </row>
    <row r="69" spans="2:9" x14ac:dyDescent="0.2">
      <c r="B69" s="38"/>
      <c r="C69" s="40"/>
      <c r="D69" s="40"/>
      <c r="E69" s="40"/>
      <c r="F69" s="40"/>
      <c r="G69" s="43"/>
      <c r="H69" s="40"/>
      <c r="I69" s="41"/>
    </row>
    <row r="70" spans="2:9" ht="16" x14ac:dyDescent="0.2">
      <c r="B70" s="38"/>
      <c r="C70" s="45" t="s">
        <v>76</v>
      </c>
      <c r="D70" s="40"/>
      <c r="E70" s="40"/>
      <c r="F70" s="40"/>
      <c r="G70" s="43"/>
      <c r="H70" s="40"/>
      <c r="I70" s="41"/>
    </row>
    <row r="71" spans="2:9" x14ac:dyDescent="0.2">
      <c r="B71" s="38"/>
      <c r="C71" s="40" t="s">
        <v>347</v>
      </c>
      <c r="D71" s="40"/>
      <c r="E71" s="40"/>
      <c r="F71" s="40"/>
      <c r="G71" s="299">
        <v>0</v>
      </c>
      <c r="H71" s="40"/>
      <c r="I71" s="41"/>
    </row>
    <row r="72" spans="2:9" x14ac:dyDescent="0.2">
      <c r="B72" s="38"/>
      <c r="C72" s="40" t="s">
        <v>348</v>
      </c>
      <c r="D72" s="40"/>
      <c r="E72" s="40"/>
      <c r="F72" s="40"/>
      <c r="G72" s="292" t="str">
        <f>IF($G$6&lt;&gt;0,G71*100000/$G$6,"Not Calculated")</f>
        <v>Not Calculated</v>
      </c>
      <c r="H72" s="40"/>
      <c r="I72" s="41"/>
    </row>
    <row r="73" spans="2:9" x14ac:dyDescent="0.2">
      <c r="B73" s="38"/>
      <c r="C73" s="40" t="s">
        <v>47</v>
      </c>
      <c r="D73" s="40"/>
      <c r="E73" s="40"/>
      <c r="F73" s="40"/>
      <c r="G73" s="43"/>
      <c r="H73" s="40"/>
      <c r="I73" s="41"/>
    </row>
    <row r="74" spans="2:9" ht="45" customHeight="1" x14ac:dyDescent="0.2">
      <c r="B74" s="38"/>
      <c r="C74" s="377" t="s">
        <v>1345</v>
      </c>
      <c r="D74" s="378"/>
      <c r="E74" s="378"/>
      <c r="F74" s="378"/>
      <c r="G74" s="378"/>
      <c r="H74" s="379"/>
      <c r="I74" s="41"/>
    </row>
    <row r="75" spans="2:9" x14ac:dyDescent="0.2">
      <c r="B75" s="38"/>
      <c r="C75" s="40"/>
      <c r="D75" s="40"/>
      <c r="E75" s="40"/>
      <c r="F75" s="40"/>
      <c r="G75" s="43"/>
      <c r="H75" s="40"/>
      <c r="I75" s="41"/>
    </row>
    <row r="76" spans="2:9" ht="16" x14ac:dyDescent="0.2">
      <c r="B76" s="38"/>
      <c r="C76" s="45" t="s">
        <v>77</v>
      </c>
      <c r="D76" s="40"/>
      <c r="E76" s="40"/>
      <c r="F76" s="40"/>
      <c r="G76" s="43"/>
      <c r="H76" s="40"/>
      <c r="I76" s="41"/>
    </row>
    <row r="77" spans="2:9" x14ac:dyDescent="0.2">
      <c r="B77" s="38"/>
      <c r="C77" s="40" t="s">
        <v>70</v>
      </c>
      <c r="D77" s="40"/>
      <c r="E77" s="40"/>
      <c r="F77" s="40"/>
      <c r="G77" s="324">
        <v>0</v>
      </c>
      <c r="H77" s="40"/>
      <c r="I77" s="41"/>
    </row>
    <row r="78" spans="2:9" x14ac:dyDescent="0.2">
      <c r="B78" s="38"/>
      <c r="C78" s="40" t="s">
        <v>71</v>
      </c>
      <c r="D78" s="40"/>
      <c r="E78" s="40"/>
      <c r="F78" s="40"/>
      <c r="G78" s="292" t="str">
        <f>IF($G$6&lt;&gt;0,G77*100000/$G$6,"Not Calculated")</f>
        <v>Not Calculated</v>
      </c>
      <c r="H78" s="40"/>
      <c r="I78" s="41"/>
    </row>
    <row r="79" spans="2:9" x14ac:dyDescent="0.2">
      <c r="B79" s="38"/>
      <c r="C79" s="40" t="s">
        <v>47</v>
      </c>
      <c r="D79" s="40"/>
      <c r="E79" s="40"/>
      <c r="F79" s="40"/>
      <c r="G79" s="43"/>
      <c r="H79" s="40"/>
      <c r="I79" s="41"/>
    </row>
    <row r="80" spans="2:9" x14ac:dyDescent="0.2">
      <c r="B80" s="38"/>
      <c r="C80" s="377"/>
      <c r="D80" s="378"/>
      <c r="E80" s="378"/>
      <c r="F80" s="378"/>
      <c r="G80" s="378"/>
      <c r="H80" s="379"/>
      <c r="I80" s="41"/>
    </row>
    <row r="81" spans="2:9" ht="16" thickBot="1" x14ac:dyDescent="0.25">
      <c r="B81" s="46"/>
      <c r="C81" s="47"/>
      <c r="D81" s="47"/>
      <c r="E81" s="47"/>
      <c r="F81" s="47"/>
      <c r="G81" s="48"/>
      <c r="H81" s="47"/>
      <c r="I81" s="49"/>
    </row>
    <row r="82" spans="2:9" ht="16" thickBot="1" x14ac:dyDescent="0.25"/>
    <row r="83" spans="2:9" x14ac:dyDescent="0.2">
      <c r="B83" s="33"/>
      <c r="C83" s="34"/>
      <c r="D83" s="34"/>
      <c r="E83" s="34"/>
      <c r="F83" s="34"/>
      <c r="G83" s="36"/>
      <c r="H83" s="34"/>
      <c r="I83" s="37"/>
    </row>
    <row r="84" spans="2:9" ht="21" x14ac:dyDescent="0.2">
      <c r="B84" s="38"/>
      <c r="C84" s="40"/>
      <c r="D84" s="40"/>
      <c r="E84" s="40"/>
      <c r="F84" s="50" t="s">
        <v>864</v>
      </c>
      <c r="G84" s="43"/>
      <c r="H84" s="40"/>
      <c r="I84" s="41"/>
    </row>
    <row r="85" spans="2:9" x14ac:dyDescent="0.2">
      <c r="B85" s="38"/>
      <c r="C85" s="40"/>
      <c r="D85" s="40"/>
      <c r="E85" s="40"/>
      <c r="F85" s="40"/>
      <c r="G85" s="43"/>
      <c r="H85" s="40"/>
      <c r="I85" s="41"/>
    </row>
    <row r="86" spans="2:9" ht="16" x14ac:dyDescent="0.2">
      <c r="B86" s="38"/>
      <c r="C86" s="45" t="s">
        <v>80</v>
      </c>
      <c r="D86" s="40"/>
      <c r="E86" s="40"/>
      <c r="F86" s="40"/>
      <c r="G86" s="43"/>
      <c r="H86" s="40"/>
      <c r="I86" s="41"/>
    </row>
    <row r="87" spans="2:9" x14ac:dyDescent="0.2">
      <c r="B87" s="38"/>
      <c r="C87" s="40" t="s">
        <v>78</v>
      </c>
      <c r="D87" s="40"/>
      <c r="E87" s="40"/>
      <c r="F87" s="40"/>
      <c r="G87" s="324">
        <v>0</v>
      </c>
      <c r="H87" s="40"/>
      <c r="I87" s="41"/>
    </row>
    <row r="88" spans="2:9" x14ac:dyDescent="0.2">
      <c r="B88" s="38"/>
      <c r="C88" s="40" t="s">
        <v>79</v>
      </c>
      <c r="D88" s="40"/>
      <c r="E88" s="40"/>
      <c r="F88" s="40"/>
      <c r="G88" s="292">
        <f>G87*1768/8760</f>
        <v>0</v>
      </c>
      <c r="H88" s="40"/>
      <c r="I88" s="41"/>
    </row>
    <row r="89" spans="2:9" x14ac:dyDescent="0.2">
      <c r="B89" s="38"/>
      <c r="C89" s="40" t="s">
        <v>47</v>
      </c>
      <c r="D89" s="40"/>
      <c r="E89" s="40"/>
      <c r="F89" s="40"/>
      <c r="G89" s="43"/>
      <c r="H89" s="40"/>
      <c r="I89" s="41"/>
    </row>
    <row r="90" spans="2:9" x14ac:dyDescent="0.2">
      <c r="B90" s="38"/>
      <c r="C90" s="377" t="s">
        <v>1113</v>
      </c>
      <c r="D90" s="378"/>
      <c r="E90" s="378"/>
      <c r="F90" s="378"/>
      <c r="G90" s="378"/>
      <c r="H90" s="379"/>
      <c r="I90" s="41"/>
    </row>
    <row r="91" spans="2:9" x14ac:dyDescent="0.2">
      <c r="B91" s="38"/>
      <c r="C91" s="40"/>
      <c r="D91" s="40"/>
      <c r="E91" s="40"/>
      <c r="F91" s="40"/>
      <c r="G91" s="43"/>
      <c r="H91" s="40"/>
      <c r="I91" s="41"/>
    </row>
    <row r="92" spans="2:9" x14ac:dyDescent="0.2">
      <c r="B92" s="38"/>
      <c r="C92" s="40" t="s">
        <v>81</v>
      </c>
      <c r="D92" s="40"/>
      <c r="E92" s="40"/>
      <c r="F92" s="40"/>
      <c r="G92" s="324">
        <v>0</v>
      </c>
      <c r="H92" s="40"/>
      <c r="I92" s="41"/>
    </row>
    <row r="93" spans="2:9" x14ac:dyDescent="0.2">
      <c r="B93" s="38"/>
      <c r="C93" s="40" t="s">
        <v>82</v>
      </c>
      <c r="D93" s="40"/>
      <c r="E93" s="40"/>
      <c r="F93" s="40"/>
      <c r="G93" s="292">
        <f>G92/365</f>
        <v>0</v>
      </c>
      <c r="H93" s="40"/>
      <c r="I93" s="41"/>
    </row>
    <row r="94" spans="2:9" x14ac:dyDescent="0.2">
      <c r="B94" s="38"/>
      <c r="C94" s="40" t="s">
        <v>47</v>
      </c>
      <c r="D94" s="40"/>
      <c r="E94" s="40"/>
      <c r="F94" s="40"/>
      <c r="G94" s="43"/>
      <c r="H94" s="40"/>
      <c r="I94" s="41"/>
    </row>
    <row r="95" spans="2:9" x14ac:dyDescent="0.2">
      <c r="B95" s="38"/>
      <c r="C95" s="377" t="s">
        <v>1113</v>
      </c>
      <c r="D95" s="378"/>
      <c r="E95" s="378"/>
      <c r="F95" s="378"/>
      <c r="G95" s="378"/>
      <c r="H95" s="379"/>
      <c r="I95" s="41"/>
    </row>
    <row r="96" spans="2:9" x14ac:dyDescent="0.2">
      <c r="B96" s="38"/>
      <c r="C96" s="40"/>
      <c r="D96" s="40"/>
      <c r="E96" s="40"/>
      <c r="F96" s="40"/>
      <c r="G96" s="43"/>
      <c r="H96" s="40"/>
      <c r="I96" s="41"/>
    </row>
    <row r="97" spans="2:9" x14ac:dyDescent="0.2">
      <c r="B97" s="38"/>
      <c r="C97" s="40" t="s">
        <v>83</v>
      </c>
      <c r="D97" s="40"/>
      <c r="E97" s="40"/>
      <c r="F97" s="40"/>
      <c r="G97" s="258" t="str">
        <f>IF(G88=0,"N/A",G93/G88)</f>
        <v>N/A</v>
      </c>
      <c r="H97" s="40"/>
      <c r="I97" s="41"/>
    </row>
    <row r="98" spans="2:9" x14ac:dyDescent="0.2">
      <c r="B98" s="38"/>
      <c r="C98" s="40"/>
      <c r="D98" s="40"/>
      <c r="E98" s="40"/>
      <c r="F98" s="40"/>
      <c r="G98" s="43"/>
      <c r="H98" s="40"/>
      <c r="I98" s="41"/>
    </row>
    <row r="99" spans="2:9" ht="16" x14ac:dyDescent="0.2">
      <c r="B99" s="38"/>
      <c r="C99" s="45" t="s">
        <v>862</v>
      </c>
      <c r="D99" s="40"/>
      <c r="E99" s="40"/>
      <c r="F99" s="40"/>
      <c r="G99" s="43"/>
      <c r="H99" s="40"/>
      <c r="I99" s="41"/>
    </row>
    <row r="100" spans="2:9" x14ac:dyDescent="0.2">
      <c r="B100" s="38"/>
      <c r="C100" s="40" t="s">
        <v>66</v>
      </c>
      <c r="D100" s="40"/>
      <c r="E100" s="40"/>
      <c r="F100" s="40"/>
      <c r="G100" s="293">
        <f>G59</f>
        <v>0</v>
      </c>
      <c r="H100" s="40"/>
      <c r="I100" s="41"/>
    </row>
    <row r="101" spans="2:9" x14ac:dyDescent="0.2">
      <c r="B101" s="38"/>
      <c r="C101" s="40" t="s">
        <v>840</v>
      </c>
      <c r="D101" s="40"/>
      <c r="E101" s="40"/>
      <c r="F101" s="40"/>
      <c r="G101" s="324">
        <v>0</v>
      </c>
      <c r="H101" s="40"/>
      <c r="I101" s="41"/>
    </row>
    <row r="102" spans="2:9" x14ac:dyDescent="0.2">
      <c r="B102" s="38"/>
      <c r="C102" s="40" t="s">
        <v>841</v>
      </c>
      <c r="D102" s="40"/>
      <c r="E102" s="40"/>
      <c r="F102" s="40"/>
      <c r="G102" s="293">
        <f>G100+G101</f>
        <v>0</v>
      </c>
      <c r="H102" s="40"/>
      <c r="I102" s="41"/>
    </row>
    <row r="103" spans="2:9" x14ac:dyDescent="0.2">
      <c r="B103" s="38"/>
      <c r="C103" s="40" t="s">
        <v>47</v>
      </c>
      <c r="D103" s="40"/>
      <c r="E103" s="40"/>
      <c r="F103" s="40"/>
      <c r="G103" s="43"/>
      <c r="H103" s="40"/>
      <c r="I103" s="41"/>
    </row>
    <row r="104" spans="2:9" x14ac:dyDescent="0.2">
      <c r="B104" s="38"/>
      <c r="C104" s="377" t="s">
        <v>1113</v>
      </c>
      <c r="D104" s="378"/>
      <c r="E104" s="378"/>
      <c r="F104" s="378"/>
      <c r="G104" s="378"/>
      <c r="H104" s="379"/>
      <c r="I104" s="41"/>
    </row>
    <row r="105" spans="2:9" x14ac:dyDescent="0.2">
      <c r="B105" s="38"/>
      <c r="C105" s="40"/>
      <c r="D105" s="40"/>
      <c r="E105" s="40"/>
      <c r="F105" s="40"/>
      <c r="G105" s="43"/>
      <c r="H105" s="40"/>
      <c r="I105" s="41"/>
    </row>
    <row r="106" spans="2:9" ht="16" x14ac:dyDescent="0.2">
      <c r="B106" s="38"/>
      <c r="C106" s="45" t="s">
        <v>858</v>
      </c>
      <c r="D106" s="40"/>
      <c r="E106" s="40"/>
      <c r="F106" s="40"/>
      <c r="G106" s="43"/>
      <c r="H106" s="40"/>
      <c r="I106" s="41"/>
    </row>
    <row r="107" spans="2:9" x14ac:dyDescent="0.2">
      <c r="B107" s="38"/>
      <c r="C107" s="380" t="s">
        <v>84</v>
      </c>
      <c r="D107" s="380"/>
      <c r="E107" s="380"/>
      <c r="F107" s="380"/>
      <c r="G107" s="43"/>
      <c r="H107" s="40"/>
      <c r="I107" s="41"/>
    </row>
    <row r="108" spans="2:9" x14ac:dyDescent="0.2">
      <c r="B108" s="38"/>
      <c r="C108" s="380"/>
      <c r="D108" s="380"/>
      <c r="E108" s="380"/>
      <c r="F108" s="380"/>
      <c r="G108" s="299">
        <v>40</v>
      </c>
      <c r="H108" s="40"/>
      <c r="I108" s="41"/>
    </row>
    <row r="109" spans="2:9" x14ac:dyDescent="0.2">
      <c r="B109" s="38"/>
      <c r="C109" s="40" t="s">
        <v>47</v>
      </c>
      <c r="D109" s="40"/>
      <c r="E109" s="40"/>
      <c r="F109" s="40"/>
      <c r="G109" s="43"/>
      <c r="H109" s="40"/>
      <c r="I109" s="41"/>
    </row>
    <row r="110" spans="2:9" x14ac:dyDescent="0.2">
      <c r="B110" s="38"/>
      <c r="C110" s="377" t="s">
        <v>1276</v>
      </c>
      <c r="D110" s="378"/>
      <c r="E110" s="378"/>
      <c r="F110" s="378"/>
      <c r="G110" s="378"/>
      <c r="H110" s="379"/>
      <c r="I110" s="41"/>
    </row>
    <row r="111" spans="2:9" x14ac:dyDescent="0.2">
      <c r="B111" s="38"/>
      <c r="C111" s="40"/>
      <c r="D111" s="40"/>
      <c r="E111" s="40"/>
      <c r="F111" s="40"/>
      <c r="G111" s="43"/>
      <c r="H111" s="40"/>
      <c r="I111" s="41"/>
    </row>
    <row r="112" spans="2:9" ht="16" x14ac:dyDescent="0.2">
      <c r="B112" s="38"/>
      <c r="C112" s="45" t="s">
        <v>863</v>
      </c>
      <c r="D112" s="40"/>
      <c r="E112" s="40"/>
      <c r="F112" s="40"/>
      <c r="G112" s="43"/>
      <c r="H112" s="40"/>
      <c r="I112" s="41"/>
    </row>
    <row r="113" spans="2:9" x14ac:dyDescent="0.2">
      <c r="B113" s="38"/>
      <c r="C113" s="380" t="s">
        <v>85</v>
      </c>
      <c r="D113" s="380"/>
      <c r="E113" s="380"/>
      <c r="F113" s="380"/>
      <c r="G113" s="43"/>
      <c r="H113" s="40"/>
      <c r="I113" s="41"/>
    </row>
    <row r="114" spans="2:9" x14ac:dyDescent="0.2">
      <c r="B114" s="38"/>
      <c r="C114" s="380"/>
      <c r="D114" s="380"/>
      <c r="E114" s="380"/>
      <c r="F114" s="380"/>
      <c r="G114" s="299">
        <v>7</v>
      </c>
      <c r="H114" s="40"/>
      <c r="I114" s="41"/>
    </row>
    <row r="115" spans="2:9" x14ac:dyDescent="0.2">
      <c r="B115" s="38"/>
      <c r="C115" s="40" t="s">
        <v>47</v>
      </c>
      <c r="D115" s="40"/>
      <c r="E115" s="40"/>
      <c r="F115" s="40"/>
      <c r="G115" s="43"/>
      <c r="H115" s="40"/>
      <c r="I115" s="41"/>
    </row>
    <row r="116" spans="2:9" x14ac:dyDescent="0.2">
      <c r="B116" s="38"/>
      <c r="C116" s="377" t="s">
        <v>1277</v>
      </c>
      <c r="D116" s="378"/>
      <c r="E116" s="378"/>
      <c r="F116" s="378"/>
      <c r="G116" s="378"/>
      <c r="H116" s="379"/>
      <c r="I116" s="41"/>
    </row>
    <row r="117" spans="2:9" ht="16" thickBot="1" x14ac:dyDescent="0.25">
      <c r="B117" s="46"/>
      <c r="C117" s="47"/>
      <c r="D117" s="47"/>
      <c r="E117" s="47"/>
      <c r="F117" s="47"/>
      <c r="G117" s="48"/>
      <c r="H117" s="47"/>
      <c r="I117" s="49"/>
    </row>
    <row r="118" spans="2:9" ht="16" thickBot="1" x14ac:dyDescent="0.25"/>
    <row r="119" spans="2:9" x14ac:dyDescent="0.2">
      <c r="B119" s="33"/>
      <c r="C119" s="34"/>
      <c r="D119" s="34"/>
      <c r="E119" s="34"/>
      <c r="F119" s="34"/>
      <c r="G119" s="36"/>
      <c r="H119" s="34"/>
      <c r="I119" s="37"/>
    </row>
    <row r="120" spans="2:9" ht="21" x14ac:dyDescent="0.2">
      <c r="B120" s="38"/>
      <c r="C120" s="40"/>
      <c r="D120" s="40"/>
      <c r="E120" s="40"/>
      <c r="F120" s="50" t="s">
        <v>29</v>
      </c>
      <c r="G120" s="43"/>
      <c r="H120" s="40"/>
      <c r="I120" s="41"/>
    </row>
    <row r="121" spans="2:9" x14ac:dyDescent="0.2">
      <c r="B121" s="38"/>
      <c r="C121" s="40"/>
      <c r="D121" s="40"/>
      <c r="E121" s="40"/>
      <c r="F121" s="40"/>
      <c r="G121" s="43"/>
      <c r="H121" s="40"/>
      <c r="I121" s="41"/>
    </row>
    <row r="122" spans="2:9" ht="16" x14ac:dyDescent="0.2">
      <c r="B122" s="38"/>
      <c r="C122" s="45" t="s">
        <v>88</v>
      </c>
      <c r="D122" s="40"/>
      <c r="E122" s="40"/>
      <c r="F122" s="40"/>
      <c r="G122" s="43"/>
      <c r="H122" s="40"/>
      <c r="I122" s="41"/>
    </row>
    <row r="123" spans="2:9" x14ac:dyDescent="0.2">
      <c r="B123" s="38"/>
      <c r="C123" s="40" t="s">
        <v>86</v>
      </c>
      <c r="D123" s="40"/>
      <c r="E123" s="40"/>
      <c r="F123" s="40"/>
      <c r="G123" s="299">
        <v>0</v>
      </c>
      <c r="H123" s="40"/>
      <c r="I123" s="41"/>
    </row>
    <row r="124" spans="2:9" x14ac:dyDescent="0.2">
      <c r="B124" s="38"/>
      <c r="C124" s="40" t="s">
        <v>87</v>
      </c>
      <c r="D124" s="40"/>
      <c r="E124" s="40"/>
      <c r="F124" s="40"/>
      <c r="G124" s="292" t="str">
        <f>IF($G$6&lt;&gt;0,G123*100000/$G$6,"Not Calculated")</f>
        <v>Not Calculated</v>
      </c>
      <c r="H124" s="40"/>
      <c r="I124" s="41"/>
    </row>
    <row r="125" spans="2:9" x14ac:dyDescent="0.2">
      <c r="B125" s="38"/>
      <c r="C125" s="40" t="s">
        <v>47</v>
      </c>
      <c r="D125" s="40"/>
      <c r="E125" s="40"/>
      <c r="F125" s="40"/>
      <c r="G125" s="43"/>
      <c r="H125" s="40"/>
      <c r="I125" s="41"/>
    </row>
    <row r="126" spans="2:9" x14ac:dyDescent="0.2">
      <c r="B126" s="38"/>
      <c r="C126" s="377" t="s">
        <v>1274</v>
      </c>
      <c r="D126" s="378"/>
      <c r="E126" s="378"/>
      <c r="F126" s="378"/>
      <c r="G126" s="378"/>
      <c r="H126" s="379"/>
      <c r="I126" s="41"/>
    </row>
    <row r="127" spans="2:9" x14ac:dyDescent="0.2">
      <c r="B127" s="38"/>
      <c r="C127" s="40"/>
      <c r="D127" s="40"/>
      <c r="E127" s="40"/>
      <c r="F127" s="40"/>
      <c r="G127" s="43"/>
      <c r="H127" s="40"/>
      <c r="I127" s="41"/>
    </row>
    <row r="128" spans="2:9" ht="16" x14ac:dyDescent="0.2">
      <c r="B128" s="38"/>
      <c r="C128" s="45" t="s">
        <v>89</v>
      </c>
      <c r="D128" s="40"/>
      <c r="E128" s="40"/>
      <c r="F128" s="40"/>
      <c r="G128" s="43"/>
      <c r="H128" s="40"/>
      <c r="I128" s="41"/>
    </row>
    <row r="129" spans="2:9" x14ac:dyDescent="0.2">
      <c r="B129" s="38"/>
      <c r="C129" s="380" t="s">
        <v>90</v>
      </c>
      <c r="D129" s="380"/>
      <c r="E129" s="380"/>
      <c r="F129" s="380"/>
      <c r="G129" s="43"/>
      <c r="H129" s="40"/>
      <c r="I129" s="41"/>
    </row>
    <row r="130" spans="2:9" x14ac:dyDescent="0.2">
      <c r="B130" s="38"/>
      <c r="C130" s="380"/>
      <c r="D130" s="380"/>
      <c r="E130" s="380"/>
      <c r="F130" s="380"/>
      <c r="G130" s="43"/>
      <c r="H130" s="40"/>
      <c r="I130" s="41"/>
    </row>
    <row r="131" spans="2:9" x14ac:dyDescent="0.2">
      <c r="B131" s="38"/>
      <c r="C131" s="380"/>
      <c r="D131" s="380"/>
      <c r="E131" s="380"/>
      <c r="F131" s="380"/>
      <c r="G131" s="43"/>
      <c r="H131" s="40"/>
      <c r="I131" s="41"/>
    </row>
    <row r="132" spans="2:9" x14ac:dyDescent="0.2">
      <c r="B132" s="38"/>
      <c r="C132" s="380"/>
      <c r="D132" s="380"/>
      <c r="E132" s="380"/>
      <c r="F132" s="380"/>
      <c r="G132" s="299">
        <v>0</v>
      </c>
      <c r="H132" s="40"/>
      <c r="I132" s="41"/>
    </row>
    <row r="133" spans="2:9" x14ac:dyDescent="0.2">
      <c r="B133" s="38"/>
      <c r="C133" s="40" t="s">
        <v>47</v>
      </c>
      <c r="D133" s="40"/>
      <c r="E133" s="40"/>
      <c r="F133" s="40"/>
      <c r="G133" s="43"/>
      <c r="H133" s="40"/>
      <c r="I133" s="41"/>
    </row>
    <row r="134" spans="2:9" x14ac:dyDescent="0.2">
      <c r="B134" s="38"/>
      <c r="C134" s="377" t="s">
        <v>1114</v>
      </c>
      <c r="D134" s="378"/>
      <c r="E134" s="378"/>
      <c r="F134" s="378"/>
      <c r="G134" s="378"/>
      <c r="H134" s="379"/>
      <c r="I134" s="41"/>
    </row>
    <row r="135" spans="2:9" x14ac:dyDescent="0.2">
      <c r="B135" s="38"/>
      <c r="C135" s="40"/>
      <c r="D135" s="40"/>
      <c r="E135" s="40"/>
      <c r="F135" s="40"/>
      <c r="G135" s="43"/>
      <c r="H135" s="40"/>
      <c r="I135" s="41"/>
    </row>
    <row r="136" spans="2:9" ht="16" x14ac:dyDescent="0.2">
      <c r="B136" s="38"/>
      <c r="C136" s="45" t="s">
        <v>92</v>
      </c>
      <c r="D136" s="40"/>
      <c r="E136" s="40"/>
      <c r="F136" s="40"/>
      <c r="G136" s="43"/>
      <c r="H136" s="40"/>
      <c r="I136" s="41"/>
    </row>
    <row r="137" spans="2:9" x14ac:dyDescent="0.2">
      <c r="B137" s="38"/>
      <c r="C137" s="40" t="s">
        <v>91</v>
      </c>
      <c r="D137" s="40"/>
      <c r="E137" s="40"/>
      <c r="F137" s="40"/>
      <c r="G137" s="299">
        <v>1</v>
      </c>
      <c r="H137" s="40"/>
      <c r="I137" s="41"/>
    </row>
    <row r="138" spans="2:9" x14ac:dyDescent="0.2">
      <c r="B138" s="38"/>
      <c r="C138" s="40" t="s">
        <v>47</v>
      </c>
      <c r="D138" s="40"/>
      <c r="E138" s="40"/>
      <c r="F138" s="40"/>
      <c r="G138" s="43"/>
      <c r="H138" s="40"/>
      <c r="I138" s="41"/>
    </row>
    <row r="139" spans="2:9" x14ac:dyDescent="0.2">
      <c r="B139" s="38"/>
      <c r="C139" s="377" t="s">
        <v>1346</v>
      </c>
      <c r="D139" s="378"/>
      <c r="E139" s="378"/>
      <c r="F139" s="378"/>
      <c r="G139" s="378"/>
      <c r="H139" s="379"/>
      <c r="I139" s="41"/>
    </row>
    <row r="140" spans="2:9" x14ac:dyDescent="0.2">
      <c r="B140" s="38"/>
      <c r="C140" s="40"/>
      <c r="D140" s="40"/>
      <c r="E140" s="40"/>
      <c r="F140" s="40"/>
      <c r="G140" s="43"/>
      <c r="H140" s="40"/>
      <c r="I140" s="41"/>
    </row>
    <row r="141" spans="2:9" ht="16" x14ac:dyDescent="0.2">
      <c r="B141" s="38"/>
      <c r="C141" s="45" t="s">
        <v>93</v>
      </c>
      <c r="D141" s="40"/>
      <c r="E141" s="40"/>
      <c r="F141" s="40"/>
      <c r="G141" s="43"/>
      <c r="H141" s="40"/>
      <c r="I141" s="41"/>
    </row>
    <row r="142" spans="2:9" x14ac:dyDescent="0.2">
      <c r="B142" s="38"/>
      <c r="C142" s="380" t="s">
        <v>94</v>
      </c>
      <c r="D142" s="380"/>
      <c r="E142" s="380"/>
      <c r="F142" s="380"/>
      <c r="G142" s="43"/>
      <c r="H142" s="40"/>
      <c r="I142" s="41"/>
    </row>
    <row r="143" spans="2:9" x14ac:dyDescent="0.2">
      <c r="B143" s="38"/>
      <c r="C143" s="380"/>
      <c r="D143" s="380"/>
      <c r="E143" s="380"/>
      <c r="F143" s="380"/>
      <c r="G143" s="43"/>
      <c r="H143" s="40"/>
      <c r="I143" s="41"/>
    </row>
    <row r="144" spans="2:9" x14ac:dyDescent="0.2">
      <c r="B144" s="38"/>
      <c r="C144" s="380"/>
      <c r="D144" s="380"/>
      <c r="E144" s="380"/>
      <c r="F144" s="380"/>
      <c r="G144" s="43"/>
      <c r="H144" s="40"/>
      <c r="I144" s="41"/>
    </row>
    <row r="145" spans="2:9" x14ac:dyDescent="0.2">
      <c r="B145" s="38"/>
      <c r="C145" s="380"/>
      <c r="D145" s="380"/>
      <c r="E145" s="380"/>
      <c r="F145" s="380"/>
      <c r="G145" s="299">
        <v>0</v>
      </c>
      <c r="H145" s="40"/>
      <c r="I145" s="41"/>
    </row>
    <row r="146" spans="2:9" x14ac:dyDescent="0.2">
      <c r="B146" s="38"/>
      <c r="C146" s="40" t="s">
        <v>47</v>
      </c>
      <c r="D146" s="40"/>
      <c r="E146" s="40"/>
      <c r="F146" s="40"/>
      <c r="G146" s="43"/>
      <c r="H146" s="40"/>
      <c r="I146" s="41"/>
    </row>
    <row r="147" spans="2:9" x14ac:dyDescent="0.2">
      <c r="B147" s="38"/>
      <c r="C147" s="377" t="s">
        <v>1098</v>
      </c>
      <c r="D147" s="378"/>
      <c r="E147" s="378"/>
      <c r="F147" s="378"/>
      <c r="G147" s="378"/>
      <c r="H147" s="379"/>
      <c r="I147" s="41"/>
    </row>
    <row r="148" spans="2:9" x14ac:dyDescent="0.2">
      <c r="B148" s="38"/>
      <c r="C148" s="40"/>
      <c r="D148" s="40"/>
      <c r="E148" s="40"/>
      <c r="F148" s="40"/>
      <c r="G148" s="43"/>
      <c r="H148" s="40"/>
      <c r="I148" s="41"/>
    </row>
    <row r="149" spans="2:9" ht="16" x14ac:dyDescent="0.2">
      <c r="B149" s="38"/>
      <c r="C149" s="45" t="s">
        <v>97</v>
      </c>
      <c r="D149" s="40"/>
      <c r="E149" s="40"/>
      <c r="F149" s="40"/>
      <c r="G149" s="43"/>
      <c r="H149" s="40"/>
      <c r="I149" s="41"/>
    </row>
    <row r="150" spans="2:9" x14ac:dyDescent="0.2">
      <c r="B150" s="38"/>
      <c r="C150" s="40" t="s">
        <v>95</v>
      </c>
      <c r="D150" s="40"/>
      <c r="E150" s="40"/>
      <c r="F150" s="40"/>
      <c r="G150" s="325">
        <v>0</v>
      </c>
      <c r="H150" s="40"/>
      <c r="I150" s="41"/>
    </row>
    <row r="151" spans="2:9" x14ac:dyDescent="0.2">
      <c r="B151" s="38"/>
      <c r="C151" s="40" t="s">
        <v>96</v>
      </c>
      <c r="D151" s="40"/>
      <c r="E151" s="40"/>
      <c r="F151" s="40"/>
      <c r="G151" s="292" t="str">
        <f>IF($G$6&lt;&gt;0,G150*100000/$G$6,"Not Calculated")</f>
        <v>Not Calculated</v>
      </c>
      <c r="H151" s="40"/>
      <c r="I151" s="41"/>
    </row>
    <row r="152" spans="2:9" x14ac:dyDescent="0.2">
      <c r="B152" s="38"/>
      <c r="C152" s="40" t="s">
        <v>47</v>
      </c>
      <c r="D152" s="40"/>
      <c r="E152" s="40"/>
      <c r="F152" s="40"/>
      <c r="G152" s="43"/>
      <c r="H152" s="40"/>
      <c r="I152" s="41"/>
    </row>
    <row r="153" spans="2:9" x14ac:dyDescent="0.2">
      <c r="B153" s="38"/>
      <c r="C153" s="377" t="s">
        <v>1112</v>
      </c>
      <c r="D153" s="378"/>
      <c r="E153" s="378"/>
      <c r="F153" s="378"/>
      <c r="G153" s="378"/>
      <c r="H153" s="379"/>
      <c r="I153" s="41"/>
    </row>
    <row r="154" spans="2:9" ht="16" thickBot="1" x14ac:dyDescent="0.25">
      <c r="B154" s="46"/>
      <c r="C154" s="47"/>
      <c r="D154" s="47"/>
      <c r="E154" s="47"/>
      <c r="F154" s="47"/>
      <c r="G154" s="48"/>
      <c r="H154" s="47"/>
      <c r="I154" s="49"/>
    </row>
  </sheetData>
  <sheetProtection password="C7B0" sheet="1" objects="1" scenarios="1" selectLockedCells="1"/>
  <mergeCells count="25">
    <mergeCell ref="C14:H14"/>
    <mergeCell ref="C80:H80"/>
    <mergeCell ref="C48:H48"/>
    <mergeCell ref="C54:H54"/>
    <mergeCell ref="C20:H20"/>
    <mergeCell ref="C26:H26"/>
    <mergeCell ref="C32:H32"/>
    <mergeCell ref="C68:H68"/>
    <mergeCell ref="C62:H62"/>
    <mergeCell ref="C74:H74"/>
    <mergeCell ref="C38:H38"/>
    <mergeCell ref="C153:H153"/>
    <mergeCell ref="C129:F132"/>
    <mergeCell ref="C142:F145"/>
    <mergeCell ref="C134:H134"/>
    <mergeCell ref="C139:H139"/>
    <mergeCell ref="C147:H147"/>
    <mergeCell ref="C104:H104"/>
    <mergeCell ref="C95:H95"/>
    <mergeCell ref="C90:H90"/>
    <mergeCell ref="C126:H126"/>
    <mergeCell ref="C116:H116"/>
    <mergeCell ref="C107:F108"/>
    <mergeCell ref="C113:F114"/>
    <mergeCell ref="C110:H110"/>
  </mergeCells>
  <pageMargins left="0.7" right="0.7" top="0.75" bottom="0.75" header="0.3" footer="0.3"/>
  <pageSetup scale="87" orientation="portrait" r:id="rId1"/>
  <colBreaks count="1" manualBreakCount="1">
    <brk id="10" max="1048575" man="1"/>
  </col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34"/>
  <dimension ref="G1:I4"/>
  <sheetViews>
    <sheetView showGridLines="0" showRowColHeaders="0" zoomScale="85" zoomScaleNormal="85" workbookViewId="0"/>
  </sheetViews>
  <sheetFormatPr baseColWidth="10" defaultColWidth="9.1640625" defaultRowHeight="15" x14ac:dyDescent="0.2"/>
  <cols>
    <col min="1" max="1" width="4.1640625" style="12" customWidth="1"/>
    <col min="2" max="16384" width="9.1640625" style="12"/>
  </cols>
  <sheetData>
    <row r="1" spans="7:9" x14ac:dyDescent="0.2">
      <c r="H1" s="29"/>
      <c r="I1" s="29"/>
    </row>
    <row r="2" spans="7:9" ht="33" x14ac:dyDescent="0.2">
      <c r="G2" s="16" t="s">
        <v>1038</v>
      </c>
      <c r="H2" s="29"/>
      <c r="I2" s="29"/>
    </row>
    <row r="3" spans="7:9" ht="23" x14ac:dyDescent="0.25">
      <c r="G3" s="30" t="s">
        <v>399</v>
      </c>
      <c r="H3" s="29"/>
      <c r="I3" s="29"/>
    </row>
    <row r="4" spans="7:9" ht="33.75" customHeight="1" x14ac:dyDescent="0.2"/>
  </sheetData>
  <sheetProtection password="C7B0" sheet="1" scenarios="1" selectLockedCells="1"/>
  <pageMargins left="0.7" right="0.7" top="0.75" bottom="0.75" header="0.3" footer="0.3"/>
  <pageSetup scale="72" orientation="portrait" r:id="rId1"/>
  <rowBreaks count="1" manualBreakCount="1">
    <brk id="62" max="13" man="1"/>
  </rowBreak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5"/>
  <dimension ref="G1:N4"/>
  <sheetViews>
    <sheetView showGridLines="0" showRowColHeaders="0" zoomScale="85" zoomScaleNormal="85" workbookViewId="0"/>
  </sheetViews>
  <sheetFormatPr baseColWidth="10" defaultColWidth="9.1640625" defaultRowHeight="15" x14ac:dyDescent="0.2"/>
  <cols>
    <col min="1" max="1" width="4.1640625" style="12" customWidth="1"/>
    <col min="2" max="16384" width="9.1640625" style="12"/>
  </cols>
  <sheetData>
    <row r="1" spans="7:14" x14ac:dyDescent="0.2">
      <c r="H1" s="29"/>
      <c r="I1" s="29"/>
    </row>
    <row r="2" spans="7:14" ht="33" x14ac:dyDescent="0.2">
      <c r="G2" s="16" t="s">
        <v>1038</v>
      </c>
      <c r="H2" s="29"/>
      <c r="I2" s="29"/>
      <c r="M2" s="405"/>
      <c r="N2" s="405"/>
    </row>
    <row r="3" spans="7:14" ht="23" x14ac:dyDescent="0.25">
      <c r="G3" s="30" t="s">
        <v>400</v>
      </c>
      <c r="H3" s="29"/>
      <c r="I3" s="29"/>
      <c r="M3" s="31"/>
      <c r="N3" s="31"/>
    </row>
    <row r="4" spans="7:14" ht="33.75" customHeight="1" x14ac:dyDescent="0.2">
      <c r="M4" s="405"/>
      <c r="N4" s="405"/>
    </row>
  </sheetData>
  <sheetProtection password="C7B0" sheet="1" scenarios="1" selectLockedCells="1"/>
  <mergeCells count="2">
    <mergeCell ref="M2:N2"/>
    <mergeCell ref="M4:N4"/>
  </mergeCells>
  <pageMargins left="0.7" right="0.7" top="0.75" bottom="0.75" header="0.3" footer="0.3"/>
  <pageSetup scale="72" orientation="portrait" r:id="rId1"/>
  <rowBreaks count="1" manualBreakCount="1">
    <brk id="62" max="13" man="1"/>
  </rowBreak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6"/>
  <dimension ref="G1:N4"/>
  <sheetViews>
    <sheetView showGridLines="0" showRowColHeaders="0" zoomScale="85" zoomScaleNormal="85" workbookViewId="0"/>
  </sheetViews>
  <sheetFormatPr baseColWidth="10" defaultColWidth="9.1640625" defaultRowHeight="15" x14ac:dyDescent="0.2"/>
  <cols>
    <col min="1" max="1" width="4.1640625" style="12" customWidth="1"/>
    <col min="2" max="16384" width="9.1640625" style="12"/>
  </cols>
  <sheetData>
    <row r="1" spans="7:14" x14ac:dyDescent="0.2">
      <c r="H1" s="29"/>
      <c r="I1" s="29"/>
    </row>
    <row r="2" spans="7:14" ht="33" x14ac:dyDescent="0.2">
      <c r="G2" s="16" t="s">
        <v>1038</v>
      </c>
      <c r="H2" s="29"/>
      <c r="I2" s="29"/>
      <c r="M2" s="405"/>
      <c r="N2" s="405"/>
    </row>
    <row r="3" spans="7:14" ht="23" x14ac:dyDescent="0.25">
      <c r="G3" s="30" t="s">
        <v>401</v>
      </c>
      <c r="H3" s="29"/>
      <c r="I3" s="29"/>
      <c r="M3" s="31"/>
      <c r="N3" s="31"/>
    </row>
    <row r="4" spans="7:14" ht="33.75" customHeight="1" x14ac:dyDescent="0.2">
      <c r="M4" s="405"/>
      <c r="N4" s="405"/>
    </row>
  </sheetData>
  <sheetProtection password="C7B0" sheet="1" scenarios="1" selectLockedCells="1"/>
  <mergeCells count="2">
    <mergeCell ref="M2:N2"/>
    <mergeCell ref="M4:N4"/>
  </mergeCells>
  <pageMargins left="0.7" right="0.7" top="0.75" bottom="0.75" header="0.3" footer="0.3"/>
  <pageSetup scale="72" orientation="portrait" r:id="rId1"/>
  <rowBreaks count="1" manualBreakCount="1">
    <brk id="62" max="13" man="1"/>
  </row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37"/>
  <dimension ref="G1:N4"/>
  <sheetViews>
    <sheetView showGridLines="0" showRowColHeaders="0" zoomScale="85" zoomScaleNormal="85" workbookViewId="0"/>
  </sheetViews>
  <sheetFormatPr baseColWidth="10" defaultColWidth="9.1640625" defaultRowHeight="15" x14ac:dyDescent="0.2"/>
  <cols>
    <col min="1" max="1" width="4.1640625" style="12" customWidth="1"/>
    <col min="2" max="16384" width="9.1640625" style="12"/>
  </cols>
  <sheetData>
    <row r="1" spans="7:14" x14ac:dyDescent="0.2">
      <c r="H1" s="29"/>
      <c r="I1" s="29"/>
    </row>
    <row r="2" spans="7:14" ht="33" x14ac:dyDescent="0.2">
      <c r="G2" s="16" t="s">
        <v>1038</v>
      </c>
      <c r="H2" s="16"/>
      <c r="I2" s="29"/>
      <c r="M2" s="405"/>
      <c r="N2" s="405"/>
    </row>
    <row r="3" spans="7:14" ht="23" x14ac:dyDescent="0.25">
      <c r="G3" s="30" t="s">
        <v>402</v>
      </c>
      <c r="H3" s="29"/>
      <c r="I3" s="29"/>
      <c r="M3" s="31"/>
      <c r="N3" s="31"/>
    </row>
    <row r="4" spans="7:14" ht="33.75" customHeight="1" x14ac:dyDescent="0.2">
      <c r="M4" s="405"/>
      <c r="N4" s="405"/>
    </row>
  </sheetData>
  <sheetProtection password="C7B0" sheet="1" scenarios="1" selectLockedCells="1"/>
  <mergeCells count="2">
    <mergeCell ref="M2:N2"/>
    <mergeCell ref="M4:N4"/>
  </mergeCells>
  <pageMargins left="0.7" right="0.7" top="0.75" bottom="0.75" header="0.3" footer="0.3"/>
  <pageSetup scale="72" orientation="portrait" r:id="rId1"/>
  <rowBreaks count="1" manualBreakCount="1">
    <brk id="62" max="13" man="1"/>
  </rowBreak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38"/>
  <dimension ref="G1:N4"/>
  <sheetViews>
    <sheetView showGridLines="0" showRowColHeaders="0" zoomScale="85" zoomScaleNormal="85" workbookViewId="0"/>
  </sheetViews>
  <sheetFormatPr baseColWidth="10" defaultColWidth="9.1640625" defaultRowHeight="15" x14ac:dyDescent="0.2"/>
  <cols>
    <col min="1" max="1" width="4.1640625" style="12" customWidth="1"/>
    <col min="2" max="16384" width="9.1640625" style="12"/>
  </cols>
  <sheetData>
    <row r="1" spans="7:14" x14ac:dyDescent="0.2">
      <c r="H1" s="29"/>
      <c r="I1" s="29"/>
    </row>
    <row r="2" spans="7:14" ht="33" x14ac:dyDescent="0.2">
      <c r="G2" s="16" t="s">
        <v>1038</v>
      </c>
      <c r="H2" s="29"/>
      <c r="I2" s="29"/>
      <c r="M2" s="405"/>
      <c r="N2" s="405"/>
    </row>
    <row r="3" spans="7:14" ht="23" x14ac:dyDescent="0.25">
      <c r="G3" s="30" t="s">
        <v>403</v>
      </c>
      <c r="H3" s="29"/>
      <c r="I3" s="29"/>
      <c r="M3" s="31"/>
      <c r="N3" s="31"/>
    </row>
    <row r="4" spans="7:14" ht="33.75" customHeight="1" x14ac:dyDescent="0.2">
      <c r="M4" s="405"/>
      <c r="N4" s="405"/>
    </row>
  </sheetData>
  <sheetProtection password="C7B0" sheet="1" scenarios="1" selectLockedCells="1"/>
  <mergeCells count="2">
    <mergeCell ref="M2:N2"/>
    <mergeCell ref="M4:N4"/>
  </mergeCells>
  <pageMargins left="0.7" right="0.7" top="0.75" bottom="0.75" header="0.3" footer="0.3"/>
  <pageSetup scale="72" orientation="portrait" r:id="rId1"/>
  <rowBreaks count="1" manualBreakCount="1">
    <brk id="62" max="13" man="1"/>
  </row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39"/>
  <dimension ref="G1:N4"/>
  <sheetViews>
    <sheetView showGridLines="0" showRowColHeaders="0" zoomScale="85" zoomScaleNormal="85" workbookViewId="0"/>
  </sheetViews>
  <sheetFormatPr baseColWidth="10" defaultColWidth="9.1640625" defaultRowHeight="15" x14ac:dyDescent="0.2"/>
  <cols>
    <col min="1" max="1" width="4.1640625" style="12" customWidth="1"/>
    <col min="2" max="16384" width="9.1640625" style="12"/>
  </cols>
  <sheetData>
    <row r="1" spans="7:14" x14ac:dyDescent="0.2">
      <c r="H1" s="29"/>
      <c r="I1" s="29"/>
    </row>
    <row r="2" spans="7:14" ht="33" x14ac:dyDescent="0.2">
      <c r="G2" s="16" t="s">
        <v>1038</v>
      </c>
      <c r="H2" s="29"/>
      <c r="I2" s="29"/>
      <c r="M2" s="405"/>
      <c r="N2" s="405"/>
    </row>
    <row r="3" spans="7:14" ht="23" x14ac:dyDescent="0.25">
      <c r="G3" s="30" t="s">
        <v>404</v>
      </c>
      <c r="H3" s="29"/>
      <c r="I3" s="29"/>
      <c r="M3" s="31"/>
      <c r="N3" s="31"/>
    </row>
    <row r="4" spans="7:14" ht="33.75" customHeight="1" x14ac:dyDescent="0.2">
      <c r="M4" s="405"/>
      <c r="N4" s="405"/>
    </row>
  </sheetData>
  <sheetProtection password="C7B0" sheet="1" scenarios="1" selectLockedCells="1"/>
  <mergeCells count="2">
    <mergeCell ref="M2:N2"/>
    <mergeCell ref="M4:N4"/>
  </mergeCells>
  <pageMargins left="0.7" right="0.7" top="0.75" bottom="0.75" header="0.3" footer="0.3"/>
  <pageSetup scale="72" orientation="portrait" r:id="rId1"/>
  <rowBreaks count="1" manualBreakCount="1">
    <brk id="62" max="13" man="1"/>
  </row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40"/>
  <dimension ref="G1:N4"/>
  <sheetViews>
    <sheetView showGridLines="0" showRowColHeaders="0" zoomScale="85" zoomScaleNormal="85" workbookViewId="0"/>
  </sheetViews>
  <sheetFormatPr baseColWidth="10" defaultColWidth="9.1640625" defaultRowHeight="15" x14ac:dyDescent="0.2"/>
  <cols>
    <col min="1" max="1" width="4.1640625" style="12" customWidth="1"/>
    <col min="2" max="16384" width="9.1640625" style="12"/>
  </cols>
  <sheetData>
    <row r="1" spans="7:14" x14ac:dyDescent="0.2">
      <c r="H1" s="29"/>
      <c r="I1" s="29"/>
    </row>
    <row r="2" spans="7:14" ht="33" x14ac:dyDescent="0.2">
      <c r="G2" s="16" t="s">
        <v>1038</v>
      </c>
      <c r="H2" s="29"/>
      <c r="I2" s="29"/>
      <c r="M2" s="405"/>
      <c r="N2" s="405"/>
    </row>
    <row r="3" spans="7:14" ht="23" x14ac:dyDescent="0.25">
      <c r="G3" s="30" t="s">
        <v>405</v>
      </c>
      <c r="H3" s="29"/>
      <c r="I3" s="29"/>
      <c r="M3" s="31"/>
      <c r="N3" s="31"/>
    </row>
    <row r="4" spans="7:14" ht="33.75" customHeight="1" x14ac:dyDescent="0.2">
      <c r="M4" s="405"/>
      <c r="N4" s="405"/>
    </row>
  </sheetData>
  <sheetProtection password="C7B0" sheet="1" scenarios="1" selectLockedCells="1"/>
  <mergeCells count="2">
    <mergeCell ref="M2:N2"/>
    <mergeCell ref="M4:N4"/>
  </mergeCells>
  <pageMargins left="0.7" right="0.7" top="0.75" bottom="0.75" header="0.3" footer="0.3"/>
  <pageSetup scale="72" orientation="portrait" r:id="rId1"/>
  <rowBreaks count="1" manualBreakCount="1">
    <brk id="62" max="13" man="1"/>
  </row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41"/>
  <dimension ref="G1:N4"/>
  <sheetViews>
    <sheetView showGridLines="0" showRowColHeaders="0" zoomScale="85" zoomScaleNormal="85" workbookViewId="0"/>
  </sheetViews>
  <sheetFormatPr baseColWidth="10" defaultColWidth="9.1640625" defaultRowHeight="15" x14ac:dyDescent="0.2"/>
  <cols>
    <col min="1" max="1" width="4.1640625" style="12" customWidth="1"/>
    <col min="2" max="16384" width="9.1640625" style="12"/>
  </cols>
  <sheetData>
    <row r="1" spans="7:14" x14ac:dyDescent="0.2">
      <c r="H1" s="29"/>
      <c r="I1" s="29"/>
    </row>
    <row r="2" spans="7:14" ht="33" x14ac:dyDescent="0.2">
      <c r="G2" s="16" t="s">
        <v>1038</v>
      </c>
      <c r="H2" s="29"/>
      <c r="I2" s="29"/>
      <c r="M2" s="405"/>
      <c r="N2" s="405"/>
    </row>
    <row r="3" spans="7:14" ht="23" x14ac:dyDescent="0.25">
      <c r="G3" s="30" t="s">
        <v>406</v>
      </c>
      <c r="H3" s="29"/>
      <c r="I3" s="29"/>
      <c r="M3" s="31"/>
      <c r="N3" s="31"/>
    </row>
    <row r="4" spans="7:14" ht="33.75" customHeight="1" x14ac:dyDescent="0.2">
      <c r="M4" s="405"/>
      <c r="N4" s="405"/>
    </row>
  </sheetData>
  <sheetProtection password="C7B0" sheet="1" scenarios="1" selectLockedCells="1"/>
  <mergeCells count="2">
    <mergeCell ref="M2:N2"/>
    <mergeCell ref="M4:N4"/>
  </mergeCells>
  <pageMargins left="0.7" right="0.7" top="0.75" bottom="0.75" header="0.3" footer="0.3"/>
  <pageSetup scale="72" orientation="portrait" r:id="rId1"/>
  <rowBreaks count="1" manualBreakCount="1">
    <brk id="62" max="13" man="1"/>
  </rowBreak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42"/>
  <dimension ref="G1:N4"/>
  <sheetViews>
    <sheetView showGridLines="0" showRowColHeaders="0" zoomScale="85" zoomScaleNormal="85" workbookViewId="0"/>
  </sheetViews>
  <sheetFormatPr baseColWidth="10" defaultColWidth="9.1640625" defaultRowHeight="15" x14ac:dyDescent="0.2"/>
  <cols>
    <col min="1" max="1" width="4.1640625" style="12" customWidth="1"/>
    <col min="2" max="16384" width="9.1640625" style="12"/>
  </cols>
  <sheetData>
    <row r="1" spans="7:14" x14ac:dyDescent="0.2">
      <c r="H1" s="29"/>
      <c r="I1" s="29"/>
    </row>
    <row r="2" spans="7:14" ht="33" x14ac:dyDescent="0.2">
      <c r="G2" s="16" t="s">
        <v>1038</v>
      </c>
      <c r="H2" s="29"/>
      <c r="I2" s="29"/>
      <c r="M2" s="405"/>
      <c r="N2" s="405"/>
    </row>
    <row r="3" spans="7:14" ht="23" x14ac:dyDescent="0.25">
      <c r="G3" s="30" t="s">
        <v>1040</v>
      </c>
      <c r="H3" s="29"/>
      <c r="I3" s="29"/>
      <c r="M3" s="31"/>
      <c r="N3" s="31"/>
    </row>
    <row r="4" spans="7:14" ht="33.75" customHeight="1" x14ac:dyDescent="0.2">
      <c r="M4" s="405"/>
      <c r="N4" s="405"/>
    </row>
  </sheetData>
  <sheetProtection password="C7B0" sheet="1" scenarios="1" selectLockedCells="1"/>
  <mergeCells count="2">
    <mergeCell ref="M2:N2"/>
    <mergeCell ref="M4:N4"/>
  </mergeCells>
  <pageMargins left="0.7" right="0.7" top="0.75" bottom="0.75" header="0.3" footer="0.3"/>
  <pageSetup scale="72" orientation="portrait" r:id="rId1"/>
  <rowBreaks count="1" manualBreakCount="1">
    <brk id="62" max="13" man="1"/>
  </rowBreak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43"/>
  <dimension ref="G1:N4"/>
  <sheetViews>
    <sheetView showGridLines="0" showRowColHeaders="0" zoomScale="85" zoomScaleNormal="85" workbookViewId="0"/>
  </sheetViews>
  <sheetFormatPr baseColWidth="10" defaultColWidth="9.1640625" defaultRowHeight="15" x14ac:dyDescent="0.2"/>
  <cols>
    <col min="1" max="1" width="4.1640625" style="12" customWidth="1"/>
    <col min="2" max="16384" width="9.1640625" style="12"/>
  </cols>
  <sheetData>
    <row r="1" spans="7:14" x14ac:dyDescent="0.2">
      <c r="H1" s="29"/>
      <c r="I1" s="29"/>
    </row>
    <row r="2" spans="7:14" ht="33" x14ac:dyDescent="0.2">
      <c r="G2" s="16" t="s">
        <v>1038</v>
      </c>
      <c r="H2" s="29"/>
      <c r="I2" s="29"/>
      <c r="M2" s="405"/>
      <c r="N2" s="405"/>
    </row>
    <row r="3" spans="7:14" ht="23" x14ac:dyDescent="0.25">
      <c r="G3" s="30" t="s">
        <v>407</v>
      </c>
      <c r="H3" s="29"/>
      <c r="I3" s="29"/>
      <c r="M3" s="31"/>
      <c r="N3" s="31"/>
    </row>
    <row r="4" spans="7:14" ht="33.75" customHeight="1" x14ac:dyDescent="0.2">
      <c r="M4" s="405"/>
      <c r="N4" s="405"/>
    </row>
  </sheetData>
  <sheetProtection password="C7B0" sheet="1" scenarios="1" selectLockedCells="1"/>
  <mergeCells count="2">
    <mergeCell ref="M2:N2"/>
    <mergeCell ref="M4:N4"/>
  </mergeCells>
  <pageMargins left="0.7" right="0.7" top="0.75" bottom="0.75" header="0.3" footer="0.3"/>
  <pageSetup scale="72" orientation="portrait" r:id="rId1"/>
  <rowBreaks count="1" manualBreakCount="1">
    <brk id="62" max="1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2:M61"/>
  <sheetViews>
    <sheetView showGridLines="0" showRowColHeaders="0" zoomScaleNormal="100" workbookViewId="0">
      <selection activeCell="H7" sqref="H7"/>
    </sheetView>
  </sheetViews>
  <sheetFormatPr baseColWidth="10" defaultColWidth="9.1640625" defaultRowHeight="15" x14ac:dyDescent="0.2"/>
  <cols>
    <col min="1" max="2" width="9.1640625" style="12"/>
    <col min="3" max="3" width="9.1640625" style="12" customWidth="1"/>
    <col min="4" max="7" width="9.1640625" style="12"/>
    <col min="8" max="8" width="9.1640625" style="29"/>
    <col min="9" max="16384" width="9.1640625" style="12"/>
  </cols>
  <sheetData>
    <row r="2" spans="1:13" ht="33" x14ac:dyDescent="0.2">
      <c r="F2" s="16" t="s">
        <v>1038</v>
      </c>
      <c r="G2" s="29"/>
      <c r="H2" s="12"/>
      <c r="K2" s="104"/>
      <c r="L2" s="31"/>
    </row>
    <row r="3" spans="1:13" ht="23" x14ac:dyDescent="0.25">
      <c r="F3" s="30" t="s">
        <v>658</v>
      </c>
      <c r="L3" s="31"/>
      <c r="M3" s="31"/>
    </row>
    <row r="4" spans="1:13" ht="24" thickBot="1" x14ac:dyDescent="0.3">
      <c r="F4" s="30"/>
      <c r="L4" s="31"/>
      <c r="M4" s="31"/>
    </row>
    <row r="5" spans="1:13" x14ac:dyDescent="0.2">
      <c r="B5" s="53"/>
      <c r="C5" s="54"/>
      <c r="D5" s="54"/>
      <c r="E5" s="54"/>
      <c r="F5" s="54"/>
      <c r="G5" s="54"/>
      <c r="H5" s="55"/>
      <c r="I5" s="54"/>
      <c r="J5" s="56"/>
    </row>
    <row r="6" spans="1:13" ht="16" x14ac:dyDescent="0.2">
      <c r="B6" s="57"/>
      <c r="C6" s="58" t="s">
        <v>30</v>
      </c>
      <c r="D6" s="59"/>
      <c r="E6" s="59"/>
      <c r="F6" s="59"/>
      <c r="G6" s="59"/>
      <c r="H6" s="60"/>
      <c r="I6" s="59"/>
      <c r="J6" s="61"/>
    </row>
    <row r="7" spans="1:13" x14ac:dyDescent="0.2">
      <c r="B7" s="57"/>
      <c r="C7" s="62" t="s">
        <v>99</v>
      </c>
      <c r="D7" s="59"/>
      <c r="E7" s="59"/>
      <c r="F7" s="59"/>
      <c r="G7" s="59"/>
      <c r="H7" s="326">
        <v>0</v>
      </c>
      <c r="I7" s="59"/>
      <c r="J7" s="61"/>
    </row>
    <row r="8" spans="1:13" x14ac:dyDescent="0.2">
      <c r="B8" s="57"/>
      <c r="C8" s="63" t="s">
        <v>98</v>
      </c>
      <c r="D8" s="64"/>
      <c r="E8" s="59"/>
      <c r="F8" s="59"/>
      <c r="G8" s="59"/>
      <c r="H8" s="60">
        <f>IF(H7=0,0,IF(H7&lt;5,1,IF(H7&lt;10,2,IF(H7&lt;15,3,4))))</f>
        <v>0</v>
      </c>
      <c r="I8" s="59"/>
      <c r="J8" s="61"/>
    </row>
    <row r="9" spans="1:13" x14ac:dyDescent="0.2">
      <c r="B9" s="57"/>
      <c r="C9" s="63" t="s">
        <v>31</v>
      </c>
      <c r="D9" s="64"/>
      <c r="E9" s="59"/>
      <c r="F9" s="59"/>
      <c r="G9" s="59"/>
      <c r="H9" s="60"/>
      <c r="I9" s="59"/>
      <c r="J9" s="61"/>
    </row>
    <row r="10" spans="1:13" ht="30" customHeight="1" x14ac:dyDescent="0.2">
      <c r="B10" s="57"/>
      <c r="C10" s="381" t="s">
        <v>1099</v>
      </c>
      <c r="D10" s="382"/>
      <c r="E10" s="382"/>
      <c r="F10" s="382"/>
      <c r="G10" s="382"/>
      <c r="H10" s="382"/>
      <c r="I10" s="383"/>
      <c r="J10" s="61"/>
    </row>
    <row r="11" spans="1:13" x14ac:dyDescent="0.2">
      <c r="B11" s="57"/>
      <c r="C11" s="65"/>
      <c r="D11" s="66"/>
      <c r="E11" s="59"/>
      <c r="F11" s="59"/>
      <c r="G11" s="59"/>
      <c r="H11" s="67"/>
      <c r="I11" s="59"/>
      <c r="J11" s="61"/>
    </row>
    <row r="12" spans="1:13" ht="16" x14ac:dyDescent="0.2">
      <c r="B12" s="68"/>
      <c r="C12" s="69" t="s">
        <v>32</v>
      </c>
      <c r="D12" s="66"/>
      <c r="E12" s="59"/>
      <c r="F12" s="59"/>
      <c r="G12" s="59"/>
      <c r="H12" s="67"/>
      <c r="I12" s="59"/>
      <c r="J12" s="61"/>
    </row>
    <row r="13" spans="1:13" x14ac:dyDescent="0.2">
      <c r="A13" s="52"/>
      <c r="B13" s="70"/>
      <c r="C13" s="62" t="s">
        <v>218</v>
      </c>
      <c r="D13" s="59"/>
      <c r="E13" s="59"/>
      <c r="F13" s="59"/>
      <c r="G13" s="59"/>
      <c r="H13" s="130">
        <v>0</v>
      </c>
      <c r="I13" s="59"/>
      <c r="J13" s="61"/>
    </row>
    <row r="14" spans="1:13" x14ac:dyDescent="0.2">
      <c r="A14" s="52"/>
      <c r="B14" s="57"/>
      <c r="C14" s="63" t="s">
        <v>98</v>
      </c>
      <c r="D14" s="64"/>
      <c r="E14" s="59"/>
      <c r="F14" s="59"/>
      <c r="G14" s="59"/>
      <c r="H14" s="60">
        <f>IF(H13=0,0,IF(H13&lt;5,1,IF(H13&lt;10,2,IF(H13&lt;15,3,4))))</f>
        <v>0</v>
      </c>
      <c r="I14" s="59"/>
      <c r="J14" s="61"/>
    </row>
    <row r="15" spans="1:13" x14ac:dyDescent="0.2">
      <c r="A15" s="52"/>
      <c r="B15" s="57"/>
      <c r="C15" s="63" t="s">
        <v>31</v>
      </c>
      <c r="D15" s="66"/>
      <c r="E15" s="59"/>
      <c r="F15" s="59"/>
      <c r="G15" s="59"/>
      <c r="H15" s="60"/>
      <c r="I15" s="59"/>
      <c r="J15" s="61"/>
    </row>
    <row r="16" spans="1:13" ht="30" customHeight="1" x14ac:dyDescent="0.2">
      <c r="A16" s="52"/>
      <c r="B16" s="57"/>
      <c r="C16" s="381" t="s">
        <v>33</v>
      </c>
      <c r="D16" s="382"/>
      <c r="E16" s="382"/>
      <c r="F16" s="382"/>
      <c r="G16" s="382"/>
      <c r="H16" s="382"/>
      <c r="I16" s="383"/>
      <c r="J16" s="61"/>
    </row>
    <row r="17" spans="2:10" x14ac:dyDescent="0.2">
      <c r="B17" s="57"/>
      <c r="C17" s="59"/>
      <c r="D17" s="59"/>
      <c r="E17" s="59"/>
      <c r="F17" s="59"/>
      <c r="G17" s="59"/>
      <c r="H17" s="60"/>
      <c r="I17" s="59"/>
      <c r="J17" s="61"/>
    </row>
    <row r="18" spans="2:10" ht="16" x14ac:dyDescent="0.2">
      <c r="B18" s="57"/>
      <c r="C18" s="69" t="s">
        <v>34</v>
      </c>
      <c r="D18" s="59"/>
      <c r="E18" s="59"/>
      <c r="F18" s="59"/>
      <c r="G18" s="59"/>
      <c r="H18" s="60"/>
      <c r="I18" s="59"/>
      <c r="J18" s="61"/>
    </row>
    <row r="19" spans="2:10" x14ac:dyDescent="0.2">
      <c r="B19" s="57"/>
      <c r="C19" s="387" t="s">
        <v>1095</v>
      </c>
      <c r="D19" s="387"/>
      <c r="E19" s="387"/>
      <c r="F19" s="387"/>
      <c r="G19" s="387"/>
      <c r="H19" s="60"/>
      <c r="I19" s="59"/>
      <c r="J19" s="61"/>
    </row>
    <row r="20" spans="2:10" x14ac:dyDescent="0.2">
      <c r="B20" s="57"/>
      <c r="C20" s="387"/>
      <c r="D20" s="387"/>
      <c r="E20" s="387"/>
      <c r="F20" s="387"/>
      <c r="G20" s="387"/>
      <c r="H20" s="130">
        <v>0</v>
      </c>
      <c r="I20" s="59"/>
      <c r="J20" s="61"/>
    </row>
    <row r="21" spans="2:10" x14ac:dyDescent="0.2">
      <c r="B21" s="71"/>
      <c r="C21" s="63" t="s">
        <v>98</v>
      </c>
      <c r="D21" s="64"/>
      <c r="E21" s="59"/>
      <c r="F21" s="59"/>
      <c r="G21" s="59"/>
      <c r="H21" s="60">
        <f>IF(H20=0,0,IF(H20&lt;5,1,IF(H20&lt;10,2,IF(H20&lt;15,3,4))))</f>
        <v>0</v>
      </c>
      <c r="I21" s="59"/>
      <c r="J21" s="61"/>
    </row>
    <row r="22" spans="2:10" x14ac:dyDescent="0.2">
      <c r="B22" s="68"/>
      <c r="C22" s="63" t="s">
        <v>31</v>
      </c>
      <c r="D22" s="66"/>
      <c r="E22" s="59"/>
      <c r="F22" s="59"/>
      <c r="G22" s="59"/>
      <c r="H22" s="60"/>
      <c r="I22" s="59"/>
      <c r="J22" s="61"/>
    </row>
    <row r="23" spans="2:10" ht="30" customHeight="1" x14ac:dyDescent="0.2">
      <c r="B23" s="68"/>
      <c r="C23" s="381" t="s">
        <v>1096</v>
      </c>
      <c r="D23" s="382"/>
      <c r="E23" s="382"/>
      <c r="F23" s="382"/>
      <c r="G23" s="382"/>
      <c r="H23" s="382"/>
      <c r="I23" s="383"/>
      <c r="J23" s="61"/>
    </row>
    <row r="24" spans="2:10" x14ac:dyDescent="0.2">
      <c r="B24" s="57"/>
      <c r="C24" s="59"/>
      <c r="D24" s="59"/>
      <c r="E24" s="59"/>
      <c r="F24" s="59"/>
      <c r="G24" s="59"/>
      <c r="H24" s="60"/>
      <c r="I24" s="59"/>
      <c r="J24" s="61"/>
    </row>
    <row r="25" spans="2:10" ht="16" x14ac:dyDescent="0.2">
      <c r="B25" s="57"/>
      <c r="C25" s="69" t="s">
        <v>35</v>
      </c>
      <c r="D25" s="59"/>
      <c r="E25" s="59"/>
      <c r="F25" s="59"/>
      <c r="G25" s="59"/>
      <c r="H25" s="60"/>
      <c r="I25" s="59"/>
      <c r="J25" s="61"/>
    </row>
    <row r="26" spans="2:10" x14ac:dyDescent="0.2">
      <c r="B26" s="57"/>
      <c r="C26" s="62" t="s">
        <v>219</v>
      </c>
      <c r="D26" s="59"/>
      <c r="E26" s="59"/>
      <c r="F26" s="59"/>
      <c r="G26" s="59"/>
      <c r="H26" s="130">
        <v>0</v>
      </c>
      <c r="I26" s="59"/>
      <c r="J26" s="61"/>
    </row>
    <row r="27" spans="2:10" x14ac:dyDescent="0.2">
      <c r="B27" s="72"/>
      <c r="C27" s="63" t="s">
        <v>98</v>
      </c>
      <c r="D27" s="64"/>
      <c r="E27" s="59"/>
      <c r="F27" s="59"/>
      <c r="G27" s="59"/>
      <c r="H27" s="60">
        <f>IF(H26=0,0,IF(H26&lt;5,1,IF(H26&lt;10,2,IF(H26&lt;15,3,4))))</f>
        <v>0</v>
      </c>
      <c r="I27" s="59"/>
      <c r="J27" s="61"/>
    </row>
    <row r="28" spans="2:10" x14ac:dyDescent="0.2">
      <c r="B28" s="68"/>
      <c r="C28" s="63" t="s">
        <v>31</v>
      </c>
      <c r="D28" s="66"/>
      <c r="E28" s="59"/>
      <c r="F28" s="59"/>
      <c r="G28" s="59"/>
      <c r="H28" s="60"/>
      <c r="I28" s="59"/>
      <c r="J28" s="61"/>
    </row>
    <row r="29" spans="2:10" ht="30" customHeight="1" x14ac:dyDescent="0.2">
      <c r="B29" s="68"/>
      <c r="C29" s="381" t="s">
        <v>36</v>
      </c>
      <c r="D29" s="382"/>
      <c r="E29" s="382"/>
      <c r="F29" s="382"/>
      <c r="G29" s="382"/>
      <c r="H29" s="382"/>
      <c r="I29" s="383"/>
      <c r="J29" s="61"/>
    </row>
    <row r="30" spans="2:10" x14ac:dyDescent="0.2">
      <c r="B30" s="57"/>
      <c r="C30" s="59"/>
      <c r="D30" s="59"/>
      <c r="E30" s="59"/>
      <c r="F30" s="59"/>
      <c r="G30" s="59"/>
      <c r="H30" s="60"/>
      <c r="I30" s="59"/>
      <c r="J30" s="61"/>
    </row>
    <row r="31" spans="2:10" ht="16" x14ac:dyDescent="0.2">
      <c r="B31" s="57"/>
      <c r="C31" s="69" t="s">
        <v>37</v>
      </c>
      <c r="D31" s="59"/>
      <c r="E31" s="59"/>
      <c r="F31" s="59"/>
      <c r="G31" s="59"/>
      <c r="H31" s="60"/>
      <c r="I31" s="59"/>
      <c r="J31" s="61"/>
    </row>
    <row r="32" spans="2:10" x14ac:dyDescent="0.2">
      <c r="B32" s="57"/>
      <c r="C32" s="387" t="s">
        <v>220</v>
      </c>
      <c r="D32" s="387"/>
      <c r="E32" s="387"/>
      <c r="F32" s="387"/>
      <c r="G32" s="387"/>
      <c r="H32" s="60"/>
      <c r="I32" s="59"/>
      <c r="J32" s="61"/>
    </row>
    <row r="33" spans="2:10" x14ac:dyDescent="0.2">
      <c r="B33" s="57"/>
      <c r="C33" s="387"/>
      <c r="D33" s="387"/>
      <c r="E33" s="387"/>
      <c r="F33" s="387"/>
      <c r="G33" s="387"/>
      <c r="H33" s="130">
        <v>0</v>
      </c>
      <c r="I33" s="59"/>
      <c r="J33" s="61"/>
    </row>
    <row r="34" spans="2:10" x14ac:dyDescent="0.2">
      <c r="B34" s="71"/>
      <c r="C34" s="63" t="s">
        <v>98</v>
      </c>
      <c r="D34" s="64"/>
      <c r="E34" s="59"/>
      <c r="F34" s="59"/>
      <c r="G34" s="59"/>
      <c r="H34" s="60">
        <f>IF(H33=0,0,IF(H33&lt;5,1,IF(H33&lt;10,2,IF(H33&lt;15,3,4))))</f>
        <v>0</v>
      </c>
      <c r="I34" s="59"/>
      <c r="J34" s="61"/>
    </row>
    <row r="35" spans="2:10" x14ac:dyDescent="0.2">
      <c r="B35" s="68"/>
      <c r="C35" s="63" t="s">
        <v>31</v>
      </c>
      <c r="D35" s="66"/>
      <c r="E35" s="59"/>
      <c r="F35" s="59"/>
      <c r="G35" s="59"/>
      <c r="H35" s="60"/>
      <c r="I35" s="59"/>
      <c r="J35" s="61"/>
    </row>
    <row r="36" spans="2:10" ht="15" customHeight="1" x14ac:dyDescent="0.2">
      <c r="B36" s="68"/>
      <c r="C36" s="381" t="s">
        <v>28</v>
      </c>
      <c r="D36" s="382"/>
      <c r="E36" s="382"/>
      <c r="F36" s="382"/>
      <c r="G36" s="382"/>
      <c r="H36" s="382"/>
      <c r="I36" s="383"/>
      <c r="J36" s="61"/>
    </row>
    <row r="37" spans="2:10" x14ac:dyDescent="0.2">
      <c r="B37" s="57"/>
      <c r="C37" s="59"/>
      <c r="D37" s="59"/>
      <c r="E37" s="59"/>
      <c r="F37" s="59"/>
      <c r="G37" s="59"/>
      <c r="H37" s="60"/>
      <c r="I37" s="59"/>
      <c r="J37" s="61"/>
    </row>
    <row r="38" spans="2:10" ht="16" x14ac:dyDescent="0.2">
      <c r="B38" s="57"/>
      <c r="C38" s="69" t="s">
        <v>38</v>
      </c>
      <c r="D38" s="59"/>
      <c r="E38" s="59"/>
      <c r="F38" s="59"/>
      <c r="G38" s="59"/>
      <c r="H38" s="60"/>
      <c r="I38" s="59"/>
      <c r="J38" s="61"/>
    </row>
    <row r="39" spans="2:10" x14ac:dyDescent="0.2">
      <c r="B39" s="57"/>
      <c r="C39" s="62" t="s">
        <v>1097</v>
      </c>
      <c r="D39" s="59"/>
      <c r="E39" s="59"/>
      <c r="F39" s="59"/>
      <c r="G39" s="59"/>
      <c r="H39" s="130">
        <v>0</v>
      </c>
      <c r="I39" s="59"/>
      <c r="J39" s="61"/>
    </row>
    <row r="40" spans="2:10" x14ac:dyDescent="0.2">
      <c r="B40" s="72"/>
      <c r="C40" s="63" t="s">
        <v>98</v>
      </c>
      <c r="D40" s="64"/>
      <c r="E40" s="59"/>
      <c r="F40" s="59"/>
      <c r="G40" s="59"/>
      <c r="H40" s="60">
        <f>IF(H39=0,0,IF(H39&lt;5,1,IF(H39&lt;10,2,IF(H39&lt;15,3,4))))</f>
        <v>0</v>
      </c>
      <c r="I40" s="59"/>
      <c r="J40" s="61"/>
    </row>
    <row r="41" spans="2:10" x14ac:dyDescent="0.2">
      <c r="B41" s="68"/>
      <c r="C41" s="63" t="s">
        <v>31</v>
      </c>
      <c r="D41" s="66"/>
      <c r="E41" s="59"/>
      <c r="F41" s="59"/>
      <c r="G41" s="59"/>
      <c r="H41" s="60"/>
      <c r="I41" s="59"/>
      <c r="J41" s="61"/>
    </row>
    <row r="42" spans="2:10" ht="15" customHeight="1" x14ac:dyDescent="0.2">
      <c r="B42" s="68"/>
      <c r="C42" s="381" t="s">
        <v>39</v>
      </c>
      <c r="D42" s="382"/>
      <c r="E42" s="382"/>
      <c r="F42" s="382"/>
      <c r="G42" s="382"/>
      <c r="H42" s="382"/>
      <c r="I42" s="383"/>
      <c r="J42" s="61"/>
    </row>
    <row r="43" spans="2:10" x14ac:dyDescent="0.2">
      <c r="B43" s="57"/>
      <c r="C43" s="59"/>
      <c r="D43" s="59"/>
      <c r="E43" s="59"/>
      <c r="F43" s="59"/>
      <c r="G43" s="59"/>
      <c r="H43" s="60"/>
      <c r="I43" s="59"/>
      <c r="J43" s="61"/>
    </row>
    <row r="44" spans="2:10" ht="16" x14ac:dyDescent="0.2">
      <c r="B44" s="57"/>
      <c r="C44" s="69" t="s">
        <v>40</v>
      </c>
      <c r="D44" s="59"/>
      <c r="E44" s="59"/>
      <c r="F44" s="59"/>
      <c r="G44" s="59"/>
      <c r="H44" s="60"/>
      <c r="I44" s="59"/>
      <c r="J44" s="61"/>
    </row>
    <row r="45" spans="2:10" x14ac:dyDescent="0.2">
      <c r="B45" s="57"/>
      <c r="C45" s="62" t="s">
        <v>221</v>
      </c>
      <c r="D45" s="59"/>
      <c r="E45" s="59"/>
      <c r="F45" s="59"/>
      <c r="G45" s="59"/>
      <c r="H45" s="130">
        <v>0</v>
      </c>
      <c r="I45" s="59"/>
      <c r="J45" s="61"/>
    </row>
    <row r="46" spans="2:10" x14ac:dyDescent="0.2">
      <c r="B46" s="71"/>
      <c r="C46" s="63" t="s">
        <v>98</v>
      </c>
      <c r="D46" s="64"/>
      <c r="E46" s="59"/>
      <c r="F46" s="59"/>
      <c r="G46" s="59"/>
      <c r="H46" s="60">
        <f>IF(H45=0,0,IF(H45&lt;5,1,IF(H45&lt;10,2,IF(H45&lt;15,3,4))))</f>
        <v>0</v>
      </c>
      <c r="I46" s="59"/>
      <c r="J46" s="61"/>
    </row>
    <row r="47" spans="2:10" x14ac:dyDescent="0.2">
      <c r="B47" s="68"/>
      <c r="C47" s="63" t="s">
        <v>31</v>
      </c>
      <c r="D47" s="66"/>
      <c r="E47" s="59"/>
      <c r="F47" s="59"/>
      <c r="G47" s="59"/>
      <c r="H47" s="60"/>
      <c r="I47" s="59"/>
      <c r="J47" s="61"/>
    </row>
    <row r="48" spans="2:10" x14ac:dyDescent="0.2">
      <c r="B48" s="68"/>
      <c r="C48" s="381" t="s">
        <v>28</v>
      </c>
      <c r="D48" s="385"/>
      <c r="E48" s="385"/>
      <c r="F48" s="385"/>
      <c r="G48" s="385"/>
      <c r="H48" s="385"/>
      <c r="I48" s="386"/>
      <c r="J48" s="61"/>
    </row>
    <row r="49" spans="2:10" x14ac:dyDescent="0.2">
      <c r="B49" s="57"/>
      <c r="C49" s="59"/>
      <c r="D49" s="59"/>
      <c r="E49" s="59"/>
      <c r="F49" s="59"/>
      <c r="G49" s="59"/>
      <c r="H49" s="60"/>
      <c r="I49" s="59"/>
      <c r="J49" s="61"/>
    </row>
    <row r="50" spans="2:10" ht="16" x14ac:dyDescent="0.2">
      <c r="B50" s="57"/>
      <c r="C50" s="69" t="s">
        <v>224</v>
      </c>
      <c r="D50" s="59"/>
      <c r="E50" s="59"/>
      <c r="F50" s="59"/>
      <c r="G50" s="59"/>
      <c r="H50" s="60"/>
      <c r="I50" s="59"/>
      <c r="J50" s="61"/>
    </row>
    <row r="51" spans="2:10" x14ac:dyDescent="0.2">
      <c r="B51" s="57"/>
      <c r="C51" s="62" t="s">
        <v>222</v>
      </c>
      <c r="D51" s="59"/>
      <c r="E51" s="59"/>
      <c r="F51" s="59"/>
      <c r="G51" s="59"/>
      <c r="H51" s="130">
        <v>0</v>
      </c>
      <c r="I51" s="59"/>
      <c r="J51" s="61"/>
    </row>
    <row r="52" spans="2:10" x14ac:dyDescent="0.2">
      <c r="B52" s="71"/>
      <c r="C52" s="63" t="s">
        <v>98</v>
      </c>
      <c r="D52" s="64"/>
      <c r="E52" s="59"/>
      <c r="F52" s="59"/>
      <c r="G52" s="59"/>
      <c r="H52" s="60">
        <f>IF(H51=0,0,IF(H51&lt;5,1,IF(H51&lt;10,2,IF(H51&lt;15,3,4))))</f>
        <v>0</v>
      </c>
      <c r="I52" s="59"/>
      <c r="J52" s="61"/>
    </row>
    <row r="53" spans="2:10" x14ac:dyDescent="0.2">
      <c r="B53" s="68"/>
      <c r="C53" s="63" t="s">
        <v>31</v>
      </c>
      <c r="D53" s="66"/>
      <c r="E53" s="59"/>
      <c r="F53" s="59"/>
      <c r="G53" s="59"/>
      <c r="H53" s="60"/>
      <c r="I53" s="59"/>
      <c r="J53" s="61"/>
    </row>
    <row r="54" spans="2:10" x14ac:dyDescent="0.2">
      <c r="B54" s="68"/>
      <c r="C54" s="381" t="s">
        <v>42</v>
      </c>
      <c r="D54" s="385"/>
      <c r="E54" s="385"/>
      <c r="F54" s="385"/>
      <c r="G54" s="385"/>
      <c r="H54" s="385"/>
      <c r="I54" s="386"/>
      <c r="J54" s="61"/>
    </row>
    <row r="55" spans="2:10" x14ac:dyDescent="0.2">
      <c r="B55" s="57"/>
      <c r="C55" s="59"/>
      <c r="D55" s="59"/>
      <c r="E55" s="59"/>
      <c r="F55" s="59"/>
      <c r="G55" s="59"/>
      <c r="H55" s="60"/>
      <c r="I55" s="59"/>
      <c r="J55" s="61"/>
    </row>
    <row r="56" spans="2:10" ht="16" x14ac:dyDescent="0.2">
      <c r="B56" s="57"/>
      <c r="C56" s="69" t="s">
        <v>225</v>
      </c>
      <c r="D56" s="59"/>
      <c r="E56" s="59"/>
      <c r="F56" s="59"/>
      <c r="G56" s="59"/>
      <c r="H56" s="60"/>
      <c r="I56" s="59"/>
      <c r="J56" s="61"/>
    </row>
    <row r="57" spans="2:10" x14ac:dyDescent="0.2">
      <c r="B57" s="57"/>
      <c r="C57" s="62" t="s">
        <v>223</v>
      </c>
      <c r="D57" s="59"/>
      <c r="E57" s="59"/>
      <c r="F57" s="59"/>
      <c r="G57" s="59"/>
      <c r="H57" s="130">
        <v>0</v>
      </c>
      <c r="I57" s="59"/>
      <c r="J57" s="61"/>
    </row>
    <row r="58" spans="2:10" x14ac:dyDescent="0.2">
      <c r="B58" s="71"/>
      <c r="C58" s="63" t="s">
        <v>98</v>
      </c>
      <c r="D58" s="64"/>
      <c r="E58" s="59"/>
      <c r="F58" s="59"/>
      <c r="G58" s="59"/>
      <c r="H58" s="60">
        <f>IF(H57=0,0,IF(H57&lt;5,1,IF(H57&lt;10,2,IF(H57&lt;15,3,4))))</f>
        <v>0</v>
      </c>
      <c r="I58" s="59"/>
      <c r="J58" s="61"/>
    </row>
    <row r="59" spans="2:10" x14ac:dyDescent="0.2">
      <c r="B59" s="68"/>
      <c r="C59" s="63" t="s">
        <v>31</v>
      </c>
      <c r="D59" s="66"/>
      <c r="E59" s="59"/>
      <c r="F59" s="59"/>
      <c r="G59" s="59"/>
      <c r="H59" s="60"/>
      <c r="I59" s="59"/>
      <c r="J59" s="61"/>
    </row>
    <row r="60" spans="2:10" x14ac:dyDescent="0.2">
      <c r="B60" s="57"/>
      <c r="C60" s="384" t="s">
        <v>44</v>
      </c>
      <c r="D60" s="382"/>
      <c r="E60" s="382"/>
      <c r="F60" s="382"/>
      <c r="G60" s="382"/>
      <c r="H60" s="382"/>
      <c r="I60" s="383"/>
      <c r="J60" s="61"/>
    </row>
    <row r="61" spans="2:10" ht="16" thickBot="1" x14ac:dyDescent="0.25">
      <c r="B61" s="73"/>
      <c r="C61" s="74"/>
      <c r="D61" s="74"/>
      <c r="E61" s="74"/>
      <c r="F61" s="74"/>
      <c r="G61" s="74"/>
      <c r="H61" s="75"/>
      <c r="I61" s="74"/>
      <c r="J61" s="76"/>
    </row>
  </sheetData>
  <sheetProtection password="C7B0" sheet="1" objects="1" scenarios="1" selectLockedCells="1"/>
  <mergeCells count="11">
    <mergeCell ref="C10:I10"/>
    <mergeCell ref="C16:I16"/>
    <mergeCell ref="C23:I23"/>
    <mergeCell ref="C60:I60"/>
    <mergeCell ref="C54:I54"/>
    <mergeCell ref="C48:I48"/>
    <mergeCell ref="C42:I42"/>
    <mergeCell ref="C36:I36"/>
    <mergeCell ref="C29:I29"/>
    <mergeCell ref="C19:G20"/>
    <mergeCell ref="C32:G33"/>
  </mergeCells>
  <pageMargins left="0.7" right="0.7" top="0.75" bottom="0.75" header="0.3" footer="0.3"/>
  <pageSetup scale="89" orientation="portrait" r:id="rId1"/>
  <colBreaks count="1" manualBreakCount="1">
    <brk id="1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44"/>
  <dimension ref="G1:N4"/>
  <sheetViews>
    <sheetView showGridLines="0" showRowColHeaders="0" zoomScale="85" zoomScaleNormal="85" workbookViewId="0"/>
  </sheetViews>
  <sheetFormatPr baseColWidth="10" defaultColWidth="9.1640625" defaultRowHeight="15" x14ac:dyDescent="0.2"/>
  <cols>
    <col min="1" max="1" width="4.1640625" style="12" customWidth="1"/>
    <col min="2" max="16384" width="9.1640625" style="12"/>
  </cols>
  <sheetData>
    <row r="1" spans="7:14" x14ac:dyDescent="0.2">
      <c r="H1" s="29"/>
      <c r="I1" s="29"/>
    </row>
    <row r="2" spans="7:14" ht="33" x14ac:dyDescent="0.2">
      <c r="G2" s="16" t="s">
        <v>1038</v>
      </c>
      <c r="H2" s="29"/>
      <c r="I2" s="29"/>
      <c r="M2" s="405"/>
      <c r="N2" s="405"/>
    </row>
    <row r="3" spans="7:14" ht="23" x14ac:dyDescent="0.25">
      <c r="G3" s="30" t="s">
        <v>408</v>
      </c>
      <c r="H3" s="29"/>
      <c r="I3" s="29"/>
      <c r="M3" s="31"/>
      <c r="N3" s="31"/>
    </row>
    <row r="4" spans="7:14" ht="33.75" customHeight="1" x14ac:dyDescent="0.2">
      <c r="M4" s="405"/>
      <c r="N4" s="405"/>
    </row>
  </sheetData>
  <sheetProtection password="C7B0" sheet="1" scenarios="1" selectLockedCells="1"/>
  <mergeCells count="2">
    <mergeCell ref="M2:N2"/>
    <mergeCell ref="M4:N4"/>
  </mergeCells>
  <pageMargins left="0.7" right="0.7" top="0.75" bottom="0.75" header="0.3" footer="0.3"/>
  <pageSetup scale="72" orientation="portrait" r:id="rId1"/>
  <rowBreaks count="1" manualBreakCount="1">
    <brk id="62" max="13" man="1"/>
  </rowBreaks>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45"/>
  <dimension ref="G1:N4"/>
  <sheetViews>
    <sheetView showGridLines="0" showRowColHeaders="0" zoomScale="85" zoomScaleNormal="85" workbookViewId="0"/>
  </sheetViews>
  <sheetFormatPr baseColWidth="10" defaultColWidth="9.1640625" defaultRowHeight="15" x14ac:dyDescent="0.2"/>
  <cols>
    <col min="1" max="1" width="4.1640625" style="12" customWidth="1"/>
    <col min="2" max="16384" width="9.1640625" style="12"/>
  </cols>
  <sheetData>
    <row r="1" spans="7:14" x14ac:dyDescent="0.2">
      <c r="H1" s="29"/>
      <c r="I1" s="29"/>
    </row>
    <row r="2" spans="7:14" ht="33" x14ac:dyDescent="0.2">
      <c r="G2" s="16" t="s">
        <v>1038</v>
      </c>
      <c r="H2" s="29"/>
      <c r="I2" s="29"/>
      <c r="M2" s="405"/>
      <c r="N2" s="405"/>
    </row>
    <row r="3" spans="7:14" ht="23" x14ac:dyDescent="0.25">
      <c r="G3" s="30" t="s">
        <v>409</v>
      </c>
      <c r="H3" s="29"/>
      <c r="I3" s="29"/>
      <c r="M3" s="31"/>
      <c r="N3" s="31"/>
    </row>
    <row r="4" spans="7:14" ht="33.75" customHeight="1" x14ac:dyDescent="0.2">
      <c r="M4" s="405"/>
      <c r="N4" s="405"/>
    </row>
  </sheetData>
  <sheetProtection password="C7B0" sheet="1" scenarios="1" selectLockedCells="1"/>
  <mergeCells count="2">
    <mergeCell ref="M2:N2"/>
    <mergeCell ref="M4:N4"/>
  </mergeCells>
  <pageMargins left="0.7" right="0.7" top="0.75" bottom="0.75" header="0.3" footer="0.3"/>
  <pageSetup scale="72" orientation="portrait" r:id="rId1"/>
  <rowBreaks count="1" manualBreakCount="1">
    <brk id="62" max="13" man="1"/>
  </rowBreaks>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46"/>
  <dimension ref="G1:N4"/>
  <sheetViews>
    <sheetView showGridLines="0" showRowColHeaders="0" zoomScale="85" zoomScaleNormal="85" workbookViewId="0"/>
  </sheetViews>
  <sheetFormatPr baseColWidth="10" defaultColWidth="9.1640625" defaultRowHeight="15" x14ac:dyDescent="0.2"/>
  <cols>
    <col min="1" max="1" width="4.1640625" style="12" customWidth="1"/>
    <col min="2" max="16384" width="9.1640625" style="12"/>
  </cols>
  <sheetData>
    <row r="1" spans="7:14" x14ac:dyDescent="0.2">
      <c r="H1" s="29"/>
      <c r="I1" s="29"/>
    </row>
    <row r="2" spans="7:14" ht="33" x14ac:dyDescent="0.2">
      <c r="G2" s="16" t="s">
        <v>1038</v>
      </c>
      <c r="H2" s="29"/>
      <c r="I2" s="29"/>
      <c r="M2" s="405"/>
      <c r="N2" s="405"/>
    </row>
    <row r="3" spans="7:14" ht="23" x14ac:dyDescent="0.25">
      <c r="G3" s="30" t="s">
        <v>410</v>
      </c>
      <c r="H3" s="29"/>
      <c r="I3" s="29"/>
      <c r="M3" s="31"/>
      <c r="N3" s="31"/>
    </row>
    <row r="4" spans="7:14" ht="33.75" customHeight="1" x14ac:dyDescent="0.2">
      <c r="M4" s="405"/>
      <c r="N4" s="405"/>
    </row>
  </sheetData>
  <sheetProtection password="C7B0" sheet="1" scenarios="1" selectLockedCells="1"/>
  <mergeCells count="2">
    <mergeCell ref="M2:N2"/>
    <mergeCell ref="M4:N4"/>
  </mergeCells>
  <pageMargins left="0.7" right="0.7" top="0.75" bottom="0.75" header="0.3" footer="0.3"/>
  <pageSetup scale="72" orientation="portrait" r:id="rId1"/>
  <rowBreaks count="1" manualBreakCount="1">
    <brk id="62" max="13" man="1"/>
  </rowBreaks>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47"/>
  <dimension ref="G1:N4"/>
  <sheetViews>
    <sheetView showGridLines="0" showRowColHeaders="0" zoomScale="85" zoomScaleNormal="85" workbookViewId="0"/>
  </sheetViews>
  <sheetFormatPr baseColWidth="10" defaultColWidth="9.1640625" defaultRowHeight="15" x14ac:dyDescent="0.2"/>
  <cols>
    <col min="1" max="1" width="4.1640625" style="12" customWidth="1"/>
    <col min="2" max="16384" width="9.1640625" style="12"/>
  </cols>
  <sheetData>
    <row r="1" spans="7:14" x14ac:dyDescent="0.2">
      <c r="H1" s="29"/>
      <c r="I1" s="29"/>
    </row>
    <row r="2" spans="7:14" ht="33" x14ac:dyDescent="0.2">
      <c r="G2" s="16" t="s">
        <v>1038</v>
      </c>
      <c r="H2" s="29"/>
      <c r="I2" s="29"/>
      <c r="M2" s="405"/>
      <c r="N2" s="405"/>
    </row>
    <row r="3" spans="7:14" ht="23" x14ac:dyDescent="0.25">
      <c r="G3" s="30" t="s">
        <v>411</v>
      </c>
      <c r="H3" s="29"/>
      <c r="I3" s="29"/>
      <c r="M3" s="31"/>
      <c r="N3" s="31"/>
    </row>
    <row r="4" spans="7:14" ht="33.75" customHeight="1" x14ac:dyDescent="0.2">
      <c r="M4" s="405"/>
      <c r="N4" s="405"/>
    </row>
  </sheetData>
  <sheetProtection password="C7B0" sheet="1" scenarios="1" selectLockedCells="1"/>
  <mergeCells count="2">
    <mergeCell ref="M2:N2"/>
    <mergeCell ref="M4:N4"/>
  </mergeCells>
  <pageMargins left="0.7" right="0.7" top="0.75" bottom="0.75" header="0.3" footer="0.3"/>
  <pageSetup scale="72" orientation="portrait" r:id="rId1"/>
  <rowBreaks count="1" manualBreakCount="1">
    <brk id="62" max="13" man="1"/>
  </rowBreaks>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48"/>
  <dimension ref="G1:N4"/>
  <sheetViews>
    <sheetView showGridLines="0" showRowColHeaders="0" zoomScale="85" zoomScaleNormal="85" workbookViewId="0"/>
  </sheetViews>
  <sheetFormatPr baseColWidth="10" defaultColWidth="9.1640625" defaultRowHeight="15" x14ac:dyDescent="0.2"/>
  <cols>
    <col min="1" max="1" width="4.1640625" style="12" customWidth="1"/>
    <col min="2" max="16384" width="9.1640625" style="12"/>
  </cols>
  <sheetData>
    <row r="1" spans="7:14" x14ac:dyDescent="0.2">
      <c r="H1" s="29"/>
      <c r="I1" s="29"/>
    </row>
    <row r="2" spans="7:14" ht="33" x14ac:dyDescent="0.2">
      <c r="G2" s="16" t="s">
        <v>1038</v>
      </c>
      <c r="H2" s="29"/>
      <c r="I2" s="29"/>
      <c r="M2" s="405"/>
      <c r="N2" s="405"/>
    </row>
    <row r="3" spans="7:14" ht="23" x14ac:dyDescent="0.25">
      <c r="G3" s="30" t="s">
        <v>412</v>
      </c>
      <c r="H3" s="29"/>
      <c r="I3" s="29"/>
      <c r="M3" s="31"/>
      <c r="N3" s="31"/>
    </row>
    <row r="4" spans="7:14" ht="33.75" customHeight="1" x14ac:dyDescent="0.2">
      <c r="M4" s="405"/>
      <c r="N4" s="405"/>
    </row>
  </sheetData>
  <sheetProtection password="C7B0" sheet="1" scenarios="1" selectLockedCells="1"/>
  <mergeCells count="2">
    <mergeCell ref="M2:N2"/>
    <mergeCell ref="M4:N4"/>
  </mergeCells>
  <pageMargins left="0.7" right="0.7" top="0.75" bottom="0.75" header="0.3" footer="0.3"/>
  <pageSetup scale="72" orientation="portrait" r:id="rId1"/>
  <rowBreaks count="1" manualBreakCount="1">
    <brk id="62" max="13" man="1"/>
  </rowBreaks>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49"/>
  <dimension ref="G1:N4"/>
  <sheetViews>
    <sheetView showGridLines="0" showRowColHeaders="0" zoomScale="85" zoomScaleNormal="85" workbookViewId="0"/>
  </sheetViews>
  <sheetFormatPr baseColWidth="10" defaultColWidth="9.1640625" defaultRowHeight="15" x14ac:dyDescent="0.2"/>
  <cols>
    <col min="1" max="1" width="4.1640625" style="12" customWidth="1"/>
    <col min="2" max="16384" width="9.1640625" style="12"/>
  </cols>
  <sheetData>
    <row r="1" spans="7:14" x14ac:dyDescent="0.2">
      <c r="H1" s="29"/>
      <c r="I1" s="29"/>
    </row>
    <row r="2" spans="7:14" ht="33" x14ac:dyDescent="0.2">
      <c r="G2" s="16" t="s">
        <v>1038</v>
      </c>
      <c r="H2" s="29"/>
      <c r="I2" s="29"/>
      <c r="M2" s="405"/>
      <c r="N2" s="405"/>
    </row>
    <row r="3" spans="7:14" ht="23" x14ac:dyDescent="0.25">
      <c r="G3" s="30" t="s">
        <v>413</v>
      </c>
      <c r="H3" s="29"/>
      <c r="I3" s="29"/>
      <c r="M3" s="31"/>
      <c r="N3" s="31"/>
    </row>
    <row r="4" spans="7:14" ht="33.75" customHeight="1" x14ac:dyDescent="0.2">
      <c r="M4" s="405"/>
      <c r="N4" s="405"/>
    </row>
  </sheetData>
  <sheetProtection password="C7B0" sheet="1" scenarios="1" selectLockedCells="1"/>
  <mergeCells count="2">
    <mergeCell ref="M2:N2"/>
    <mergeCell ref="M4:N4"/>
  </mergeCells>
  <pageMargins left="0.7" right="0.7" top="0.75" bottom="0.75" header="0.3" footer="0.3"/>
  <pageSetup scale="72" orientation="portrait" r:id="rId1"/>
  <rowBreaks count="1" manualBreakCount="1">
    <brk id="62" max="13" man="1"/>
  </rowBreaks>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50"/>
  <dimension ref="G1:N4"/>
  <sheetViews>
    <sheetView showGridLines="0" showRowColHeaders="0" zoomScale="85" zoomScaleNormal="85" workbookViewId="0"/>
  </sheetViews>
  <sheetFormatPr baseColWidth="10" defaultColWidth="9.1640625" defaultRowHeight="15" x14ac:dyDescent="0.2"/>
  <cols>
    <col min="1" max="1" width="4.1640625" style="12" customWidth="1"/>
    <col min="2" max="16384" width="9.1640625" style="12"/>
  </cols>
  <sheetData>
    <row r="1" spans="7:14" x14ac:dyDescent="0.2">
      <c r="H1" s="29"/>
      <c r="I1" s="29"/>
    </row>
    <row r="2" spans="7:14" ht="33" x14ac:dyDescent="0.2">
      <c r="G2" s="16" t="s">
        <v>1038</v>
      </c>
      <c r="H2" s="29"/>
      <c r="I2" s="29"/>
      <c r="M2" s="405"/>
      <c r="N2" s="405"/>
    </row>
    <row r="3" spans="7:14" ht="23" x14ac:dyDescent="0.25">
      <c r="G3" s="30" t="s">
        <v>414</v>
      </c>
      <c r="H3" s="29"/>
      <c r="I3" s="29"/>
      <c r="M3" s="31"/>
      <c r="N3" s="31"/>
    </row>
    <row r="4" spans="7:14" ht="33.75" customHeight="1" x14ac:dyDescent="0.2">
      <c r="M4" s="405"/>
      <c r="N4" s="405"/>
    </row>
  </sheetData>
  <sheetProtection password="C7B0" sheet="1" scenarios="1" selectLockedCells="1"/>
  <mergeCells count="2">
    <mergeCell ref="M2:N2"/>
    <mergeCell ref="M4:N4"/>
  </mergeCells>
  <pageMargins left="0.7" right="0.7" top="0.75" bottom="0.75" header="0.3" footer="0.3"/>
  <pageSetup scale="72" orientation="portrait" r:id="rId1"/>
  <rowBreaks count="1" manualBreakCount="1">
    <brk id="62" max="13" man="1"/>
  </rowBreaks>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51"/>
  <dimension ref="G1:N4"/>
  <sheetViews>
    <sheetView showGridLines="0" showRowColHeaders="0" zoomScale="85" zoomScaleNormal="85" workbookViewId="0"/>
  </sheetViews>
  <sheetFormatPr baseColWidth="10" defaultColWidth="9.1640625" defaultRowHeight="15" x14ac:dyDescent="0.2"/>
  <cols>
    <col min="1" max="1" width="4.1640625" style="12" customWidth="1"/>
    <col min="2" max="16384" width="9.1640625" style="12"/>
  </cols>
  <sheetData>
    <row r="1" spans="7:14" x14ac:dyDescent="0.2">
      <c r="H1" s="29"/>
      <c r="I1" s="29"/>
    </row>
    <row r="2" spans="7:14" ht="33" x14ac:dyDescent="0.2">
      <c r="G2" s="16" t="s">
        <v>1038</v>
      </c>
      <c r="H2" s="29"/>
      <c r="I2" s="29"/>
      <c r="M2" s="405"/>
      <c r="N2" s="405"/>
    </row>
    <row r="3" spans="7:14" ht="23" x14ac:dyDescent="0.25">
      <c r="G3" s="30" t="s">
        <v>415</v>
      </c>
      <c r="H3" s="29"/>
      <c r="I3" s="29"/>
      <c r="M3" s="31"/>
      <c r="N3" s="31"/>
    </row>
    <row r="4" spans="7:14" ht="33.75" customHeight="1" x14ac:dyDescent="0.2">
      <c r="M4" s="405"/>
      <c r="N4" s="405"/>
    </row>
  </sheetData>
  <sheetProtection password="C7B0" sheet="1" scenarios="1" selectLockedCells="1"/>
  <mergeCells count="2">
    <mergeCell ref="M2:N2"/>
    <mergeCell ref="M4:N4"/>
  </mergeCells>
  <pageMargins left="0.7" right="0.7" top="0.75" bottom="0.75" header="0.3" footer="0.3"/>
  <pageSetup scale="72" orientation="portrait" r:id="rId1"/>
  <rowBreaks count="1" manualBreakCount="1">
    <brk id="62" max="13" man="1"/>
  </rowBreaks>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52"/>
  <dimension ref="G1:N4"/>
  <sheetViews>
    <sheetView showGridLines="0" showRowColHeaders="0" zoomScale="85" zoomScaleNormal="85" workbookViewId="0"/>
  </sheetViews>
  <sheetFormatPr baseColWidth="10" defaultColWidth="9.1640625" defaultRowHeight="15" x14ac:dyDescent="0.2"/>
  <cols>
    <col min="1" max="1" width="4.1640625" style="12" customWidth="1"/>
    <col min="2" max="16384" width="9.1640625" style="12"/>
  </cols>
  <sheetData>
    <row r="1" spans="7:14" x14ac:dyDescent="0.2">
      <c r="H1" s="29"/>
      <c r="I1" s="29"/>
    </row>
    <row r="2" spans="7:14" ht="33" x14ac:dyDescent="0.2">
      <c r="G2" s="16" t="s">
        <v>1038</v>
      </c>
      <c r="H2" s="29"/>
      <c r="I2" s="29"/>
      <c r="M2" s="405"/>
      <c r="N2" s="405"/>
    </row>
    <row r="3" spans="7:14" ht="23" x14ac:dyDescent="0.25">
      <c r="G3" s="30" t="s">
        <v>416</v>
      </c>
      <c r="H3" s="29"/>
      <c r="I3" s="29"/>
      <c r="M3" s="31"/>
      <c r="N3" s="31"/>
    </row>
    <row r="4" spans="7:14" ht="33.75" customHeight="1" x14ac:dyDescent="0.2">
      <c r="M4" s="405"/>
      <c r="N4" s="405"/>
    </row>
  </sheetData>
  <sheetProtection password="C7B0" sheet="1" scenarios="1" selectLockedCells="1"/>
  <mergeCells count="2">
    <mergeCell ref="M2:N2"/>
    <mergeCell ref="M4:N4"/>
  </mergeCells>
  <pageMargins left="0.7" right="0.7" top="0.75" bottom="0.75" header="0.3" footer="0.3"/>
  <pageSetup scale="72" orientation="portrait" r:id="rId1"/>
  <rowBreaks count="1" manualBreakCount="1">
    <brk id="62" max="13" man="1"/>
  </rowBreaks>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1"/>
  <dimension ref="F1:N4"/>
  <sheetViews>
    <sheetView showGridLines="0" showRowColHeaders="0" zoomScale="85" zoomScaleNormal="85" workbookViewId="0"/>
  </sheetViews>
  <sheetFormatPr baseColWidth="10" defaultColWidth="9.1640625" defaultRowHeight="15" x14ac:dyDescent="0.2"/>
  <cols>
    <col min="1" max="1" width="4.1640625" style="12" customWidth="1"/>
    <col min="2" max="16384" width="9.1640625" style="12"/>
  </cols>
  <sheetData>
    <row r="1" spans="6:14" x14ac:dyDescent="0.2">
      <c r="H1" s="29"/>
      <c r="I1" s="29"/>
    </row>
    <row r="2" spans="6:14" ht="33" x14ac:dyDescent="0.2">
      <c r="G2" s="16" t="s">
        <v>1038</v>
      </c>
      <c r="H2" s="29"/>
      <c r="I2" s="29"/>
      <c r="M2" s="405"/>
      <c r="N2" s="405"/>
    </row>
    <row r="3" spans="6:14" ht="23" x14ac:dyDescent="0.2">
      <c r="F3" s="314" t="s">
        <v>1054</v>
      </c>
      <c r="G3" s="313" t="str">
        <f>IF(Hazard1!G3=0,"Hazard 1",Hazard1!G3)</f>
        <v>Hazard 1</v>
      </c>
      <c r="H3" s="29"/>
      <c r="I3" s="29"/>
      <c r="M3" s="31"/>
      <c r="N3" s="31"/>
    </row>
    <row r="4" spans="6:14" ht="33.75" customHeight="1" x14ac:dyDescent="0.2">
      <c r="M4" s="405"/>
      <c r="N4" s="405"/>
    </row>
  </sheetData>
  <sheetProtection password="C7B0" sheet="1" scenarios="1" selectLockedCells="1"/>
  <mergeCells count="2">
    <mergeCell ref="M2:N2"/>
    <mergeCell ref="M4:N4"/>
  </mergeCells>
  <pageMargins left="0.7" right="0.7" top="0.75" bottom="0.75" header="0.3" footer="0.3"/>
  <pageSetup scale="72" orientation="portrait" r:id="rId1"/>
  <rowBreaks count="1" manualBreakCount="1">
    <brk id="62" max="1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dimension ref="A2:O230"/>
  <sheetViews>
    <sheetView showGridLines="0" showRowColHeaders="0" zoomScale="110" zoomScaleNormal="110" workbookViewId="0">
      <selection activeCell="I220" sqref="I220"/>
    </sheetView>
  </sheetViews>
  <sheetFormatPr baseColWidth="10" defaultColWidth="9.1640625" defaultRowHeight="15" x14ac:dyDescent="0.2"/>
  <cols>
    <col min="1" max="2" width="9.1640625" style="12"/>
    <col min="3" max="3" width="14.5" style="12" customWidth="1"/>
    <col min="4" max="6" width="9.1640625" style="12"/>
    <col min="7" max="7" width="9.1640625" style="12" customWidth="1"/>
    <col min="8" max="8" width="2.5" style="12" customWidth="1"/>
    <col min="9" max="9" width="27.33203125" style="98" customWidth="1"/>
    <col min="10" max="10" width="15.1640625" style="98" customWidth="1"/>
    <col min="11" max="16384" width="9.1640625" style="12"/>
  </cols>
  <sheetData>
    <row r="2" spans="2:15" ht="33" x14ac:dyDescent="0.2">
      <c r="G2" s="16" t="s">
        <v>1038</v>
      </c>
      <c r="H2" s="16"/>
      <c r="J2" s="12"/>
      <c r="K2" s="98"/>
    </row>
    <row r="3" spans="2:15" ht="23" x14ac:dyDescent="0.25">
      <c r="G3" s="30" t="s">
        <v>1</v>
      </c>
      <c r="H3" s="30"/>
      <c r="J3" s="12"/>
      <c r="K3" s="98"/>
      <c r="N3" s="31"/>
      <c r="O3" s="31"/>
    </row>
    <row r="4" spans="2:15" ht="16" thickBot="1" x14ac:dyDescent="0.25">
      <c r="J4" s="12"/>
      <c r="K4" s="98"/>
    </row>
    <row r="5" spans="2:15" x14ac:dyDescent="0.2">
      <c r="B5" s="77"/>
      <c r="C5" s="78"/>
      <c r="D5" s="78"/>
      <c r="E5" s="78"/>
      <c r="F5" s="78"/>
      <c r="G5" s="78"/>
      <c r="H5" s="78"/>
      <c r="I5" s="79"/>
      <c r="J5" s="79"/>
      <c r="K5" s="80"/>
    </row>
    <row r="6" spans="2:15" ht="16" x14ac:dyDescent="0.2">
      <c r="B6" s="81"/>
      <c r="C6" s="82" t="s">
        <v>100</v>
      </c>
      <c r="D6" s="83"/>
      <c r="E6" s="83"/>
      <c r="F6" s="84"/>
      <c r="G6" s="85"/>
      <c r="H6" s="85"/>
      <c r="I6" s="86" t="s">
        <v>134</v>
      </c>
      <c r="J6" s="86" t="s">
        <v>135</v>
      </c>
      <c r="K6" s="87"/>
    </row>
    <row r="7" spans="2:15" ht="16" x14ac:dyDescent="0.2">
      <c r="B7" s="81"/>
      <c r="C7" s="82"/>
      <c r="D7" s="83"/>
      <c r="E7" s="83"/>
      <c r="F7" s="84"/>
      <c r="G7" s="85"/>
      <c r="H7" s="85"/>
      <c r="I7" s="86"/>
      <c r="J7" s="86"/>
      <c r="K7" s="87"/>
    </row>
    <row r="8" spans="2:15" ht="146.25" customHeight="1" x14ac:dyDescent="0.2">
      <c r="B8" s="81"/>
      <c r="C8" s="388" t="s">
        <v>1079</v>
      </c>
      <c r="D8" s="388"/>
      <c r="E8" s="388"/>
      <c r="F8" s="388"/>
      <c r="G8" s="388"/>
      <c r="H8" s="88"/>
      <c r="I8" s="131" t="s">
        <v>133</v>
      </c>
      <c r="J8" s="83">
        <f>IF(I8=$B$226,0,IF(I8=$B$227,1,IF(I8=$B$228,2,IF(I8=$B$229,3,IF(I8=$B$230,4,"Not Calculated")))))</f>
        <v>0</v>
      </c>
      <c r="K8" s="87"/>
    </row>
    <row r="9" spans="2:15" ht="15.75" customHeight="1" x14ac:dyDescent="0.2">
      <c r="B9" s="81"/>
      <c r="C9" s="82"/>
      <c r="D9" s="83"/>
      <c r="E9" s="83"/>
      <c r="F9" s="84"/>
      <c r="G9" s="85"/>
      <c r="H9" s="85"/>
      <c r="I9" s="86"/>
      <c r="J9" s="86"/>
      <c r="K9" s="87"/>
    </row>
    <row r="10" spans="2:15" ht="163.5" customHeight="1" x14ac:dyDescent="0.2">
      <c r="B10" s="81"/>
      <c r="C10" s="388" t="s">
        <v>136</v>
      </c>
      <c r="D10" s="388"/>
      <c r="E10" s="388"/>
      <c r="F10" s="388"/>
      <c r="G10" s="388"/>
      <c r="H10" s="88"/>
      <c r="I10" s="131" t="s">
        <v>133</v>
      </c>
      <c r="J10" s="83">
        <f>IF(I10=$B$226,0,IF(I10=$B$227,1,IF(I10=$B$228,2,IF(I10=$B$229,3,IF(I10=$B$230,4,"Not Calculated")))))</f>
        <v>0</v>
      </c>
      <c r="K10" s="87"/>
    </row>
    <row r="11" spans="2:15" ht="15.75" customHeight="1" x14ac:dyDescent="0.2">
      <c r="B11" s="81"/>
      <c r="C11" s="82"/>
      <c r="D11" s="83"/>
      <c r="E11" s="83"/>
      <c r="F11" s="84"/>
      <c r="G11" s="85"/>
      <c r="H11" s="85"/>
      <c r="I11" s="86"/>
      <c r="J11" s="86"/>
      <c r="K11" s="87"/>
    </row>
    <row r="12" spans="2:15" ht="105.75" customHeight="1" x14ac:dyDescent="0.2">
      <c r="B12" s="81"/>
      <c r="C12" s="388" t="s">
        <v>1080</v>
      </c>
      <c r="D12" s="388"/>
      <c r="E12" s="388"/>
      <c r="F12" s="388"/>
      <c r="G12" s="388"/>
      <c r="H12" s="88"/>
      <c r="I12" s="131" t="s">
        <v>133</v>
      </c>
      <c r="J12" s="83">
        <f>IF(I12=$B$226,0,IF(I12=$B$227,1,IF(I12=$B$228,2,IF(I12=$B$229,3,IF(I12=$B$230,4,"Not Calculated")))))</f>
        <v>0</v>
      </c>
      <c r="K12" s="87"/>
    </row>
    <row r="13" spans="2:15" ht="15.75" customHeight="1" x14ac:dyDescent="0.2">
      <c r="B13" s="81"/>
      <c r="C13" s="82"/>
      <c r="D13" s="83"/>
      <c r="E13" s="83"/>
      <c r="F13" s="84"/>
      <c r="G13" s="85"/>
      <c r="H13" s="85"/>
      <c r="I13" s="86"/>
      <c r="J13" s="86"/>
      <c r="K13" s="87"/>
    </row>
    <row r="14" spans="2:15" ht="132" customHeight="1" x14ac:dyDescent="0.2">
      <c r="B14" s="81"/>
      <c r="C14" s="388" t="s">
        <v>1081</v>
      </c>
      <c r="D14" s="388"/>
      <c r="E14" s="388"/>
      <c r="F14" s="388"/>
      <c r="G14" s="388"/>
      <c r="H14" s="88"/>
      <c r="I14" s="131" t="s">
        <v>133</v>
      </c>
      <c r="J14" s="83">
        <f>IF(I14=$B$226,0,IF(I14=$B$227,1,IF(I14=$B$228,2,IF(I14=$B$229,3,IF(I14=$B$230,4,"Not Calculated")))))</f>
        <v>0</v>
      </c>
      <c r="K14" s="87"/>
    </row>
    <row r="15" spans="2:15" ht="15.75" customHeight="1" x14ac:dyDescent="0.2">
      <c r="B15" s="81"/>
      <c r="C15" s="82"/>
      <c r="D15" s="83"/>
      <c r="E15" s="83"/>
      <c r="F15" s="84"/>
      <c r="G15" s="85"/>
      <c r="H15" s="85"/>
      <c r="I15" s="86"/>
      <c r="J15" s="86"/>
      <c r="K15" s="87"/>
    </row>
    <row r="16" spans="2:15" x14ac:dyDescent="0.2">
      <c r="B16" s="81"/>
      <c r="C16" s="89" t="s">
        <v>102</v>
      </c>
      <c r="D16" s="85"/>
      <c r="E16" s="85"/>
      <c r="F16" s="84"/>
      <c r="G16" s="85"/>
      <c r="H16" s="85"/>
      <c r="I16" s="83"/>
      <c r="J16" s="90">
        <f>IF(OR(J10="Not Calculated",J12="Not Calculated",J14="Not Calculated")=TRUE,"Not Calculated",AVERAGE(J8,J10,J12,J14))</f>
        <v>0</v>
      </c>
      <c r="K16" s="87"/>
    </row>
    <row r="17" spans="2:11" ht="16" thickBot="1" x14ac:dyDescent="0.25">
      <c r="B17" s="91"/>
      <c r="C17" s="92"/>
      <c r="D17" s="93"/>
      <c r="E17" s="93"/>
      <c r="F17" s="93"/>
      <c r="G17" s="94"/>
      <c r="H17" s="94"/>
      <c r="I17" s="95"/>
      <c r="J17" s="95"/>
      <c r="K17" s="96"/>
    </row>
    <row r="18" spans="2:11" ht="16" thickBot="1" x14ac:dyDescent="0.25">
      <c r="B18" s="100"/>
      <c r="C18" s="101"/>
      <c r="D18" s="100"/>
      <c r="E18" s="100"/>
      <c r="F18" s="100"/>
      <c r="G18" s="102"/>
      <c r="H18" s="102"/>
      <c r="I18" s="103"/>
      <c r="J18" s="103"/>
      <c r="K18" s="102"/>
    </row>
    <row r="19" spans="2:11" x14ac:dyDescent="0.2">
      <c r="B19" s="97"/>
      <c r="C19" s="84"/>
      <c r="D19" s="85"/>
      <c r="E19" s="85"/>
      <c r="F19" s="84"/>
      <c r="G19" s="85"/>
      <c r="H19" s="85"/>
      <c r="I19" s="83"/>
      <c r="J19" s="83"/>
      <c r="K19" s="87"/>
    </row>
    <row r="20" spans="2:11" ht="16" x14ac:dyDescent="0.2">
      <c r="B20" s="81"/>
      <c r="C20" s="82" t="s">
        <v>103</v>
      </c>
      <c r="D20" s="85"/>
      <c r="E20" s="85"/>
      <c r="F20" s="84"/>
      <c r="G20" s="85"/>
      <c r="H20" s="85"/>
      <c r="I20" s="83"/>
      <c r="J20" s="83"/>
      <c r="K20" s="87"/>
    </row>
    <row r="21" spans="2:11" ht="15.75" customHeight="1" x14ac:dyDescent="0.2">
      <c r="B21" s="81"/>
      <c r="C21" s="82"/>
      <c r="D21" s="83"/>
      <c r="E21" s="83"/>
      <c r="F21" s="84"/>
      <c r="G21" s="85"/>
      <c r="H21" s="85"/>
      <c r="I21" s="86"/>
      <c r="J21" s="86"/>
      <c r="K21" s="87"/>
    </row>
    <row r="22" spans="2:11" ht="237.75" customHeight="1" x14ac:dyDescent="0.2">
      <c r="B22" s="81"/>
      <c r="C22" s="388" t="s">
        <v>1082</v>
      </c>
      <c r="D22" s="388"/>
      <c r="E22" s="388"/>
      <c r="F22" s="388"/>
      <c r="G22" s="388"/>
      <c r="H22" s="88"/>
      <c r="I22" s="131" t="s">
        <v>133</v>
      </c>
      <c r="J22" s="83">
        <f>IF(I22=$B$226,0,IF(I22=$B$227,1,IF(I22=$B$228,2,IF(I22=$B$229,3,IF(I22=$B$230,4,"Not Calculated")))))</f>
        <v>0</v>
      </c>
      <c r="K22" s="87"/>
    </row>
    <row r="23" spans="2:11" ht="15.75" customHeight="1" x14ac:dyDescent="0.2">
      <c r="B23" s="81"/>
      <c r="C23" s="82"/>
      <c r="D23" s="83"/>
      <c r="E23" s="83"/>
      <c r="F23" s="84"/>
      <c r="G23" s="85"/>
      <c r="H23" s="85"/>
      <c r="I23" s="86"/>
      <c r="J23" s="86"/>
      <c r="K23" s="87"/>
    </row>
    <row r="24" spans="2:11" ht="194.25" customHeight="1" x14ac:dyDescent="0.2">
      <c r="B24" s="81"/>
      <c r="C24" s="388" t="s">
        <v>137</v>
      </c>
      <c r="D24" s="388"/>
      <c r="E24" s="388"/>
      <c r="F24" s="388"/>
      <c r="G24" s="388"/>
      <c r="H24" s="88"/>
      <c r="I24" s="131" t="s">
        <v>133</v>
      </c>
      <c r="J24" s="83">
        <f>IF(I24=$B$226,0,IF(I24=$B$227,1,IF(I24=$B$228,2,IF(I24=$B$229,3,IF(I24=$B$230,4,"Not Calculated")))))</f>
        <v>0</v>
      </c>
      <c r="K24" s="87"/>
    </row>
    <row r="25" spans="2:11" ht="15.75" customHeight="1" x14ac:dyDescent="0.2">
      <c r="B25" s="81"/>
      <c r="C25" s="82"/>
      <c r="D25" s="83"/>
      <c r="E25" s="83"/>
      <c r="F25" s="84"/>
      <c r="G25" s="85"/>
      <c r="H25" s="85"/>
      <c r="I25" s="86"/>
      <c r="J25" s="86"/>
      <c r="K25" s="87"/>
    </row>
    <row r="26" spans="2:11" ht="204" customHeight="1" x14ac:dyDescent="0.2">
      <c r="B26" s="81"/>
      <c r="C26" s="388" t="s">
        <v>138</v>
      </c>
      <c r="D26" s="388"/>
      <c r="E26" s="388"/>
      <c r="F26" s="388"/>
      <c r="G26" s="388"/>
      <c r="H26" s="88"/>
      <c r="I26" s="131" t="s">
        <v>133</v>
      </c>
      <c r="J26" s="83">
        <f>IF(I26=$B$226,0,IF(I26=$B$227,1,IF(I26=$B$228,2,IF(I26=$B$229,3,IF(I26=$B$230,4,"Not Calculated")))))</f>
        <v>0</v>
      </c>
      <c r="K26" s="87"/>
    </row>
    <row r="27" spans="2:11" ht="15.75" customHeight="1" x14ac:dyDescent="0.2">
      <c r="B27" s="81"/>
      <c r="C27" s="82"/>
      <c r="D27" s="83"/>
      <c r="E27" s="83"/>
      <c r="F27" s="84"/>
      <c r="G27" s="85"/>
      <c r="H27" s="85"/>
      <c r="I27" s="86"/>
      <c r="J27" s="86"/>
      <c r="K27" s="87"/>
    </row>
    <row r="28" spans="2:11" x14ac:dyDescent="0.2">
      <c r="B28" s="81"/>
      <c r="C28" s="89" t="s">
        <v>106</v>
      </c>
      <c r="D28" s="85"/>
      <c r="E28" s="85"/>
      <c r="F28" s="84"/>
      <c r="G28" s="85"/>
      <c r="H28" s="85"/>
      <c r="I28" s="83"/>
      <c r="J28" s="90">
        <f>IF(OR(J22="Not Calculated",J24="Not Calculated",J26="Not Calculated")=TRUE,"Not Calculated",AVERAGE(J22,J24,J26))</f>
        <v>0</v>
      </c>
      <c r="K28" s="87"/>
    </row>
    <row r="29" spans="2:11" ht="16" thickBot="1" x14ac:dyDescent="0.25">
      <c r="B29" s="91"/>
      <c r="C29" s="92"/>
      <c r="D29" s="93"/>
      <c r="E29" s="93"/>
      <c r="F29" s="93"/>
      <c r="G29" s="94"/>
      <c r="H29" s="94"/>
      <c r="I29" s="95"/>
      <c r="J29" s="95"/>
      <c r="K29" s="96"/>
    </row>
    <row r="30" spans="2:11" ht="16" thickBot="1" x14ac:dyDescent="0.25">
      <c r="B30" s="100"/>
      <c r="C30" s="101"/>
      <c r="D30" s="100"/>
      <c r="E30" s="100"/>
      <c r="F30" s="100"/>
      <c r="G30" s="102"/>
      <c r="H30" s="102"/>
      <c r="I30" s="103"/>
      <c r="J30" s="103"/>
      <c r="K30" s="102"/>
    </row>
    <row r="31" spans="2:11" ht="15.75" customHeight="1" x14ac:dyDescent="0.2">
      <c r="B31" s="81"/>
      <c r="C31" s="84"/>
      <c r="D31" s="85"/>
      <c r="E31" s="85"/>
      <c r="F31" s="84"/>
      <c r="G31" s="85"/>
      <c r="H31" s="85"/>
      <c r="I31" s="83"/>
      <c r="J31" s="83"/>
      <c r="K31" s="87"/>
    </row>
    <row r="32" spans="2:11" ht="16" x14ac:dyDescent="0.2">
      <c r="B32" s="81"/>
      <c r="C32" s="82" t="s">
        <v>107</v>
      </c>
      <c r="D32" s="85"/>
      <c r="E32" s="85"/>
      <c r="F32" s="84"/>
      <c r="G32" s="85"/>
      <c r="H32" s="85"/>
      <c r="I32" s="83"/>
      <c r="J32" s="83"/>
      <c r="K32" s="87"/>
    </row>
    <row r="33" spans="2:11" ht="15.75" customHeight="1" x14ac:dyDescent="0.2">
      <c r="B33" s="81"/>
      <c r="C33" s="82"/>
      <c r="D33" s="83"/>
      <c r="E33" s="83"/>
      <c r="F33" s="84"/>
      <c r="G33" s="85"/>
      <c r="H33" s="85"/>
      <c r="I33" s="86"/>
      <c r="J33" s="86"/>
      <c r="K33" s="87"/>
    </row>
    <row r="34" spans="2:11" ht="104.25" customHeight="1" x14ac:dyDescent="0.2">
      <c r="B34" s="81"/>
      <c r="C34" s="388" t="s">
        <v>175</v>
      </c>
      <c r="D34" s="388"/>
      <c r="E34" s="388"/>
      <c r="F34" s="388"/>
      <c r="G34" s="388"/>
      <c r="H34" s="88"/>
      <c r="I34" s="131" t="s">
        <v>133</v>
      </c>
      <c r="J34" s="83">
        <f>IF(I34=$B$226,0,IF(I34=$B$227,1,IF(I34=$B$228,2,IF(I34=$B$229,3,IF(I34=$B$230,4,"Not Calculated")))))</f>
        <v>0</v>
      </c>
      <c r="K34" s="87"/>
    </row>
    <row r="35" spans="2:11" ht="15.75" customHeight="1" x14ac:dyDescent="0.2">
      <c r="B35" s="81"/>
      <c r="C35" s="82"/>
      <c r="D35" s="83"/>
      <c r="E35" s="83"/>
      <c r="F35" s="84"/>
      <c r="G35" s="85"/>
      <c r="H35" s="85"/>
      <c r="I35" s="86"/>
      <c r="J35" s="86"/>
      <c r="K35" s="87"/>
    </row>
    <row r="36" spans="2:11" ht="138.75" customHeight="1" x14ac:dyDescent="0.2">
      <c r="B36" s="81"/>
      <c r="C36" s="388" t="s">
        <v>176</v>
      </c>
      <c r="D36" s="388"/>
      <c r="E36" s="388"/>
      <c r="F36" s="388"/>
      <c r="G36" s="388"/>
      <c r="H36" s="88"/>
      <c r="I36" s="131" t="s">
        <v>133</v>
      </c>
      <c r="J36" s="83">
        <f>IF(I36=$B$226,0,IF(I36=$B$227,1,IF(I36=$B$228,2,IF(I36=$B$229,3,IF(I36=$B$230,4,"Not Calculated")))))</f>
        <v>0</v>
      </c>
      <c r="K36" s="87"/>
    </row>
    <row r="37" spans="2:11" ht="15.75" customHeight="1" x14ac:dyDescent="0.2">
      <c r="B37" s="81"/>
      <c r="C37" s="82"/>
      <c r="D37" s="83"/>
      <c r="E37" s="83"/>
      <c r="F37" s="84"/>
      <c r="G37" s="85"/>
      <c r="H37" s="85"/>
      <c r="I37" s="86"/>
      <c r="J37" s="86"/>
      <c r="K37" s="87"/>
    </row>
    <row r="38" spans="2:11" ht="134.25" customHeight="1" x14ac:dyDescent="0.2">
      <c r="B38" s="81"/>
      <c r="C38" s="388" t="s">
        <v>177</v>
      </c>
      <c r="D38" s="388"/>
      <c r="E38" s="388"/>
      <c r="F38" s="388"/>
      <c r="G38" s="388"/>
      <c r="H38" s="88"/>
      <c r="I38" s="131" t="s">
        <v>133</v>
      </c>
      <c r="J38" s="83">
        <f>IF(I38=$B$226,0,IF(I38=$B$227,1,IF(I38=$B$228,2,IF(I38=$B$229,3,IF(I38=$B$230,4,"Not Calculated")))))</f>
        <v>0</v>
      </c>
      <c r="K38" s="87"/>
    </row>
    <row r="39" spans="2:11" ht="15.75" customHeight="1" x14ac:dyDescent="0.2">
      <c r="B39" s="81"/>
      <c r="C39" s="82"/>
      <c r="D39" s="83"/>
      <c r="E39" s="83"/>
      <c r="F39" s="84"/>
      <c r="G39" s="85"/>
      <c r="H39" s="85"/>
      <c r="I39" s="86"/>
      <c r="J39" s="86"/>
      <c r="K39" s="87"/>
    </row>
    <row r="40" spans="2:11" ht="108" customHeight="1" x14ac:dyDescent="0.2">
      <c r="B40" s="81"/>
      <c r="C40" s="388" t="s">
        <v>178</v>
      </c>
      <c r="D40" s="388"/>
      <c r="E40" s="388"/>
      <c r="F40" s="388"/>
      <c r="G40" s="388"/>
      <c r="H40" s="88"/>
      <c r="I40" s="131" t="s">
        <v>133</v>
      </c>
      <c r="J40" s="83">
        <f>IF(I40=$B$226,0,IF(I40=$B$227,1,IF(I40=$B$228,2,IF(I40=$B$229,3,IF(I40=$B$230,4,"Not Calculated")))))</f>
        <v>0</v>
      </c>
      <c r="K40" s="87"/>
    </row>
    <row r="41" spans="2:11" ht="15.75" customHeight="1" x14ac:dyDescent="0.2">
      <c r="B41" s="81"/>
      <c r="C41" s="82"/>
      <c r="D41" s="83"/>
      <c r="E41" s="83"/>
      <c r="F41" s="84"/>
      <c r="G41" s="85"/>
      <c r="H41" s="85"/>
      <c r="I41" s="86"/>
      <c r="J41" s="86"/>
      <c r="K41" s="87"/>
    </row>
    <row r="42" spans="2:11" ht="120" customHeight="1" x14ac:dyDescent="0.2">
      <c r="B42" s="81"/>
      <c r="C42" s="388" t="s">
        <v>1083</v>
      </c>
      <c r="D42" s="388"/>
      <c r="E42" s="388"/>
      <c r="F42" s="388"/>
      <c r="G42" s="388"/>
      <c r="H42" s="88"/>
      <c r="I42" s="131" t="s">
        <v>133</v>
      </c>
      <c r="J42" s="83">
        <f>IF(I42=$B$226,0,IF(I42=$B$227,1,IF(I42=$B$228,2,IF(I42=$B$229,3,IF(I42=$B$230,4,"Not Calculated")))))</f>
        <v>0</v>
      </c>
      <c r="K42" s="87"/>
    </row>
    <row r="43" spans="2:11" ht="15.75" customHeight="1" x14ac:dyDescent="0.2">
      <c r="B43" s="81"/>
      <c r="C43" s="82"/>
      <c r="D43" s="83"/>
      <c r="E43" s="83"/>
      <c r="F43" s="84"/>
      <c r="G43" s="85"/>
      <c r="H43" s="85"/>
      <c r="I43" s="86"/>
      <c r="J43" s="86"/>
      <c r="K43" s="87"/>
    </row>
    <row r="44" spans="2:11" x14ac:dyDescent="0.2">
      <c r="B44" s="81"/>
      <c r="C44" s="89" t="s">
        <v>108</v>
      </c>
      <c r="D44" s="85"/>
      <c r="E44" s="85"/>
      <c r="F44" s="84"/>
      <c r="G44" s="85"/>
      <c r="H44" s="85"/>
      <c r="I44" s="83"/>
      <c r="J44" s="90">
        <f>IF(OR(J34="Not Calculated",J36="Not Calculated",J38="Not Calculated",J40="Not Calculated",J42="Not Calculated")=TRUE,"Not Calculated",AVERAGE(J34,J36,J38,J40,J42))</f>
        <v>0</v>
      </c>
      <c r="K44" s="87"/>
    </row>
    <row r="45" spans="2:11" ht="16" thickBot="1" x14ac:dyDescent="0.25">
      <c r="B45" s="91"/>
      <c r="C45" s="92"/>
      <c r="D45" s="93"/>
      <c r="E45" s="93"/>
      <c r="F45" s="93"/>
      <c r="G45" s="94"/>
      <c r="H45" s="94"/>
      <c r="I45" s="95"/>
      <c r="J45" s="95"/>
      <c r="K45" s="96"/>
    </row>
    <row r="46" spans="2:11" ht="16" thickBot="1" x14ac:dyDescent="0.25">
      <c r="B46" s="100"/>
      <c r="C46" s="101"/>
      <c r="D46" s="100"/>
      <c r="E46" s="100"/>
      <c r="F46" s="100"/>
      <c r="G46" s="102"/>
      <c r="H46" s="102"/>
      <c r="I46" s="103"/>
      <c r="J46" s="103"/>
      <c r="K46" s="102"/>
    </row>
    <row r="47" spans="2:11" x14ac:dyDescent="0.2">
      <c r="B47" s="81"/>
      <c r="C47" s="84"/>
      <c r="D47" s="85"/>
      <c r="E47" s="85"/>
      <c r="F47" s="84"/>
      <c r="G47" s="85"/>
      <c r="H47" s="85"/>
      <c r="I47" s="83"/>
      <c r="J47" s="83"/>
      <c r="K47" s="87"/>
    </row>
    <row r="48" spans="2:11" ht="16" x14ac:dyDescent="0.2">
      <c r="B48" s="81"/>
      <c r="C48" s="82" t="s">
        <v>109</v>
      </c>
      <c r="D48" s="85"/>
      <c r="E48" s="85"/>
      <c r="F48" s="84"/>
      <c r="G48" s="85"/>
      <c r="H48" s="85"/>
      <c r="I48" s="83"/>
      <c r="J48" s="83"/>
      <c r="K48" s="87"/>
    </row>
    <row r="49" spans="2:11" ht="15.75" customHeight="1" x14ac:dyDescent="0.2">
      <c r="B49" s="81"/>
      <c r="C49" s="82"/>
      <c r="D49" s="83"/>
      <c r="E49" s="83"/>
      <c r="F49" s="84"/>
      <c r="G49" s="85"/>
      <c r="H49" s="85"/>
      <c r="I49" s="86"/>
      <c r="J49" s="86"/>
      <c r="K49" s="87"/>
    </row>
    <row r="50" spans="2:11" ht="93.75" customHeight="1" x14ac:dyDescent="0.2">
      <c r="B50" s="81"/>
      <c r="C50" s="388" t="s">
        <v>179</v>
      </c>
      <c r="D50" s="388"/>
      <c r="E50" s="388"/>
      <c r="F50" s="388"/>
      <c r="G50" s="388"/>
      <c r="H50" s="88"/>
      <c r="I50" s="131" t="s">
        <v>133</v>
      </c>
      <c r="J50" s="83">
        <f>IF(I50=$B$226,0,IF(I50=$B$227,1,IF(I50=$B$228,2,IF(I50=$B$229,3,IF(I50=$B$230,4,"Not Calculated")))))</f>
        <v>0</v>
      </c>
      <c r="K50" s="87"/>
    </row>
    <row r="51" spans="2:11" ht="15.75" customHeight="1" x14ac:dyDescent="0.2">
      <c r="B51" s="81"/>
      <c r="C51" s="82"/>
      <c r="D51" s="83"/>
      <c r="E51" s="83"/>
      <c r="F51" s="84"/>
      <c r="G51" s="85"/>
      <c r="H51" s="85"/>
      <c r="I51" s="86"/>
      <c r="J51" s="86"/>
      <c r="K51" s="87"/>
    </row>
    <row r="52" spans="2:11" ht="138.75" customHeight="1" x14ac:dyDescent="0.2">
      <c r="B52" s="81"/>
      <c r="C52" s="388" t="s">
        <v>180</v>
      </c>
      <c r="D52" s="388"/>
      <c r="E52" s="388"/>
      <c r="F52" s="388"/>
      <c r="G52" s="388"/>
      <c r="H52" s="88"/>
      <c r="I52" s="131" t="s">
        <v>133</v>
      </c>
      <c r="J52" s="83">
        <f>IF(I52=$B$226,0,IF(I52=$B$227,1,IF(I52=$B$228,2,IF(I52=$B$229,3,IF(I52=$B$230,4,"Not Calculated")))))</f>
        <v>0</v>
      </c>
      <c r="K52" s="87"/>
    </row>
    <row r="53" spans="2:11" ht="15.75" customHeight="1" x14ac:dyDescent="0.2">
      <c r="B53" s="81"/>
      <c r="C53" s="82"/>
      <c r="D53" s="83"/>
      <c r="E53" s="83"/>
      <c r="F53" s="84"/>
      <c r="G53" s="85"/>
      <c r="H53" s="85"/>
      <c r="I53" s="86"/>
      <c r="J53" s="86"/>
      <c r="K53" s="87"/>
    </row>
    <row r="54" spans="2:11" ht="109.5" customHeight="1" x14ac:dyDescent="0.2">
      <c r="B54" s="81"/>
      <c r="C54" s="388" t="s">
        <v>181</v>
      </c>
      <c r="D54" s="388"/>
      <c r="E54" s="388"/>
      <c r="F54" s="388"/>
      <c r="G54" s="388"/>
      <c r="H54" s="88"/>
      <c r="I54" s="131" t="s">
        <v>133</v>
      </c>
      <c r="J54" s="83">
        <f>IF(I54=$B$226,0,IF(I54=$B$227,1,IF(I54=$B$228,2,IF(I54=$B$229,3,IF(I54=$B$230,4,"Not Calculated")))))</f>
        <v>0</v>
      </c>
      <c r="K54" s="87"/>
    </row>
    <row r="55" spans="2:11" ht="15.75" customHeight="1" x14ac:dyDescent="0.2">
      <c r="B55" s="81"/>
      <c r="C55" s="82"/>
      <c r="D55" s="83"/>
      <c r="E55" s="83"/>
      <c r="F55" s="84"/>
      <c r="G55" s="85"/>
      <c r="H55" s="85"/>
      <c r="I55" s="86"/>
      <c r="J55" s="86"/>
      <c r="K55" s="87"/>
    </row>
    <row r="56" spans="2:11" ht="107.25" customHeight="1" x14ac:dyDescent="0.2">
      <c r="B56" s="81"/>
      <c r="C56" s="388" t="s">
        <v>182</v>
      </c>
      <c r="D56" s="388"/>
      <c r="E56" s="388"/>
      <c r="F56" s="388"/>
      <c r="G56" s="388"/>
      <c r="H56" s="88"/>
      <c r="I56" s="131" t="s">
        <v>133</v>
      </c>
      <c r="J56" s="83">
        <f>IF(I56=$B$226,0,IF(I56=$B$227,1,IF(I56=$B$228,2,IF(I56=$B$229,3,IF(I56=$B$230,4,"Not Calculated")))))</f>
        <v>0</v>
      </c>
      <c r="K56" s="87"/>
    </row>
    <row r="57" spans="2:11" ht="15.75" customHeight="1" x14ac:dyDescent="0.2">
      <c r="B57" s="81"/>
      <c r="C57" s="82"/>
      <c r="D57" s="83"/>
      <c r="E57" s="83"/>
      <c r="F57" s="84"/>
      <c r="G57" s="85"/>
      <c r="H57" s="85"/>
      <c r="I57" s="86"/>
      <c r="J57" s="86"/>
      <c r="K57" s="87"/>
    </row>
    <row r="58" spans="2:11" ht="117.75" customHeight="1" x14ac:dyDescent="0.2">
      <c r="B58" s="81"/>
      <c r="C58" s="388" t="s">
        <v>183</v>
      </c>
      <c r="D58" s="388"/>
      <c r="E58" s="388"/>
      <c r="F58" s="388"/>
      <c r="G58" s="388"/>
      <c r="H58" s="88"/>
      <c r="I58" s="131" t="s">
        <v>133</v>
      </c>
      <c r="J58" s="83">
        <f>IF(I58=$B$226,0,IF(I58=$B$227,1,IF(I58=$B$228,2,IF(I58=$B$229,3,IF(I58=$B$230,4,"Not Calculated")))))</f>
        <v>0</v>
      </c>
      <c r="K58" s="87"/>
    </row>
    <row r="59" spans="2:11" ht="15.75" customHeight="1" x14ac:dyDescent="0.2">
      <c r="B59" s="81"/>
      <c r="C59" s="82"/>
      <c r="D59" s="83"/>
      <c r="E59" s="83"/>
      <c r="F59" s="84"/>
      <c r="G59" s="85"/>
      <c r="H59" s="85"/>
      <c r="I59" s="86"/>
      <c r="J59" s="86"/>
      <c r="K59" s="87"/>
    </row>
    <row r="60" spans="2:11" x14ac:dyDescent="0.2">
      <c r="B60" s="81"/>
      <c r="C60" s="89" t="s">
        <v>110</v>
      </c>
      <c r="D60" s="85"/>
      <c r="E60" s="85"/>
      <c r="F60" s="84"/>
      <c r="G60" s="85"/>
      <c r="H60" s="85"/>
      <c r="I60" s="83"/>
      <c r="J60" s="90">
        <f>IF(OR(J50="Not Calculated",J52="Not Calculated",J54="Not Calculated",J56="Not Calculated",J58="Not Calculated")=TRUE,"Not Calculated",AVERAGE(J50,J52,J54,J56,J58))</f>
        <v>0</v>
      </c>
      <c r="K60" s="87"/>
    </row>
    <row r="61" spans="2:11" ht="16" thickBot="1" x14ac:dyDescent="0.25">
      <c r="B61" s="91"/>
      <c r="C61" s="92"/>
      <c r="D61" s="93"/>
      <c r="E61" s="93"/>
      <c r="F61" s="93"/>
      <c r="G61" s="94"/>
      <c r="H61" s="94"/>
      <c r="I61" s="95"/>
      <c r="J61" s="95"/>
      <c r="K61" s="96"/>
    </row>
    <row r="62" spans="2:11" ht="16" thickBot="1" x14ac:dyDescent="0.25">
      <c r="B62" s="100"/>
      <c r="C62" s="101"/>
      <c r="D62" s="100"/>
      <c r="E62" s="100"/>
      <c r="F62" s="100"/>
      <c r="G62" s="102"/>
      <c r="H62" s="102"/>
      <c r="I62" s="103"/>
      <c r="J62" s="103"/>
      <c r="K62" s="102"/>
    </row>
    <row r="63" spans="2:11" x14ac:dyDescent="0.2">
      <c r="B63" s="81"/>
      <c r="C63" s="84"/>
      <c r="D63" s="85"/>
      <c r="E63" s="85"/>
      <c r="F63" s="84"/>
      <c r="G63" s="85"/>
      <c r="H63" s="85"/>
      <c r="I63" s="83"/>
      <c r="J63" s="83"/>
      <c r="K63" s="87"/>
    </row>
    <row r="64" spans="2:11" ht="16" x14ac:dyDescent="0.2">
      <c r="B64" s="81"/>
      <c r="C64" s="82" t="s">
        <v>97</v>
      </c>
      <c r="D64" s="85"/>
      <c r="E64" s="85"/>
      <c r="F64" s="84"/>
      <c r="G64" s="85"/>
      <c r="H64" s="85"/>
      <c r="I64" s="83"/>
      <c r="J64" s="83"/>
      <c r="K64" s="87"/>
    </row>
    <row r="65" spans="2:11" ht="15.75" customHeight="1" x14ac:dyDescent="0.2">
      <c r="B65" s="81"/>
      <c r="C65" s="82"/>
      <c r="D65" s="83"/>
      <c r="E65" s="83"/>
      <c r="F65" s="84"/>
      <c r="G65" s="85"/>
      <c r="H65" s="85"/>
      <c r="I65" s="86"/>
      <c r="J65" s="86"/>
      <c r="K65" s="87"/>
    </row>
    <row r="66" spans="2:11" ht="88.5" customHeight="1" x14ac:dyDescent="0.2">
      <c r="B66" s="81"/>
      <c r="C66" s="388" t="s">
        <v>188</v>
      </c>
      <c r="D66" s="388"/>
      <c r="E66" s="388"/>
      <c r="F66" s="388"/>
      <c r="G66" s="388"/>
      <c r="H66" s="88"/>
      <c r="I66" s="131" t="s">
        <v>133</v>
      </c>
      <c r="J66" s="83">
        <f>IF(I66=$B$226,0,IF(I66=$B$227,1,IF(I66=$B$228,2,IF(I66=$B$229,3,IF(I66=$B$230,4,"Not Calculated")))))</f>
        <v>0</v>
      </c>
      <c r="K66" s="87"/>
    </row>
    <row r="67" spans="2:11" ht="15.75" customHeight="1" x14ac:dyDescent="0.2">
      <c r="B67" s="81"/>
      <c r="C67" s="82"/>
      <c r="D67" s="83"/>
      <c r="E67" s="83"/>
      <c r="F67" s="84"/>
      <c r="G67" s="85"/>
      <c r="H67" s="85"/>
      <c r="I67" s="86"/>
      <c r="J67" s="86"/>
      <c r="K67" s="87"/>
    </row>
    <row r="68" spans="2:11" ht="108" customHeight="1" x14ac:dyDescent="0.2">
      <c r="B68" s="81"/>
      <c r="C68" s="388" t="s">
        <v>187</v>
      </c>
      <c r="D68" s="388"/>
      <c r="E68" s="388"/>
      <c r="F68" s="388"/>
      <c r="G68" s="388"/>
      <c r="H68" s="88"/>
      <c r="I68" s="131" t="s">
        <v>133</v>
      </c>
      <c r="J68" s="83">
        <f>IF(I68=$B$226,0,IF(I68=$B$227,1,IF(I68=$B$228,2,IF(I68=$B$229,3,IF(I68=$B$230,4,"Not Calculated")))))</f>
        <v>0</v>
      </c>
      <c r="K68" s="87"/>
    </row>
    <row r="69" spans="2:11" ht="15.75" customHeight="1" x14ac:dyDescent="0.2">
      <c r="B69" s="81"/>
      <c r="C69" s="82"/>
      <c r="D69" s="83"/>
      <c r="E69" s="83"/>
      <c r="F69" s="84"/>
      <c r="G69" s="85"/>
      <c r="H69" s="85"/>
      <c r="I69" s="86"/>
      <c r="J69" s="86"/>
      <c r="K69" s="87"/>
    </row>
    <row r="70" spans="2:11" ht="87" customHeight="1" x14ac:dyDescent="0.2">
      <c r="B70" s="81"/>
      <c r="C70" s="388" t="s">
        <v>186</v>
      </c>
      <c r="D70" s="388"/>
      <c r="E70" s="388"/>
      <c r="F70" s="388"/>
      <c r="G70" s="388"/>
      <c r="H70" s="88"/>
      <c r="I70" s="131" t="s">
        <v>133</v>
      </c>
      <c r="J70" s="83">
        <f>IF(I70=$B$226,0,IF(I70=$B$227,1,IF(I70=$B$228,2,IF(I70=$B$229,3,IF(I70=$B$230,4,"Not Calculated")))))</f>
        <v>0</v>
      </c>
      <c r="K70" s="87"/>
    </row>
    <row r="71" spans="2:11" ht="15.75" customHeight="1" x14ac:dyDescent="0.2">
      <c r="B71" s="81"/>
      <c r="C71" s="82"/>
      <c r="D71" s="83"/>
      <c r="E71" s="83"/>
      <c r="F71" s="84"/>
      <c r="G71" s="85"/>
      <c r="H71" s="85"/>
      <c r="I71" s="86"/>
      <c r="J71" s="86"/>
      <c r="K71" s="87"/>
    </row>
    <row r="72" spans="2:11" ht="121.5" customHeight="1" x14ac:dyDescent="0.2">
      <c r="B72" s="81"/>
      <c r="C72" s="388" t="s">
        <v>185</v>
      </c>
      <c r="D72" s="388"/>
      <c r="E72" s="388"/>
      <c r="F72" s="388"/>
      <c r="G72" s="388"/>
      <c r="H72" s="88"/>
      <c r="I72" s="131" t="s">
        <v>133</v>
      </c>
      <c r="J72" s="83">
        <f>IF(I72=$B$226,0,IF(I72=$B$227,1,IF(I72=$B$228,2,IF(I72=$B$229,3,IF(I72=$B$230,4,"Not Calculated")))))</f>
        <v>0</v>
      </c>
      <c r="K72" s="87"/>
    </row>
    <row r="73" spans="2:11" ht="15.75" customHeight="1" x14ac:dyDescent="0.2">
      <c r="B73" s="81"/>
      <c r="C73" s="82"/>
      <c r="D73" s="83"/>
      <c r="E73" s="83"/>
      <c r="F73" s="84"/>
      <c r="G73" s="85"/>
      <c r="H73" s="85"/>
      <c r="I73" s="86"/>
      <c r="J73" s="86"/>
      <c r="K73" s="87"/>
    </row>
    <row r="74" spans="2:11" ht="104.25" customHeight="1" x14ac:dyDescent="0.2">
      <c r="B74" s="81"/>
      <c r="C74" s="388" t="s">
        <v>184</v>
      </c>
      <c r="D74" s="388"/>
      <c r="E74" s="388"/>
      <c r="F74" s="388"/>
      <c r="G74" s="388"/>
      <c r="H74" s="88"/>
      <c r="I74" s="131" t="s">
        <v>133</v>
      </c>
      <c r="J74" s="83">
        <f>IF(I74=$B$226,0,IF(I74=$B$227,1,IF(I74=$B$228,2,IF(I74=$B$229,3,IF(I74=$B$230,4,"Not Calculated")))))</f>
        <v>0</v>
      </c>
      <c r="K74" s="87"/>
    </row>
    <row r="75" spans="2:11" ht="15.75" customHeight="1" x14ac:dyDescent="0.2">
      <c r="B75" s="81"/>
      <c r="C75" s="82"/>
      <c r="D75" s="83"/>
      <c r="E75" s="83"/>
      <c r="F75" s="84"/>
      <c r="G75" s="85"/>
      <c r="H75" s="85"/>
      <c r="I75" s="86"/>
      <c r="J75" s="86"/>
      <c r="K75" s="87"/>
    </row>
    <row r="76" spans="2:11" x14ac:dyDescent="0.2">
      <c r="B76" s="81"/>
      <c r="C76" s="89" t="s">
        <v>111</v>
      </c>
      <c r="D76" s="85"/>
      <c r="E76" s="85"/>
      <c r="F76" s="84"/>
      <c r="G76" s="85"/>
      <c r="H76" s="85"/>
      <c r="I76" s="83"/>
      <c r="J76" s="90">
        <f>IF(OR(J66="Not Calculated",J68="Not Calculated",J70="Not Calculated",J72="Not Calculated",J74="Not Calculated")=TRUE,"Not Calculated",AVERAGE(J66,J68,J70,J72,J74))</f>
        <v>0</v>
      </c>
      <c r="K76" s="87"/>
    </row>
    <row r="77" spans="2:11" ht="16" thickBot="1" x14ac:dyDescent="0.25">
      <c r="B77" s="91"/>
      <c r="C77" s="92"/>
      <c r="D77" s="93"/>
      <c r="E77" s="93"/>
      <c r="F77" s="93"/>
      <c r="G77" s="94"/>
      <c r="H77" s="94"/>
      <c r="I77" s="95"/>
      <c r="J77" s="95"/>
      <c r="K77" s="96"/>
    </row>
    <row r="78" spans="2:11" ht="16" thickBot="1" x14ac:dyDescent="0.25">
      <c r="B78" s="100"/>
      <c r="C78" s="101"/>
      <c r="D78" s="100"/>
      <c r="E78" s="100"/>
      <c r="F78" s="100"/>
      <c r="G78" s="102"/>
      <c r="H78" s="102"/>
      <c r="I78" s="103"/>
      <c r="J78" s="103"/>
      <c r="K78" s="102"/>
    </row>
    <row r="79" spans="2:11" x14ac:dyDescent="0.2">
      <c r="B79" s="81"/>
      <c r="C79" s="84"/>
      <c r="D79" s="85"/>
      <c r="E79" s="85"/>
      <c r="F79" s="84"/>
      <c r="G79" s="85"/>
      <c r="H79" s="85"/>
      <c r="I79" s="83"/>
      <c r="J79" s="83"/>
      <c r="K79" s="87"/>
    </row>
    <row r="80" spans="2:11" ht="16" x14ac:dyDescent="0.2">
      <c r="B80" s="81"/>
      <c r="C80" s="82" t="s">
        <v>112</v>
      </c>
      <c r="D80" s="85"/>
      <c r="E80" s="85"/>
      <c r="F80" s="84"/>
      <c r="G80" s="85"/>
      <c r="H80" s="85"/>
      <c r="I80" s="83"/>
      <c r="J80" s="83"/>
      <c r="K80" s="87"/>
    </row>
    <row r="81" spans="2:11" ht="15.75" customHeight="1" x14ac:dyDescent="0.2">
      <c r="B81" s="81"/>
      <c r="C81" s="82"/>
      <c r="D81" s="83"/>
      <c r="E81" s="83"/>
      <c r="F81" s="84"/>
      <c r="G81" s="85"/>
      <c r="H81" s="85"/>
      <c r="I81" s="86"/>
      <c r="J81" s="86"/>
      <c r="K81" s="87"/>
    </row>
    <row r="82" spans="2:11" ht="135.75" customHeight="1" x14ac:dyDescent="0.2">
      <c r="B82" s="81"/>
      <c r="C82" s="388" t="s">
        <v>173</v>
      </c>
      <c r="D82" s="388"/>
      <c r="E82" s="388"/>
      <c r="F82" s="388"/>
      <c r="G82" s="388"/>
      <c r="H82" s="88"/>
      <c r="I82" s="131" t="s">
        <v>133</v>
      </c>
      <c r="J82" s="83">
        <f>IF(I82=$B$226,0,IF(I82=$B$227,1,IF(I82=$B$228,2,IF(I82=$B$229,3,IF(I82=$B$230,4,"Not Calculated")))))</f>
        <v>0</v>
      </c>
      <c r="K82" s="87"/>
    </row>
    <row r="83" spans="2:11" ht="15.75" customHeight="1" x14ac:dyDescent="0.2">
      <c r="B83" s="81"/>
      <c r="C83" s="82"/>
      <c r="D83" s="83"/>
      <c r="E83" s="83"/>
      <c r="F83" s="84"/>
      <c r="G83" s="85"/>
      <c r="H83" s="85"/>
      <c r="I83" s="86"/>
      <c r="J83" s="86"/>
      <c r="K83" s="87"/>
    </row>
    <row r="84" spans="2:11" ht="197.25" customHeight="1" x14ac:dyDescent="0.2">
      <c r="B84" s="81"/>
      <c r="C84" s="388" t="s">
        <v>174</v>
      </c>
      <c r="D84" s="388"/>
      <c r="E84" s="388"/>
      <c r="F84" s="388"/>
      <c r="G84" s="388"/>
      <c r="H84" s="88"/>
      <c r="I84" s="131" t="s">
        <v>133</v>
      </c>
      <c r="J84" s="83">
        <f>IF(I84=$B$226,0,IF(I84=$B$227,1,IF(I84=$B$228,2,IF(I84=$B$229,3,IF(I84=$B$230,4,"Not Calculated")))))</f>
        <v>0</v>
      </c>
      <c r="K84" s="87"/>
    </row>
    <row r="85" spans="2:11" ht="15.75" customHeight="1" x14ac:dyDescent="0.2">
      <c r="B85" s="81"/>
      <c r="C85" s="82"/>
      <c r="D85" s="83"/>
      <c r="E85" s="83"/>
      <c r="F85" s="84"/>
      <c r="G85" s="85"/>
      <c r="H85" s="85"/>
      <c r="I85" s="86"/>
      <c r="J85" s="86"/>
      <c r="K85" s="87"/>
    </row>
    <row r="86" spans="2:11" ht="120" customHeight="1" x14ac:dyDescent="0.2">
      <c r="B86" s="81"/>
      <c r="C86" s="388" t="s">
        <v>1084</v>
      </c>
      <c r="D86" s="388"/>
      <c r="E86" s="388"/>
      <c r="F86" s="388"/>
      <c r="G86" s="388"/>
      <c r="H86" s="88"/>
      <c r="I86" s="131" t="s">
        <v>133</v>
      </c>
      <c r="J86" s="83">
        <f>IF(I86=$B$226,0,IF(I86=$B$227,1,IF(I86=$B$228,2,IF(I86=$B$229,3,IF(I86=$B$230,4,"Not Calculated")))))</f>
        <v>0</v>
      </c>
      <c r="K86" s="87"/>
    </row>
    <row r="87" spans="2:11" ht="15.75" customHeight="1" x14ac:dyDescent="0.2">
      <c r="B87" s="81"/>
      <c r="C87" s="82"/>
      <c r="D87" s="83"/>
      <c r="E87" s="83"/>
      <c r="F87" s="84"/>
      <c r="G87" s="85"/>
      <c r="H87" s="85"/>
      <c r="I87" s="86"/>
      <c r="J87" s="86"/>
      <c r="K87" s="87"/>
    </row>
    <row r="88" spans="2:11" x14ac:dyDescent="0.2">
      <c r="B88" s="81"/>
      <c r="C88" s="89" t="s">
        <v>114</v>
      </c>
      <c r="D88" s="85"/>
      <c r="E88" s="85"/>
      <c r="F88" s="84"/>
      <c r="G88" s="85"/>
      <c r="H88" s="85"/>
      <c r="I88" s="83"/>
      <c r="J88" s="90">
        <f>IF(OR(J82="Not Calculated",J84="Not Calculated",J86="Not Calculated")=TRUE,"Not Calculated",AVERAGE(J82,J84,J86))</f>
        <v>0</v>
      </c>
      <c r="K88" s="87"/>
    </row>
    <row r="89" spans="2:11" ht="16" thickBot="1" x14ac:dyDescent="0.25">
      <c r="B89" s="91"/>
      <c r="C89" s="92"/>
      <c r="D89" s="93"/>
      <c r="E89" s="93"/>
      <c r="F89" s="93"/>
      <c r="G89" s="94"/>
      <c r="H89" s="94"/>
      <c r="I89" s="95"/>
      <c r="J89" s="95"/>
      <c r="K89" s="96"/>
    </row>
    <row r="90" spans="2:11" ht="16" thickBot="1" x14ac:dyDescent="0.25">
      <c r="B90" s="100"/>
      <c r="C90" s="101"/>
      <c r="D90" s="100"/>
      <c r="E90" s="100"/>
      <c r="F90" s="100"/>
      <c r="G90" s="102"/>
      <c r="H90" s="102"/>
      <c r="I90" s="103"/>
      <c r="J90" s="103"/>
      <c r="K90" s="102"/>
    </row>
    <row r="91" spans="2:11" x14ac:dyDescent="0.2">
      <c r="B91" s="81"/>
      <c r="C91" s="84"/>
      <c r="D91" s="85"/>
      <c r="E91" s="85"/>
      <c r="F91" s="84"/>
      <c r="G91" s="85"/>
      <c r="H91" s="85"/>
      <c r="I91" s="83"/>
      <c r="J91" s="83"/>
      <c r="K91" s="87"/>
    </row>
    <row r="92" spans="2:11" ht="16" x14ac:dyDescent="0.2">
      <c r="B92" s="81"/>
      <c r="C92" s="82" t="s">
        <v>115</v>
      </c>
      <c r="D92" s="85"/>
      <c r="E92" s="85"/>
      <c r="F92" s="84"/>
      <c r="G92" s="85"/>
      <c r="H92" s="85"/>
      <c r="I92" s="83"/>
      <c r="J92" s="83"/>
      <c r="K92" s="87"/>
    </row>
    <row r="93" spans="2:11" ht="15.75" customHeight="1" x14ac:dyDescent="0.2">
      <c r="B93" s="81"/>
      <c r="C93" s="82"/>
      <c r="D93" s="83"/>
      <c r="E93" s="83"/>
      <c r="F93" s="84"/>
      <c r="G93" s="85"/>
      <c r="H93" s="85"/>
      <c r="I93" s="86"/>
      <c r="J93" s="86"/>
      <c r="K93" s="87"/>
    </row>
    <row r="94" spans="2:11" ht="120.75" customHeight="1" x14ac:dyDescent="0.2">
      <c r="B94" s="81"/>
      <c r="C94" s="388" t="s">
        <v>172</v>
      </c>
      <c r="D94" s="388"/>
      <c r="E94" s="388"/>
      <c r="F94" s="388"/>
      <c r="G94" s="388"/>
      <c r="H94" s="88"/>
      <c r="I94" s="131" t="s">
        <v>133</v>
      </c>
      <c r="J94" s="83">
        <f>IF(I94=$B$226,0,IF(I94=$B$227,1,IF(I94=$B$228,2,IF(I94=$B$229,3,IF(I94=$B$230,4,"Not Calculated")))))</f>
        <v>0</v>
      </c>
      <c r="K94" s="87"/>
    </row>
    <row r="95" spans="2:11" ht="15.75" customHeight="1" x14ac:dyDescent="0.2">
      <c r="B95" s="81"/>
      <c r="C95" s="82"/>
      <c r="D95" s="83"/>
      <c r="E95" s="83"/>
      <c r="F95" s="84"/>
      <c r="G95" s="85"/>
      <c r="H95" s="85"/>
      <c r="I95" s="86"/>
      <c r="J95" s="86"/>
      <c r="K95" s="87"/>
    </row>
    <row r="96" spans="2:11" ht="91.5" customHeight="1" x14ac:dyDescent="0.2">
      <c r="B96" s="81"/>
      <c r="C96" s="388" t="s">
        <v>171</v>
      </c>
      <c r="D96" s="388"/>
      <c r="E96" s="388"/>
      <c r="F96" s="388"/>
      <c r="G96" s="388"/>
      <c r="H96" s="88"/>
      <c r="I96" s="131" t="s">
        <v>133</v>
      </c>
      <c r="J96" s="83">
        <f>IF(I96=$B$226,0,IF(I96=$B$227,1,IF(I96=$B$228,2,IF(I96=$B$229,3,IF(I96=$B$230,4,"Not Calculated")))))</f>
        <v>0</v>
      </c>
      <c r="K96" s="87"/>
    </row>
    <row r="97" spans="2:11" ht="15.75" customHeight="1" x14ac:dyDescent="0.2">
      <c r="B97" s="81"/>
      <c r="C97" s="82"/>
      <c r="D97" s="83"/>
      <c r="E97" s="83"/>
      <c r="F97" s="84"/>
      <c r="G97" s="85"/>
      <c r="H97" s="85"/>
      <c r="I97" s="86"/>
      <c r="J97" s="86"/>
      <c r="K97" s="87"/>
    </row>
    <row r="98" spans="2:11" ht="105" customHeight="1" x14ac:dyDescent="0.2">
      <c r="B98" s="81"/>
      <c r="C98" s="388" t="s">
        <v>170</v>
      </c>
      <c r="D98" s="388"/>
      <c r="E98" s="388"/>
      <c r="F98" s="388"/>
      <c r="G98" s="388"/>
      <c r="H98" s="88"/>
      <c r="I98" s="131" t="s">
        <v>133</v>
      </c>
      <c r="J98" s="83">
        <f>IF(I98=$B$226,0,IF(I98=$B$227,1,IF(I98=$B$228,2,IF(I98=$B$229,3,IF(I98=$B$230,4,"Not Calculated")))))</f>
        <v>0</v>
      </c>
      <c r="K98" s="87"/>
    </row>
    <row r="99" spans="2:11" ht="15.75" customHeight="1" x14ac:dyDescent="0.2">
      <c r="B99" s="81"/>
      <c r="C99" s="82"/>
      <c r="D99" s="83"/>
      <c r="E99" s="83"/>
      <c r="F99" s="84"/>
      <c r="G99" s="85"/>
      <c r="H99" s="85"/>
      <c r="I99" s="86"/>
      <c r="J99" s="86"/>
      <c r="K99" s="87"/>
    </row>
    <row r="100" spans="2:11" ht="61.5" customHeight="1" x14ac:dyDescent="0.2">
      <c r="B100" s="81"/>
      <c r="C100" s="388" t="s">
        <v>169</v>
      </c>
      <c r="D100" s="388"/>
      <c r="E100" s="388"/>
      <c r="F100" s="388"/>
      <c r="G100" s="388"/>
      <c r="H100" s="88"/>
      <c r="I100" s="131" t="s">
        <v>133</v>
      </c>
      <c r="J100" s="83">
        <f>IF(I100=$B$226,0,IF(I100=$B$227,1,IF(I100=$B$228,2,IF(I100=$B$229,3,IF(I100=$B$230,4,"Not Calculated")))))</f>
        <v>0</v>
      </c>
      <c r="K100" s="87"/>
    </row>
    <row r="101" spans="2:11" ht="15.75" customHeight="1" x14ac:dyDescent="0.2">
      <c r="B101" s="81"/>
      <c r="C101" s="82"/>
      <c r="D101" s="83"/>
      <c r="E101" s="83"/>
      <c r="F101" s="84"/>
      <c r="G101" s="85"/>
      <c r="H101" s="85"/>
      <c r="I101" s="86"/>
      <c r="J101" s="86"/>
      <c r="K101" s="87"/>
    </row>
    <row r="102" spans="2:11" x14ac:dyDescent="0.2">
      <c r="B102" s="81"/>
      <c r="C102" s="89" t="s">
        <v>116</v>
      </c>
      <c r="D102" s="85"/>
      <c r="E102" s="85"/>
      <c r="F102" s="84"/>
      <c r="G102" s="85"/>
      <c r="H102" s="85"/>
      <c r="I102" s="83"/>
      <c r="J102" s="90">
        <f>IF(OR(J96="Not Calculated",J98="Not Calculated",J100="Not Calculated")=TRUE,"Not Calculated",AVERAGE(J96,J98,J100))</f>
        <v>0</v>
      </c>
      <c r="K102" s="87"/>
    </row>
    <row r="103" spans="2:11" ht="16" thickBot="1" x14ac:dyDescent="0.25">
      <c r="B103" s="91"/>
      <c r="C103" s="92"/>
      <c r="D103" s="93"/>
      <c r="E103" s="93"/>
      <c r="F103" s="93"/>
      <c r="G103" s="94"/>
      <c r="H103" s="94"/>
      <c r="I103" s="95"/>
      <c r="J103" s="95"/>
      <c r="K103" s="96"/>
    </row>
    <row r="104" spans="2:11" ht="16" thickBot="1" x14ac:dyDescent="0.25">
      <c r="B104" s="100"/>
      <c r="C104" s="101"/>
      <c r="D104" s="100"/>
      <c r="E104" s="100"/>
      <c r="F104" s="100"/>
      <c r="G104" s="102"/>
      <c r="H104" s="102"/>
      <c r="I104" s="103"/>
      <c r="J104" s="103"/>
      <c r="K104" s="102"/>
    </row>
    <row r="105" spans="2:11" x14ac:dyDescent="0.2">
      <c r="B105" s="81"/>
      <c r="C105" s="84"/>
      <c r="D105" s="85"/>
      <c r="E105" s="85"/>
      <c r="F105" s="84"/>
      <c r="G105" s="85"/>
      <c r="H105" s="85"/>
      <c r="I105" s="83"/>
      <c r="J105" s="83"/>
      <c r="K105" s="87"/>
    </row>
    <row r="106" spans="2:11" ht="16" x14ac:dyDescent="0.2">
      <c r="B106" s="81"/>
      <c r="C106" s="82" t="s">
        <v>1085</v>
      </c>
      <c r="D106" s="85"/>
      <c r="E106" s="85"/>
      <c r="F106" s="84"/>
      <c r="G106" s="85"/>
      <c r="H106" s="85"/>
      <c r="I106" s="83"/>
      <c r="J106" s="83"/>
      <c r="K106" s="87"/>
    </row>
    <row r="107" spans="2:11" ht="15.75" customHeight="1" x14ac:dyDescent="0.2">
      <c r="B107" s="81"/>
      <c r="C107" s="82"/>
      <c r="D107" s="83"/>
      <c r="E107" s="83"/>
      <c r="F107" s="84"/>
      <c r="G107" s="85"/>
      <c r="H107" s="85"/>
      <c r="I107" s="86"/>
      <c r="J107" s="86"/>
      <c r="K107" s="87"/>
    </row>
    <row r="108" spans="2:11" ht="86.25" customHeight="1" x14ac:dyDescent="0.2">
      <c r="B108" s="81"/>
      <c r="C108" s="388" t="s">
        <v>168</v>
      </c>
      <c r="D108" s="388"/>
      <c r="E108" s="388"/>
      <c r="F108" s="388"/>
      <c r="G108" s="388"/>
      <c r="H108" s="88"/>
      <c r="I108" s="131" t="s">
        <v>133</v>
      </c>
      <c r="J108" s="83">
        <f>IF(I108=$B$226,0,IF(I108=$B$227,1,IF(I108=$B$228,2,IF(I108=$B$229,3,IF(I108=$B$230,4,"Not Calculated")))))</f>
        <v>0</v>
      </c>
      <c r="K108" s="87"/>
    </row>
    <row r="109" spans="2:11" ht="15.75" customHeight="1" x14ac:dyDescent="0.2">
      <c r="B109" s="81"/>
      <c r="C109" s="82"/>
      <c r="D109" s="83"/>
      <c r="E109" s="83"/>
      <c r="F109" s="84"/>
      <c r="G109" s="85"/>
      <c r="H109" s="85"/>
      <c r="I109" s="86"/>
      <c r="J109" s="86"/>
      <c r="K109" s="87"/>
    </row>
    <row r="110" spans="2:11" ht="72.75" customHeight="1" x14ac:dyDescent="0.2">
      <c r="B110" s="81"/>
      <c r="C110" s="388" t="s">
        <v>167</v>
      </c>
      <c r="D110" s="388"/>
      <c r="E110" s="388"/>
      <c r="F110" s="388"/>
      <c r="G110" s="388"/>
      <c r="H110" s="88"/>
      <c r="I110" s="131" t="s">
        <v>133</v>
      </c>
      <c r="J110" s="83">
        <f>IF(I110=$B$226,0,IF(I110=$B$227,1,IF(I110=$B$228,2,IF(I110=$B$229,3,IF(I110=$B$230,4,"Not Calculated")))))</f>
        <v>0</v>
      </c>
      <c r="K110" s="87"/>
    </row>
    <row r="111" spans="2:11" ht="15.75" customHeight="1" x14ac:dyDescent="0.2">
      <c r="B111" s="81"/>
      <c r="C111" s="82"/>
      <c r="D111" s="83"/>
      <c r="E111" s="83"/>
      <c r="F111" s="84"/>
      <c r="G111" s="85"/>
      <c r="H111" s="85"/>
      <c r="I111" s="86"/>
      <c r="J111" s="86"/>
      <c r="K111" s="87"/>
    </row>
    <row r="112" spans="2:11" ht="76.5" customHeight="1" x14ac:dyDescent="0.2">
      <c r="B112" s="81"/>
      <c r="C112" s="388" t="s">
        <v>166</v>
      </c>
      <c r="D112" s="388"/>
      <c r="E112" s="388"/>
      <c r="F112" s="388"/>
      <c r="G112" s="388"/>
      <c r="H112" s="88"/>
      <c r="I112" s="131" t="s">
        <v>133</v>
      </c>
      <c r="J112" s="83">
        <f>IF(I112=$B$226,0,IF(I112=$B$227,1,IF(I112=$B$228,2,IF(I112=$B$229,3,IF(I112=$B$230,4,"Not Calculated")))))</f>
        <v>0</v>
      </c>
      <c r="K112" s="87"/>
    </row>
    <row r="113" spans="2:11" ht="15.75" customHeight="1" x14ac:dyDescent="0.2">
      <c r="B113" s="81"/>
      <c r="C113" s="82"/>
      <c r="D113" s="83"/>
      <c r="E113" s="83"/>
      <c r="F113" s="84"/>
      <c r="G113" s="85"/>
      <c r="H113" s="85"/>
      <c r="I113" s="86"/>
      <c r="J113" s="86"/>
      <c r="K113" s="87"/>
    </row>
    <row r="114" spans="2:11" ht="88.5" customHeight="1" x14ac:dyDescent="0.2">
      <c r="B114" s="81"/>
      <c r="C114" s="388" t="s">
        <v>165</v>
      </c>
      <c r="D114" s="388"/>
      <c r="E114" s="388"/>
      <c r="F114" s="388"/>
      <c r="G114" s="388"/>
      <c r="H114" s="88"/>
      <c r="I114" s="131" t="s">
        <v>133</v>
      </c>
      <c r="J114" s="83">
        <f>IF(I114=$B$226,0,IF(I114=$B$227,1,IF(I114=$B$228,2,IF(I114=$B$229,3,IF(I114=$B$230,4,"Not Calculated")))))</f>
        <v>0</v>
      </c>
      <c r="K114" s="87"/>
    </row>
    <row r="115" spans="2:11" ht="15.75" customHeight="1" x14ac:dyDescent="0.2">
      <c r="B115" s="81"/>
      <c r="C115" s="82"/>
      <c r="D115" s="83"/>
      <c r="E115" s="83"/>
      <c r="F115" s="84"/>
      <c r="G115" s="85"/>
      <c r="H115" s="85"/>
      <c r="I115" s="86"/>
      <c r="J115" s="86"/>
      <c r="K115" s="87"/>
    </row>
    <row r="116" spans="2:11" ht="62.25" customHeight="1" x14ac:dyDescent="0.2">
      <c r="B116" s="81"/>
      <c r="C116" s="388" t="s">
        <v>164</v>
      </c>
      <c r="D116" s="388"/>
      <c r="E116" s="388"/>
      <c r="F116" s="388"/>
      <c r="G116" s="388"/>
      <c r="H116" s="88"/>
      <c r="I116" s="131" t="s">
        <v>133</v>
      </c>
      <c r="J116" s="83">
        <f>IF(I116=$B$226,0,IF(I116=$B$227,1,IF(I116=$B$228,2,IF(I116=$B$229,3,IF(I116=$B$230,4,"Not Calculated")))))</f>
        <v>0</v>
      </c>
      <c r="K116" s="87"/>
    </row>
    <row r="117" spans="2:11" ht="15.75" customHeight="1" x14ac:dyDescent="0.2">
      <c r="B117" s="81"/>
      <c r="C117" s="82"/>
      <c r="D117" s="83"/>
      <c r="E117" s="83"/>
      <c r="F117" s="84"/>
      <c r="G117" s="85"/>
      <c r="H117" s="85"/>
      <c r="I117" s="86"/>
      <c r="J117" s="86"/>
      <c r="K117" s="87"/>
    </row>
    <row r="118" spans="2:11" x14ac:dyDescent="0.2">
      <c r="B118" s="81"/>
      <c r="C118" s="89" t="s">
        <v>118</v>
      </c>
      <c r="D118" s="85"/>
      <c r="E118" s="85"/>
      <c r="F118" s="84"/>
      <c r="G118" s="85"/>
      <c r="H118" s="85"/>
      <c r="I118" s="83"/>
      <c r="J118" s="90">
        <f>IF(OR(J108="Not Calculated",J110="Not Calculated",J112="Not Calculated",J114="Not Calculated",J116="Not Calculated")=TRUE,"Not Calculated",AVERAGE(J108,J110,J112,J114,J116))</f>
        <v>0</v>
      </c>
      <c r="K118" s="87"/>
    </row>
    <row r="119" spans="2:11" ht="16" thickBot="1" x14ac:dyDescent="0.25">
      <c r="B119" s="91"/>
      <c r="C119" s="92"/>
      <c r="D119" s="93"/>
      <c r="E119" s="93"/>
      <c r="F119" s="93"/>
      <c r="G119" s="94"/>
      <c r="H119" s="94"/>
      <c r="I119" s="95"/>
      <c r="J119" s="95"/>
      <c r="K119" s="96"/>
    </row>
    <row r="120" spans="2:11" ht="16" thickBot="1" x14ac:dyDescent="0.25">
      <c r="B120" s="100"/>
      <c r="C120" s="101"/>
      <c r="D120" s="100"/>
      <c r="E120" s="100"/>
      <c r="F120" s="100"/>
      <c r="G120" s="102"/>
      <c r="H120" s="102"/>
      <c r="I120" s="103"/>
      <c r="J120" s="103"/>
      <c r="K120" s="102"/>
    </row>
    <row r="121" spans="2:11" x14ac:dyDescent="0.2">
      <c r="B121" s="81"/>
      <c r="C121" s="84"/>
      <c r="D121" s="85"/>
      <c r="E121" s="85"/>
      <c r="F121" s="84"/>
      <c r="G121" s="85"/>
      <c r="H121" s="85"/>
      <c r="I121" s="83"/>
      <c r="J121" s="83"/>
      <c r="K121" s="87"/>
    </row>
    <row r="122" spans="2:11" ht="16" x14ac:dyDescent="0.2">
      <c r="B122" s="81"/>
      <c r="C122" s="82" t="s">
        <v>1086</v>
      </c>
      <c r="D122" s="85"/>
      <c r="E122" s="85"/>
      <c r="F122" s="84"/>
      <c r="G122" s="85"/>
      <c r="H122" s="85"/>
      <c r="I122" s="83"/>
      <c r="J122" s="83"/>
      <c r="K122" s="87"/>
    </row>
    <row r="123" spans="2:11" ht="15.75" customHeight="1" x14ac:dyDescent="0.2">
      <c r="B123" s="81"/>
      <c r="C123" s="82"/>
      <c r="D123" s="83"/>
      <c r="E123" s="83"/>
      <c r="F123" s="84"/>
      <c r="G123" s="85"/>
      <c r="H123" s="85"/>
      <c r="I123" s="86"/>
      <c r="J123" s="86"/>
      <c r="K123" s="87"/>
    </row>
    <row r="124" spans="2:11" ht="150" customHeight="1" x14ac:dyDescent="0.2">
      <c r="B124" s="81"/>
      <c r="C124" s="388" t="s">
        <v>163</v>
      </c>
      <c r="D124" s="388"/>
      <c r="E124" s="388"/>
      <c r="F124" s="388"/>
      <c r="G124" s="388"/>
      <c r="H124" s="88"/>
      <c r="I124" s="131" t="s">
        <v>133</v>
      </c>
      <c r="J124" s="83">
        <f>IF(I124=$B$226,0,IF(I124=$B$227,1,IF(I124=$B$228,2,IF(I124=$B$229,3,IF(I124=$B$230,4,"Not Calculated")))))</f>
        <v>0</v>
      </c>
      <c r="K124" s="87"/>
    </row>
    <row r="125" spans="2:11" ht="15.75" customHeight="1" x14ac:dyDescent="0.2">
      <c r="B125" s="81"/>
      <c r="C125" s="82"/>
      <c r="D125" s="83"/>
      <c r="E125" s="83"/>
      <c r="F125" s="84"/>
      <c r="G125" s="85"/>
      <c r="H125" s="85"/>
      <c r="I125" s="86"/>
      <c r="J125" s="86"/>
      <c r="K125" s="87"/>
    </row>
    <row r="126" spans="2:11" ht="57.75" customHeight="1" x14ac:dyDescent="0.2">
      <c r="B126" s="81"/>
      <c r="C126" s="388" t="s">
        <v>162</v>
      </c>
      <c r="D126" s="388"/>
      <c r="E126" s="388"/>
      <c r="F126" s="388"/>
      <c r="G126" s="388"/>
      <c r="H126" s="88"/>
      <c r="I126" s="131" t="s">
        <v>133</v>
      </c>
      <c r="J126" s="83">
        <f>IF(I126=$B$226,0,IF(I126=$B$227,1,IF(I126=$B$228,2,IF(I126=$B$229,3,IF(I126=$B$230,4,"Not Calculated")))))</f>
        <v>0</v>
      </c>
      <c r="K126" s="87"/>
    </row>
    <row r="127" spans="2:11" ht="15.75" customHeight="1" x14ac:dyDescent="0.2">
      <c r="B127" s="81"/>
      <c r="C127" s="82"/>
      <c r="D127" s="83"/>
      <c r="E127" s="83"/>
      <c r="F127" s="84"/>
      <c r="G127" s="85"/>
      <c r="H127" s="85"/>
      <c r="I127" s="86"/>
      <c r="J127" s="86"/>
      <c r="K127" s="87"/>
    </row>
    <row r="128" spans="2:11" ht="72" customHeight="1" x14ac:dyDescent="0.2">
      <c r="B128" s="81"/>
      <c r="C128" s="388" t="s">
        <v>161</v>
      </c>
      <c r="D128" s="388"/>
      <c r="E128" s="388"/>
      <c r="F128" s="388"/>
      <c r="G128" s="388"/>
      <c r="H128" s="88"/>
      <c r="I128" s="131" t="s">
        <v>133</v>
      </c>
      <c r="J128" s="83">
        <f>IF(I128=$B$226,0,IF(I128=$B$227,1,IF(I128=$B$228,2,IF(I128=$B$229,3,IF(I128=$B$230,4,"Not Calculated")))))</f>
        <v>0</v>
      </c>
      <c r="K128" s="87"/>
    </row>
    <row r="129" spans="2:11" ht="15.75" customHeight="1" x14ac:dyDescent="0.2">
      <c r="B129" s="81"/>
      <c r="C129" s="82"/>
      <c r="D129" s="83"/>
      <c r="E129" s="83"/>
      <c r="F129" s="84"/>
      <c r="G129" s="85"/>
      <c r="H129" s="85"/>
      <c r="I129" s="86"/>
      <c r="J129" s="86"/>
      <c r="K129" s="87"/>
    </row>
    <row r="130" spans="2:11" ht="90.75" customHeight="1" x14ac:dyDescent="0.2">
      <c r="B130" s="81"/>
      <c r="C130" s="388" t="s">
        <v>160</v>
      </c>
      <c r="D130" s="388"/>
      <c r="E130" s="388"/>
      <c r="F130" s="388"/>
      <c r="G130" s="388"/>
      <c r="H130" s="88"/>
      <c r="I130" s="131" t="s">
        <v>133</v>
      </c>
      <c r="J130" s="83">
        <f>IF(I130=$B$226,0,IF(I130=$B$227,1,IF(I130=$B$228,2,IF(I130=$B$229,3,IF(I130=$B$230,4,"Not Calculated")))))</f>
        <v>0</v>
      </c>
      <c r="K130" s="87"/>
    </row>
    <row r="131" spans="2:11" ht="15.75" customHeight="1" x14ac:dyDescent="0.2">
      <c r="B131" s="81"/>
      <c r="C131" s="82"/>
      <c r="D131" s="83"/>
      <c r="E131" s="83"/>
      <c r="F131" s="84"/>
      <c r="G131" s="85"/>
      <c r="H131" s="85"/>
      <c r="I131" s="86"/>
      <c r="J131" s="86"/>
      <c r="K131" s="87"/>
    </row>
    <row r="132" spans="2:11" ht="63" customHeight="1" x14ac:dyDescent="0.2">
      <c r="B132" s="81"/>
      <c r="C132" s="388" t="s">
        <v>159</v>
      </c>
      <c r="D132" s="388"/>
      <c r="E132" s="388"/>
      <c r="F132" s="388"/>
      <c r="G132" s="388"/>
      <c r="H132" s="88"/>
      <c r="I132" s="131" t="s">
        <v>133</v>
      </c>
      <c r="J132" s="83">
        <f>IF(I132=$B$226,0,IF(I132=$B$227,1,IF(I132=$B$228,2,IF(I132=$B$229,3,IF(I132=$B$230,4,"Not Calculated")))))</f>
        <v>0</v>
      </c>
      <c r="K132" s="87"/>
    </row>
    <row r="133" spans="2:11" ht="15.75" customHeight="1" x14ac:dyDescent="0.2">
      <c r="B133" s="81"/>
      <c r="C133" s="82"/>
      <c r="D133" s="83"/>
      <c r="E133" s="83"/>
      <c r="F133" s="84"/>
      <c r="G133" s="85"/>
      <c r="H133" s="85"/>
      <c r="I133" s="86"/>
      <c r="J133" s="86"/>
      <c r="K133" s="87"/>
    </row>
    <row r="134" spans="2:11" ht="72.75" customHeight="1" x14ac:dyDescent="0.2">
      <c r="B134" s="81"/>
      <c r="C134" s="388" t="s">
        <v>158</v>
      </c>
      <c r="D134" s="388"/>
      <c r="E134" s="388"/>
      <c r="F134" s="388"/>
      <c r="G134" s="388"/>
      <c r="H134" s="88"/>
      <c r="I134" s="131" t="s">
        <v>133</v>
      </c>
      <c r="J134" s="83">
        <f>IF(I134=$B$226,0,IF(I134=$B$227,1,IF(I134=$B$228,2,IF(I134=$B$229,3,IF(I134=$B$230,4,"Not Calculated")))))</f>
        <v>0</v>
      </c>
      <c r="K134" s="87"/>
    </row>
    <row r="135" spans="2:11" ht="15.75" customHeight="1" x14ac:dyDescent="0.2">
      <c r="B135" s="81"/>
      <c r="C135" s="82"/>
      <c r="D135" s="83"/>
      <c r="E135" s="83"/>
      <c r="F135" s="84"/>
      <c r="G135" s="85"/>
      <c r="H135" s="85"/>
      <c r="I135" s="86"/>
      <c r="J135" s="86"/>
      <c r="K135" s="87"/>
    </row>
    <row r="136" spans="2:11" x14ac:dyDescent="0.2">
      <c r="B136" s="81"/>
      <c r="C136" s="89" t="s">
        <v>120</v>
      </c>
      <c r="D136" s="85"/>
      <c r="E136" s="85"/>
      <c r="F136" s="84"/>
      <c r="G136" s="85"/>
      <c r="H136" s="85"/>
      <c r="I136" s="83"/>
      <c r="J136" s="90">
        <f>IF(OR(J124="Not Calculated",J126="Not Calculated",J128="Not Calculated",J130="Not Calculated",J132="Not Calculated",J134="Not Calculated")=TRUE,"Not Calculated",AVERAGE(J124,J126,J128,J130,J132,J134))</f>
        <v>0</v>
      </c>
      <c r="K136" s="87"/>
    </row>
    <row r="137" spans="2:11" ht="16" thickBot="1" x14ac:dyDescent="0.25">
      <c r="B137" s="91"/>
      <c r="C137" s="92"/>
      <c r="D137" s="93"/>
      <c r="E137" s="93"/>
      <c r="F137" s="93"/>
      <c r="G137" s="94"/>
      <c r="H137" s="94"/>
      <c r="I137" s="95"/>
      <c r="J137" s="95"/>
      <c r="K137" s="96"/>
    </row>
    <row r="138" spans="2:11" ht="16" thickBot="1" x14ac:dyDescent="0.25">
      <c r="B138" s="100"/>
      <c r="C138" s="101"/>
      <c r="D138" s="100"/>
      <c r="E138" s="100"/>
      <c r="F138" s="100"/>
      <c r="G138" s="102"/>
      <c r="H138" s="102"/>
      <c r="I138" s="103"/>
      <c r="J138" s="103"/>
      <c r="K138" s="102"/>
    </row>
    <row r="139" spans="2:11" x14ac:dyDescent="0.2">
      <c r="B139" s="81"/>
      <c r="C139" s="84"/>
      <c r="D139" s="85"/>
      <c r="E139" s="85"/>
      <c r="F139" s="84"/>
      <c r="G139" s="85"/>
      <c r="H139" s="85"/>
      <c r="I139" s="83"/>
      <c r="J139" s="83"/>
      <c r="K139" s="87"/>
    </row>
    <row r="140" spans="2:11" ht="16" x14ac:dyDescent="0.2">
      <c r="B140" s="81"/>
      <c r="C140" s="82" t="s">
        <v>121</v>
      </c>
      <c r="D140" s="85"/>
      <c r="E140" s="85"/>
      <c r="F140" s="84"/>
      <c r="G140" s="85"/>
      <c r="H140" s="85"/>
      <c r="I140" s="83"/>
      <c r="J140" s="83"/>
      <c r="K140" s="87"/>
    </row>
    <row r="141" spans="2:11" ht="15.75" customHeight="1" x14ac:dyDescent="0.2">
      <c r="B141" s="81"/>
      <c r="C141" s="82"/>
      <c r="D141" s="83"/>
      <c r="E141" s="83"/>
      <c r="F141" s="84"/>
      <c r="G141" s="85"/>
      <c r="H141" s="85"/>
      <c r="I141" s="86"/>
      <c r="J141" s="86"/>
      <c r="K141" s="87"/>
    </row>
    <row r="142" spans="2:11" ht="164.25" customHeight="1" x14ac:dyDescent="0.2">
      <c r="B142" s="81"/>
      <c r="C142" s="388" t="s">
        <v>157</v>
      </c>
      <c r="D142" s="388"/>
      <c r="E142" s="388"/>
      <c r="F142" s="388"/>
      <c r="G142" s="388"/>
      <c r="H142" s="88"/>
      <c r="I142" s="131" t="s">
        <v>133</v>
      </c>
      <c r="J142" s="83">
        <f>IF(I142=$B$226,0,IF(I142=$B$227,1,IF(I142=$B$228,2,IF(I142=$B$229,3,IF(I142=$B$230,4,"Not Calculated")))))</f>
        <v>0</v>
      </c>
      <c r="K142" s="87"/>
    </row>
    <row r="143" spans="2:11" ht="15.75" customHeight="1" x14ac:dyDescent="0.2">
      <c r="B143" s="81"/>
      <c r="C143" s="82"/>
      <c r="D143" s="83"/>
      <c r="E143" s="83"/>
      <c r="F143" s="84"/>
      <c r="G143" s="85"/>
      <c r="H143" s="85"/>
      <c r="I143" s="86"/>
      <c r="J143" s="86"/>
      <c r="K143" s="87"/>
    </row>
    <row r="144" spans="2:11" ht="136.5" customHeight="1" x14ac:dyDescent="0.2">
      <c r="B144" s="81"/>
      <c r="C144" s="388" t="s">
        <v>156</v>
      </c>
      <c r="D144" s="388"/>
      <c r="E144" s="388"/>
      <c r="F144" s="388"/>
      <c r="G144" s="388"/>
      <c r="H144" s="88"/>
      <c r="I144" s="131" t="s">
        <v>133</v>
      </c>
      <c r="J144" s="83">
        <f>IF(I144=$B$226,0,IF(I144=$B$227,1,IF(I144=$B$228,2,IF(I144=$B$229,3,IF(I144=$B$230,4,"Not Calculated")))))</f>
        <v>0</v>
      </c>
      <c r="K144" s="87"/>
    </row>
    <row r="145" spans="2:11" ht="15.75" customHeight="1" x14ac:dyDescent="0.2">
      <c r="B145" s="81"/>
      <c r="C145" s="82"/>
      <c r="D145" s="83"/>
      <c r="E145" s="83"/>
      <c r="F145" s="84"/>
      <c r="G145" s="85"/>
      <c r="H145" s="85"/>
      <c r="I145" s="86"/>
      <c r="J145" s="86"/>
      <c r="K145" s="87"/>
    </row>
    <row r="146" spans="2:11" ht="135" customHeight="1" x14ac:dyDescent="0.2">
      <c r="B146" s="81"/>
      <c r="C146" s="388" t="s">
        <v>1087</v>
      </c>
      <c r="D146" s="388"/>
      <c r="E146" s="388"/>
      <c r="F146" s="388"/>
      <c r="G146" s="388"/>
      <c r="H146" s="88"/>
      <c r="I146" s="131" t="s">
        <v>133</v>
      </c>
      <c r="J146" s="83">
        <f>IF(I146=$B$226,0,IF(I146=$B$227,1,IF(I146=$B$228,2,IF(I146=$B$229,3,IF(I146=$B$230,4,"Not Calculated")))))</f>
        <v>0</v>
      </c>
      <c r="K146" s="87"/>
    </row>
    <row r="147" spans="2:11" ht="15.75" customHeight="1" x14ac:dyDescent="0.2">
      <c r="B147" s="81"/>
      <c r="C147" s="82"/>
      <c r="D147" s="83"/>
      <c r="E147" s="83"/>
      <c r="F147" s="84"/>
      <c r="G147" s="85"/>
      <c r="H147" s="85"/>
      <c r="I147" s="86"/>
      <c r="J147" s="86"/>
      <c r="K147" s="87"/>
    </row>
    <row r="148" spans="2:11" ht="119.25" customHeight="1" x14ac:dyDescent="0.2">
      <c r="B148" s="81"/>
      <c r="C148" s="388" t="s">
        <v>155</v>
      </c>
      <c r="D148" s="388"/>
      <c r="E148" s="388"/>
      <c r="F148" s="388"/>
      <c r="G148" s="388"/>
      <c r="H148" s="88"/>
      <c r="I148" s="131" t="s">
        <v>133</v>
      </c>
      <c r="J148" s="83">
        <f>IF(I148=$B$226,0,IF(I148=$B$227,1,IF(I148=$B$228,2,IF(I148=$B$229,3,IF(I148=$B$230,4,"Not Calculated")))))</f>
        <v>0</v>
      </c>
      <c r="K148" s="87"/>
    </row>
    <row r="149" spans="2:11" ht="15.75" customHeight="1" x14ac:dyDescent="0.2">
      <c r="B149" s="81"/>
      <c r="C149" s="82"/>
      <c r="D149" s="83"/>
      <c r="E149" s="83"/>
      <c r="F149" s="84"/>
      <c r="G149" s="85"/>
      <c r="H149" s="85"/>
      <c r="I149" s="86"/>
      <c r="J149" s="86"/>
      <c r="K149" s="87"/>
    </row>
    <row r="150" spans="2:11" x14ac:dyDescent="0.2">
      <c r="B150" s="81"/>
      <c r="C150" s="89" t="s">
        <v>122</v>
      </c>
      <c r="D150" s="85"/>
      <c r="E150" s="85"/>
      <c r="F150" s="84"/>
      <c r="G150" s="85"/>
      <c r="H150" s="85"/>
      <c r="I150" s="83"/>
      <c r="J150" s="90">
        <f>IF(OR(J144="Not Calculated",J146="Not Calculated",J148="Not Calculated")=TRUE,"Not Calculated",AVERAGE(J144,J146,J148))</f>
        <v>0</v>
      </c>
      <c r="K150" s="87"/>
    </row>
    <row r="151" spans="2:11" ht="16" thickBot="1" x14ac:dyDescent="0.25">
      <c r="B151" s="91"/>
      <c r="C151" s="92"/>
      <c r="D151" s="93"/>
      <c r="E151" s="93"/>
      <c r="F151" s="93"/>
      <c r="G151" s="94"/>
      <c r="H151" s="94"/>
      <c r="I151" s="95"/>
      <c r="J151" s="95"/>
      <c r="K151" s="96"/>
    </row>
    <row r="152" spans="2:11" ht="16" thickBot="1" x14ac:dyDescent="0.25">
      <c r="B152" s="100"/>
      <c r="C152" s="101"/>
      <c r="D152" s="100"/>
      <c r="E152" s="100"/>
      <c r="F152" s="100"/>
      <c r="G152" s="102"/>
      <c r="H152" s="102"/>
      <c r="I152" s="103"/>
      <c r="J152" s="103"/>
      <c r="K152" s="102"/>
    </row>
    <row r="153" spans="2:11" x14ac:dyDescent="0.2">
      <c r="B153" s="81"/>
      <c r="C153" s="84"/>
      <c r="D153" s="85"/>
      <c r="E153" s="85"/>
      <c r="F153" s="84"/>
      <c r="G153" s="85"/>
      <c r="H153" s="85"/>
      <c r="I153" s="83"/>
      <c r="J153" s="83"/>
      <c r="K153" s="87"/>
    </row>
    <row r="154" spans="2:11" ht="16" x14ac:dyDescent="0.2">
      <c r="B154" s="81"/>
      <c r="C154" s="82" t="s">
        <v>123</v>
      </c>
      <c r="D154" s="85"/>
      <c r="E154" s="85"/>
      <c r="F154" s="84"/>
      <c r="G154" s="85"/>
      <c r="H154" s="85"/>
      <c r="I154" s="83"/>
      <c r="J154" s="83"/>
      <c r="K154" s="87"/>
    </row>
    <row r="155" spans="2:11" ht="15.75" customHeight="1" x14ac:dyDescent="0.2">
      <c r="B155" s="81"/>
      <c r="C155" s="82"/>
      <c r="D155" s="83"/>
      <c r="E155" s="83"/>
      <c r="F155" s="84"/>
      <c r="G155" s="85"/>
      <c r="H155" s="85"/>
      <c r="I155" s="86"/>
      <c r="J155" s="86"/>
      <c r="K155" s="87"/>
    </row>
    <row r="156" spans="2:11" ht="120.75" customHeight="1" x14ac:dyDescent="0.2">
      <c r="B156" s="81"/>
      <c r="C156" s="388" t="s">
        <v>1088</v>
      </c>
      <c r="D156" s="388"/>
      <c r="E156" s="388"/>
      <c r="F156" s="388"/>
      <c r="G156" s="388"/>
      <c r="H156" s="88"/>
      <c r="I156" s="131" t="s">
        <v>133</v>
      </c>
      <c r="J156" s="83">
        <f>IF(I156=$B$226,0,IF(I156=$B$227,1,IF(I156=$B$228,2,IF(I156=$B$229,3,IF(I156=$B$230,4,"Not Calculated")))))</f>
        <v>0</v>
      </c>
      <c r="K156" s="87"/>
    </row>
    <row r="157" spans="2:11" ht="15.75" customHeight="1" x14ac:dyDescent="0.2">
      <c r="B157" s="81"/>
      <c r="C157" s="82"/>
      <c r="D157" s="83"/>
      <c r="E157" s="83"/>
      <c r="F157" s="84"/>
      <c r="G157" s="85"/>
      <c r="H157" s="85"/>
      <c r="I157" s="86"/>
      <c r="J157" s="86"/>
      <c r="K157" s="87"/>
    </row>
    <row r="158" spans="2:11" ht="105" customHeight="1" x14ac:dyDescent="0.2">
      <c r="B158" s="81"/>
      <c r="C158" s="388" t="s">
        <v>154</v>
      </c>
      <c r="D158" s="388"/>
      <c r="E158" s="388"/>
      <c r="F158" s="388"/>
      <c r="G158" s="388"/>
      <c r="H158" s="88"/>
      <c r="I158" s="131" t="s">
        <v>133</v>
      </c>
      <c r="J158" s="83">
        <f>IF(I158=$B$226,0,IF(I158=$B$227,1,IF(I158=$B$228,2,IF(I158=$B$229,3,IF(I158=$B$230,4,"Not Calculated")))))</f>
        <v>0</v>
      </c>
      <c r="K158" s="87"/>
    </row>
    <row r="159" spans="2:11" ht="15.75" customHeight="1" x14ac:dyDescent="0.2">
      <c r="B159" s="81"/>
      <c r="C159" s="82"/>
      <c r="D159" s="83"/>
      <c r="E159" s="83"/>
      <c r="F159" s="84"/>
      <c r="G159" s="85"/>
      <c r="H159" s="85"/>
      <c r="I159" s="86"/>
      <c r="J159" s="86"/>
      <c r="K159" s="87"/>
    </row>
    <row r="160" spans="2:11" ht="133.5" customHeight="1" x14ac:dyDescent="0.2">
      <c r="B160" s="81"/>
      <c r="C160" s="388" t="s">
        <v>1089</v>
      </c>
      <c r="D160" s="388"/>
      <c r="E160" s="388"/>
      <c r="F160" s="388"/>
      <c r="G160" s="388"/>
      <c r="H160" s="88"/>
      <c r="I160" s="131" t="s">
        <v>133</v>
      </c>
      <c r="J160" s="83">
        <f>IF(I160=$B$226,0,IF(I160=$B$227,1,IF(I160=$B$228,2,IF(I160=$B$229,3,IF(I160=$B$230,4,"Not Calculated")))))</f>
        <v>0</v>
      </c>
      <c r="K160" s="87"/>
    </row>
    <row r="161" spans="2:11" ht="15.75" customHeight="1" x14ac:dyDescent="0.2">
      <c r="B161" s="81"/>
      <c r="C161" s="82"/>
      <c r="D161" s="83"/>
      <c r="E161" s="83"/>
      <c r="F161" s="84"/>
      <c r="G161" s="85"/>
      <c r="H161" s="85"/>
      <c r="I161" s="86"/>
      <c r="J161" s="86"/>
      <c r="K161" s="87"/>
    </row>
    <row r="162" spans="2:11" ht="78" customHeight="1" x14ac:dyDescent="0.2">
      <c r="B162" s="81"/>
      <c r="C162" s="388" t="s">
        <v>153</v>
      </c>
      <c r="D162" s="388"/>
      <c r="E162" s="388"/>
      <c r="F162" s="388"/>
      <c r="G162" s="388"/>
      <c r="H162" s="88"/>
      <c r="I162" s="131" t="s">
        <v>133</v>
      </c>
      <c r="J162" s="83">
        <f>IF(I162=$B$226,0,IF(I162=$B$227,1,IF(I162=$B$228,2,IF(I162=$B$229,3,IF(I162=$B$230,4,"Not Calculated")))))</f>
        <v>0</v>
      </c>
      <c r="K162" s="87"/>
    </row>
    <row r="163" spans="2:11" ht="15.75" customHeight="1" x14ac:dyDescent="0.2">
      <c r="B163" s="81"/>
      <c r="C163" s="82"/>
      <c r="D163" s="83"/>
      <c r="E163" s="83"/>
      <c r="F163" s="84"/>
      <c r="G163" s="85"/>
      <c r="H163" s="85"/>
      <c r="I163" s="86"/>
      <c r="J163" s="86"/>
      <c r="K163" s="87"/>
    </row>
    <row r="164" spans="2:11" x14ac:dyDescent="0.2">
      <c r="B164" s="81"/>
      <c r="C164" s="89" t="s">
        <v>124</v>
      </c>
      <c r="D164" s="85"/>
      <c r="E164" s="85"/>
      <c r="F164" s="84"/>
      <c r="G164" s="85"/>
      <c r="H164" s="85"/>
      <c r="I164" s="83"/>
      <c r="J164" s="90">
        <f>IF(OR(J158="Not Calculated",J160="Not Calculated",J162="Not Calculated")=TRUE,"Not Calculated",AVERAGE(J158,J160,J162))</f>
        <v>0</v>
      </c>
      <c r="K164" s="87"/>
    </row>
    <row r="165" spans="2:11" ht="16" thickBot="1" x14ac:dyDescent="0.25">
      <c r="B165" s="91"/>
      <c r="C165" s="92"/>
      <c r="D165" s="93"/>
      <c r="E165" s="93"/>
      <c r="F165" s="93"/>
      <c r="G165" s="94"/>
      <c r="H165" s="94"/>
      <c r="I165" s="95"/>
      <c r="J165" s="95"/>
      <c r="K165" s="96"/>
    </row>
    <row r="166" spans="2:11" ht="16" thickBot="1" x14ac:dyDescent="0.25">
      <c r="B166" s="100"/>
      <c r="C166" s="101"/>
      <c r="D166" s="100"/>
      <c r="E166" s="100"/>
      <c r="F166" s="100"/>
      <c r="G166" s="102"/>
      <c r="H166" s="102"/>
      <c r="I166" s="103"/>
      <c r="J166" s="103"/>
      <c r="K166" s="102"/>
    </row>
    <row r="167" spans="2:11" x14ac:dyDescent="0.2">
      <c r="B167" s="81"/>
      <c r="C167" s="84"/>
      <c r="D167" s="85"/>
      <c r="E167" s="85"/>
      <c r="F167" s="84"/>
      <c r="G167" s="85"/>
      <c r="H167" s="85"/>
      <c r="I167" s="83"/>
      <c r="J167" s="83"/>
      <c r="K167" s="87"/>
    </row>
    <row r="168" spans="2:11" ht="16" x14ac:dyDescent="0.2">
      <c r="B168" s="81"/>
      <c r="C168" s="82" t="s">
        <v>125</v>
      </c>
      <c r="D168" s="85"/>
      <c r="E168" s="85"/>
      <c r="F168" s="84"/>
      <c r="G168" s="85"/>
      <c r="H168" s="85"/>
      <c r="I168" s="83"/>
      <c r="J168" s="83"/>
      <c r="K168" s="87"/>
    </row>
    <row r="169" spans="2:11" ht="15.75" customHeight="1" x14ac:dyDescent="0.2">
      <c r="B169" s="81"/>
      <c r="C169" s="82"/>
      <c r="D169" s="83"/>
      <c r="E169" s="83"/>
      <c r="F169" s="84"/>
      <c r="G169" s="85"/>
      <c r="H169" s="85"/>
      <c r="I169" s="86"/>
      <c r="J169" s="86"/>
      <c r="K169" s="87"/>
    </row>
    <row r="170" spans="2:11" ht="89.25" customHeight="1" x14ac:dyDescent="0.2">
      <c r="B170" s="81"/>
      <c r="C170" s="388" t="s">
        <v>152</v>
      </c>
      <c r="D170" s="388"/>
      <c r="E170" s="388"/>
      <c r="F170" s="388"/>
      <c r="G170" s="388"/>
      <c r="H170" s="88"/>
      <c r="I170" s="131" t="s">
        <v>133</v>
      </c>
      <c r="J170" s="83">
        <f>IF(I170=$B$226,0,IF(I170=$B$227,1,IF(I170=$B$228,2,IF(I170=$B$229,3,IF(I170=$B$230,4,"Not Calculated")))))</f>
        <v>0</v>
      </c>
      <c r="K170" s="87"/>
    </row>
    <row r="171" spans="2:11" ht="15.75" customHeight="1" x14ac:dyDescent="0.2">
      <c r="B171" s="81"/>
      <c r="C171" s="82"/>
      <c r="D171" s="83"/>
      <c r="E171" s="83"/>
      <c r="F171" s="84"/>
      <c r="G171" s="85"/>
      <c r="H171" s="85"/>
      <c r="I171" s="86"/>
      <c r="J171" s="86"/>
      <c r="K171" s="87"/>
    </row>
    <row r="172" spans="2:11" ht="118.5" customHeight="1" x14ac:dyDescent="0.2">
      <c r="B172" s="81"/>
      <c r="C172" s="388" t="s">
        <v>151</v>
      </c>
      <c r="D172" s="388"/>
      <c r="E172" s="388"/>
      <c r="F172" s="388"/>
      <c r="G172" s="388"/>
      <c r="H172" s="88"/>
      <c r="I172" s="131" t="s">
        <v>133</v>
      </c>
      <c r="J172" s="83">
        <f>IF(I172=$B$226,0,IF(I172=$B$227,1,IF(I172=$B$228,2,IF(I172=$B$229,3,IF(I172=$B$230,4,"Not Calculated")))))</f>
        <v>0</v>
      </c>
      <c r="K172" s="87"/>
    </row>
    <row r="173" spans="2:11" ht="15.75" customHeight="1" x14ac:dyDescent="0.2">
      <c r="B173" s="81"/>
      <c r="C173" s="82"/>
      <c r="D173" s="83"/>
      <c r="E173" s="83"/>
      <c r="F173" s="84"/>
      <c r="G173" s="85"/>
      <c r="H173" s="85"/>
      <c r="I173" s="86"/>
      <c r="J173" s="86"/>
      <c r="K173" s="87"/>
    </row>
    <row r="174" spans="2:11" ht="148.5" customHeight="1" x14ac:dyDescent="0.2">
      <c r="B174" s="81"/>
      <c r="C174" s="388" t="s">
        <v>150</v>
      </c>
      <c r="D174" s="388"/>
      <c r="E174" s="388"/>
      <c r="F174" s="388"/>
      <c r="G174" s="388"/>
      <c r="H174" s="88"/>
      <c r="I174" s="131" t="s">
        <v>133</v>
      </c>
      <c r="J174" s="83">
        <f>IF(I174=$B$226,0,IF(I174=$B$227,1,IF(I174=$B$228,2,IF(I174=$B$229,3,IF(I174=$B$230,4,"Not Calculated")))))</f>
        <v>0</v>
      </c>
      <c r="K174" s="87"/>
    </row>
    <row r="175" spans="2:11" ht="15.75" customHeight="1" x14ac:dyDescent="0.2">
      <c r="B175" s="81"/>
      <c r="C175" s="82"/>
      <c r="D175" s="83"/>
      <c r="E175" s="83"/>
      <c r="F175" s="84"/>
      <c r="G175" s="85"/>
      <c r="H175" s="85"/>
      <c r="I175" s="86"/>
      <c r="J175" s="86"/>
      <c r="K175" s="87"/>
    </row>
    <row r="176" spans="2:11" ht="104.25" customHeight="1" x14ac:dyDescent="0.2">
      <c r="B176" s="81"/>
      <c r="C176" s="388" t="s">
        <v>149</v>
      </c>
      <c r="D176" s="388"/>
      <c r="E176" s="388"/>
      <c r="F176" s="388"/>
      <c r="G176" s="388"/>
      <c r="H176" s="88"/>
      <c r="I176" s="131" t="s">
        <v>133</v>
      </c>
      <c r="J176" s="83">
        <f>IF(I176=$B$226,0,IF(I176=$B$227,1,IF(I176=$B$228,2,IF(I176=$B$229,3,IF(I176=$B$230,4,"Not Calculated")))))</f>
        <v>0</v>
      </c>
      <c r="K176" s="87"/>
    </row>
    <row r="177" spans="2:11" ht="15.75" customHeight="1" x14ac:dyDescent="0.2">
      <c r="B177" s="81"/>
      <c r="C177" s="82"/>
      <c r="D177" s="83"/>
      <c r="E177" s="83"/>
      <c r="F177" s="84"/>
      <c r="G177" s="85"/>
      <c r="H177" s="85"/>
      <c r="I177" s="86"/>
      <c r="J177" s="86"/>
      <c r="K177" s="87"/>
    </row>
    <row r="178" spans="2:11" ht="72" customHeight="1" x14ac:dyDescent="0.2">
      <c r="B178" s="81"/>
      <c r="C178" s="388" t="s">
        <v>1090</v>
      </c>
      <c r="D178" s="388"/>
      <c r="E178" s="388"/>
      <c r="F178" s="388"/>
      <c r="G178" s="388"/>
      <c r="H178" s="88"/>
      <c r="I178" s="131" t="s">
        <v>133</v>
      </c>
      <c r="J178" s="83">
        <f>IF(I178=$B$226,0,IF(I178=$B$227,1,IF(I178=$B$228,2,IF(I178=$B$229,3,IF(I178=$B$230,4,"Not Calculated")))))</f>
        <v>0</v>
      </c>
      <c r="K178" s="87"/>
    </row>
    <row r="179" spans="2:11" ht="15.75" customHeight="1" x14ac:dyDescent="0.2">
      <c r="B179" s="81"/>
      <c r="C179" s="82"/>
      <c r="D179" s="83"/>
      <c r="E179" s="83"/>
      <c r="F179" s="84"/>
      <c r="G179" s="85"/>
      <c r="H179" s="85"/>
      <c r="I179" s="86"/>
      <c r="J179" s="86"/>
      <c r="K179" s="87"/>
    </row>
    <row r="180" spans="2:11" x14ac:dyDescent="0.2">
      <c r="B180" s="81"/>
      <c r="C180" s="89" t="s">
        <v>126</v>
      </c>
      <c r="D180" s="85"/>
      <c r="E180" s="85"/>
      <c r="F180" s="84"/>
      <c r="G180" s="85"/>
      <c r="H180" s="85"/>
      <c r="I180" s="83"/>
      <c r="J180" s="90">
        <f>IF(OR(J170="Not Calculated",J172="Not Calculated",J174="Not Calculated",J176="Not Calculated",J178="Not Calculated")=TRUE,"Not Calculated",AVERAGE(J170,J172,J174,J176,J178))</f>
        <v>0</v>
      </c>
      <c r="K180" s="87"/>
    </row>
    <row r="181" spans="2:11" ht="16" thickBot="1" x14ac:dyDescent="0.25">
      <c r="B181" s="91"/>
      <c r="C181" s="92"/>
      <c r="D181" s="93"/>
      <c r="E181" s="93"/>
      <c r="F181" s="93"/>
      <c r="G181" s="94"/>
      <c r="H181" s="94"/>
      <c r="I181" s="95"/>
      <c r="J181" s="95"/>
      <c r="K181" s="96"/>
    </row>
    <row r="182" spans="2:11" ht="16" thickBot="1" x14ac:dyDescent="0.25">
      <c r="B182" s="100"/>
      <c r="C182" s="101"/>
      <c r="D182" s="100"/>
      <c r="E182" s="100"/>
      <c r="F182" s="100"/>
      <c r="G182" s="102"/>
      <c r="H182" s="102"/>
      <c r="I182" s="103"/>
      <c r="J182" s="103"/>
      <c r="K182" s="102"/>
    </row>
    <row r="183" spans="2:11" x14ac:dyDescent="0.2">
      <c r="B183" s="81"/>
      <c r="C183" s="84"/>
      <c r="D183" s="85"/>
      <c r="E183" s="85"/>
      <c r="F183" s="84"/>
      <c r="G183" s="85"/>
      <c r="H183" s="85"/>
      <c r="I183" s="83"/>
      <c r="J183" s="83"/>
      <c r="K183" s="87"/>
    </row>
    <row r="184" spans="2:11" ht="16" x14ac:dyDescent="0.2">
      <c r="B184" s="81"/>
      <c r="C184" s="82" t="s">
        <v>1091</v>
      </c>
      <c r="D184" s="85"/>
      <c r="E184" s="85"/>
      <c r="F184" s="84"/>
      <c r="G184" s="85"/>
      <c r="H184" s="85"/>
      <c r="I184" s="83"/>
      <c r="J184" s="83"/>
      <c r="K184" s="87"/>
    </row>
    <row r="185" spans="2:11" ht="15.75" customHeight="1" x14ac:dyDescent="0.2">
      <c r="B185" s="81"/>
      <c r="C185" s="82"/>
      <c r="D185" s="83"/>
      <c r="E185" s="83"/>
      <c r="F185" s="84"/>
      <c r="G185" s="85"/>
      <c r="H185" s="85"/>
      <c r="I185" s="86"/>
      <c r="J185" s="86"/>
      <c r="K185" s="87"/>
    </row>
    <row r="186" spans="2:11" ht="105.75" customHeight="1" x14ac:dyDescent="0.2">
      <c r="B186" s="81"/>
      <c r="C186" s="388" t="s">
        <v>148</v>
      </c>
      <c r="D186" s="388"/>
      <c r="E186" s="388"/>
      <c r="F186" s="388"/>
      <c r="G186" s="388"/>
      <c r="H186" s="88"/>
      <c r="I186" s="131" t="s">
        <v>133</v>
      </c>
      <c r="J186" s="83">
        <f>IF(I186=$B$226,0,IF(I186=$B$227,1,IF(I186=$B$228,2,IF(I186=$B$229,3,IF(I186=$B$230,4,"Not Calculated")))))</f>
        <v>0</v>
      </c>
      <c r="K186" s="87"/>
    </row>
    <row r="187" spans="2:11" ht="15.75" customHeight="1" x14ac:dyDescent="0.2">
      <c r="B187" s="81"/>
      <c r="C187" s="82"/>
      <c r="D187" s="83"/>
      <c r="E187" s="83"/>
      <c r="F187" s="84"/>
      <c r="G187" s="85"/>
      <c r="H187" s="85"/>
      <c r="I187" s="86"/>
      <c r="J187" s="86"/>
      <c r="K187" s="87"/>
    </row>
    <row r="188" spans="2:11" ht="123" customHeight="1" x14ac:dyDescent="0.2">
      <c r="B188" s="81"/>
      <c r="C188" s="388" t="s">
        <v>147</v>
      </c>
      <c r="D188" s="388"/>
      <c r="E188" s="388"/>
      <c r="F188" s="388"/>
      <c r="G188" s="388"/>
      <c r="H188" s="88"/>
      <c r="I188" s="131" t="s">
        <v>133</v>
      </c>
      <c r="J188" s="83">
        <f>IF(I188=$B$226,0,IF(I188=$B$227,1,IF(I188=$B$228,2,IF(I188=$B$229,3,IF(I188=$B$230,4,"Not Calculated")))))</f>
        <v>0</v>
      </c>
      <c r="K188" s="87"/>
    </row>
    <row r="189" spans="2:11" ht="15.75" customHeight="1" x14ac:dyDescent="0.2">
      <c r="B189" s="81"/>
      <c r="C189" s="82"/>
      <c r="D189" s="83"/>
      <c r="E189" s="83"/>
      <c r="F189" s="84"/>
      <c r="G189" s="85"/>
      <c r="H189" s="85"/>
      <c r="I189" s="86"/>
      <c r="J189" s="86"/>
      <c r="K189" s="87"/>
    </row>
    <row r="190" spans="2:11" ht="74.25" customHeight="1" x14ac:dyDescent="0.2">
      <c r="B190" s="81"/>
      <c r="C190" s="388" t="s">
        <v>146</v>
      </c>
      <c r="D190" s="388"/>
      <c r="E190" s="388"/>
      <c r="F190" s="388"/>
      <c r="G190" s="388"/>
      <c r="H190" s="88"/>
      <c r="I190" s="131" t="s">
        <v>133</v>
      </c>
      <c r="J190" s="83">
        <f>IF(I190=$B$226,0,IF(I190=$B$227,1,IF(I190=$B$228,2,IF(I190=$B$229,3,IF(I190=$B$230,4,"Not Calculated")))))</f>
        <v>0</v>
      </c>
      <c r="K190" s="87"/>
    </row>
    <row r="191" spans="2:11" ht="15.75" customHeight="1" x14ac:dyDescent="0.2">
      <c r="B191" s="81"/>
      <c r="C191" s="82"/>
      <c r="D191" s="83"/>
      <c r="E191" s="83"/>
      <c r="F191" s="84"/>
      <c r="G191" s="85"/>
      <c r="H191" s="85"/>
      <c r="I191" s="86"/>
      <c r="J191" s="86"/>
      <c r="K191" s="87"/>
    </row>
    <row r="192" spans="2:11" ht="93" customHeight="1" x14ac:dyDescent="0.2">
      <c r="B192" s="81"/>
      <c r="C192" s="388" t="s">
        <v>145</v>
      </c>
      <c r="D192" s="388"/>
      <c r="E192" s="388"/>
      <c r="F192" s="388"/>
      <c r="G192" s="388"/>
      <c r="H192" s="88"/>
      <c r="I192" s="131" t="s">
        <v>133</v>
      </c>
      <c r="J192" s="83">
        <f>IF(I192=$B$226,0,IF(I192=$B$227,1,IF(I192=$B$228,2,IF(I192=$B$229,3,IF(I192=$B$230,4,"Not Calculated")))))</f>
        <v>0</v>
      </c>
      <c r="K192" s="87"/>
    </row>
    <row r="193" spans="2:11" ht="15.75" customHeight="1" x14ac:dyDescent="0.2">
      <c r="B193" s="81"/>
      <c r="C193" s="82"/>
      <c r="D193" s="83"/>
      <c r="E193" s="83"/>
      <c r="F193" s="84"/>
      <c r="G193" s="85"/>
      <c r="H193" s="85"/>
      <c r="I193" s="86"/>
      <c r="J193" s="86"/>
      <c r="K193" s="87"/>
    </row>
    <row r="194" spans="2:11" x14ac:dyDescent="0.2">
      <c r="B194" s="81"/>
      <c r="C194" s="89" t="s">
        <v>1092</v>
      </c>
      <c r="D194" s="85"/>
      <c r="E194" s="85"/>
      <c r="F194" s="84"/>
      <c r="G194" s="85"/>
      <c r="H194" s="85"/>
      <c r="I194" s="83"/>
      <c r="J194" s="90">
        <f>IF(OR(J188="Not Calculated",J190="Not Calculated",J192="Not Calculated")=TRUE,"Not Calculated",AVERAGE(J188,J190,J192))</f>
        <v>0</v>
      </c>
      <c r="K194" s="87"/>
    </row>
    <row r="195" spans="2:11" ht="16" thickBot="1" x14ac:dyDescent="0.25">
      <c r="B195" s="91"/>
      <c r="C195" s="92"/>
      <c r="D195" s="93"/>
      <c r="E195" s="93"/>
      <c r="F195" s="93"/>
      <c r="G195" s="94"/>
      <c r="H195" s="94"/>
      <c r="I195" s="95"/>
      <c r="J195" s="95"/>
      <c r="K195" s="96"/>
    </row>
    <row r="196" spans="2:11" ht="16" thickBot="1" x14ac:dyDescent="0.25">
      <c r="B196" s="100"/>
      <c r="C196" s="101"/>
      <c r="D196" s="100"/>
      <c r="E196" s="100"/>
      <c r="F196" s="100"/>
      <c r="G196" s="102"/>
      <c r="H196" s="102"/>
      <c r="I196" s="103"/>
      <c r="J196" s="103"/>
      <c r="K196" s="102"/>
    </row>
    <row r="197" spans="2:11" x14ac:dyDescent="0.2">
      <c r="B197" s="81"/>
      <c r="C197" s="84"/>
      <c r="D197" s="85"/>
      <c r="E197" s="85"/>
      <c r="F197" s="84"/>
      <c r="G197" s="85"/>
      <c r="H197" s="85"/>
      <c r="I197" s="83"/>
      <c r="J197" s="83"/>
      <c r="K197" s="87"/>
    </row>
    <row r="198" spans="2:11" ht="16" x14ac:dyDescent="0.2">
      <c r="B198" s="81"/>
      <c r="C198" s="82" t="s">
        <v>128</v>
      </c>
      <c r="D198" s="85"/>
      <c r="E198" s="85"/>
      <c r="F198" s="84"/>
      <c r="G198" s="85"/>
      <c r="H198" s="85"/>
      <c r="I198" s="83"/>
      <c r="J198" s="83"/>
      <c r="K198" s="87"/>
    </row>
    <row r="199" spans="2:11" ht="15.75" customHeight="1" x14ac:dyDescent="0.2">
      <c r="B199" s="81"/>
      <c r="C199" s="82"/>
      <c r="D199" s="83"/>
      <c r="E199" s="83"/>
      <c r="F199" s="84"/>
      <c r="G199" s="85"/>
      <c r="H199" s="85"/>
      <c r="I199" s="86"/>
      <c r="J199" s="86"/>
      <c r="K199" s="87"/>
    </row>
    <row r="200" spans="2:11" ht="72" customHeight="1" x14ac:dyDescent="0.2">
      <c r="B200" s="81"/>
      <c r="C200" s="388" t="s">
        <v>1093</v>
      </c>
      <c r="D200" s="388"/>
      <c r="E200" s="388"/>
      <c r="F200" s="388"/>
      <c r="G200" s="388"/>
      <c r="H200" s="88"/>
      <c r="I200" s="131" t="s">
        <v>133</v>
      </c>
      <c r="J200" s="83">
        <f>IF(I200=$B$226,0,IF(I200=$B$227,1,IF(I200=$B$228,2,IF(I200=$B$229,3,IF(I200=$B$230,4,"Not Calculated")))))</f>
        <v>0</v>
      </c>
      <c r="K200" s="87"/>
    </row>
    <row r="201" spans="2:11" ht="15.75" customHeight="1" x14ac:dyDescent="0.2">
      <c r="B201" s="81"/>
      <c r="C201" s="82"/>
      <c r="D201" s="83"/>
      <c r="E201" s="83"/>
      <c r="F201" s="84"/>
      <c r="G201" s="85"/>
      <c r="H201" s="85"/>
      <c r="I201" s="86"/>
      <c r="J201" s="86"/>
      <c r="K201" s="87"/>
    </row>
    <row r="202" spans="2:11" ht="133.5" customHeight="1" x14ac:dyDescent="0.2">
      <c r="B202" s="81"/>
      <c r="C202" s="388" t="s">
        <v>139</v>
      </c>
      <c r="D202" s="388"/>
      <c r="E202" s="388"/>
      <c r="F202" s="388"/>
      <c r="G202" s="388"/>
      <c r="H202" s="88"/>
      <c r="I202" s="131" t="s">
        <v>133</v>
      </c>
      <c r="J202" s="83">
        <f>IF(I202=$B$226,0,IF(I202=$B$227,1,IF(I202=$B$228,2,IF(I202=$B$229,3,IF(I202=$B$230,4,"Not Calculated")))))</f>
        <v>0</v>
      </c>
      <c r="K202" s="87"/>
    </row>
    <row r="203" spans="2:11" ht="15.75" customHeight="1" x14ac:dyDescent="0.2">
      <c r="B203" s="81"/>
      <c r="C203" s="82"/>
      <c r="D203" s="83"/>
      <c r="E203" s="83"/>
      <c r="F203" s="84"/>
      <c r="G203" s="85"/>
      <c r="H203" s="85"/>
      <c r="I203" s="86"/>
      <c r="J203" s="86"/>
      <c r="K203" s="87"/>
    </row>
    <row r="204" spans="2:11" ht="117.75" customHeight="1" x14ac:dyDescent="0.2">
      <c r="B204" s="81"/>
      <c r="C204" s="388" t="s">
        <v>140</v>
      </c>
      <c r="D204" s="388"/>
      <c r="E204" s="388"/>
      <c r="F204" s="388"/>
      <c r="G204" s="388"/>
      <c r="H204" s="88"/>
      <c r="I204" s="131" t="s">
        <v>133</v>
      </c>
      <c r="J204" s="83">
        <f>IF(I204=$B$226,0,IF(I204=$B$227,1,IF(I204=$B$228,2,IF(I204=$B$229,3,IF(I204=$B$230,4,"Not Calculated")))))</f>
        <v>0</v>
      </c>
      <c r="K204" s="87"/>
    </row>
    <row r="205" spans="2:11" ht="15.75" customHeight="1" x14ac:dyDescent="0.2">
      <c r="B205" s="81"/>
      <c r="C205" s="82"/>
      <c r="D205" s="83"/>
      <c r="E205" s="83"/>
      <c r="F205" s="84"/>
      <c r="G205" s="85"/>
      <c r="H205" s="85"/>
      <c r="I205" s="86"/>
      <c r="J205" s="86"/>
      <c r="K205" s="87"/>
    </row>
    <row r="206" spans="2:11" ht="63.75" customHeight="1" x14ac:dyDescent="0.2">
      <c r="B206" s="81"/>
      <c r="C206" s="388" t="s">
        <v>141</v>
      </c>
      <c r="D206" s="388"/>
      <c r="E206" s="388"/>
      <c r="F206" s="388"/>
      <c r="G206" s="388"/>
      <c r="H206" s="88"/>
      <c r="I206" s="131" t="s">
        <v>133</v>
      </c>
      <c r="J206" s="83">
        <f>IF(I206=$B$226,0,IF(I206=$B$227,1,IF(I206=$B$228,2,IF(I206=$B$229,3,IF(I206=$B$230,4,"Not Calculated")))))</f>
        <v>0</v>
      </c>
      <c r="K206" s="87"/>
    </row>
    <row r="207" spans="2:11" ht="15.75" customHeight="1" x14ac:dyDescent="0.2">
      <c r="B207" s="81"/>
      <c r="C207" s="82"/>
      <c r="D207" s="83"/>
      <c r="E207" s="83"/>
      <c r="F207" s="84"/>
      <c r="G207" s="85"/>
      <c r="H207" s="85"/>
      <c r="I207" s="86"/>
      <c r="J207" s="86"/>
      <c r="K207" s="87"/>
    </row>
    <row r="208" spans="2:11" x14ac:dyDescent="0.2">
      <c r="B208" s="81"/>
      <c r="C208" s="89" t="s">
        <v>129</v>
      </c>
      <c r="D208" s="85"/>
      <c r="E208" s="85"/>
      <c r="F208" s="84"/>
      <c r="G208" s="85"/>
      <c r="H208" s="85"/>
      <c r="I208" s="83"/>
      <c r="J208" s="90">
        <f>IF(OR(J200="Not Calculated",J202="Not Calculated",J204="Not Calculated",J206="Not Calculated")=TRUE,"Not Calculated",AVERAGE(J200,J202,J204,J206))</f>
        <v>0</v>
      </c>
      <c r="K208" s="87"/>
    </row>
    <row r="209" spans="2:11" ht="16" thickBot="1" x14ac:dyDescent="0.25">
      <c r="B209" s="91"/>
      <c r="C209" s="92"/>
      <c r="D209" s="93"/>
      <c r="E209" s="93"/>
      <c r="F209" s="93"/>
      <c r="G209" s="94"/>
      <c r="H209" s="94"/>
      <c r="I209" s="95"/>
      <c r="J209" s="95"/>
      <c r="K209" s="96"/>
    </row>
    <row r="210" spans="2:11" ht="16" thickBot="1" x14ac:dyDescent="0.25">
      <c r="B210" s="100"/>
      <c r="C210" s="101"/>
      <c r="D210" s="100"/>
      <c r="E210" s="100"/>
      <c r="F210" s="100"/>
      <c r="G210" s="102"/>
      <c r="H210" s="102"/>
      <c r="I210" s="103"/>
      <c r="J210" s="103"/>
      <c r="K210" s="102"/>
    </row>
    <row r="211" spans="2:11" x14ac:dyDescent="0.2">
      <c r="B211" s="81"/>
      <c r="C211" s="84"/>
      <c r="D211" s="85"/>
      <c r="E211" s="85"/>
      <c r="F211" s="84"/>
      <c r="G211" s="85"/>
      <c r="H211" s="85"/>
      <c r="I211" s="83"/>
      <c r="J211" s="83"/>
      <c r="K211" s="87"/>
    </row>
    <row r="212" spans="2:11" ht="16" x14ac:dyDescent="0.2">
      <c r="B212" s="81"/>
      <c r="C212" s="82" t="s">
        <v>130</v>
      </c>
      <c r="D212" s="85"/>
      <c r="E212" s="85"/>
      <c r="F212" s="84"/>
      <c r="G212" s="85"/>
      <c r="H212" s="85"/>
      <c r="I212" s="83"/>
      <c r="J212" s="83"/>
      <c r="K212" s="87"/>
    </row>
    <row r="213" spans="2:11" ht="15.75" customHeight="1" x14ac:dyDescent="0.2">
      <c r="B213" s="81"/>
      <c r="C213" s="82"/>
      <c r="D213" s="83"/>
      <c r="E213" s="83"/>
      <c r="F213" s="84"/>
      <c r="G213" s="85"/>
      <c r="H213" s="85"/>
      <c r="I213" s="86"/>
      <c r="J213" s="86"/>
      <c r="K213" s="87"/>
    </row>
    <row r="214" spans="2:11" ht="133.5" customHeight="1" x14ac:dyDescent="0.2">
      <c r="B214" s="81"/>
      <c r="C214" s="388" t="s">
        <v>144</v>
      </c>
      <c r="D214" s="388"/>
      <c r="E214" s="388"/>
      <c r="F214" s="388"/>
      <c r="G214" s="388"/>
      <c r="H214" s="88"/>
      <c r="I214" s="131" t="s">
        <v>133</v>
      </c>
      <c r="J214" s="83">
        <f>IF(I214=$B$226,0,IF(I214=$B$227,1,IF(I214=$B$228,2,IF(I214=$B$229,3,IF(I214=$B$230,4,"Not Calculated")))))</f>
        <v>0</v>
      </c>
      <c r="K214" s="87"/>
    </row>
    <row r="215" spans="2:11" ht="15.75" customHeight="1" x14ac:dyDescent="0.2">
      <c r="B215" s="81"/>
      <c r="C215" s="82"/>
      <c r="D215" s="83"/>
      <c r="E215" s="83"/>
      <c r="F215" s="84"/>
      <c r="G215" s="85"/>
      <c r="H215" s="85"/>
      <c r="I215" s="86"/>
      <c r="J215" s="86"/>
      <c r="K215" s="87"/>
    </row>
    <row r="216" spans="2:11" ht="74.25" customHeight="1" x14ac:dyDescent="0.2">
      <c r="B216" s="81"/>
      <c r="C216" s="388" t="s">
        <v>143</v>
      </c>
      <c r="D216" s="388"/>
      <c r="E216" s="388"/>
      <c r="F216" s="388"/>
      <c r="G216" s="388"/>
      <c r="H216" s="88"/>
      <c r="I216" s="131" t="s">
        <v>133</v>
      </c>
      <c r="J216" s="83">
        <f>IF(I216=$B$226,0,IF(I216=$B$227,1,IF(I216=$B$228,2,IF(I216=$B$229,3,IF(I216=$B$230,4,"Not Calculated")))))</f>
        <v>0</v>
      </c>
      <c r="K216" s="87"/>
    </row>
    <row r="217" spans="2:11" ht="15.75" customHeight="1" x14ac:dyDescent="0.2">
      <c r="B217" s="81"/>
      <c r="C217" s="82"/>
      <c r="D217" s="83"/>
      <c r="E217" s="83"/>
      <c r="F217" s="84"/>
      <c r="G217" s="85"/>
      <c r="H217" s="85"/>
      <c r="I217" s="86"/>
      <c r="J217" s="86"/>
      <c r="K217" s="87"/>
    </row>
    <row r="218" spans="2:11" ht="119.25" customHeight="1" x14ac:dyDescent="0.2">
      <c r="B218" s="81"/>
      <c r="C218" s="388" t="s">
        <v>1094</v>
      </c>
      <c r="D218" s="388"/>
      <c r="E218" s="388"/>
      <c r="F218" s="388"/>
      <c r="G218" s="388"/>
      <c r="H218" s="88"/>
      <c r="I218" s="131" t="s">
        <v>133</v>
      </c>
      <c r="J218" s="83">
        <f>IF(I218=$B$226,0,IF(I218=$B$227,1,IF(I218=$B$228,2,IF(I218=$B$229,3,IF(I218=$B$230,4,"Not Calculated")))))</f>
        <v>0</v>
      </c>
      <c r="K218" s="87"/>
    </row>
    <row r="219" spans="2:11" ht="15.75" customHeight="1" x14ac:dyDescent="0.2">
      <c r="B219" s="81"/>
      <c r="C219" s="82"/>
      <c r="D219" s="83"/>
      <c r="E219" s="83"/>
      <c r="F219" s="84"/>
      <c r="G219" s="85"/>
      <c r="H219" s="85"/>
      <c r="I219" s="86"/>
      <c r="J219" s="86"/>
      <c r="K219" s="87"/>
    </row>
    <row r="220" spans="2:11" ht="88.5" customHeight="1" x14ac:dyDescent="0.2">
      <c r="B220" s="81"/>
      <c r="C220" s="388" t="s">
        <v>142</v>
      </c>
      <c r="D220" s="388"/>
      <c r="E220" s="388"/>
      <c r="F220" s="388"/>
      <c r="G220" s="388"/>
      <c r="H220" s="88"/>
      <c r="I220" s="131" t="s">
        <v>133</v>
      </c>
      <c r="J220" s="83">
        <f>IF(I220=$B$226,0,IF(I220=$B$227,1,IF(I220=$B$228,2,IF(I220=$B$229,3,IF(I220=$B$230,4,"Not Calculated")))))</f>
        <v>0</v>
      </c>
      <c r="K220" s="87"/>
    </row>
    <row r="221" spans="2:11" ht="15.75" customHeight="1" x14ac:dyDescent="0.2">
      <c r="B221" s="81"/>
      <c r="C221" s="82"/>
      <c r="D221" s="83"/>
      <c r="E221" s="83"/>
      <c r="F221" s="84"/>
      <c r="G221" s="85"/>
      <c r="H221" s="85"/>
      <c r="I221" s="86"/>
      <c r="J221" s="86"/>
      <c r="K221" s="87"/>
    </row>
    <row r="222" spans="2:11" x14ac:dyDescent="0.2">
      <c r="B222" s="81"/>
      <c r="C222" s="89" t="s">
        <v>131</v>
      </c>
      <c r="D222" s="85"/>
      <c r="E222" s="85"/>
      <c r="F222" s="84"/>
      <c r="G222" s="85"/>
      <c r="H222" s="85"/>
      <c r="I222" s="83"/>
      <c r="J222" s="90">
        <f>IF(OR(J216="Not Calculated",J218="Not Calculated",J220="Not Calculated")=TRUE,"Not Calculated",AVERAGE(J216,J218,J220))</f>
        <v>0</v>
      </c>
      <c r="K222" s="87"/>
    </row>
    <row r="223" spans="2:11" ht="16" thickBot="1" x14ac:dyDescent="0.25">
      <c r="B223" s="91"/>
      <c r="C223" s="92"/>
      <c r="D223" s="93"/>
      <c r="E223" s="93"/>
      <c r="F223" s="93"/>
      <c r="G223" s="94"/>
      <c r="H223" s="94"/>
      <c r="I223" s="95"/>
      <c r="J223" s="95"/>
      <c r="K223" s="96"/>
    </row>
    <row r="224" spans="2:11" x14ac:dyDescent="0.2">
      <c r="B224" s="99"/>
      <c r="C224" s="51"/>
      <c r="D224" s="99"/>
      <c r="E224" s="99"/>
      <c r="F224" s="99"/>
    </row>
    <row r="225" spans="1:6" hidden="1" x14ac:dyDescent="0.2">
      <c r="A225" s="12" t="s">
        <v>132</v>
      </c>
      <c r="B225" s="99"/>
      <c r="C225" s="51"/>
      <c r="D225" s="99"/>
      <c r="E225" s="99"/>
      <c r="F225" s="99"/>
    </row>
    <row r="226" spans="1:6" hidden="1" x14ac:dyDescent="0.2">
      <c r="A226" s="12">
        <v>0</v>
      </c>
      <c r="B226" s="12" t="s">
        <v>133</v>
      </c>
    </row>
    <row r="227" spans="1:6" hidden="1" x14ac:dyDescent="0.2">
      <c r="A227" s="12">
        <v>1</v>
      </c>
      <c r="B227" s="12" t="s">
        <v>113</v>
      </c>
    </row>
    <row r="228" spans="1:6" hidden="1" x14ac:dyDescent="0.2">
      <c r="A228" s="12">
        <v>2</v>
      </c>
      <c r="B228" s="12" t="s">
        <v>104</v>
      </c>
    </row>
    <row r="229" spans="1:6" hidden="1" x14ac:dyDescent="0.2">
      <c r="A229" s="12">
        <v>3</v>
      </c>
      <c r="B229" s="12" t="s">
        <v>105</v>
      </c>
    </row>
    <row r="230" spans="1:6" hidden="1" x14ac:dyDescent="0.2">
      <c r="A230" s="12">
        <v>4</v>
      </c>
      <c r="B230" s="12" t="s">
        <v>101</v>
      </c>
    </row>
  </sheetData>
  <sheetProtection password="C7B0" sheet="1" objects="1" scenarios="1" selectLockedCells="1"/>
  <mergeCells count="65">
    <mergeCell ref="C186:G186"/>
    <mergeCell ref="C188:G188"/>
    <mergeCell ref="C190:G190"/>
    <mergeCell ref="C192:G192"/>
    <mergeCell ref="C170:G170"/>
    <mergeCell ref="C172:G172"/>
    <mergeCell ref="C174:G174"/>
    <mergeCell ref="C176:G176"/>
    <mergeCell ref="C178:G178"/>
    <mergeCell ref="C214:G214"/>
    <mergeCell ref="C216:G216"/>
    <mergeCell ref="C218:G218"/>
    <mergeCell ref="C220:G220"/>
    <mergeCell ref="C200:G200"/>
    <mergeCell ref="C202:G202"/>
    <mergeCell ref="C204:G204"/>
    <mergeCell ref="C206:G206"/>
    <mergeCell ref="C156:G156"/>
    <mergeCell ref="C158:G158"/>
    <mergeCell ref="C160:G160"/>
    <mergeCell ref="C162:G162"/>
    <mergeCell ref="C142:G142"/>
    <mergeCell ref="C144:G144"/>
    <mergeCell ref="C146:G146"/>
    <mergeCell ref="C148:G148"/>
    <mergeCell ref="C126:G126"/>
    <mergeCell ref="C128:G128"/>
    <mergeCell ref="C130:G130"/>
    <mergeCell ref="C132:G132"/>
    <mergeCell ref="C134:G134"/>
    <mergeCell ref="C94:G94"/>
    <mergeCell ref="C96:G96"/>
    <mergeCell ref="C98:G98"/>
    <mergeCell ref="C100:G100"/>
    <mergeCell ref="C124:G124"/>
    <mergeCell ref="C108:G108"/>
    <mergeCell ref="C110:G110"/>
    <mergeCell ref="C112:G112"/>
    <mergeCell ref="C114:G114"/>
    <mergeCell ref="C116:G116"/>
    <mergeCell ref="C82:G82"/>
    <mergeCell ref="C84:G84"/>
    <mergeCell ref="C86:G86"/>
    <mergeCell ref="C66:G66"/>
    <mergeCell ref="C68:G68"/>
    <mergeCell ref="C70:G70"/>
    <mergeCell ref="C72:G72"/>
    <mergeCell ref="C74:G74"/>
    <mergeCell ref="C34:G34"/>
    <mergeCell ref="C36:G36"/>
    <mergeCell ref="C38:G38"/>
    <mergeCell ref="C40:G40"/>
    <mergeCell ref="C42:G42"/>
    <mergeCell ref="C50:G50"/>
    <mergeCell ref="C52:G52"/>
    <mergeCell ref="C54:G54"/>
    <mergeCell ref="C56:G56"/>
    <mergeCell ref="C58:G58"/>
    <mergeCell ref="C22:G22"/>
    <mergeCell ref="C24:G24"/>
    <mergeCell ref="C26:G26"/>
    <mergeCell ref="C8:G8"/>
    <mergeCell ref="C10:G10"/>
    <mergeCell ref="C12:G12"/>
    <mergeCell ref="C14:G14"/>
  </mergeCells>
  <dataValidations count="1">
    <dataValidation type="list" allowBlank="1" showInputMessage="1" showErrorMessage="1" sqref="I14 I206 I178 I214 I162 I188 I174 I172 I160 I156 I144 I132 I128 I124 I112 I108 I96 I84 I72 I220 I56 I52 I40 I36 I218 I148 I116 I100 I86 I74 I42 I202 I70 I204 I176 I26 I8 I10 I12 I22 I24 I34 I38 I50 I54 I66 I68 I82 I94 I98 I110 I114 I126 I130 I142 I146 I158 I170 I134 I186 I190 I192 I216 I200 I58" xr:uid="{00000000-0002-0000-0600-000000000000}">
      <formula1>$B$226:$B$230</formula1>
    </dataValidation>
  </dataValidations>
  <pageMargins left="0.7" right="0.7" top="0.75" bottom="0.75" header="0.3" footer="0.3"/>
  <pageSetup scale="63"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62"/>
  <dimension ref="F1:N4"/>
  <sheetViews>
    <sheetView showGridLines="0" showRowColHeaders="0" zoomScale="85" zoomScaleNormal="85" workbookViewId="0"/>
  </sheetViews>
  <sheetFormatPr baseColWidth="10" defaultColWidth="9.1640625" defaultRowHeight="15" x14ac:dyDescent="0.2"/>
  <cols>
    <col min="1" max="1" width="4.1640625" style="12" customWidth="1"/>
    <col min="2" max="16384" width="9.1640625" style="12"/>
  </cols>
  <sheetData>
    <row r="1" spans="6:14" x14ac:dyDescent="0.2">
      <c r="H1" s="29"/>
      <c r="I1" s="29"/>
    </row>
    <row r="2" spans="6:14" ht="33" x14ac:dyDescent="0.2">
      <c r="G2" s="16" t="s">
        <v>1038</v>
      </c>
      <c r="H2" s="29"/>
      <c r="I2" s="29"/>
      <c r="M2" s="405"/>
      <c r="N2" s="405"/>
    </row>
    <row r="3" spans="6:14" ht="23" x14ac:dyDescent="0.2">
      <c r="F3" s="314" t="s">
        <v>1054</v>
      </c>
      <c r="G3" s="313" t="str">
        <f>IF(Hazard2!G3=0,"Hazard 2",Hazard2!G3)</f>
        <v>Hazard 2</v>
      </c>
      <c r="H3" s="29"/>
      <c r="I3" s="29"/>
      <c r="M3" s="31"/>
      <c r="N3" s="31"/>
    </row>
    <row r="4" spans="6:14" ht="33.75" customHeight="1" x14ac:dyDescent="0.2">
      <c r="M4" s="405"/>
      <c r="N4" s="405"/>
    </row>
  </sheetData>
  <sheetProtection password="C7B0" sheet="1" scenarios="1" selectLockedCells="1"/>
  <mergeCells count="2">
    <mergeCell ref="M2:N2"/>
    <mergeCell ref="M4:N4"/>
  </mergeCells>
  <pageMargins left="0.7" right="0.7" top="0.75" bottom="0.75" header="0.3" footer="0.3"/>
  <pageSetup scale="72" orientation="portrait" r:id="rId1"/>
  <rowBreaks count="1" manualBreakCount="1">
    <brk id="62" max="13" man="1"/>
  </rowBreaks>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63"/>
  <dimension ref="F1:N4"/>
  <sheetViews>
    <sheetView showGridLines="0" showRowColHeaders="0" zoomScale="85" zoomScaleNormal="85" workbookViewId="0"/>
  </sheetViews>
  <sheetFormatPr baseColWidth="10" defaultColWidth="9.1640625" defaultRowHeight="15" x14ac:dyDescent="0.2"/>
  <cols>
    <col min="1" max="1" width="4.1640625" style="12" customWidth="1"/>
    <col min="2" max="16384" width="9.1640625" style="12"/>
  </cols>
  <sheetData>
    <row r="1" spans="6:14" x14ac:dyDescent="0.2">
      <c r="H1" s="29"/>
      <c r="I1" s="29"/>
    </row>
    <row r="2" spans="6:14" ht="33" x14ac:dyDescent="0.2">
      <c r="G2" s="16" t="s">
        <v>1038</v>
      </c>
      <c r="H2" s="29"/>
      <c r="I2" s="29"/>
      <c r="M2" s="405"/>
      <c r="N2" s="405"/>
    </row>
    <row r="3" spans="6:14" ht="23" x14ac:dyDescent="0.2">
      <c r="F3" s="314" t="s">
        <v>1054</v>
      </c>
      <c r="G3" s="313" t="str">
        <f>IF(Hazard3!G3=0,"Hazard 3",Hazard3!G3)</f>
        <v>Hazard 3</v>
      </c>
      <c r="H3" s="29"/>
      <c r="I3" s="29"/>
      <c r="M3" s="31"/>
      <c r="N3" s="31"/>
    </row>
    <row r="4" spans="6:14" ht="33.75" customHeight="1" x14ac:dyDescent="0.2">
      <c r="M4" s="405"/>
      <c r="N4" s="405"/>
    </row>
  </sheetData>
  <sheetProtection password="C7B0" sheet="1" scenarios="1" selectLockedCells="1"/>
  <mergeCells count="2">
    <mergeCell ref="M2:N2"/>
    <mergeCell ref="M4:N4"/>
  </mergeCells>
  <pageMargins left="0.7" right="0.7" top="0.75" bottom="0.75" header="0.3" footer="0.3"/>
  <pageSetup scale="72" orientation="portrait" r:id="rId1"/>
  <rowBreaks count="1" manualBreakCount="1">
    <brk id="62" max="13" man="1"/>
  </rowBreaks>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64"/>
  <dimension ref="F1:N4"/>
  <sheetViews>
    <sheetView showRowColHeaders="0" zoomScale="85" zoomScaleNormal="85" workbookViewId="0"/>
  </sheetViews>
  <sheetFormatPr baseColWidth="10" defaultColWidth="9.1640625" defaultRowHeight="15" x14ac:dyDescent="0.2"/>
  <cols>
    <col min="1" max="1" width="4.1640625" style="12" customWidth="1"/>
    <col min="2" max="16384" width="9.1640625" style="12"/>
  </cols>
  <sheetData>
    <row r="1" spans="6:14" x14ac:dyDescent="0.2">
      <c r="H1" s="29"/>
      <c r="I1" s="29"/>
    </row>
    <row r="2" spans="6:14" ht="33" x14ac:dyDescent="0.2">
      <c r="G2" s="16" t="s">
        <v>1038</v>
      </c>
      <c r="H2" s="29"/>
      <c r="I2" s="29"/>
      <c r="M2" s="405"/>
      <c r="N2" s="405"/>
    </row>
    <row r="3" spans="6:14" ht="23" x14ac:dyDescent="0.2">
      <c r="F3" s="314" t="s">
        <v>1054</v>
      </c>
      <c r="G3" s="313" t="str">
        <f>IF(Hazard4!G3=0,"Hazard 4",Hazard4!G3)</f>
        <v>Hazard 4</v>
      </c>
      <c r="H3" s="29"/>
      <c r="I3" s="29"/>
      <c r="M3" s="31"/>
      <c r="N3" s="31"/>
    </row>
    <row r="4" spans="6:14" ht="33.75" customHeight="1" x14ac:dyDescent="0.2">
      <c r="M4" s="405"/>
      <c r="N4" s="405"/>
    </row>
  </sheetData>
  <sheetProtection password="C7B0" sheet="1" scenarios="1" selectLockedCells="1"/>
  <mergeCells count="2">
    <mergeCell ref="M2:N2"/>
    <mergeCell ref="M4:N4"/>
  </mergeCells>
  <pageMargins left="0.7" right="0.7" top="0.75" bottom="0.75" header="0.3" footer="0.3"/>
  <pageSetup scale="72" orientation="portrait" r:id="rId1"/>
  <rowBreaks count="1" manualBreakCount="1">
    <brk id="62" max="13" man="1"/>
  </rowBreaks>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65"/>
  <dimension ref="F1:N4"/>
  <sheetViews>
    <sheetView showGridLines="0" showRowColHeaders="0" zoomScale="85" zoomScaleNormal="85" workbookViewId="0"/>
  </sheetViews>
  <sheetFormatPr baseColWidth="10" defaultColWidth="9.1640625" defaultRowHeight="15" x14ac:dyDescent="0.2"/>
  <cols>
    <col min="1" max="1" width="4.1640625" style="12" customWidth="1"/>
    <col min="2" max="16384" width="9.1640625" style="12"/>
  </cols>
  <sheetData>
    <row r="1" spans="6:14" x14ac:dyDescent="0.2">
      <c r="H1" s="29"/>
      <c r="I1" s="29"/>
    </row>
    <row r="2" spans="6:14" ht="33" x14ac:dyDescent="0.2">
      <c r="G2" s="16" t="s">
        <v>1038</v>
      </c>
      <c r="H2" s="29"/>
      <c r="I2" s="29"/>
      <c r="M2" s="405"/>
      <c r="N2" s="405"/>
    </row>
    <row r="3" spans="6:14" ht="23" x14ac:dyDescent="0.2">
      <c r="F3" s="314" t="s">
        <v>1054</v>
      </c>
      <c r="G3" s="313" t="str">
        <f>IF(Hazard5!G3=0,"Hazard 5",Hazard5!G3)</f>
        <v>Hazard 5</v>
      </c>
      <c r="H3" s="29"/>
      <c r="I3" s="29"/>
      <c r="M3" s="31"/>
      <c r="N3" s="31"/>
    </row>
    <row r="4" spans="6:14" ht="33.75" customHeight="1" x14ac:dyDescent="0.2">
      <c r="M4" s="405"/>
      <c r="N4" s="405"/>
    </row>
  </sheetData>
  <sheetProtection password="C7B0" sheet="1" scenarios="1" selectLockedCells="1"/>
  <mergeCells count="2">
    <mergeCell ref="M2:N2"/>
    <mergeCell ref="M4:N4"/>
  </mergeCells>
  <pageMargins left="0.7" right="0.7" top="0.75" bottom="0.75" header="0.3" footer="0.3"/>
  <pageSetup scale="72" orientation="portrait" r:id="rId1"/>
  <rowBreaks count="1" manualBreakCount="1">
    <brk id="62" max="13" man="1"/>
  </rowBreaks>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66"/>
  <dimension ref="F1:N4"/>
  <sheetViews>
    <sheetView showGridLines="0" showRowColHeaders="0" zoomScale="85" zoomScaleNormal="85" workbookViewId="0"/>
  </sheetViews>
  <sheetFormatPr baseColWidth="10" defaultColWidth="9.1640625" defaultRowHeight="15" x14ac:dyDescent="0.2"/>
  <cols>
    <col min="1" max="1" width="4.1640625" style="12" customWidth="1"/>
    <col min="2" max="16384" width="9.1640625" style="12"/>
  </cols>
  <sheetData>
    <row r="1" spans="6:14" x14ac:dyDescent="0.2">
      <c r="H1" s="29"/>
      <c r="I1" s="29"/>
    </row>
    <row r="2" spans="6:14" ht="33" x14ac:dyDescent="0.2">
      <c r="G2" s="16" t="s">
        <v>1038</v>
      </c>
      <c r="H2" s="29"/>
      <c r="I2" s="29"/>
      <c r="M2" s="405"/>
      <c r="N2" s="405"/>
    </row>
    <row r="3" spans="6:14" ht="23" x14ac:dyDescent="0.2">
      <c r="F3" s="314" t="s">
        <v>1054</v>
      </c>
      <c r="G3" s="313" t="str">
        <f>IF(Hazard6!G3=0,"Hazard 6",Hazard6!G3)</f>
        <v>Hazard 6</v>
      </c>
      <c r="H3" s="29"/>
      <c r="I3" s="29"/>
      <c r="M3" s="31"/>
      <c r="N3" s="31"/>
    </row>
    <row r="4" spans="6:14" ht="33.75" customHeight="1" x14ac:dyDescent="0.2">
      <c r="M4" s="405"/>
      <c r="N4" s="405"/>
    </row>
  </sheetData>
  <sheetProtection password="C7B0" sheet="1" scenarios="1" selectLockedCells="1"/>
  <mergeCells count="2">
    <mergeCell ref="M2:N2"/>
    <mergeCell ref="M4:N4"/>
  </mergeCells>
  <pageMargins left="0.7" right="0.7" top="0.75" bottom="0.75" header="0.3" footer="0.3"/>
  <pageSetup scale="72" orientation="portrait" r:id="rId1"/>
  <rowBreaks count="1" manualBreakCount="1">
    <brk id="62" max="13" man="1"/>
  </rowBreaks>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7"/>
  <dimension ref="F1:N4"/>
  <sheetViews>
    <sheetView showGridLines="0" showRowColHeaders="0" zoomScale="85" zoomScaleNormal="85" workbookViewId="0"/>
  </sheetViews>
  <sheetFormatPr baseColWidth="10" defaultColWidth="9.1640625" defaultRowHeight="15" x14ac:dyDescent="0.2"/>
  <cols>
    <col min="1" max="1" width="4.1640625" style="12" customWidth="1"/>
    <col min="2" max="16384" width="9.1640625" style="12"/>
  </cols>
  <sheetData>
    <row r="1" spans="6:14" x14ac:dyDescent="0.2">
      <c r="H1" s="29"/>
      <c r="I1" s="29"/>
    </row>
    <row r="2" spans="6:14" ht="33" x14ac:dyDescent="0.2">
      <c r="G2" s="16" t="s">
        <v>1038</v>
      </c>
      <c r="H2" s="29"/>
      <c r="I2" s="29"/>
      <c r="M2" s="405"/>
      <c r="N2" s="405"/>
    </row>
    <row r="3" spans="6:14" ht="23" x14ac:dyDescent="0.2">
      <c r="F3" s="314" t="s">
        <v>1054</v>
      </c>
      <c r="G3" s="313" t="str">
        <f>IF(Hazard7!G3=0,"Hazard 7",Hazard7!G3)</f>
        <v>Hazard 7</v>
      </c>
      <c r="H3" s="29"/>
      <c r="I3" s="29"/>
      <c r="M3" s="31"/>
      <c r="N3" s="31"/>
    </row>
    <row r="4" spans="6:14" ht="33.75" customHeight="1" x14ac:dyDescent="0.2">
      <c r="M4" s="405"/>
      <c r="N4" s="405"/>
    </row>
  </sheetData>
  <sheetProtection password="C7B0" sheet="1" scenarios="1" selectLockedCells="1"/>
  <mergeCells count="2">
    <mergeCell ref="M2:N2"/>
    <mergeCell ref="M4:N4"/>
  </mergeCells>
  <pageMargins left="0.7" right="0.7" top="0.75" bottom="0.75" header="0.3" footer="0.3"/>
  <pageSetup scale="72" orientation="portrait" r:id="rId1"/>
  <rowBreaks count="1" manualBreakCount="1">
    <brk id="62" max="13" man="1"/>
  </rowBreaks>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8"/>
  <dimension ref="F1:N4"/>
  <sheetViews>
    <sheetView showGridLines="0" showRowColHeaders="0" zoomScale="85" zoomScaleNormal="85" workbookViewId="0"/>
  </sheetViews>
  <sheetFormatPr baseColWidth="10" defaultColWidth="9.1640625" defaultRowHeight="15" x14ac:dyDescent="0.2"/>
  <cols>
    <col min="1" max="1" width="4.1640625" style="12" customWidth="1"/>
    <col min="2" max="16384" width="9.1640625" style="12"/>
  </cols>
  <sheetData>
    <row r="1" spans="6:14" x14ac:dyDescent="0.2">
      <c r="H1" s="29"/>
      <c r="I1" s="29"/>
    </row>
    <row r="2" spans="6:14" ht="33" x14ac:dyDescent="0.2">
      <c r="G2" s="16" t="s">
        <v>1038</v>
      </c>
      <c r="H2" s="29"/>
      <c r="I2" s="29"/>
      <c r="M2" s="405"/>
      <c r="N2" s="405"/>
    </row>
    <row r="3" spans="6:14" ht="23" x14ac:dyDescent="0.2">
      <c r="F3" s="314" t="s">
        <v>1054</v>
      </c>
      <c r="G3" s="313" t="str">
        <f>IF(Hazard8!G3=0,"Hazard 8",Hazard8!G3)</f>
        <v>Hazard 8</v>
      </c>
      <c r="H3" s="29"/>
      <c r="I3" s="29"/>
      <c r="M3" s="31"/>
      <c r="N3" s="31"/>
    </row>
    <row r="4" spans="6:14" ht="33.75" customHeight="1" x14ac:dyDescent="0.2">
      <c r="M4" s="405"/>
      <c r="N4" s="405"/>
    </row>
  </sheetData>
  <sheetProtection password="C7B0" sheet="1" scenarios="1" selectLockedCells="1"/>
  <mergeCells count="2">
    <mergeCell ref="M2:N2"/>
    <mergeCell ref="M4:N4"/>
  </mergeCells>
  <pageMargins left="0.7" right="0.7" top="0.75" bottom="0.75" header="0.3" footer="0.3"/>
  <pageSetup scale="72" orientation="portrait" r:id="rId1"/>
  <rowBreaks count="1" manualBreakCount="1">
    <brk id="62" max="13" man="1"/>
  </rowBreaks>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9"/>
  <dimension ref="F1:N4"/>
  <sheetViews>
    <sheetView showGridLines="0" showRowColHeaders="0" zoomScale="85" zoomScaleNormal="85" workbookViewId="0"/>
  </sheetViews>
  <sheetFormatPr baseColWidth="10" defaultColWidth="9.1640625" defaultRowHeight="15" x14ac:dyDescent="0.2"/>
  <cols>
    <col min="1" max="1" width="4.1640625" style="12" customWidth="1"/>
    <col min="2" max="16384" width="9.1640625" style="12"/>
  </cols>
  <sheetData>
    <row r="1" spans="6:14" x14ac:dyDescent="0.2">
      <c r="H1" s="29"/>
      <c r="I1" s="29"/>
    </row>
    <row r="2" spans="6:14" ht="33" x14ac:dyDescent="0.2">
      <c r="G2" s="16" t="s">
        <v>1038</v>
      </c>
      <c r="H2" s="29"/>
      <c r="I2" s="29"/>
      <c r="M2" s="405"/>
      <c r="N2" s="405"/>
    </row>
    <row r="3" spans="6:14" ht="23" x14ac:dyDescent="0.2">
      <c r="F3" s="314" t="s">
        <v>1054</v>
      </c>
      <c r="G3" s="313" t="str">
        <f>IF(Hazard9!G3=0,"Hazard 9",Hazard9!G3)</f>
        <v>Hazard 9</v>
      </c>
      <c r="H3" s="29"/>
      <c r="I3" s="29"/>
      <c r="M3" s="31"/>
      <c r="N3" s="31"/>
    </row>
    <row r="4" spans="6:14" ht="33.75" customHeight="1" x14ac:dyDescent="0.2">
      <c r="M4" s="405"/>
      <c r="N4" s="405"/>
    </row>
  </sheetData>
  <sheetProtection password="C7B0" sheet="1" scenarios="1" selectLockedCells="1"/>
  <mergeCells count="2">
    <mergeCell ref="M2:N2"/>
    <mergeCell ref="M4:N4"/>
  </mergeCells>
  <pageMargins left="0.7" right="0.7" top="0.75" bottom="0.75" header="0.3" footer="0.3"/>
  <pageSetup scale="72" orientation="portrait" r:id="rId1"/>
  <rowBreaks count="1" manualBreakCount="1">
    <brk id="62" max="13" man="1"/>
  </rowBreaks>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80"/>
  <dimension ref="F1:N4"/>
  <sheetViews>
    <sheetView showGridLines="0" showRowColHeaders="0" zoomScale="85" zoomScaleNormal="85" workbookViewId="0"/>
  </sheetViews>
  <sheetFormatPr baseColWidth="10" defaultColWidth="9.1640625" defaultRowHeight="15" x14ac:dyDescent="0.2"/>
  <cols>
    <col min="1" max="1" width="4.1640625" style="12" customWidth="1"/>
    <col min="2" max="16384" width="9.1640625" style="12"/>
  </cols>
  <sheetData>
    <row r="1" spans="6:14" x14ac:dyDescent="0.2">
      <c r="H1" s="29"/>
      <c r="I1" s="29"/>
    </row>
    <row r="2" spans="6:14" ht="33" x14ac:dyDescent="0.2">
      <c r="G2" s="16" t="s">
        <v>1038</v>
      </c>
      <c r="H2" s="29"/>
      <c r="I2" s="29"/>
      <c r="M2" s="405"/>
      <c r="N2" s="405"/>
    </row>
    <row r="3" spans="6:14" ht="23" x14ac:dyDescent="0.2">
      <c r="F3" s="314" t="s">
        <v>1054</v>
      </c>
      <c r="G3" s="313" t="str">
        <f>IF(Hazard10!G3=0,"Hazard 10",Hazard10!G3)</f>
        <v>Hazard 10</v>
      </c>
      <c r="H3" s="29"/>
      <c r="I3" s="29"/>
      <c r="M3" s="31"/>
      <c r="N3" s="31"/>
    </row>
    <row r="4" spans="6:14" ht="33.75" customHeight="1" x14ac:dyDescent="0.2">
      <c r="M4" s="405"/>
      <c r="N4" s="405"/>
    </row>
  </sheetData>
  <sheetProtection password="C7B0" sheet="1" scenarios="1" selectLockedCells="1"/>
  <mergeCells count="2">
    <mergeCell ref="M2:N2"/>
    <mergeCell ref="M4:N4"/>
  </mergeCells>
  <pageMargins left="0.7" right="0.7" top="0.75" bottom="0.75" header="0.3" footer="0.3"/>
  <pageSetup scale="72" orientation="portrait" r:id="rId1"/>
  <rowBreaks count="1" manualBreakCount="1">
    <brk id="62" max="1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5"/>
  <dimension ref="A2:O116"/>
  <sheetViews>
    <sheetView showGridLines="0" showRowColHeaders="0" zoomScaleNormal="100" workbookViewId="0">
      <selection activeCell="I8" sqref="I8"/>
    </sheetView>
  </sheetViews>
  <sheetFormatPr baseColWidth="10" defaultColWidth="9.1640625" defaultRowHeight="15" x14ac:dyDescent="0.2"/>
  <cols>
    <col min="1" max="2" width="9.1640625" style="12"/>
    <col min="3" max="3" width="14.5" style="12" customWidth="1"/>
    <col min="4" max="6" width="9.1640625" style="12"/>
    <col min="7" max="7" width="9.1640625" style="12" customWidth="1"/>
    <col min="8" max="8" width="2.5" style="12" customWidth="1"/>
    <col min="9" max="9" width="27.33203125" style="98" customWidth="1"/>
    <col min="10" max="10" width="15.1640625" style="98" customWidth="1"/>
    <col min="11" max="16384" width="9.1640625" style="12"/>
  </cols>
  <sheetData>
    <row r="2" spans="2:15" ht="33" x14ac:dyDescent="0.2">
      <c r="G2" s="16" t="s">
        <v>1038</v>
      </c>
      <c r="H2" s="16"/>
      <c r="J2" s="12"/>
      <c r="K2" s="98"/>
    </row>
    <row r="3" spans="2:15" ht="23" x14ac:dyDescent="0.25">
      <c r="G3" s="30" t="s">
        <v>772</v>
      </c>
      <c r="H3" s="30"/>
      <c r="J3" s="12"/>
      <c r="K3" s="98"/>
      <c r="N3" s="31"/>
      <c r="O3" s="31"/>
    </row>
    <row r="4" spans="2:15" ht="16" thickBot="1" x14ac:dyDescent="0.25">
      <c r="J4" s="12"/>
      <c r="K4" s="98"/>
    </row>
    <row r="5" spans="2:15" x14ac:dyDescent="0.2">
      <c r="B5" s="77"/>
      <c r="C5" s="78"/>
      <c r="D5" s="78"/>
      <c r="E5" s="78"/>
      <c r="F5" s="78"/>
      <c r="G5" s="78"/>
      <c r="H5" s="78"/>
      <c r="I5" s="79"/>
      <c r="J5" s="79"/>
      <c r="K5" s="80"/>
    </row>
    <row r="6" spans="2:15" ht="16" x14ac:dyDescent="0.2">
      <c r="B6" s="81"/>
      <c r="C6" s="82" t="s">
        <v>773</v>
      </c>
      <c r="D6" s="83"/>
      <c r="E6" s="83"/>
      <c r="F6" s="84"/>
      <c r="G6" s="85"/>
      <c r="H6" s="85"/>
      <c r="I6" s="86" t="s">
        <v>134</v>
      </c>
      <c r="J6" s="86" t="s">
        <v>135</v>
      </c>
      <c r="K6" s="87"/>
    </row>
    <row r="7" spans="2:15" ht="16" x14ac:dyDescent="0.2">
      <c r="B7" s="81"/>
      <c r="C7" s="82"/>
      <c r="D7" s="83"/>
      <c r="E7" s="83"/>
      <c r="F7" s="84"/>
      <c r="G7" s="85"/>
      <c r="H7" s="85"/>
      <c r="I7" s="86"/>
      <c r="J7" s="86"/>
      <c r="K7" s="87"/>
    </row>
    <row r="8" spans="2:15" ht="271.5" customHeight="1" x14ac:dyDescent="0.2">
      <c r="B8" s="81"/>
      <c r="C8" s="388" t="s">
        <v>777</v>
      </c>
      <c r="D8" s="389"/>
      <c r="E8" s="389"/>
      <c r="F8" s="389"/>
      <c r="G8" s="389"/>
      <c r="H8" s="88"/>
      <c r="I8" s="131" t="s">
        <v>133</v>
      </c>
      <c r="J8" s="83">
        <f>IF(I8=$B$112,0,IF(I8=$B$113,1,IF(I8=$B$114,2,IF(I8=$B$115,3,IF(I8=$B$116,4,"Not Calculated")))))</f>
        <v>0</v>
      </c>
      <c r="K8" s="87"/>
    </row>
    <row r="9" spans="2:15" ht="15.75" customHeight="1" x14ac:dyDescent="0.2">
      <c r="B9" s="81"/>
      <c r="C9" s="82"/>
      <c r="D9" s="83"/>
      <c r="E9" s="83"/>
      <c r="F9" s="84"/>
      <c r="G9" s="85"/>
      <c r="H9" s="85"/>
      <c r="I9" s="86"/>
      <c r="J9" s="86"/>
      <c r="K9" s="87"/>
    </row>
    <row r="10" spans="2:15" ht="135.75" customHeight="1" x14ac:dyDescent="0.2">
      <c r="B10" s="81"/>
      <c r="C10" s="388" t="s">
        <v>778</v>
      </c>
      <c r="D10" s="388"/>
      <c r="E10" s="388"/>
      <c r="F10" s="388"/>
      <c r="G10" s="388"/>
      <c r="H10" s="88"/>
      <c r="I10" s="131" t="s">
        <v>133</v>
      </c>
      <c r="J10" s="83">
        <f>IF(I10=$B$112,0,IF(I10=$B$113,1,IF(I10=$B$114,2,IF(I10=$B$115,3,IF(I10=$B$116,4,"Not Calculated")))))</f>
        <v>0</v>
      </c>
      <c r="K10" s="87"/>
    </row>
    <row r="11" spans="2:15" ht="15.75" customHeight="1" x14ac:dyDescent="0.2">
      <c r="B11" s="81"/>
      <c r="C11" s="82"/>
      <c r="D11" s="83"/>
      <c r="E11" s="83"/>
      <c r="F11" s="84"/>
      <c r="G11" s="85"/>
      <c r="H11" s="85"/>
      <c r="I11" s="86"/>
      <c r="J11" s="86"/>
      <c r="K11" s="87"/>
    </row>
    <row r="12" spans="2:15" ht="105.75" customHeight="1" x14ac:dyDescent="0.2">
      <c r="B12" s="81"/>
      <c r="C12" s="388" t="s">
        <v>779</v>
      </c>
      <c r="D12" s="388"/>
      <c r="E12" s="388"/>
      <c r="F12" s="388"/>
      <c r="G12" s="388"/>
      <c r="H12" s="88"/>
      <c r="I12" s="131" t="s">
        <v>133</v>
      </c>
      <c r="J12" s="83">
        <f>IF(I12=$B$112,0,IF(I12=$B$113,1,IF(I12=$B$114,2,IF(I12=$B$115,3,IF(I12=$B$116,4,"Not Calculated")))))</f>
        <v>0</v>
      </c>
      <c r="K12" s="87"/>
    </row>
    <row r="13" spans="2:15" ht="15.75" customHeight="1" x14ac:dyDescent="0.2">
      <c r="B13" s="81"/>
      <c r="C13" s="82"/>
      <c r="D13" s="83"/>
      <c r="E13" s="83"/>
      <c r="F13" s="84"/>
      <c r="G13" s="85"/>
      <c r="H13" s="85"/>
      <c r="I13" s="86"/>
      <c r="J13" s="86"/>
      <c r="K13" s="87"/>
    </row>
    <row r="14" spans="2:15" ht="150" customHeight="1" x14ac:dyDescent="0.2">
      <c r="B14" s="81"/>
      <c r="C14" s="388" t="s">
        <v>780</v>
      </c>
      <c r="D14" s="389"/>
      <c r="E14" s="389"/>
      <c r="F14" s="389"/>
      <c r="G14" s="389"/>
      <c r="H14" s="88"/>
      <c r="I14" s="131" t="s">
        <v>133</v>
      </c>
      <c r="J14" s="83">
        <f>IF(I14=$B$112,0,IF(I14=$B$113,1,IF(I14=$B$114,2,IF(I14=$B$115,3,IF(I14=$B$116,4,"Not Calculated")))))</f>
        <v>0</v>
      </c>
      <c r="K14" s="87"/>
    </row>
    <row r="15" spans="2:15" ht="15.75" customHeight="1" x14ac:dyDescent="0.2">
      <c r="B15" s="81"/>
      <c r="C15" s="82"/>
      <c r="D15" s="83"/>
      <c r="E15" s="83"/>
      <c r="F15" s="84"/>
      <c r="G15" s="85"/>
      <c r="H15" s="85"/>
      <c r="I15" s="86"/>
      <c r="J15" s="86"/>
      <c r="K15" s="87"/>
    </row>
    <row r="16" spans="2:15" ht="154.5" customHeight="1" x14ac:dyDescent="0.2">
      <c r="B16" s="81"/>
      <c r="C16" s="388" t="s">
        <v>781</v>
      </c>
      <c r="D16" s="388"/>
      <c r="E16" s="388"/>
      <c r="F16" s="388"/>
      <c r="G16" s="388"/>
      <c r="H16" s="88"/>
      <c r="I16" s="131" t="s">
        <v>133</v>
      </c>
      <c r="J16" s="83">
        <f>IF(I16=$B$112,0,IF(I16=$B$113,1,IF(I16=$B$114,2,IF(I16=$B$115,3,IF(I16=$B$116,4,"Not Calculated")))))</f>
        <v>0</v>
      </c>
      <c r="K16" s="87"/>
    </row>
    <row r="17" spans="2:11" ht="15.75" customHeight="1" x14ac:dyDescent="0.2">
      <c r="B17" s="81"/>
      <c r="C17" s="82"/>
      <c r="D17" s="83"/>
      <c r="E17" s="83"/>
      <c r="F17" s="84"/>
      <c r="G17" s="85"/>
      <c r="H17" s="85"/>
      <c r="I17" s="86"/>
      <c r="J17" s="86"/>
      <c r="K17" s="87"/>
    </row>
    <row r="18" spans="2:11" ht="282" customHeight="1" x14ac:dyDescent="0.2">
      <c r="B18" s="81"/>
      <c r="C18" s="388" t="s">
        <v>782</v>
      </c>
      <c r="D18" s="389"/>
      <c r="E18" s="389"/>
      <c r="F18" s="389"/>
      <c r="G18" s="389"/>
      <c r="H18" s="88"/>
      <c r="I18" s="131" t="s">
        <v>133</v>
      </c>
      <c r="J18" s="83">
        <f>IF(I18=$B$112,0,IF(I18=$B$113,1,IF(I18=$B$114,2,IF(I18=$B$115,3,IF(I18=$B$116,4,"Not Calculated")))))</f>
        <v>0</v>
      </c>
      <c r="K18" s="87"/>
    </row>
    <row r="19" spans="2:11" ht="15.75" customHeight="1" x14ac:dyDescent="0.2">
      <c r="B19" s="81"/>
      <c r="C19" s="82"/>
      <c r="D19" s="83"/>
      <c r="E19" s="83"/>
      <c r="F19" s="84"/>
      <c r="G19" s="85"/>
      <c r="H19" s="85"/>
      <c r="I19" s="86"/>
      <c r="J19" s="86"/>
      <c r="K19" s="87"/>
    </row>
    <row r="20" spans="2:11" ht="195.75" customHeight="1" x14ac:dyDescent="0.2">
      <c r="B20" s="81"/>
      <c r="C20" s="388" t="s">
        <v>783</v>
      </c>
      <c r="D20" s="389"/>
      <c r="E20" s="389"/>
      <c r="F20" s="389"/>
      <c r="G20" s="389"/>
      <c r="H20" s="88"/>
      <c r="I20" s="131" t="s">
        <v>133</v>
      </c>
      <c r="J20" s="83">
        <f>IF(I20=$B$112,0,IF(I20=$B$113,1,IF(I20=$B$114,2,IF(I20=$B$115,3,IF(I20=$B$116,4,"Not Calculated")))))</f>
        <v>0</v>
      </c>
      <c r="K20" s="87"/>
    </row>
    <row r="21" spans="2:11" ht="15.75" customHeight="1" x14ac:dyDescent="0.2">
      <c r="B21" s="81"/>
      <c r="C21" s="82"/>
      <c r="D21" s="83"/>
      <c r="E21" s="83"/>
      <c r="F21" s="84"/>
      <c r="G21" s="85"/>
      <c r="H21" s="85"/>
      <c r="I21" s="86"/>
      <c r="J21" s="86"/>
      <c r="K21" s="87"/>
    </row>
    <row r="22" spans="2:11" x14ac:dyDescent="0.2">
      <c r="B22" s="81"/>
      <c r="C22" s="89" t="s">
        <v>775</v>
      </c>
      <c r="D22" s="85"/>
      <c r="E22" s="85"/>
      <c r="F22" s="84"/>
      <c r="G22" s="85"/>
      <c r="H22" s="85"/>
      <c r="I22" s="83"/>
      <c r="J22" s="90">
        <f>IF(OR(J8="Not Calculated",J10="Not Calculated",J12="Not Calculated",J14="Not Calculated",J16="Not Calculated",J18="Not Calculated",J20="Not Calculated")=TRUE,"Not Calculated",AVERAGE(J8,J10,J12,J14,J16,J18,J20))</f>
        <v>0</v>
      </c>
      <c r="K22" s="87"/>
    </row>
    <row r="23" spans="2:11" ht="16" thickBot="1" x14ac:dyDescent="0.25">
      <c r="B23" s="91"/>
      <c r="C23" s="92"/>
      <c r="D23" s="93"/>
      <c r="E23" s="93"/>
      <c r="F23" s="93"/>
      <c r="G23" s="94"/>
      <c r="H23" s="94"/>
      <c r="I23" s="95"/>
      <c r="J23" s="95"/>
      <c r="K23" s="96"/>
    </row>
    <row r="24" spans="2:11" ht="16" thickBot="1" x14ac:dyDescent="0.25">
      <c r="B24" s="100"/>
      <c r="C24" s="101"/>
      <c r="D24" s="100"/>
      <c r="E24" s="100"/>
      <c r="F24" s="100"/>
      <c r="G24" s="102"/>
      <c r="H24" s="102"/>
      <c r="I24" s="103"/>
      <c r="J24" s="103"/>
      <c r="K24" s="102"/>
    </row>
    <row r="25" spans="2:11" x14ac:dyDescent="0.2">
      <c r="B25" s="97"/>
      <c r="C25" s="84"/>
      <c r="D25" s="85"/>
      <c r="E25" s="85"/>
      <c r="F25" s="84"/>
      <c r="G25" s="85"/>
      <c r="H25" s="85"/>
      <c r="I25" s="83"/>
      <c r="J25" s="83"/>
      <c r="K25" s="87"/>
    </row>
    <row r="26" spans="2:11" ht="16" x14ac:dyDescent="0.2">
      <c r="B26" s="81"/>
      <c r="C26" s="82" t="s">
        <v>774</v>
      </c>
      <c r="D26" s="85"/>
      <c r="E26" s="85"/>
      <c r="F26" s="84"/>
      <c r="G26" s="85"/>
      <c r="H26" s="85"/>
      <c r="I26" s="83"/>
      <c r="J26" s="83"/>
      <c r="K26" s="87"/>
    </row>
    <row r="27" spans="2:11" ht="15.75" customHeight="1" x14ac:dyDescent="0.2">
      <c r="B27" s="81"/>
      <c r="C27" s="82"/>
      <c r="D27" s="83"/>
      <c r="E27" s="83"/>
      <c r="F27" s="84"/>
      <c r="G27" s="85"/>
      <c r="H27" s="85"/>
      <c r="I27" s="86"/>
      <c r="J27" s="86"/>
      <c r="K27" s="87"/>
    </row>
    <row r="28" spans="2:11" ht="75" customHeight="1" x14ac:dyDescent="0.2">
      <c r="B28" s="81"/>
      <c r="C28" s="388" t="s">
        <v>784</v>
      </c>
      <c r="D28" s="389"/>
      <c r="E28" s="389"/>
      <c r="F28" s="389"/>
      <c r="G28" s="389"/>
      <c r="H28" s="88"/>
      <c r="I28" s="131" t="s">
        <v>133</v>
      </c>
      <c r="J28" s="83">
        <f>IF(I28=$B$112,0,IF(I28=$B$113,1,IF(I28=$B$114,2,IF(I28=$B$115,3,IF(I28=$B$116,4,"Not Calculated")))))</f>
        <v>0</v>
      </c>
      <c r="K28" s="87"/>
    </row>
    <row r="29" spans="2:11" ht="15.75" customHeight="1" x14ac:dyDescent="0.2">
      <c r="B29" s="81"/>
      <c r="C29" s="82"/>
      <c r="D29" s="83"/>
      <c r="E29" s="83"/>
      <c r="F29" s="84"/>
      <c r="G29" s="85"/>
      <c r="H29" s="85"/>
      <c r="I29" s="86"/>
      <c r="J29" s="86"/>
      <c r="K29" s="87"/>
    </row>
    <row r="30" spans="2:11" ht="177.75" customHeight="1" x14ac:dyDescent="0.2">
      <c r="B30" s="81"/>
      <c r="C30" s="388" t="s">
        <v>785</v>
      </c>
      <c r="D30" s="388"/>
      <c r="E30" s="388"/>
      <c r="F30" s="388"/>
      <c r="G30" s="388"/>
      <c r="H30" s="88"/>
      <c r="I30" s="131" t="s">
        <v>133</v>
      </c>
      <c r="J30" s="83">
        <f>IF(I30=$B$112,0,IF(I30=$B$113,1,IF(I30=$B$114,2,IF(I30=$B$115,3,IF(I30=$B$116,4,"Not Calculated")))))</f>
        <v>0</v>
      </c>
      <c r="K30" s="87"/>
    </row>
    <row r="31" spans="2:11" ht="15.75" customHeight="1" x14ac:dyDescent="0.2">
      <c r="B31" s="81"/>
      <c r="C31" s="82"/>
      <c r="D31" s="83"/>
      <c r="E31" s="83"/>
      <c r="F31" s="84"/>
      <c r="G31" s="85"/>
      <c r="H31" s="85"/>
      <c r="I31" s="86"/>
      <c r="J31" s="86"/>
      <c r="K31" s="87"/>
    </row>
    <row r="32" spans="2:11" x14ac:dyDescent="0.2">
      <c r="B32" s="81"/>
      <c r="C32" s="89" t="s">
        <v>776</v>
      </c>
      <c r="D32" s="85"/>
      <c r="E32" s="85"/>
      <c r="F32" s="84"/>
      <c r="G32" s="85"/>
      <c r="H32" s="85"/>
      <c r="I32" s="83"/>
      <c r="J32" s="90">
        <f>IF(OR(J28="Not Calculated",J30="Not Calculated")=TRUE,"Not Calculated",AVERAGE(J28,J30))</f>
        <v>0</v>
      </c>
      <c r="K32" s="87"/>
    </row>
    <row r="33" spans="2:11" ht="16" thickBot="1" x14ac:dyDescent="0.25">
      <c r="B33" s="91"/>
      <c r="C33" s="92"/>
      <c r="D33" s="93"/>
      <c r="E33" s="93"/>
      <c r="F33" s="93"/>
      <c r="G33" s="94"/>
      <c r="H33" s="94"/>
      <c r="I33" s="95"/>
      <c r="J33" s="95"/>
      <c r="K33" s="96"/>
    </row>
    <row r="34" spans="2:11" ht="16" thickBot="1" x14ac:dyDescent="0.25">
      <c r="B34" s="100"/>
      <c r="C34" s="101"/>
      <c r="D34" s="100"/>
      <c r="E34" s="100"/>
      <c r="F34" s="100"/>
      <c r="G34" s="102"/>
      <c r="H34" s="102"/>
      <c r="I34" s="103"/>
      <c r="J34" s="103"/>
      <c r="K34" s="102"/>
    </row>
    <row r="35" spans="2:11" ht="15.75" customHeight="1" x14ac:dyDescent="0.2">
      <c r="B35" s="81"/>
      <c r="C35" s="84"/>
      <c r="D35" s="85"/>
      <c r="E35" s="85"/>
      <c r="F35" s="84"/>
      <c r="G35" s="85"/>
      <c r="H35" s="85"/>
      <c r="I35" s="83"/>
      <c r="J35" s="83"/>
      <c r="K35" s="87"/>
    </row>
    <row r="36" spans="2:11" ht="16" x14ac:dyDescent="0.2">
      <c r="B36" s="81"/>
      <c r="C36" s="82" t="s">
        <v>107</v>
      </c>
      <c r="D36" s="85"/>
      <c r="E36" s="85"/>
      <c r="F36" s="84"/>
      <c r="G36" s="85"/>
      <c r="H36" s="85"/>
      <c r="I36" s="83"/>
      <c r="J36" s="83"/>
      <c r="K36" s="87"/>
    </row>
    <row r="37" spans="2:11" ht="15.75" customHeight="1" x14ac:dyDescent="0.2">
      <c r="B37" s="81"/>
      <c r="C37" s="82"/>
      <c r="D37" s="83"/>
      <c r="E37" s="83"/>
      <c r="F37" s="84"/>
      <c r="G37" s="85"/>
      <c r="H37" s="85"/>
      <c r="I37" s="86"/>
      <c r="J37" s="86"/>
      <c r="K37" s="87"/>
    </row>
    <row r="38" spans="2:11" ht="63" customHeight="1" x14ac:dyDescent="0.2">
      <c r="B38" s="81"/>
      <c r="C38" s="388" t="s">
        <v>786</v>
      </c>
      <c r="D38" s="388"/>
      <c r="E38" s="388"/>
      <c r="F38" s="388"/>
      <c r="G38" s="388"/>
      <c r="H38" s="88"/>
      <c r="I38" s="131" t="s">
        <v>133</v>
      </c>
      <c r="J38" s="83">
        <f>IF(I38=$B$112,0,IF(I38=$B$113,1,IF(I38=$B$114,2,IF(I38=$B$115,3,IF(I38=$B$116,4,"Not Calculated")))))</f>
        <v>0</v>
      </c>
      <c r="K38" s="87"/>
    </row>
    <row r="39" spans="2:11" ht="15.75" customHeight="1" x14ac:dyDescent="0.2">
      <c r="B39" s="81"/>
      <c r="C39" s="82"/>
      <c r="D39" s="83"/>
      <c r="E39" s="83"/>
      <c r="F39" s="84"/>
      <c r="G39" s="85"/>
      <c r="H39" s="85"/>
      <c r="I39" s="86"/>
      <c r="J39" s="86"/>
      <c r="K39" s="87"/>
    </row>
    <row r="40" spans="2:11" ht="136.5" customHeight="1" x14ac:dyDescent="0.2">
      <c r="B40" s="81"/>
      <c r="C40" s="388" t="s">
        <v>787</v>
      </c>
      <c r="D40" s="388"/>
      <c r="E40" s="388"/>
      <c r="F40" s="388"/>
      <c r="G40" s="388"/>
      <c r="H40" s="88"/>
      <c r="I40" s="131" t="s">
        <v>133</v>
      </c>
      <c r="J40" s="83">
        <f>IF(I40=$B$112,0,IF(I40=$B$113,1,IF(I40=$B$114,2,IF(I40=$B$115,3,IF(I40=$B$116,4,"Not Calculated")))))</f>
        <v>0</v>
      </c>
      <c r="K40" s="87"/>
    </row>
    <row r="41" spans="2:11" ht="15.75" customHeight="1" x14ac:dyDescent="0.2">
      <c r="B41" s="81"/>
      <c r="C41" s="82"/>
      <c r="D41" s="83"/>
      <c r="E41" s="83"/>
      <c r="F41" s="84"/>
      <c r="G41" s="85"/>
      <c r="H41" s="85"/>
      <c r="I41" s="86"/>
      <c r="J41" s="86"/>
      <c r="K41" s="87"/>
    </row>
    <row r="42" spans="2:11" ht="105.75" customHeight="1" x14ac:dyDescent="0.2">
      <c r="B42" s="81"/>
      <c r="C42" s="388" t="s">
        <v>788</v>
      </c>
      <c r="D42" s="388"/>
      <c r="E42" s="388"/>
      <c r="F42" s="388"/>
      <c r="G42" s="388"/>
      <c r="H42" s="88"/>
      <c r="I42" s="131" t="s">
        <v>133</v>
      </c>
      <c r="J42" s="83">
        <f>IF(I42=$B$112,0,IF(I42=$B$113,1,IF(I42=$B$114,2,IF(I42=$B$115,3,IF(I42=$B$116,4,"Not Calculated")))))</f>
        <v>0</v>
      </c>
      <c r="K42" s="87"/>
    </row>
    <row r="43" spans="2:11" ht="15.75" customHeight="1" x14ac:dyDescent="0.2">
      <c r="B43" s="81"/>
      <c r="C43" s="82"/>
      <c r="D43" s="83"/>
      <c r="E43" s="83"/>
      <c r="F43" s="84"/>
      <c r="G43" s="85"/>
      <c r="H43" s="85"/>
      <c r="I43" s="86"/>
      <c r="J43" s="86"/>
      <c r="K43" s="87"/>
    </row>
    <row r="44" spans="2:11" ht="150" customHeight="1" x14ac:dyDescent="0.2">
      <c r="B44" s="81"/>
      <c r="C44" s="388" t="s">
        <v>789</v>
      </c>
      <c r="D44" s="389"/>
      <c r="E44" s="389"/>
      <c r="F44" s="389"/>
      <c r="G44" s="389"/>
      <c r="H44" s="88"/>
      <c r="I44" s="131" t="s">
        <v>133</v>
      </c>
      <c r="J44" s="83">
        <f>IF(I44=$B$112,0,IF(I44=$B$113,1,IF(I44=$B$114,2,IF(I44=$B$115,3,IF(I44=$B$116,4,"Not Calculated")))))</f>
        <v>0</v>
      </c>
      <c r="K44" s="87"/>
    </row>
    <row r="45" spans="2:11" ht="15.75" customHeight="1" x14ac:dyDescent="0.2">
      <c r="B45" s="81"/>
      <c r="C45" s="82"/>
      <c r="D45" s="83"/>
      <c r="E45" s="83"/>
      <c r="F45" s="84"/>
      <c r="G45" s="85"/>
      <c r="H45" s="85"/>
      <c r="I45" s="86"/>
      <c r="J45" s="86"/>
      <c r="K45" s="87"/>
    </row>
    <row r="46" spans="2:11" x14ac:dyDescent="0.2">
      <c r="B46" s="81"/>
      <c r="C46" s="89" t="s">
        <v>108</v>
      </c>
      <c r="D46" s="85"/>
      <c r="E46" s="85"/>
      <c r="F46" s="84"/>
      <c r="G46" s="85"/>
      <c r="H46" s="85"/>
      <c r="I46" s="83"/>
      <c r="J46" s="90">
        <f>IF(OR(J38="Not Calculated",J40="Not Calculated",J42="Not Calculated",J44="Not Calculated")=TRUE,"Not Calculated",AVERAGE(J38,J40,J42,J44))</f>
        <v>0</v>
      </c>
      <c r="K46" s="87"/>
    </row>
    <row r="47" spans="2:11" ht="16" thickBot="1" x14ac:dyDescent="0.25">
      <c r="B47" s="91"/>
      <c r="C47" s="92"/>
      <c r="D47" s="93"/>
      <c r="E47" s="93"/>
      <c r="F47" s="93"/>
      <c r="G47" s="94"/>
      <c r="H47" s="94"/>
      <c r="I47" s="95"/>
      <c r="J47" s="95"/>
      <c r="K47" s="96"/>
    </row>
    <row r="48" spans="2:11" ht="16" thickBot="1" x14ac:dyDescent="0.25">
      <c r="B48" s="100"/>
      <c r="C48" s="101"/>
      <c r="D48" s="100"/>
      <c r="E48" s="100"/>
      <c r="F48" s="100"/>
      <c r="G48" s="102"/>
      <c r="H48" s="102"/>
      <c r="I48" s="103"/>
      <c r="J48" s="103"/>
      <c r="K48" s="102"/>
    </row>
    <row r="49" spans="2:11" x14ac:dyDescent="0.2">
      <c r="B49" s="81"/>
      <c r="C49" s="84"/>
      <c r="D49" s="85"/>
      <c r="E49" s="85"/>
      <c r="F49" s="84"/>
      <c r="G49" s="85"/>
      <c r="H49" s="85"/>
      <c r="I49" s="83"/>
      <c r="J49" s="83"/>
      <c r="K49" s="87"/>
    </row>
    <row r="50" spans="2:11" ht="16" x14ac:dyDescent="0.2">
      <c r="B50" s="81"/>
      <c r="C50" s="82" t="s">
        <v>97</v>
      </c>
      <c r="D50" s="85"/>
      <c r="E50" s="85"/>
      <c r="F50" s="84"/>
      <c r="G50" s="85"/>
      <c r="H50" s="85"/>
      <c r="I50" s="83"/>
      <c r="J50" s="83"/>
      <c r="K50" s="87"/>
    </row>
    <row r="51" spans="2:11" ht="15.75" customHeight="1" x14ac:dyDescent="0.2">
      <c r="B51" s="81"/>
      <c r="C51" s="82"/>
      <c r="D51" s="83"/>
      <c r="E51" s="83"/>
      <c r="F51" s="84"/>
      <c r="G51" s="85"/>
      <c r="H51" s="85"/>
      <c r="I51" s="86"/>
      <c r="J51" s="86"/>
      <c r="K51" s="87"/>
    </row>
    <row r="52" spans="2:11" ht="88.5" customHeight="1" x14ac:dyDescent="0.2">
      <c r="B52" s="81"/>
      <c r="C52" s="388" t="s">
        <v>790</v>
      </c>
      <c r="D52" s="388"/>
      <c r="E52" s="388"/>
      <c r="F52" s="388"/>
      <c r="G52" s="388"/>
      <c r="H52" s="88"/>
      <c r="I52" s="131" t="s">
        <v>133</v>
      </c>
      <c r="J52" s="83">
        <f>IF(I52=$B$112,0,IF(I52=$B$113,1,IF(I52=$B$114,2,IF(I52=$B$115,3,IF(I52=$B$116,4,"Not Calculated")))))</f>
        <v>0</v>
      </c>
      <c r="K52" s="87"/>
    </row>
    <row r="53" spans="2:11" ht="15.75" customHeight="1" x14ac:dyDescent="0.2">
      <c r="B53" s="81"/>
      <c r="C53" s="82"/>
      <c r="D53" s="83"/>
      <c r="E53" s="83"/>
      <c r="F53" s="84"/>
      <c r="G53" s="85"/>
      <c r="H53" s="85"/>
      <c r="I53" s="86"/>
      <c r="J53" s="86"/>
      <c r="K53" s="87"/>
    </row>
    <row r="54" spans="2:11" ht="108" customHeight="1" x14ac:dyDescent="0.2">
      <c r="B54" s="81"/>
      <c r="C54" s="388" t="s">
        <v>791</v>
      </c>
      <c r="D54" s="388"/>
      <c r="E54" s="388"/>
      <c r="F54" s="388"/>
      <c r="G54" s="388"/>
      <c r="H54" s="88"/>
      <c r="I54" s="131" t="s">
        <v>133</v>
      </c>
      <c r="J54" s="83">
        <f>IF(I54=$B$112,0,IF(I54=$B$113,1,IF(I54=$B$114,2,IF(I54=$B$115,3,IF(I54=$B$116,4,"Not Calculated")))))</f>
        <v>0</v>
      </c>
      <c r="K54" s="87"/>
    </row>
    <row r="55" spans="2:11" ht="15.75" customHeight="1" x14ac:dyDescent="0.2">
      <c r="B55" s="81"/>
      <c r="C55" s="82"/>
      <c r="D55" s="83"/>
      <c r="E55" s="83"/>
      <c r="F55" s="84"/>
      <c r="G55" s="85"/>
      <c r="H55" s="85"/>
      <c r="I55" s="86"/>
      <c r="J55" s="86"/>
      <c r="K55" s="87"/>
    </row>
    <row r="56" spans="2:11" ht="120" customHeight="1" x14ac:dyDescent="0.2">
      <c r="B56" s="81"/>
      <c r="C56" s="388" t="s">
        <v>792</v>
      </c>
      <c r="D56" s="389"/>
      <c r="E56" s="389"/>
      <c r="F56" s="389"/>
      <c r="G56" s="389"/>
      <c r="H56" s="88"/>
      <c r="I56" s="131" t="s">
        <v>133</v>
      </c>
      <c r="J56" s="83">
        <f>IF(I56=$B$112,0,IF(I56=$B$113,1,IF(I56=$B$114,2,IF(I56=$B$115,3,IF(I56=$B$116,4,"Not Calculated")))))</f>
        <v>0</v>
      </c>
      <c r="K56" s="87"/>
    </row>
    <row r="57" spans="2:11" ht="15.75" customHeight="1" x14ac:dyDescent="0.2">
      <c r="B57" s="81"/>
      <c r="C57" s="82"/>
      <c r="D57" s="83"/>
      <c r="E57" s="83"/>
      <c r="F57" s="84"/>
      <c r="G57" s="85"/>
      <c r="H57" s="85"/>
      <c r="I57" s="86"/>
      <c r="J57" s="86"/>
      <c r="K57" s="87"/>
    </row>
    <row r="58" spans="2:11" x14ac:dyDescent="0.2">
      <c r="B58" s="81"/>
      <c r="C58" s="89" t="s">
        <v>111</v>
      </c>
      <c r="D58" s="85"/>
      <c r="E58" s="85"/>
      <c r="F58" s="84"/>
      <c r="G58" s="85"/>
      <c r="H58" s="85"/>
      <c r="I58" s="83"/>
      <c r="J58" s="90">
        <f>IF(OR(J52="Not Calculated",J54="Not Calculated",J56="Not Calculated")=TRUE,"Not Calculated",AVERAGE(J52,J54,J56))</f>
        <v>0</v>
      </c>
      <c r="K58" s="87"/>
    </row>
    <row r="59" spans="2:11" ht="16" thickBot="1" x14ac:dyDescent="0.25">
      <c r="B59" s="91"/>
      <c r="C59" s="92"/>
      <c r="D59" s="93"/>
      <c r="E59" s="93"/>
      <c r="F59" s="93"/>
      <c r="G59" s="94"/>
      <c r="H59" s="94"/>
      <c r="I59" s="95"/>
      <c r="J59" s="95"/>
      <c r="K59" s="96"/>
    </row>
    <row r="60" spans="2:11" ht="16" thickBot="1" x14ac:dyDescent="0.25">
      <c r="B60" s="100"/>
      <c r="C60" s="101"/>
      <c r="D60" s="100"/>
      <c r="E60" s="100"/>
      <c r="F60" s="100"/>
      <c r="G60" s="102"/>
      <c r="H60" s="102"/>
      <c r="I60" s="103"/>
      <c r="J60" s="103"/>
      <c r="K60" s="102"/>
    </row>
    <row r="61" spans="2:11" x14ac:dyDescent="0.2">
      <c r="B61" s="81"/>
      <c r="C61" s="84"/>
      <c r="D61" s="85"/>
      <c r="E61" s="85"/>
      <c r="F61" s="84"/>
      <c r="G61" s="85"/>
      <c r="H61" s="85"/>
      <c r="I61" s="83"/>
      <c r="J61" s="83"/>
      <c r="K61" s="87"/>
    </row>
    <row r="62" spans="2:11" ht="16" x14ac:dyDescent="0.2">
      <c r="B62" s="81"/>
      <c r="C62" s="82" t="s">
        <v>112</v>
      </c>
      <c r="D62" s="85"/>
      <c r="E62" s="85"/>
      <c r="F62" s="84"/>
      <c r="G62" s="85"/>
      <c r="H62" s="85"/>
      <c r="I62" s="83"/>
      <c r="J62" s="83"/>
      <c r="K62" s="87"/>
    </row>
    <row r="63" spans="2:11" ht="15.75" customHeight="1" x14ac:dyDescent="0.2">
      <c r="B63" s="81"/>
      <c r="C63" s="82"/>
      <c r="D63" s="83"/>
      <c r="E63" s="83"/>
      <c r="F63" s="84"/>
      <c r="G63" s="85"/>
      <c r="H63" s="85"/>
      <c r="I63" s="86"/>
      <c r="J63" s="86"/>
      <c r="K63" s="87"/>
    </row>
    <row r="64" spans="2:11" ht="164.25" customHeight="1" x14ac:dyDescent="0.2">
      <c r="B64" s="81"/>
      <c r="C64" s="388" t="s">
        <v>793</v>
      </c>
      <c r="D64" s="388"/>
      <c r="E64" s="388"/>
      <c r="F64" s="388"/>
      <c r="G64" s="388"/>
      <c r="H64" s="88"/>
      <c r="I64" s="131" t="s">
        <v>133</v>
      </c>
      <c r="J64" s="83">
        <f>IF(I64=$B$112,0,IF(I64=$B$113,1,IF(I64=$B$114,2,IF(I64=$B$115,3,IF(I64=$B$116,4,"Not Calculated")))))</f>
        <v>0</v>
      </c>
      <c r="K64" s="87"/>
    </row>
    <row r="65" spans="2:11" ht="15.75" customHeight="1" x14ac:dyDescent="0.2">
      <c r="B65" s="81"/>
      <c r="C65" s="82"/>
      <c r="D65" s="83"/>
      <c r="E65" s="83"/>
      <c r="F65" s="84"/>
      <c r="G65" s="85"/>
      <c r="H65" s="85"/>
      <c r="I65" s="86"/>
      <c r="J65" s="86"/>
      <c r="K65" s="87"/>
    </row>
    <row r="66" spans="2:11" ht="162.75" customHeight="1" x14ac:dyDescent="0.2">
      <c r="B66" s="81"/>
      <c r="C66" s="388" t="s">
        <v>794</v>
      </c>
      <c r="D66" s="388"/>
      <c r="E66" s="388"/>
      <c r="F66" s="388"/>
      <c r="G66" s="388"/>
      <c r="H66" s="88"/>
      <c r="I66" s="131" t="s">
        <v>133</v>
      </c>
      <c r="J66" s="83">
        <f>IF(I66=$B$112,0,IF(I66=$B$113,1,IF(I66=$B$114,2,IF(I66=$B$115,3,IF(I66=$B$116,4,"Not Calculated")))))</f>
        <v>0</v>
      </c>
      <c r="K66" s="87"/>
    </row>
    <row r="67" spans="2:11" ht="15.75" customHeight="1" x14ac:dyDescent="0.2">
      <c r="B67" s="81"/>
      <c r="C67" s="82"/>
      <c r="D67" s="83"/>
      <c r="E67" s="83"/>
      <c r="F67" s="84"/>
      <c r="G67" s="85"/>
      <c r="H67" s="85"/>
      <c r="I67" s="86"/>
      <c r="J67" s="86"/>
      <c r="K67" s="87"/>
    </row>
    <row r="68" spans="2:11" x14ac:dyDescent="0.2">
      <c r="B68" s="81"/>
      <c r="C68" s="89" t="s">
        <v>114</v>
      </c>
      <c r="D68" s="85"/>
      <c r="E68" s="85"/>
      <c r="F68" s="84"/>
      <c r="G68" s="85"/>
      <c r="H68" s="85"/>
      <c r="I68" s="83"/>
      <c r="J68" s="90">
        <f>IF(OR(J64="Not Calculated",J66="Not Calculated")=TRUE,"Not Calculated",AVERAGE(J64,J66))</f>
        <v>0</v>
      </c>
      <c r="K68" s="87"/>
    </row>
    <row r="69" spans="2:11" ht="16" thickBot="1" x14ac:dyDescent="0.25">
      <c r="B69" s="91"/>
      <c r="C69" s="92"/>
      <c r="D69" s="93"/>
      <c r="E69" s="93"/>
      <c r="F69" s="93"/>
      <c r="G69" s="94"/>
      <c r="H69" s="94"/>
      <c r="I69" s="95"/>
      <c r="J69" s="95"/>
      <c r="K69" s="96"/>
    </row>
    <row r="70" spans="2:11" ht="16" thickBot="1" x14ac:dyDescent="0.25">
      <c r="B70" s="100"/>
      <c r="C70" s="101"/>
      <c r="D70" s="100"/>
      <c r="E70" s="100"/>
      <c r="F70" s="100"/>
      <c r="G70" s="102"/>
      <c r="H70" s="102"/>
      <c r="I70" s="103"/>
      <c r="J70" s="103"/>
      <c r="K70" s="102"/>
    </row>
    <row r="71" spans="2:11" x14ac:dyDescent="0.2">
      <c r="B71" s="81"/>
      <c r="C71" s="84"/>
      <c r="D71" s="85"/>
      <c r="E71" s="85"/>
      <c r="F71" s="84"/>
      <c r="G71" s="85"/>
      <c r="H71" s="85"/>
      <c r="I71" s="83"/>
      <c r="J71" s="83"/>
      <c r="K71" s="87"/>
    </row>
    <row r="72" spans="2:11" ht="16" x14ac:dyDescent="0.2">
      <c r="B72" s="81"/>
      <c r="C72" s="82" t="s">
        <v>121</v>
      </c>
      <c r="D72" s="85"/>
      <c r="E72" s="85"/>
      <c r="F72" s="84"/>
      <c r="G72" s="85"/>
      <c r="H72" s="85"/>
      <c r="I72" s="83"/>
      <c r="J72" s="83"/>
      <c r="K72" s="87"/>
    </row>
    <row r="73" spans="2:11" ht="15.75" customHeight="1" x14ac:dyDescent="0.2">
      <c r="B73" s="81"/>
      <c r="C73" s="82"/>
      <c r="D73" s="83"/>
      <c r="E73" s="83"/>
      <c r="F73" s="84"/>
      <c r="G73" s="85"/>
      <c r="H73" s="85"/>
      <c r="I73" s="86"/>
      <c r="J73" s="86"/>
      <c r="K73" s="87"/>
    </row>
    <row r="74" spans="2:11" ht="164.25" customHeight="1" x14ac:dyDescent="0.2">
      <c r="B74" s="81"/>
      <c r="C74" s="388" t="s">
        <v>795</v>
      </c>
      <c r="D74" s="388"/>
      <c r="E74" s="388"/>
      <c r="F74" s="388"/>
      <c r="G74" s="388"/>
      <c r="H74" s="88"/>
      <c r="I74" s="131" t="s">
        <v>133</v>
      </c>
      <c r="J74" s="83">
        <f>IF(I74=$B$112,0,IF(I74=$B$113,1,IF(I74=$B$114,2,IF(I74=$B$115,3,IF(I74=$B$116,4,"Not Calculated")))))</f>
        <v>0</v>
      </c>
      <c r="K74" s="87"/>
    </row>
    <row r="75" spans="2:11" ht="15.75" customHeight="1" x14ac:dyDescent="0.2">
      <c r="B75" s="81"/>
      <c r="C75" s="82"/>
      <c r="D75" s="83"/>
      <c r="E75" s="83"/>
      <c r="F75" s="84"/>
      <c r="G75" s="85"/>
      <c r="H75" s="85"/>
      <c r="I75" s="86"/>
      <c r="J75" s="86"/>
      <c r="K75" s="87"/>
    </row>
    <row r="76" spans="2:11" ht="180" customHeight="1" x14ac:dyDescent="0.2">
      <c r="B76" s="81"/>
      <c r="C76" s="388" t="s">
        <v>796</v>
      </c>
      <c r="D76" s="389"/>
      <c r="E76" s="389"/>
      <c r="F76" s="389"/>
      <c r="G76" s="389"/>
      <c r="H76" s="88"/>
      <c r="I76" s="131" t="s">
        <v>133</v>
      </c>
      <c r="J76" s="83">
        <f>IF(I76=$B$112,0,IF(I76=$B$113,1,IF(I76=$B$114,2,IF(I76=$B$115,3,IF(I76=$B$116,4,"Not Calculated")))))</f>
        <v>0</v>
      </c>
      <c r="K76" s="87"/>
    </row>
    <row r="77" spans="2:11" ht="15.75" customHeight="1" x14ac:dyDescent="0.2">
      <c r="B77" s="81"/>
      <c r="C77" s="82"/>
      <c r="D77" s="83"/>
      <c r="E77" s="83"/>
      <c r="F77" s="84"/>
      <c r="G77" s="85"/>
      <c r="H77" s="85"/>
      <c r="I77" s="86"/>
      <c r="J77" s="86"/>
      <c r="K77" s="87"/>
    </row>
    <row r="78" spans="2:11" ht="165" customHeight="1" x14ac:dyDescent="0.2">
      <c r="B78" s="81"/>
      <c r="C78" s="388" t="s">
        <v>797</v>
      </c>
      <c r="D78" s="389"/>
      <c r="E78" s="389"/>
      <c r="F78" s="389"/>
      <c r="G78" s="389"/>
      <c r="H78" s="88"/>
      <c r="I78" s="131" t="s">
        <v>133</v>
      </c>
      <c r="J78" s="83">
        <f>IF(I78=$B$112,0,IF(I78=$B$113,1,IF(I78=$B$114,2,IF(I78=$B$115,3,IF(I78=$B$116,4,"Not Calculated")))))</f>
        <v>0</v>
      </c>
      <c r="K78" s="87"/>
    </row>
    <row r="79" spans="2:11" ht="15.75" customHeight="1" x14ac:dyDescent="0.2">
      <c r="B79" s="81"/>
      <c r="C79" s="82"/>
      <c r="D79" s="83"/>
      <c r="E79" s="83"/>
      <c r="F79" s="84"/>
      <c r="G79" s="85"/>
      <c r="H79" s="85"/>
      <c r="I79" s="86"/>
      <c r="J79" s="86"/>
      <c r="K79" s="87"/>
    </row>
    <row r="80" spans="2:11" ht="375" customHeight="1" x14ac:dyDescent="0.2">
      <c r="B80" s="81"/>
      <c r="C80" s="388" t="s">
        <v>798</v>
      </c>
      <c r="D80" s="389"/>
      <c r="E80" s="389"/>
      <c r="F80" s="389"/>
      <c r="G80" s="389"/>
      <c r="H80" s="88"/>
      <c r="I80" s="131" t="s">
        <v>133</v>
      </c>
      <c r="J80" s="83">
        <f>IF(I80=$B$112,0,IF(I80=$B$113,1,IF(I80=$B$114,2,IF(I80=$B$115,3,IF(I80=$B$116,4,"Not Calculated")))))</f>
        <v>0</v>
      </c>
      <c r="K80" s="87"/>
    </row>
    <row r="81" spans="2:11" ht="15.75" customHeight="1" x14ac:dyDescent="0.2">
      <c r="B81" s="81"/>
      <c r="C81" s="82"/>
      <c r="D81" s="83"/>
      <c r="E81" s="83"/>
      <c r="F81" s="84"/>
      <c r="G81" s="85"/>
      <c r="H81" s="85"/>
      <c r="I81" s="86"/>
      <c r="J81" s="86"/>
      <c r="K81" s="87"/>
    </row>
    <row r="82" spans="2:11" ht="165" customHeight="1" x14ac:dyDescent="0.2">
      <c r="B82" s="81"/>
      <c r="C82" s="388" t="s">
        <v>799</v>
      </c>
      <c r="D82" s="389"/>
      <c r="E82" s="389"/>
      <c r="F82" s="389"/>
      <c r="G82" s="389"/>
      <c r="H82" s="88"/>
      <c r="I82" s="131" t="s">
        <v>133</v>
      </c>
      <c r="J82" s="83">
        <f>IF(I82=$B$112,0,IF(I82=$B$113,1,IF(I82=$B$114,2,IF(I82=$B$115,3,IF(I82=$B$116,4,"Not Calculated")))))</f>
        <v>0</v>
      </c>
      <c r="K82" s="87"/>
    </row>
    <row r="83" spans="2:11" ht="15.75" customHeight="1" x14ac:dyDescent="0.2">
      <c r="B83" s="81"/>
      <c r="C83" s="82"/>
      <c r="D83" s="83"/>
      <c r="E83" s="83"/>
      <c r="F83" s="84"/>
      <c r="G83" s="85"/>
      <c r="H83" s="85"/>
      <c r="I83" s="86"/>
      <c r="J83" s="86"/>
      <c r="K83" s="87"/>
    </row>
    <row r="84" spans="2:11" x14ac:dyDescent="0.2">
      <c r="B84" s="81"/>
      <c r="C84" s="89" t="s">
        <v>122</v>
      </c>
      <c r="D84" s="85"/>
      <c r="E84" s="85"/>
      <c r="F84" s="84"/>
      <c r="G84" s="85"/>
      <c r="H84" s="85"/>
      <c r="I84" s="83"/>
      <c r="J84" s="90">
        <f>IF(OR(J74="Not Calculated",J76="Not Calculated",J78="Not Calculated",J80="Not Calculated",J82="Not Calculated")=TRUE,"Not Calculated",AVERAGE(J74,J76,J78,J80,J82))</f>
        <v>0</v>
      </c>
      <c r="K84" s="87"/>
    </row>
    <row r="85" spans="2:11" ht="16" thickBot="1" x14ac:dyDescent="0.25">
      <c r="B85" s="91"/>
      <c r="C85" s="92"/>
      <c r="D85" s="93"/>
      <c r="E85" s="93"/>
      <c r="F85" s="93"/>
      <c r="G85" s="94"/>
      <c r="H85" s="94"/>
      <c r="I85" s="95"/>
      <c r="J85" s="95"/>
      <c r="K85" s="96"/>
    </row>
    <row r="86" spans="2:11" ht="16" thickBot="1" x14ac:dyDescent="0.25">
      <c r="B86" s="100"/>
      <c r="C86" s="101"/>
      <c r="D86" s="100"/>
      <c r="E86" s="100"/>
      <c r="F86" s="100"/>
      <c r="G86" s="102"/>
      <c r="H86" s="102"/>
      <c r="I86" s="103"/>
      <c r="J86" s="103"/>
      <c r="K86" s="102"/>
    </row>
    <row r="87" spans="2:11" x14ac:dyDescent="0.2">
      <c r="B87" s="81"/>
      <c r="C87" s="84"/>
      <c r="D87" s="85"/>
      <c r="E87" s="85"/>
      <c r="F87" s="84"/>
      <c r="G87" s="85"/>
      <c r="H87" s="85"/>
      <c r="I87" s="83"/>
      <c r="J87" s="83"/>
      <c r="K87" s="87"/>
    </row>
    <row r="88" spans="2:11" ht="16" x14ac:dyDescent="0.2">
      <c r="B88" s="81"/>
      <c r="C88" s="82" t="s">
        <v>128</v>
      </c>
      <c r="D88" s="85"/>
      <c r="E88" s="85"/>
      <c r="F88" s="84"/>
      <c r="G88" s="85"/>
      <c r="H88" s="85"/>
      <c r="I88" s="83"/>
      <c r="J88" s="83"/>
      <c r="K88" s="87"/>
    </row>
    <row r="89" spans="2:11" ht="15.75" customHeight="1" x14ac:dyDescent="0.2">
      <c r="B89" s="81"/>
      <c r="C89" s="82"/>
      <c r="D89" s="83"/>
      <c r="E89" s="83"/>
      <c r="F89" s="84"/>
      <c r="G89" s="85"/>
      <c r="H89" s="85"/>
      <c r="I89" s="86"/>
      <c r="J89" s="86"/>
      <c r="K89" s="87"/>
    </row>
    <row r="90" spans="2:11" ht="92.25" customHeight="1" x14ac:dyDescent="0.2">
      <c r="B90" s="81"/>
      <c r="C90" s="388" t="s">
        <v>800</v>
      </c>
      <c r="D90" s="388"/>
      <c r="E90" s="388"/>
      <c r="F90" s="388"/>
      <c r="G90" s="388"/>
      <c r="H90" s="88"/>
      <c r="I90" s="131" t="s">
        <v>133</v>
      </c>
      <c r="J90" s="83">
        <f>IF(I90=$B$112,0,IF(I90=$B$113,1,IF(I90=$B$114,2,IF(I90=$B$115,3,IF(I90=$B$116,4,"Not Calculated")))))</f>
        <v>0</v>
      </c>
      <c r="K90" s="87"/>
    </row>
    <row r="91" spans="2:11" ht="15.75" customHeight="1" x14ac:dyDescent="0.2">
      <c r="B91" s="81"/>
      <c r="C91" s="82"/>
      <c r="D91" s="83"/>
      <c r="E91" s="83"/>
      <c r="F91" s="84"/>
      <c r="G91" s="85"/>
      <c r="H91" s="85"/>
      <c r="I91" s="86"/>
      <c r="J91" s="86"/>
      <c r="K91" s="87"/>
    </row>
    <row r="92" spans="2:11" ht="75.75" customHeight="1" x14ac:dyDescent="0.2">
      <c r="B92" s="81"/>
      <c r="C92" s="388" t="s">
        <v>801</v>
      </c>
      <c r="D92" s="388"/>
      <c r="E92" s="388"/>
      <c r="F92" s="388"/>
      <c r="G92" s="388"/>
      <c r="H92" s="88"/>
      <c r="I92" s="131" t="s">
        <v>133</v>
      </c>
      <c r="J92" s="83">
        <f>IF(I92=$B$112,0,IF(I92=$B$113,1,IF(I92=$B$114,2,IF(I92=$B$115,3,IF(I92=$B$116,4,"Not Calculated")))))</f>
        <v>0</v>
      </c>
      <c r="K92" s="87"/>
    </row>
    <row r="93" spans="2:11" ht="15.75" customHeight="1" x14ac:dyDescent="0.2">
      <c r="B93" s="81"/>
      <c r="C93" s="82"/>
      <c r="D93" s="83"/>
      <c r="E93" s="83"/>
      <c r="F93" s="84"/>
      <c r="G93" s="85"/>
      <c r="H93" s="85"/>
      <c r="I93" s="86"/>
      <c r="J93" s="86"/>
      <c r="K93" s="87"/>
    </row>
    <row r="94" spans="2:11" x14ac:dyDescent="0.2">
      <c r="B94" s="81"/>
      <c r="C94" s="89" t="s">
        <v>129</v>
      </c>
      <c r="D94" s="85"/>
      <c r="E94" s="85"/>
      <c r="F94" s="84"/>
      <c r="G94" s="85"/>
      <c r="H94" s="85"/>
      <c r="I94" s="83"/>
      <c r="J94" s="90">
        <f>IF(OR(J90="Not Calculated",J92="Not Calculated")=TRUE,"Not Calculated",AVERAGE(J90,J92))</f>
        <v>0</v>
      </c>
      <c r="K94" s="87"/>
    </row>
    <row r="95" spans="2:11" ht="16" thickBot="1" x14ac:dyDescent="0.25">
      <c r="B95" s="91"/>
      <c r="C95" s="92"/>
      <c r="D95" s="93"/>
      <c r="E95" s="93"/>
      <c r="F95" s="93"/>
      <c r="G95" s="94"/>
      <c r="H95" s="94"/>
      <c r="I95" s="95"/>
      <c r="J95" s="95"/>
      <c r="K95" s="96"/>
    </row>
    <row r="96" spans="2:11" ht="16" thickBot="1" x14ac:dyDescent="0.25">
      <c r="B96" s="100"/>
      <c r="C96" s="101"/>
      <c r="D96" s="100"/>
      <c r="E96" s="100"/>
      <c r="F96" s="100"/>
      <c r="G96" s="102"/>
      <c r="H96" s="102"/>
      <c r="I96" s="103"/>
      <c r="J96" s="103"/>
      <c r="K96" s="102"/>
    </row>
    <row r="97" spans="1:11" x14ac:dyDescent="0.2">
      <c r="B97" s="81"/>
      <c r="C97" s="84"/>
      <c r="D97" s="85"/>
      <c r="E97" s="85"/>
      <c r="F97" s="84"/>
      <c r="G97" s="85"/>
      <c r="H97" s="85"/>
      <c r="I97" s="83"/>
      <c r="J97" s="83"/>
      <c r="K97" s="87"/>
    </row>
    <row r="98" spans="1:11" ht="16" x14ac:dyDescent="0.2">
      <c r="B98" s="81"/>
      <c r="C98" s="82" t="s">
        <v>130</v>
      </c>
      <c r="D98" s="85"/>
      <c r="E98" s="85"/>
      <c r="F98" s="84"/>
      <c r="G98" s="85"/>
      <c r="H98" s="85"/>
      <c r="I98" s="83"/>
      <c r="J98" s="83"/>
      <c r="K98" s="87"/>
    </row>
    <row r="99" spans="1:11" ht="15.75" customHeight="1" x14ac:dyDescent="0.2">
      <c r="B99" s="81"/>
      <c r="C99" s="82"/>
      <c r="D99" s="83"/>
      <c r="E99" s="83"/>
      <c r="F99" s="84"/>
      <c r="G99" s="85"/>
      <c r="H99" s="85"/>
      <c r="I99" s="86"/>
      <c r="J99" s="86"/>
      <c r="K99" s="87"/>
    </row>
    <row r="100" spans="1:11" ht="133.5" customHeight="1" x14ac:dyDescent="0.2">
      <c r="B100" s="81"/>
      <c r="C100" s="388" t="s">
        <v>802</v>
      </c>
      <c r="D100" s="388"/>
      <c r="E100" s="388"/>
      <c r="F100" s="388"/>
      <c r="G100" s="388"/>
      <c r="H100" s="88"/>
      <c r="I100" s="131" t="s">
        <v>133</v>
      </c>
      <c r="J100" s="83">
        <f>IF(I100=$B$112,0,IF(I100=$B$113,1,IF(I100=$B$114,2,IF(I100=$B$115,3,IF(I100=$B$116,4,"Not Calculated")))))</f>
        <v>0</v>
      </c>
      <c r="K100" s="87"/>
    </row>
    <row r="101" spans="1:11" ht="15.75" customHeight="1" x14ac:dyDescent="0.2">
      <c r="B101" s="81"/>
      <c r="C101" s="82"/>
      <c r="D101" s="83"/>
      <c r="E101" s="83"/>
      <c r="F101" s="84"/>
      <c r="G101" s="85"/>
      <c r="H101" s="85"/>
      <c r="I101" s="86"/>
      <c r="J101" s="86"/>
      <c r="K101" s="87"/>
    </row>
    <row r="102" spans="1:11" ht="62.25" customHeight="1" x14ac:dyDescent="0.2">
      <c r="B102" s="81"/>
      <c r="C102" s="388" t="s">
        <v>803</v>
      </c>
      <c r="D102" s="388"/>
      <c r="E102" s="388"/>
      <c r="F102" s="388"/>
      <c r="G102" s="388"/>
      <c r="H102" s="88"/>
      <c r="I102" s="131" t="s">
        <v>133</v>
      </c>
      <c r="J102" s="83">
        <f>IF(I102=$B$112,0,IF(I102=$B$113,1,IF(I102=$B$114,2,IF(I102=$B$115,3,IF(I102=$B$116,4,"Not Calculated")))))</f>
        <v>0</v>
      </c>
      <c r="K102" s="87"/>
    </row>
    <row r="103" spans="1:11" ht="15.75" customHeight="1" x14ac:dyDescent="0.2">
      <c r="B103" s="81"/>
      <c r="C103" s="82"/>
      <c r="D103" s="83"/>
      <c r="E103" s="83"/>
      <c r="F103" s="84"/>
      <c r="G103" s="85"/>
      <c r="H103" s="85"/>
      <c r="I103" s="86"/>
      <c r="J103" s="86"/>
      <c r="K103" s="87"/>
    </row>
    <row r="104" spans="1:11" ht="119.25" customHeight="1" x14ac:dyDescent="0.2">
      <c r="B104" s="81"/>
      <c r="C104" s="388" t="s">
        <v>804</v>
      </c>
      <c r="D104" s="388"/>
      <c r="E104" s="388"/>
      <c r="F104" s="388"/>
      <c r="G104" s="388"/>
      <c r="H104" s="88"/>
      <c r="I104" s="131" t="s">
        <v>133</v>
      </c>
      <c r="J104" s="83">
        <f>IF(I104=$B$112,0,IF(I104=$B$113,1,IF(I104=$B$114,2,IF(I104=$B$115,3,IF(I104=$B$116,4,"Not Calculated")))))</f>
        <v>0</v>
      </c>
      <c r="K104" s="87"/>
    </row>
    <row r="105" spans="1:11" ht="15.75" customHeight="1" x14ac:dyDescent="0.2">
      <c r="B105" s="81"/>
      <c r="C105" s="82"/>
      <c r="D105" s="83"/>
      <c r="E105" s="83"/>
      <c r="F105" s="84"/>
      <c r="G105" s="85"/>
      <c r="H105" s="85"/>
      <c r="I105" s="86"/>
      <c r="J105" s="86"/>
      <c r="K105" s="87"/>
    </row>
    <row r="106" spans="1:11" ht="106.5" customHeight="1" x14ac:dyDescent="0.2">
      <c r="B106" s="81"/>
      <c r="C106" s="388" t="s">
        <v>805</v>
      </c>
      <c r="D106" s="389"/>
      <c r="E106" s="389"/>
      <c r="F106" s="389"/>
      <c r="G106" s="389"/>
      <c r="H106" s="88"/>
      <c r="I106" s="131" t="s">
        <v>133</v>
      </c>
      <c r="J106" s="83">
        <f>IF(I106=$B$112,0,IF(I106=$B$113,1,IF(I106=$B$114,2,IF(I106=$B$115,3,IF(I106=$B$116,4,"Not Calculated")))))</f>
        <v>0</v>
      </c>
      <c r="K106" s="87"/>
    </row>
    <row r="107" spans="1:11" ht="15.75" customHeight="1" x14ac:dyDescent="0.2">
      <c r="B107" s="81"/>
      <c r="C107" s="82"/>
      <c r="D107" s="83"/>
      <c r="E107" s="83"/>
      <c r="F107" s="84"/>
      <c r="G107" s="85"/>
      <c r="H107" s="85"/>
      <c r="I107" s="86"/>
      <c r="J107" s="86"/>
      <c r="K107" s="87"/>
    </row>
    <row r="108" spans="1:11" x14ac:dyDescent="0.2">
      <c r="B108" s="81"/>
      <c r="C108" s="89" t="s">
        <v>131</v>
      </c>
      <c r="D108" s="85"/>
      <c r="E108" s="85"/>
      <c r="F108" s="84"/>
      <c r="G108" s="85"/>
      <c r="H108" s="85"/>
      <c r="I108" s="83"/>
      <c r="J108" s="90">
        <f>IF(OR(J100="Not Calculated",J102="Not Calculated",J104="Not Calculated",J106="Not Calculated")=TRUE,"Not Calculated",AVERAGE(J100,J102,J104,J106))</f>
        <v>0</v>
      </c>
      <c r="K108" s="87"/>
    </row>
    <row r="109" spans="1:11" ht="16" thickBot="1" x14ac:dyDescent="0.25">
      <c r="B109" s="91"/>
      <c r="C109" s="92"/>
      <c r="D109" s="93"/>
      <c r="E109" s="93"/>
      <c r="F109" s="93"/>
      <c r="G109" s="94"/>
      <c r="H109" s="94"/>
      <c r="I109" s="95"/>
      <c r="J109" s="95"/>
      <c r="K109" s="96"/>
    </row>
    <row r="110" spans="1:11" x14ac:dyDescent="0.2">
      <c r="B110" s="99"/>
      <c r="C110" s="51"/>
      <c r="D110" s="99"/>
      <c r="E110" s="99"/>
      <c r="F110" s="99"/>
    </row>
    <row r="111" spans="1:11" hidden="1" x14ac:dyDescent="0.2">
      <c r="A111" s="12" t="s">
        <v>132</v>
      </c>
      <c r="B111" s="99"/>
      <c r="C111" s="51"/>
      <c r="D111" s="99"/>
      <c r="E111" s="99"/>
      <c r="F111" s="99"/>
    </row>
    <row r="112" spans="1:11" hidden="1" x14ac:dyDescent="0.2">
      <c r="A112" s="12">
        <v>0</v>
      </c>
      <c r="B112" s="12" t="s">
        <v>133</v>
      </c>
    </row>
    <row r="113" spans="1:2" s="12" customFormat="1" hidden="1" x14ac:dyDescent="0.2">
      <c r="A113" s="12">
        <v>1</v>
      </c>
      <c r="B113" s="12" t="s">
        <v>113</v>
      </c>
    </row>
    <row r="114" spans="1:2" s="12" customFormat="1" hidden="1" x14ac:dyDescent="0.2">
      <c r="A114" s="12">
        <v>2</v>
      </c>
      <c r="B114" s="12" t="s">
        <v>104</v>
      </c>
    </row>
    <row r="115" spans="1:2" s="12" customFormat="1" hidden="1" x14ac:dyDescent="0.2">
      <c r="A115" s="12">
        <v>3</v>
      </c>
      <c r="B115" s="12" t="s">
        <v>105</v>
      </c>
    </row>
    <row r="116" spans="1:2" s="12" customFormat="1" hidden="1" x14ac:dyDescent="0.2">
      <c r="A116" s="12">
        <v>4</v>
      </c>
      <c r="B116" s="12" t="s">
        <v>101</v>
      </c>
    </row>
  </sheetData>
  <sheetProtection password="C7B0" sheet="1" objects="1" scenarios="1" selectLockedCells="1"/>
  <mergeCells count="29">
    <mergeCell ref="C30:G30"/>
    <mergeCell ref="C8:G8"/>
    <mergeCell ref="C10:G10"/>
    <mergeCell ref="C12:G12"/>
    <mergeCell ref="C14:G14"/>
    <mergeCell ref="C28:G28"/>
    <mergeCell ref="C64:G64"/>
    <mergeCell ref="C66:G66"/>
    <mergeCell ref="C52:G52"/>
    <mergeCell ref="C38:G38"/>
    <mergeCell ref="C40:G40"/>
    <mergeCell ref="C42:G42"/>
    <mergeCell ref="C44:G44"/>
    <mergeCell ref="C100:G100"/>
    <mergeCell ref="C102:G102"/>
    <mergeCell ref="C104:G104"/>
    <mergeCell ref="C106:G106"/>
    <mergeCell ref="C16:G16"/>
    <mergeCell ref="C18:G18"/>
    <mergeCell ref="C20:G20"/>
    <mergeCell ref="C82:G82"/>
    <mergeCell ref="C90:G90"/>
    <mergeCell ref="C92:G92"/>
    <mergeCell ref="C78:G78"/>
    <mergeCell ref="C80:G80"/>
    <mergeCell ref="C74:G74"/>
    <mergeCell ref="C76:G76"/>
    <mergeCell ref="C54:G54"/>
    <mergeCell ref="C56:G56"/>
  </mergeCells>
  <dataValidations count="1">
    <dataValidation type="list" allowBlank="1" showInputMessage="1" showErrorMessage="1" sqref="I82 I16 I14 I90 I102 I78 I74 I64 I54 I52 I42 I38 I30 I28 I12 I10 I8 I56 I92 I20 I104 I40 I44 I106 I66 I76 I100 I18 I80" xr:uid="{00000000-0002-0000-0700-000000000000}">
      <formula1>$B$112:$B$116</formula1>
    </dataValidation>
  </dataValidations>
  <pageMargins left="0.7" right="0.7" top="0.75" bottom="0.75" header="0.3" footer="0.3"/>
  <pageSetup scale="63"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dimension ref="A1:R121"/>
  <sheetViews>
    <sheetView showGridLines="0" showRowColHeaders="0" zoomScale="110" zoomScaleNormal="110" workbookViewId="0"/>
  </sheetViews>
  <sheetFormatPr baseColWidth="10" defaultColWidth="9.1640625" defaultRowHeight="15" x14ac:dyDescent="0.2"/>
  <cols>
    <col min="1" max="7" width="9.1640625" style="12"/>
    <col min="8" max="8" width="20.6640625" style="12" customWidth="1"/>
    <col min="9" max="16384" width="9.1640625" style="12"/>
  </cols>
  <sheetData>
    <row r="1" spans="2:18" x14ac:dyDescent="0.2">
      <c r="H1" s="29"/>
    </row>
    <row r="2" spans="2:18" ht="33" x14ac:dyDescent="0.2">
      <c r="F2" s="16" t="s">
        <v>1038</v>
      </c>
      <c r="H2" s="29"/>
      <c r="K2" s="31"/>
      <c r="L2" s="31"/>
    </row>
    <row r="3" spans="2:18" ht="23" x14ac:dyDescent="0.25">
      <c r="F3" s="30" t="s">
        <v>21</v>
      </c>
      <c r="H3" s="29"/>
      <c r="K3" s="31"/>
      <c r="L3" s="31"/>
    </row>
    <row r="4" spans="2:18" ht="15" customHeight="1" x14ac:dyDescent="0.2">
      <c r="F4" s="98"/>
      <c r="H4" s="29"/>
      <c r="K4" s="104"/>
      <c r="L4" s="31"/>
    </row>
    <row r="5" spans="2:18" ht="15" customHeight="1" x14ac:dyDescent="0.2">
      <c r="F5" s="98" t="s">
        <v>217</v>
      </c>
      <c r="H5" s="29"/>
      <c r="K5" s="104"/>
      <c r="L5" s="31"/>
    </row>
    <row r="6" spans="2:18" ht="15" customHeight="1" x14ac:dyDescent="0.2">
      <c r="F6" s="105" t="s">
        <v>216</v>
      </c>
      <c r="H6" s="29"/>
      <c r="K6" s="104"/>
    </row>
    <row r="7" spans="2:18" ht="15" customHeight="1" thickBot="1" x14ac:dyDescent="0.25">
      <c r="F7" s="98"/>
      <c r="H7" s="29"/>
      <c r="K7" s="104"/>
      <c r="L7" s="31"/>
    </row>
    <row r="8" spans="2:18" x14ac:dyDescent="0.2">
      <c r="B8" s="2"/>
      <c r="C8" s="3"/>
      <c r="D8" s="3"/>
      <c r="E8" s="3"/>
      <c r="F8" s="3"/>
      <c r="G8" s="3"/>
      <c r="H8" s="4"/>
      <c r="I8" s="5"/>
    </row>
    <row r="9" spans="2:18" x14ac:dyDescent="0.2">
      <c r="B9" s="6"/>
      <c r="C9" s="7"/>
      <c r="D9" s="7"/>
      <c r="E9" s="7"/>
      <c r="F9" s="7"/>
      <c r="G9" s="7"/>
      <c r="H9" s="7"/>
      <c r="I9" s="8"/>
    </row>
    <row r="10" spans="2:18" x14ac:dyDescent="0.2">
      <c r="B10" s="6"/>
      <c r="C10" s="7" t="s">
        <v>192</v>
      </c>
      <c r="D10" s="7"/>
      <c r="E10" s="7"/>
      <c r="F10" s="7"/>
      <c r="G10" s="7"/>
      <c r="H10" s="296">
        <f>'Baseline Health'!G6</f>
        <v>0</v>
      </c>
      <c r="I10" s="8"/>
      <c r="J10" s="339" t="s">
        <v>1352</v>
      </c>
      <c r="R10" s="12" t="s">
        <v>1353</v>
      </c>
    </row>
    <row r="11" spans="2:18" x14ac:dyDescent="0.2">
      <c r="B11" s="6"/>
      <c r="C11" s="7"/>
      <c r="D11" s="7"/>
      <c r="E11" s="7"/>
      <c r="F11" s="7"/>
      <c r="G11" s="7"/>
      <c r="H11" s="7"/>
      <c r="I11" s="8"/>
    </row>
    <row r="12" spans="2:18" x14ac:dyDescent="0.2">
      <c r="B12" s="6"/>
      <c r="C12" s="7" t="s">
        <v>1109</v>
      </c>
      <c r="D12" s="7"/>
      <c r="E12" s="7"/>
      <c r="F12" s="7"/>
      <c r="G12" s="7"/>
      <c r="H12" s="334">
        <v>0</v>
      </c>
      <c r="I12" s="8"/>
      <c r="J12" s="339" t="s">
        <v>1352</v>
      </c>
      <c r="R12" s="12" t="s">
        <v>1353</v>
      </c>
    </row>
    <row r="13" spans="2:18" x14ac:dyDescent="0.2">
      <c r="B13" s="6"/>
      <c r="C13" s="7"/>
      <c r="D13" s="7"/>
      <c r="E13" s="7"/>
      <c r="F13" s="7"/>
      <c r="G13" s="7"/>
      <c r="H13" s="335"/>
      <c r="I13" s="8"/>
    </row>
    <row r="14" spans="2:18" x14ac:dyDescent="0.2">
      <c r="B14" s="6"/>
      <c r="C14" s="7" t="s">
        <v>1110</v>
      </c>
      <c r="D14" s="7"/>
      <c r="E14" s="7"/>
      <c r="F14" s="7"/>
      <c r="G14" s="7"/>
      <c r="H14" s="302">
        <v>0</v>
      </c>
      <c r="I14" s="8"/>
      <c r="J14" s="327" t="s">
        <v>1278</v>
      </c>
      <c r="R14" s="12" t="s">
        <v>1136</v>
      </c>
    </row>
    <row r="15" spans="2:18" x14ac:dyDescent="0.2">
      <c r="B15" s="6"/>
      <c r="C15" s="7"/>
      <c r="D15" s="7"/>
      <c r="E15" s="7"/>
      <c r="F15" s="7"/>
      <c r="G15" s="7"/>
      <c r="H15" s="335"/>
      <c r="I15" s="8"/>
    </row>
    <row r="16" spans="2:18" x14ac:dyDescent="0.2">
      <c r="B16" s="6"/>
      <c r="C16" s="7" t="s">
        <v>1108</v>
      </c>
      <c r="D16" s="7"/>
      <c r="E16" s="7"/>
      <c r="F16" s="7"/>
      <c r="G16" s="7"/>
      <c r="H16" s="336">
        <v>0</v>
      </c>
      <c r="I16" s="8"/>
      <c r="J16" s="339" t="s">
        <v>1352</v>
      </c>
    </row>
    <row r="17" spans="2:10" x14ac:dyDescent="0.2">
      <c r="B17" s="6"/>
      <c r="C17" s="7"/>
      <c r="D17" s="7"/>
      <c r="E17" s="7"/>
      <c r="F17" s="7"/>
      <c r="G17" s="7"/>
      <c r="H17" s="7" t="s">
        <v>1100</v>
      </c>
      <c r="I17" s="8"/>
    </row>
    <row r="18" spans="2:10" ht="16" x14ac:dyDescent="0.2">
      <c r="B18" s="6"/>
      <c r="C18" s="7" t="s">
        <v>193</v>
      </c>
      <c r="D18" s="7"/>
      <c r="E18" s="7"/>
      <c r="F18" s="7"/>
      <c r="G18" s="7"/>
      <c r="H18" s="301" t="s">
        <v>1100</v>
      </c>
      <c r="I18" s="8"/>
      <c r="J18" s="327" t="s">
        <v>1115</v>
      </c>
    </row>
    <row r="19" spans="2:10" x14ac:dyDescent="0.2">
      <c r="B19" s="6"/>
      <c r="C19" s="7"/>
      <c r="D19" s="7"/>
      <c r="E19" s="7"/>
      <c r="F19" s="7"/>
      <c r="G19" s="7"/>
      <c r="H19" s="7"/>
      <c r="I19" s="8"/>
    </row>
    <row r="20" spans="2:10" x14ac:dyDescent="0.2">
      <c r="B20" s="6"/>
      <c r="C20" s="7"/>
      <c r="D20" s="392" t="s">
        <v>1101</v>
      </c>
      <c r="E20" s="392"/>
      <c r="F20" s="392"/>
      <c r="G20" s="392"/>
      <c r="H20" s="7"/>
      <c r="I20" s="8"/>
    </row>
    <row r="21" spans="2:10" x14ac:dyDescent="0.2">
      <c r="B21" s="6"/>
      <c r="C21" s="7"/>
      <c r="D21" s="392"/>
      <c r="E21" s="392"/>
      <c r="F21" s="392"/>
      <c r="G21" s="392"/>
      <c r="H21" s="297">
        <v>0</v>
      </c>
      <c r="I21" s="8"/>
    </row>
    <row r="22" spans="2:10" x14ac:dyDescent="0.2">
      <c r="B22" s="6"/>
      <c r="C22" s="7"/>
      <c r="D22" s="7"/>
      <c r="E22" s="7"/>
      <c r="F22" s="7"/>
      <c r="G22" s="7"/>
      <c r="H22" s="7"/>
      <c r="I22" s="8"/>
    </row>
    <row r="23" spans="2:10" x14ac:dyDescent="0.2">
      <c r="B23" s="6"/>
      <c r="C23" s="7"/>
      <c r="D23" s="392" t="s">
        <v>1102</v>
      </c>
      <c r="E23" s="392"/>
      <c r="F23" s="392"/>
      <c r="G23" s="392"/>
      <c r="H23" s="7"/>
      <c r="I23" s="8"/>
    </row>
    <row r="24" spans="2:10" x14ac:dyDescent="0.2">
      <c r="B24" s="6"/>
      <c r="C24" s="7"/>
      <c r="D24" s="392"/>
      <c r="E24" s="392"/>
      <c r="F24" s="392"/>
      <c r="G24" s="392"/>
      <c r="H24" s="297">
        <v>0</v>
      </c>
      <c r="I24" s="8"/>
    </row>
    <row r="25" spans="2:10" x14ac:dyDescent="0.2">
      <c r="B25" s="6"/>
      <c r="C25" s="7"/>
      <c r="D25" s="7"/>
      <c r="E25" s="7"/>
      <c r="F25" s="7"/>
      <c r="G25" s="7"/>
      <c r="H25" s="7"/>
      <c r="I25" s="8"/>
    </row>
    <row r="26" spans="2:10" x14ac:dyDescent="0.2">
      <c r="B26" s="6"/>
      <c r="C26" s="7" t="s">
        <v>194</v>
      </c>
      <c r="D26" s="7"/>
      <c r="E26" s="7"/>
      <c r="F26" s="7"/>
      <c r="G26" s="7"/>
      <c r="H26" s="301"/>
      <c r="I26" s="8"/>
      <c r="J26" s="12" t="s">
        <v>1135</v>
      </c>
    </row>
    <row r="27" spans="2:10" x14ac:dyDescent="0.2">
      <c r="B27" s="6"/>
      <c r="C27" s="7"/>
      <c r="D27" s="7"/>
      <c r="E27" s="7"/>
      <c r="F27" s="7"/>
      <c r="G27" s="7"/>
      <c r="H27" s="7"/>
      <c r="I27" s="8"/>
      <c r="J27" s="327" t="s">
        <v>1354</v>
      </c>
    </row>
    <row r="28" spans="2:10" x14ac:dyDescent="0.2">
      <c r="B28" s="6"/>
      <c r="C28" s="7"/>
      <c r="D28" s="7" t="s">
        <v>195</v>
      </c>
      <c r="E28" s="7"/>
      <c r="F28" s="7"/>
      <c r="G28" s="7"/>
      <c r="H28" s="297">
        <v>0</v>
      </c>
      <c r="I28" s="8"/>
      <c r="J28" s="12" t="s">
        <v>1355</v>
      </c>
    </row>
    <row r="29" spans="2:10" x14ac:dyDescent="0.2">
      <c r="B29" s="6"/>
      <c r="C29" s="7"/>
      <c r="D29" s="7"/>
      <c r="E29" s="7"/>
      <c r="F29" s="7"/>
      <c r="G29" s="7"/>
      <c r="H29" s="7"/>
      <c r="I29" s="8"/>
    </row>
    <row r="30" spans="2:10" x14ac:dyDescent="0.2">
      <c r="B30" s="6"/>
      <c r="C30" s="7"/>
      <c r="D30" s="7" t="s">
        <v>197</v>
      </c>
      <c r="E30" s="7"/>
      <c r="F30" s="7"/>
      <c r="G30" s="7"/>
      <c r="H30" s="297">
        <v>0</v>
      </c>
      <c r="I30" s="8"/>
      <c r="J30" s="12" t="s">
        <v>1356</v>
      </c>
    </row>
    <row r="31" spans="2:10" x14ac:dyDescent="0.2">
      <c r="B31" s="6"/>
      <c r="C31" s="7"/>
      <c r="D31" s="7"/>
      <c r="E31" s="7"/>
      <c r="F31" s="7"/>
      <c r="G31" s="7"/>
      <c r="H31" s="7"/>
      <c r="I31" s="8"/>
    </row>
    <row r="32" spans="2:10" x14ac:dyDescent="0.2">
      <c r="B32" s="6"/>
      <c r="C32" s="7"/>
      <c r="D32" s="392" t="s">
        <v>198</v>
      </c>
      <c r="E32" s="392"/>
      <c r="F32" s="392"/>
      <c r="G32" s="392"/>
      <c r="H32" s="7"/>
      <c r="I32" s="8"/>
    </row>
    <row r="33" spans="2:10" x14ac:dyDescent="0.2">
      <c r="B33" s="6"/>
      <c r="C33" s="7"/>
      <c r="D33" s="392"/>
      <c r="E33" s="392"/>
      <c r="F33" s="392"/>
      <c r="G33" s="392"/>
      <c r="H33" s="297">
        <v>0</v>
      </c>
      <c r="I33" s="8"/>
      <c r="J33" s="12" t="s">
        <v>1357</v>
      </c>
    </row>
    <row r="34" spans="2:10" x14ac:dyDescent="0.2">
      <c r="B34" s="6"/>
      <c r="C34" s="7"/>
      <c r="D34" s="7"/>
      <c r="E34" s="7"/>
      <c r="F34" s="7"/>
      <c r="G34" s="7"/>
      <c r="H34" s="7"/>
      <c r="I34" s="8"/>
    </row>
    <row r="35" spans="2:10" x14ac:dyDescent="0.2">
      <c r="B35" s="6"/>
      <c r="C35" s="7" t="s">
        <v>199</v>
      </c>
      <c r="D35" s="7"/>
      <c r="E35" s="7"/>
      <c r="F35" s="7"/>
      <c r="G35" s="7"/>
      <c r="H35" s="301"/>
      <c r="I35" s="8"/>
      <c r="J35" s="12" t="s">
        <v>1358</v>
      </c>
    </row>
    <row r="36" spans="2:10" x14ac:dyDescent="0.2">
      <c r="B36" s="6"/>
      <c r="C36" s="7"/>
      <c r="D36" s="7"/>
      <c r="E36" s="7"/>
      <c r="F36" s="7"/>
      <c r="G36" s="7"/>
      <c r="H36" s="7"/>
      <c r="I36" s="8"/>
    </row>
    <row r="37" spans="2:10" x14ac:dyDescent="0.2">
      <c r="B37" s="6"/>
      <c r="C37" s="7"/>
      <c r="D37" s="7" t="s">
        <v>200</v>
      </c>
      <c r="E37" s="7"/>
      <c r="F37" s="7"/>
      <c r="G37" s="7"/>
      <c r="H37" s="297">
        <v>0</v>
      </c>
      <c r="I37" s="8"/>
      <c r="J37" s="12" t="s">
        <v>1357</v>
      </c>
    </row>
    <row r="38" spans="2:10" x14ac:dyDescent="0.2">
      <c r="B38" s="6"/>
      <c r="C38" s="7"/>
      <c r="D38" s="7"/>
      <c r="E38" s="7"/>
      <c r="F38" s="7"/>
      <c r="G38" s="7"/>
      <c r="H38" s="7"/>
      <c r="I38" s="8"/>
    </row>
    <row r="39" spans="2:10" x14ac:dyDescent="0.2">
      <c r="B39" s="6"/>
      <c r="C39" s="7"/>
      <c r="D39" s="7" t="s">
        <v>201</v>
      </c>
      <c r="E39" s="7"/>
      <c r="F39" s="7"/>
      <c r="G39" s="7"/>
      <c r="H39" s="297">
        <v>0</v>
      </c>
      <c r="I39" s="8"/>
      <c r="J39" s="12" t="s">
        <v>1358</v>
      </c>
    </row>
    <row r="40" spans="2:10" x14ac:dyDescent="0.2">
      <c r="B40" s="6"/>
      <c r="C40" s="7"/>
      <c r="D40" s="7"/>
      <c r="E40" s="7"/>
      <c r="F40" s="7"/>
      <c r="G40" s="7"/>
      <c r="H40" s="7"/>
      <c r="I40" s="8"/>
    </row>
    <row r="41" spans="2:10" x14ac:dyDescent="0.2">
      <c r="B41" s="6"/>
      <c r="C41" s="7"/>
      <c r="D41" s="392" t="s">
        <v>196</v>
      </c>
      <c r="E41" s="392"/>
      <c r="F41" s="392"/>
      <c r="G41" s="392"/>
      <c r="H41" s="7"/>
      <c r="I41" s="8"/>
    </row>
    <row r="42" spans="2:10" x14ac:dyDescent="0.2">
      <c r="B42" s="6"/>
      <c r="C42" s="7"/>
      <c r="D42" s="392"/>
      <c r="E42" s="392"/>
      <c r="F42" s="392"/>
      <c r="G42" s="392"/>
      <c r="H42" s="297">
        <v>0</v>
      </c>
      <c r="I42" s="8"/>
    </row>
    <row r="43" spans="2:10" x14ac:dyDescent="0.2">
      <c r="B43" s="6"/>
      <c r="C43" s="7"/>
      <c r="D43" s="7"/>
      <c r="E43" s="7"/>
      <c r="F43" s="7"/>
      <c r="G43" s="7"/>
      <c r="H43" s="7"/>
      <c r="I43" s="8"/>
    </row>
    <row r="44" spans="2:10" x14ac:dyDescent="0.2">
      <c r="B44" s="6"/>
      <c r="C44" s="392" t="s">
        <v>189</v>
      </c>
      <c r="D44" s="392"/>
      <c r="E44" s="392"/>
      <c r="F44" s="392"/>
      <c r="G44" s="392"/>
      <c r="H44" s="7"/>
      <c r="I44" s="8"/>
    </row>
    <row r="45" spans="2:10" ht="16" x14ac:dyDescent="0.2">
      <c r="B45" s="6"/>
      <c r="C45" s="392"/>
      <c r="D45" s="392"/>
      <c r="E45" s="392"/>
      <c r="F45" s="392"/>
      <c r="G45" s="392"/>
      <c r="H45" s="301" t="s">
        <v>202</v>
      </c>
      <c r="I45" s="8"/>
    </row>
    <row r="46" spans="2:10" x14ac:dyDescent="0.2">
      <c r="B46" s="6"/>
      <c r="C46" s="7"/>
      <c r="D46" s="7"/>
      <c r="E46" s="7"/>
      <c r="F46" s="7"/>
      <c r="G46" s="7"/>
      <c r="H46" s="7"/>
      <c r="I46" s="8"/>
    </row>
    <row r="47" spans="2:10" x14ac:dyDescent="0.2">
      <c r="B47" s="6"/>
      <c r="C47" s="7"/>
      <c r="D47" s="392" t="s">
        <v>191</v>
      </c>
      <c r="E47" s="392"/>
      <c r="F47" s="392"/>
      <c r="G47" s="392"/>
      <c r="H47" s="7"/>
      <c r="I47" s="8"/>
    </row>
    <row r="48" spans="2:10" ht="15" customHeight="1" x14ac:dyDescent="0.2">
      <c r="B48" s="6"/>
      <c r="C48" s="7"/>
      <c r="D48" s="392"/>
      <c r="E48" s="392"/>
      <c r="F48" s="392"/>
      <c r="G48" s="392"/>
      <c r="H48" s="7"/>
      <c r="I48" s="8"/>
    </row>
    <row r="49" spans="2:9" ht="16" x14ac:dyDescent="0.2">
      <c r="B49" s="6"/>
      <c r="C49" s="7"/>
      <c r="D49" s="392"/>
      <c r="E49" s="392"/>
      <c r="F49" s="392"/>
      <c r="G49" s="392"/>
      <c r="H49" s="301" t="s">
        <v>202</v>
      </c>
      <c r="I49" s="8"/>
    </row>
    <row r="50" spans="2:9" x14ac:dyDescent="0.2">
      <c r="B50" s="6"/>
      <c r="C50" s="7"/>
      <c r="D50" s="14"/>
      <c r="E50" s="14"/>
      <c r="F50" s="14"/>
      <c r="G50" s="14"/>
      <c r="H50" s="7"/>
      <c r="I50" s="8"/>
    </row>
    <row r="51" spans="2:9" x14ac:dyDescent="0.2">
      <c r="B51" s="6"/>
      <c r="C51" s="7"/>
      <c r="D51" s="392" t="s">
        <v>1103</v>
      </c>
      <c r="E51" s="392"/>
      <c r="F51" s="392"/>
      <c r="G51" s="392"/>
      <c r="H51" s="7"/>
      <c r="I51" s="8"/>
    </row>
    <row r="52" spans="2:9" ht="15" customHeight="1" x14ac:dyDescent="0.2">
      <c r="B52" s="6"/>
      <c r="C52" s="7"/>
      <c r="D52" s="392"/>
      <c r="E52" s="392"/>
      <c r="F52" s="392"/>
      <c r="G52" s="392"/>
      <c r="H52" s="7"/>
      <c r="I52" s="8"/>
    </row>
    <row r="53" spans="2:9" x14ac:dyDescent="0.2">
      <c r="B53" s="6"/>
      <c r="C53" s="7"/>
      <c r="D53" s="392"/>
      <c r="E53" s="392"/>
      <c r="F53" s="392"/>
      <c r="G53" s="392"/>
      <c r="H53" s="301">
        <v>0</v>
      </c>
      <c r="I53" s="8"/>
    </row>
    <row r="54" spans="2:9" x14ac:dyDescent="0.2">
      <c r="B54" s="6"/>
      <c r="C54" s="7"/>
      <c r="D54" s="14"/>
      <c r="E54" s="14"/>
      <c r="F54" s="14"/>
      <c r="G54" s="14"/>
      <c r="H54" s="7"/>
      <c r="I54" s="8"/>
    </row>
    <row r="55" spans="2:9" x14ac:dyDescent="0.2">
      <c r="B55" s="6"/>
      <c r="C55" s="7"/>
      <c r="D55" s="392" t="s">
        <v>1104</v>
      </c>
      <c r="E55" s="392"/>
      <c r="F55" s="392"/>
      <c r="G55" s="392"/>
      <c r="H55" s="7"/>
      <c r="I55" s="8"/>
    </row>
    <row r="56" spans="2:9" x14ac:dyDescent="0.2">
      <c r="B56" s="6"/>
      <c r="C56" s="7"/>
      <c r="D56" s="392"/>
      <c r="E56" s="392"/>
      <c r="F56" s="392"/>
      <c r="G56" s="392"/>
      <c r="H56" s="297">
        <v>0</v>
      </c>
      <c r="I56" s="8"/>
    </row>
    <row r="57" spans="2:9" x14ac:dyDescent="0.2">
      <c r="B57" s="6"/>
      <c r="C57" s="7"/>
      <c r="D57" s="14"/>
      <c r="E57" s="14"/>
      <c r="F57" s="14"/>
      <c r="G57" s="14"/>
      <c r="H57" s="7"/>
      <c r="I57" s="8"/>
    </row>
    <row r="58" spans="2:9" x14ac:dyDescent="0.2">
      <c r="B58" s="6"/>
      <c r="C58" s="7"/>
      <c r="D58" s="392" t="s">
        <v>203</v>
      </c>
      <c r="E58" s="392"/>
      <c r="F58" s="392"/>
      <c r="G58" s="392"/>
      <c r="H58" s="7"/>
      <c r="I58" s="8"/>
    </row>
    <row r="59" spans="2:9" x14ac:dyDescent="0.2">
      <c r="B59" s="6"/>
      <c r="C59" s="7"/>
      <c r="D59" s="392"/>
      <c r="E59" s="392"/>
      <c r="F59" s="392"/>
      <c r="G59" s="392"/>
      <c r="H59" s="301">
        <v>0</v>
      </c>
      <c r="I59" s="8"/>
    </row>
    <row r="60" spans="2:9" x14ac:dyDescent="0.2">
      <c r="B60" s="6"/>
      <c r="C60" s="7"/>
      <c r="D60" s="14"/>
      <c r="E60" s="14"/>
      <c r="F60" s="14"/>
      <c r="G60" s="14"/>
      <c r="H60" s="7"/>
      <c r="I60" s="8"/>
    </row>
    <row r="61" spans="2:9" x14ac:dyDescent="0.2">
      <c r="B61" s="6"/>
      <c r="C61" s="7"/>
      <c r="D61" s="392" t="s">
        <v>204</v>
      </c>
      <c r="E61" s="392"/>
      <c r="F61" s="392"/>
      <c r="G61" s="392"/>
      <c r="H61" s="7"/>
      <c r="I61" s="8"/>
    </row>
    <row r="62" spans="2:9" x14ac:dyDescent="0.2">
      <c r="B62" s="6"/>
      <c r="C62" s="7"/>
      <c r="D62" s="392"/>
      <c r="E62" s="392"/>
      <c r="F62" s="392"/>
      <c r="G62" s="392"/>
      <c r="H62" s="297">
        <v>0</v>
      </c>
      <c r="I62" s="8"/>
    </row>
    <row r="63" spans="2:9" ht="15" customHeight="1" x14ac:dyDescent="0.2">
      <c r="B63" s="6"/>
      <c r="C63" s="7"/>
      <c r="D63" s="392" t="s">
        <v>214</v>
      </c>
      <c r="E63" s="392"/>
      <c r="F63" s="392"/>
      <c r="G63" s="392"/>
      <c r="H63" s="7"/>
      <c r="I63" s="8"/>
    </row>
    <row r="64" spans="2:9" x14ac:dyDescent="0.2">
      <c r="B64" s="6"/>
      <c r="C64" s="7"/>
      <c r="D64" s="392"/>
      <c r="E64" s="392"/>
      <c r="F64" s="392"/>
      <c r="G64" s="392"/>
      <c r="H64" s="295" t="str">
        <f>IF($H$10&lt;&gt;0,H62*100000/$H$10,"Not Calculated")</f>
        <v>Not Calculated</v>
      </c>
      <c r="I64" s="8"/>
    </row>
    <row r="65" spans="2:9" x14ac:dyDescent="0.2">
      <c r="B65" s="6"/>
      <c r="C65" s="7"/>
      <c r="D65" s="14"/>
      <c r="E65" s="14"/>
      <c r="F65" s="14"/>
      <c r="G65" s="14"/>
      <c r="H65" s="7"/>
      <c r="I65" s="8"/>
    </row>
    <row r="66" spans="2:9" x14ac:dyDescent="0.2">
      <c r="B66" s="6"/>
      <c r="C66" s="7"/>
      <c r="D66" s="392" t="s">
        <v>205</v>
      </c>
      <c r="E66" s="392"/>
      <c r="F66" s="392"/>
      <c r="G66" s="392"/>
      <c r="H66" s="7"/>
      <c r="I66" s="8"/>
    </row>
    <row r="67" spans="2:9" x14ac:dyDescent="0.2">
      <c r="B67" s="6"/>
      <c r="C67" s="7"/>
      <c r="D67" s="392"/>
      <c r="E67" s="392"/>
      <c r="F67" s="392"/>
      <c r="G67" s="392"/>
      <c r="H67" s="297">
        <v>0</v>
      </c>
      <c r="I67" s="8"/>
    </row>
    <row r="68" spans="2:9" ht="15" customHeight="1" x14ac:dyDescent="0.2">
      <c r="B68" s="6"/>
      <c r="C68" s="7"/>
      <c r="D68" s="392" t="s">
        <v>215</v>
      </c>
      <c r="E68" s="392"/>
      <c r="F68" s="392"/>
      <c r="G68" s="392"/>
      <c r="H68" s="7"/>
      <c r="I68" s="8"/>
    </row>
    <row r="69" spans="2:9" x14ac:dyDescent="0.2">
      <c r="B69" s="6"/>
      <c r="C69" s="7"/>
      <c r="D69" s="392"/>
      <c r="E69" s="392"/>
      <c r="F69" s="392"/>
      <c r="G69" s="392"/>
      <c r="H69" s="295" t="str">
        <f>IF($H$10&lt;&gt;0,H67*100000/$H$10,"Not Calculated")</f>
        <v>Not Calculated</v>
      </c>
      <c r="I69" s="8"/>
    </row>
    <row r="70" spans="2:9" x14ac:dyDescent="0.2">
      <c r="B70" s="6"/>
      <c r="C70" s="7"/>
      <c r="D70" s="14"/>
      <c r="E70" s="14"/>
      <c r="F70" s="14"/>
      <c r="G70" s="14"/>
      <c r="H70" s="7"/>
      <c r="I70" s="8"/>
    </row>
    <row r="71" spans="2:9" x14ac:dyDescent="0.2">
      <c r="B71" s="6"/>
      <c r="C71" s="7"/>
      <c r="D71" s="392" t="s">
        <v>206</v>
      </c>
      <c r="E71" s="392"/>
      <c r="F71" s="392"/>
      <c r="G71" s="392"/>
      <c r="H71" s="7"/>
      <c r="I71" s="8"/>
    </row>
    <row r="72" spans="2:9" x14ac:dyDescent="0.2">
      <c r="B72" s="6"/>
      <c r="C72" s="7"/>
      <c r="D72" s="392"/>
      <c r="E72" s="392"/>
      <c r="F72" s="392"/>
      <c r="G72" s="392"/>
      <c r="H72" s="297">
        <v>0</v>
      </c>
      <c r="I72" s="8"/>
    </row>
    <row r="73" spans="2:9" x14ac:dyDescent="0.2">
      <c r="B73" s="6"/>
      <c r="C73" s="7"/>
      <c r="D73" s="14"/>
      <c r="E73" s="14"/>
      <c r="F73" s="14"/>
      <c r="G73" s="14"/>
      <c r="H73" s="7"/>
      <c r="I73" s="8"/>
    </row>
    <row r="74" spans="2:9" x14ac:dyDescent="0.2">
      <c r="B74" s="6"/>
      <c r="C74" s="7"/>
      <c r="D74" s="392" t="s">
        <v>207</v>
      </c>
      <c r="E74" s="392"/>
      <c r="F74" s="392"/>
      <c r="G74" s="392"/>
      <c r="H74" s="7"/>
      <c r="I74" s="8"/>
    </row>
    <row r="75" spans="2:9" ht="15" customHeight="1" x14ac:dyDescent="0.2">
      <c r="B75" s="6"/>
      <c r="C75" s="7"/>
      <c r="D75" s="392"/>
      <c r="E75" s="392"/>
      <c r="F75" s="392"/>
      <c r="G75" s="392"/>
      <c r="H75" s="7"/>
      <c r="I75" s="8"/>
    </row>
    <row r="76" spans="2:9" x14ac:dyDescent="0.2">
      <c r="B76" s="6"/>
      <c r="C76" s="7"/>
      <c r="D76" s="392"/>
      <c r="E76" s="392"/>
      <c r="F76" s="392"/>
      <c r="G76" s="392"/>
      <c r="H76" s="297">
        <v>0</v>
      </c>
      <c r="I76" s="8"/>
    </row>
    <row r="77" spans="2:9" x14ac:dyDescent="0.2">
      <c r="B77" s="6"/>
      <c r="C77" s="7"/>
      <c r="D77" s="14"/>
      <c r="E77" s="14"/>
      <c r="F77" s="14"/>
      <c r="G77" s="14"/>
      <c r="H77" s="7"/>
      <c r="I77" s="8"/>
    </row>
    <row r="78" spans="2:9" x14ac:dyDescent="0.2">
      <c r="B78" s="6"/>
      <c r="C78" s="7"/>
      <c r="D78" s="392" t="s">
        <v>852</v>
      </c>
      <c r="E78" s="392"/>
      <c r="F78" s="392"/>
      <c r="G78" s="392"/>
      <c r="H78" s="7"/>
      <c r="I78" s="8"/>
    </row>
    <row r="79" spans="2:9" x14ac:dyDescent="0.2">
      <c r="B79" s="6"/>
      <c r="C79" s="7"/>
      <c r="D79" s="392"/>
      <c r="E79" s="392"/>
      <c r="F79" s="392"/>
      <c r="G79" s="392"/>
      <c r="H79" s="301">
        <v>0</v>
      </c>
      <c r="I79" s="8"/>
    </row>
    <row r="80" spans="2:9" x14ac:dyDescent="0.2">
      <c r="B80" s="6"/>
      <c r="C80" s="7"/>
      <c r="D80" s="14"/>
      <c r="E80" s="14"/>
      <c r="F80" s="14"/>
      <c r="G80" s="14"/>
      <c r="H80" s="7"/>
      <c r="I80" s="8"/>
    </row>
    <row r="81" spans="2:9" x14ac:dyDescent="0.2">
      <c r="B81" s="6"/>
      <c r="C81" s="7"/>
      <c r="D81" s="392" t="s">
        <v>851</v>
      </c>
      <c r="E81" s="392"/>
      <c r="F81" s="392"/>
      <c r="G81" s="392"/>
      <c r="H81" s="7"/>
      <c r="I81" s="8"/>
    </row>
    <row r="82" spans="2:9" x14ac:dyDescent="0.2">
      <c r="B82" s="6"/>
      <c r="C82" s="7"/>
      <c r="D82" s="392"/>
      <c r="E82" s="392"/>
      <c r="F82" s="392"/>
      <c r="G82" s="392"/>
      <c r="H82" s="297">
        <v>0</v>
      </c>
      <c r="I82" s="8"/>
    </row>
    <row r="83" spans="2:9" x14ac:dyDescent="0.2">
      <c r="B83" s="6"/>
      <c r="C83" s="7"/>
      <c r="D83" s="14"/>
      <c r="E83" s="14"/>
      <c r="F83" s="14"/>
      <c r="G83" s="14"/>
      <c r="H83" s="7"/>
      <c r="I83" s="8"/>
    </row>
    <row r="84" spans="2:9" x14ac:dyDescent="0.2">
      <c r="B84" s="6"/>
      <c r="C84" s="7"/>
      <c r="D84" s="392" t="s">
        <v>1106</v>
      </c>
      <c r="E84" s="392"/>
      <c r="F84" s="392"/>
      <c r="G84" s="392"/>
      <c r="H84" s="7"/>
      <c r="I84" s="8"/>
    </row>
    <row r="85" spans="2:9" x14ac:dyDescent="0.2">
      <c r="B85" s="6"/>
      <c r="C85" s="7"/>
      <c r="D85" s="392"/>
      <c r="E85" s="392"/>
      <c r="F85" s="392"/>
      <c r="G85" s="392"/>
      <c r="H85" s="297">
        <v>0</v>
      </c>
      <c r="I85" s="8"/>
    </row>
    <row r="86" spans="2:9" x14ac:dyDescent="0.2">
      <c r="B86" s="6"/>
      <c r="C86" s="7"/>
      <c r="D86" s="392" t="s">
        <v>208</v>
      </c>
      <c r="E86" s="392"/>
      <c r="F86" s="392"/>
      <c r="G86" s="392"/>
      <c r="H86" s="7"/>
      <c r="I86" s="8"/>
    </row>
    <row r="87" spans="2:9" x14ac:dyDescent="0.2">
      <c r="B87" s="6"/>
      <c r="C87" s="7"/>
      <c r="D87" s="392"/>
      <c r="E87" s="392"/>
      <c r="F87" s="392"/>
      <c r="G87" s="392"/>
      <c r="H87" s="295" t="str">
        <f>IF($H$10&lt;&gt;0,H85*100000/$H$10,"Not Calculated")</f>
        <v>Not Calculated</v>
      </c>
      <c r="I87" s="8"/>
    </row>
    <row r="88" spans="2:9" x14ac:dyDescent="0.2">
      <c r="B88" s="6"/>
      <c r="C88" s="7"/>
      <c r="D88" s="14"/>
      <c r="E88" s="14"/>
      <c r="F88" s="14"/>
      <c r="G88" s="14"/>
      <c r="H88" s="7"/>
      <c r="I88" s="8"/>
    </row>
    <row r="89" spans="2:9" x14ac:dyDescent="0.2">
      <c r="B89" s="6"/>
      <c r="C89" s="7"/>
      <c r="D89" s="392" t="s">
        <v>1105</v>
      </c>
      <c r="E89" s="392"/>
      <c r="F89" s="392"/>
      <c r="G89" s="392"/>
      <c r="H89" s="7"/>
      <c r="I89" s="8"/>
    </row>
    <row r="90" spans="2:9" x14ac:dyDescent="0.2">
      <c r="B90" s="6"/>
      <c r="C90" s="7"/>
      <c r="D90" s="392"/>
      <c r="E90" s="392"/>
      <c r="F90" s="392"/>
      <c r="G90" s="392"/>
      <c r="H90" s="297">
        <v>0</v>
      </c>
      <c r="I90" s="8"/>
    </row>
    <row r="91" spans="2:9" x14ac:dyDescent="0.2">
      <c r="B91" s="6"/>
      <c r="C91" s="7"/>
      <c r="D91" s="392" t="s">
        <v>209</v>
      </c>
      <c r="E91" s="392"/>
      <c r="F91" s="392"/>
      <c r="G91" s="392"/>
      <c r="H91" s="7"/>
      <c r="I91" s="8"/>
    </row>
    <row r="92" spans="2:9" x14ac:dyDescent="0.2">
      <c r="B92" s="6"/>
      <c r="C92" s="7"/>
      <c r="D92" s="392"/>
      <c r="E92" s="392"/>
      <c r="F92" s="392"/>
      <c r="G92" s="392"/>
      <c r="H92" s="295" t="str">
        <f>IF($H$10&lt;&gt;0,H90*100000/$H$10,"Not Calculated")</f>
        <v>Not Calculated</v>
      </c>
      <c r="I92" s="8"/>
    </row>
    <row r="93" spans="2:9" x14ac:dyDescent="0.2">
      <c r="B93" s="6"/>
      <c r="C93" s="7"/>
      <c r="D93" s="14"/>
      <c r="E93" s="14"/>
      <c r="F93" s="14"/>
      <c r="G93" s="14"/>
      <c r="H93" s="7"/>
      <c r="I93" s="8"/>
    </row>
    <row r="94" spans="2:9" x14ac:dyDescent="0.2">
      <c r="B94" s="6"/>
      <c r="C94" s="7"/>
      <c r="D94" s="392" t="s">
        <v>210</v>
      </c>
      <c r="E94" s="392"/>
      <c r="F94" s="392"/>
      <c r="G94" s="392"/>
      <c r="H94" s="7"/>
      <c r="I94" s="8"/>
    </row>
    <row r="95" spans="2:9" x14ac:dyDescent="0.2">
      <c r="B95" s="6"/>
      <c r="C95" s="7"/>
      <c r="D95" s="392"/>
      <c r="E95" s="392"/>
      <c r="F95" s="392"/>
      <c r="G95" s="392"/>
      <c r="H95" s="297">
        <v>0</v>
      </c>
      <c r="I95" s="8"/>
    </row>
    <row r="96" spans="2:9" x14ac:dyDescent="0.2">
      <c r="B96" s="6"/>
      <c r="C96" s="7"/>
      <c r="D96" s="392" t="s">
        <v>211</v>
      </c>
      <c r="E96" s="392"/>
      <c r="F96" s="392"/>
      <c r="G96" s="392"/>
      <c r="H96" s="7"/>
      <c r="I96" s="8"/>
    </row>
    <row r="97" spans="2:10" x14ac:dyDescent="0.2">
      <c r="B97" s="6"/>
      <c r="C97" s="7"/>
      <c r="D97" s="392"/>
      <c r="E97" s="392"/>
      <c r="F97" s="392"/>
      <c r="G97" s="392"/>
      <c r="H97" s="295" t="str">
        <f>IF($H$10&lt;&gt;0,H95*100000/$H$10,"Not Calculated")</f>
        <v>Not Calculated</v>
      </c>
      <c r="I97" s="8"/>
    </row>
    <row r="98" spans="2:10" x14ac:dyDescent="0.2">
      <c r="B98" s="6"/>
      <c r="C98" s="7"/>
      <c r="D98" s="14"/>
      <c r="E98" s="14"/>
      <c r="F98" s="14"/>
      <c r="G98" s="14"/>
      <c r="H98" s="7"/>
      <c r="I98" s="8"/>
    </row>
    <row r="99" spans="2:10" x14ac:dyDescent="0.2">
      <c r="B99" s="6"/>
      <c r="C99" s="7"/>
      <c r="D99" s="392" t="s">
        <v>1107</v>
      </c>
      <c r="E99" s="392"/>
      <c r="F99" s="392"/>
      <c r="G99" s="392"/>
      <c r="H99" s="7"/>
      <c r="I99" s="8"/>
    </row>
    <row r="100" spans="2:10" x14ac:dyDescent="0.2">
      <c r="B100" s="6"/>
      <c r="C100" s="7"/>
      <c r="D100" s="392"/>
      <c r="E100" s="392"/>
      <c r="F100" s="392"/>
      <c r="G100" s="392"/>
      <c r="H100" s="297">
        <v>0</v>
      </c>
      <c r="I100" s="8"/>
    </row>
    <row r="101" spans="2:10" x14ac:dyDescent="0.2">
      <c r="B101" s="6"/>
      <c r="C101" s="7"/>
      <c r="D101" s="14"/>
      <c r="E101" s="14"/>
      <c r="F101" s="14"/>
      <c r="G101" s="14"/>
      <c r="H101" s="7"/>
      <c r="I101" s="8"/>
    </row>
    <row r="102" spans="2:10" x14ac:dyDescent="0.2">
      <c r="B102" s="6"/>
      <c r="C102" s="7" t="s">
        <v>212</v>
      </c>
      <c r="D102" s="14"/>
      <c r="E102" s="14"/>
      <c r="F102" s="14"/>
      <c r="G102" s="14"/>
      <c r="H102" s="301"/>
      <c r="I102" s="8"/>
      <c r="J102" s="12" t="s">
        <v>1135</v>
      </c>
    </row>
    <row r="103" spans="2:10" x14ac:dyDescent="0.2">
      <c r="B103" s="6"/>
      <c r="C103" s="7"/>
      <c r="D103" s="14"/>
      <c r="E103" s="14"/>
      <c r="F103" s="14"/>
      <c r="G103" s="14"/>
      <c r="H103" s="7"/>
      <c r="I103" s="8"/>
      <c r="J103" s="327" t="s">
        <v>1134</v>
      </c>
    </row>
    <row r="104" spans="2:10" x14ac:dyDescent="0.2">
      <c r="B104" s="6"/>
      <c r="C104" s="7"/>
      <c r="D104" s="392" t="s">
        <v>213</v>
      </c>
      <c r="E104" s="392"/>
      <c r="F104" s="392"/>
      <c r="G104" s="392"/>
      <c r="H104" s="7"/>
      <c r="I104" s="8"/>
    </row>
    <row r="105" spans="2:10" x14ac:dyDescent="0.2">
      <c r="B105" s="6"/>
      <c r="C105" s="7"/>
      <c r="D105" s="392"/>
      <c r="E105" s="392"/>
      <c r="F105" s="392"/>
      <c r="G105" s="392"/>
      <c r="H105" s="297">
        <v>0</v>
      </c>
      <c r="I105" s="8"/>
      <c r="J105" s="12" t="s">
        <v>1137</v>
      </c>
    </row>
    <row r="106" spans="2:10" x14ac:dyDescent="0.2">
      <c r="B106" s="6"/>
      <c r="C106" s="7"/>
      <c r="D106" s="14"/>
      <c r="E106" s="14"/>
      <c r="F106" s="14"/>
      <c r="G106" s="14"/>
      <c r="H106" s="7"/>
      <c r="I106" s="8"/>
    </row>
    <row r="107" spans="2:10" x14ac:dyDescent="0.2">
      <c r="B107" s="6"/>
      <c r="C107" s="390" t="s">
        <v>1000</v>
      </c>
      <c r="D107" s="390"/>
      <c r="E107" s="390"/>
      <c r="F107" s="390"/>
      <c r="G107" s="390"/>
      <c r="H107" s="7"/>
      <c r="I107" s="8"/>
    </row>
    <row r="108" spans="2:10" ht="30" customHeight="1" x14ac:dyDescent="0.2">
      <c r="B108" s="6"/>
      <c r="C108" s="390"/>
      <c r="D108" s="390"/>
      <c r="E108" s="390"/>
      <c r="F108" s="390"/>
      <c r="G108" s="390"/>
      <c r="H108" s="297" t="s">
        <v>1100</v>
      </c>
      <c r="I108" s="8"/>
      <c r="J108" s="12" t="s">
        <v>1137</v>
      </c>
    </row>
    <row r="109" spans="2:10" x14ac:dyDescent="0.2">
      <c r="B109" s="6"/>
      <c r="C109" s="298"/>
      <c r="D109" s="298"/>
      <c r="E109" s="298"/>
      <c r="F109" s="298"/>
      <c r="G109" s="298"/>
      <c r="H109" s="7"/>
      <c r="I109" s="8"/>
    </row>
    <row r="110" spans="2:10" x14ac:dyDescent="0.2">
      <c r="B110" s="6"/>
      <c r="C110" s="298"/>
      <c r="D110" s="391" t="s">
        <v>1001</v>
      </c>
      <c r="E110" s="391"/>
      <c r="F110" s="391"/>
      <c r="G110" s="391"/>
      <c r="H110" s="7"/>
      <c r="I110" s="8"/>
    </row>
    <row r="111" spans="2:10" x14ac:dyDescent="0.2">
      <c r="B111" s="6"/>
      <c r="C111" s="298"/>
      <c r="D111" s="391"/>
      <c r="E111" s="391"/>
      <c r="F111" s="391"/>
      <c r="G111" s="391"/>
      <c r="H111" s="299">
        <v>0</v>
      </c>
      <c r="I111" s="8"/>
      <c r="J111" s="12" t="s">
        <v>1275</v>
      </c>
    </row>
    <row r="112" spans="2:10" x14ac:dyDescent="0.2">
      <c r="B112" s="6"/>
      <c r="C112" s="7"/>
      <c r="D112" s="14"/>
      <c r="E112" s="14"/>
      <c r="F112" s="14"/>
      <c r="G112" s="14"/>
      <c r="H112" s="7"/>
      <c r="I112" s="8"/>
    </row>
    <row r="113" spans="1:10" ht="15" customHeight="1" x14ac:dyDescent="0.2">
      <c r="B113" s="6"/>
      <c r="C113" s="7"/>
      <c r="D113" s="391" t="s">
        <v>1002</v>
      </c>
      <c r="E113" s="391"/>
      <c r="F113" s="391"/>
      <c r="G113" s="391"/>
      <c r="H113" s="7"/>
      <c r="I113" s="8"/>
    </row>
    <row r="114" spans="1:10" x14ac:dyDescent="0.2">
      <c r="B114" s="6"/>
      <c r="C114" s="7"/>
      <c r="D114" s="391"/>
      <c r="E114" s="391"/>
      <c r="F114" s="391"/>
      <c r="G114" s="391"/>
      <c r="H114" s="299">
        <v>0</v>
      </c>
      <c r="I114" s="8"/>
      <c r="J114" s="327" t="s">
        <v>1116</v>
      </c>
    </row>
    <row r="115" spans="1:10" x14ac:dyDescent="0.2">
      <c r="B115" s="6"/>
      <c r="C115" s="7"/>
      <c r="D115" s="300"/>
      <c r="E115" s="300"/>
      <c r="F115" s="300"/>
      <c r="G115" s="300"/>
      <c r="H115" s="300"/>
      <c r="I115" s="8"/>
    </row>
    <row r="116" spans="1:10" ht="15" customHeight="1" x14ac:dyDescent="0.2">
      <c r="B116" s="6"/>
      <c r="C116" s="7"/>
      <c r="D116" s="391" t="s">
        <v>1003</v>
      </c>
      <c r="E116" s="391"/>
      <c r="F116" s="391"/>
      <c r="G116" s="391"/>
      <c r="H116" s="7"/>
      <c r="I116" s="8"/>
    </row>
    <row r="117" spans="1:10" x14ac:dyDescent="0.2">
      <c r="B117" s="6"/>
      <c r="C117" s="7"/>
      <c r="D117" s="391"/>
      <c r="E117" s="391"/>
      <c r="F117" s="391"/>
      <c r="G117" s="391"/>
      <c r="H117" s="299">
        <v>0</v>
      </c>
      <c r="I117" s="8"/>
      <c r="J117" s="327" t="s">
        <v>1115</v>
      </c>
    </row>
    <row r="118" spans="1:10" ht="16" thickBot="1" x14ac:dyDescent="0.25">
      <c r="B118" s="9"/>
      <c r="C118" s="10"/>
      <c r="D118" s="10"/>
      <c r="E118" s="10"/>
      <c r="F118" s="10"/>
      <c r="G118" s="10"/>
      <c r="H118" s="10"/>
      <c r="I118" s="11"/>
    </row>
    <row r="120" spans="1:10" hidden="1" x14ac:dyDescent="0.2">
      <c r="A120" s="12" t="s">
        <v>190</v>
      </c>
    </row>
    <row r="121" spans="1:10" hidden="1" x14ac:dyDescent="0.2">
      <c r="A121" s="12" t="s">
        <v>202</v>
      </c>
    </row>
  </sheetData>
  <sheetProtection selectLockedCells="1"/>
  <mergeCells count="29">
    <mergeCell ref="D84:G85"/>
    <mergeCell ref="D81:G82"/>
    <mergeCell ref="D104:G105"/>
    <mergeCell ref="D86:G87"/>
    <mergeCell ref="D89:G90"/>
    <mergeCell ref="D91:G92"/>
    <mergeCell ref="D94:G95"/>
    <mergeCell ref="D96:G97"/>
    <mergeCell ref="D20:G21"/>
    <mergeCell ref="D23:G24"/>
    <mergeCell ref="D32:G33"/>
    <mergeCell ref="D47:G49"/>
    <mergeCell ref="D51:G53"/>
    <mergeCell ref="C107:G108"/>
    <mergeCell ref="D110:G111"/>
    <mergeCell ref="D113:G114"/>
    <mergeCell ref="D116:G117"/>
    <mergeCell ref="D41:G42"/>
    <mergeCell ref="C44:G45"/>
    <mergeCell ref="D55:G56"/>
    <mergeCell ref="D58:G59"/>
    <mergeCell ref="D74:G76"/>
    <mergeCell ref="D63:G64"/>
    <mergeCell ref="D68:G69"/>
    <mergeCell ref="D61:G62"/>
    <mergeCell ref="D66:G67"/>
    <mergeCell ref="D71:G72"/>
    <mergeCell ref="D78:G79"/>
    <mergeCell ref="D99:G100"/>
  </mergeCells>
  <dataValidations count="1">
    <dataValidation type="list" allowBlank="1" showInputMessage="1" showErrorMessage="1" sqref="H45 H49" xr:uid="{00000000-0002-0000-0800-000000000000}">
      <formula1>$A$120:$A$121</formula1>
    </dataValidation>
  </dataValidations>
  <hyperlinks>
    <hyperlink ref="J117" r:id="rId1" xr:uid="{00000000-0004-0000-0800-000000000000}"/>
    <hyperlink ref="J114" r:id="rId2" xr:uid="{00000000-0004-0000-0800-000001000000}"/>
    <hyperlink ref="J103" r:id="rId3" xr:uid="{00000000-0004-0000-0800-000002000000}"/>
    <hyperlink ref="J18" r:id="rId4" xr:uid="{00000000-0004-0000-0800-000004000000}"/>
    <hyperlink ref="J10" r:id="rId5" display="https://www.census.gov/quickfacts/fact/table/US" xr:uid="{BAE20ACA-12B0-4DD7-A5AC-94105B6B8A8D}"/>
    <hyperlink ref="J12" r:id="rId6" display="https://www.census.gov/quickfacts/fact/table/US" xr:uid="{B9E67728-E9A4-4B81-BF8F-7D9CAC937BE8}"/>
    <hyperlink ref="J16" r:id="rId7" display="https://www.census.gov/quickfacts/fact/table/US" xr:uid="{E0FCA9CA-1A3F-4C49-B6B5-EED8122499A0}"/>
    <hyperlink ref="J27" r:id="rId8" xr:uid="{DA49D17C-0AAD-4D3B-B14B-47085DA83D14}"/>
  </hyperlinks>
  <pageMargins left="0.7" right="0.7" top="0.75" bottom="0.75" header="0.3" footer="0.3"/>
  <pageSetup scale="76" orientation="portrait" r:id="rId9"/>
  <drawing r:id="rId1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78</vt:i4>
      </vt:variant>
      <vt:variant>
        <vt:lpstr>Named Ranges</vt:lpstr>
      </vt:variant>
      <vt:variant>
        <vt:i4>43</vt:i4>
      </vt:variant>
    </vt:vector>
  </HeadingPairs>
  <TitlesOfParts>
    <vt:vector size="121" baseType="lpstr">
      <vt:lpstr>Main Menu</vt:lpstr>
      <vt:lpstr>Acknowledgements</vt:lpstr>
      <vt:lpstr>ReadMe</vt:lpstr>
      <vt:lpstr>Overview</vt:lpstr>
      <vt:lpstr>Baseline Health</vt:lpstr>
      <vt:lpstr>Baseline At-Risk Pops</vt:lpstr>
      <vt:lpstr>Baseline PHP</vt:lpstr>
      <vt:lpstr>Baseline HP</vt:lpstr>
      <vt:lpstr>Community Characteristics</vt:lpstr>
      <vt:lpstr>Active Shooter</vt:lpstr>
      <vt:lpstr>Biological Terrorism</vt:lpstr>
      <vt:lpstr>Chemical Terrorism</vt:lpstr>
      <vt:lpstr>Civil Disturbance</vt:lpstr>
      <vt:lpstr>Coastal Storm</vt:lpstr>
      <vt:lpstr>Conventional Explosive</vt:lpstr>
      <vt:lpstr>Cyber Terrorism</vt:lpstr>
      <vt:lpstr>Drought</vt:lpstr>
      <vt:lpstr>Earthquake</vt:lpstr>
      <vt:lpstr>Flood</vt:lpstr>
      <vt:lpstr>Hazardous Materials Release</vt:lpstr>
      <vt:lpstr>Localized Infectious Disease</vt:lpstr>
      <vt:lpstr>Nuclear Facility Accident</vt:lpstr>
      <vt:lpstr>Pandemic</vt:lpstr>
      <vt:lpstr>Radiation Dispersal Device</vt:lpstr>
      <vt:lpstr>Temperature Extremes</vt:lpstr>
      <vt:lpstr>Tornado</vt:lpstr>
      <vt:lpstr>Utility Interruption</vt:lpstr>
      <vt:lpstr>Wildfire</vt:lpstr>
      <vt:lpstr>Winter Storm</vt:lpstr>
      <vt:lpstr>Hazard1</vt:lpstr>
      <vt:lpstr>Hazard2</vt:lpstr>
      <vt:lpstr>Hazard3</vt:lpstr>
      <vt:lpstr>Hazard4</vt:lpstr>
      <vt:lpstr>Hazard5</vt:lpstr>
      <vt:lpstr>Hazard6</vt:lpstr>
      <vt:lpstr>Hazard7</vt:lpstr>
      <vt:lpstr>Hazard8</vt:lpstr>
      <vt:lpstr>Hazard9</vt:lpstr>
      <vt:lpstr>Hazard10</vt:lpstr>
      <vt:lpstr>Summary of Impacts</vt:lpstr>
      <vt:lpstr>Severity</vt:lpstr>
      <vt:lpstr>Planning Priority Scores</vt:lpstr>
      <vt:lpstr>Summary of Scores</vt:lpstr>
      <vt:lpstr>PH vs. HC</vt:lpstr>
      <vt:lpstr>Probability vs. Severity</vt:lpstr>
      <vt:lpstr>Adjusted Risk vs. Preparedness</vt:lpstr>
      <vt:lpstr>At-Risk Populations</vt:lpstr>
      <vt:lpstr>Hazard Analyses Menu</vt:lpstr>
      <vt:lpstr>Active Shooter Analysis</vt:lpstr>
      <vt:lpstr>Biological Terrorism Analysis</vt:lpstr>
      <vt:lpstr>Chemical Terrorism Analysis</vt:lpstr>
      <vt:lpstr>Civil Disturbance Analysis</vt:lpstr>
      <vt:lpstr>Coastal Storm Analysis</vt:lpstr>
      <vt:lpstr>Conventional Explosive Analysis</vt:lpstr>
      <vt:lpstr>Cyber Terrorism Analysis</vt:lpstr>
      <vt:lpstr>Drought Analysis</vt:lpstr>
      <vt:lpstr>Earthquake Analysis</vt:lpstr>
      <vt:lpstr>Fire Analysis</vt:lpstr>
      <vt:lpstr>Flood Analysis</vt:lpstr>
      <vt:lpstr>HazMat Release Analysis</vt:lpstr>
      <vt:lpstr>Localized Inf Disease Analysis</vt:lpstr>
      <vt:lpstr>Nuc Facility Accident Analysis</vt:lpstr>
      <vt:lpstr>Pandemic Analysis</vt:lpstr>
      <vt:lpstr>RDD Analysis</vt:lpstr>
      <vt:lpstr>Temperature Extremes Analysis</vt:lpstr>
      <vt:lpstr>Tornado Analysis</vt:lpstr>
      <vt:lpstr>Utility Interruption Analysis</vt:lpstr>
      <vt:lpstr>Winter Storm Analysis</vt:lpstr>
      <vt:lpstr>Hazard1 Analysis</vt:lpstr>
      <vt:lpstr>Hazard2 Analysis</vt:lpstr>
      <vt:lpstr>Hazard3 Analysis</vt:lpstr>
      <vt:lpstr>Hazard4 Analysis</vt:lpstr>
      <vt:lpstr>Hazard5 Analysis</vt:lpstr>
      <vt:lpstr>Hazard6 Analysis</vt:lpstr>
      <vt:lpstr>Hazard7 Analysis</vt:lpstr>
      <vt:lpstr>Hazard8 Analysis</vt:lpstr>
      <vt:lpstr>Hazard9 Analysis</vt:lpstr>
      <vt:lpstr>Hazard10 Analysis</vt:lpstr>
      <vt:lpstr>'Coastal Storm'!_ENREF_56</vt:lpstr>
      <vt:lpstr>'Active Shooter'!Print_Area</vt:lpstr>
      <vt:lpstr>'Baseline At-Risk Pops'!Print_Area</vt:lpstr>
      <vt:lpstr>'Baseline Health'!Print_Area</vt:lpstr>
      <vt:lpstr>'Baseline HP'!Print_Area</vt:lpstr>
      <vt:lpstr>'Baseline PHP'!Print_Area</vt:lpstr>
      <vt:lpstr>'Biological Terrorism'!Print_Area</vt:lpstr>
      <vt:lpstr>'Chemical Terrorism'!Print_Area</vt:lpstr>
      <vt:lpstr>'Civil Disturbance'!Print_Area</vt:lpstr>
      <vt:lpstr>'Coastal Storm'!Print_Area</vt:lpstr>
      <vt:lpstr>'Community Characteristics'!Print_Area</vt:lpstr>
      <vt:lpstr>'Conventional Explosive'!Print_Area</vt:lpstr>
      <vt:lpstr>'Cyber Terrorism'!Print_Area</vt:lpstr>
      <vt:lpstr>Drought!Print_Area</vt:lpstr>
      <vt:lpstr>Earthquake!Print_Area</vt:lpstr>
      <vt:lpstr>Flood!Print_Area</vt:lpstr>
      <vt:lpstr>Hazard1!Print_Area</vt:lpstr>
      <vt:lpstr>Hazard10!Print_Area</vt:lpstr>
      <vt:lpstr>Hazard2!Print_Area</vt:lpstr>
      <vt:lpstr>Hazard3!Print_Area</vt:lpstr>
      <vt:lpstr>Hazard4!Print_Area</vt:lpstr>
      <vt:lpstr>Hazard5!Print_Area</vt:lpstr>
      <vt:lpstr>Hazard6!Print_Area</vt:lpstr>
      <vt:lpstr>Hazard7!Print_Area</vt:lpstr>
      <vt:lpstr>Hazard8!Print_Area</vt:lpstr>
      <vt:lpstr>Hazard9!Print_Area</vt:lpstr>
      <vt:lpstr>'Hazardous Materials Release'!Print_Area</vt:lpstr>
      <vt:lpstr>'Localized Infectious Disease'!Print_Area</vt:lpstr>
      <vt:lpstr>'Main Menu'!Print_Area</vt:lpstr>
      <vt:lpstr>'Nuclear Facility Accident'!Print_Area</vt:lpstr>
      <vt:lpstr>Overview!Print_Area</vt:lpstr>
      <vt:lpstr>Pandemic!Print_Area</vt:lpstr>
      <vt:lpstr>'Planning Priority Scores'!Print_Area</vt:lpstr>
      <vt:lpstr>'Radiation Dispersal Device'!Print_Area</vt:lpstr>
      <vt:lpstr>Severity!Print_Area</vt:lpstr>
      <vt:lpstr>'Summary of Impacts'!Print_Area</vt:lpstr>
      <vt:lpstr>'Summary of Scores'!Print_Area</vt:lpstr>
      <vt:lpstr>'Temperature Extremes'!Print_Area</vt:lpstr>
      <vt:lpstr>Tornado!Print_Area</vt:lpstr>
      <vt:lpstr>'Utility Interruption'!Print_Area</vt:lpstr>
      <vt:lpstr>Wildfire!Print_Area</vt:lpstr>
      <vt:lpstr>'Winter Storm'!Print_Area</vt:lpstr>
      <vt:lpstr>'Summary of Impacts'!Print_Titles</vt:lpstr>
    </vt:vector>
  </TitlesOfParts>
  <Company>Drexel University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Rachel Peters</dc:creator>
  <cp:lastModifiedBy>Linnenbrink, Katy</cp:lastModifiedBy>
  <cp:lastPrinted>2022-12-07T19:54:24Z</cp:lastPrinted>
  <dcterms:created xsi:type="dcterms:W3CDTF">2012-10-16T14:57:04Z</dcterms:created>
  <dcterms:modified xsi:type="dcterms:W3CDTF">2024-08-12T19:54:46Z</dcterms:modified>
</cp:coreProperties>
</file>